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4.xml"/>
  <Override ContentType="application/vnd.openxmlformats-officedocument.spreadsheetml.table+xml" PartName="/xl/tables/table29.xml"/>
  <Override ContentType="application/vnd.openxmlformats-officedocument.spreadsheetml.table+xml" PartName="/xl/tables/table32.xml"/>
  <Override ContentType="application/vnd.openxmlformats-officedocument.spreadsheetml.table+xml" PartName="/xl/tables/table28.xml"/>
  <Override ContentType="application/vnd.openxmlformats-officedocument.spreadsheetml.table+xml" PartName="/xl/tables/table15.xml"/>
  <Override ContentType="application/vnd.openxmlformats-officedocument.spreadsheetml.table+xml" PartName="/xl/tables/table8.xml"/>
  <Override ContentType="application/vnd.openxmlformats-officedocument.spreadsheetml.table+xml" PartName="/xl/tables/table24.xml"/>
  <Override ContentType="application/vnd.openxmlformats-officedocument.spreadsheetml.table+xml" PartName="/xl/tables/table11.xml"/>
  <Override ContentType="application/vnd.openxmlformats-officedocument.spreadsheetml.table+xml" PartName="/xl/tables/table31.xml"/>
  <Override ContentType="application/vnd.openxmlformats-officedocument.spreadsheetml.table+xml" PartName="/xl/tables/table5.xml"/>
  <Override ContentType="application/vnd.openxmlformats-officedocument.spreadsheetml.table+xml" PartName="/xl/tables/table19.xml"/>
  <Override ContentType="application/vnd.openxmlformats-officedocument.spreadsheetml.table+xml" PartName="/xl/tables/table10.xml"/>
  <Override ContentType="application/vnd.openxmlformats-officedocument.spreadsheetml.table+xml" PartName="/xl/tables/table27.xml"/>
  <Override ContentType="application/vnd.openxmlformats-officedocument.spreadsheetml.table+xml" PartName="/xl/tables/table14.xml"/>
  <Override ContentType="application/vnd.openxmlformats-officedocument.spreadsheetml.table+xml" PartName="/xl/tables/table23.xml"/>
  <Override ContentType="application/vnd.openxmlformats-officedocument.spreadsheetml.table+xml" PartName="/xl/tables/table9.xml"/>
  <Override ContentType="application/vnd.openxmlformats-officedocument.spreadsheetml.table+xml" PartName="/xl/tables/table18.xml"/>
  <Override ContentType="application/vnd.openxmlformats-officedocument.spreadsheetml.table+xml" PartName="/xl/tables/table13.xml"/>
  <Override ContentType="application/vnd.openxmlformats-officedocument.spreadsheetml.table+xml" PartName="/xl/tables/table1.xml"/>
  <Override ContentType="application/vnd.openxmlformats-officedocument.spreadsheetml.table+xml" PartName="/xl/tables/table30.xml"/>
  <Override ContentType="application/vnd.openxmlformats-officedocument.spreadsheetml.table+xml" PartName="/xl/tables/table22.xml"/>
  <Override ContentType="application/vnd.openxmlformats-officedocument.spreadsheetml.table+xml" PartName="/xl/tables/table2.xml"/>
  <Override ContentType="application/vnd.openxmlformats-officedocument.spreadsheetml.table+xml" PartName="/xl/tables/table26.xml"/>
  <Override ContentType="application/vnd.openxmlformats-officedocument.spreadsheetml.table+xml" PartName="/xl/tables/table6.xml"/>
  <Override ContentType="application/vnd.openxmlformats-officedocument.spreadsheetml.table+xml" PartName="/xl/tables/table20.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12.xml"/>
  <Override ContentType="application/vnd.openxmlformats-officedocument.spreadsheetml.table+xml" PartName="/xl/tables/table25.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ster" sheetId="1" r:id="rId4"/>
    <sheet state="visible" name="Info" sheetId="2" r:id="rId5"/>
    <sheet state="visible" name="Stage list" sheetId="3" r:id="rId6"/>
    <sheet state="visible" name="Stage 1" sheetId="4" r:id="rId7"/>
    <sheet state="visible" name="Stage 2" sheetId="5" r:id="rId8"/>
    <sheet state="visible" name="Stage 3" sheetId="6" r:id="rId9"/>
    <sheet state="visible" name="Stage 4, Day 1" sheetId="7" r:id="rId10"/>
    <sheet state="visible" name="Stage 4, Day 2&amp;3" sheetId="8" r:id="rId11"/>
    <sheet state="visible" name="Stage 5, Day 1" sheetId="9" r:id="rId12"/>
    <sheet state="visible" name="Stage 5, Day 2" sheetId="10" r:id="rId13"/>
    <sheet state="visible" name="Stage 5, Day 3" sheetId="11" r:id="rId14"/>
    <sheet state="visible" name="Stage 6, Day 1" sheetId="12" r:id="rId15"/>
    <sheet state="visible" name="Stage 6, Day 2" sheetId="13" r:id="rId16"/>
    <sheet state="visible" name="Stage 6, Day 3" sheetId="14" r:id="rId17"/>
    <sheet state="visible" name="Stage 7" sheetId="15" r:id="rId18"/>
    <sheet state="visible" name="Stage 8, Day 1" sheetId="16" r:id="rId19"/>
    <sheet state="visible" name="TEST" sheetId="17" r:id="rId20"/>
    <sheet state="visible" name="Stage 8, Day 2&amp;3" sheetId="18" r:id="rId21"/>
    <sheet state="visible" name="Stage 9, Day 1" sheetId="19" r:id="rId22"/>
    <sheet state="visible" name="Stage 9, Day 2&amp;3" sheetId="20" r:id="rId23"/>
    <sheet state="visible" name="Stage 10, Day 1" sheetId="21" r:id="rId24"/>
    <sheet state="visible" name="Stage 10, Day 2" sheetId="22" r:id="rId25"/>
    <sheet state="visible" name="Stage 10, Day 3" sheetId="23" r:id="rId26"/>
    <sheet state="visible" name="Stage 11, Day 1&amp;2" sheetId="24" r:id="rId27"/>
    <sheet state="visible" name="Stage 11, Day 3" sheetId="25" r:id="rId28"/>
    <sheet state="visible" name="Stage 12" sheetId="26" r:id="rId29"/>
    <sheet state="visible" name="Stage 13, Day 1" sheetId="27" r:id="rId30"/>
    <sheet state="visible" name="Stage 13, Day 2&amp;3" sheetId="28" r:id="rId31"/>
    <sheet state="visible" name="Stage 14" sheetId="29" r:id="rId32"/>
    <sheet state="visible" name="Stage 15, Day 1&amp;2" sheetId="30" r:id="rId33"/>
    <sheet state="visible" name="Stage 15, Day 3" sheetId="31" r:id="rId34"/>
    <sheet state="visible" name="Stage 16" sheetId="32" r:id="rId35"/>
    <sheet state="visible" name="Stage 17" sheetId="33" r:id="rId36"/>
    <sheet state="visible" name="Stage 18" sheetId="34" r:id="rId37"/>
  </sheets>
  <definedNames/>
  <calcPr/>
</workbook>
</file>

<file path=xl/sharedStrings.xml><?xml version="1.0" encoding="utf-8"?>
<sst xmlns="http://schemas.openxmlformats.org/spreadsheetml/2006/main" count="10564" uniqueCount="847">
  <si>
    <t>Web Summit 2019 | Stages</t>
  </si>
  <si>
    <t>Web Summit 2019</t>
  </si>
  <si>
    <t>Stage No.</t>
  </si>
  <si>
    <t>Name of Stage</t>
  </si>
  <si>
    <t>Day</t>
  </si>
  <si>
    <t>Location</t>
  </si>
  <si>
    <t>Centre Stage</t>
  </si>
  <si>
    <t>Tues, Wed, Thurs</t>
  </si>
  <si>
    <t xml:space="preserve">Altice Arena </t>
  </si>
  <si>
    <t>Venue:</t>
  </si>
  <si>
    <t>Press Conference</t>
  </si>
  <si>
    <t>Altice Arena &amp; FIL</t>
  </si>
  <si>
    <t>Q + A</t>
  </si>
  <si>
    <t>Outdoor TBC</t>
  </si>
  <si>
    <t>Event live stream producer:</t>
  </si>
  <si>
    <t>SportsTrade</t>
  </si>
  <si>
    <t>Zara McGrath</t>
  </si>
  <si>
    <t>Tues</t>
  </si>
  <si>
    <t>Fil 1</t>
  </si>
  <si>
    <t>00353 83 128 2586</t>
  </si>
  <si>
    <t>ContentMakers</t>
  </si>
  <si>
    <t>Wed, Thurs</t>
  </si>
  <si>
    <t>Event name:</t>
  </si>
  <si>
    <t>Web Summit</t>
  </si>
  <si>
    <t>PITCH 1</t>
  </si>
  <si>
    <t>Startup Showcase 1</t>
  </si>
  <si>
    <t>Weds</t>
  </si>
  <si>
    <t>Machine Demo</t>
  </si>
  <si>
    <t>Thurs</t>
  </si>
  <si>
    <t>Creatiff</t>
  </si>
  <si>
    <t>Company contact:</t>
  </si>
  <si>
    <t>As above</t>
  </si>
  <si>
    <t>Binate.io</t>
  </si>
  <si>
    <t>Event dates:</t>
  </si>
  <si>
    <t>Wed</t>
  </si>
  <si>
    <t>FullSTK</t>
  </si>
  <si>
    <t>November 5 - 8, 2019</t>
  </si>
  <si>
    <t>Future Societies</t>
  </si>
  <si>
    <t>Fil 2</t>
  </si>
  <si>
    <t>PITCH 2</t>
  </si>
  <si>
    <t>Startup Showcase 2</t>
  </si>
  <si>
    <t>Weds, Thurs</t>
  </si>
  <si>
    <t>Planet:tech</t>
  </si>
  <si>
    <t>MoneyConf</t>
  </si>
  <si>
    <t>Speaker Presentation Upload Folder</t>
  </si>
  <si>
    <t>UnBoxed</t>
  </si>
  <si>
    <t xml:space="preserve">Wooden Annex </t>
  </si>
  <si>
    <t>Google drive folder:</t>
  </si>
  <si>
    <t>Speaker Presentation Folder - TO BE ADDED</t>
  </si>
  <si>
    <t>DeepTech</t>
  </si>
  <si>
    <t>How to use this sheet
**Read all instructions below before using**</t>
  </si>
  <si>
    <t>MusicNotes</t>
  </si>
  <si>
    <t>Wooden Annex</t>
  </si>
  <si>
    <t>SaaS Monster</t>
  </si>
  <si>
    <t>Tues, Wed</t>
  </si>
  <si>
    <t>Uploading</t>
  </si>
  <si>
    <t>Fil 3</t>
  </si>
  <si>
    <t xml:space="preserve">HealthConf </t>
  </si>
  <si>
    <t xml:space="preserve">When videos are uploaded to AWS, they must be saved using a specific file name so that the script in AWS can interpret the file correctly. </t>
  </si>
  <si>
    <t>Growth Summit</t>
  </si>
  <si>
    <t>PITCH 3</t>
  </si>
  <si>
    <t>Fil 4</t>
  </si>
  <si>
    <t>File Name Format</t>
  </si>
  <si>
    <t>&lt;ID&gt;_&lt;Duration into clip for video start&gt;_&lt;Duration into clip for video finish&gt;
Time format must be in: hhmmss 
Example:
1b6ed375-cd4b-48bc-bd8f-7cf3df52a18b_000000_001000</t>
  </si>
  <si>
    <t>Startup Showcase 3</t>
  </si>
  <si>
    <t>&lt;ID&gt;</t>
  </si>
  <si>
    <t>This is a unique talk identifier that is in a similar format to below:
Example: 48e780fb-a162-4c37-a0df-7cebc83b39f0</t>
  </si>
  <si>
    <t>&lt;Duration into clip for video start&gt;</t>
  </si>
  <si>
    <t>AutoTech/TalkRobot</t>
  </si>
  <si>
    <t>The length of time into the selected video clip that the content starts. 
This must be represented by 6 digits. 
This is important as the script will use this as the start of the talk &amp; apply intro before this time.
Example: 10 seconds = 000010
Format must be hhmmss</t>
  </si>
  <si>
    <t>&lt;Duration into clip for video finish&gt;</t>
  </si>
  <si>
    <t>Startup University</t>
  </si>
  <si>
    <t>Tues, Weds</t>
  </si>
  <si>
    <t>Modum</t>
  </si>
  <si>
    <t xml:space="preserve">The length of time into the selected video clip that the content ends. 
This must be represented by 6 digits. 
This is important as the script will use this as the end of the talk &amp; apply outro before this time.
Example: 25 minutes, 34 seconds = 002534
Format must be hhmmss"        </t>
  </si>
  <si>
    <t>PandaConf</t>
  </si>
  <si>
    <t>Fil 5</t>
  </si>
  <si>
    <t>CIS</t>
  </si>
  <si>
    <t>Venture</t>
  </si>
  <si>
    <t>Talk</t>
  </si>
  <si>
    <t>Stage</t>
  </si>
  <si>
    <t>Speaker</t>
  </si>
  <si>
    <t>Time/Start</t>
  </si>
  <si>
    <t>Time/End</t>
  </si>
  <si>
    <t>ID</t>
  </si>
  <si>
    <t>Start date</t>
  </si>
  <si>
    <t>Start time</t>
  </si>
  <si>
    <t>End date</t>
  </si>
  <si>
    <t>End time</t>
  </si>
  <si>
    <t>Duration</t>
  </si>
  <si>
    <t>Formatting</t>
  </si>
  <si>
    <t>YAL ID</t>
  </si>
  <si>
    <t>File name</t>
  </si>
  <si>
    <t>RECORDED</t>
  </si>
  <si>
    <t>MP4</t>
  </si>
  <si>
    <t>S3</t>
  </si>
  <si>
    <t>Nine years of Web Summit: With Paddy Cosgrave</t>
  </si>
  <si>
    <t>Press</t>
  </si>
  <si>
    <t>Paddy Cosgrave</t>
  </si>
  <si>
    <t>PS_5_1</t>
  </si>
  <si>
    <t>CS_4_1</t>
  </si>
  <si>
    <t>YES</t>
  </si>
  <si>
    <t>AVAILABLE</t>
  </si>
  <si>
    <t xml:space="preserve">Tech unicorns and Web Summit
</t>
  </si>
  <si>
    <t xml:space="preserve">Daniela Braga, Sam Zaid, Paddy Cosgrave, Lucy Liu
</t>
  </si>
  <si>
    <t>003000</t>
  </si>
  <si>
    <t>PS_5_2</t>
  </si>
  <si>
    <t>002500</t>
  </si>
  <si>
    <t>CS_4_2</t>
  </si>
  <si>
    <t>Cris Cyborg: Exclusive pre-Bellator debut press conference</t>
  </si>
  <si>
    <t>Cris Cyborg</t>
  </si>
  <si>
    <t>002000</t>
  </si>
  <si>
    <t>PS_5_3</t>
  </si>
  <si>
    <t>Own Your Data to protect democracy - Press conference with Brittany Kaiser, Own Your Data</t>
  </si>
  <si>
    <t>Brittany Kaiser</t>
  </si>
  <si>
    <t>PS_5_4</t>
  </si>
  <si>
    <t>001500</t>
  </si>
  <si>
    <t>CS_4_3</t>
  </si>
  <si>
    <t>Press conference with Carlos Moedas, European Commission &amp; Pedro Siza Viera, Government of Portugal</t>
  </si>
  <si>
    <t xml:space="preserve">Carlos Moedas, Pedro Siza Vieira
</t>
  </si>
  <si>
    <t>PS_5_5</t>
  </si>
  <si>
    <t>Ronaldinho presents the Sqiller app with Teqball</t>
  </si>
  <si>
    <t>Viktor Huszar, 
Ronaldinho</t>
  </si>
  <si>
    <t>CS_4_4</t>
  </si>
  <si>
    <t>001000</t>
  </si>
  <si>
    <t>PS_5_6</t>
  </si>
  <si>
    <t>Google and sustainability: The role of technology in climate action</t>
  </si>
  <si>
    <t>Kate Brandt</t>
  </si>
  <si>
    <t>001300</t>
  </si>
  <si>
    <t>CS_4_5</t>
  </si>
  <si>
    <t>CS_4_6</t>
  </si>
  <si>
    <t>004500</t>
  </si>
  <si>
    <t>PS_5_7</t>
  </si>
  <si>
    <t>GoCardless and Transferwise: A new shared vision for recurring payments</t>
  </si>
  <si>
    <t xml:space="preserve">Taavet Hinrikus, Hiroki Takeuchi
</t>
  </si>
  <si>
    <t>001700</t>
  </si>
  <si>
    <t>CS_4_7</t>
  </si>
  <si>
    <t>PS_6_1</t>
  </si>
  <si>
    <t>Knowing your worth - Press conference with Paige VanZant, Fighter, UFC</t>
  </si>
  <si>
    <t>Paige VanZant</t>
  </si>
  <si>
    <t>CS_4_8</t>
  </si>
  <si>
    <t>PS_6_2</t>
  </si>
  <si>
    <t>Akon and AKOIN team share their crypto empowerment plan for Africa and beyond</t>
  </si>
  <si>
    <t xml:space="preserve">Akon, Jon Karas
</t>
  </si>
  <si>
    <t>PS_6_3</t>
  </si>
  <si>
    <t>New EIB investment to drive developments of QEV technologies</t>
  </si>
  <si>
    <t>Emma Navarro</t>
  </si>
  <si>
    <t>003500</t>
  </si>
  <si>
    <t>CS_5_1</t>
  </si>
  <si>
    <t>PS_6_4</t>
  </si>
  <si>
    <t>No one left behind: Making tech work for the many</t>
  </si>
  <si>
    <t>Ro Khanna</t>
  </si>
  <si>
    <t>PS_6_5</t>
  </si>
  <si>
    <t>CS_5_2</t>
  </si>
  <si>
    <t>Chat with Sophia the Robot and David Hanson from Hanson Robotics</t>
  </si>
  <si>
    <t xml:space="preserve">David Hanson, Sophia The Robot
</t>
  </si>
  <si>
    <t>PS_6_6</t>
  </si>
  <si>
    <t>Meet the robot with the decentralised brain</t>
  </si>
  <si>
    <t xml:space="preserve">
Philip K. Dick (robot), Ben Goertzel</t>
  </si>
  <si>
    <t>PS_6_7</t>
  </si>
  <si>
    <t>EU’s policy against disinformation and other online threats</t>
  </si>
  <si>
    <t>CS_5_3</t>
  </si>
  <si>
    <t>Věra Jourová</t>
  </si>
  <si>
    <t>PS_7_1</t>
  </si>
  <si>
    <t>The transformative power of technology and digitisation</t>
  </si>
  <si>
    <t>Margrethe Vestager</t>
  </si>
  <si>
    <t>CS_5_4</t>
  </si>
  <si>
    <t>PS_7_2</t>
  </si>
  <si>
    <t>Q&amp;A with electronic music pioneer Jean-Michel Jarre</t>
  </si>
  <si>
    <t>Jean-Michel Jarre</t>
  </si>
  <si>
    <t>PS_7_3</t>
  </si>
  <si>
    <t>CS_5_5</t>
  </si>
  <si>
    <t>CS_5_6</t>
  </si>
  <si>
    <t>CS_5_7</t>
  </si>
  <si>
    <t>CS_5_8</t>
  </si>
  <si>
    <t>CS_5_9</t>
  </si>
  <si>
    <t>CS_5_10</t>
  </si>
  <si>
    <t>CS_5_11</t>
  </si>
  <si>
    <t>CS_5_12</t>
  </si>
  <si>
    <t>Q&amp;A Session with Chris Leacock</t>
  </si>
  <si>
    <t>Q&amp;A</t>
  </si>
  <si>
    <t>Christopher Leacock</t>
  </si>
  <si>
    <t>CS_5_13</t>
  </si>
  <si>
    <t>CS_5_14</t>
  </si>
  <si>
    <t>QA_5_1</t>
  </si>
  <si>
    <t xml:space="preserve">Q&amp;A with Garrett McNamara
</t>
  </si>
  <si>
    <t>CS_5_15</t>
  </si>
  <si>
    <t>Garrett McNamara</t>
  </si>
  <si>
    <t>QA_5_2</t>
  </si>
  <si>
    <t>Q&amp;A Session With Deco</t>
  </si>
  <si>
    <t>Deco</t>
  </si>
  <si>
    <t>QA_5_3</t>
  </si>
  <si>
    <t>CS_5_16</t>
  </si>
  <si>
    <t>Q&amp;A with Akon</t>
  </si>
  <si>
    <t>Akon</t>
  </si>
  <si>
    <t>QA_6_1</t>
  </si>
  <si>
    <t>Q&amp;A with Yancey Strickler</t>
  </si>
  <si>
    <t>Yancey Strickler</t>
  </si>
  <si>
    <t>QA_7_1</t>
  </si>
  <si>
    <t>CS_5_17</t>
  </si>
  <si>
    <t>Q&amp;A Session with Mikhaila Peterson</t>
  </si>
  <si>
    <t>Mikhaila Peterson</t>
  </si>
  <si>
    <t>QA_7_2</t>
  </si>
  <si>
    <t>CS_5_18</t>
  </si>
  <si>
    <t>CS_5_19</t>
  </si>
  <si>
    <t>CS_5_20</t>
  </si>
  <si>
    <t>CS_5_21</t>
  </si>
  <si>
    <t>CS_6_1</t>
  </si>
  <si>
    <t>CS_6_2</t>
  </si>
  <si>
    <t>CS_6_3</t>
  </si>
  <si>
    <t>CS_6_4</t>
  </si>
  <si>
    <t>CS_6_5</t>
  </si>
  <si>
    <t>CS_6_6</t>
  </si>
  <si>
    <t>CS_6_7</t>
  </si>
  <si>
    <t>CS_6_8</t>
  </si>
  <si>
    <t>CS_6_9</t>
  </si>
  <si>
    <t>ST_5_1</t>
  </si>
  <si>
    <t>CS_6_10</t>
  </si>
  <si>
    <t>CS_6_11</t>
  </si>
  <si>
    <t>ST_5_2</t>
  </si>
  <si>
    <t>CS_6_12</t>
  </si>
  <si>
    <t>ST_5_3</t>
  </si>
  <si>
    <t>CS_6_13</t>
  </si>
  <si>
    <t>ST_5_4</t>
  </si>
  <si>
    <t>CS_6_14</t>
  </si>
  <si>
    <t>ST_5_5</t>
  </si>
  <si>
    <t>CS_6_15</t>
  </si>
  <si>
    <t>ST_5_6</t>
  </si>
  <si>
    <t>CS_6_16</t>
  </si>
  <si>
    <t>CS_6_17</t>
  </si>
  <si>
    <t>ST_5_7</t>
  </si>
  <si>
    <t>CS_6_18</t>
  </si>
  <si>
    <t>ST_5_8</t>
  </si>
  <si>
    <t>CS_6_19</t>
  </si>
  <si>
    <t>000500</t>
  </si>
  <si>
    <t>ST_5_9</t>
  </si>
  <si>
    <t>010000</t>
  </si>
  <si>
    <t>CS_6_20</t>
  </si>
  <si>
    <t>ST_5_10</t>
  </si>
  <si>
    <t>CS_7_1</t>
  </si>
  <si>
    <t>ST_5_11</t>
  </si>
  <si>
    <t>CS_7_2</t>
  </si>
  <si>
    <t>ST_5_12</t>
  </si>
  <si>
    <t>CS_7_3</t>
  </si>
  <si>
    <t>ST_5_13</t>
  </si>
  <si>
    <t>ST_5_14</t>
  </si>
  <si>
    <t>CS_7_4</t>
  </si>
  <si>
    <t>ST_5_15</t>
  </si>
  <si>
    <t>CS_7_5</t>
  </si>
  <si>
    <t>ST_5_16</t>
  </si>
  <si>
    <t>CS_7_6</t>
  </si>
  <si>
    <t>ST_5_17</t>
  </si>
  <si>
    <t>CS_7_7</t>
  </si>
  <si>
    <t>ST_5_18</t>
  </si>
  <si>
    <t>CS_7_8</t>
  </si>
  <si>
    <t>ST_5_19</t>
  </si>
  <si>
    <t>CS_7_9</t>
  </si>
  <si>
    <t>000000</t>
  </si>
  <si>
    <t>CS_7_10</t>
  </si>
  <si>
    <t>CS_7_11</t>
  </si>
  <si>
    <t>CS_7_12</t>
  </si>
  <si>
    <t>CS_7_13</t>
  </si>
  <si>
    <t>CS_7_14</t>
  </si>
  <si>
    <t>CS_7_15</t>
  </si>
  <si>
    <t>CS_7_16</t>
  </si>
  <si>
    <t>CS_7_17</t>
  </si>
  <si>
    <t>CS_7_18</t>
  </si>
  <si>
    <t>CS_7_19</t>
  </si>
  <si>
    <t>CM_6_1</t>
  </si>
  <si>
    <t>CM_6_2</t>
  </si>
  <si>
    <t>CM_6_3</t>
  </si>
  <si>
    <t>CM_6_4</t>
  </si>
  <si>
    <t>CM_6_5</t>
  </si>
  <si>
    <t>CM_6_6</t>
  </si>
  <si>
    <t>CM_6_7</t>
  </si>
  <si>
    <t>CM_6_8</t>
  </si>
  <si>
    <t>CM_6_9</t>
  </si>
  <si>
    <t>CM_6_10</t>
  </si>
  <si>
    <t>CM_6_11</t>
  </si>
  <si>
    <t>CM_6_12</t>
  </si>
  <si>
    <t>CM_6_13</t>
  </si>
  <si>
    <t>CM_6_14</t>
  </si>
  <si>
    <t>CM_6_15</t>
  </si>
  <si>
    <t>CM_6_16</t>
  </si>
  <si>
    <t>CM_7_1</t>
  </si>
  <si>
    <t>CM_7_2</t>
  </si>
  <si>
    <t>CM_7_3</t>
  </si>
  <si>
    <t>CM_7_4</t>
  </si>
  <si>
    <t>CM_7_5</t>
  </si>
  <si>
    <t>CM_7_6</t>
  </si>
  <si>
    <t>PITCH group round 1</t>
  </si>
  <si>
    <t xml:space="preserve">Mada Seghete Sophia Tran
Ekaterina Holt
Marcus Fehling
Ilya Gelfenbeyn
Miguel Santo
Pedro Pestana Christoph Weigl Roman Prytkov Alan Hickey Evgeny Grankin Bernd Oostrum
</t>
  </si>
  <si>
    <t>005000</t>
  </si>
  <si>
    <t>P1_5_1</t>
  </si>
  <si>
    <t>PITCH group round 4</t>
  </si>
  <si>
    <t>Rashmi Gopinath
Ramin Behzadi
Lais de Oliveira
Tanja Koch
Mário Guerreiro
Rui Barros
Alexey Kistenev
Mitchell Buhling
Sarah Merrick
Arif Abed
Karl Naim
Tanel Orro</t>
  </si>
  <si>
    <t>P1_5_2</t>
  </si>
  <si>
    <t>CM_7_7</t>
  </si>
  <si>
    <t>PITCH group round 7</t>
  </si>
  <si>
    <t>Oded Ben Dror
Fred Lardieg
David Meltzer
Ricardo Marvao
Christoph Goeken
sergey khodakov
Jakob Knutzen
Olivier Le Lann
Michiel Lensink
Joep Wittebrood</t>
  </si>
  <si>
    <t>P1_5_3</t>
  </si>
  <si>
    <t xml:space="preserve">PITCH group round 10
</t>
  </si>
  <si>
    <t>Sander Geels
Curtis MacDonald
Jim Hunter
Raúl Saraiva
Soulama Sakar
Benjamin Gareis
Kevin Feeney
Simon Puleston Jones
Leila Lech</t>
  </si>
  <si>
    <t>P1_5_4</t>
  </si>
  <si>
    <t>PITCH group round 13</t>
  </si>
  <si>
    <t>Jules Walker
Yamilette Cano
Anthemos Georgiades
Jim Hunter
Melissa Lester
young kwon
Hugo Feiler
Nicolas Hotterbeekx
Piotr Bardadyn
Mateusz Romanów
Rodrigo Moretti
André Flórido
Veena Giridhar Gopal</t>
  </si>
  <si>
    <t>P1_5_5</t>
  </si>
  <si>
    <t>CM_7_8</t>
  </si>
  <si>
    <t>PITCH group round 16</t>
  </si>
  <si>
    <t>Francis Lowry
Malin Holmberg
Anneli Rispens
Miguel Rangel
Mohan Ram
Amer Nasereddin
Ben Moe
Thierry Tacheny
Riccardo Tomassetti
Hubert Guzera
Den Melnykov
MIGUEL REYNOLDS BRANDAO
Niky Achivei</t>
  </si>
  <si>
    <t>P1_5_6</t>
  </si>
  <si>
    <t>CM_7_9</t>
  </si>
  <si>
    <t>CM_7_10</t>
  </si>
  <si>
    <t>CM_7_11</t>
  </si>
  <si>
    <t>CM_7_12</t>
  </si>
  <si>
    <t>Startup Showcase</t>
  </si>
  <si>
    <t>Angus Davis, Francesco Ambrosiano, Joseph Hyosub Lee, Laura Siltala, Jeremie Olivier, JUAN HERNANDEZ, Elina Scorey, Wilber Colmerauër, Raphael Allstadt, Anouar El-Mourabit, Kim Murashov, Amin El Husseini, Alexey Obraztsov, Fadel Zahreddine, Mariella Goebl, Gerry McNicol, Carlos Alzate, Maciej Ciołek, Christian Sundgaard, Yunji Won, Matt Robbins, Sasha Schriber, Jere Seppala, PH Zabisky, Maxime Bétas, Johannes Knierzinger, Jacques Sirot, Kacper Wójcik, Alexander Kondrashkin, Francesco Bettinzana, Susan Poulsen, Jeff Linihan, Anna Downes, Brian Handrigan, Povilas Goberis, David Böhm, Toms Panders, Wonhee Lee, LEONARDO MARTINEZ LUNA, Sewon Yoon, Danilo Ohtani, Assem Chammah, Tero Seppala, Andrew Downes, Arif Abed, Amy Bobchek, Jeongpyo Hong, Andrei Netto, Maja Schefer and Linda Kolontaja</t>
  </si>
  <si>
    <t>SS_6_1</t>
  </si>
  <si>
    <t xml:space="preserve">
</t>
  </si>
  <si>
    <t>Susana Chaves, Bilall Memedi, Guillaume Pineau-Valencienne, Christof Wallner, Raymond Calis, Nurlan Tlegenov, Mattia Fosci, Mehmet Nisanci, Dmytro Baklan, Olga Troian, Mellat Shegre, Eric van Hall, Maciej Sawicki, Barbara Molendijk, Murphy Chang, Enno Bassen, Hirbod Bigvand, Matthew Kempa, Wiktoria Wojcik, Michael Pallotto, Slawomir Olszynski, Jeroen Mol, Ariel Lin, Jill Beytin, Allison Gorecki, Antonio Puleo, Dawid Cichy, Samuel Haertl, Rahinee Ratnagobal, Tobias Kehrein, Ekaterina Bakhova, Muriel Kuan, Adam Jastrzebski, Mara Kuesters, Rhiannon Ross, Daniel Teuschl, Melanie Hartl, Szymon Kubiak, Vinh Ngu, Anastasiia Horban, Alessandro La Rosa, ERSIN GENCER, Pierre ADDOUM, Alexander Lachinger, Wilco Verdoold, Igor Menshchykov, Suzanne Robbe, Sebastian Zach, Federico Tudisco and Alison Costa</t>
  </si>
  <si>
    <t>SS_6_2</t>
  </si>
  <si>
    <t>Susana Chaves, Rudolf Peschel, Vladimir NIkandrov, Gian-Marco Spinosa, Lucas Nygaard, Vittorio Giuseppe Urzì, Hana Novakova, Dr Carmelo Bisognano, Oleksii Danchenko, Bjoern Bak, Rolf Illenberger, Maria Tolstykh, IMGIBBLE LIM, Jamie Thomson, Martina Balazova, António Laranjeira, kyoungik Jang, andrea baldini, Elin YOON, Paul Martin, Ekaterina Butko, Mohsen Haddad, Ivan Burban, Delzar Khalaf, Giancarlo Sciuto, Sergei Galeev, Thomas Wacinski, Daniel De Witte, Patrizia Di Biasi, Douwe Faasen, Alexander Semenov, Michael Kröll, Marco Angelo Villari, Olga Kravchenko, Soufiane Rouibia, Henri Pauwels, Dmytro Kudrenko, Dominic Mueller, Hans Pauwels, Stefan Godly, Patrick Bartels, July Seo, Saad Hannoush, Alejandro Ortiz Monasterio Acosta, Maxime Eugeni, Charles Pauwels, André Miranda and Anna Anttila</t>
  </si>
  <si>
    <t>SS_6_3</t>
  </si>
  <si>
    <t>Frances Schwiep, VItor Seabra, Marcin Waluś, Cai Von Igel, Arnau Abadal, Vladislav Turiashvili, Piotr Gąsiorowski, Peter Sodermans, Anna Gąsiorowska, Patrik Pasko, Samir Kaila, Aycim Likos, Pawel Kwiatkowski, Gabriel Fumagalli, Francisca Borges, Komal Patel, Vijay Rayudu, Jamar Smith, Matthias Vanhoutteghem, Manuela Sayin, Cheryl Ingram, Tigran Vardanyan, Michal Ukropec, Vanessa Marques, Tomasz Florczak, Kamila Piasecka, Bernardo Gándara, Jenny Bertling, James Dryden, Larissa Purim, Mirka Gálová, Peter Jundin, Sam Davies, Ara Gemilyan, Nikoloz Mgebrishvili, Diogo Ferreira Pinto, Cagdas (Charly) Sayin, Nilton Constantino, Julien Yee, João Fernandes, Suresh Kondapureddy, Mario Alves, ali akil, Elia Morling, Hamzah ibn El-Amin, Laura Simas, Daniel Krijgsman, Thiago Lima, KRISTINA VARDANYAN and Nevander Holland</t>
  </si>
  <si>
    <t>SS_6_4</t>
  </si>
  <si>
    <t>Frances Schwiep, Anton Merlin, Vitaly Zdanevich, Manon Langnel, Sophie Smallwood, Alina Vandenberghe, Damiano D'Amici, Hélder Loio, Romain Parel, Markellos Diorinos,  Alex Pilguy, Nicolas Dubouloz, James Rees, Ben Beh, Eduardo Brás, Meriem Chafiqi, Henrique Araujo, Marco Paolini, Chris Amato, Leah Pilguy, Rita Januário, Faiza Choudhury, Omar Adnan, Simon Courtois, Anas El Arras, vincent trusgnach, Bertrand Muth, Ross McGee, Mark Bate, Martin Plouy, Pedro Reis, Jami Saiful, Paul Roberts, Ahmed Elghareeb, Bilal Ali Kamri, George Laliashvili, James Smith, Jack Taylor, Polly Howden, Ricky Angel, Matthieu de la Fourniere, Vitaliy Sichkar, Vitaliy Zdanevich, Fabiano Izzo, Lydia Morazzani, Rob Fernandes, Dave Smallwood, Andy Goldfinch, Soumya Shubhra Ghosh and Naomi Lim</t>
  </si>
  <si>
    <t>SS_6_5</t>
  </si>
  <si>
    <t>Machine Demo Round 2</t>
  </si>
  <si>
    <t xml:space="preserve">Jonathan Greene, Alexandre Santos, Andreas Botsch, Svitlana Malovana, Julien Yee, Achim Schneider
</t>
  </si>
  <si>
    <t>MD_7_1</t>
  </si>
  <si>
    <t>Machine Demo Round 3</t>
  </si>
  <si>
    <t>Ilya Velder, eunkyeong kwon, Lucas Malanda, Dennis Poon, Clemens Kirner, Michael Schöggl</t>
  </si>
  <si>
    <t>MD_7_2</t>
  </si>
  <si>
    <t>Machine Demo Round 4</t>
  </si>
  <si>
    <t xml:space="preserve">Jules Walker, CRISTINA GONZALEZ, Naor Amir, Christoph Hantschk, Alex Janusek, Ken Miyake
</t>
  </si>
  <si>
    <t>MD_7_3</t>
  </si>
  <si>
    <t>Machine Demo final</t>
  </si>
  <si>
    <t xml:space="preserve">Ansgar Chorhummel, Kaigham Gabriel, Sven Illing, Rytis Vitkauskas, Bruno Meireles de Sousa, Hugo Augusto
</t>
  </si>
  <si>
    <t>MD_7_4</t>
  </si>
  <si>
    <t>CT_5_1</t>
  </si>
  <si>
    <t>CT_5_2</t>
  </si>
  <si>
    <t>CT_5_3</t>
  </si>
  <si>
    <t>BI_4_1</t>
  </si>
  <si>
    <t>CT_5_4</t>
  </si>
  <si>
    <t>CT_5_5</t>
  </si>
  <si>
    <t>BI_4_2</t>
  </si>
  <si>
    <t>CT_5_6</t>
  </si>
  <si>
    <t>CT_5_7</t>
  </si>
  <si>
    <t>BI_4_3</t>
  </si>
  <si>
    <t>005500</t>
  </si>
  <si>
    <t>CT_5_8</t>
  </si>
  <si>
    <t>BI_4_4</t>
  </si>
  <si>
    <t>CT_5_9</t>
  </si>
  <si>
    <t>BI_4_5</t>
  </si>
  <si>
    <t>CT_5_10</t>
  </si>
  <si>
    <t>CT_5_11</t>
  </si>
  <si>
    <t>BI_4_6</t>
  </si>
  <si>
    <t>CT_5_12</t>
  </si>
  <si>
    <t>CT_5_13</t>
  </si>
  <si>
    <t>BI_4_7</t>
  </si>
  <si>
    <t>BI_4_8</t>
  </si>
  <si>
    <t>BI_4_9</t>
  </si>
  <si>
    <t>BI_4_10</t>
  </si>
  <si>
    <t>BI_4_11</t>
  </si>
  <si>
    <t>BI_4_12</t>
  </si>
  <si>
    <t>BI_4_13</t>
  </si>
  <si>
    <t>FK_4_1</t>
  </si>
  <si>
    <t>FK_4_2</t>
  </si>
  <si>
    <t>FK_4_3</t>
  </si>
  <si>
    <t>FK_4_4</t>
  </si>
  <si>
    <t>FK_4_5</t>
  </si>
  <si>
    <t>FK_4_6</t>
  </si>
  <si>
    <t>FK_4_7</t>
  </si>
  <si>
    <t>FK_4_8</t>
  </si>
  <si>
    <t>FK_4_9</t>
  </si>
  <si>
    <t>FK_4_10</t>
  </si>
  <si>
    <t>FK_4_11</t>
  </si>
  <si>
    <t>FK_4_12</t>
  </si>
  <si>
    <t>FK_4_13</t>
  </si>
  <si>
    <t>FK_4_14</t>
  </si>
  <si>
    <t>FS_5_1</t>
  </si>
  <si>
    <t>FS_5_2</t>
  </si>
  <si>
    <t>FS_5_3</t>
  </si>
  <si>
    <t>FS_5_4</t>
  </si>
  <si>
    <t>FS_5_5</t>
  </si>
  <si>
    <t>FS_5_6</t>
  </si>
  <si>
    <t>004300</t>
  </si>
  <si>
    <t>FS_5_7</t>
  </si>
  <si>
    <t>001200</t>
  </si>
  <si>
    <t>FS_5_8</t>
  </si>
  <si>
    <t>FS_5_9</t>
  </si>
  <si>
    <t>FS_5_10</t>
  </si>
  <si>
    <t>FS_5_11</t>
  </si>
  <si>
    <t>FS_5_12</t>
  </si>
  <si>
    <t>FS_5_13</t>
  </si>
  <si>
    <t>FS_5_14</t>
  </si>
  <si>
    <t>FS_5_15</t>
  </si>
  <si>
    <t>FS_6_1</t>
  </si>
  <si>
    <t>FS_6_2</t>
  </si>
  <si>
    <t>FS_6_3</t>
  </si>
  <si>
    <t>FS_6_4</t>
  </si>
  <si>
    <t>FS_6_5</t>
  </si>
  <si>
    <t>FS_6_6</t>
  </si>
  <si>
    <t>FS_6_7</t>
  </si>
  <si>
    <t>FS_6_8</t>
  </si>
  <si>
    <t>FS_6_9</t>
  </si>
  <si>
    <t>FS_6_10</t>
  </si>
  <si>
    <t>FS_6_11</t>
  </si>
  <si>
    <t>FS_6_12</t>
  </si>
  <si>
    <t>FS_6_13</t>
  </si>
  <si>
    <t>FS_6_14</t>
  </si>
  <si>
    <t>FS_6_15</t>
  </si>
  <si>
    <t>FS_6_16</t>
  </si>
  <si>
    <t>FS_6_17</t>
  </si>
  <si>
    <t>FS_6_18</t>
  </si>
  <si>
    <t>FS_7_1</t>
  </si>
  <si>
    <t>FS_7_2</t>
  </si>
  <si>
    <t>FS_7_3</t>
  </si>
  <si>
    <t>FS_7_4</t>
  </si>
  <si>
    <t>FS_7_5</t>
  </si>
  <si>
    <t>FS_7_6</t>
  </si>
  <si>
    <t>FS_7_7</t>
  </si>
  <si>
    <t>FS_7_8</t>
  </si>
  <si>
    <t>FS_7_9</t>
  </si>
  <si>
    <t>FS_7_10</t>
  </si>
  <si>
    <t>FS_7_11</t>
  </si>
  <si>
    <t>FS_7_12</t>
  </si>
  <si>
    <t>FS_7_13</t>
  </si>
  <si>
    <t>FS_7_14</t>
  </si>
  <si>
    <t>FS_7_15</t>
  </si>
  <si>
    <t>Jag Singh, Antonio Julia, Damian Ciesielski, Oliver Windle, Apoorv Shankar, Joana Silva, CRISTINA GONZALEZ, Danny Honigh, Jochem Verboom, Dejan Borota, Kenneth Geipel, Kazunori Oki, JOSE MANUEL GONZALEZ SAEZ, Marco Park, Joana Rocha, Brina O, Alexandra Kröger, Matteo Zago, Ludovic Nachury, Rafael Kaschuba, Alexander Schumacher, Francesco Campus, Niccolò Golinelli, David Purón, Laurent Marfisi, Damiano Bonacchi, Isidro Nistal, Andreas Botsch, Hyejin Park, Carlos Abreu, Ken Miyake, Akiko Moriguchi, Masahiko Yamanaka, Eva Endress, Dimitrios Chrysostomou, Apoorv Shankar, Apoorv Shankar, Stefano Iorino, hyungil Park, Paulo Ribeiro, Juan Pérez-Bedmar Fernández, Egor Pchelnikov, eunkyeong kwon, Arnaud Malvache, Jacobo Domingo Gil, jaekeun Han, Ricardo Dias Marques, Peter Duesing, Leo Scott Smith and Ekaterina Bashilova</t>
  </si>
  <si>
    <t>2019/11/06 10:15:00</t>
  </si>
  <si>
    <t>2019/11/06 11:15:00</t>
  </si>
  <si>
    <t>b92815fd-d010-472d-ae8c-49a8592509ec</t>
  </si>
  <si>
    <t>PITCH ground round 2</t>
  </si>
  <si>
    <t>Nic Brisbourne, David Meltzer, Myra Khanna, Luis Shemtov, Miguel Barbosa, Jiazi Guo, George Laliashvili, Daniel Sozonov, Sam Davies, Pedro Humbert, MICHAEL JASCHKE</t>
  </si>
  <si>
    <t>James Downing, Kevin Feeney, Gero Keil, Cyril Dané, Fredrik Kronlid, Luisa Piló, Evgen Verzun, Carmen Ortega, Arash Asady, Anna Zieciak, Sina Roshan, Alvaro Gonzalez, Alon Cohn, Anthony Quirk, Joseph Benguira, Daniel Sozonov, Gary Gimenez, Kieran Conlon, Janderson Araujo, Simone Gabbriellini, Hossein Moradgholi, Tommaso Frigerio, Holly Pope, Eileen Owen Tan, Dario Rodriguez, Steven Betito, Peter Suma, Antonio Procopio, Milad Zabihi, Abigail Seward, Gregory Zerbib, Anton Morozov, MARCELO BASTOS, Mahdi El Azhari, Luke Feeney, Munique Martins, Georgina Pierson, David Hjelm, Zeyad Wanis, Wassim Samad, Thilo Hüllmann, Denys Smalianyi, Peter Ausum, ILya PavLov, Yevhenia Dzyuba, Kitty Jose, Joris Dekkers, Andreas Krona, Henrik Fabrin and Sergei Menshchikov</t>
  </si>
  <si>
    <t>2019/11/06 12:15:00</t>
  </si>
  <si>
    <t>7810d056-e781-43b0-8250-0da0567c8770</t>
  </si>
  <si>
    <t>Ricardo Marvao</t>
  </si>
  <si>
    <t>Ricardo Marvao, Tomas Liesis, Renzo Colnago, Bruno Matias, Rafael Dietze, Kylie Naughton, Nuno Belo, Ilya Kostromkin, Margaret Latuszek, Maksim Nekrylov, Pawel Sieniawski, Viktorija Vanagė, Bernd Oostrum, Krzysztof Przekwas, Luke Solarski, Emma Smith, Stone Atwine, Juliano Prado, Kastytis Zuromskas, Fabian Gaban, Erich Schnoeckel, Gleb Shabanov, Stanislaw Ploski, Artur Avanesyan, Catrina Sheridan, Algirdas Zakarauskas, Tim Roho, Skirmantas Jareckas, Miguel Frasco, Michal Wojciechowski, Shreya Kothari Sawala, Abdullah Almoaiqel, Alex Fenechiu, Diogo Belo, Klaudia Flakiewicz, Oleg Levitsky, Johannes Brouwer, Tomasz Rutkowski, Darren McLoughlin, Krzysztof Piotrowicz, Alexey Tolstik, Marta Netza, Fernando Matias, Yehia Badawy, Pawel Brataniec, Melinda Havas, Tatiana Deshkina, Melinda Havas, Inga Mullins and Jonas Kimontas</t>
  </si>
  <si>
    <t>2019/11/06 13:15:00</t>
  </si>
  <si>
    <t>280fad1d-4268-4f8b-b419-2fa2f1ae401c</t>
  </si>
  <si>
    <t>IGOR OVCHARENKO, Gabriel Ayala, Mike Bonfigli, Stratos Apostolidis, Szymon Paroszkiewicz, Dimitry Nikiforov, Alma Gangsburg , Lukasz Lopacinski, David Conde, Krzysztof Bulski, Daniel Rachid Monici, Oliver Werneyer, Alina Kornienko, Bruno Soares, Gaya Rabello, David Scott Turner, Erich Schudt, Giannis Tsolaridis, Juan Carlos Lopez Diaz, Valeriy Krasnikov, Konrad Gładkowski, Edouard Beauvois, Den Melnykov, Karina Revenco, Marta Kaleńska - Jaśkiewicz, Afonso Vieira, Alexandr Priezzhev, Edouard Beauvois, Adam Jones, Fred Gegoux, Christoph Erb, Kevin Cash, Elio Martinez, Denys Kyrychenko, Henning Wagner, Soohan Han, Damien Labrunie, Ivo Luhse, Radomir Studzinski, David Carvajal, André Flórido, Cora Vinagre Sendino, Felix Niederer, Dmytro Dziubenko, Matthew Trett, Dimitrios Tsangalidis, Peko Wan, Elena Romanova, Samuel Lathey and Andreas Harpas</t>
  </si>
  <si>
    <t>2019/11/06 14:15:00</t>
  </si>
  <si>
    <t>2019/11/06 15:15:00</t>
  </si>
  <si>
    <t>e88fb1c9-9a40-4ee8-8628-69b8fefa5ef5</t>
  </si>
  <si>
    <t>IGOR OVCHARENKO, Ekaterina Spiegel, Charles De Gastines, Alexandr Nedostupov, Raivo Malter, Sara Marques, Martin Berggren, Tanel Orro, Sunil Bhardwaj, Gaby Treiband, Fernanda Cortellini, Matteo Rossi, Rashed AlTammar, John Cavebring, Diego Dal Cero, Filipp Shubin, Stefania Sulis, Salvador Lukas Serrano Stieglitz, Evald-Hannes Kree, Tainan Lamas, Kirill Tripolski, Laurent Bruchez, Kirill Gorynya, Dmytro Moskalenko, Sarah Almachar, Ebrahim Alrashed, Thomas Sevège, Maxim Yehorov, Pablo Pfister, OLGA STAROSOTSKA, Kastriot Fazliu, Toomas Tirman, Tricia Buenvenida, Tariq El-Asad, Khaled Al Rashed, Fellipe Tenorio, Paola Rojas, Jacquelin Becheau La Fonta, Alexander Conceicao, Amyn Chagan, Francois Dumont, Renato Pavan, Max Bubuioc, Adam Boulel, James Coop, Arber Fazliu, Ferran Martinez, Florian Zermatten, Axel Arvidsson and Mattia Rossi</t>
  </si>
  <si>
    <t>2019/11/06 16:15:00</t>
  </si>
  <si>
    <t>3fbacf59-99da-4000-b741-4f01eab1d253</t>
  </si>
  <si>
    <t>P2_8_1</t>
  </si>
  <si>
    <t>Tianyu Pu, Luigi Fidelio, Carlos Faria, Marc Mackenbach, Christopher Ramstedt, Dmitry Shimanskiy, Simone Giacco, Marina Bochenkova, Aleksandr  Beshkenadze, ARNAUD LAPREVOTE, Cristian Badea, Lev Bass, Kiran Bhagotra, Floris van der Grinten, Charlotte Slingsby, Jose Figueiredo, Dmitry Panenkov, Anne-Claire Mittelberger, Robert Reynolds, Sandrine Ponceblanc, Gorka Lorenzo, Chloe Colin, Mikus Losans, Ela Neagu, Nigel Hopkinson, Justin Travis, Antoine Dumas-Martin, Maria Cots, Evgeny Scherbak, Anastasiia Shmatina, Fabian Ruesing, Simonetta d'Ottaviano, Alexander Stoehr, Javier Gutiérrez, Erik Wåhlin, Michael Larsen, Marco Piludu, Timea Totok, VIncent Hoonings, Emmanuelle Dubourg, Arturs Rasnacis, Pierre Grönberg, Kay Slagman, Matthew McClaskey, Miriam Meazza, Joris Coenen, Brenda61i8 wilson Van horn, Pedro Cruz, Dmitry Malkov and Damiaan Twelker</t>
  </si>
  <si>
    <t>2019/11/07 10:15:00</t>
  </si>
  <si>
    <t>2019/11/07 11:15:00</t>
  </si>
  <si>
    <t>045dccf9-90f0-43d8-9eb6-4b2d6b845415</t>
  </si>
  <si>
    <t>PITCH ground round 5</t>
  </si>
  <si>
    <t>Juan Pablo Ortega, Harry Briggs, Paddy Dillon, Jordan Fliegel, Daniel Reis, Miguel Teixeira, Jony Jung, Michal Kiezik, Paulo Ferreira dos Santos, Peter Horvath, JuanMiguel Perez Rosas and Brennan Basnicki</t>
  </si>
  <si>
    <t>Phil Gillman, Benjamin Peillard, Tomas Ferreira, Vignesh Kalimuthu, Jasper Verplanken, Joep Wittebrood, Bruno Ribeiro, Beatriz Ferreira, Thomas Verschuere, David Duarte, Alexander Hilton, Jinan Khoirunnisa, Gordian Braun, Lorenzo Gama, Joana Baptista, Tom Roelofs, Imelda Fossu, Tommy Lee Monte, Ahmed Shamy, Andreas De Neve, Nabela Huwaida, Marc Turbé, Alexander Sie To, Vincent Schelstraete, Arini Astari, Sunny Paris, Sharan cooper, Sevo Widodo, Frank Fahrner, Achim Schneider, Fabrizio Bosio, Charles Boutens, Thibo Vanquaethem, Omar Ferreira, REINHARD FALSCHLEHNER, Mohamed El Harty, Oscar Di Pasquale, Igor Furniel, Guilherme Kiellander, Raul Ranauro Javales Jr, Pablo Peillard, Anna Bremer, Paula Morais,  , Stefan Hoogenboom, Muhammad Ahsan Naseem, Liam Manning, Tiago Ribeiro, Ali Shaheen and Qudsia Piracha</t>
  </si>
  <si>
    <t>2019/11/07 12:15:00</t>
  </si>
  <si>
    <t>eb623feb-0327-4da0-ac58-412a4ba3fea5</t>
  </si>
  <si>
    <t>Phil Gillman, Alvaro Llobet, Sam Boribon, Gianpaolo Pezzato, Saul Sutton, Andrea Osmar, Peyman Blumstengel, María del Pilar Palma Cuellar García, Anton Mishchenko, Marco Ferreira, Seun Owolabi, Jime Akpusugh, Alena Harbatava, Natasa Peric, Clemens Kirner, Tanja Sanders, Pilleriine Alter, Polina Medvedieva, Luke Gotszling, Ignacio Bermeo, Mariana Hagström, Axel Seth, Richard Awoyemi, Salvador Barros, Rotimi Odukoya, Jorge Pérez Ruiz, Val Sanin, Nathan Harris, Tomislaw Dalic, Olivier Bourdoux, Davy Loon, Lena Miglbauer, Pavlik Kiselev, Jeansy Molanza, Olivier de Montjoye, Farid El Machaoud, Ludvig Odin Hestvik, Marco Fraccalvieri, Alessandro Cillario, JuanMiguel Perez Rosas, Sunkanmi Ola, Stefano Onofri, Bohdan Flyorkiv, Hassane Lhasnaoui, Fátima Zayas Pérez, Jose Manuel Avelino, Paul Evans, Joséphine Rotivel , Juan Antonio Lopez and Antonio Reis</t>
  </si>
  <si>
    <t>2019/11/07 13:15:00</t>
  </si>
  <si>
    <t>e059363d-1a02-4c6e-9503-1de3712c9787</t>
  </si>
  <si>
    <t>Brendan Yell, Pawel Opozda, Tarek Martínez, Kamornwan Srikullayakorn, Laszlo Török, Jony Jung, AlterMobili Marketing, Walid Nagy, Dollie Sahertian, Maciej Węgrzynek, Carma Khatib, JEONGYOON JANG, Tolga Varol, Katharina Mueller, Katharina Mueller, Ciprian Paltineanu, SLAWEK POTASZ, JINYOUNG CHAE, IL Suk Park, Dorina Páll, Ammar Akhtar, Ádám Dohár, José Xavier, Ilsan Mohamed, Hendrik Kramer, Juan Eduardo Herrera, Jean-Michael Georg, Stella Setyiadi, Pawel Postupalski, Adam Kutyłowski, Jarosław Gawroński, Doeun Kim, Insik Baek, Rosa Lee, José Valente, Octavian Iosif, Rafał Budweil, Marko Nugraha, Roman Prytkov, Zhang Andy, Sittisak Wongsomnuk, Katharina Mueller, Rui Gomes, SEONGCHEOL SHIN, Stefan Toma, Maximilian Fisser, Saad Selim, Shivan Ramachandran, MICHAEL JASCHKE and Tauseef Ahmed Qadri</t>
  </si>
  <si>
    <t>2019/11/07 14:15:00</t>
  </si>
  <si>
    <t>P2_8_2</t>
  </si>
  <si>
    <t>2019/11/07 15:15:00</t>
  </si>
  <si>
    <t>64ad82e1-e9a1-450c-94d5-fe9621ac60b1</t>
  </si>
  <si>
    <t>PITCH ground round 8</t>
  </si>
  <si>
    <t>Longzhen Han, Viktoria Herukh, Lotta Lundin, Virginia Virino Jodar, Jon Adolfsson, Antonella Giuni, Raymond Jonkers, Thibaut Lucas, Marian Glaeser, Uli Erxleben, Anton van Daal, Willem Smith, Helena Martínez De Aspe, Mauro Viegas, Ronja Dornfeld, Anton Christodoulou, Céline James, David Lahoz, Matthew Waite, Alessio Capitanelli, Stephen Mackintosh, Jurgis Bakanas, María Olarza Costa, Subbu Balakrishnan, Juan de Oliveira Rubinos, Yoshikatsu Martodihardjo, Teodora Suciu, Alex Zamotaiev, Mercedes García Martínez, Lal Chandran, Alexander Spark, Thomas Strottner, Erik Häggblom, Raymond Jonkers, Pierre-Nicolas Tiffreau, Leo Penning, Cem Dilmegani, Camilla Boyer, Timo Sepp 🇸🇪🇫🇮🇪🇪, Thomas Vanhove, Carola Motolese, Saulius Kaukenas, Guilherme Castela, Inês Costa, Florian Garibal, David Pedro, Alexandre Kitching, Simas Jokubauskas and Daphné De Troch</t>
  </si>
  <si>
    <t>2019/11/07 16:15:00</t>
  </si>
  <si>
    <t>c45d3389-d709-477e-9670-e733f6b68ee5</t>
  </si>
  <si>
    <t>Adrian Lloyd, Werner Vogels, James Stewart, Jag Singh, Ahmed Habib, Amali de Alwis, Naor Amir, Oliver Werneyer, Will Ben Sims, Gabriel Fumagalli and Lucas Nygaard</t>
  </si>
  <si>
    <t>Longzhen Han, Said Zadou, Heitor Fox, Jose Gonzalez, Fabiana Clemente, Sarah Faiz, Sergei Polevikov, Mari-Sanna Paukkeri, Gonçalo Ribeiro, Dmitry Gaiduk, Martin Hrisko, Ángel Cañestro, Travis Nadelhoffer, Jordy Aarts, Kristina Shimko, Stephen Longo, David Brami, Zaki Darouzi, Rui Teixeira Alves, Antoine Aarts, Kamil Borowik, Hiroki Imabayashi, Carlos Albo, Omid Asgari, Jakub Manas, Manuel Dominguez, Yusuke Maruyama, Tashfin Shafique, Michal Kiezik, Rebeca Jimenez, Benjamin Dight, Maxim Yatskevich, Benjamin Benichou, Simon Brami, Sandeep Mehta, Johannes King, Janne Huuskonen, Javier Cañestro, Giada Zanatta, Mariia Silina, Mizan Rahman, Alexander Thielecke, Madan Raj Rajagopal, Alexander Uhlig, Martin Cvicek, Miks Vasiljevs and Tuukka Josefsson</t>
  </si>
  <si>
    <t>2019/11/07 17:15:00</t>
  </si>
  <si>
    <t>b86770fb-b821-48b5-856c-0354464bf35a</t>
  </si>
  <si>
    <t>P2_8_3</t>
  </si>
  <si>
    <t>PITCH ground round 11</t>
  </si>
  <si>
    <t>Alexia Arts, Nicolas Goulet, Yamilette Cano, Niklas Rosenberg, Faizal Javer, Brett Kaluza, Alex de Bold, Simon Boulet, Eric van Hall, Wilco Verdoold, José Luis Siñani, Alexandra Stefan and Nenad Novovic</t>
  </si>
  <si>
    <t>P2_8_4</t>
  </si>
  <si>
    <t>PITCH ground round 14</t>
  </si>
  <si>
    <t>Vanessa Wright, Claude Ritter, Yamilette Cano, Stephan Morais, Joe Altendorff, Marco Delgado, Hendrik Kramer, Svetlana Zakharenkova, Tony Park, Klena Sarges Silva, Jacinto Sa and Pedro Beirão</t>
  </si>
  <si>
    <t>P2_8_5</t>
  </si>
  <si>
    <t>PITCH ground round 17</t>
  </si>
  <si>
    <t>Zach Coelius, Michael Szalontay, Yamilette Cano, Henri Baker, Patricia Alves, Tal Ben-Simon, Erika Vincent, Christoph Hantschk, Alexander Zaytsev, Alberto Noronha, Leah Cohen and Rosse Gates</t>
  </si>
  <si>
    <t>P2_8_6</t>
  </si>
  <si>
    <t>PITCH quarterfinal 1</t>
  </si>
  <si>
    <t xml:space="preserve">
Diana Lace, Rouven Dresselhaus, Rouven Dresselhaus, David Meltzer, Andre Retterath, Joakim Dal</t>
  </si>
  <si>
    <t>011500</t>
  </si>
  <si>
    <t>P2_8_7</t>
  </si>
  <si>
    <t>SS8_6_1</t>
  </si>
  <si>
    <t>Startup Showcase 4</t>
  </si>
  <si>
    <t>Startup Showcase 5</t>
  </si>
  <si>
    <t>Startup Showcase 6</t>
  </si>
  <si>
    <t>Startup Showcase 7</t>
  </si>
  <si>
    <t>Startup Showcase 8</t>
  </si>
  <si>
    <t>Startup Showcase 9</t>
  </si>
  <si>
    <t>Startup Showcase 10</t>
  </si>
  <si>
    <t>PT_5_1</t>
  </si>
  <si>
    <t>PT_5_2</t>
  </si>
  <si>
    <t>PT_5_3</t>
  </si>
  <si>
    <t>PT_5_4</t>
  </si>
  <si>
    <t>PT_5_5</t>
  </si>
  <si>
    <t>PT_5_6</t>
  </si>
  <si>
    <t>PT_5_7</t>
  </si>
  <si>
    <t>PT_5_8</t>
  </si>
  <si>
    <t>PT_5_9</t>
  </si>
  <si>
    <t>PT_5_10</t>
  </si>
  <si>
    <t>PT_5_11</t>
  </si>
  <si>
    <t>PT_5_12</t>
  </si>
  <si>
    <t>PT_5_13</t>
  </si>
  <si>
    <t>PT_5_14</t>
  </si>
  <si>
    <t>MC_6_1</t>
  </si>
  <si>
    <t>MC_6_2</t>
  </si>
  <si>
    <t>MC_6_3</t>
  </si>
  <si>
    <t>MC_6_4</t>
  </si>
  <si>
    <t>MC_6_5</t>
  </si>
  <si>
    <t>MC_6_6</t>
  </si>
  <si>
    <t>MC_6_7</t>
  </si>
  <si>
    <t>MC_6_8</t>
  </si>
  <si>
    <t>MC_6_9</t>
  </si>
  <si>
    <t>MC_6_10</t>
  </si>
  <si>
    <t>MC_6_11</t>
  </si>
  <si>
    <t>MC_6_12</t>
  </si>
  <si>
    <t>MC_7_1</t>
  </si>
  <si>
    <t>MC_7_2</t>
  </si>
  <si>
    <t>MC_7_3</t>
  </si>
  <si>
    <t>MC_7_4</t>
  </si>
  <si>
    <t>MC_7_5</t>
  </si>
  <si>
    <t>MC_7_6</t>
  </si>
  <si>
    <t>MC_7_7</t>
  </si>
  <si>
    <t>MC_7_8</t>
  </si>
  <si>
    <t>MC_7_9</t>
  </si>
  <si>
    <t>MC_7_10</t>
  </si>
  <si>
    <t>MC_7_11</t>
  </si>
  <si>
    <t>MC_7_12</t>
  </si>
  <si>
    <t>MC_7_13</t>
  </si>
  <si>
    <t>MC_7_14</t>
  </si>
  <si>
    <t>UB_5_1</t>
  </si>
  <si>
    <t>UB_5_2</t>
  </si>
  <si>
    <t>UB_5_3</t>
  </si>
  <si>
    <t>UB_5_4</t>
  </si>
  <si>
    <t>UB_5_5</t>
  </si>
  <si>
    <t>UB_5_6</t>
  </si>
  <si>
    <t>UB_5_7</t>
  </si>
  <si>
    <t>UB_5_8</t>
  </si>
  <si>
    <t>UB_5_9</t>
  </si>
  <si>
    <t>DT_6_1</t>
  </si>
  <si>
    <t>DT_6_2</t>
  </si>
  <si>
    <t>DT_6_3</t>
  </si>
  <si>
    <t>DT_6_4</t>
  </si>
  <si>
    <t>DT_6_5</t>
  </si>
  <si>
    <t>DT_6_6</t>
  </si>
  <si>
    <t>DT_6_7</t>
  </si>
  <si>
    <t>DT_6_8</t>
  </si>
  <si>
    <t>DT_6_9</t>
  </si>
  <si>
    <t>DT_6_10</t>
  </si>
  <si>
    <t>DT_6_11</t>
  </si>
  <si>
    <t>DT_6_12</t>
  </si>
  <si>
    <t>DT_6_13</t>
  </si>
  <si>
    <t>DT_6_14</t>
  </si>
  <si>
    <t>DT_6_15</t>
  </si>
  <si>
    <t>DT_6_16</t>
  </si>
  <si>
    <t>DT_6_17</t>
  </si>
  <si>
    <t>MN_7_1</t>
  </si>
  <si>
    <t>MN_7_2</t>
  </si>
  <si>
    <t>MN_7_3</t>
  </si>
  <si>
    <t>MN_7_4</t>
  </si>
  <si>
    <t>MN_7_5</t>
  </si>
  <si>
    <t>MN_7_6</t>
  </si>
  <si>
    <t xml:space="preserve"> </t>
  </si>
  <si>
    <t>004000</t>
  </si>
  <si>
    <t>MN_7_7</t>
  </si>
  <si>
    <t>MN_7_8</t>
  </si>
  <si>
    <t>MN_7_9</t>
  </si>
  <si>
    <t>MN_7_10</t>
  </si>
  <si>
    <t>MN_7_11</t>
  </si>
  <si>
    <t>MN_7_12</t>
  </si>
  <si>
    <t>MN_7_13</t>
  </si>
  <si>
    <t>MN_7_14</t>
  </si>
  <si>
    <t>SM_4_1</t>
  </si>
  <si>
    <t>HC_4_1</t>
  </si>
  <si>
    <t>GS_4_1</t>
  </si>
  <si>
    <t>000400</t>
  </si>
  <si>
    <t>000200</t>
  </si>
  <si>
    <t>001100</t>
  </si>
  <si>
    <t xml:space="preserve">PITCH group round 3
</t>
  </si>
  <si>
    <t>Pitch 3</t>
  </si>
  <si>
    <t xml:space="preserve">Brian Collins, Ana Lobo Xavier, Pedro Vasconcellos, Jordi Vidal, Edel Coen, Russ Heddleston, Javier Gutiérrez, Nathan Harris, Abbas Bertina, Aroa Fernandez Alvarez, Gabriel Menegatti
</t>
  </si>
  <si>
    <t>Ana Paula Reis, Sergey Oparin, Noel Gisselsson, Carlos Hornstein, Adam Dalton, Neivien H Shawer, David Métais, Philipp Philippen, Andrius Lideikis, Mark Ferrari, Rafael Hansen, Miguel Neto, Andrew Murphy, Dovydas Van Gucht, Venci Lukanov, Fawaz Alazemi, Alexander Giesecke, Luca Righes, Antoine Macau, Bo Wu, Andreas Grenthe, Tolga Güngör, Thales Gregorio, Sarina Mischa Møller, Yegor Isaev, Nichlas Walsted, Filiz Kocas, Adam Shehata, Rinat Ben Efraim, Akash Kannegulla, Mehmet Can Sobutay, Anastasiia Dmitrieva, Eric Lehmann, Arkadi Jeghiazaryan, Bernat Lopez, Larissa Magalhaes, Nicolai Schork, Timur Seyfelmlyukov, Valentyna Babko, Ramiro Nobre, Kęstutis Rapcevičius, Valerya Carvalho, Yigal Ben Efraim, Umut Elestekin, Marcel Schubert, Daria Kroshkina, Fernando Cavalher, Allan Vestergaard Hermansen, Jens Seger and Virginie Broncy</t>
  </si>
  <si>
    <t>P3_5_1</t>
  </si>
  <si>
    <t>PITCH group round 6</t>
  </si>
  <si>
    <t xml:space="preserve">Dennis Smith, Miles Kirby, Yancey Spruill, Brendan Yell, Paulo Pinho, Tomasz Florczak, Nuno Brito Jorge, Jihye Roh, Etienne Koo, Hana Sutch, Manuel Milliery
</t>
  </si>
  <si>
    <t>P3_5_2</t>
  </si>
  <si>
    <t>PITCH group round 9</t>
  </si>
  <si>
    <t xml:space="preserve">Maya Horgan Famodu, Christian Knott, Felix Buggenthin, Mohan Ram, Gijs den Hartog, Eyal Sheinholtz, Joanna Yein Song, Danica Damljanovic, Rafal Witkowski, andrea baldini, Sergey Soloboev, Egor Pchelnikov, Samuel Lathey
</t>
  </si>
  <si>
    <t>P3_5_3</t>
  </si>
  <si>
    <t>PITCH group round 12</t>
  </si>
  <si>
    <t xml:space="preserve">Fatima Zaidi, Oliver Clasen, Brendan Yell, Tom Michael, Maja Markowitz, Tracy Isacke, Rupert Barksfield, Seth Ward, Sam Abrika, Katy Lindemann, Laurent Marfisi, Ken Miyake, Simonetta d'Ottaviano, Mario Arabov
</t>
  </si>
  <si>
    <t>SS13_6_1</t>
  </si>
  <si>
    <t>P3_5_4</t>
  </si>
  <si>
    <t>PITCH group round 15</t>
  </si>
  <si>
    <t xml:space="preserve">Roham Gharegozlo, Marin Cauvas, Freddie Evans, Saba Karim, Eduardo Lemos, Ivan Alaiz, João Lopes, Artur Fjodorov, Marian Glaeser, Alex cordero, Stone Atwine, IVAN SHTANKO, Hirbod Bigvand
</t>
  </si>
  <si>
    <t>P3_5_5</t>
  </si>
  <si>
    <t>Toon Bouten, Jacinto Sa, Antonia Halko, Vinícius T. Sossella, Negar Ekrami, Pablo  Miguel Fernandez Alonso De Lomas, Wim Kamerman, Filip Paunovic, Oleksandr Belchenko, Jon Duo, Felipe Delvan, Sofia Khomutova, Andrew Quartey, Manuel Milliery, Oleksandr Osadchyi, Desmond Koney, Nelson Scariot Junior, Patrick Fröschl, Sarah Merrick, Alexey Yushin, Greta Cazzaniga, Per Edström, Etienne Koo, Marco Armellino, Alessandro Armillotta, Simone Targetti Ferri, Felix van den Horst, Pedro Sousa, Daniel Dora, Emil Rangelov, Boris Banjac, Daniele Dora, Maia Pedro, Aroa Fernandez Alvarez, Nenad Novovic, Tibor Casteleijn, André Costa, Markus Sollner, Iryna Dziuba, Stephanie Thomson, Kay Ibrahimi, Marta Bacêlo, Sean O'Dwyer, Carlos Meza Brena, Rebecca Johnstone, Jucenir Zanatta, Jonas Douin, Emily Kosko, Lynn El KHoury and Antoine Dessart</t>
  </si>
  <si>
    <t>PITCH group round 18</t>
  </si>
  <si>
    <t xml:space="preserve">Jens Lapinski, Sergio Raposo Frade, Saba Karim, Keshin Govender, Pakiza Abdulrahman, Christina Lock, Nick Nedelchuk, James Rees, Darina Momot, Maria Hahn, William Villalobos, Andrei Netto
</t>
  </si>
  <si>
    <t>P3_5_6</t>
  </si>
  <si>
    <t>SS13_6_2</t>
  </si>
  <si>
    <t>PITCH quarterfinal 2</t>
  </si>
  <si>
    <t>Toon Bouten, Jonny kurtz, Kenjiro YAMAMOTO, Yukihiro Kawaguchi, Vyacheslav Grigoriev, Masaomi SUZUKI, Declan Conway, Masahide (Masa) Ando, Sergey Soloboev, Linus Frosteryd, Alvaro Lopes-Cardoso, Todor Lazov, KOICHIRO SATO, Marco Piras, Martin Kravchenko, Mike Prisikar, Pablo Vidarte, Dinara Tikhomirova, Linus Norton, Ana Caboz, Nils Lundin, Simon Puleston Jones, Alessandro Imparato, Bernie Frola, Chayana Farinango, Jenny Jobring, Nicolas Ohanna, Pedro Humbert, Dima Prisikar, Vitor Sanches, Jonathan Tambosi, Margaux Lebel, Kevin Farquharson, Denis Tikhomirov, aristides bertuol, RYUTA SHIOYA, DAVID MALINAS, 📺 Victor Ingman, Nikolay Kuteev, Nora Al-Kassab, Santiago Zindel, Cecilia Lalatta Costerbosa, Erika Vincent and Christoph Hantschk</t>
  </si>
  <si>
    <t>SS13_6_3</t>
  </si>
  <si>
    <t>Lais de Oliveira, André Borges, Alexey Chekhvalov, Sothea Nim, Eduardo Ide, Karim Boukarabila, Massimiliano Meneghello, Carolina Albarran, Tiago Baptista, Carolina Delfini Junqueira Franco, Pedro Marques, Stephan Zimmermann, Giovanna Weiss, SALIM ZAKHOUR, Guy Reiffers, Alexey Kobzev, Pedro Alves, Peter Horvath, ROMUALDO LOPES, Jakub Minks, Yury Shishkin, Ralph Haddad, Gabriella Weiss, Maria Clara Limoncic, Sergey Bannykh, Lynn Healy-Goulet, DANIEL BRAGA, Philippe Tarrare, Kevin Houle, Giovanni Spiller, Vincent Dethier, Georgy Gorgonov, Pavel Boyko, A. Kieran Gale, Klaus-Dieter Feld, João Lee, Shelmaa Oubari, Alex Chekhvalov, Vitaly Klimov, Maria Kahale, Valter Costa, Juan Carrillo, Yevhenii Derkach, Dipen Panchal, Lucas Malanda, Miguel Costa, Svetlana Panchenko, Francesco Pio Fiorito, SHADY BOU AKL and Fernando Luca de Tena Smith</t>
  </si>
  <si>
    <t xml:space="preserve">Tahira Rehmatullah, Jean-Marc Patouillaud, Ajay Ramachandran, Brendan Yell, Jacqueline van den Ende, Ulli Waltinger
</t>
  </si>
  <si>
    <t>SS13_6_4</t>
  </si>
  <si>
    <t>P3_5_7</t>
  </si>
  <si>
    <t>Lais de Oliveira, Faissal Lachhab, Koohyun kwahk, Alberto Vecchi Junior, Ilya Zaytsev, Simon Hasenauer, Mikhail Nosov, steena sunyong lee, Artyom Perevedentsev, Enzo Duit, Sarah Divan, Todor Gigilev, Zubar Miah, Rayan Godoi, Alexander Krstulovic, Dina Karakash, Fabio Bolsarini, Alexander Stefanciw, fernando menezes, Mollie Huckerby, Dino Magri, Stanislav Morozov, Jin Sung Kim, Gaston Ortiz, Karol Andruszków, Simone Hendriks, Wojtek Andruszków, Rinat Nafikov, Anna Blomdell, Faissal Lachhab, Corrado Rota, Andreas Willgert, Matthias Pichler, Faissal Lachhab, Maria Kostina, RENAUD BADINA, Edward Lee, Veena Giridhar Gopal, Marijn Lems, Ozde Dereli, Seungsik Shin, Igor Khripkov, Louise Webber, Nicola Scagnolari, Andrea Losso, Cesar Almiñana, Tamam Nafikova, Juan Martin Seijo, Onur Candan and JULIEN LENNE</t>
  </si>
  <si>
    <t>SS13_6_5</t>
  </si>
  <si>
    <t>Michael Borisov, Clément CHRISTOL, Shogo Ota, Gionata Poggi, Soliman Abaza, Alexander Pobereznichenko, Nikolai Kharin, Gianfranco Fedele, Ciro Fiorillo, Mehdi Aïda, Oleksandr Lastovskyy, Lisa Wäntig, Aleksei Klabukov, Haris Zacharatos, Paulo D'Alberti, Ana Cláudia Laureano de Sousa, Antonio Baccari, Douglas Daniel Elias Santos, Ryo Kikuchi, Shogo Ota, Adam Miziołek, Rinat Shamsiev, Manu Casals, Rosse Gates, Francesco Turri, Sophie BIZOT, Danylo Podhornyy, Elizaveta Uvarova, Alexander Dummett, Ben Moe, Gergely Dzsida, Dmytro Grechko, Giorgio Barbaglia, Yurii Lipatov, Vladimir Rigenco, Xavier Alabart, Tammam Shaibani, Toka Samir, Omar Perez, Eduardo Gazzinelli, Andrew Hope, Carmine Pappagallo, Bryan colligan, Tom Barnes and Ivan Ivanka</t>
  </si>
  <si>
    <t>SS13_7_1</t>
  </si>
  <si>
    <t>Chris McClelland, Raakin Iqbal, Victor Coutinho, Madalena Pestana, Denis Borisov, Julie Kinsella, Age Viks, Artur Fjodorov, Sara Partridge, Mikhail Gavrilov, Innokenty  Nesterenko, Märt Pikkani, Matteo Albrizio, Paulo Mauricio, Irvin Kendall, Paulo Barrocas, Álvaro Freire, Igor Leontiev, Carlos Estévez, Sabine Wiederhold, Varun Gajjar, Vadym Syliava, Sergio García, Jakob Knutzen, francesco bertani, Ian De Bolle, Marloes Decraemer, Bruno Vide, Ricardo Carvalho, Nuno Santos, Sietse-arne schelpe, Jeroen Van Raemdonck, Christian Alexander Vasco Bertoia, Pasquale Ragozzino, Keivan Francesco  Djafari Zad, Ivo Hoogveld, Nirali Shah, Soham Thacker, Miha Jagodic, João Lopes, Stefano Andreani, Miguel Gallo, Daniil Mazepin, Mateus Viegas, Guillermo Urquijo, Marlee Durand, Andreas Piculell, Nicolò Santin and Adriaan De Bolle</t>
  </si>
  <si>
    <t>SS13_7_2</t>
  </si>
  <si>
    <t>Chris McClelland, Thiago de Souza Nascimento, Shahin Lauritzen, Emile Milot, Chris Campbell, Justin Frischmuth, Andrea Concas, Andrea Concas, Hannah Todd, Alfie Payne, Samet Arabacıoğlu, Michael Kirsanov, aline matulja, Tsz Ying Yu, Ivandro Ribeiro, Dimitrios Tsioutsiopoulos, Emmanuel Tei-Tetteh, Olivier Zitvogel, marina matulja, Timofey Moskalev, Alessia Cuccu, Douglas Mochrie, Vasyl Hukalyuk, Klaudia Magierowska, Vitalii Polishchuk, Michael Schöggl, İsmail Kerim Sabunis, Luke Hogan, Bojana Knezevic , Egemen Aksungur, Andy Pavletich, Jacob Waern, Caio Graco, Eliza Lopes, Vadim Yakovliev, Biagio Bartoli, Mads Klokkerholm, Sri Yuliyanti, Paweł Konikiewicz, Tolga Emre Aslan, Yulia Sedova, Deivid Alves, Benjamin Gareis, Sener Abanozoglu, Daiki Nishiyama, Joselito Coutinho, Felipe Kraskoff Esteves, Gaurav Goel, Blake Evertsen and Juraj Masar</t>
  </si>
  <si>
    <t>SS13_7_3</t>
  </si>
  <si>
    <t>Tony Zappala, Ivanna Nedelchuk, Ilya Melkumov, Andre Pimenta, Eduardo Orellana, Eric Sanchez, Rafael Juzo, Emily Cheung, Jörg Wasmeier, Elisa Chiarelli, James Ward, Marcos Medeiros, Brennan Basnicki, Simon Boulet, Juli Delos, Santiago Montero, Luís Torres, Ewa Wojcik, Mikhail Khrushch, Natalia Bandach, Oleksandr Polonskyy, Ciga Zhou, Noemie Turcotte, Oleksandr Khveshchuk, María Pérez García, Manuel Andrade, Julien Faliu, Javier Moreno, Christophe Etienne, GUILLERMO GASPART, Francesco Catemario di Quadri, Ludwig Hedlund, Antonio Bustamante Gaitán, Mike Iukhtenko, Manuel Ferreira, Julia Demyanchuk, Nick Nedelchuk, Andrey Zhironkin, Yaroslav Lvovych, Alexander Mitzman, Carina Alexandra Alves Louro Miguel, Eyal Grumberg, CHRISTIAN RODRIGUEZ, Aleksandr Demidov, Antonio Bettencourt, Pedro Gancho, Sonya Baranova, Robert Preoteasa and Sylvio Scott</t>
  </si>
  <si>
    <t>SS13_7_4</t>
  </si>
  <si>
    <t>Steven Gundry, Alba Sort, Karl Naim, Elisabeth Pakin, Flavio Filoni, Sonia Couto, Choon Ja-Malin Meinberg, Yoshua Kishi, Amice Wong, Varun K. Sirohi, Pat Casey, Katy Lindemann, Guillermo Galan, Eduardo Rodrigues, Bjarte Bakke, Rafael Martínez Permuy, Nicolas Aubert, Marine Bousseau, Carlo Buccoli, Fabrice Pakin, João Marcelo Alves, Grzegorz Madajczyk, Mikołaj Niedziałkowski, Richard Picart, Gema Alvarez, Mahak Chauhan, Rafael Munerato, Wanda Kim, Anna Sort, Astrid Ottosen, Martin Balodis, Rafael Martinez Permuy, Komal Chaudhary, Karandeep Birdi, Christine Harris, Stine Sorensen, Mahesh Inder Chauhan, Marc Oliver Griefahn, Henrik Thorsell, Andrea Severino, Geoffrey Kretz, Ricardo Ramos, Rosa Hoffman, Manel Sort, Barry Cumberlidge, Stephen Wheatley, Sebastião Barros, Annette Baus, Jean-Francois Kraemer and Akvile Ignotaite</t>
  </si>
  <si>
    <t>SS13_7_5</t>
  </si>
  <si>
    <t>Startup Showcase 11</t>
  </si>
  <si>
    <t>Steven Gundry, Mohamed Khashaba, YongKee Lim, Damien Gorlier, Feldberg Natalia, Chelsy Swackhamer, Etienne Petermann, Apar Jain, Kwon Taehyeon, Lys Mehou-Loko, Agata Baran, Mohamed Abdallah, Amin Hossein, Daeho Lee, Davood Fanaei Sheikholeslami, Hermann 'Hesh' Schreiter, Amelie Grohnert, Mohammed Ahmad, Chang Hun (Douglass) Lee, Tatiana Khodanovich, Johan Boholm, Viktoriia Sharapova, Carlos Ferreira, Hassan Yasin, Michael Maurer-Pühringer, Valeria Mingova, Jueun Ha, Sergey Vassilyev, Soonae Lee, Mohammad Mohammad Amini, Bola Bardet, Mihai Draghici, DongHoon Lee, Lawrence Smith, Graham Mak, Dennis Poon, Esmaeil Kondori, Markus Pelnar, Victoria Shabunina, Ahmed Abdelaty, DAWOON Han, Luca Buscioni, Diana Mereu, Ali Alvi, Marcin Kotewicz, Jakub Jamontt, Armando Statti, Ana Cristina Grohnert, Joanna Yein Song and Richard Schütze</t>
  </si>
  <si>
    <t>SS13_7_6</t>
  </si>
  <si>
    <t>AT_5_1</t>
  </si>
  <si>
    <t>AT_5_2</t>
  </si>
  <si>
    <t>AT_5_3</t>
  </si>
  <si>
    <t>SU_5_1</t>
  </si>
  <si>
    <t>AT_5_4</t>
  </si>
  <si>
    <t>SU_5_2</t>
  </si>
  <si>
    <t>AT_5_5</t>
  </si>
  <si>
    <t>SU_5_3</t>
  </si>
  <si>
    <t>AT_5_6</t>
  </si>
  <si>
    <t>AT_5_7</t>
  </si>
  <si>
    <t>SU_5_4</t>
  </si>
  <si>
    <t>AT_5_8</t>
  </si>
  <si>
    <t>SU_5_5</t>
  </si>
  <si>
    <t>SU_5_6</t>
  </si>
  <si>
    <t>AT_5_9</t>
  </si>
  <si>
    <t>SU_5_7</t>
  </si>
  <si>
    <t>AT_5_10</t>
  </si>
  <si>
    <t>SU_5_8</t>
  </si>
  <si>
    <t>AT_5_11</t>
  </si>
  <si>
    <t>AT_5_12</t>
  </si>
  <si>
    <t>SU_5_9</t>
  </si>
  <si>
    <t>AT_5_13</t>
  </si>
  <si>
    <t>SU_5_10</t>
  </si>
  <si>
    <t>AT_5_14</t>
  </si>
  <si>
    <t>SU_5_11</t>
  </si>
  <si>
    <t>AT_5_15</t>
  </si>
  <si>
    <t>SU_5_12</t>
  </si>
  <si>
    <t>AT_6_1</t>
  </si>
  <si>
    <t>SU_5_13</t>
  </si>
  <si>
    <t>AT_6_2</t>
  </si>
  <si>
    <t>SU_5_14</t>
  </si>
  <si>
    <t>MD_7_5</t>
  </si>
  <si>
    <t>AT_6_3</t>
  </si>
  <si>
    <t>SU_5_15</t>
  </si>
  <si>
    <t>MD_7_6</t>
  </si>
  <si>
    <t>SU_5_16</t>
  </si>
  <si>
    <t>AT_6_4</t>
  </si>
  <si>
    <t>MD_7_7</t>
  </si>
  <si>
    <t>AT_6_5</t>
  </si>
  <si>
    <t>AT_6_6</t>
  </si>
  <si>
    <t>SU_6_1</t>
  </si>
  <si>
    <t>MD_7_8</t>
  </si>
  <si>
    <t>AT_6_7</t>
  </si>
  <si>
    <t>SU_6_2</t>
  </si>
  <si>
    <t>MD_7_9</t>
  </si>
  <si>
    <t>SU_6_3</t>
  </si>
  <si>
    <t>AT_6_8</t>
  </si>
  <si>
    <t>MD_7_10</t>
  </si>
  <si>
    <t>SU_6_4</t>
  </si>
  <si>
    <t>AT_6_9</t>
  </si>
  <si>
    <t>MD_7_11</t>
  </si>
  <si>
    <t>SU_6_5</t>
  </si>
  <si>
    <t>AT_6_10</t>
  </si>
  <si>
    <t>SU_6_6</t>
  </si>
  <si>
    <t>AT_6_11</t>
  </si>
  <si>
    <t>MD_7_12</t>
  </si>
  <si>
    <t>SU_6_7</t>
  </si>
  <si>
    <t>AT_6_12</t>
  </si>
  <si>
    <t>AT_6_13</t>
  </si>
  <si>
    <t>SU_6_8</t>
  </si>
  <si>
    <t>AT_6_14</t>
  </si>
  <si>
    <t>SU_6_9</t>
  </si>
  <si>
    <t>AT_6_15</t>
  </si>
  <si>
    <t>SU_6_10</t>
  </si>
  <si>
    <t>AT_7_1</t>
  </si>
  <si>
    <t>SU_6_11</t>
  </si>
  <si>
    <t>AT_7_2</t>
  </si>
  <si>
    <t>SU_6_12</t>
  </si>
  <si>
    <t>AT_7_3</t>
  </si>
  <si>
    <t>SU_6_13</t>
  </si>
  <si>
    <t>AT_7_4</t>
  </si>
  <si>
    <t>SU_6_14</t>
  </si>
  <si>
    <t>AT_7_5</t>
  </si>
  <si>
    <t>AT_7_6</t>
  </si>
  <si>
    <t>AT_7_7</t>
  </si>
  <si>
    <t>AT_7_8</t>
  </si>
  <si>
    <t>AT_7_9</t>
  </si>
  <si>
    <t>AT_7_10</t>
  </si>
  <si>
    <t>AT_7_11</t>
  </si>
  <si>
    <t>AT_7_12</t>
  </si>
  <si>
    <t>AT_7_13</t>
  </si>
  <si>
    <t>AT_7_14</t>
  </si>
  <si>
    <t>PC_5_1</t>
  </si>
  <si>
    <t>PC_5_2</t>
  </si>
  <si>
    <t>PC_5_3</t>
  </si>
  <si>
    <t>PC_5_4</t>
  </si>
  <si>
    <t>PC_5_5</t>
  </si>
  <si>
    <t>PC_5_6</t>
  </si>
  <si>
    <t>PC_5_7</t>
  </si>
  <si>
    <t>PC_5_8</t>
  </si>
  <si>
    <t>PC_5_9</t>
  </si>
  <si>
    <t>PC_5_10</t>
  </si>
  <si>
    <t>PC_5_11</t>
  </si>
  <si>
    <t>PC_5_12</t>
  </si>
  <si>
    <t>PC_5_13</t>
  </si>
  <si>
    <t>PC_5_14</t>
  </si>
  <si>
    <t>PC_6_1</t>
  </si>
  <si>
    <t>PC_6_2</t>
  </si>
  <si>
    <t>PC_6_3</t>
  </si>
  <si>
    <t>PC_6_4</t>
  </si>
  <si>
    <t>PC_6_5</t>
  </si>
  <si>
    <t>PC_6_6</t>
  </si>
  <si>
    <t>PC_6_7</t>
  </si>
  <si>
    <t>PC_6_8</t>
  </si>
  <si>
    <t>PC_6_9</t>
  </si>
  <si>
    <t>PC_6_10</t>
  </si>
  <si>
    <t>PC_6_11</t>
  </si>
  <si>
    <t>PC_6_12</t>
  </si>
  <si>
    <t>PC_6_13</t>
  </si>
  <si>
    <t>CI_5_1</t>
  </si>
  <si>
    <t>PC_6_14</t>
  </si>
  <si>
    <t>CI_5_2</t>
  </si>
  <si>
    <t>PC_6_15</t>
  </si>
  <si>
    <t>CI_5_3</t>
  </si>
  <si>
    <t>PC_6_16</t>
  </si>
  <si>
    <t>CI_5_4</t>
  </si>
  <si>
    <t>PC_7_1</t>
  </si>
  <si>
    <t>CI_5_5</t>
  </si>
  <si>
    <t>CI_5_6</t>
  </si>
  <si>
    <t>PC_7_2</t>
  </si>
  <si>
    <t>CI_5_7</t>
  </si>
  <si>
    <t>PC_7_3</t>
  </si>
  <si>
    <t>CI_5_8</t>
  </si>
  <si>
    <t>PC_7_4</t>
  </si>
  <si>
    <t>CI_5_9</t>
  </si>
  <si>
    <t>PC_7_5</t>
  </si>
  <si>
    <t>CI_5_10</t>
  </si>
  <si>
    <t>CI_5_11</t>
  </si>
  <si>
    <t>PC_7_6</t>
  </si>
  <si>
    <t>CI_5_12</t>
  </si>
  <si>
    <t>CI_5_13</t>
  </si>
  <si>
    <t>PC_7_7</t>
  </si>
  <si>
    <t>CI_5_14</t>
  </si>
  <si>
    <t>PC_7_8</t>
  </si>
  <si>
    <t>PC_7_9</t>
  </si>
  <si>
    <t>CI_5_15</t>
  </si>
  <si>
    <t>PC_7_10</t>
  </si>
  <si>
    <t>CI_5_16</t>
  </si>
  <si>
    <t>VT_5_1</t>
  </si>
  <si>
    <t>PC_7_11</t>
  </si>
  <si>
    <t>CI_6_1</t>
  </si>
  <si>
    <t>PC_7_12</t>
  </si>
  <si>
    <t>VT_5_2</t>
  </si>
  <si>
    <t>CI_6_2</t>
  </si>
  <si>
    <t>PC_7_13</t>
  </si>
  <si>
    <t>VT_5_3</t>
  </si>
  <si>
    <t>CI_6_3</t>
  </si>
  <si>
    <t>VT_5_4</t>
  </si>
  <si>
    <t>CI_6_4</t>
  </si>
  <si>
    <t>VT_5_5</t>
  </si>
  <si>
    <t>CI_6_5</t>
  </si>
  <si>
    <t>VT_5_6</t>
  </si>
  <si>
    <t>VT_5_7</t>
  </si>
  <si>
    <t>CI_6_6</t>
  </si>
  <si>
    <t>CI_6_7</t>
  </si>
  <si>
    <t>VT_5_8</t>
  </si>
  <si>
    <t>CI_6_8</t>
  </si>
  <si>
    <t>VT_5_9</t>
  </si>
  <si>
    <t>CI_6_9</t>
  </si>
  <si>
    <t>VT_5_10</t>
  </si>
  <si>
    <t>VT_5_11</t>
  </si>
  <si>
    <t>CI_6_10</t>
  </si>
  <si>
    <t>VT_5_12</t>
  </si>
  <si>
    <t>VT_5_13</t>
  </si>
  <si>
    <t>CI_6_11</t>
  </si>
  <si>
    <t>VT_5_14</t>
  </si>
  <si>
    <t>CI_6_12</t>
  </si>
  <si>
    <t>VT_5_15</t>
  </si>
  <si>
    <t>CI_6_13</t>
  </si>
  <si>
    <t>VT_6_1</t>
  </si>
  <si>
    <t>CI_6_14</t>
  </si>
  <si>
    <t>VT_6_2</t>
  </si>
  <si>
    <t>CI_6_15</t>
  </si>
  <si>
    <t>VT_6_3</t>
  </si>
  <si>
    <t>CI_6_16</t>
  </si>
  <si>
    <t>VT_6_4</t>
  </si>
  <si>
    <t>CI_6_17</t>
  </si>
  <si>
    <t>VT_6_5</t>
  </si>
  <si>
    <t>CI_7_1</t>
  </si>
  <si>
    <t>VT_6_6</t>
  </si>
  <si>
    <t>CI_7_2</t>
  </si>
  <si>
    <t>VT_6_7</t>
  </si>
  <si>
    <t>CI_7_3</t>
  </si>
  <si>
    <t>CI_7_4</t>
  </si>
  <si>
    <t>VT_6_8</t>
  </si>
  <si>
    <t>VT_6_9</t>
  </si>
  <si>
    <t>CI_7_5</t>
  </si>
  <si>
    <t>VT_6_10</t>
  </si>
  <si>
    <t>CI_7_6</t>
  </si>
  <si>
    <t>VT_6_11</t>
  </si>
  <si>
    <t>CI_7_7</t>
  </si>
  <si>
    <t>VT_6_12</t>
  </si>
  <si>
    <t>VT_6_13</t>
  </si>
  <si>
    <t>VT_6_14</t>
  </si>
  <si>
    <t>CI_7_8</t>
  </si>
  <si>
    <t>VT_7_1</t>
  </si>
  <si>
    <t>CI_7_9</t>
  </si>
  <si>
    <t>VT_7_2</t>
  </si>
  <si>
    <t>VT_7_3</t>
  </si>
  <si>
    <t>CI_7_10</t>
  </si>
  <si>
    <t>VT_7_4</t>
  </si>
  <si>
    <t>VT_7_5</t>
  </si>
  <si>
    <t>CI_7_11</t>
  </si>
  <si>
    <t>VT_7_6</t>
  </si>
  <si>
    <t>CI_7_12</t>
  </si>
  <si>
    <t>VT_7_7</t>
  </si>
  <si>
    <t>CI_7_13</t>
  </si>
  <si>
    <t>CI_7_14</t>
  </si>
  <si>
    <t>VT_7_8</t>
  </si>
  <si>
    <t>VT_7_9</t>
  </si>
  <si>
    <t>CI_7_15</t>
  </si>
  <si>
    <t>VT_7_10</t>
  </si>
  <si>
    <t>CI_7_16</t>
  </si>
  <si>
    <t>VT_7_11</t>
  </si>
  <si>
    <t>VT_7_12</t>
  </si>
  <si>
    <t>VT_7_13</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</si>
</sst>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dddd, d mmmm"/>
    <numFmt numFmtId="165" formatCode="hh:mm"/>
    <numFmt numFmtId="166" formatCode="yyyy/mm/dd"/>
    <numFmt numFmtId="167" formatCode="hh:mm:ss"/>
    <numFmt numFmtId="168" formatCode="yyyy/m/d"/>
    <numFmt numFmtId="169" formatCode="HH:mm:ss"/>
  </numFmts>
  <fonts count="24">
    <font>
      <sz val="10.0"/>
      <color rgb="FF000000"/>
      <name val="Arial"/>
    </font>
    <font>
      <b/>
      <sz val="16.0"/>
      <color rgb="FFFFFFFF"/>
      <name val="Lato"/>
    </font>
    <font>
      <sz val="11.0"/>
      <color rgb="FF000000"/>
      <name val="Inconsolata"/>
    </font>
    <font>
      <b/>
      <sz val="12.0"/>
      <color rgb="FFFFFFFF"/>
      <name val="Lato"/>
    </font>
    <font>
      <color theme="1"/>
      <name val="Arial"/>
    </font>
    <font>
      <b/>
      <sz val="14.0"/>
      <color rgb="FFFFFFFF"/>
      <name val="Lato"/>
    </font>
    <font>
      <u/>
      <color rgb="FF0000FF"/>
    </font>
    <font>
      <sz val="12.0"/>
      <color theme="1"/>
      <name val="Lato"/>
    </font>
    <font/>
    <font>
      <b/>
      <sz val="11.0"/>
      <color theme="1"/>
      <name val="Lato"/>
    </font>
    <font>
      <sz val="11.0"/>
      <color theme="1"/>
      <name val="Lato"/>
    </font>
    <font>
      <u/>
      <sz val="12.0"/>
      <color rgb="FF0000FF"/>
      <name val="Lato"/>
    </font>
    <font>
      <b/>
      <u/>
      <sz val="12.0"/>
      <color rgb="FFFFFFFF"/>
      <name val="Lato"/>
    </font>
    <font>
      <b/>
      <sz val="11.0"/>
      <color rgb="FFFFFFFF"/>
      <name val="Lato"/>
    </font>
    <font>
      <b/>
      <color theme="1"/>
      <name val="Arial"/>
    </font>
    <font>
      <color rgb="FF000000"/>
      <name val="Arial"/>
    </font>
    <font>
      <sz val="12.0"/>
      <color rgb="FF0D153A"/>
      <name val="Lato"/>
    </font>
    <font>
      <u/>
      <color rgb="FF0000FF"/>
    </font>
    <font>
      <b/>
      <color theme="1"/>
      <name val="Lato"/>
    </font>
    <font>
      <color rgb="FF000000"/>
      <name val="Roboto"/>
    </font>
    <font>
      <b/>
    </font>
    <font>
      <sz val="11.0"/>
      <color rgb="FF000000"/>
      <name val="Docs-Inconsolata"/>
    </font>
    <font>
      <sz val="11.0"/>
      <color rgb="FF000000"/>
      <name val="Arial"/>
    </font>
    <font>
      <color theme="1"/>
      <name val="Lato"/>
    </font>
  </fonts>
  <fills count="9">
    <fill>
      <patternFill patternType="none"/>
    </fill>
    <fill>
      <patternFill patternType="lightGray"/>
    </fill>
    <fill>
      <patternFill patternType="solid">
        <fgColor rgb="FF000000"/>
        <bgColor rgb="FF000000"/>
      </patternFill>
    </fill>
    <fill>
      <patternFill patternType="solid">
        <fgColor rgb="FFFFFFFF"/>
        <bgColor rgb="FFFFFFFF"/>
      </patternFill>
    </fill>
    <fill>
      <patternFill patternType="solid">
        <fgColor rgb="FFBDBDBD"/>
        <bgColor rgb="FFBDBDBD"/>
      </patternFill>
    </fill>
    <fill>
      <patternFill patternType="solid">
        <fgColor rgb="FFF3F3F3"/>
        <bgColor rgb="FFF3F3F3"/>
      </patternFill>
    </fill>
    <fill>
      <patternFill patternType="solid">
        <fgColor rgb="FFB7B7B7"/>
        <bgColor rgb="FFB7B7B7"/>
      </patternFill>
    </fill>
    <fill>
      <patternFill patternType="solid">
        <fgColor rgb="FF666666"/>
        <bgColor rgb="FF666666"/>
      </patternFill>
    </fill>
    <fill>
      <patternFill patternType="solid">
        <fgColor rgb="FFEEF7E3"/>
        <bgColor rgb="FFEEF7E3"/>
      </patternFill>
    </fill>
  </fills>
  <borders count="11">
    <border/>
    <border>
      <bottom style="thin">
        <color rgb="FF000000"/>
      </bottom>
    </border>
    <border>
      <right style="thin">
        <color rgb="FF000000"/>
      </right>
      <bottom style="thin">
        <color rgb="FF000000"/>
      </bottom>
    </border>
    <border>
      <left style="thin">
        <color rgb="FF000000"/>
      </left>
      <top style="thin">
        <color rgb="FF000000"/>
      </top>
      <bottom style="thin">
        <color rgb="FF000000"/>
      </bottom>
    </border>
    <border>
      <left style="thin">
        <color rgb="FF000000"/>
      </left>
      <right style="thin">
        <color rgb="FF000000"/>
      </right>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rder>
    <border>
      <right style="thin">
        <color rgb="FF000000"/>
      </right>
    </border>
    <border>
      <left style="thin">
        <color rgb="FF000000"/>
      </left>
      <bottom style="thin">
        <color rgb="FF000000"/>
      </bottom>
    </border>
    <border>
      <left style="thin">
        <color rgb="FF000000"/>
      </left>
    </border>
  </borders>
  <cellStyleXfs count="1">
    <xf borderId="0" fillId="0" fontId="0" numFmtId="0" applyAlignment="1" applyFont="1"/>
  </cellStyleXfs>
  <cellXfs count="95">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bottom" wrapText="1"/>
    </xf>
    <xf borderId="0" fillId="3" fontId="2" numFmtId="0" xfId="0" applyFill="1" applyFont="1"/>
    <xf borderId="1" fillId="4" fontId="3" numFmtId="0" xfId="0" applyAlignment="1" applyBorder="1" applyFill="1" applyFont="1">
      <alignment horizontal="center" shrinkToFit="0" vertical="bottom" wrapText="0"/>
    </xf>
    <xf borderId="0" fillId="0" fontId="4" numFmtId="0" xfId="0" applyFont="1"/>
    <xf borderId="2" fillId="4" fontId="3" numFmtId="0" xfId="0" applyAlignment="1" applyBorder="1" applyFont="1">
      <alignment horizontal="center" shrinkToFit="0" vertical="bottom" wrapText="0"/>
    </xf>
    <xf borderId="3" fillId="2" fontId="5" numFmtId="0" xfId="0" applyAlignment="1" applyBorder="1" applyFont="1">
      <alignment horizontal="center" readingOrder="0" vertical="bottom"/>
    </xf>
    <xf borderId="2" fillId="4" fontId="3" numFmtId="164" xfId="0" applyAlignment="1" applyBorder="1" applyFont="1" applyNumberFormat="1">
      <alignment horizontal="center" shrinkToFit="0" vertical="bottom" wrapText="0"/>
    </xf>
    <xf borderId="0" fillId="0" fontId="6" numFmtId="0" xfId="0" applyFont="1"/>
    <xf borderId="4" fillId="3" fontId="7" numFmtId="0" xfId="0" applyAlignment="1" applyBorder="1" applyFont="1">
      <alignment horizontal="center" vertical="bottom"/>
    </xf>
    <xf borderId="5" fillId="0" fontId="8" numFmtId="0" xfId="0" applyBorder="1" applyFont="1"/>
    <xf borderId="2" fillId="3" fontId="7" numFmtId="0" xfId="0" applyAlignment="1" applyBorder="1" applyFont="1">
      <alignment vertical="bottom"/>
    </xf>
    <xf borderId="6" fillId="0" fontId="8" numFmtId="0" xfId="0" applyBorder="1" applyFont="1"/>
    <xf borderId="4" fillId="5" fontId="7" numFmtId="0" xfId="0" applyAlignment="1" applyBorder="1" applyFill="1" applyFont="1">
      <alignment horizontal="center" vertical="bottom"/>
    </xf>
    <xf borderId="7" fillId="0" fontId="9" numFmtId="0" xfId="0" applyAlignment="1" applyBorder="1" applyFont="1">
      <alignment horizontal="right" vertical="bottom"/>
    </xf>
    <xf borderId="2" fillId="5" fontId="7" numFmtId="0" xfId="0" applyAlignment="1" applyBorder="1" applyFont="1">
      <alignment readingOrder="0" vertical="bottom"/>
    </xf>
    <xf borderId="0" fillId="0" fontId="10" numFmtId="0" xfId="0" applyAlignment="1" applyFont="1">
      <alignment shrinkToFit="0" vertical="bottom" wrapText="1"/>
    </xf>
    <xf borderId="8" fillId="6" fontId="4" numFmtId="0" xfId="0" applyAlignment="1" applyBorder="1" applyFill="1" applyFont="1">
      <alignment vertical="bottom"/>
    </xf>
    <xf borderId="2" fillId="5" fontId="7" numFmtId="0" xfId="0" applyAlignment="1" applyBorder="1" applyFont="1">
      <alignment vertical="bottom"/>
    </xf>
    <xf borderId="7" fillId="6" fontId="4" numFmtId="0" xfId="0" applyAlignment="1" applyBorder="1" applyFont="1">
      <alignment vertical="bottom"/>
    </xf>
    <xf borderId="2" fillId="3" fontId="7" numFmtId="0" xfId="0" applyAlignment="1" applyBorder="1" applyFont="1">
      <alignment readingOrder="0" vertical="bottom"/>
    </xf>
    <xf borderId="0" fillId="6" fontId="4" numFmtId="0" xfId="0" applyAlignment="1" applyFont="1">
      <alignment vertical="bottom"/>
    </xf>
    <xf borderId="0" fillId="0" fontId="10" numFmtId="0" xfId="0" applyAlignment="1" applyFont="1">
      <alignment readingOrder="0" vertical="bottom"/>
    </xf>
    <xf borderId="4" fillId="3" fontId="7" numFmtId="0" xfId="0" applyAlignment="1" applyBorder="1" applyFont="1">
      <alignment horizontal="center" readingOrder="0" vertical="bottom"/>
    </xf>
    <xf borderId="8" fillId="0" fontId="10" numFmtId="0" xfId="0" applyAlignment="1" applyBorder="1" applyFont="1">
      <alignment readingOrder="0" vertical="bottom"/>
    </xf>
    <xf borderId="4" fillId="5" fontId="7" numFmtId="0" xfId="0" applyAlignment="1" applyBorder="1" applyFont="1">
      <alignment horizontal="center" readingOrder="0" vertical="bottom"/>
    </xf>
    <xf borderId="0" fillId="0" fontId="10" numFmtId="0" xfId="0" applyAlignment="1" applyFont="1">
      <alignment vertical="bottom"/>
    </xf>
    <xf borderId="8" fillId="0" fontId="4" numFmtId="0" xfId="0" applyAlignment="1" applyBorder="1" applyFont="1">
      <alignment vertical="bottom"/>
    </xf>
    <xf borderId="1" fillId="6" fontId="4" numFmtId="0" xfId="0" applyAlignment="1" applyBorder="1" applyFont="1">
      <alignment vertical="bottom"/>
    </xf>
    <xf borderId="2" fillId="6" fontId="4" numFmtId="0" xfId="0" applyAlignment="1" applyBorder="1" applyFont="1">
      <alignment vertical="bottom"/>
    </xf>
    <xf borderId="2" fillId="3" fontId="11" numFmtId="0" xfId="0" applyAlignment="1" applyBorder="1" applyFont="1">
      <alignment readingOrder="0" vertical="bottom"/>
    </xf>
    <xf borderId="4" fillId="0" fontId="9" numFmtId="0" xfId="0" applyAlignment="1" applyBorder="1" applyFont="1">
      <alignment horizontal="right" vertical="bottom"/>
    </xf>
    <xf borderId="1" fillId="0" fontId="10" numFmtId="0" xfId="0" applyAlignment="1" applyBorder="1" applyFont="1">
      <alignment readingOrder="0" vertical="bottom"/>
    </xf>
    <xf borderId="2" fillId="0" fontId="8" numFmtId="0" xfId="0" applyBorder="1" applyFont="1"/>
    <xf borderId="1" fillId="0" fontId="4" numFmtId="0" xfId="0" applyBorder="1" applyFont="1"/>
    <xf borderId="1" fillId="0" fontId="8" numFmtId="0" xfId="0" applyBorder="1" applyFont="1"/>
    <xf borderId="9" fillId="0" fontId="9" numFmtId="0" xfId="0" applyAlignment="1" applyBorder="1" applyFont="1">
      <alignment horizontal="center" vertical="bottom"/>
    </xf>
    <xf borderId="2" fillId="5" fontId="7" numFmtId="0" xfId="0" applyAlignment="1" applyBorder="1" applyFont="1">
      <alignment readingOrder="0" shrinkToFit="0" vertical="bottom" wrapText="1"/>
    </xf>
    <xf borderId="1" fillId="7" fontId="12" numFmtId="0" xfId="0" applyAlignment="1" applyBorder="1" applyFill="1" applyFont="1">
      <alignment horizontal="center" readingOrder="0" vertical="bottom"/>
    </xf>
    <xf borderId="2" fillId="3" fontId="7" numFmtId="0" xfId="0" applyAlignment="1" applyBorder="1" applyFont="1">
      <alignment readingOrder="0" shrinkToFit="0" vertical="bottom" wrapText="1"/>
    </xf>
    <xf borderId="9" fillId="2" fontId="13" numFmtId="0" xfId="0" applyAlignment="1" applyBorder="1" applyFont="1">
      <alignment horizontal="center" vertical="bottom"/>
    </xf>
    <xf borderId="10" fillId="0" fontId="9" numFmtId="0" xfId="0" applyAlignment="1" applyBorder="1" applyFont="1">
      <alignment vertical="top"/>
    </xf>
    <xf borderId="0" fillId="0" fontId="10" numFmtId="0" xfId="0" applyAlignment="1" applyFont="1">
      <alignment shrinkToFit="0" vertical="top" wrapText="1"/>
    </xf>
    <xf borderId="8" fillId="0" fontId="8" numFmtId="0" xfId="0" applyBorder="1" applyFont="1"/>
    <xf borderId="9" fillId="0" fontId="9" numFmtId="0" xfId="0" applyAlignment="1" applyBorder="1" applyFont="1">
      <alignment vertical="top"/>
    </xf>
    <xf borderId="1" fillId="0" fontId="10" numFmtId="0" xfId="0" applyAlignment="1" applyBorder="1" applyFont="1">
      <alignment shrinkToFit="0" vertical="top" wrapText="1"/>
    </xf>
    <xf borderId="0" fillId="0" fontId="14" numFmtId="0" xfId="0" applyAlignment="1" applyFont="1">
      <alignment readingOrder="0"/>
    </xf>
    <xf borderId="0" fillId="0" fontId="14" numFmtId="0" xfId="0" applyAlignment="1" applyFont="1">
      <alignment readingOrder="0"/>
    </xf>
    <xf borderId="0" fillId="0" fontId="14" numFmtId="0" xfId="0" applyAlignment="1" applyFont="1">
      <alignment readingOrder="0" shrinkToFit="0" wrapText="1"/>
    </xf>
    <xf borderId="0" fillId="0" fontId="14" numFmtId="0" xfId="0" applyAlignment="1" applyFont="1">
      <alignment readingOrder="0" shrinkToFit="0" vertical="center" wrapText="1"/>
    </xf>
    <xf borderId="0" fillId="0" fontId="14" numFmtId="0" xfId="0" applyAlignment="1" applyFont="1">
      <alignment horizontal="center" readingOrder="0"/>
    </xf>
    <xf borderId="0" fillId="0" fontId="4" numFmtId="0" xfId="0" applyFont="1"/>
    <xf borderId="0" fillId="0" fontId="4" numFmtId="0" xfId="0" applyAlignment="1" applyFont="1">
      <alignment readingOrder="0"/>
    </xf>
    <xf borderId="0" fillId="0" fontId="4" numFmtId="0" xfId="0" applyAlignment="1" applyFont="1">
      <alignment readingOrder="0" shrinkToFit="0" vertical="center" wrapText="1"/>
    </xf>
    <xf borderId="0" fillId="3" fontId="2" numFmtId="0" xfId="0" applyFont="1"/>
    <xf borderId="0" fillId="0" fontId="4" numFmtId="165" xfId="0" applyAlignment="1" applyFont="1" applyNumberFormat="1">
      <alignment readingOrder="0"/>
    </xf>
    <xf borderId="0" fillId="0" fontId="4" numFmtId="0" xfId="0" applyAlignment="1" applyFont="1">
      <alignment shrinkToFit="0" wrapText="1"/>
    </xf>
    <xf borderId="0" fillId="0" fontId="4" numFmtId="166" xfId="0" applyAlignment="1" applyFont="1" applyNumberFormat="1">
      <alignment readingOrder="0"/>
    </xf>
    <xf borderId="0" fillId="0" fontId="4" numFmtId="166" xfId="0" applyFont="1" applyNumberFormat="1"/>
    <xf borderId="0" fillId="0" fontId="4" numFmtId="165" xfId="0" applyFont="1" applyNumberFormat="1"/>
    <xf borderId="0" fillId="0" fontId="4" numFmtId="167" xfId="0" applyFont="1" applyNumberFormat="1"/>
    <xf borderId="0" fillId="3" fontId="2" numFmtId="166" xfId="0" applyFont="1" applyNumberFormat="1"/>
    <xf borderId="0" fillId="0" fontId="4" numFmtId="0" xfId="0" applyAlignment="1" applyFont="1">
      <alignment readingOrder="0"/>
    </xf>
    <xf borderId="0" fillId="0" fontId="14" numFmtId="0" xfId="0" applyAlignment="1" applyFont="1">
      <alignment horizontal="center"/>
    </xf>
    <xf borderId="0" fillId="3" fontId="15" numFmtId="0" xfId="0" applyAlignment="1" applyFont="1">
      <alignment readingOrder="0"/>
    </xf>
    <xf borderId="0" fillId="3" fontId="16" numFmtId="0" xfId="0" applyAlignment="1" applyFont="1">
      <alignment readingOrder="0" shrinkToFit="0" vertical="center" wrapText="1"/>
    </xf>
    <xf borderId="0" fillId="3" fontId="16" numFmtId="0" xfId="0" applyAlignment="1" applyFont="1">
      <alignment readingOrder="0"/>
    </xf>
    <xf borderId="0" fillId="0" fontId="14" numFmtId="0" xfId="0" applyAlignment="1" applyFont="1">
      <alignment readingOrder="0" shrinkToFit="0" wrapText="1"/>
    </xf>
    <xf borderId="0" fillId="0" fontId="4" numFmtId="0" xfId="0" applyAlignment="1" applyFont="1">
      <alignment readingOrder="0" shrinkToFit="0" wrapText="1"/>
    </xf>
    <xf borderId="0" fillId="0" fontId="17" numFmtId="0" xfId="0" applyFont="1"/>
    <xf borderId="0" fillId="3" fontId="2" numFmtId="0" xfId="0" applyAlignment="1" applyFont="1">
      <alignment readingOrder="0"/>
    </xf>
    <xf borderId="0" fillId="0" fontId="4" numFmtId="167" xfId="0" applyAlignment="1" applyFont="1" applyNumberFormat="1">
      <alignment readingOrder="0"/>
    </xf>
    <xf borderId="0" fillId="0" fontId="4" numFmtId="168" xfId="0" applyAlignment="1" applyFont="1" applyNumberFormat="1">
      <alignment readingOrder="0"/>
    </xf>
    <xf borderId="0" fillId="3" fontId="18" numFmtId="0" xfId="0" applyAlignment="1" applyFont="1">
      <alignment readingOrder="0"/>
    </xf>
    <xf borderId="0" fillId="0" fontId="14" numFmtId="0" xfId="0" applyAlignment="1" applyFont="1">
      <alignment horizontal="center" readingOrder="0"/>
    </xf>
    <xf borderId="0" fillId="0" fontId="2" numFmtId="0" xfId="0" applyFont="1"/>
    <xf borderId="0" fillId="0" fontId="2" numFmtId="0" xfId="0" applyFont="1"/>
    <xf borderId="0" fillId="3" fontId="2" numFmtId="0" xfId="0" applyAlignment="1" applyFont="1">
      <alignment readingOrder="0"/>
    </xf>
    <xf borderId="0" fillId="0" fontId="4" numFmtId="0" xfId="0" applyAlignment="1" applyFont="1">
      <alignment readingOrder="0" shrinkToFit="0" wrapText="0"/>
    </xf>
    <xf borderId="0" fillId="3" fontId="19" numFmtId="166" xfId="0" applyAlignment="1" applyFont="1" applyNumberFormat="1">
      <alignment readingOrder="0"/>
    </xf>
    <xf borderId="0" fillId="3" fontId="19" numFmtId="169" xfId="0" applyAlignment="1" applyFont="1" applyNumberFormat="1">
      <alignment readingOrder="0"/>
    </xf>
    <xf borderId="0" fillId="0" fontId="4" numFmtId="167" xfId="0" applyAlignment="1" applyFont="1" applyNumberFormat="1">
      <alignment readingOrder="0"/>
    </xf>
    <xf borderId="0" fillId="0" fontId="4" numFmtId="0" xfId="0" applyAlignment="1" applyFont="1">
      <alignment shrinkToFit="0" wrapText="0"/>
    </xf>
    <xf borderId="0" fillId="0" fontId="4" numFmtId="166" xfId="0" applyAlignment="1" applyFont="1" applyNumberFormat="1">
      <alignment readingOrder="0"/>
    </xf>
    <xf borderId="0" fillId="3" fontId="2" numFmtId="0" xfId="0" applyAlignment="1" applyFont="1">
      <alignment horizontal="left" readingOrder="0"/>
    </xf>
    <xf borderId="0" fillId="0" fontId="4" numFmtId="169" xfId="0" applyAlignment="1" applyFont="1" applyNumberFormat="1">
      <alignment readingOrder="0"/>
    </xf>
    <xf borderId="0" fillId="0" fontId="20" numFmtId="0" xfId="0" applyAlignment="1" applyFont="1">
      <alignment readingOrder="0"/>
    </xf>
    <xf borderId="0" fillId="0" fontId="8" numFmtId="0" xfId="0" applyAlignment="1" applyFont="1">
      <alignment readingOrder="0"/>
    </xf>
    <xf borderId="0" fillId="0" fontId="4" numFmtId="0" xfId="0" applyAlignment="1" applyFont="1">
      <alignment shrinkToFit="0" wrapText="0"/>
    </xf>
    <xf borderId="0" fillId="3" fontId="2" numFmtId="166" xfId="0" applyAlignment="1" applyFont="1" applyNumberFormat="1">
      <alignment readingOrder="0"/>
    </xf>
    <xf borderId="0" fillId="8" fontId="21" numFmtId="166" xfId="0" applyAlignment="1" applyFill="1" applyFont="1" applyNumberFormat="1">
      <alignment horizontal="right" readingOrder="0"/>
    </xf>
    <xf borderId="0" fillId="3" fontId="22" numFmtId="0" xfId="0" applyAlignment="1" applyFont="1">
      <alignment readingOrder="0"/>
    </xf>
    <xf borderId="0" fillId="3" fontId="23" numFmtId="0" xfId="0" applyAlignment="1" applyFont="1">
      <alignment readingOrder="0"/>
    </xf>
    <xf borderId="0" fillId="0" fontId="14" numFmtId="0" xfId="0" applyAlignment="1" applyFont="1">
      <alignment readingOrder="0" shrinkToFit="0" vertical="top" wrapText="1"/>
    </xf>
    <xf borderId="0" fillId="0" fontId="4" numFmtId="0" xfId="0" applyAlignment="1" applyFont="1">
      <alignment shrinkToFit="0" vertical="top" wrapText="1"/>
    </xf>
  </cellXfs>
  <cellStyles count="1">
    <cellStyle xfId="0" name="Normal" builtinId="0"/>
  </cellStyles>
  <dxfs count="29">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00FF00"/>
          <bgColor rgb="FF00FF00"/>
        </patternFill>
      </fill>
      <border/>
    </dxf>
    <dxf>
      <font/>
      <fill>
        <patternFill patternType="solid">
          <fgColor rgb="FFFF0000"/>
          <bgColor rgb="FFFF0000"/>
        </patternFill>
      </fill>
      <border/>
    </dxf>
    <dxf>
      <font/>
      <fill>
        <patternFill patternType="solid">
          <fgColor rgb="FFFFFF00"/>
          <bgColor rgb="FFFFFF00"/>
        </patternFill>
      </fill>
      <border/>
    </dxf>
    <dxf>
      <font/>
      <fill>
        <patternFill patternType="solid">
          <fgColor rgb="FFFDDCE8"/>
          <bgColor rgb="FFFDDCE8"/>
        </patternFill>
      </fill>
      <border/>
    </dxf>
    <dxf>
      <font/>
      <fill>
        <patternFill patternType="solid">
          <fgColor rgb="FFE91D63"/>
          <bgColor rgb="FFE91D63"/>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26A69A"/>
          <bgColor rgb="FF26A69A"/>
        </patternFill>
      </fill>
      <border/>
    </dxf>
    <dxf>
      <font/>
      <fill>
        <patternFill patternType="solid">
          <fgColor rgb="FF4DD0E1"/>
          <bgColor rgb="FF4DD0E1"/>
        </patternFill>
      </fill>
      <border/>
    </dxf>
    <dxf>
      <font/>
      <fill>
        <patternFill patternType="solid">
          <fgColor rgb="FFDDF2F0"/>
          <bgColor rgb="FFDDF2F0"/>
        </patternFill>
      </fill>
      <border/>
    </dxf>
    <dxf>
      <font/>
      <fill>
        <patternFill patternType="solid">
          <fgColor rgb="FFE0F7FA"/>
          <bgColor rgb="FFE0F7FA"/>
        </patternFill>
      </fill>
      <border/>
    </dxf>
    <dxf>
      <font/>
      <fill>
        <patternFill patternType="solid">
          <fgColor rgb="FF78909C"/>
          <bgColor rgb="FF78909C"/>
        </patternFill>
      </fill>
      <border/>
    </dxf>
    <dxf>
      <font/>
      <fill>
        <patternFill patternType="solid">
          <fgColor rgb="FFEBEFF1"/>
          <bgColor rgb="FFEBEFF1"/>
        </patternFill>
      </fill>
      <border/>
    </dxf>
    <dxf>
      <font/>
      <fill>
        <patternFill patternType="solid">
          <fgColor rgb="FF8BC34A"/>
          <bgColor rgb="FF8BC34A"/>
        </patternFill>
      </fill>
      <border/>
    </dxf>
    <dxf>
      <font/>
      <fill>
        <patternFill patternType="solid">
          <fgColor rgb="FFEEF7E3"/>
          <bgColor rgb="FFEEF7E3"/>
        </patternFill>
      </fill>
      <border/>
    </dxf>
    <dxf>
      <font/>
      <fill>
        <patternFill patternType="solid">
          <fgColor rgb="FF63D297"/>
          <bgColor rgb="FF63D297"/>
        </patternFill>
      </fill>
      <border/>
    </dxf>
    <dxf>
      <font/>
      <fill>
        <patternFill patternType="solid">
          <fgColor rgb="FFE7F9EF"/>
          <bgColor rgb="FFE7F9EF"/>
        </patternFill>
      </fill>
      <border/>
    </dxf>
    <dxf>
      <font/>
      <fill>
        <patternFill patternType="solid">
          <fgColor rgb="FFCCA677"/>
          <bgColor rgb="FFCCA677"/>
        </patternFill>
      </fill>
      <border/>
    </dxf>
    <dxf>
      <font/>
      <fill>
        <patternFill patternType="solid">
          <fgColor rgb="FFF8F2EB"/>
          <bgColor rgb="FFF8F2EB"/>
        </patternFill>
      </fill>
      <border/>
    </dxf>
    <dxf>
      <font/>
      <fill>
        <patternFill patternType="solid">
          <fgColor rgb="FFF7CB4D"/>
          <bgColor rgb="FFF7CB4D"/>
        </patternFill>
      </fill>
      <border/>
    </dxf>
    <dxf>
      <font/>
      <fill>
        <patternFill patternType="solid">
          <fgColor rgb="FFFEF8E3"/>
          <bgColor rgb="FFFEF8E3"/>
        </patternFill>
      </fill>
      <border/>
    </dxf>
  </dxfs>
  <tableStyles count="32">
    <tableStyle count="3" pivot="0" name="Stage list-style">
      <tableStyleElement dxfId="1" type="headerRow"/>
      <tableStyleElement dxfId="2" type="firstRowStripe"/>
      <tableStyleElement dxfId="3" type="secondRowStripe"/>
    </tableStyle>
    <tableStyle count="2" pivot="0" name="Stage 2-style">
      <tableStyleElement dxfId="2" type="firstRowStripe"/>
      <tableStyleElement dxfId="7" type="secondRowStripe"/>
    </tableStyle>
    <tableStyle count="3" pivot="0" name="Stage 3-style">
      <tableStyleElement dxfId="8" type="headerRow"/>
      <tableStyleElement dxfId="2" type="firstRowStripe"/>
      <tableStyleElement dxfId="7" type="secondRowStripe"/>
    </tableStyle>
    <tableStyle count="3" pivot="0" name="Stage 4, Day 1-style">
      <tableStyleElement dxfId="9" type="headerRow"/>
      <tableStyleElement dxfId="2" type="firstRowStripe"/>
      <tableStyleElement dxfId="10" type="secondRowStripe"/>
    </tableStyle>
    <tableStyle count="3" pivot="0" name="Stage 1-style">
      <tableStyleElement dxfId="8" type="headerRow"/>
      <tableStyleElement dxfId="2" type="firstRowStripe"/>
      <tableStyleElement dxfId="7" type="secondRowStripe"/>
    </tableStyle>
    <tableStyle count="3" pivot="0" name="Stage 5, Day 1-style">
      <tableStyleElement dxfId="8" type="headerRow"/>
      <tableStyleElement dxfId="2" type="firstRowStripe"/>
      <tableStyleElement dxfId="7" type="secondRowStripe"/>
    </tableStyle>
    <tableStyle count="3" pivot="0" name="Stage 5, Day 2-style">
      <tableStyleElement dxfId="8" type="headerRow"/>
      <tableStyleElement dxfId="2" type="firstRowStripe"/>
      <tableStyleElement dxfId="7" type="secondRowStripe"/>
    </tableStyle>
    <tableStyle count="3" pivot="0" name="Stage 4, Day 2&amp;3-style">
      <tableStyleElement dxfId="11" type="headerRow"/>
      <tableStyleElement dxfId="2" type="firstRowStripe"/>
      <tableStyleElement dxfId="12" type="secondRowStripe"/>
    </tableStyle>
    <tableStyle count="3" pivot="0" name="Stage 5, Day 3-style">
      <tableStyleElement dxfId="8" type="headerRow"/>
      <tableStyleElement dxfId="2" type="firstRowStripe"/>
      <tableStyleElement dxfId="7" type="secondRowStripe"/>
    </tableStyle>
    <tableStyle count="3" pivot="0" name="Stage 6, Day 3-style">
      <tableStyleElement dxfId="13" type="headerRow"/>
      <tableStyleElement dxfId="2" type="firstRowStripe"/>
      <tableStyleElement dxfId="14" type="secondRowStripe"/>
    </tableStyle>
    <tableStyle count="3" pivot="0" name="Stage 6, Day 1-style">
      <tableStyleElement dxfId="15" type="headerRow"/>
      <tableStyleElement dxfId="2" type="firstRowStripe"/>
      <tableStyleElement dxfId="17" type="secondRowStripe"/>
    </tableStyle>
    <tableStyle count="3" pivot="0" name="Stage 6, Day 2-style">
      <tableStyleElement dxfId="16" type="headerRow"/>
      <tableStyleElement dxfId="2" type="firstRowStripe"/>
      <tableStyleElement dxfId="18" type="secondRowStripe"/>
    </tableStyle>
    <tableStyle count="3" pivot="0" name="Stage 8, Day 1-style">
      <tableStyleElement dxfId="19" type="headerRow"/>
      <tableStyleElement dxfId="2" type="firstRowStripe"/>
      <tableStyleElement dxfId="20" type="secondRowStripe"/>
    </tableStyle>
    <tableStyle count="3" pivot="0" name="Stage 8, Day 2&amp;3-style">
      <tableStyleElement dxfId="21" type="headerRow"/>
      <tableStyleElement dxfId="2" type="firstRowStripe"/>
      <tableStyleElement dxfId="22" type="secondRowStripe"/>
    </tableStyle>
    <tableStyle count="3" pivot="0" name="Stage 9, Day 1-style">
      <tableStyleElement dxfId="11" type="headerRow"/>
      <tableStyleElement dxfId="2" type="firstRowStripe"/>
      <tableStyleElement dxfId="12" type="secondRowStripe"/>
    </tableStyle>
    <tableStyle count="2" pivot="0" name="TEST-style">
      <tableStyleElement dxfId="2" type="firstRowStripe"/>
      <tableStyleElement dxfId="22" type="secondRowStripe"/>
    </tableStyle>
    <tableStyle count="3" pivot="0" name="Stage 10, Day 1-style">
      <tableStyleElement dxfId="1" type="headerRow"/>
      <tableStyleElement dxfId="2" type="firstRowStripe"/>
      <tableStyleElement dxfId="3" type="secondRowStripe"/>
    </tableStyle>
    <tableStyle count="3" pivot="0" name="Stage 7-style">
      <tableStyleElement dxfId="9" type="headerRow"/>
      <tableStyleElement dxfId="2" type="firstRowStripe"/>
      <tableStyleElement dxfId="10" type="secondRowStripe"/>
    </tableStyle>
    <tableStyle count="3" pivot="0" name="Stage 9, Day 2&amp;3-style">
      <tableStyleElement dxfId="23" type="headerRow"/>
      <tableStyleElement dxfId="2" type="firstRowStripe"/>
      <tableStyleElement dxfId="24" type="secondRowStripe"/>
    </tableStyle>
    <tableStyle count="3" pivot="0" name="Stage 10, Day 2-style">
      <tableStyleElement dxfId="8" type="headerRow"/>
      <tableStyleElement dxfId="2" type="firstRowStripe"/>
      <tableStyleElement dxfId="7" type="secondRowStripe"/>
    </tableStyle>
    <tableStyle count="3" pivot="0" name="Stage 10, Day 3-style">
      <tableStyleElement dxfId="11" type="headerRow"/>
      <tableStyleElement dxfId="2" type="firstRowStripe"/>
      <tableStyleElement dxfId="12" type="secondRowStripe"/>
    </tableStyle>
    <tableStyle count="3" pivot="0" name="Stage 11, Day 1&amp;2-style">
      <tableStyleElement dxfId="21" type="headerRow"/>
      <tableStyleElement dxfId="2" type="firstRowStripe"/>
      <tableStyleElement dxfId="22" type="secondRowStripe"/>
    </tableStyle>
    <tableStyle count="3" pivot="0" name="Stage 12-style">
      <tableStyleElement dxfId="19" type="headerRow"/>
      <tableStyleElement dxfId="2" type="firstRowStripe"/>
      <tableStyleElement dxfId="20" type="secondRowStripe"/>
    </tableStyle>
    <tableStyle count="3" pivot="0" name="Stage 13, Day 1-style">
      <tableStyleElement dxfId="8" type="headerRow"/>
      <tableStyleElement dxfId="2" type="firstRowStripe"/>
      <tableStyleElement dxfId="7" type="secondRowStripe"/>
    </tableStyle>
    <tableStyle count="3" pivot="0" name="Stage 13, Day 2&amp;3-style">
      <tableStyleElement dxfId="15" type="headerRow"/>
      <tableStyleElement dxfId="2" type="firstRowStripe"/>
      <tableStyleElement dxfId="17" type="secondRowStripe"/>
    </tableStyle>
    <tableStyle count="3" pivot="0" name="Stage 11, Day 3-style">
      <tableStyleElement dxfId="25" type="headerRow"/>
      <tableStyleElement dxfId="2" type="firstRowStripe"/>
      <tableStyleElement dxfId="26" type="secondRowStripe"/>
    </tableStyle>
    <tableStyle count="3" pivot="0" name="Stage 15, Day 3-style">
      <tableStyleElement dxfId="27" type="headerRow"/>
      <tableStyleElement dxfId="2" type="firstRowStripe"/>
      <tableStyleElement dxfId="28" type="secondRowStripe"/>
    </tableStyle>
    <tableStyle count="3" pivot="0" name="Stage 15, Day 1&amp;2-style">
      <tableStyleElement dxfId="13" type="headerRow"/>
      <tableStyleElement dxfId="2" type="firstRowStripe"/>
      <tableStyleElement dxfId="14" type="secondRowStripe"/>
    </tableStyle>
    <tableStyle count="3" pivot="0" name="Stage 14-style">
      <tableStyleElement dxfId="9" type="headerRow"/>
      <tableStyleElement dxfId="2" type="firstRowStripe"/>
      <tableStyleElement dxfId="10" type="secondRowStripe"/>
    </tableStyle>
    <tableStyle count="3" pivot="0" name="Stage 18-style">
      <tableStyleElement dxfId="1" type="headerRow"/>
      <tableStyleElement dxfId="2" type="firstRowStripe"/>
      <tableStyleElement dxfId="3" type="secondRowStripe"/>
    </tableStyle>
    <tableStyle count="3" pivot="0" name="Stage 16-style">
      <tableStyleElement dxfId="23" type="headerRow"/>
      <tableStyleElement dxfId="2" type="firstRowStripe"/>
      <tableStyleElement dxfId="24" type="secondRowStripe"/>
    </tableStyle>
    <tableStyle count="3" pivot="0" name="Stage 17-style">
      <tableStyleElement dxfId="16" type="headerRow"/>
      <tableStyleElement dxfId="2" type="firstRowStripe"/>
      <tableStyleElement dxfId="18"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2:D32" displayName="Table_1" id="1">
  <tableColumns count="4">
    <tableColumn name="Stage No." id="1"/>
    <tableColumn name="Name of Stage" id="2"/>
    <tableColumn name="Day" id="3"/>
    <tableColumn name="Location" id="4"/>
  </tableColumns>
  <tableStyleInfo name="Stage list-style" showColumnStripes="0" showFirstColumn="1" showLastColumn="1" showRowStripes="1"/>
</table>
</file>

<file path=xl/tables/table2.xml><?xml version="1.0" encoding="utf-8"?>
<table xmlns="http://schemas.openxmlformats.org/spreadsheetml/2006/main" headerRowCount="0" ref="A1:T621" displayName="Table_5" id="5">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headerRowCount="0" ref="M2:Q2" displayName="Table_2" id="2">
  <tableColumns count="5">
    <tableColumn name="Column1" id="1"/>
    <tableColumn name="Column2" id="2"/>
    <tableColumn name="Column3" id="3"/>
    <tableColumn name="Column4" id="4"/>
    <tableColumn name="Column5" id="5"/>
  </tableColumns>
  <tableStyleInfo name="Stage 2-style" showColumnStripes="0" showFirstColumn="1" showLastColumn="1" showRowStripes="1"/>
</table>
</file>

<file path=xl/tables/table4.xml><?xml version="1.0" encoding="utf-8"?>
<table xmlns="http://schemas.openxmlformats.org/spreadsheetml/2006/main" ref="M1:Q3" displayName="Table_3" id="3">
  <tableColumns count="5">
    <tableColumn name="YAL ID" id="1"/>
    <tableColumn name="File name" id="2"/>
    <tableColumn name="RECORDED" id="3"/>
    <tableColumn name="MP4" id="4"/>
    <tableColumn name="S3" id="5"/>
  </tableColumns>
  <tableStyleInfo name="Stage 3-style" showColumnStripes="0" showFirstColumn="1" showLastColumn="1" showRowStripes="1"/>
</table>
</file>

<file path=xl/tables/table5.xml><?xml version="1.0" encoding="utf-8"?>
<table xmlns="http://schemas.openxmlformats.org/spreadsheetml/2006/main" headerRowCount="0" ref="A1:T533" displayName="Table_4" id="4">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4, Day 1-style"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headerRowCount="0" ref="A1:T43" displayName="Table_8" id="8">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4, Day 2&amp;3-style"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M1:Q2" displayName="Table_6" id="6">
  <tableColumns count="5">
    <tableColumn name="YAL ID" id="1"/>
    <tableColumn name="File name" id="2"/>
    <tableColumn name="RECORDED" id="3"/>
    <tableColumn name="MP4" id="4"/>
    <tableColumn name="S3" id="5"/>
  </tableColumns>
  <tableStyleInfo name="Stage 5, Day 1-style" showColumnStripes="0" showFirstColumn="1" showLastColumn="1" showRowStripes="1"/>
</table>
</file>

<file path=xl/tables/table8.xml><?xml version="1.0" encoding="utf-8"?>
<table xmlns="http://schemas.openxmlformats.org/spreadsheetml/2006/main" ref="M1:Q2" displayName="Table_7" id="7">
  <tableColumns count="5">
    <tableColumn name="YAL ID" id="1"/>
    <tableColumn name="File name" id="2"/>
    <tableColumn name="RECORDED" id="3"/>
    <tableColumn name="MP4" id="4"/>
    <tableColumn name="S3" id="5"/>
  </tableColumns>
  <tableStyleInfo name="Stage 5, Day 2-style" showColumnStripes="0" showFirstColumn="1" showLastColumn="1" showRowStripes="1"/>
</table>
</file>

<file path=xl/tables/table9.xml><?xml version="1.0" encoding="utf-8"?>
<table xmlns="http://schemas.openxmlformats.org/spreadsheetml/2006/main" ref="M1:Q2" displayName="Table_9" id="9">
  <tableColumns count="5">
    <tableColumn name="YAL ID" id="1"/>
    <tableColumn name="File name" id="2"/>
    <tableColumn name="RECORDED" id="3"/>
    <tableColumn name="MP4" id="4"/>
    <tableColumn name="S3" id="5"/>
  </tableColumns>
  <tableStyleInfo name="Stage 5, Day 3-style" showColumnStripes="0" showFirstColumn="1" showLastColumn="1" showRowStripes="1"/>
</table>
</file>

<file path=xl/tables/table10.xml><?xml version="1.0" encoding="utf-8"?>
<table xmlns="http://schemas.openxmlformats.org/spreadsheetml/2006/main" headerRowCount="0" ref="A1:T521" displayName="Table_12" id="12">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6, Day 1-style" showColumnStripes="0" showFirstColumn="1" showLastColumn="1" showRowStripes="1"/>
  <extLst>
    <ext uri="GoogleSheetsCustomDataVersion1">
      <go:sheetsCustomData xmlns:go="http://customooxmlschemas.google.com/" headerRowCount="1"/>
    </ext>
  </extLst>
</table>
</file>

<file path=xl/tables/table11.xml><?xml version="1.0" encoding="utf-8"?>
<table xmlns="http://schemas.openxmlformats.org/spreadsheetml/2006/main" headerRowCount="0" ref="A1:T517" displayName="Table_11" id="11">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6, Day 2-style"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headerRowCount="0" ref="A1:T17" displayName="Table_10" id="10">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6, Day 3-style"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headerRowCount="0" ref="A1:T569" displayName="Table_18" id="18">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7-style" showColumnStripes="0" showFirstColumn="1" showLastColumn="1" showRowStripes="1"/>
  <extLst>
    <ext uri="GoogleSheetsCustomDataVersion1">
      <go:sheetsCustomData xmlns:go="http://customooxmlschemas.google.com/" headerRowCount="1"/>
    </ext>
  </extLst>
</table>
</file>

<file path=xl/tables/table14.xml><?xml version="1.0" encoding="utf-8"?>
<table xmlns="http://schemas.openxmlformats.org/spreadsheetml/2006/main" headerRowCount="0" ref="A1:T8" displayName="Table_13" id="13">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8, Day 1-style" showColumnStripes="0" showFirstColumn="1" showLastColumn="1" showRowStripes="1"/>
  <extLst>
    <ext uri="GoogleSheetsCustomDataVersion1">
      <go:sheetsCustomData xmlns:go="http://customooxmlschemas.google.com/" headerRowCount="1"/>
    </ext>
  </extLst>
</table>
</file>

<file path=xl/tables/table15.xml><?xml version="1.0" encoding="utf-8"?>
<table xmlns="http://schemas.openxmlformats.org/spreadsheetml/2006/main" headerRowCount="0" ref="A1:I12" displayName="Table_16" id="16">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TEST-style" showColumnStripes="0" showFirstColumn="1" showLastColumn="1" showRowStripes="1"/>
</table>
</file>

<file path=xl/tables/table16.xml><?xml version="1.0" encoding="utf-8"?>
<table xmlns="http://schemas.openxmlformats.org/spreadsheetml/2006/main" ref="A1:Q12" displayName="Table_14" id="14">
  <tableColumns count="17">
    <tableColumn name="Talk" id="1"/>
    <tableColumn name="Stage" id="2"/>
    <tableColumn name="Speaker" id="3"/>
    <tableColumn name="Time/Start" id="4"/>
    <tableColumn name="Time/End" id="5"/>
    <tableColumn name="ID" id="6"/>
    <tableColumn name="Start date" id="7"/>
    <tableColumn name="Start time" id="8"/>
    <tableColumn name="End date" id="9"/>
    <tableColumn name="End time" id="10"/>
    <tableColumn name="Duration" id="11"/>
    <tableColumn name="Formatting" id="12"/>
    <tableColumn name="YAL ID" id="13"/>
    <tableColumn name="File name" id="14"/>
    <tableColumn name="RECORDED" id="15"/>
    <tableColumn name="MP4" id="16"/>
    <tableColumn name="S3" id="17"/>
  </tableColumns>
  <tableStyleInfo name="Stage 8, Day 2&amp;3-style" showColumnStripes="0" showFirstColumn="1" showLastColumn="1" showRowStripes="1"/>
</table>
</file>

<file path=xl/tables/table17.xml><?xml version="1.0" encoding="utf-8"?>
<table xmlns="http://schemas.openxmlformats.org/spreadsheetml/2006/main" headerRowCount="0" ref="A1:T24" displayName="Table_15" id="15">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9, Day 1-style" showColumnStripes="0" showFirstColumn="1" showLastColumn="1" showRowStripes="1"/>
  <extLst>
    <ext uri="GoogleSheetsCustomDataVersion1">
      <go:sheetsCustomData xmlns:go="http://customooxmlschemas.google.com/" headerRowCount="1"/>
    </ext>
  </extLst>
</table>
</file>

<file path=xl/tables/table18.xml><?xml version="1.0" encoding="utf-8"?>
<table xmlns="http://schemas.openxmlformats.org/spreadsheetml/2006/main" headerRowCount="0" ref="A1:T549" displayName="Table_19" id="19">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9, Day 2&amp;3-style" showColumnStripes="0" showFirstColumn="1" showLastColumn="1" showRowStripes="1"/>
  <extLst>
    <ext uri="GoogleSheetsCustomDataVersion1">
      <go:sheetsCustomData xmlns:go="http://customooxmlschemas.google.com/" headerRowCount="1"/>
    </ext>
  </extLst>
</table>
</file>

<file path=xl/tables/table19.xml><?xml version="1.0" encoding="utf-8"?>
<table xmlns="http://schemas.openxmlformats.org/spreadsheetml/2006/main" headerRowCount="0" ref="A1:T23" displayName="Table_17" id="17">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0, Day 1-style" showColumnStripes="0" showFirstColumn="1" showLastColumn="1" showRowStripes="1"/>
  <extLst>
    <ext uri="GoogleSheetsCustomDataVersion1">
      <go:sheetsCustomData xmlns:go="http://customooxmlschemas.google.com/" headerRowCount="1"/>
    </ext>
  </extLst>
</table>
</file>

<file path=xl/tables/table20.xml><?xml version="1.0" encoding="utf-8"?>
<table xmlns="http://schemas.openxmlformats.org/spreadsheetml/2006/main" headerRowCount="0" ref="A1:T524" displayName="Table_20" id="20">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0, Day 2-style" showColumnStripes="0" showFirstColumn="1" showLastColumn="1" showRowStripes="1"/>
  <extLst>
    <ext uri="GoogleSheetsCustomDataVersion1">
      <go:sheetsCustomData xmlns:go="http://customooxmlschemas.google.com/" headerRowCount="1"/>
    </ext>
  </extLst>
</table>
</file>

<file path=xl/tables/table21.xml><?xml version="1.0" encoding="utf-8"?>
<table xmlns="http://schemas.openxmlformats.org/spreadsheetml/2006/main" headerRowCount="0" ref="A1:T523" displayName="Table_21" id="21">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0, Day 3-style" showColumnStripes="0" showFirstColumn="1" showLastColumn="1" showRowStripes="1"/>
  <extLst>
    <ext uri="GoogleSheetsCustomDataVersion1">
      <go:sheetsCustomData xmlns:go="http://customooxmlschemas.google.com/" headerRowCount="1"/>
    </ext>
  </extLst>
</table>
</file>

<file path=xl/tables/table22.xml><?xml version="1.0" encoding="utf-8"?>
<table xmlns="http://schemas.openxmlformats.org/spreadsheetml/2006/main" headerRowCount="0" ref="A1:T545" displayName="Table_22" id="22">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1, Day 1&amp;2-style" showColumnStripes="0" showFirstColumn="1" showLastColumn="1" showRowStripes="1"/>
  <extLst>
    <ext uri="GoogleSheetsCustomDataVersion1">
      <go:sheetsCustomData xmlns:go="http://customooxmlschemas.google.com/" headerRowCount="1"/>
    </ext>
  </extLst>
</table>
</file>

<file path=xl/tables/table23.xml><?xml version="1.0" encoding="utf-8"?>
<table xmlns="http://schemas.openxmlformats.org/spreadsheetml/2006/main" headerRowCount="0" ref="A1:T524" displayName="Table_26" id="26">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1, Day 3-style" showColumnStripes="0" showFirstColumn="1" showLastColumn="1" showRowStripes="1"/>
  <extLst>
    <ext uri="GoogleSheetsCustomDataVersion1">
      <go:sheetsCustomData xmlns:go="http://customooxmlschemas.google.com/" headerRowCount="1"/>
    </ext>
  </extLst>
</table>
</file>

<file path=xl/tables/table24.xml><?xml version="1.0" encoding="utf-8"?>
<table xmlns="http://schemas.openxmlformats.org/spreadsheetml/2006/main" headerRowCount="0" ref="A1:T197" displayName="Table_23" id="23">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2-style" showColumnStripes="0" showFirstColumn="1" showLastColumn="1" showRowStripes="1"/>
  <extLst>
    <ext uri="GoogleSheetsCustomDataVersion1">
      <go:sheetsCustomData xmlns:go="http://customooxmlschemas.google.com/" headerRowCount="1"/>
    </ext>
  </extLst>
</table>
</file>

<file path=xl/tables/table25.xml><?xml version="1.0" encoding="utf-8"?>
<table xmlns="http://schemas.openxmlformats.org/spreadsheetml/2006/main" ref="M1:Q2" displayName="Table_24" id="24">
  <tableColumns count="5">
    <tableColumn name="YAL ID" id="1"/>
    <tableColumn name="File name" id="2"/>
    <tableColumn name="RECORDED" id="3"/>
    <tableColumn name="MP4" id="4"/>
    <tableColumn name="S3" id="5"/>
  </tableColumns>
  <tableStyleInfo name="Stage 13, Day 1-style" showColumnStripes="0" showFirstColumn="1" showLastColumn="1" showRowStripes="1"/>
</table>
</file>

<file path=xl/tables/table26.xml><?xml version="1.0" encoding="utf-8"?>
<table xmlns="http://schemas.openxmlformats.org/spreadsheetml/2006/main" headerRowCount="0" ref="A1:T12" displayName="Table_25" id="25">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3, Day 2&amp;3-style" showColumnStripes="0" showFirstColumn="1" showLastColumn="1" showRowStripes="1"/>
  <extLst>
    <ext uri="GoogleSheetsCustomDataVersion1">
      <go:sheetsCustomData xmlns:go="http://customooxmlschemas.google.com/" headerRowCount="1"/>
    </ext>
  </extLst>
</table>
</file>

<file path=xl/tables/table27.xml><?xml version="1.0" encoding="utf-8"?>
<table xmlns="http://schemas.openxmlformats.org/spreadsheetml/2006/main" headerRowCount="0" ref="A1:T565" displayName="Table_29" id="29">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4-style" showColumnStripes="0" showFirstColumn="1" showLastColumn="1" showRowStripes="1"/>
  <extLst>
    <ext uri="GoogleSheetsCustomDataVersion1">
      <go:sheetsCustomData xmlns:go="http://customooxmlschemas.google.com/" headerRowCount="1"/>
    </ext>
  </extLst>
</table>
</file>

<file path=xl/tables/table28.xml><?xml version="1.0" encoding="utf-8"?>
<table xmlns="http://schemas.openxmlformats.org/spreadsheetml/2006/main" headerRowCount="0" ref="A1:T545" displayName="Table_28" id="28">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5, Day 1&amp;2-style" showColumnStripes="0" showFirstColumn="1" showLastColumn="1" showRowStripes="1"/>
  <extLst>
    <ext uri="GoogleSheetsCustomDataVersion1">
      <go:sheetsCustomData xmlns:go="http://customooxmlschemas.google.com/" headerRowCount="1"/>
    </ext>
  </extLst>
</table>
</file>

<file path=xl/tables/table29.xml><?xml version="1.0" encoding="utf-8"?>
<table xmlns="http://schemas.openxmlformats.org/spreadsheetml/2006/main" headerRowCount="0" ref="A1:T523" displayName="Table_27" id="27">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5, Day 3-style" showColumnStripes="0" showFirstColumn="1" showLastColumn="1" showRowStripes="1"/>
  <extLst>
    <ext uri="GoogleSheetsCustomDataVersion1">
      <go:sheetsCustomData xmlns:go="http://customooxmlschemas.google.com/" headerRowCount="1"/>
    </ext>
  </extLst>
</table>
</file>

<file path=xl/tables/table30.xml><?xml version="1.0" encoding="utf-8"?>
<table xmlns="http://schemas.openxmlformats.org/spreadsheetml/2006/main" headerRowCount="0" ref="A1:T560" displayName="Table_31" id="31">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6-style" showColumnStripes="0" showFirstColumn="1" showLastColumn="1" showRowStripes="1"/>
  <extLst>
    <ext uri="GoogleSheetsCustomDataVersion1">
      <go:sheetsCustomData xmlns:go="http://customooxmlschemas.google.com/" headerRowCount="1"/>
    </ext>
  </extLst>
</table>
</file>

<file path=xl/tables/table31.xml><?xml version="1.0" encoding="utf-8"?>
<table xmlns="http://schemas.openxmlformats.org/spreadsheetml/2006/main" headerRowCount="0" ref="A1:T568" displayName="Table_32" id="32">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7-style" showColumnStripes="0" showFirstColumn="1" showLastColumn="1" showRowStripes="1"/>
  <extLst>
    <ext uri="GoogleSheetsCustomDataVersion1">
      <go:sheetsCustomData xmlns:go="http://customooxmlschemas.google.com/" headerRowCount="1"/>
    </ext>
  </extLst>
</table>
</file>

<file path=xl/tables/table32.xml><?xml version="1.0" encoding="utf-8"?>
<table xmlns="http://schemas.openxmlformats.org/spreadsheetml/2006/main" headerRowCount="0" ref="A1:T564" displayName="Table_30" id="30">
  <tableColumns count="20">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s>
  <tableStyleInfo name="Stage 18-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binate.io" TargetMode="External"/><Relationship Id="rId10" Type="http://schemas.openxmlformats.org/officeDocument/2006/relationships/hyperlink" Target="http://binate.io" TargetMode="External"/><Relationship Id="rId13" Type="http://schemas.openxmlformats.org/officeDocument/2006/relationships/hyperlink" Target="http://binate.io" TargetMode="External"/><Relationship Id="rId12" Type="http://schemas.openxmlformats.org/officeDocument/2006/relationships/hyperlink" Target="http://binate.io" TargetMode="External"/><Relationship Id="rId1" Type="http://schemas.openxmlformats.org/officeDocument/2006/relationships/hyperlink" Target="http://binate.io" TargetMode="External"/><Relationship Id="rId2" Type="http://schemas.openxmlformats.org/officeDocument/2006/relationships/hyperlink" Target="http://binate.io" TargetMode="External"/><Relationship Id="rId3" Type="http://schemas.openxmlformats.org/officeDocument/2006/relationships/hyperlink" Target="http://binate.io" TargetMode="External"/><Relationship Id="rId4" Type="http://schemas.openxmlformats.org/officeDocument/2006/relationships/hyperlink" Target="http://binate.io" TargetMode="External"/><Relationship Id="rId9" Type="http://schemas.openxmlformats.org/officeDocument/2006/relationships/hyperlink" Target="http://binate.io" TargetMode="External"/><Relationship Id="rId15" Type="http://schemas.openxmlformats.org/officeDocument/2006/relationships/drawing" Target="../drawings/drawing1.xml"/><Relationship Id="rId14" Type="http://schemas.openxmlformats.org/officeDocument/2006/relationships/hyperlink" Target="http://binate.io" TargetMode="External"/><Relationship Id="rId5" Type="http://schemas.openxmlformats.org/officeDocument/2006/relationships/hyperlink" Target="http://binate.io" TargetMode="External"/><Relationship Id="rId6" Type="http://schemas.openxmlformats.org/officeDocument/2006/relationships/hyperlink" Target="http://amazon.ai" TargetMode="External"/><Relationship Id="rId7" Type="http://schemas.openxmlformats.org/officeDocument/2006/relationships/hyperlink" Target="http://binate.io" TargetMode="External"/><Relationship Id="rId8" Type="http://schemas.openxmlformats.org/officeDocument/2006/relationships/hyperlink" Target="http://binate.io"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binate.io" TargetMode="External"/><Relationship Id="rId2" Type="http://schemas.openxmlformats.org/officeDocument/2006/relationships/drawing" Target="../drawings/drawing3.xml"/><Relationship Id="rId4"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hyperlink" Target="http://amazon.ai" TargetMode="External"/><Relationship Id="rId2" Type="http://schemas.openxmlformats.org/officeDocument/2006/relationships/drawing" Target="../drawings/drawing4.xm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3"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3"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1" Type="http://schemas.openxmlformats.org/officeDocument/2006/relationships/hyperlink" Target="http://binate.io" TargetMode="External"/><Relationship Id="rId10" Type="http://schemas.openxmlformats.org/officeDocument/2006/relationships/hyperlink" Target="http://binate.io" TargetMode="External"/><Relationship Id="rId13" Type="http://schemas.openxmlformats.org/officeDocument/2006/relationships/hyperlink" Target="http://binate.io" TargetMode="External"/><Relationship Id="rId12" Type="http://schemas.openxmlformats.org/officeDocument/2006/relationships/hyperlink" Target="http://binate.io" TargetMode="External"/><Relationship Id="rId1" Type="http://schemas.openxmlformats.org/officeDocument/2006/relationships/hyperlink" Target="http://binate.io" TargetMode="External"/><Relationship Id="rId2" Type="http://schemas.openxmlformats.org/officeDocument/2006/relationships/hyperlink" Target="http://binate.io" TargetMode="External"/><Relationship Id="rId3" Type="http://schemas.openxmlformats.org/officeDocument/2006/relationships/hyperlink" Target="http://binate.io" TargetMode="External"/><Relationship Id="rId4" Type="http://schemas.openxmlformats.org/officeDocument/2006/relationships/hyperlink" Target="http://binate.io" TargetMode="External"/><Relationship Id="rId9" Type="http://schemas.openxmlformats.org/officeDocument/2006/relationships/hyperlink" Target="http://binate.io" TargetMode="External"/><Relationship Id="rId14" Type="http://schemas.openxmlformats.org/officeDocument/2006/relationships/drawing" Target="../drawings/drawing13.xml"/><Relationship Id="rId16" Type="http://schemas.openxmlformats.org/officeDocument/2006/relationships/table" Target="../tables/table11.xml"/><Relationship Id="rId5" Type="http://schemas.openxmlformats.org/officeDocument/2006/relationships/hyperlink" Target="http://binate.io" TargetMode="External"/><Relationship Id="rId6" Type="http://schemas.openxmlformats.org/officeDocument/2006/relationships/hyperlink" Target="http://binate.io" TargetMode="External"/><Relationship Id="rId7" Type="http://schemas.openxmlformats.org/officeDocument/2006/relationships/hyperlink" Target="http://binate.io" TargetMode="External"/><Relationship Id="rId8" Type="http://schemas.openxmlformats.org/officeDocument/2006/relationships/hyperlink" Target="http://binate.io"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3" Type="http://schemas.openxmlformats.org/officeDocument/2006/relationships/table" Target="../tables/table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 Id="rId3" Type="http://schemas.openxmlformats.org/officeDocument/2006/relationships/table" Target="../tables/table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 Id="rId3" Type="http://schemas.openxmlformats.org/officeDocument/2006/relationships/table" Target="../tables/table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 Id="rId3" Type="http://schemas.openxmlformats.org/officeDocument/2006/relationships/table" Target="../tables/table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 Id="rId3" Type="http://schemas.openxmlformats.org/officeDocument/2006/relationships/table" Target="../tables/table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 Id="rId3" Type="http://schemas.openxmlformats.org/officeDocument/2006/relationships/table" Target="../tables/table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 Id="rId3"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 Id="rId3" Type="http://schemas.openxmlformats.org/officeDocument/2006/relationships/table" Target="../tables/table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 Id="rId3" Type="http://schemas.openxmlformats.org/officeDocument/2006/relationships/table" Target="../tables/table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 Id="rId3" Type="http://schemas.openxmlformats.org/officeDocument/2006/relationships/table" Target="../tables/table2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 Id="rId3" Type="http://schemas.openxmlformats.org/officeDocument/2006/relationships/table" Target="../tables/table2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 Id="rId3" Type="http://schemas.openxmlformats.org/officeDocument/2006/relationships/table" Target="../tables/table2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 Id="rId3" Type="http://schemas.openxmlformats.org/officeDocument/2006/relationships/table" Target="../tables/table2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 Id="rId3" Type="http://schemas.openxmlformats.org/officeDocument/2006/relationships/table" Target="../tables/table2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 Id="rId3" Type="http://schemas.openxmlformats.org/officeDocument/2006/relationships/table" Target="../tables/table27.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 Id="rId3" Type="http://schemas.openxmlformats.org/officeDocument/2006/relationships/table" Target="../tables/table28.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 Id="rId3" Type="http://schemas.openxmlformats.org/officeDocument/2006/relationships/table" Target="../tables/table29.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 Id="rId3" Type="http://schemas.openxmlformats.org/officeDocument/2006/relationships/table" Target="../tables/table30.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 Id="rId3" Type="http://schemas.openxmlformats.org/officeDocument/2006/relationships/table" Target="../tables/table31.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 Id="rId3" Type="http://schemas.openxmlformats.org/officeDocument/2006/relationships/table" Target="../tables/table3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29.57"/>
  </cols>
  <sheetData>
    <row r="1">
      <c r="A1" s="2" t="str">
        <f>IFERROR(__xludf.DUMMYFUNCTION("IMPORTRANGE(""https://docs.google.com/spreadsheets/d/1LafAM4Ru3fZYEyt44J-Pixul0VV4Yfxmvu7hr5te-vg/edit#gid=1150202327"",""A:I"")"),"title")</f>
        <v>title</v>
      </c>
      <c r="B1" s="4" t="str">
        <f>IFERROR(__xludf.DUMMYFUNCTION("""COMPUTED_VALUE"""),"description")</f>
        <v>description</v>
      </c>
      <c r="C1" s="4" t="str">
        <f>IFERROR(__xludf.DUMMYFUNCTION("""COMPUTED_VALUE"""),"location")</f>
        <v>location</v>
      </c>
      <c r="D1" s="4" t="str">
        <f>IFERROR(__xludf.DUMMYFUNCTION("""COMPUTED_VALUE"""),"speakers")</f>
        <v>speakers</v>
      </c>
      <c r="E1" s="4" t="str">
        <f>IFERROR(__xludf.DUMMYFUNCTION("""COMPUTED_VALUE"""),"speakers_for_emails")</f>
        <v>speakers_for_emails</v>
      </c>
      <c r="F1" s="4" t="str">
        <f>IFERROR(__xludf.DUMMYFUNCTION("""COMPUTED_VALUE"""),"start_time")</f>
        <v>start_time</v>
      </c>
      <c r="G1" s="4" t="str">
        <f>IFERROR(__xludf.DUMMYFUNCTION("""COMPUTED_VALUE"""),"end_time")</f>
        <v>end_time</v>
      </c>
      <c r="H1" s="4" t="str">
        <f>IFERROR(__xludf.DUMMYFUNCTION("""COMPUTED_VALUE"""),"id")</f>
        <v>id</v>
      </c>
      <c r="I1" s="4" t="str">
        <f>IFERROR(__xludf.DUMMYFUNCTION("""COMPUTED_VALUE"""),"uuid")</f>
        <v>uuid</v>
      </c>
    </row>
    <row r="2">
      <c r="A2" s="4" t="str">
        <f>IFERROR(__xludf.DUMMYFUNCTION("""COMPUTED_VALUE"""),"Opening remarks")</f>
        <v>Opening remarks</v>
      </c>
      <c r="B2" s="4" t="str">
        <f>IFERROR(__xludf.DUMMYFUNCTION("""COMPUTED_VALUE"""),"")</f>
        <v/>
      </c>
      <c r="C2" s="8" t="str">
        <f>IFERROR(__xludf.DUMMYFUNCTION("""COMPUTED_VALUE"""),"binate.io")</f>
        <v>binate.io</v>
      </c>
      <c r="D2" s="4" t="str">
        <f>IFERROR(__xludf.DUMMYFUNCTION("""COMPUTED_VALUE"""),"Josh Holmes")</f>
        <v>Josh Holmes</v>
      </c>
      <c r="E2" s="4" t="str">
        <f>IFERROR(__xludf.DUMMYFUNCTION("""COMPUTED_VALUE"""),"Josh Holmes")</f>
        <v>Josh Holmes</v>
      </c>
      <c r="F2" s="4" t="str">
        <f>IFERROR(__xludf.DUMMYFUNCTION("""COMPUTED_VALUE"""),"2019/11/06 13:50:00")</f>
        <v>2019/11/06 13:50:00</v>
      </c>
      <c r="G2" s="4" t="str">
        <f>IFERROR(__xludf.DUMMYFUNCTION("""COMPUTED_VALUE"""),"2019/11/06 14:05:00")</f>
        <v>2019/11/06 14:05:00</v>
      </c>
      <c r="H2" s="4" t="str">
        <f>IFERROR(__xludf.DUMMYFUNCTION("""COMPUTED_VALUE"""),"9d714d63-b884-4c31-aee7-36124f71ac27")</f>
        <v>9d714d63-b884-4c31-aee7-36124f71ac27</v>
      </c>
      <c r="I2" s="4" t="str">
        <f>IFERROR(__xludf.DUMMYFUNCTION("""COMPUTED_VALUE"""),"9d714d63-b884-4c31-aee7-36124f71ac27")</f>
        <v>9d714d63-b884-4c31-aee7-36124f71ac27</v>
      </c>
    </row>
    <row r="3">
      <c r="A3" s="4" t="str">
        <f>IFERROR(__xludf.DUMMYFUNCTION("""COMPUTED_VALUE"""),"Has technology replaced religion?")</f>
        <v>Has technology replaced religion?</v>
      </c>
      <c r="B3" s="4" t="str">
        <f>IFERROR(__xludf.DUMMYFUNCTION("""COMPUTED_VALUE"""),"Religion and faith have played central roles in human society for centuries. However, with technological advancements that role is being increasingly questioned. In this session we will hear from both sides of the aisle about whether religion can still pl"&amp;"ay a role and if it can what that role might be.")</f>
        <v>Religion and faith have played central roles in human society for centuries. However, with technological advancements that role is being increasingly questioned. In this session we will hear from both sides of the aisle about whether religion can still play a role and if it can what that role might be.</v>
      </c>
      <c r="C3" s="4" t="str">
        <f>IFERROR(__xludf.DUMMYFUNCTION("""COMPUTED_VALUE"""),"Future Societies")</f>
        <v>Future Societies</v>
      </c>
      <c r="D3" s="4" t="str">
        <f>IFERROR(__xludf.DUMMYFUNCTION("""COMPUTED_VALUE"""),"Tony Campolo, Steve Petersen and Steve Clemons")</f>
        <v>Tony Campolo, Steve Petersen and Steve Clemons</v>
      </c>
      <c r="E3" s="4" t="str">
        <f>IFERROR(__xludf.DUMMYFUNCTION("""COMPUTED_VALUE"""),"Tony Campolo,Steve Petersen,Steve Clemons")</f>
        <v>Tony Campolo,Steve Petersen,Steve Clemons</v>
      </c>
      <c r="F3" s="4" t="str">
        <f>IFERROR(__xludf.DUMMYFUNCTION("""COMPUTED_VALUE"""),"2019/11/05 14:00:00")</f>
        <v>2019/11/05 14:00:00</v>
      </c>
      <c r="G3" s="4" t="str">
        <f>IFERROR(__xludf.DUMMYFUNCTION("""COMPUTED_VALUE"""),"2019/11/05 14:25:00")</f>
        <v>2019/11/05 14:25:00</v>
      </c>
      <c r="H3" s="4" t="str">
        <f>IFERROR(__xludf.DUMMYFUNCTION("""COMPUTED_VALUE"""),"8a633e90-7b95-455f-a099-73eacee56700")</f>
        <v>8a633e90-7b95-455f-a099-73eacee56700</v>
      </c>
      <c r="I3" s="4" t="str">
        <f>IFERROR(__xludf.DUMMYFUNCTION("""COMPUTED_VALUE"""),"8a633e90-7b95-455f-a099-73eacee56700")</f>
        <v>8a633e90-7b95-455f-a099-73eacee56700</v>
      </c>
    </row>
    <row r="4">
      <c r="A4" s="4" t="str">
        <f>IFERROR(__xludf.DUMMYFUNCTION("""COMPUTED_VALUE"""),"Consolidation of the agency world")</f>
        <v>Consolidation of the agency world</v>
      </c>
      <c r="B4" s="4" t="str">
        <f>IFERROR(__xludf.DUMMYFUNCTION("""COMPUTED_VALUE"""),"Big, consolidated agencies aren't exactly seen as sexy. But as consumer expectations evolve and technology speeds ahead, they're taking on a new appeal. Data now shows that integrated teams are the more successful teams. Let's hear from the leaders of the"&amp;" creative world.")</f>
        <v>Big, consolidated agencies aren't exactly seen as sexy. But as consumer expectations evolve and technology speeds ahead, they're taking on a new appeal. Data now shows that integrated teams are the more successful teams. Let's hear from the leaders of the creative world.</v>
      </c>
      <c r="C4" s="4" t="str">
        <f>IFERROR(__xludf.DUMMYFUNCTION("""COMPUTED_VALUE"""),"PandaConf")</f>
        <v>PandaConf</v>
      </c>
      <c r="D4" s="4" t="str">
        <f>IFERROR(__xludf.DUMMYFUNCTION("""COMPUTED_VALUE"""),"Mel Edwards, Sairah Ashman, Brian Collins and Michelle Castillo")</f>
        <v>Mel Edwards, Sairah Ashman, Brian Collins and Michelle Castillo</v>
      </c>
      <c r="E4" s="4" t="str">
        <f>IFERROR(__xludf.DUMMYFUNCTION("""COMPUTED_VALUE"""),"Mel Edwards,Sairah Ashman,Brian Collins,Michelle Castillo")</f>
        <v>Mel Edwards,Sairah Ashman,Brian Collins,Michelle Castillo</v>
      </c>
      <c r="F4" s="4" t="str">
        <f>IFERROR(__xludf.DUMMYFUNCTION("""COMPUTED_VALUE"""),"2019/11/05 12:10:00")</f>
        <v>2019/11/05 12:10:00</v>
      </c>
      <c r="G4" s="4" t="str">
        <f>IFERROR(__xludf.DUMMYFUNCTION("""COMPUTED_VALUE"""),"2019/11/05 12:35:00")</f>
        <v>2019/11/05 12:35:00</v>
      </c>
      <c r="H4" s="4" t="str">
        <f>IFERROR(__xludf.DUMMYFUNCTION("""COMPUTED_VALUE"""),"573ce78e-2bdf-41c6-a33f-860d08c777f3")</f>
        <v>573ce78e-2bdf-41c6-a33f-860d08c777f3</v>
      </c>
      <c r="I4" s="4" t="str">
        <f>IFERROR(__xludf.DUMMYFUNCTION("""COMPUTED_VALUE"""),"573ce78e-2bdf-41c6-a33f-860d08c777f3")</f>
        <v>573ce78e-2bdf-41c6-a33f-860d08c777f3</v>
      </c>
    </row>
    <row r="5">
      <c r="A5" s="4" t="str">
        <f>IFERROR(__xludf.DUMMYFUNCTION("""COMPUTED_VALUE"""),"Startup Showcase")</f>
        <v>Startup Showcase</v>
      </c>
      <c r="B5" s="4" t="str">
        <f>IFERROR(__xludf.DUMMYFUNCTION("""COMPUTED_VALUE"""),"On this brand new stage, expect quickfire presentations where startups will showcase their solutions to the future's biggest challenges. This hour focuses on  AI and data, covering topics like analytics, big data, ML processing and AI, computer vision, as"&amp;" well as AI-based applications in other sectors.
")</f>
        <v>On this brand new stage, expect quickfire presentations where startups will showcase their solutions to the future's biggest challenges. This hour focuses on  AI and data, covering topics like analytics, big data, ML processing and AI, computer vision, as well as AI-based applications in other sectors.
</v>
      </c>
      <c r="C5" s="4" t="str">
        <f>IFERROR(__xludf.DUMMYFUNCTION("""COMPUTED_VALUE"""),"Startup Showcase 2")</f>
        <v>Startup Showcase 2</v>
      </c>
      <c r="D5" s="4" t="str">
        <f>IFERROR(__xludf.DUMMYFUNCTION("""COMPUTED_VALUE"""),"Longzhen Han, Said Zadou, Heitor Fox, Jose Gonzalez, Fabiana Clemente, Sarah Faiz, Sergei Polevikov, Mari-Sanna Paukkeri, Gonçalo Ribeiro, Dmitry Gaiduk, Martin Hrisko, Ángel Cañestro, Travis Nadelhoffer, Jordy Aarts, Kristina Shimko, Stephen Longo, David"&amp;" Brami, Zaki Darouzi, Rui Teixeira Alves, Antoine Aarts, Kamil Borowik, Hiroki Imabayashi, Carlos Albo, Omid Asgari, Jakub Manas, Manuel Dominguez, Yusuke Maruyama, Tashfin Shafique, Michal Kiezik, Rebeca Jimenez, Benjamin Dight, Maxim Yatskevich, Benjami"&amp;"n Benichou, Simon Brami, Sandeep Mehta, Johannes King, Janne Huuskonen, Javier Cañestro, Giada Zanatta, Mariia Silina, Mizan Rahman, Alexander Thielecke, Madan Raj Rajagopal, Alexander Uhlig, Martin Cvicek, Miks Vasiljevs and Tuukka Josefsson")</f>
        <v>Longzhen Han, Said Zadou, Heitor Fox, Jose Gonzalez, Fabiana Clemente, Sarah Faiz, Sergei Polevikov, Mari-Sanna Paukkeri, Gonçalo Ribeiro, Dmitry Gaiduk, Martin Hrisko, Ángel Cañestro, Travis Nadelhoffer, Jordy Aarts, Kristina Shimko, Stephen Longo, David Brami, Zaki Darouzi, Rui Teixeira Alves, Antoine Aarts, Kamil Borowik, Hiroki Imabayashi, Carlos Albo, Omid Asgari, Jakub Manas, Manuel Dominguez, Yusuke Maruyama, Tashfin Shafique, Michal Kiezik, Rebeca Jimenez, Benjamin Dight, Maxim Yatskevich, Benjamin Benichou, Simon Brami, Sandeep Mehta, Johannes King, Janne Huuskonen, Javier Cañestro, Giada Zanatta, Mariia Silina, Mizan Rahman, Alexander Thielecke, Madan Raj Rajagopal, Alexander Uhlig, Martin Cvicek, Miks Vasiljevs and Tuukka Josefsson</v>
      </c>
      <c r="E5" s="4" t="str">
        <f>IFERROR(__xludf.DUMMYFUNCTION("""COMPUTED_VALUE"""),"Longzhen Han,Said Zadou,Heitor Fox,Jose Gonzalez,Fabiana Clemente,Sarah Faiz,Sergei Polevikov,Mari-Sanna Paukkeri,Gonçalo Ribeiro,Dmitry Gaiduk,Martin Hrisko,Ángel Cañestro,Travis Nadelhoffer,Jordy Aarts,Kristina Shimko,Stephen Longo,David Brami,Zaki Daro"&amp;"uzi,Rui Teixeira Alves,Antoine Aarts,Kamil Borowik,Hiroki Imabayashi,Carlos Albo,Omid Asgari,Jakub Manas,Manuel Dominguez,Yusuke Maruyama,Tashfin Shafique,Michal Kiezik,Rebeca Jimenez,Benjamin Dight,Maxim Yatskevich,Benjamin Benichou,Simon Brami,Sandeep M"&amp;"ehta,Johannes King,Janne Huuskonen,Javier Cañestro,Giada Zanatta,Mariia Silina,Mizan Rahman,Alexander Thielecke,Madan Raj Rajagopal,Alexander Uhlig,Martin Cvicek,Miks Vasiljevs,Tuukka Josefsson")</f>
        <v>Longzhen Han,Said Zadou,Heitor Fox,Jose Gonzalez,Fabiana Clemente,Sarah Faiz,Sergei Polevikov,Mari-Sanna Paukkeri,Gonçalo Ribeiro,Dmitry Gaiduk,Martin Hrisko,Ángel Cañestro,Travis Nadelhoffer,Jordy Aarts,Kristina Shimko,Stephen Longo,David Brami,Zaki Darouzi,Rui Teixeira Alves,Antoine Aarts,Kamil Borowik,Hiroki Imabayashi,Carlos Albo,Omid Asgari,Jakub Manas,Manuel Dominguez,Yusuke Maruyama,Tashfin Shafique,Michal Kiezik,Rebeca Jimenez,Benjamin Dight,Maxim Yatskevich,Benjamin Benichou,Simon Brami,Sandeep Mehta,Johannes King,Janne Huuskonen,Javier Cañestro,Giada Zanatta,Mariia Silina,Mizan Rahman,Alexander Thielecke,Madan Raj Rajagopal,Alexander Uhlig,Martin Cvicek,Miks Vasiljevs,Tuukka Josefsson</v>
      </c>
      <c r="F5" s="4" t="str">
        <f>IFERROR(__xludf.DUMMYFUNCTION("""COMPUTED_VALUE"""),"2019/11/07 16:15:00")</f>
        <v>2019/11/07 16:15:00</v>
      </c>
      <c r="G5" s="4" t="str">
        <f>IFERROR(__xludf.DUMMYFUNCTION("""COMPUTED_VALUE"""),"2019/11/07 17:15:00")</f>
        <v>2019/11/07 17:15:00</v>
      </c>
      <c r="H5" s="4" t="str">
        <f>IFERROR(__xludf.DUMMYFUNCTION("""COMPUTED_VALUE"""),"b86770fb-b821-48b5-856c-0354464bf35a")</f>
        <v>b86770fb-b821-48b5-856c-0354464bf35a</v>
      </c>
      <c r="I5" s="4" t="str">
        <f>IFERROR(__xludf.DUMMYFUNCTION("""COMPUTED_VALUE"""),"b86770fb-b821-48b5-856c-0354464bf35a")</f>
        <v>b86770fb-b821-48b5-856c-0354464bf35a</v>
      </c>
    </row>
    <row r="6">
      <c r="A6" s="4" t="str">
        <f>IFERROR(__xludf.DUMMYFUNCTION("""COMPUTED_VALUE"""),"Going global")</f>
        <v>Going global</v>
      </c>
      <c r="B6" s="4" t="str">
        <f>IFERROR(__xludf.DUMMYFUNCTION("""COMPUTED_VALUE"""),"Hear from Adludio CEO, Paul Coggins, on going global, and the challenges startups and scale ups face in opening offices overseas and where those offices should be based. ")</f>
        <v>Hear from Adludio CEO, Paul Coggins, on going global, and the challenges startups and scale ups face in opening offices overseas and where those offices should be based. </v>
      </c>
      <c r="C6" s="4" t="str">
        <f>IFERROR(__xludf.DUMMYFUNCTION("""COMPUTED_VALUE"""),"Growth Summit")</f>
        <v>Growth Summit</v>
      </c>
      <c r="D6" s="4" t="str">
        <f>IFERROR(__xludf.DUMMYFUNCTION("""COMPUTED_VALUE"""),"Paul Coggins")</f>
        <v>Paul Coggins</v>
      </c>
      <c r="E6" s="4" t="str">
        <f>IFERROR(__xludf.DUMMYFUNCTION("""COMPUTED_VALUE"""),"Paul Coggins")</f>
        <v>Paul Coggins</v>
      </c>
      <c r="F6" s="4" t="str">
        <f>IFERROR(__xludf.DUMMYFUNCTION("""COMPUTED_VALUE"""),"2019/11/07 10:34:00")</f>
        <v>2019/11/07 10:34:00</v>
      </c>
      <c r="G6" s="4" t="str">
        <f>IFERROR(__xludf.DUMMYFUNCTION("""COMPUTED_VALUE"""),"2019/11/07 10:38:00")</f>
        <v>2019/11/07 10:38:00</v>
      </c>
      <c r="H6" s="4" t="str">
        <f>IFERROR(__xludf.DUMMYFUNCTION("""COMPUTED_VALUE"""),"96b9f7e2-775d-408a-a509-3b78d464126f")</f>
        <v>96b9f7e2-775d-408a-a509-3b78d464126f</v>
      </c>
      <c r="I6" s="4" t="str">
        <f>IFERROR(__xludf.DUMMYFUNCTION("""COMPUTED_VALUE"""),"96b9f7e2-775d-408a-a509-3b78d464126f")</f>
        <v>96b9f7e2-775d-408a-a509-3b78d464126f</v>
      </c>
    </row>
    <row r="7">
      <c r="A7" s="4" t="str">
        <f>IFERROR(__xludf.DUMMYFUNCTION("""COMPUTED_VALUE"""),"Lunch break")</f>
        <v>Lunch break</v>
      </c>
      <c r="B7" s="4" t="str">
        <f>IFERROR(__xludf.DUMMYFUNCTION("""COMPUTED_VALUE"""),"")</f>
        <v/>
      </c>
      <c r="C7" s="4" t="str">
        <f>IFERROR(__xludf.DUMMYFUNCTION("""COMPUTED_VALUE"""),"Future Societies")</f>
        <v>Future Societies</v>
      </c>
      <c r="D7" s="4" t="str">
        <f>IFERROR(__xludf.DUMMYFUNCTION("""COMPUTED_VALUE"""),"")</f>
        <v/>
      </c>
      <c r="E7" s="4" t="str">
        <f>IFERROR(__xludf.DUMMYFUNCTION("""COMPUTED_VALUE"""),"")</f>
        <v/>
      </c>
      <c r="F7" s="4" t="str">
        <f>IFERROR(__xludf.DUMMYFUNCTION("""COMPUTED_VALUE"""),"2019/11/05 12:10:00")</f>
        <v>2019/11/05 12:10:00</v>
      </c>
      <c r="G7" s="4" t="str">
        <f>IFERROR(__xludf.DUMMYFUNCTION("""COMPUTED_VALUE"""),"2019/11/05 12:53:00")</f>
        <v>2019/11/05 12:53:00</v>
      </c>
      <c r="H7" s="4" t="str">
        <f>IFERROR(__xludf.DUMMYFUNCTION("""COMPUTED_VALUE"""),"aa326a5b-0ebc-41e4-ac88-b468893a93c1")</f>
        <v>aa326a5b-0ebc-41e4-ac88-b468893a93c1</v>
      </c>
      <c r="I7" s="4" t="str">
        <f>IFERROR(__xludf.DUMMYFUNCTION("""COMPUTED_VALUE"""),"aa326a5b-0ebc-41e4-ac88-b468893a93c1")</f>
        <v>aa326a5b-0ebc-41e4-ac88-b468893a93c1</v>
      </c>
    </row>
    <row r="8">
      <c r="A8" s="4" t="str">
        <f>IFERROR(__xludf.DUMMYFUNCTION("""COMPUTED_VALUE"""),"Harmonising urban mobility, hosted by HERE Technologies")</f>
        <v>Harmonising urban mobility, hosted by HERE Technologies</v>
      </c>
      <c r="B8" s="4" t="str">
        <f>IFERROR(__xludf.DUMMYFUNCTION("""COMPUTED_VALUE"""),"How can location data and location technology harmonise urban mobility? Learn how HERE is supporting industry needs and solving real-world problems for companies, customers and our partners.")</f>
        <v>How can location data and location technology harmonise urban mobility? Learn how HERE is supporting industry needs and solving real-world problems for companies, customers and our partners.</v>
      </c>
      <c r="C8" s="4" t="str">
        <f>IFERROR(__xludf.DUMMYFUNCTION("""COMPUTED_VALUE"""),"Workshop 4")</f>
        <v>Workshop 4</v>
      </c>
      <c r="D8" s="4" t="str">
        <f>IFERROR(__xludf.DUMMYFUNCTION("""COMPUTED_VALUE"""),"")</f>
        <v/>
      </c>
      <c r="E8" s="4" t="str">
        <f>IFERROR(__xludf.DUMMYFUNCTION("""COMPUTED_VALUE"""),"")</f>
        <v/>
      </c>
      <c r="F8" s="4" t="str">
        <f>IFERROR(__xludf.DUMMYFUNCTION("""COMPUTED_VALUE"""),"2019/11/07 12:15:00")</f>
        <v>2019/11/07 12:15:00</v>
      </c>
      <c r="G8" s="4" t="str">
        <f>IFERROR(__xludf.DUMMYFUNCTION("""COMPUTED_VALUE"""),"2019/11/07 13:15:00")</f>
        <v>2019/11/07 13:15:00</v>
      </c>
      <c r="H8" s="4" t="str">
        <f>IFERROR(__xludf.DUMMYFUNCTION("""COMPUTED_VALUE"""),"e43614c7-bf50-4f37-9dc7-9e7b604bd5ac")</f>
        <v>e43614c7-bf50-4f37-9dc7-9e7b604bd5ac</v>
      </c>
      <c r="I8" s="4" t="str">
        <f>IFERROR(__xludf.DUMMYFUNCTION("""COMPUTED_VALUE"""),"e43614c7-bf50-4f37-9dc7-9e7b604bd5ac")</f>
        <v>e43614c7-bf50-4f37-9dc7-9e7b604bd5ac</v>
      </c>
    </row>
    <row r="9">
      <c r="A9" s="4" t="str">
        <f>IFERROR(__xludf.DUMMYFUNCTION("""COMPUTED_VALUE"""),"How we got corporate treasurers to trust us more than their banks")</f>
        <v>How we got corporate treasurers to trust us more than their banks</v>
      </c>
      <c r="B9" s="4" t="str">
        <f>IFERROR(__xludf.DUMMYFUNCTION("""COMPUTED_VALUE"""),"Anders, founder and CEO of Just, will talk about how Just uses trust and transparency as a competitive advantage in the enterprise B2B software market.")</f>
        <v>Anders, founder and CEO of Just, will talk about how Just uses trust and transparency as a competitive advantage in the enterprise B2B software market.</v>
      </c>
      <c r="C9" s="4" t="str">
        <f>IFERROR(__xludf.DUMMYFUNCTION("""COMPUTED_VALUE"""),"Growth Summit")</f>
        <v>Growth Summit</v>
      </c>
      <c r="D9" s="4" t="str">
        <f>IFERROR(__xludf.DUMMYFUNCTION("""COMPUTED_VALUE"""),"Anders Nicolai Bakke")</f>
        <v>Anders Nicolai Bakke</v>
      </c>
      <c r="E9" s="4" t="str">
        <f>IFERROR(__xludf.DUMMYFUNCTION("""COMPUTED_VALUE"""),"Anders Nicolai Bakke")</f>
        <v>Anders Nicolai Bakke</v>
      </c>
      <c r="F9" s="4" t="str">
        <f>IFERROR(__xludf.DUMMYFUNCTION("""COMPUTED_VALUE"""),"2019/11/07 10:50:00")</f>
        <v>2019/11/07 10:50:00</v>
      </c>
      <c r="G9" s="4" t="str">
        <f>IFERROR(__xludf.DUMMYFUNCTION("""COMPUTED_VALUE"""),"2019/11/07 10:54:00")</f>
        <v>2019/11/07 10:54:00</v>
      </c>
      <c r="H9" s="4" t="str">
        <f>IFERROR(__xludf.DUMMYFUNCTION("""COMPUTED_VALUE"""),"28dfd30c-11ce-43b7-a067-a820ed35146d")</f>
        <v>28dfd30c-11ce-43b7-a067-a820ed35146d</v>
      </c>
      <c r="I9" s="4" t="str">
        <f>IFERROR(__xludf.DUMMYFUNCTION("""COMPUTED_VALUE"""),"28dfd30c-11ce-43b7-a067-a820ed35146d")</f>
        <v>28dfd30c-11ce-43b7-a067-a820ed35146d</v>
      </c>
    </row>
    <row r="10">
      <c r="A10" s="4" t="str">
        <f>IFERROR(__xludf.DUMMYFUNCTION("""COMPUTED_VALUE"""),"Startup Showcase")</f>
        <v>Startup Showcase</v>
      </c>
      <c r="B10" s="4" t="str">
        <f>IFERROR(__xludf.DUMMYFUNCTION("""COMPUTED_VALUE"""),"On this brand new stage, expect quickfire presentations where startups will showcase their solutions to the future's biggest challenges. This hour focuses on the consumer, covering topics like lifestyle, B2C And C2C, entertainment and social apps
")</f>
        <v>On this brand new stage, expect quickfire presentations where startups will showcase their solutions to the future's biggest challenges. This hour focuses on the consumer, covering topics like lifestyle, B2C And C2C, entertainment and social apps
</v>
      </c>
      <c r="C10" s="4" t="str">
        <f>IFERROR(__xludf.DUMMYFUNCTION("""COMPUTED_VALUE"""),"Startup Showcase 3")</f>
        <v>Startup Showcase 3</v>
      </c>
      <c r="D10" s="4" t="str">
        <f>IFERROR(__xludf.DUMMYFUNCTION("""COMPUTED_VALUE"""),"Chris McClelland, Raakin Iqbal, Victor Coutinho, Madalena Pestana, Denis Borisov, Julie Kinsella, Age Viks, Artur Fjodorov, Sara Partridge, Mikhail Gavrilov, Innokenty  Nesterenko, Märt Pikkani, Matteo Albrizio, Paulo Mauricio, Irvin Kendall, Paulo Barroc"&amp;"as, Álvaro Freire, Igor Leontiev, Carlos Estévez, Sabine Wiederhold, Varun Gajjar, Vadym Syliava, Sergio García, Jakob Knutzen, francesco bertani, Ian De Bolle, Marloes Decraemer, Bruno Vide, Ricardo Carvalho, Nuno Santos, Sietse-arne schelpe, Jeroen Van "&amp;"Raemdonck, Christian Alexander Vasco Bertoia, Pasquale Ragozzino, Keivan Francesco  Djafari Zad, Ivo Hoogveld, Nirali Shah, Soham Thacker, Miha Jagodic, João Lopes, Stefano Andreani, Miguel Gallo, Daniil Mazepin, Mateus Viegas, Guillermo Urquijo, Marlee D"&amp;"urand, Andreas Piculell, Nicolò Santin and Adriaan De Bolle")</f>
        <v>Chris McClelland, Raakin Iqbal, Victor Coutinho, Madalena Pestana, Denis Borisov, Julie Kinsella, Age Viks, Artur Fjodorov, Sara Partridge, Mikhail Gavrilov, Innokenty  Nesterenko, Märt Pikkani, Matteo Albrizio, Paulo Mauricio, Irvin Kendall, Paulo Barrocas, Álvaro Freire, Igor Leontiev, Carlos Estévez, Sabine Wiederhold, Varun Gajjar, Vadym Syliava, Sergio García, Jakob Knutzen, francesco bertani, Ian De Bolle, Marloes Decraemer, Bruno Vide, Ricardo Carvalho, Nuno Santos, Sietse-arne schelpe, Jeroen Van Raemdonck, Christian Alexander Vasco Bertoia, Pasquale Ragozzino, Keivan Francesco  Djafari Zad, Ivo Hoogveld, Nirali Shah, Soham Thacker, Miha Jagodic, João Lopes, Stefano Andreani, Miguel Gallo, Daniil Mazepin, Mateus Viegas, Guillermo Urquijo, Marlee Durand, Andreas Piculell, Nicolò Santin and Adriaan De Bolle</v>
      </c>
      <c r="E10" s="4" t="str">
        <f>IFERROR(__xludf.DUMMYFUNCTION("""COMPUTED_VALUE"""),"Chris McClelland,Raakin Iqbal,Victor Coutinho,Madalena Pestana,Denis Borisov,Julie Kinsella,Age Viks,Artur Fjodorov,Sara Partridge,Mikhail Gavrilov,Innokenty  Nesterenko,Märt Pikkani,Matteo Albrizio,Paulo Mauricio,Irvin Kendall,Paulo Barrocas,Álvaro Freir"&amp;"e,Igor Leontiev,Carlos Estévez,Sabine Wiederhold,Varun Gajjar,Vadym Syliava,Sergio García,Jakob Knutzen,francesco bertani,Ian De Bolle,Marloes Decraemer,Bruno Vide,Ricardo Carvalho,Nuno Santos,Sietse-arne schelpe,Jeroen Van Raemdonck,Christian Alexander V"&amp;"asco Bertoia,Pasquale Ragozzino,Keivan Francesco  Djafari Zad,Ivo Hoogveld,Nirali Shah,Soham Thacker,Miha Jagodic,João Lopes,Stefano Andreani,Miguel Gallo,Daniil Mazepin,Mateus Viegas,Guillermo Urquijo,Marlee Durand,Andreas Piculell,Nicolò Santin,Adriaan "&amp;"De Bolle")</f>
        <v>Chris McClelland,Raakin Iqbal,Victor Coutinho,Madalena Pestana,Denis Borisov,Julie Kinsella,Age Viks,Artur Fjodorov,Sara Partridge,Mikhail Gavrilov,Innokenty  Nesterenko,Märt Pikkani,Matteo Albrizio,Paulo Mauricio,Irvin Kendall,Paulo Barrocas,Álvaro Freire,Igor Leontiev,Carlos Estévez,Sabine Wiederhold,Varun Gajjar,Vadym Syliava,Sergio García,Jakob Knutzen,francesco bertani,Ian De Bolle,Marloes Decraemer,Bruno Vide,Ricardo Carvalho,Nuno Santos,Sietse-arne schelpe,Jeroen Van Raemdonck,Christian Alexander Vasco Bertoia,Pasquale Ragozzino,Keivan Francesco  Djafari Zad,Ivo Hoogveld,Nirali Shah,Soham Thacker,Miha Jagodic,João Lopes,Stefano Andreani,Miguel Gallo,Daniil Mazepin,Mateus Viegas,Guillermo Urquijo,Marlee Durand,Andreas Piculell,Nicolò Santin,Adriaan De Bolle</v>
      </c>
      <c r="F10" s="4" t="str">
        <f>IFERROR(__xludf.DUMMYFUNCTION("""COMPUTED_VALUE"""),"2019/11/07 11:15:00")</f>
        <v>2019/11/07 11:15:00</v>
      </c>
      <c r="G10" s="4" t="str">
        <f>IFERROR(__xludf.DUMMYFUNCTION("""COMPUTED_VALUE"""),"2019/11/07 12:15:00")</f>
        <v>2019/11/07 12:15:00</v>
      </c>
      <c r="H10" s="4" t="str">
        <f>IFERROR(__xludf.DUMMYFUNCTION("""COMPUTED_VALUE"""),"f5093f75-d9b0-4520-a097-0384f6e7b58b")</f>
        <v>f5093f75-d9b0-4520-a097-0384f6e7b58b</v>
      </c>
      <c r="I10" s="4" t="str">
        <f>IFERROR(__xludf.DUMMYFUNCTION("""COMPUTED_VALUE"""),"f5093f75-d9b0-4520-a097-0384f6e7b58b")</f>
        <v>f5093f75-d9b0-4520-a097-0384f6e7b58b</v>
      </c>
    </row>
    <row r="11">
      <c r="A11" s="4" t="str">
        <f>IFERROR(__xludf.DUMMYFUNCTION("""COMPUTED_VALUE"""),"How to spot that special something")</f>
        <v>How to spot that special something</v>
      </c>
      <c r="B11" s="4" t="str">
        <f>IFERROR(__xludf.DUMMYFUNCTION("""COMPUTED_VALUE"""),"Our panel of experts shed light on the real reasons they pass on a startup and what makes them invest in you.")</f>
        <v>Our panel of experts shed light on the real reasons they pass on a startup and what makes them invest in you.</v>
      </c>
      <c r="C11" s="4" t="str">
        <f>IFERROR(__xludf.DUMMYFUNCTION("""COMPUTED_VALUE"""),"Venture stage")</f>
        <v>Venture stage</v>
      </c>
      <c r="D11" s="4" t="str">
        <f>IFERROR(__xludf.DUMMYFUNCTION("""COMPUTED_VALUE"""),"Jackey Wang, Nick Coronges, Carlos Silva and Jeremy Goldman")</f>
        <v>Jackey Wang, Nick Coronges, Carlos Silva and Jeremy Goldman</v>
      </c>
      <c r="E11" s="4" t="str">
        <f>IFERROR(__xludf.DUMMYFUNCTION("""COMPUTED_VALUE"""),"Jackey Wang,Nick Coronges,Carlos Silva,Jeremy Goldman")</f>
        <v>Jackey Wang,Nick Coronges,Carlos Silva,Jeremy Goldman</v>
      </c>
      <c r="F11" s="4" t="str">
        <f>IFERROR(__xludf.DUMMYFUNCTION("""COMPUTED_VALUE"""),"2019/11/07 15:20:00")</f>
        <v>2019/11/07 15:20:00</v>
      </c>
      <c r="G11" s="4" t="str">
        <f>IFERROR(__xludf.DUMMYFUNCTION("""COMPUTED_VALUE"""),"2019/11/07 15:40:00")</f>
        <v>2019/11/07 15:40:00</v>
      </c>
      <c r="H11" s="4" t="str">
        <f>IFERROR(__xludf.DUMMYFUNCTION("""COMPUTED_VALUE"""),"46765f3b-4ab8-4f7f-b3b8-9a45ba14b21e")</f>
        <v>46765f3b-4ab8-4f7f-b3b8-9a45ba14b21e</v>
      </c>
      <c r="I11" s="4" t="str">
        <f>IFERROR(__xludf.DUMMYFUNCTION("""COMPUTED_VALUE"""),"46765f3b-4ab8-4f7f-b3b8-9a45ba14b21e")</f>
        <v>46765f3b-4ab8-4f7f-b3b8-9a45ba14b21e</v>
      </c>
    </row>
    <row r="12">
      <c r="A12" s="4" t="str">
        <f>IFERROR(__xludf.DUMMYFUNCTION("""COMPUTED_VALUE"""),"How much? Metrics for measuring success")</f>
        <v>How much? Metrics for measuring success</v>
      </c>
      <c r="B12" s="4" t="str">
        <f>IFERROR(__xludf.DUMMYFUNCTION("""COMPUTED_VALUE"""),"What are the metrics that really matter when evaluating emerging startups? Join our session to find out more.")</f>
        <v>What are the metrics that really matter when evaluating emerging startups? Join our session to find out more.</v>
      </c>
      <c r="C12" s="4" t="str">
        <f>IFERROR(__xludf.DUMMYFUNCTION("""COMPUTED_VALUE"""),"Venture stage")</f>
        <v>Venture stage</v>
      </c>
      <c r="D12" s="4" t="str">
        <f>IFERROR(__xludf.DUMMYFUNCTION("""COMPUTED_VALUE"""),"Lars Fjeldsoe-Nielsen, Tony Zappala and Arnaud Bonzom")</f>
        <v>Lars Fjeldsoe-Nielsen, Tony Zappala and Arnaud Bonzom</v>
      </c>
      <c r="E12" s="4" t="str">
        <f>IFERROR(__xludf.DUMMYFUNCTION("""COMPUTED_VALUE"""),"Lars Fjeldsoe-Nielsen,Tony Zappala,Arnaud Bonzom")</f>
        <v>Lars Fjeldsoe-Nielsen,Tony Zappala,Arnaud Bonzom</v>
      </c>
      <c r="F12" s="4" t="str">
        <f>IFERROR(__xludf.DUMMYFUNCTION("""COMPUTED_VALUE"""),"2019/11/07 11:10:00")</f>
        <v>2019/11/07 11:10:00</v>
      </c>
      <c r="G12" s="4" t="str">
        <f>IFERROR(__xludf.DUMMYFUNCTION("""COMPUTED_VALUE"""),"2019/11/07 11:35:00")</f>
        <v>2019/11/07 11:35:00</v>
      </c>
      <c r="H12" s="4" t="str">
        <f>IFERROR(__xludf.DUMMYFUNCTION("""COMPUTED_VALUE"""),"dca718fa-55c2-42d7-8fc6-19759d50558c")</f>
        <v>dca718fa-55c2-42d7-8fc6-19759d50558c</v>
      </c>
      <c r="I12" s="4" t="str">
        <f>IFERROR(__xludf.DUMMYFUNCTION("""COMPUTED_VALUE"""),"dca718fa-55c2-42d7-8fc6-19759d50558c")</f>
        <v>dca718fa-55c2-42d7-8fc6-19759d50558c</v>
      </c>
    </row>
    <row r="13">
      <c r="A13" s="4" t="str">
        <f>IFERROR(__xludf.DUMMYFUNCTION("""COMPUTED_VALUE"""),"Q&amp;A Session with Mikhaila Peterson")</f>
        <v>Q&amp;A Session with Mikhaila Peterson</v>
      </c>
      <c r="B13" s="4" t="str">
        <f>IFERROR(__xludf.DUMMYFUNCTION("""COMPUTED_VALUE"""),"")</f>
        <v/>
      </c>
      <c r="C13" s="4" t="str">
        <f>IFERROR(__xludf.DUMMYFUNCTION("""COMPUTED_VALUE"""),"")</f>
        <v/>
      </c>
      <c r="D13" s="4" t="str">
        <f>IFERROR(__xludf.DUMMYFUNCTION("""COMPUTED_VALUE"""),"Mikhaila Peterson")</f>
        <v>Mikhaila Peterson</v>
      </c>
      <c r="E13" s="4" t="str">
        <f>IFERROR(__xludf.DUMMYFUNCTION("""COMPUTED_VALUE"""),"Mikhaila Peterson")</f>
        <v>Mikhaila Peterson</v>
      </c>
      <c r="F13" s="4" t="str">
        <f>IFERROR(__xludf.DUMMYFUNCTION("""COMPUTED_VALUE"""),"")</f>
        <v/>
      </c>
      <c r="G13" s="4" t="str">
        <f>IFERROR(__xludf.DUMMYFUNCTION("""COMPUTED_VALUE"""),"")</f>
        <v/>
      </c>
      <c r="H13" s="4" t="str">
        <f>IFERROR(__xludf.DUMMYFUNCTION("""COMPUTED_VALUE"""),"000ceda5-142d-5dba-997e-68d11e8c805d")</f>
        <v>000ceda5-142d-5dba-997e-68d11e8c805d</v>
      </c>
      <c r="I13" s="4" t="str">
        <f>IFERROR(__xludf.DUMMYFUNCTION("""COMPUTED_VALUE"""),"000ceda5-142d-5dba-997e-68d11e8c805d")</f>
        <v>000ceda5-142d-5dba-997e-68d11e8c805d</v>
      </c>
    </row>
    <row r="14">
      <c r="A14" s="4" t="str">
        <f>IFERROR(__xludf.DUMMYFUNCTION("""COMPUTED_VALUE"""),"Will tech be the downfall of luxury?")</f>
        <v>Will tech be the downfall of luxury?</v>
      </c>
      <c r="B14" s="4" t="str">
        <f>IFERROR(__xludf.DUMMYFUNCTION("""COMPUTED_VALUE"""),"What happens when luxury is available to everyone? Is it even luxury anymore? This panel will tackle the changing nature of luxury as fashion becomes recyclable and brick-and-mortar stores lose their exclusive status. ")</f>
        <v>What happens when luxury is available to everyone? Is it even luxury anymore? This panel will tackle the changing nature of luxury as fashion becomes recyclable and brick-and-mortar stores lose their exclusive status. </v>
      </c>
      <c r="C14" s="4" t="str">
        <f>IFERROR(__xludf.DUMMYFUNCTION("""COMPUTED_VALUE"""),"Modum")</f>
        <v>Modum</v>
      </c>
      <c r="D14" s="4" t="str">
        <f>IFERROR(__xludf.DUMMYFUNCTION("""COMPUTED_VALUE"""),"Josh Luber, Josh Builder and Maghan McDowell")</f>
        <v>Josh Luber, Josh Builder and Maghan McDowell</v>
      </c>
      <c r="E14" s="4" t="str">
        <f>IFERROR(__xludf.DUMMYFUNCTION("""COMPUTED_VALUE"""),"Josh Luber,Josh Builder,Maghan McDowell")</f>
        <v>Josh Luber,Josh Builder,Maghan McDowell</v>
      </c>
      <c r="F14" s="4" t="str">
        <f>IFERROR(__xludf.DUMMYFUNCTION("""COMPUTED_VALUE"""),"2019/11/07 11:55:00")</f>
        <v>2019/11/07 11:55:00</v>
      </c>
      <c r="G14" s="4" t="str">
        <f>IFERROR(__xludf.DUMMYFUNCTION("""COMPUTED_VALUE"""),"2019/11/07 12:15:00")</f>
        <v>2019/11/07 12:15:00</v>
      </c>
      <c r="H14" s="4" t="str">
        <f>IFERROR(__xludf.DUMMYFUNCTION("""COMPUTED_VALUE"""),"68eae125-59cb-4b05-ae94-556cedf8be73")</f>
        <v>68eae125-59cb-4b05-ae94-556cedf8be73</v>
      </c>
      <c r="I14" s="4" t="str">
        <f>IFERROR(__xludf.DUMMYFUNCTION("""COMPUTED_VALUE"""),"68eae125-59cb-4b05-ae94-556cedf8be73")</f>
        <v>68eae125-59cb-4b05-ae94-556cedf8be73</v>
      </c>
    </row>
    <row r="15">
      <c r="A15" s="4" t="str">
        <f>IFERROR(__xludf.DUMMYFUNCTION("""COMPUTED_VALUE"""),"From zero to global: A super-scaling story ")</f>
        <v>From zero to global: A super-scaling story </v>
      </c>
      <c r="B15" s="4" t="str">
        <f>IFERROR(__xludf.DUMMYFUNCTION("""COMPUTED_VALUE"""),"A $4bn dollar startup and one of the most widely read titles in the U.S talk about reaching your audience in every corner of the globe, one city, and one device, at a time. ")</f>
        <v>A $4bn dollar startup and one of the most widely read titles in the U.S talk about reaching your audience in every corner of the globe, one city, and one device, at a time. </v>
      </c>
      <c r="C15" s="4" t="str">
        <f>IFERROR(__xludf.DUMMYFUNCTION("""COMPUTED_VALUE"""),"Startup University")</f>
        <v>Startup University</v>
      </c>
      <c r="D15" s="4" t="str">
        <f>IFERROR(__xludf.DUMMYFUNCTION("""COMPUTED_VALUE"""),"Juan Pablo Ortega, Emilio Garcia - Ruiz and Jeremy Kahn")</f>
        <v>Juan Pablo Ortega, Emilio Garcia - Ruiz and Jeremy Kahn</v>
      </c>
      <c r="E15" s="4" t="str">
        <f>IFERROR(__xludf.DUMMYFUNCTION("""COMPUTED_VALUE"""),"Juan Pablo Ortega,Emilio Garcia - Ruiz,Jeremy Kahn")</f>
        <v>Juan Pablo Ortega,Emilio Garcia - Ruiz,Jeremy Kahn</v>
      </c>
      <c r="F15" s="4" t="str">
        <f>IFERROR(__xludf.DUMMYFUNCTION("""COMPUTED_VALUE"""),"2019/11/05 11:55:00")</f>
        <v>2019/11/05 11:55:00</v>
      </c>
      <c r="G15" s="4" t="str">
        <f>IFERROR(__xludf.DUMMYFUNCTION("""COMPUTED_VALUE"""),"2019/11/05 12:20:00")</f>
        <v>2019/11/05 12:20:00</v>
      </c>
      <c r="H15" s="4" t="str">
        <f>IFERROR(__xludf.DUMMYFUNCTION("""COMPUTED_VALUE"""),"4046ae23-4247-4fe8-8f0b-b610a0fcc31c")</f>
        <v>4046ae23-4247-4fe8-8f0b-b610a0fcc31c</v>
      </c>
      <c r="I15" s="4" t="str">
        <f>IFERROR(__xludf.DUMMYFUNCTION("""COMPUTED_VALUE"""),"4046ae23-4247-4fe8-8f0b-b610a0fcc31c")</f>
        <v>4046ae23-4247-4fe8-8f0b-b610a0fcc31c</v>
      </c>
    </row>
    <row r="16">
      <c r="A16" s="4" t="str">
        <f>IFERROR(__xludf.DUMMYFUNCTION("""COMPUTED_VALUE"""),"A bold move? Insights from our journey to be a leading multiservice mobility provider in Europe")</f>
        <v>A bold move? Insights from our journey to be a leading multiservice mobility provider in Europe</v>
      </c>
      <c r="B16" s="4" t="str">
        <f>IFERROR(__xludf.DUMMYFUNCTION("""COMPUTED_VALUE"""),"Urban areas are the accelerator for culture, tolerance, creativity, innovation and wealth. But mobility systems worldwide are on their way to breakdown. Did you know that an average Berliner is stuck in traffic for 105 hours a year? In London, commuting f"&amp;"eels more stressful than a dentist appointment. It is time to rethink urban mobility. ")</f>
        <v>Urban areas are the accelerator for culture, tolerance, creativity, innovation and wealth. But mobility systems worldwide are on their way to breakdown. Did you know that an average Berliner is stuck in traffic for 105 hours a year? In London, commuting feels more stressful than a dentist appointment. It is time to rethink urban mobility. </v>
      </c>
      <c r="C16" s="4" t="str">
        <f>IFERROR(__xludf.DUMMYFUNCTION("""COMPUTED_VALUE"""),"Auto/Tech &amp; TalkRobot")</f>
        <v>Auto/Tech &amp; TalkRobot</v>
      </c>
      <c r="D16" s="4" t="str">
        <f>IFERROR(__xludf.DUMMYFUNCTION("""COMPUTED_VALUE"""),"Marc Berg")</f>
        <v>Marc Berg</v>
      </c>
      <c r="E16" s="4" t="str">
        <f>IFERROR(__xludf.DUMMYFUNCTION("""COMPUTED_VALUE"""),"Marc Berg")</f>
        <v>Marc Berg</v>
      </c>
      <c r="F16" s="4" t="str">
        <f>IFERROR(__xludf.DUMMYFUNCTION("""COMPUTED_VALUE"""),"2019/11/06 15:20:00")</f>
        <v>2019/11/06 15:20:00</v>
      </c>
      <c r="G16" s="4" t="str">
        <f>IFERROR(__xludf.DUMMYFUNCTION("""COMPUTED_VALUE"""),"2019/11/06 15:40:00")</f>
        <v>2019/11/06 15:40:00</v>
      </c>
      <c r="H16" s="4" t="str">
        <f>IFERROR(__xludf.DUMMYFUNCTION("""COMPUTED_VALUE"""),"dd043b4c-6000-47fb-a67c-6547b28e85af")</f>
        <v>dd043b4c-6000-47fb-a67c-6547b28e85af</v>
      </c>
      <c r="I16" s="4" t="str">
        <f>IFERROR(__xludf.DUMMYFUNCTION("""COMPUTED_VALUE"""),"dd043b4c-6000-47fb-a67c-6547b28e85af")</f>
        <v>dd043b4c-6000-47fb-a67c-6547b28e85af</v>
      </c>
    </row>
    <row r="17">
      <c r="A17" s="4" t="str">
        <f>IFERROR(__xludf.DUMMYFUNCTION("""COMPUTED_VALUE"""),"Stitching fashion back together ")</f>
        <v>Stitching fashion back together </v>
      </c>
      <c r="B17" s="4" t="str">
        <f>IFERROR(__xludf.DUMMYFUNCTION("""COMPUTED_VALUE"""),"Join us as we uncover how PVH is taking a unique approach to implementing disruptive innovation along the Fashion Value Chain that will shape the industry for years to come")</f>
        <v>Join us as we uncover how PVH is taking a unique approach to implementing disruptive innovation along the Fashion Value Chain that will shape the industry for years to come</v>
      </c>
      <c r="C17" s="4" t="str">
        <f>IFERROR(__xludf.DUMMYFUNCTION("""COMPUTED_VALUE"""),"Corporate Innovation Summit")</f>
        <v>Corporate Innovation Summit</v>
      </c>
      <c r="D17" s="4" t="str">
        <f>IFERROR(__xludf.DUMMYFUNCTION("""COMPUTED_VALUE"""),"Anne-Christine Polet")</f>
        <v>Anne-Christine Polet</v>
      </c>
      <c r="E17" s="4" t="str">
        <f>IFERROR(__xludf.DUMMYFUNCTION("""COMPUTED_VALUE"""),"Anne-Christine Polet")</f>
        <v>Anne-Christine Polet</v>
      </c>
      <c r="F17" s="4" t="str">
        <f>IFERROR(__xludf.DUMMYFUNCTION("""COMPUTED_VALUE"""),"2019/11/05 12:00:00")</f>
        <v>2019/11/05 12:00:00</v>
      </c>
      <c r="G17" s="4" t="str">
        <f>IFERROR(__xludf.DUMMYFUNCTION("""COMPUTED_VALUE"""),"2019/11/05 12:20:00")</f>
        <v>2019/11/05 12:20:00</v>
      </c>
      <c r="H17" s="4" t="str">
        <f>IFERROR(__xludf.DUMMYFUNCTION("""COMPUTED_VALUE"""),"a40193d7-a95e-4545-8287-f4fdbe25511a")</f>
        <v>a40193d7-a95e-4545-8287-f4fdbe25511a</v>
      </c>
      <c r="I17" s="4" t="str">
        <f>IFERROR(__xludf.DUMMYFUNCTION("""COMPUTED_VALUE"""),"a40193d7-a95e-4545-8287-f4fdbe25511a")</f>
        <v>a40193d7-a95e-4545-8287-f4fdbe25511a</v>
      </c>
    </row>
    <row r="18">
      <c r="A18" s="4" t="str">
        <f>IFERROR(__xludf.DUMMYFUNCTION("""COMPUTED_VALUE"""),"Lunch break")</f>
        <v>Lunch break</v>
      </c>
      <c r="B18" s="4" t="str">
        <f>IFERROR(__xludf.DUMMYFUNCTION("""COMPUTED_VALUE"""),"")</f>
        <v/>
      </c>
      <c r="C18" s="4" t="str">
        <f>IFERROR(__xludf.DUMMYFUNCTION("""COMPUTED_VALUE"""),"Future Societies")</f>
        <v>Future Societies</v>
      </c>
      <c r="D18" s="4" t="str">
        <f>IFERROR(__xludf.DUMMYFUNCTION("""COMPUTED_VALUE"""),"")</f>
        <v/>
      </c>
      <c r="E18" s="4" t="str">
        <f>IFERROR(__xludf.DUMMYFUNCTION("""COMPUTED_VALUE"""),"")</f>
        <v/>
      </c>
      <c r="F18" s="4" t="str">
        <f>IFERROR(__xludf.DUMMYFUNCTION("""COMPUTED_VALUE"""),"2019/11/06 12:50:00")</f>
        <v>2019/11/06 12:50:00</v>
      </c>
      <c r="G18" s="4" t="str">
        <f>IFERROR(__xludf.DUMMYFUNCTION("""COMPUTED_VALUE"""),"2019/11/06 13:25:00")</f>
        <v>2019/11/06 13:25:00</v>
      </c>
      <c r="H18" s="4" t="str">
        <f>IFERROR(__xludf.DUMMYFUNCTION("""COMPUTED_VALUE"""),"468ffbce-ee73-433d-bb5f-5373baa2cfc3")</f>
        <v>468ffbce-ee73-433d-bb5f-5373baa2cfc3</v>
      </c>
      <c r="I18" s="4" t="str">
        <f>IFERROR(__xludf.DUMMYFUNCTION("""COMPUTED_VALUE"""),"468ffbce-ee73-433d-bb5f-5373baa2cfc3")</f>
        <v>468ffbce-ee73-433d-bb5f-5373baa2cfc3</v>
      </c>
    </row>
    <row r="19">
      <c r="A19" s="4" t="str">
        <f>IFERROR(__xludf.DUMMYFUNCTION("""COMPUTED_VALUE"""),"Kard: An old school growth story")</f>
        <v>Kard: An old school growth story</v>
      </c>
      <c r="B19" s="4" t="str">
        <f>IFERROR(__xludf.DUMMYFUNCTION("""COMPUTED_VALUE"""),"Kard empowers teens to take control over their money by offering them a bank that is cool, social, and free. Building a banking experience with a social twist also means growing a sense of belonging to a community. Join our talk to learn how Kard cracked "&amp;"growth and usage all over French high schools.")</f>
        <v>Kard empowers teens to take control over their money by offering them a bank that is cool, social, and free. Building a banking experience with a social twist also means growing a sense of belonging to a community. Join our talk to learn how Kard cracked growth and usage all over French high schools.</v>
      </c>
      <c r="C19" s="4" t="str">
        <f>IFERROR(__xludf.DUMMYFUNCTION("""COMPUTED_VALUE"""),"Growth Summit")</f>
        <v>Growth Summit</v>
      </c>
      <c r="D19" s="4" t="str">
        <f>IFERROR(__xludf.DUMMYFUNCTION("""COMPUTED_VALUE"""),"Scott Gordon")</f>
        <v>Scott Gordon</v>
      </c>
      <c r="E19" s="4" t="str">
        <f>IFERROR(__xludf.DUMMYFUNCTION("""COMPUTED_VALUE"""),"Scott Gordon")</f>
        <v>Scott Gordon</v>
      </c>
      <c r="F19" s="4" t="str">
        <f>IFERROR(__xludf.DUMMYFUNCTION("""COMPUTED_VALUE"""),"2019/11/07 11:30:00")</f>
        <v>2019/11/07 11:30:00</v>
      </c>
      <c r="G19" s="4" t="str">
        <f>IFERROR(__xludf.DUMMYFUNCTION("""COMPUTED_VALUE"""),"2019/11/07 11:34:00")</f>
        <v>2019/11/07 11:34:00</v>
      </c>
      <c r="H19" s="4" t="str">
        <f>IFERROR(__xludf.DUMMYFUNCTION("""COMPUTED_VALUE"""),"3a31d37f-408b-4df5-a086-b1512a7fda89")</f>
        <v>3a31d37f-408b-4df5-a086-b1512a7fda89</v>
      </c>
      <c r="I19" s="4" t="str">
        <f>IFERROR(__xludf.DUMMYFUNCTION("""COMPUTED_VALUE"""),"3a31d37f-408b-4df5-a086-b1512a7fda89")</f>
        <v>3a31d37f-408b-4df5-a086-b1512a7fda89</v>
      </c>
    </row>
    <row r="20">
      <c r="A20" s="4" t="str">
        <f>IFERROR(__xludf.DUMMYFUNCTION("""COMPUTED_VALUE"""),"Why innovation is key to the success of your company")</f>
        <v>Why innovation is key to the success of your company</v>
      </c>
      <c r="B20" s="4" t="str">
        <f>IFERROR(__xludf.DUMMYFUNCTION("""COMPUTED_VALUE"""),"CEO of Glowbl, Laurent, will outline why it's time to bring real life interactions into digital experiences. That's how an edtech startup like Glowbl, facing world-class competitors, makes the difference by mimicking human behaviour. ")</f>
        <v>CEO of Glowbl, Laurent, will outline why it's time to bring real life interactions into digital experiences. That's how an edtech startup like Glowbl, facing world-class competitors, makes the difference by mimicking human behaviour. </v>
      </c>
      <c r="C20" s="4" t="str">
        <f>IFERROR(__xludf.DUMMYFUNCTION("""COMPUTED_VALUE"""),"Growth Summit")</f>
        <v>Growth Summit</v>
      </c>
      <c r="D20" s="4" t="str">
        <f>IFERROR(__xludf.DUMMYFUNCTION("""COMPUTED_VALUE"""),"Laurent Souloumiac")</f>
        <v>Laurent Souloumiac</v>
      </c>
      <c r="E20" s="4" t="str">
        <f>IFERROR(__xludf.DUMMYFUNCTION("""COMPUTED_VALUE"""),"Laurent Souloumiac")</f>
        <v>Laurent Souloumiac</v>
      </c>
      <c r="F20" s="4" t="str">
        <f>IFERROR(__xludf.DUMMYFUNCTION("""COMPUTED_VALUE"""),"2019/11/05 10:22:00")</f>
        <v>2019/11/05 10:22:00</v>
      </c>
      <c r="G20" s="4" t="str">
        <f>IFERROR(__xludf.DUMMYFUNCTION("""COMPUTED_VALUE"""),"2019/11/05 10:26:00")</f>
        <v>2019/11/05 10:26:00</v>
      </c>
      <c r="H20" s="4" t="str">
        <f>IFERROR(__xludf.DUMMYFUNCTION("""COMPUTED_VALUE"""),"9abd472c-efa7-4678-9322-3d0a2485e955")</f>
        <v>9abd472c-efa7-4678-9322-3d0a2485e955</v>
      </c>
      <c r="I20" s="4" t="str">
        <f>IFERROR(__xludf.DUMMYFUNCTION("""COMPUTED_VALUE"""),"9abd472c-efa7-4678-9322-3d0a2485e955")</f>
        <v>9abd472c-efa7-4678-9322-3d0a2485e955</v>
      </c>
    </row>
    <row r="21">
      <c r="A21" s="4" t="str">
        <f>IFERROR(__xludf.DUMMYFUNCTION("""COMPUTED_VALUE"""),"Winter is here")</f>
        <v>Winter is here</v>
      </c>
      <c r="B21" s="4" t="str">
        <f>IFERROR(__xludf.DUMMYFUNCTION("""COMPUTED_VALUE"""),"We call them unicorns because they are so rare. However, these days as more and more companies rush to IPO we are seeing companies valued increasingly high. Is this being done to keep investors happy? Is overvaluation an issue? Our panel of experts will d"&amp;"iscuss the big financial issues circling tech.")</f>
        <v>We call them unicorns because they are so rare. However, these days as more and more companies rush to IPO we are seeing companies valued increasingly high. Is this being done to keep investors happy? Is overvaluation an issue? Our panel of experts will discuss the big financial issues circling tech.</v>
      </c>
      <c r="C21" s="4" t="str">
        <f>IFERROR(__xludf.DUMMYFUNCTION("""COMPUTED_VALUE"""),"SaaS Monster")</f>
        <v>SaaS Monster</v>
      </c>
      <c r="D21" s="4" t="str">
        <f>IFERROR(__xludf.DUMMYFUNCTION("""COMPUTED_VALUE"""),"Christina Bechhold Russ, Rashmi Gopinath, Philippe Botteri and Peter Thal Larsen")</f>
        <v>Christina Bechhold Russ, Rashmi Gopinath, Philippe Botteri and Peter Thal Larsen</v>
      </c>
      <c r="E21" s="4" t="str">
        <f>IFERROR(__xludf.DUMMYFUNCTION("""COMPUTED_VALUE"""),"Christina Bechhold Russ,Rashmi Gopinath,Philippe Botteri,Peter Thal Larsen")</f>
        <v>Christina Bechhold Russ,Rashmi Gopinath,Philippe Botteri,Peter Thal Larsen</v>
      </c>
      <c r="F21" s="4" t="str">
        <f>IFERROR(__xludf.DUMMYFUNCTION("""COMPUTED_VALUE"""),"2019/11/06 14:20:00")</f>
        <v>2019/11/06 14:20:00</v>
      </c>
      <c r="G21" s="4" t="str">
        <f>IFERROR(__xludf.DUMMYFUNCTION("""COMPUTED_VALUE"""),"2019/11/06 14:45:00")</f>
        <v>2019/11/06 14:45:00</v>
      </c>
      <c r="H21" s="4" t="str">
        <f>IFERROR(__xludf.DUMMYFUNCTION("""COMPUTED_VALUE"""),"c2a1daa1-bf62-4720-bb17-1d620e401f3a")</f>
        <v>c2a1daa1-bf62-4720-bb17-1d620e401f3a</v>
      </c>
      <c r="I21" s="4" t="str">
        <f>IFERROR(__xludf.DUMMYFUNCTION("""COMPUTED_VALUE"""),"c2a1daa1-bf62-4720-bb17-1d620e401f3a")</f>
        <v>c2a1daa1-bf62-4720-bb17-1d620e401f3a</v>
      </c>
    </row>
    <row r="22">
      <c r="A22" s="4" t="str">
        <f>IFERROR(__xludf.DUMMYFUNCTION("""COMPUTED_VALUE"""),"To boldly hack where no one has hacked before")</f>
        <v>To boldly hack where no one has hacked before</v>
      </c>
      <c r="B22" s="4" t="str">
        <f>IFERROR(__xludf.DUMMYFUNCTION("""COMPUTED_VALUE"""),"Already a vital part of both the internet of things and the critical infrastructure of the internet, satellites are set to take on a more significant role with the expansion of 5G and IoT.  But many satellites with primitive security could become threat v"&amp;"ectors for cybercriminals. Ed will share possible attack scenarios and discuss potential solutions to this growing threat.")</f>
        <v>Already a vital part of both the internet of things and the critical infrastructure of the internet, satellites are set to take on a more significant role with the expansion of 5G and IoT.  But many satellites with primitive security could become threat vectors for cybercriminals. Ed will share possible attack scenarios and discuss potential solutions to this growing threat.</v>
      </c>
      <c r="C22" s="8" t="str">
        <f>IFERROR(__xludf.DUMMYFUNCTION("""COMPUTED_VALUE"""),"binate.io")</f>
        <v>binate.io</v>
      </c>
      <c r="D22" s="4" t="str">
        <f>IFERROR(__xludf.DUMMYFUNCTION("""COMPUTED_VALUE"""),"Eduardo Cabrera")</f>
        <v>Eduardo Cabrera</v>
      </c>
      <c r="E22" s="4" t="str">
        <f>IFERROR(__xludf.DUMMYFUNCTION("""COMPUTED_VALUE"""),"Eduardo Cabrera")</f>
        <v>Eduardo Cabrera</v>
      </c>
      <c r="F22" s="4" t="str">
        <f>IFERROR(__xludf.DUMMYFUNCTION("""COMPUTED_VALUE"""),"2019/11/06 12:45:00")</f>
        <v>2019/11/06 12:45:00</v>
      </c>
      <c r="G22" s="4" t="str">
        <f>IFERROR(__xludf.DUMMYFUNCTION("""COMPUTED_VALUE"""),"2019/11/06 13:05:00")</f>
        <v>2019/11/06 13:05:00</v>
      </c>
      <c r="H22" s="4" t="str">
        <f>IFERROR(__xludf.DUMMYFUNCTION("""COMPUTED_VALUE"""),"9ee604b7-e376-4226-8b7b-a5ddf0cafc4d")</f>
        <v>9ee604b7-e376-4226-8b7b-a5ddf0cafc4d</v>
      </c>
      <c r="I22" s="4" t="str">
        <f>IFERROR(__xludf.DUMMYFUNCTION("""COMPUTED_VALUE"""),"9ee604b7-e376-4226-8b7b-a5ddf0cafc4d")</f>
        <v>9ee604b7-e376-4226-8b7b-a5ddf0cafc4d</v>
      </c>
    </row>
    <row r="23">
      <c r="A23" s="4" t="str">
        <f>IFERROR(__xludf.DUMMYFUNCTION("""COMPUTED_VALUE"""),"Explore your digital futures, hosted by Shell")</f>
        <v>Explore your digital futures, hosted by Shell</v>
      </c>
      <c r="B23" s="4" t="str">
        <f>IFERROR(__xludf.DUMMYFUNCTION("""COMPUTED_VALUE"""),"Are you thinking 50 years ahead?  We are. Our new scenarios explore how digitalisation could change the world - democracy, prosperity, inequality, privacy, security - in the decades to come. Shell has been a pioneer in the use of scenario thinking to help"&amp;" understand the future and navigate uncertainty. In this interactive session, you will use tools and techniques to explore our new scenarios and your digital futures.")</f>
        <v>Are you thinking 50 years ahead?  We are. Our new scenarios explore how digitalisation could change the world - democracy, prosperity, inequality, privacy, security - in the decades to come. Shell has been a pioneer in the use of scenario thinking to help understand the future and navigate uncertainty. In this interactive session, you will use tools and techniques to explore our new scenarios and your digital futures.</v>
      </c>
      <c r="C23" s="4" t="str">
        <f>IFERROR(__xludf.DUMMYFUNCTION("""COMPUTED_VALUE"""),"Workshop 3")</f>
        <v>Workshop 3</v>
      </c>
      <c r="D23" s="4" t="str">
        <f>IFERROR(__xludf.DUMMYFUNCTION("""COMPUTED_VALUE"""),"Adam Eales")</f>
        <v>Adam Eales</v>
      </c>
      <c r="E23" s="4" t="str">
        <f>IFERROR(__xludf.DUMMYFUNCTION("""COMPUTED_VALUE"""),"Adam Eales")</f>
        <v>Adam Eales</v>
      </c>
      <c r="F23" s="4" t="str">
        <f>IFERROR(__xludf.DUMMYFUNCTION("""COMPUTED_VALUE"""),"2019/11/07 15:00:00")</f>
        <v>2019/11/07 15:00:00</v>
      </c>
      <c r="G23" s="4" t="str">
        <f>IFERROR(__xludf.DUMMYFUNCTION("""COMPUTED_VALUE"""),"2019/11/07 15:45:00")</f>
        <v>2019/11/07 15:45:00</v>
      </c>
      <c r="H23" s="4" t="str">
        <f>IFERROR(__xludf.DUMMYFUNCTION("""COMPUTED_VALUE"""),"dcd49978-c622-4a4b-9c6c-766c2839af51")</f>
        <v>dcd49978-c622-4a4b-9c6c-766c2839af51</v>
      </c>
      <c r="I23" s="4" t="str">
        <f>IFERROR(__xludf.DUMMYFUNCTION("""COMPUTED_VALUE"""),"dcd49978-c622-4a4b-9c6c-766c2839af51")</f>
        <v>dcd49978-c622-4a4b-9c6c-766c2839af51</v>
      </c>
    </row>
    <row r="24">
      <c r="A24" s="4" t="str">
        <f>IFERROR(__xludf.DUMMYFUNCTION("""COMPUTED_VALUE"""),"An introduction to deep learning")</f>
        <v>An introduction to deep learning</v>
      </c>
      <c r="B24" s="4" t="str">
        <f>IFERROR(__xludf.DUMMYFUNCTION("""COMPUTED_VALUE"""),"Getting started with deep learning can feel really intimidating. In this session we'll dive right in to explaining the basic concepts of deep learning with barely any jargon and a small amount of arithmetic. We'll see how easy it is to take an existing pr"&amp;"e-trained, general-purpose image classification model from the cloud and re-train it to identify objects that we want the computer to recognise. We'll show how to do all of this with Python, using a Jupyter notebook hosted from Amazon Sagemaker (a service"&amp;" from AWS that makes it easy to develop, train, and deploy deep-learning models in the cloud). Finally, we'll finish up with a review of where to continue learning more.")</f>
        <v>Getting started with deep learning can feel really intimidating. In this session we'll dive right in to explaining the basic concepts of deep learning with barely any jargon and a small amount of arithmetic. We'll see how easy it is to take an existing pre-trained, general-purpose image classification model from the cloud and re-train it to identify objects that we want the computer to recognise. We'll show how to do all of this with Python, using a Jupyter notebook hosted from Amazon Sagemaker (a service from AWS that makes it easy to develop, train, and deploy deep-learning models in the cloud). Finally, we'll finish up with a review of where to continue learning more.</v>
      </c>
      <c r="C24" s="4" t="str">
        <f>IFERROR(__xludf.DUMMYFUNCTION("""COMPUTED_VALUE"""),"AWS Developer Workshops")</f>
        <v>AWS Developer Workshops</v>
      </c>
      <c r="D24" s="4" t="str">
        <f>IFERROR(__xludf.DUMMYFUNCTION("""COMPUTED_VALUE"""),"")</f>
        <v/>
      </c>
      <c r="E24" s="4" t="str">
        <f>IFERROR(__xludf.DUMMYFUNCTION("""COMPUTED_VALUE"""),"")</f>
        <v/>
      </c>
      <c r="F24" s="4" t="str">
        <f>IFERROR(__xludf.DUMMYFUNCTION("""COMPUTED_VALUE"""),"2019/11/06 13:00:00")</f>
        <v>2019/11/06 13:00:00</v>
      </c>
      <c r="G24" s="4" t="str">
        <f>IFERROR(__xludf.DUMMYFUNCTION("""COMPUTED_VALUE"""),"2019/11/06 13:50:00")</f>
        <v>2019/11/06 13:50:00</v>
      </c>
      <c r="H24" s="4" t="str">
        <f>IFERROR(__xludf.DUMMYFUNCTION("""COMPUTED_VALUE"""),"872d1db2-6992-47d3-8a28-a6e3e4adffca")</f>
        <v>872d1db2-6992-47d3-8a28-a6e3e4adffca</v>
      </c>
      <c r="I24" s="4" t="str">
        <f>IFERROR(__xludf.DUMMYFUNCTION("""COMPUTED_VALUE"""),"872d1db2-6992-47d3-8a28-a6e3e4adffca")</f>
        <v>872d1db2-6992-47d3-8a28-a6e3e4adffca</v>
      </c>
    </row>
    <row r="25">
      <c r="A25" s="4" t="str">
        <f>IFERROR(__xludf.DUMMYFUNCTION("""COMPUTED_VALUE"""),"Opening Remarks")</f>
        <v>Opening Remarks</v>
      </c>
      <c r="B25" s="4" t="str">
        <f>IFERROR(__xludf.DUMMYFUNCTION("""COMPUTED_VALUE"""),"Peek behind the marketing as the year's biggest consumer electronics are reviewed by independent industry critics and consumers themselves.  ")</f>
        <v>Peek behind the marketing as the year's biggest consumer electronics are reviewed by independent industry critics and consumers themselves.  </v>
      </c>
      <c r="C25" s="4" t="str">
        <f>IFERROR(__xludf.DUMMYFUNCTION("""COMPUTED_VALUE"""),"UnBoxed")</f>
        <v>UnBoxed</v>
      </c>
      <c r="D25" s="4" t="str">
        <f>IFERROR(__xludf.DUMMYFUNCTION("""COMPUTED_VALUE"""),"Lindsey Turrentine")</f>
        <v>Lindsey Turrentine</v>
      </c>
      <c r="E25" s="4" t="str">
        <f>IFERROR(__xludf.DUMMYFUNCTION("""COMPUTED_VALUE"""),"Lindsey Turrentine")</f>
        <v>Lindsey Turrentine</v>
      </c>
      <c r="F25" s="4" t="str">
        <f>IFERROR(__xludf.DUMMYFUNCTION("""COMPUTED_VALUE"""),"2019/11/05 11:00:00")</f>
        <v>2019/11/05 11:00:00</v>
      </c>
      <c r="G25" s="4" t="str">
        <f>IFERROR(__xludf.DUMMYFUNCTION("""COMPUTED_VALUE"""),"2019/11/05 11:15:00")</f>
        <v>2019/11/05 11:15:00</v>
      </c>
      <c r="H25" s="4" t="str">
        <f>IFERROR(__xludf.DUMMYFUNCTION("""COMPUTED_VALUE"""),"fb2eb711-8180-4ab8-a386-6e110d43d84e")</f>
        <v>fb2eb711-8180-4ab8-a386-6e110d43d84e</v>
      </c>
      <c r="I25" s="4" t="str">
        <f>IFERROR(__xludf.DUMMYFUNCTION("""COMPUTED_VALUE"""),"fb2eb711-8180-4ab8-a386-6e110d43d84e")</f>
        <v>fb2eb711-8180-4ab8-a386-6e110d43d84e</v>
      </c>
    </row>
    <row r="26">
      <c r="A26" s="4" t="str">
        <f>IFERROR(__xludf.DUMMYFUNCTION("""COMPUTED_VALUE"""),"Startup Showcase")</f>
        <v>Startup Showcase</v>
      </c>
      <c r="B26" s="4" t="str">
        <f>IFERROR(__xludf.DUMMYFUNCTION("""COMPUTED_VALUE"""),"On this brand new stage, expect quickfire presentations where startups will showcase their solutions to the future's biggest challenges. This hour focuses on the future of work, covering topics like remote working, productivity apps, office management, en"&amp;"terprise software, SaaS, and business automation.")</f>
        <v>On this brand new stage, expect quickfire presentations where startups will showcase their solutions to the future's biggest challenges. This hour focuses on the future of work, covering topics like remote working, productivity apps, office management, enterprise software, SaaS, and business automation.</v>
      </c>
      <c r="C26" s="4" t="str">
        <f>IFERROR(__xludf.DUMMYFUNCTION("""COMPUTED_VALUE"""),"Startup Showcase 2")</f>
        <v>Startup Showcase 2</v>
      </c>
      <c r="D26" s="4" t="str">
        <f>IFERROR(__xludf.DUMMYFUNCTION("""COMPUTED_VALUE"""),"Phil Gillman, Benjamin Peillard, Tomas Ferreira, Vignesh Kalimuthu, Jasper Verplanken, Joep Wittebrood, Bruno Ribeiro, Beatriz Ferreira, Thomas Verschuere, David Duarte, Alexander Hilton, Jinan Khoirunnisa, Gordian Braun, Lorenzo Gama, Joana Baptista, Tom"&amp;" Roelofs, Imelda Fossu, Tommy Lee Monte, Ahmed Shamy, Andreas De Neve, Nabela Huwaida, Marc Turbé, Alexander Sie To, Vincent Schelstraete, Arini Astari, Sunny Paris, Sharan cooper, Sevo Widodo, Frank Fahrner, Achim Schneider, Fabrizio Bosio, Charles Boute"&amp;"ns, Thibo Vanquaethem, Omar Ferreira, REINHARD FALSCHLEHNER, Mohamed El Harty, Oscar Di Pasquale, Igor Furniel, Guilherme Kiellander, Raul Ranauro Javales Jr, Pablo Peillard, Anna Bremer, Paula Morais,  , Stefan Hoogenboom, Muhammad Ahsan Naseem, Liam Man"&amp;"ning, Tiago Ribeiro, Ali Shaheen and Qudsia Piracha")</f>
        <v>Phil Gillman, Benjamin Peillard, Tomas Ferreira, Vignesh Kalimuthu, Jasper Verplanken, Joep Wittebrood, Bruno Ribeiro, Beatriz Ferreira, Thomas Verschuere, David Duarte, Alexander Hilton, Jinan Khoirunnisa, Gordian Braun, Lorenzo Gama, Joana Baptista, Tom Roelofs, Imelda Fossu, Tommy Lee Monte, Ahmed Shamy, Andreas De Neve, Nabela Huwaida, Marc Turbé, Alexander Sie To, Vincent Schelstraete, Arini Astari, Sunny Paris, Sharan cooper, Sevo Widodo, Frank Fahrner, Achim Schneider, Fabrizio Bosio, Charles Boutens, Thibo Vanquaethem, Omar Ferreira, REINHARD FALSCHLEHNER, Mohamed El Harty, Oscar Di Pasquale, Igor Furniel, Guilherme Kiellander, Raul Ranauro Javales Jr, Pablo Peillard, Anna Bremer, Paula Morais,  , Stefan Hoogenboom, Muhammad Ahsan Naseem, Liam Manning, Tiago Ribeiro, Ali Shaheen and Qudsia Piracha</v>
      </c>
      <c r="E26" s="4" t="str">
        <f>IFERROR(__xludf.DUMMYFUNCTION("""COMPUTED_VALUE"""),"Phil Gillman,Benjamin Peillard,Tomas Ferreira,Vignesh Kalimuthu,Jasper Verplanken,Joep Wittebrood,Bruno Ribeiro,Beatriz Ferreira,Thomas Verschuere,David Duarte,Alexander Hilton,Jinan Khoirunnisa,Gordian Braun,Lorenzo Gama,Joana Baptista,Tom Roelofs,Imelda"&amp;" Fossu,Tommy Lee Monte,Ahmed Shamy,Andreas De Neve,Nabela Huwaida,Marc Turbé,Alexander Sie To,Vincent Schelstraete,Arini Astari,Sunny Paris,Sharan cooper,Sevo Widodo,Frank Fahrner,Achim Schneider,Fabrizio Bosio,Charles Boutens,Thibo Vanquaethem,Omar Ferre"&amp;"ira,REINHARD FALSCHLEHNER,Mohamed El Harty,Oscar Di Pasquale,Igor Furniel,Guilherme Kiellander,Raul Ranauro Javales Jr,Pablo Peillard,Anna Bremer,Paula Morais, ,Stefan Hoogenboom,Muhammad Ahsan Naseem,Liam Manning,Tiago Ribeiro,Ali Shaheen,Qudsia Piracha")</f>
        <v>Phil Gillman,Benjamin Peillard,Tomas Ferreira,Vignesh Kalimuthu,Jasper Verplanken,Joep Wittebrood,Bruno Ribeiro,Beatriz Ferreira,Thomas Verschuere,David Duarte,Alexander Hilton,Jinan Khoirunnisa,Gordian Braun,Lorenzo Gama,Joana Baptista,Tom Roelofs,Imelda Fossu,Tommy Lee Monte,Ahmed Shamy,Andreas De Neve,Nabela Huwaida,Marc Turbé,Alexander Sie To,Vincent Schelstraete,Arini Astari,Sunny Paris,Sharan cooper,Sevo Widodo,Frank Fahrner,Achim Schneider,Fabrizio Bosio,Charles Boutens,Thibo Vanquaethem,Omar Ferreira,REINHARD FALSCHLEHNER,Mohamed El Harty,Oscar Di Pasquale,Igor Furniel,Guilherme Kiellander,Raul Ranauro Javales Jr,Pablo Peillard,Anna Bremer,Paula Morais, ,Stefan Hoogenboom,Muhammad Ahsan Naseem,Liam Manning,Tiago Ribeiro,Ali Shaheen,Qudsia Piracha</v>
      </c>
      <c r="F26" s="4" t="str">
        <f>IFERROR(__xludf.DUMMYFUNCTION("""COMPUTED_VALUE"""),"2019/11/07 11:15:00")</f>
        <v>2019/11/07 11:15:00</v>
      </c>
      <c r="G26" s="4" t="str">
        <f>IFERROR(__xludf.DUMMYFUNCTION("""COMPUTED_VALUE"""),"2019/11/07 12:15:00")</f>
        <v>2019/11/07 12:15:00</v>
      </c>
      <c r="H26" s="4" t="str">
        <f>IFERROR(__xludf.DUMMYFUNCTION("""COMPUTED_VALUE"""),"eb623feb-0327-4da0-ac58-412a4ba3fea5")</f>
        <v>eb623feb-0327-4da0-ac58-412a4ba3fea5</v>
      </c>
      <c r="I26" s="4" t="str">
        <f>IFERROR(__xludf.DUMMYFUNCTION("""COMPUTED_VALUE"""),"eb623feb-0327-4da0-ac58-412a4ba3fea5")</f>
        <v>eb623feb-0327-4da0-ac58-412a4ba3fea5</v>
      </c>
    </row>
    <row r="27">
      <c r="A27" s="4" t="str">
        <f>IFERROR(__xludf.DUMMYFUNCTION("""COMPUTED_VALUE"""),"Will the machines eat us all?")</f>
        <v>Will the machines eat us all?</v>
      </c>
      <c r="B27" s="4" t="str">
        <f>IFERROR(__xludf.DUMMYFUNCTION("""COMPUTED_VALUE"""),"This talk is an AI toolkit for surviving the robot apocalypse. Chris will discuss the developments that have led up to where we are today, the current state of AI tools in the creative space, and speculate as to where we're headed in the future. ")</f>
        <v>This talk is an AI toolkit for surviving the robot apocalypse. Chris will discuss the developments that have led up to where we are today, the current state of AI tools in the creative space, and speculate as to where we're headed in the future. </v>
      </c>
      <c r="C27" s="4" t="str">
        <f>IFERROR(__xludf.DUMMYFUNCTION("""COMPUTED_VALUE"""),"MusicNotes")</f>
        <v>MusicNotes</v>
      </c>
      <c r="D27" s="4" t="str">
        <f>IFERROR(__xludf.DUMMYFUNCTION("""COMPUTED_VALUE"""),"Christopher Leacock")</f>
        <v>Christopher Leacock</v>
      </c>
      <c r="E27" s="4" t="str">
        <f>IFERROR(__xludf.DUMMYFUNCTION("""COMPUTED_VALUE"""),"Christopher Leacock")</f>
        <v>Christopher Leacock</v>
      </c>
      <c r="F27" s="4" t="str">
        <f>IFERROR(__xludf.DUMMYFUNCTION("""COMPUTED_VALUE"""),"2019/11/07 11:00:00")</f>
        <v>2019/11/07 11:00:00</v>
      </c>
      <c r="G27" s="4" t="str">
        <f>IFERROR(__xludf.DUMMYFUNCTION("""COMPUTED_VALUE"""),"2019/11/07 11:20:00")</f>
        <v>2019/11/07 11:20:00</v>
      </c>
      <c r="H27" s="4" t="str">
        <f>IFERROR(__xludf.DUMMYFUNCTION("""COMPUTED_VALUE"""),"ff1cf35a-7993-44fe-9d51-f8e75084a33c")</f>
        <v>ff1cf35a-7993-44fe-9d51-f8e75084a33c</v>
      </c>
      <c r="I27" s="4" t="str">
        <f>IFERROR(__xludf.DUMMYFUNCTION("""COMPUTED_VALUE"""),"ff1cf35a-7993-44fe-9d51-f8e75084a33c")</f>
        <v>ff1cf35a-7993-44fe-9d51-f8e75084a33c</v>
      </c>
    </row>
    <row r="28">
      <c r="A28" s="4" t="str">
        <f>IFERROR(__xludf.DUMMYFUNCTION("""COMPUTED_VALUE"""),"Pushing the envelope: Aiming for the impossible and going beyond")</f>
        <v>Pushing the envelope: Aiming for the impossible and going beyond</v>
      </c>
      <c r="B28" s="4" t="str">
        <f>IFERROR(__xludf.DUMMYFUNCTION("""COMPUTED_VALUE"""),"Vasco will discuss how he set up a labs team to explore new technologies that ultimately translated into disruptive products with a huge business impact.")</f>
        <v>Vasco will discuss how he set up a labs team to explore new technologies that ultimately translated into disruptive products with a huge business impact.</v>
      </c>
      <c r="C28" s="4" t="str">
        <f>IFERROR(__xludf.DUMMYFUNCTION("""COMPUTED_VALUE"""),"Growth Summit")</f>
        <v>Growth Summit</v>
      </c>
      <c r="D28" s="4" t="str">
        <f>IFERROR(__xludf.DUMMYFUNCTION("""COMPUTED_VALUE"""),"Vasco Pedro")</f>
        <v>Vasco Pedro</v>
      </c>
      <c r="E28" s="4" t="str">
        <f>IFERROR(__xludf.DUMMYFUNCTION("""COMPUTED_VALUE"""),"Vasco Pedro")</f>
        <v>Vasco Pedro</v>
      </c>
      <c r="F28" s="4" t="str">
        <f>IFERROR(__xludf.DUMMYFUNCTION("""COMPUTED_VALUE"""),"2019/11/05 13:58:00")</f>
        <v>2019/11/05 13:58:00</v>
      </c>
      <c r="G28" s="4" t="str">
        <f>IFERROR(__xludf.DUMMYFUNCTION("""COMPUTED_VALUE"""),"2019/11/05 14:09:00")</f>
        <v>2019/11/05 14:09:00</v>
      </c>
      <c r="H28" s="4" t="str">
        <f>IFERROR(__xludf.DUMMYFUNCTION("""COMPUTED_VALUE"""),"062b5913-edcb-4272-a370-8039d92e1fc5")</f>
        <v>062b5913-edcb-4272-a370-8039d92e1fc5</v>
      </c>
      <c r="I28" s="4" t="str">
        <f>IFERROR(__xludf.DUMMYFUNCTION("""COMPUTED_VALUE"""),"062b5913-edcb-4272-a370-8039d92e1fc5")</f>
        <v>062b5913-edcb-4272-a370-8039d92e1fc5</v>
      </c>
    </row>
    <row r="29">
      <c r="A29" s="4" t="str">
        <f>IFERROR(__xludf.DUMMYFUNCTION("""COMPUTED_VALUE"""),"A manifesto for a more generous world")</f>
        <v>A manifesto for a more generous world</v>
      </c>
      <c r="B29" s="4" t="str">
        <f>IFERROR(__xludf.DUMMYFUNCTION("""COMPUTED_VALUE"""),"The pursuit of wealth has produced innovation and prosperity. It also established an implicit belief that the rational choice in any decision is whichever option makes the most money. Join the founder of Kickstarter as he shares how we can refocus our ene"&amp;"rgies to build a society that’s generous, fair, and ready for the future.")</f>
        <v>The pursuit of wealth has produced innovation and prosperity. It also established an implicit belief that the rational choice in any decision is whichever option makes the most money. Join the founder of Kickstarter as he shares how we can refocus our energies to build a society that’s generous, fair, and ready for the future.</v>
      </c>
      <c r="C29" s="4" t="str">
        <f>IFERROR(__xludf.DUMMYFUNCTION("""COMPUTED_VALUE"""),"MoneyConf")</f>
        <v>MoneyConf</v>
      </c>
      <c r="D29" s="4" t="str">
        <f>IFERROR(__xludf.DUMMYFUNCTION("""COMPUTED_VALUE"""),"Yancey Strickler")</f>
        <v>Yancey Strickler</v>
      </c>
      <c r="E29" s="4" t="str">
        <f>IFERROR(__xludf.DUMMYFUNCTION("""COMPUTED_VALUE"""),"Yancey Strickler")</f>
        <v>Yancey Strickler</v>
      </c>
      <c r="F29" s="4" t="str">
        <f>IFERROR(__xludf.DUMMYFUNCTION("""COMPUTED_VALUE"""),"2019/11/07 14:50:00")</f>
        <v>2019/11/07 14:50:00</v>
      </c>
      <c r="G29" s="4" t="str">
        <f>IFERROR(__xludf.DUMMYFUNCTION("""COMPUTED_VALUE"""),"2019/11/07 15:10:00")</f>
        <v>2019/11/07 15:10:00</v>
      </c>
      <c r="H29" s="4" t="str">
        <f>IFERROR(__xludf.DUMMYFUNCTION("""COMPUTED_VALUE"""),"c64ad9c6-1b07-4457-aa8a-d1dbeb2d397a")</f>
        <v>c64ad9c6-1b07-4457-aa8a-d1dbeb2d397a</v>
      </c>
      <c r="I29" s="4" t="str">
        <f>IFERROR(__xludf.DUMMYFUNCTION("""COMPUTED_VALUE"""),"c64ad9c6-1b07-4457-aa8a-d1dbeb2d397a")</f>
        <v>c64ad9c6-1b07-4457-aa8a-d1dbeb2d397a</v>
      </c>
    </row>
    <row r="30">
      <c r="A30" s="4" t="str">
        <f>IFERROR(__xludf.DUMMYFUNCTION("""COMPUTED_VALUE"""),"Make your technology compliant from day one")</f>
        <v>Make your technology compliant from day one</v>
      </c>
      <c r="B30" s="4" t="str">
        <f>IFERROR(__xludf.DUMMYFUNCTION("""COMPUTED_VALUE"""),"Regulatory compliance can stop the adoption of any new technology. Instead of spending time and money trying to influence regulators why not take another approach? Co-founder of Billon, Robert will explain how the company chose to design with embedded reg"&amp;"ulatory compliance existing regulations in mind. This led to unique technological choices and gave them the advantage of having a solution which is ready to use in a live business environment from day one.")</f>
        <v>Regulatory compliance can stop the adoption of any new technology. Instead of spending time and money trying to influence regulators why not take another approach? Co-founder of Billon, Robert will explain how the company chose to design with embedded regulatory compliance existing regulations in mind. This led to unique technological choices and gave them the advantage of having a solution which is ready to use in a live business environment from day one.</v>
      </c>
      <c r="C30" s="4" t="str">
        <f>IFERROR(__xludf.DUMMYFUNCTION("""COMPUTED_VALUE"""),"Growth Summit")</f>
        <v>Growth Summit</v>
      </c>
      <c r="D30" s="4" t="str">
        <f>IFERROR(__xludf.DUMMYFUNCTION("""COMPUTED_VALUE"""),"Robert Kaluza")</f>
        <v>Robert Kaluza</v>
      </c>
      <c r="E30" s="4" t="str">
        <f>IFERROR(__xludf.DUMMYFUNCTION("""COMPUTED_VALUE"""),"Robert Kaluza")</f>
        <v>Robert Kaluza</v>
      </c>
      <c r="F30" s="4" t="str">
        <f>IFERROR(__xludf.DUMMYFUNCTION("""COMPUTED_VALUE"""),"2019/11/05 11:38:00")</f>
        <v>2019/11/05 11:38:00</v>
      </c>
      <c r="G30" s="4" t="str">
        <f>IFERROR(__xludf.DUMMYFUNCTION("""COMPUTED_VALUE"""),"2019/11/05 11:42:00")</f>
        <v>2019/11/05 11:42:00</v>
      </c>
      <c r="H30" s="4" t="str">
        <f>IFERROR(__xludf.DUMMYFUNCTION("""COMPUTED_VALUE"""),"a3123bfb-f991-4877-8298-a58d69c74cba")</f>
        <v>a3123bfb-f991-4877-8298-a58d69c74cba</v>
      </c>
      <c r="I30" s="4" t="str">
        <f>IFERROR(__xludf.DUMMYFUNCTION("""COMPUTED_VALUE"""),"a3123bfb-f991-4877-8298-a58d69c74cba")</f>
        <v>a3123bfb-f991-4877-8298-a58d69c74cba</v>
      </c>
    </row>
    <row r="31">
      <c r="A31" s="4" t="str">
        <f>IFERROR(__xludf.DUMMYFUNCTION("""COMPUTED_VALUE"""),"European cohesion policy for Portuguese startups and small/medium enterprises, hosted by European Commission ")</f>
        <v>European cohesion policy for Portuguese startups and small/medium enterprises, hosted by European Commission </v>
      </c>
      <c r="B31" s="4" t="str">
        <f>IFERROR(__xludf.DUMMYFUNCTION("""COMPUTED_VALUE"""),"This workshop is an introduction to the European Union’s regional policy and its funding opportunities for Portuguese technological startups and SMEs. Specifically, we are going to unfold the upcoming financial support opportunities provided by the Operat"&amp;"ional Programme Compete 2020. We will explain how to submit a grant application and how to apply for a loan or other financial instruments for your business.")</f>
        <v>This workshop is an introduction to the European Union’s regional policy and its funding opportunities for Portuguese technological startups and SMEs. Specifically, we are going to unfold the upcoming financial support opportunities provided by the Operational Programme Compete 2020. We will explain how to submit a grant application and how to apply for a loan or other financial instruments for your business.</v>
      </c>
      <c r="C31" s="4" t="str">
        <f>IFERROR(__xludf.DUMMYFUNCTION("""COMPUTED_VALUE"""),"Workshop 2")</f>
        <v>Workshop 2</v>
      </c>
      <c r="D31" s="4" t="str">
        <f>IFERROR(__xludf.DUMMYFUNCTION("""COMPUTED_VALUE"""),"Ricardo Banha")</f>
        <v>Ricardo Banha</v>
      </c>
      <c r="E31" s="4" t="str">
        <f>IFERROR(__xludf.DUMMYFUNCTION("""COMPUTED_VALUE"""),"Ricardo Banha")</f>
        <v>Ricardo Banha</v>
      </c>
      <c r="F31" s="4" t="str">
        <f>IFERROR(__xludf.DUMMYFUNCTION("""COMPUTED_VALUE"""),"2019/11/05 11:00:00")</f>
        <v>2019/11/05 11:00:00</v>
      </c>
      <c r="G31" s="4" t="str">
        <f>IFERROR(__xludf.DUMMYFUNCTION("""COMPUTED_VALUE"""),"2019/11/05 11:45:00")</f>
        <v>2019/11/05 11:45:00</v>
      </c>
      <c r="H31" s="4" t="str">
        <f>IFERROR(__xludf.DUMMYFUNCTION("""COMPUTED_VALUE"""),"47c7cd90-151d-425e-9447-f5c78924dbe2")</f>
        <v>47c7cd90-151d-425e-9447-f5c78924dbe2</v>
      </c>
      <c r="I31" s="4" t="str">
        <f>IFERROR(__xludf.DUMMYFUNCTION("""COMPUTED_VALUE"""),"47c7cd90-151d-425e-9447-f5c78924dbe2")</f>
        <v>47c7cd90-151d-425e-9447-f5c78924dbe2</v>
      </c>
    </row>
    <row r="32">
      <c r="A32" s="4" t="str">
        <f>IFERROR(__xludf.DUMMYFUNCTION("""COMPUTED_VALUE"""),"Every day amplified: The Lamborghini experience")</f>
        <v>Every day amplified: The Lamborghini experience</v>
      </c>
      <c r="B32" s="4" t="str">
        <f>IFERROR(__xludf.DUMMYFUNCTION("""COMPUTED_VALUE"""),"Imagine designing your own Lamborghini. Now, stop imagining. Let's see how Lamborghini is making your dreams into reality.")</f>
        <v>Imagine designing your own Lamborghini. Now, stop imagining. Let's see how Lamborghini is making your dreams into reality.</v>
      </c>
      <c r="C32" s="4" t="str">
        <f>IFERROR(__xludf.DUMMYFUNCTION("""COMPUTED_VALUE"""),"PandaConf")</f>
        <v>PandaConf</v>
      </c>
      <c r="D32" s="4" t="str">
        <f>IFERROR(__xludf.DUMMYFUNCTION("""COMPUTED_VALUE"""),"Katia Bassi")</f>
        <v>Katia Bassi</v>
      </c>
      <c r="E32" s="4" t="str">
        <f>IFERROR(__xludf.DUMMYFUNCTION("""COMPUTED_VALUE"""),"Katia Bassi")</f>
        <v>Katia Bassi</v>
      </c>
      <c r="F32" s="4" t="str">
        <f>IFERROR(__xludf.DUMMYFUNCTION("""COMPUTED_VALUE"""),"2019/11/06 11:00:00")</f>
        <v>2019/11/06 11:00:00</v>
      </c>
      <c r="G32" s="4" t="str">
        <f>IFERROR(__xludf.DUMMYFUNCTION("""COMPUTED_VALUE"""),"2019/11/06 11:30:00")</f>
        <v>2019/11/06 11:30:00</v>
      </c>
      <c r="H32" s="4" t="str">
        <f>IFERROR(__xludf.DUMMYFUNCTION("""COMPUTED_VALUE"""),"2480ada4-aa87-4928-9270-10496ee3b070")</f>
        <v>2480ada4-aa87-4928-9270-10496ee3b070</v>
      </c>
      <c r="I32" s="4" t="str">
        <f>IFERROR(__xludf.DUMMYFUNCTION("""COMPUTED_VALUE"""),"2480ada4-aa87-4928-9270-10496ee3b070")</f>
        <v>2480ada4-aa87-4928-9270-10496ee3b070</v>
      </c>
    </row>
    <row r="33">
      <c r="A33" s="4" t="str">
        <f>IFERROR(__xludf.DUMMYFUNCTION("""COMPUTED_VALUE"""),"Grow fast or die slow")</f>
        <v>Grow fast or die slow</v>
      </c>
      <c r="B33" s="4" t="str">
        <f>IFERROR(__xludf.DUMMYFUNCTION("""COMPUTED_VALUE"""),"Today’s hyper-growth entrepreneurial successes go from one to hundreds of customers and employees in just a few years. Often with little budget, these upstarts recognise that to break out and stave off competitors, they need to quickly acquire as many cus"&amp;"tomers as possible, rapidly expand and scale globally, all while cementing enduring and defensible market leadership. Join this talk to discover how your company can weather the storms of hyper-growth.")</f>
        <v>Today’s hyper-growth entrepreneurial successes go from one to hundreds of customers and employees in just a few years. Often with little budget, these upstarts recognise that to break out and stave off competitors, they need to quickly acquire as many customers as possible, rapidly expand and scale globally, all while cementing enduring and defensible market leadership. Join this talk to discover how your company can weather the storms of hyper-growth.</v>
      </c>
      <c r="C33" s="4" t="str">
        <f>IFERROR(__xludf.DUMMYFUNCTION("""COMPUTED_VALUE"""),"SaaS Monster")</f>
        <v>SaaS Monster</v>
      </c>
      <c r="D33" s="4" t="str">
        <f>IFERROR(__xludf.DUMMYFUNCTION("""COMPUTED_VALUE"""),"Gaurav Dhillon, Frida Polli, Allan Grant and Liam Proud")</f>
        <v>Gaurav Dhillon, Frida Polli, Allan Grant and Liam Proud</v>
      </c>
      <c r="E33" s="4" t="str">
        <f>IFERROR(__xludf.DUMMYFUNCTION("""COMPUTED_VALUE"""),"Gaurav Dhillon,Frida Polli,Allan Grant,Liam Proud")</f>
        <v>Gaurav Dhillon,Frida Polli,Allan Grant,Liam Proud</v>
      </c>
      <c r="F33" s="4" t="str">
        <f>IFERROR(__xludf.DUMMYFUNCTION("""COMPUTED_VALUE"""),"2019/11/05 14:05:00")</f>
        <v>2019/11/05 14:05:00</v>
      </c>
      <c r="G33" s="4" t="str">
        <f>IFERROR(__xludf.DUMMYFUNCTION("""COMPUTED_VALUE"""),"2019/11/05 14:25:00")</f>
        <v>2019/11/05 14:25:00</v>
      </c>
      <c r="H33" s="4" t="str">
        <f>IFERROR(__xludf.DUMMYFUNCTION("""COMPUTED_VALUE"""),"5e174c71-64d5-46a5-90a1-f607b057db02")</f>
        <v>5e174c71-64d5-46a5-90a1-f607b057db02</v>
      </c>
      <c r="I33" s="4" t="str">
        <f>IFERROR(__xludf.DUMMYFUNCTION("""COMPUTED_VALUE"""),"5e174c71-64d5-46a5-90a1-f607b057db02")</f>
        <v>5e174c71-64d5-46a5-90a1-f607b057db02</v>
      </c>
    </row>
    <row r="34">
      <c r="A34" s="4" t="str">
        <f>IFERROR(__xludf.DUMMYFUNCTION("""COMPUTED_VALUE"""),"Lunch break")</f>
        <v>Lunch break</v>
      </c>
      <c r="B34" s="4" t="str">
        <f>IFERROR(__xludf.DUMMYFUNCTION("""COMPUTED_VALUE"""),"")</f>
        <v/>
      </c>
      <c r="C34" s="4" t="str">
        <f>IFERROR(__xludf.DUMMYFUNCTION("""COMPUTED_VALUE"""),"Growth Summit")</f>
        <v>Growth Summit</v>
      </c>
      <c r="D34" s="4" t="str">
        <f>IFERROR(__xludf.DUMMYFUNCTION("""COMPUTED_VALUE"""),"")</f>
        <v/>
      </c>
      <c r="E34" s="4" t="str">
        <f>IFERROR(__xludf.DUMMYFUNCTION("""COMPUTED_VALUE"""),"")</f>
        <v/>
      </c>
      <c r="F34" s="4" t="str">
        <f>IFERROR(__xludf.DUMMYFUNCTION("""COMPUTED_VALUE"""),"2019/11/06 11:58:00")</f>
        <v>2019/11/06 11:58:00</v>
      </c>
      <c r="G34" s="4" t="str">
        <f>IFERROR(__xludf.DUMMYFUNCTION("""COMPUTED_VALUE"""),"2019/11/06 12:28:00")</f>
        <v>2019/11/06 12:28:00</v>
      </c>
      <c r="H34" s="4" t="str">
        <f>IFERROR(__xludf.DUMMYFUNCTION("""COMPUTED_VALUE"""),"ad321c9f-fcbe-4d6f-95c2-8e0e96d708b3")</f>
        <v>ad321c9f-fcbe-4d6f-95c2-8e0e96d708b3</v>
      </c>
      <c r="I34" s="4" t="str">
        <f>IFERROR(__xludf.DUMMYFUNCTION("""COMPUTED_VALUE"""),"ad321c9f-fcbe-4d6f-95c2-8e0e96d708b3")</f>
        <v>ad321c9f-fcbe-4d6f-95c2-8e0e96d708b3</v>
      </c>
    </row>
    <row r="35">
      <c r="A35" s="4" t="str">
        <f>IFERROR(__xludf.DUMMYFUNCTION("""COMPUTED_VALUE"""),"Lunch break")</f>
        <v>Lunch break</v>
      </c>
      <c r="B35" s="4" t="str">
        <f>IFERROR(__xludf.DUMMYFUNCTION("""COMPUTED_VALUE"""),"")</f>
        <v/>
      </c>
      <c r="C35" s="4" t="str">
        <f>IFERROR(__xludf.DUMMYFUNCTION("""COMPUTED_VALUE"""),"MoneyConf")</f>
        <v>MoneyConf</v>
      </c>
      <c r="D35" s="4" t="str">
        <f>IFERROR(__xludf.DUMMYFUNCTION("""COMPUTED_VALUE"""),"")</f>
        <v/>
      </c>
      <c r="E35" s="4" t="str">
        <f>IFERROR(__xludf.DUMMYFUNCTION("""COMPUTED_VALUE"""),"")</f>
        <v/>
      </c>
      <c r="F35" s="4" t="str">
        <f>IFERROR(__xludf.DUMMYFUNCTION("""COMPUTED_VALUE"""),"2019/11/06 13:00:00")</f>
        <v>2019/11/06 13:00:00</v>
      </c>
      <c r="G35" s="4" t="str">
        <f>IFERROR(__xludf.DUMMYFUNCTION("""COMPUTED_VALUE"""),"2019/11/06 13:45:00")</f>
        <v>2019/11/06 13:45:00</v>
      </c>
      <c r="H35" s="4" t="str">
        <f>IFERROR(__xludf.DUMMYFUNCTION("""COMPUTED_VALUE"""),"959e7693-d8f0-4eba-be2e-ed601de35951")</f>
        <v>959e7693-d8f0-4eba-be2e-ed601de35951</v>
      </c>
      <c r="I35" s="4" t="str">
        <f>IFERROR(__xludf.DUMMYFUNCTION("""COMPUTED_VALUE"""),"959e7693-d8f0-4eba-be2e-ed601de35951")</f>
        <v>959e7693-d8f0-4eba-be2e-ed601de35951</v>
      </c>
    </row>
    <row r="36">
      <c r="A36" s="4" t="str">
        <f>IFERROR(__xludf.DUMMYFUNCTION("""COMPUTED_VALUE"""),"Building a unicorn in 48 months")</f>
        <v>Building a unicorn in 48 months</v>
      </c>
      <c r="B36" s="4" t="str">
        <f>IFERROR(__xludf.DUMMYFUNCTION("""COMPUTED_VALUE"""),"CEO of Swvl, Mostafa will outline his vision for the companies app that allows customers to book fixed rate rides on buses and vans in their network.")</f>
        <v>CEO of Swvl, Mostafa will outline his vision for the companies app that allows customers to book fixed rate rides on buses and vans in their network.</v>
      </c>
      <c r="C36" s="4" t="str">
        <f>IFERROR(__xludf.DUMMYFUNCTION("""COMPUTED_VALUE"""),"Growth Summit")</f>
        <v>Growth Summit</v>
      </c>
      <c r="D36" s="4" t="str">
        <f>IFERROR(__xludf.DUMMYFUNCTION("""COMPUTED_VALUE"""),"Mostafa Kandil")</f>
        <v>Mostafa Kandil</v>
      </c>
      <c r="E36" s="4" t="str">
        <f>IFERROR(__xludf.DUMMYFUNCTION("""COMPUTED_VALUE"""),"Mostafa Kandil")</f>
        <v>Mostafa Kandil</v>
      </c>
      <c r="F36" s="4" t="str">
        <f>IFERROR(__xludf.DUMMYFUNCTION("""COMPUTED_VALUE"""),"2019/11/07 15:48:00")</f>
        <v>2019/11/07 15:48:00</v>
      </c>
      <c r="G36" s="4" t="str">
        <f>IFERROR(__xludf.DUMMYFUNCTION("""COMPUTED_VALUE"""),"2019/11/07 15:59:00")</f>
        <v>2019/11/07 15:59:00</v>
      </c>
      <c r="H36" s="4" t="str">
        <f>IFERROR(__xludf.DUMMYFUNCTION("""COMPUTED_VALUE"""),"cacc34f7-2a9a-4f44-99fb-4183b368745b")</f>
        <v>cacc34f7-2a9a-4f44-99fb-4183b368745b</v>
      </c>
      <c r="I36" s="4" t="str">
        <f>IFERROR(__xludf.DUMMYFUNCTION("""COMPUTED_VALUE"""),"cacc34f7-2a9a-4f44-99fb-4183b368745b")</f>
        <v>cacc34f7-2a9a-4f44-99fb-4183b368745b</v>
      </c>
    </row>
    <row r="37">
      <c r="A37" s="4" t="str">
        <f>IFERROR(__xludf.DUMMYFUNCTION("""COMPUTED_VALUE"""),"The future of space: from AI to the multiverse ")</f>
        <v>The future of space: from AI to the multiverse </v>
      </c>
      <c r="B37" s="4" t="str">
        <f>IFERROR(__xludf.DUMMYFUNCTION("""COMPUTED_VALUE"""),"An in-depth look at how cosmology and space research are increasingly becoming hotbeds of development for AI methods that might one day impact us all.")</f>
        <v>An in-depth look at how cosmology and space research are increasingly becoming hotbeds of development for AI methods that might one day impact us all.</v>
      </c>
      <c r="C37" s="4" t="str">
        <f>IFERROR(__xludf.DUMMYFUNCTION("""COMPUTED_VALUE"""),"DeepTech")</f>
        <v>DeepTech</v>
      </c>
      <c r="D37" s="4" t="str">
        <f>IFERROR(__xludf.DUMMYFUNCTION("""COMPUTED_VALUE"""),"Roberto Trotta")</f>
        <v>Roberto Trotta</v>
      </c>
      <c r="E37" s="4" t="str">
        <f>IFERROR(__xludf.DUMMYFUNCTION("""COMPUTED_VALUE"""),"Roberto Trotta")</f>
        <v>Roberto Trotta</v>
      </c>
      <c r="F37" s="4" t="str">
        <f>IFERROR(__xludf.DUMMYFUNCTION("""COMPUTED_VALUE"""),"2019/11/06 14:30:00")</f>
        <v>2019/11/06 14:30:00</v>
      </c>
      <c r="G37" s="4" t="str">
        <f>IFERROR(__xludf.DUMMYFUNCTION("""COMPUTED_VALUE"""),"2019/11/06 14:50:00")</f>
        <v>2019/11/06 14:50:00</v>
      </c>
      <c r="H37" s="4" t="str">
        <f>IFERROR(__xludf.DUMMYFUNCTION("""COMPUTED_VALUE"""),"47536078-a25d-4729-b47d-74e8169a3703")</f>
        <v>47536078-a25d-4729-b47d-74e8169a3703</v>
      </c>
      <c r="I37" s="4" t="str">
        <f>IFERROR(__xludf.DUMMYFUNCTION("""COMPUTED_VALUE"""),"47536078-a25d-4729-b47d-74e8169a3703")</f>
        <v>47536078-a25d-4729-b47d-74e8169a3703</v>
      </c>
    </row>
    <row r="38">
      <c r="A38" s="4" t="str">
        <f>IFERROR(__xludf.DUMMYFUNCTION("""COMPUTED_VALUE"""),"From quitting my job to raising a Series A")</f>
        <v>From quitting my job to raising a Series A</v>
      </c>
      <c r="B38" s="4" t="str">
        <f>IFERROR(__xludf.DUMMYFUNCTION("""COMPUTED_VALUE"""),"Founder and CEO of flatfair, Franz speaks about what he learned on his journey from quitting his job at Deutsche Bank to building flatfair, one of Europe’s fastest-growing fintech companies, and how it helped in raising a successful $11m Series A.")</f>
        <v>Founder and CEO of flatfair, Franz speaks about what he learned on his journey from quitting his job at Deutsche Bank to building flatfair, one of Europe’s fastest-growing fintech companies, and how it helped in raising a successful $11m Series A.</v>
      </c>
      <c r="C38" s="4" t="str">
        <f>IFERROR(__xludf.DUMMYFUNCTION("""COMPUTED_VALUE"""),"Growth Summit")</f>
        <v>Growth Summit</v>
      </c>
      <c r="D38" s="4" t="str">
        <f>IFERROR(__xludf.DUMMYFUNCTION("""COMPUTED_VALUE"""),"Franz Dörr")</f>
        <v>Franz Dörr</v>
      </c>
      <c r="E38" s="4" t="str">
        <f>IFERROR(__xludf.DUMMYFUNCTION("""COMPUTED_VALUE"""),"Franz Dörr")</f>
        <v>Franz Dörr</v>
      </c>
      <c r="F38" s="4" t="str">
        <f>IFERROR(__xludf.DUMMYFUNCTION("""COMPUTED_VALUE"""),"2019/11/07 10:30:00")</f>
        <v>2019/11/07 10:30:00</v>
      </c>
      <c r="G38" s="4" t="str">
        <f>IFERROR(__xludf.DUMMYFUNCTION("""COMPUTED_VALUE"""),"2019/11/07 10:34:00")</f>
        <v>2019/11/07 10:34:00</v>
      </c>
      <c r="H38" s="4" t="str">
        <f>IFERROR(__xludf.DUMMYFUNCTION("""COMPUTED_VALUE"""),"19946a2a-d83b-4e81-8649-f59d10791e8b")</f>
        <v>19946a2a-d83b-4e81-8649-f59d10791e8b</v>
      </c>
      <c r="I38" s="4" t="str">
        <f>IFERROR(__xludf.DUMMYFUNCTION("""COMPUTED_VALUE"""),"19946a2a-d83b-4e81-8649-f59d10791e8b")</f>
        <v>19946a2a-d83b-4e81-8649-f59d10791e8b</v>
      </c>
    </row>
    <row r="39">
      <c r="A39" s="4" t="str">
        <f>IFERROR(__xludf.DUMMYFUNCTION("""COMPUTED_VALUE"""),"Building an ecosystem for big growth")</f>
        <v>Building an ecosystem for big growth</v>
      </c>
      <c r="B39" s="4" t="str">
        <f>IFERROR(__xludf.DUMMYFUNCTION("""COMPUTED_VALUE"""),"The term 'ecosystem' has been inordinately referenced in the modern day. What does it take to genuinely cultivate an innovation ecosystem for meaningful economic growth? In conversation with author and historian Margaret O'Mara, we welcome ecosystem leade"&amp;"rs from three different continents to come together and exchange their learnings, drawing on similarities on the components required to induce purposeful growth.")</f>
        <v>The term 'ecosystem' has been inordinately referenced in the modern day. What does it take to genuinely cultivate an innovation ecosystem for meaningful economic growth? In conversation with author and historian Margaret O'Mara, we welcome ecosystem leaders from three different continents to come together and exchange their learnings, drawing on similarities on the components required to induce purposeful growth.</v>
      </c>
      <c r="C39" s="4" t="str">
        <f>IFERROR(__xludf.DUMMYFUNCTION("""COMPUTED_VALUE"""),"Corporate Innovation Summit")</f>
        <v>Corporate Innovation Summit</v>
      </c>
      <c r="D39" s="4" t="str">
        <f>IFERROR(__xludf.DUMMYFUNCTION("""COMPUTED_VALUE"""),"George Tee, Kat Borlongan, Paula Ingabire and Margaret O'Mara")</f>
        <v>George Tee, Kat Borlongan, Paula Ingabire and Margaret O'Mara</v>
      </c>
      <c r="E39" s="4" t="str">
        <f>IFERROR(__xludf.DUMMYFUNCTION("""COMPUTED_VALUE"""),"George Tee,Kat Borlongan,Paula Ingabire,Margaret O'Mara")</f>
        <v>George Tee,Kat Borlongan,Paula Ingabire,Margaret O'Mara</v>
      </c>
      <c r="F39" s="4" t="str">
        <f>IFERROR(__xludf.DUMMYFUNCTION("""COMPUTED_VALUE"""),"2019/11/05 14:40:00")</f>
        <v>2019/11/05 14:40:00</v>
      </c>
      <c r="G39" s="4" t="str">
        <f>IFERROR(__xludf.DUMMYFUNCTION("""COMPUTED_VALUE"""),"2019/11/05 15:00:00")</f>
        <v>2019/11/05 15:00:00</v>
      </c>
      <c r="H39" s="4" t="str">
        <f>IFERROR(__xludf.DUMMYFUNCTION("""COMPUTED_VALUE"""),"6ecc4201-82fb-4356-aba6-a4d145ee7f6b")</f>
        <v>6ecc4201-82fb-4356-aba6-a4d145ee7f6b</v>
      </c>
      <c r="I39" s="4" t="str">
        <f>IFERROR(__xludf.DUMMYFUNCTION("""COMPUTED_VALUE"""),"6ecc4201-82fb-4356-aba6-a4d145ee7f6b")</f>
        <v>6ecc4201-82fb-4356-aba6-a4d145ee7f6b</v>
      </c>
    </row>
    <row r="40">
      <c r="A40" s="4" t="str">
        <f>IFERROR(__xludf.DUMMYFUNCTION("""COMPUTED_VALUE"""),"Secret code of digital transformation, hosted by Netguru")</f>
        <v>Secret code of digital transformation, hosted by Netguru</v>
      </c>
      <c r="B40" s="4" t="str">
        <f>IFERROR(__xludf.DUMMYFUNCTION("""COMPUTED_VALUE"""),"Ever wondered how to change your company and make your customers love you twice as much? Join this workshop to hear the lessons learned from running digital transformation projects, both good and bad. Explore the best use cases from the financial industry"&amp;" and many more.
You’ll learn:
* How to transform internal processes;
* How to quickly adapt to a customers’ and employees’ needs;
* How to stimulate innovative thinking.")</f>
        <v>Ever wondered how to change your company and make your customers love you twice as much? Join this workshop to hear the lessons learned from running digital transformation projects, both good and bad. Explore the best use cases from the financial industry and many more.
You’ll learn:
* How to transform internal processes;
* How to quickly adapt to a customers’ and employees’ needs;
* How to stimulate innovative thinking.</v>
      </c>
      <c r="C40" s="4" t="str">
        <f>IFERROR(__xludf.DUMMYFUNCTION("""COMPUTED_VALUE"""),"Workshop 3")</f>
        <v>Workshop 3</v>
      </c>
      <c r="D40" s="4" t="str">
        <f>IFERROR(__xludf.DUMMYFUNCTION("""COMPUTED_VALUE"""),"Wiktor Schmidt, Roland Folz, Jonathon Spanos, Rodolphe Ardant, Rita Costa Waite, Alain Bindels, Mats Lundquist, Kristian Hart-Hansen and Mateusz Czajka")</f>
        <v>Wiktor Schmidt, Roland Folz, Jonathon Spanos, Rodolphe Ardant, Rita Costa Waite, Alain Bindels, Mats Lundquist, Kristian Hart-Hansen and Mateusz Czajka</v>
      </c>
      <c r="E40" s="4" t="str">
        <f>IFERROR(__xludf.DUMMYFUNCTION("""COMPUTED_VALUE"""),"Wiktor Schmidt,Roland Folz,Jonathon Spanos,Rodolphe Ardant,Rita Costa Waite,Alain Bindels,Mats Lundquist,Kristian Hart-Hansen,Mateusz Czajka")</f>
        <v>Wiktor Schmidt,Roland Folz,Jonathon Spanos,Rodolphe Ardant,Rita Costa Waite,Alain Bindels,Mats Lundquist,Kristian Hart-Hansen,Mateusz Czajka</v>
      </c>
      <c r="F40" s="4" t="str">
        <f>IFERROR(__xludf.DUMMYFUNCTION("""COMPUTED_VALUE"""),"2019/11/06 12:15:00")</f>
        <v>2019/11/06 12:15:00</v>
      </c>
      <c r="G40" s="4" t="str">
        <f>IFERROR(__xludf.DUMMYFUNCTION("""COMPUTED_VALUE"""),"2019/11/06 13:15:00")</f>
        <v>2019/11/06 13:15:00</v>
      </c>
      <c r="H40" s="4" t="str">
        <f>IFERROR(__xludf.DUMMYFUNCTION("""COMPUTED_VALUE"""),"ee3f763c-73d0-45da-b3cd-d224d07bb6fa")</f>
        <v>ee3f763c-73d0-45da-b3cd-d224d07bb6fa</v>
      </c>
      <c r="I40" s="4" t="str">
        <f>IFERROR(__xludf.DUMMYFUNCTION("""COMPUTED_VALUE"""),"ee3f763c-73d0-45da-b3cd-d224d07bb6fa")</f>
        <v>ee3f763c-73d0-45da-b3cd-d224d07bb6fa</v>
      </c>
    </row>
    <row r="41">
      <c r="A41" s="4" t="str">
        <f>IFERROR(__xludf.DUMMYFUNCTION("""COMPUTED_VALUE"""),"The middle mile - breaking american car culture")</f>
        <v>The middle mile - breaking american car culture</v>
      </c>
      <c r="B41" s="4" t="str">
        <f>IFERROR(__xludf.DUMMYFUNCTION("""COMPUTED_VALUE"""),"Is the way that we commute completely broken? If so, how do we fix it? In this keynote, we’ll be examining how the last part of your journey can impact the greater commute for everyone. ")</f>
        <v>Is the way that we commute completely broken? If so, how do we fix it? In this keynote, we’ll be examining how the last part of your journey can impact the greater commute for everyone. </v>
      </c>
      <c r="C41" s="4" t="str">
        <f>IFERROR(__xludf.DUMMYFUNCTION("""COMPUTED_VALUE"""),"Auto/Tech &amp; TalkRobot")</f>
        <v>Auto/Tech &amp; TalkRobot</v>
      </c>
      <c r="D41" s="4" t="str">
        <f>IFERROR(__xludf.DUMMYFUNCTION("""COMPUTED_VALUE"""),"Frank Reig")</f>
        <v>Frank Reig</v>
      </c>
      <c r="E41" s="4" t="str">
        <f>IFERROR(__xludf.DUMMYFUNCTION("""COMPUTED_VALUE"""),"Frank Reig")</f>
        <v>Frank Reig</v>
      </c>
      <c r="F41" s="4" t="str">
        <f>IFERROR(__xludf.DUMMYFUNCTION("""COMPUTED_VALUE"""),"2019/11/07 14:30:00")</f>
        <v>2019/11/07 14:30:00</v>
      </c>
      <c r="G41" s="4" t="str">
        <f>IFERROR(__xludf.DUMMYFUNCTION("""COMPUTED_VALUE"""),"2019/11/07 14:50:00")</f>
        <v>2019/11/07 14:50:00</v>
      </c>
      <c r="H41" s="4" t="str">
        <f>IFERROR(__xludf.DUMMYFUNCTION("""COMPUTED_VALUE"""),"a0cf0658-f16a-4c4c-a816-d9a93784684d")</f>
        <v>a0cf0658-f16a-4c4c-a816-d9a93784684d</v>
      </c>
      <c r="I41" s="4" t="str">
        <f>IFERROR(__xludf.DUMMYFUNCTION("""COMPUTED_VALUE"""),"a0cf0658-f16a-4c4c-a816-d9a93784684d")</f>
        <v>a0cf0658-f16a-4c4c-a816-d9a93784684d</v>
      </c>
    </row>
    <row r="42">
      <c r="A42" s="4" t="str">
        <f>IFERROR(__xludf.DUMMYFUNCTION("""COMPUTED_VALUE"""),"Shortcuts to succ-Saas")</f>
        <v>Shortcuts to succ-Saas</v>
      </c>
      <c r="B42" s="4" t="str">
        <f>IFERROR(__xludf.DUMMYFUNCTION("""COMPUTED_VALUE"""),"How do staff based inhouse and remotely affect how SaaS companies build their marketing teams? What is the ideal team structure to ensure growth? Join this session to find out.")</f>
        <v>How do staff based inhouse and remotely affect how SaaS companies build their marketing teams? What is the ideal team structure to ensure growth? Join this session to find out.</v>
      </c>
      <c r="C42" s="4" t="str">
        <f>IFERROR(__xludf.DUMMYFUNCTION("""COMPUTED_VALUE"""),"SaaS Monster")</f>
        <v>SaaS Monster</v>
      </c>
      <c r="D42" s="4" t="str">
        <f>IFERROR(__xludf.DUMMYFUNCTION("""COMPUTED_VALUE"""),"Janine Pelosi, Tom Klein and Jordan French")</f>
        <v>Janine Pelosi, Tom Klein and Jordan French</v>
      </c>
      <c r="E42" s="4" t="str">
        <f>IFERROR(__xludf.DUMMYFUNCTION("""COMPUTED_VALUE"""),"Janine Pelosi,Tom Klein,Jordan French")</f>
        <v>Janine Pelosi,Tom Klein,Jordan French</v>
      </c>
      <c r="F42" s="4" t="str">
        <f>IFERROR(__xludf.DUMMYFUNCTION("""COMPUTED_VALUE"""),"2019/11/05 12:30:00")</f>
        <v>2019/11/05 12:30:00</v>
      </c>
      <c r="G42" s="4" t="str">
        <f>IFERROR(__xludf.DUMMYFUNCTION("""COMPUTED_VALUE"""),"2019/11/05 12:50:00")</f>
        <v>2019/11/05 12:50:00</v>
      </c>
      <c r="H42" s="4" t="str">
        <f>IFERROR(__xludf.DUMMYFUNCTION("""COMPUTED_VALUE"""),"d13de206-4905-431f-be23-206ebc7b96b9")</f>
        <v>d13de206-4905-431f-be23-206ebc7b96b9</v>
      </c>
      <c r="I42" s="4" t="str">
        <f>IFERROR(__xludf.DUMMYFUNCTION("""COMPUTED_VALUE"""),"d13de206-4905-431f-be23-206ebc7b96b9")</f>
        <v>d13de206-4905-431f-be23-206ebc7b96b9</v>
      </c>
    </row>
    <row r="43">
      <c r="A43" s="4" t="str">
        <f>IFERROR(__xludf.DUMMYFUNCTION("""COMPUTED_VALUE"""),"What does it take to be a modern CMO?")</f>
        <v>What does it take to be a modern CMO?</v>
      </c>
      <c r="B43" s="4" t="str">
        <f>IFERROR(__xludf.DUMMYFUNCTION("""COMPUTED_VALUE"""),"A unique opportunity to go behind the scenes with three of the world's leading marketers as they share their insights on building the modern brand.")</f>
        <v>A unique opportunity to go behind the scenes with three of the world's leading marketers as they share their insights on building the modern brand.</v>
      </c>
      <c r="C43" s="4" t="str">
        <f>IFERROR(__xludf.DUMMYFUNCTION("""COMPUTED_VALUE"""),"PandaConf")</f>
        <v>PandaConf</v>
      </c>
      <c r="D43" s="4" t="str">
        <f>IFERROR(__xludf.DUMMYFUNCTION("""COMPUTED_VALUE"""),"Meagen Eisenberg, Tom Klein, Janine Pelosi and Katie Deighton")</f>
        <v>Meagen Eisenberg, Tom Klein, Janine Pelosi and Katie Deighton</v>
      </c>
      <c r="E43" s="4" t="str">
        <f>IFERROR(__xludf.DUMMYFUNCTION("""COMPUTED_VALUE"""),"Meagen Eisenberg,Tom Klein,Janine Pelosi,Katie Deighton")</f>
        <v>Meagen Eisenberg,Tom Klein,Janine Pelosi,Katie Deighton</v>
      </c>
      <c r="F43" s="4" t="str">
        <f>IFERROR(__xludf.DUMMYFUNCTION("""COMPUTED_VALUE"""),"2019/11/05 14:10:00")</f>
        <v>2019/11/05 14:10:00</v>
      </c>
      <c r="G43" s="4" t="str">
        <f>IFERROR(__xludf.DUMMYFUNCTION("""COMPUTED_VALUE"""),"2019/11/05 14:35:00")</f>
        <v>2019/11/05 14:35:00</v>
      </c>
      <c r="H43" s="4" t="str">
        <f>IFERROR(__xludf.DUMMYFUNCTION("""COMPUTED_VALUE"""),"f9830c98-c828-4bff-97b9-d496bb65eb0b")</f>
        <v>f9830c98-c828-4bff-97b9-d496bb65eb0b</v>
      </c>
      <c r="I43" s="4" t="str">
        <f>IFERROR(__xludf.DUMMYFUNCTION("""COMPUTED_VALUE"""),"f9830c98-c828-4bff-97b9-d496bb65eb0b")</f>
        <v>f9830c98-c828-4bff-97b9-d496bb65eb0b</v>
      </c>
    </row>
    <row r="44">
      <c r="A44" s="4" t="str">
        <f>IFERROR(__xludf.DUMMYFUNCTION("""COMPUTED_VALUE"""),"Getting a VC to say yes: Securing the funding you need to grow")</f>
        <v>Getting a VC to say yes: Securing the funding you need to grow</v>
      </c>
      <c r="B44" s="4" t="str">
        <f>IFERROR(__xludf.DUMMYFUNCTION("""COMPUTED_VALUE"""),"Hear from CEO of Futril, Hannah, on key factors which will help turn that “no” into a “yes”, and secure that crucial funding you need to fuel your growth.")</f>
        <v>Hear from CEO of Futril, Hannah, on key factors which will help turn that “no” into a “yes”, and secure that crucial funding you need to fuel your growth.</v>
      </c>
      <c r="C44" s="4" t="str">
        <f>IFERROR(__xludf.DUMMYFUNCTION("""COMPUTED_VALUE"""),"Growth Summit")</f>
        <v>Growth Summit</v>
      </c>
      <c r="D44" s="4" t="str">
        <f>IFERROR(__xludf.DUMMYFUNCTION("""COMPUTED_VALUE"""),"Hannah Dawson")</f>
        <v>Hannah Dawson</v>
      </c>
      <c r="E44" s="4" t="str">
        <f>IFERROR(__xludf.DUMMYFUNCTION("""COMPUTED_VALUE"""),"Hannah Dawson")</f>
        <v>Hannah Dawson</v>
      </c>
      <c r="F44" s="4" t="str">
        <f>IFERROR(__xludf.DUMMYFUNCTION("""COMPUTED_VALUE"""),"2019/11/05 10:02:00")</f>
        <v>2019/11/05 10:02:00</v>
      </c>
      <c r="G44" s="4" t="str">
        <f>IFERROR(__xludf.DUMMYFUNCTION("""COMPUTED_VALUE"""),"2019/11/05 10:06:00")</f>
        <v>2019/11/05 10:06:00</v>
      </c>
      <c r="H44" s="4" t="str">
        <f>IFERROR(__xludf.DUMMYFUNCTION("""COMPUTED_VALUE"""),"5b5fa4ff-6683-438d-be33-29e501d9991f")</f>
        <v>5b5fa4ff-6683-438d-be33-29e501d9991f</v>
      </c>
      <c r="I44" s="4" t="str">
        <f>IFERROR(__xludf.DUMMYFUNCTION("""COMPUTED_VALUE"""),"5b5fa4ff-6683-438d-be33-29e501d9991f")</f>
        <v>5b5fa4ff-6683-438d-be33-29e501d9991f</v>
      </c>
    </row>
    <row r="45">
      <c r="A45" s="4" t="str">
        <f>IFERROR(__xludf.DUMMYFUNCTION("""COMPUTED_VALUE"""),"Lunch break")</f>
        <v>Lunch break</v>
      </c>
      <c r="B45" s="4" t="str">
        <f>IFERROR(__xludf.DUMMYFUNCTION("""COMPUTED_VALUE"""),"")</f>
        <v/>
      </c>
      <c r="C45" s="4" t="str">
        <f>IFERROR(__xludf.DUMMYFUNCTION("""COMPUTED_VALUE"""),"Auto/Tech &amp; TalkRobot")</f>
        <v>Auto/Tech &amp; TalkRobot</v>
      </c>
      <c r="D45" s="4" t="str">
        <f>IFERROR(__xludf.DUMMYFUNCTION("""COMPUTED_VALUE"""),"")</f>
        <v/>
      </c>
      <c r="E45" s="4" t="str">
        <f>IFERROR(__xludf.DUMMYFUNCTION("""COMPUTED_VALUE"""),"")</f>
        <v/>
      </c>
      <c r="F45" s="4" t="str">
        <f>IFERROR(__xludf.DUMMYFUNCTION("""COMPUTED_VALUE"""),"2019/11/05 13:20:00")</f>
        <v>2019/11/05 13:20:00</v>
      </c>
      <c r="G45" s="4" t="str">
        <f>IFERROR(__xludf.DUMMYFUNCTION("""COMPUTED_VALUE"""),"2019/11/05 14:05:00")</f>
        <v>2019/11/05 14:05:00</v>
      </c>
      <c r="H45" s="4" t="str">
        <f>IFERROR(__xludf.DUMMYFUNCTION("""COMPUTED_VALUE"""),"3d27d484-34eb-41a7-b86c-b4aeec184dcf")</f>
        <v>3d27d484-34eb-41a7-b86c-b4aeec184dcf</v>
      </c>
      <c r="I45" s="4" t="str">
        <f>IFERROR(__xludf.DUMMYFUNCTION("""COMPUTED_VALUE"""),"3d27d484-34eb-41a7-b86c-b4aeec184dcf")</f>
        <v>3d27d484-34eb-41a7-b86c-b4aeec184dcf</v>
      </c>
    </row>
    <row r="46">
      <c r="A46" s="4" t="str">
        <f>IFERROR(__xludf.DUMMYFUNCTION("""COMPUTED_VALUE"""),"The importance of secure communications for global growth")</f>
        <v>The importance of secure communications for global growth</v>
      </c>
      <c r="B46" s="4" t="str">
        <f>IFERROR(__xludf.DUMMYFUNCTION("""COMPUTED_VALUE"""),"Sikur CEO, Fabio Fischer, joins us to explain how tunneling and integration between encrypted apps, cloud, OS and devices, based on white label mobile platforms and private cloud is imperative to ensure privacy over a company’s strategic information and c"&amp;"ompliance with regulatory challenges worldwide.")</f>
        <v>Sikur CEO, Fabio Fischer, joins us to explain how tunneling and integration between encrypted apps, cloud, OS and devices, based on white label mobile platforms and private cloud is imperative to ensure privacy over a company’s strategic information and compliance with regulatory challenges worldwide.</v>
      </c>
      <c r="C46" s="4" t="str">
        <f>IFERROR(__xludf.DUMMYFUNCTION("""COMPUTED_VALUE"""),"Growth Summit")</f>
        <v>Growth Summit</v>
      </c>
      <c r="D46" s="4" t="str">
        <f>IFERROR(__xludf.DUMMYFUNCTION("""COMPUTED_VALUE"""),"Fabio Fischer de Aguiar")</f>
        <v>Fabio Fischer de Aguiar</v>
      </c>
      <c r="E46" s="4" t="str">
        <f>IFERROR(__xludf.DUMMYFUNCTION("""COMPUTED_VALUE"""),"Fabio Fischer de Aguiar")</f>
        <v>Fabio Fischer de Aguiar</v>
      </c>
      <c r="F46" s="4" t="str">
        <f>IFERROR(__xludf.DUMMYFUNCTION("""COMPUTED_VALUE"""),"2019/11/06 11:02:00")</f>
        <v>2019/11/06 11:02:00</v>
      </c>
      <c r="G46" s="4" t="str">
        <f>IFERROR(__xludf.DUMMYFUNCTION("""COMPUTED_VALUE"""),"2019/11/06 11:06:00")</f>
        <v>2019/11/06 11:06:00</v>
      </c>
      <c r="H46" s="4" t="str">
        <f>IFERROR(__xludf.DUMMYFUNCTION("""COMPUTED_VALUE"""),"9155bfae-4012-4e93-bac9-daea87f8de59")</f>
        <v>9155bfae-4012-4e93-bac9-daea87f8de59</v>
      </c>
      <c r="I46" s="4" t="str">
        <f>IFERROR(__xludf.DUMMYFUNCTION("""COMPUTED_VALUE"""),"9155bfae-4012-4e93-bac9-daea87f8de59")</f>
        <v>9155bfae-4012-4e93-bac9-daea87f8de59</v>
      </c>
    </row>
    <row r="47">
      <c r="A47" s="4" t="str">
        <f>IFERROR(__xludf.DUMMYFUNCTION("""COMPUTED_VALUE"""),"Scaling a startup globally from Europe: Lessons learned")</f>
        <v>Scaling a startup globally from Europe: Lessons learned</v>
      </c>
      <c r="B47" s="4" t="str">
        <f>IFERROR(__xludf.DUMMYFUNCTION("""COMPUTED_VALUE"""),"Since Profitero’s launch at Web Summit 2010, the company and its founders have gone through a steep learning curve. CEO and co-founder, Vol will share how, despite being based in Ireland, Profitero managed to raise funding from a top US VC, open offices a"&amp;"round the world and sell to enterprise customers in over 50 countries.")</f>
        <v>Since Profitero’s launch at Web Summit 2010, the company and its founders have gone through a steep learning curve. CEO and co-founder, Vol will share how, despite being based in Ireland, Profitero managed to raise funding from a top US VC, open offices around the world and sell to enterprise customers in over 50 countries.</v>
      </c>
      <c r="C47" s="4" t="str">
        <f>IFERROR(__xludf.DUMMYFUNCTION("""COMPUTED_VALUE"""),"Growth Summit")</f>
        <v>Growth Summit</v>
      </c>
      <c r="D47" s="4" t="str">
        <f>IFERROR(__xludf.DUMMYFUNCTION("""COMPUTED_VALUE"""),"Vol Pigrukh")</f>
        <v>Vol Pigrukh</v>
      </c>
      <c r="E47" s="4" t="str">
        <f>IFERROR(__xludf.DUMMYFUNCTION("""COMPUTED_VALUE"""),"Vol Pigrukh")</f>
        <v>Vol Pigrukh</v>
      </c>
      <c r="F47" s="4" t="str">
        <f>IFERROR(__xludf.DUMMYFUNCTION("""COMPUTED_VALUE"""),"2019/11/05 11:42:00")</f>
        <v>2019/11/05 11:42:00</v>
      </c>
      <c r="G47" s="4" t="str">
        <f>IFERROR(__xludf.DUMMYFUNCTION("""COMPUTED_VALUE"""),"2019/11/05 11:46:00")</f>
        <v>2019/11/05 11:46:00</v>
      </c>
      <c r="H47" s="4" t="str">
        <f>IFERROR(__xludf.DUMMYFUNCTION("""COMPUTED_VALUE"""),"e39a9b0a-2940-466b-a31d-ffd0d7810eb1")</f>
        <v>e39a9b0a-2940-466b-a31d-ffd0d7810eb1</v>
      </c>
      <c r="I47" s="4" t="str">
        <f>IFERROR(__xludf.DUMMYFUNCTION("""COMPUTED_VALUE"""),"e39a9b0a-2940-466b-a31d-ffd0d7810eb1")</f>
        <v>e39a9b0a-2940-466b-a31d-ffd0d7810eb1</v>
      </c>
    </row>
    <row r="48">
      <c r="A48" s="4" t="str">
        <f>IFERROR(__xludf.DUMMYFUNCTION("""COMPUTED_VALUE"""),"Retention as the new conversion")</f>
        <v>Retention as the new conversion</v>
      </c>
      <c r="B48" s="4" t="str">
        <f>IFERROR(__xludf.DUMMYFUNCTION("""COMPUTED_VALUE"""),"The old world of SaaS marketing is one replete with hacks, tips, tricks, and techniques all designed to get a user to signup and hopefully convert. But when most modern revenue is through subscription, what is a conversion today? After all, we don’t buy s"&amp;"oftware these days, we subscribe to it. This talk covers the new techniques that modern day product owners and marketers will need for the new world of customer relationships.")</f>
        <v>The old world of SaaS marketing is one replete with hacks, tips, tricks, and techniques all designed to get a user to signup and hopefully convert. But when most modern revenue is through subscription, what is a conversion today? After all, we don’t buy software these days, we subscribe to it. This talk covers the new techniques that modern day product owners and marketers will need for the new world of customer relationships.</v>
      </c>
      <c r="C48" s="4" t="str">
        <f>IFERROR(__xludf.DUMMYFUNCTION("""COMPUTED_VALUE"""),"SaaS Monster")</f>
        <v>SaaS Monster</v>
      </c>
      <c r="D48" s="4" t="str">
        <f>IFERROR(__xludf.DUMMYFUNCTION("""COMPUTED_VALUE"""),"Des Traynor")</f>
        <v>Des Traynor</v>
      </c>
      <c r="E48" s="4" t="str">
        <f>IFERROR(__xludf.DUMMYFUNCTION("""COMPUTED_VALUE"""),"Des Traynor")</f>
        <v>Des Traynor</v>
      </c>
      <c r="F48" s="4" t="str">
        <f>IFERROR(__xludf.DUMMYFUNCTION("""COMPUTED_VALUE"""),"2019/11/05 11:10:00")</f>
        <v>2019/11/05 11:10:00</v>
      </c>
      <c r="G48" s="4" t="str">
        <f>IFERROR(__xludf.DUMMYFUNCTION("""COMPUTED_VALUE"""),"2019/11/05 11:30:00")</f>
        <v>2019/11/05 11:30:00</v>
      </c>
      <c r="H48" s="4" t="str">
        <f>IFERROR(__xludf.DUMMYFUNCTION("""COMPUTED_VALUE"""),"1212862d-08b2-4165-9c8f-e9316b2c9cd4")</f>
        <v>1212862d-08b2-4165-9c8f-e9316b2c9cd4</v>
      </c>
      <c r="I48" s="4" t="str">
        <f>IFERROR(__xludf.DUMMYFUNCTION("""COMPUTED_VALUE"""),"1212862d-08b2-4165-9c8f-e9316b2c9cd4")</f>
        <v>1212862d-08b2-4165-9c8f-e9316b2c9cd4</v>
      </c>
    </row>
    <row r="49">
      <c r="A49" s="4" t="str">
        <f>IFERROR(__xludf.DUMMYFUNCTION("""COMPUTED_VALUE"""),"What will the first human martians look like?")</f>
        <v>What will the first human martians look like?</v>
      </c>
      <c r="B49" s="4" t="str">
        <f>IFERROR(__xludf.DUMMYFUNCTION("""COMPUTED_VALUE"""),"Meet the mutant humans of Mars. Professor of evolutionary biology Scott Solomon explains why babies born on the Red Planet will look, function, and behave dramatically different from us Earthlings.")</f>
        <v>Meet the mutant humans of Mars. Professor of evolutionary biology Scott Solomon explains why babies born on the Red Planet will look, function, and behave dramatically different from us Earthlings.</v>
      </c>
      <c r="C49" s="4" t="str">
        <f>IFERROR(__xludf.DUMMYFUNCTION("""COMPUTED_VALUE"""),"DeepTech")</f>
        <v>DeepTech</v>
      </c>
      <c r="D49" s="4" t="str">
        <f>IFERROR(__xludf.DUMMYFUNCTION("""COMPUTED_VALUE"""),"Scott Solomon")</f>
        <v>Scott Solomon</v>
      </c>
      <c r="E49" s="4" t="str">
        <f>IFERROR(__xludf.DUMMYFUNCTION("""COMPUTED_VALUE"""),"Scott Solomon")</f>
        <v>Scott Solomon</v>
      </c>
      <c r="F49" s="4" t="str">
        <f>IFERROR(__xludf.DUMMYFUNCTION("""COMPUTED_VALUE"""),"2019/11/06 15:35:00")</f>
        <v>2019/11/06 15:35:00</v>
      </c>
      <c r="G49" s="4" t="str">
        <f>IFERROR(__xludf.DUMMYFUNCTION("""COMPUTED_VALUE"""),"2019/11/06 15:55:00")</f>
        <v>2019/11/06 15:55:00</v>
      </c>
      <c r="H49" s="4" t="str">
        <f>IFERROR(__xludf.DUMMYFUNCTION("""COMPUTED_VALUE"""),"b834088e-e41d-4ee5-8b35-5691609ff728")</f>
        <v>b834088e-e41d-4ee5-8b35-5691609ff728</v>
      </c>
      <c r="I49" s="4" t="str">
        <f>IFERROR(__xludf.DUMMYFUNCTION("""COMPUTED_VALUE"""),"b834088e-e41d-4ee5-8b35-5691609ff728")</f>
        <v>b834088e-e41d-4ee5-8b35-5691609ff728</v>
      </c>
    </row>
    <row r="50">
      <c r="A50" s="4" t="str">
        <f>IFERROR(__xludf.DUMMYFUNCTION("""COMPUTED_VALUE"""),"The best new smart speakers on the market")</f>
        <v>The best new smart speakers on the market</v>
      </c>
      <c r="B50" s="4" t="str">
        <f>IFERROR(__xludf.DUMMYFUNCTION("""COMPUTED_VALUE"""),"In an overcrowded market, how can you sort through the noise and choose the best speaker for your home, office or daily life?  Meet our panel of reviewers, who've done the hard work for you.")</f>
        <v>In an overcrowded market, how can you sort through the noise and choose the best speaker for your home, office or daily life?  Meet our panel of reviewers, who've done the hard work for you.</v>
      </c>
      <c r="C50" s="4" t="str">
        <f>IFERROR(__xludf.DUMMYFUNCTION("""COMPUTED_VALUE"""),"UnBoxed")</f>
        <v>UnBoxed</v>
      </c>
      <c r="D50" s="4" t="str">
        <f>IFERROR(__xludf.DUMMYFUNCTION("""COMPUTED_VALUE"""),"Dirk Kuchel, Daniel Catalão, Kevin Lynch and Lindsey Turrentine")</f>
        <v>Dirk Kuchel, Daniel Catalão, Kevin Lynch and Lindsey Turrentine</v>
      </c>
      <c r="E50" s="4" t="str">
        <f>IFERROR(__xludf.DUMMYFUNCTION("""COMPUTED_VALUE"""),"Dirk Kuchel,Daniel Catalão,Kevin Lynch,Lindsey Turrentine")</f>
        <v>Dirk Kuchel,Daniel Catalão,Kevin Lynch,Lindsey Turrentine</v>
      </c>
      <c r="F50" s="4" t="str">
        <f>IFERROR(__xludf.DUMMYFUNCTION("""COMPUTED_VALUE"""),"2019/11/05 12:20:00")</f>
        <v>2019/11/05 12:20:00</v>
      </c>
      <c r="G50" s="4" t="str">
        <f>IFERROR(__xludf.DUMMYFUNCTION("""COMPUTED_VALUE"""),"2019/11/05 12:45:00")</f>
        <v>2019/11/05 12:45:00</v>
      </c>
      <c r="H50" s="4" t="str">
        <f>IFERROR(__xludf.DUMMYFUNCTION("""COMPUTED_VALUE"""),"e2b32d36-da41-45cb-95f7-aacdcfd78bd4")</f>
        <v>e2b32d36-da41-45cb-95f7-aacdcfd78bd4</v>
      </c>
      <c r="I50" s="4" t="str">
        <f>IFERROR(__xludf.DUMMYFUNCTION("""COMPUTED_VALUE"""),"e2b32d36-da41-45cb-95f7-aacdcfd78bd4")</f>
        <v>e2b32d36-da41-45cb-95f7-aacdcfd78bd4</v>
      </c>
    </row>
    <row r="51">
      <c r="A51" s="4" t="str">
        <f>IFERROR(__xludf.DUMMYFUNCTION("""COMPUTED_VALUE"""),"Inbound sales and data protection")</f>
        <v>Inbound sales and data protection</v>
      </c>
      <c r="B51" s="4" t="str">
        <f>IFERROR(__xludf.DUMMYFUNCTION("""COMPUTED_VALUE"""),"Inbound is great but many people try to hide behind a personal email. How do you find them? You can run but you can't hide: my super trick to double our qualified leads.")</f>
        <v>Inbound is great but many people try to hide behind a personal email. How do you find them? You can run but you can't hide: my super trick to double our qualified leads.</v>
      </c>
      <c r="C51" s="4" t="str">
        <f>IFERROR(__xludf.DUMMYFUNCTION("""COMPUTED_VALUE"""),"Growth Summit")</f>
        <v>Growth Summit</v>
      </c>
      <c r="D51" s="4" t="str">
        <f>IFERROR(__xludf.DUMMYFUNCTION("""COMPUTED_VALUE"""),"Sylvain Tillon")</f>
        <v>Sylvain Tillon</v>
      </c>
      <c r="E51" s="4" t="str">
        <f>IFERROR(__xludf.DUMMYFUNCTION("""COMPUTED_VALUE"""),"Sylvain Tillon")</f>
        <v>Sylvain Tillon</v>
      </c>
      <c r="F51" s="4" t="str">
        <f>IFERROR(__xludf.DUMMYFUNCTION("""COMPUTED_VALUE"""),"2019/11/06 11:42:00")</f>
        <v>2019/11/06 11:42:00</v>
      </c>
      <c r="G51" s="4" t="str">
        <f>IFERROR(__xludf.DUMMYFUNCTION("""COMPUTED_VALUE"""),"2019/11/06 11:46:00")</f>
        <v>2019/11/06 11:46:00</v>
      </c>
      <c r="H51" s="4" t="str">
        <f>IFERROR(__xludf.DUMMYFUNCTION("""COMPUTED_VALUE"""),"05a729be-6401-4b5c-9b09-d263e20f5f60")</f>
        <v>05a729be-6401-4b5c-9b09-d263e20f5f60</v>
      </c>
      <c r="I51" s="4" t="str">
        <f>IFERROR(__xludf.DUMMYFUNCTION("""COMPUTED_VALUE"""),"05a729be-6401-4b5c-9b09-d263e20f5f60")</f>
        <v>05a729be-6401-4b5c-9b09-d263e20f5f60</v>
      </c>
    </row>
    <row r="52">
      <c r="A52" s="4" t="str">
        <f>IFERROR(__xludf.DUMMYFUNCTION("""COMPUTED_VALUE"""),"Crowdsourcing is the future of beauty")</f>
        <v>Crowdsourcing is the future of beauty</v>
      </c>
      <c r="B52" s="4" t="str">
        <f>IFERROR(__xludf.DUMMYFUNCTION("""COMPUTED_VALUE"""),"90% of all new launches fail - beauty products are no exception. At Scentbird we believe in a world of building something people love, every single time. So when we set out to create a line of beauty products - we went directly to the source - our growing"&amp;" digital community of beauty lovers.")</f>
        <v>90% of all new launches fail - beauty products are no exception. At Scentbird we believe in a world of building something people love, every single time. So when we set out to create a line of beauty products - we went directly to the source - our growing digital community of beauty lovers.</v>
      </c>
      <c r="C52" s="4" t="str">
        <f>IFERROR(__xludf.DUMMYFUNCTION("""COMPUTED_VALUE"""),"Growth Summit")</f>
        <v>Growth Summit</v>
      </c>
      <c r="D52" s="4" t="str">
        <f>IFERROR(__xludf.DUMMYFUNCTION("""COMPUTED_VALUE"""),"Mariya Nurislamova")</f>
        <v>Mariya Nurislamova</v>
      </c>
      <c r="E52" s="4" t="str">
        <f>IFERROR(__xludf.DUMMYFUNCTION("""COMPUTED_VALUE"""),"Mariya Nurislamova")</f>
        <v>Mariya Nurislamova</v>
      </c>
      <c r="F52" s="4" t="str">
        <f>IFERROR(__xludf.DUMMYFUNCTION("""COMPUTED_VALUE"""),"2019/11/07 15:15:00")</f>
        <v>2019/11/07 15:15:00</v>
      </c>
      <c r="G52" s="4" t="str">
        <f>IFERROR(__xludf.DUMMYFUNCTION("""COMPUTED_VALUE"""),"2019/11/07 15:26:00")</f>
        <v>2019/11/07 15:26:00</v>
      </c>
      <c r="H52" s="4" t="str">
        <f>IFERROR(__xludf.DUMMYFUNCTION("""COMPUTED_VALUE"""),"23e74f82-23c4-4b53-a988-85427bff99ea")</f>
        <v>23e74f82-23c4-4b53-a988-85427bff99ea</v>
      </c>
      <c r="I52" s="4" t="str">
        <f>IFERROR(__xludf.DUMMYFUNCTION("""COMPUTED_VALUE"""),"23e74f82-23c4-4b53-a988-85427bff99ea")</f>
        <v>23e74f82-23c4-4b53-a988-85427bff99ea</v>
      </c>
    </row>
    <row r="53">
      <c r="A53" s="4" t="str">
        <f>IFERROR(__xludf.DUMMYFUNCTION("""COMPUTED_VALUE"""),"Welcome to the future of mobile robots")</f>
        <v>Welcome to the future of mobile robots</v>
      </c>
      <c r="B53" s="4" t="str">
        <f>IFERROR(__xludf.DUMMYFUNCTION("""COMPUTED_VALUE"""),"A pioneering company at the cutting edge of robotics showcases its vision for the future of robotic technology that interacts with the world.")</f>
        <v>A pioneering company at the cutting edge of robotics showcases its vision for the future of robotic technology that interacts with the world.</v>
      </c>
      <c r="C53" s="4" t="str">
        <f>IFERROR(__xludf.DUMMYFUNCTION("""COMPUTED_VALUE"""),"Centre Stage")</f>
        <v>Centre Stage</v>
      </c>
      <c r="D53" s="4" t="str">
        <f>IFERROR(__xludf.DUMMYFUNCTION("""COMPUTED_VALUE"""),"Marc Raibert")</f>
        <v>Marc Raibert</v>
      </c>
      <c r="E53" s="4" t="str">
        <f>IFERROR(__xludf.DUMMYFUNCTION("""COMPUTED_VALUE"""),"Marc Raibert")</f>
        <v>Marc Raibert</v>
      </c>
      <c r="F53" s="4" t="str">
        <f>IFERROR(__xludf.DUMMYFUNCTION("""COMPUTED_VALUE"""),"2019/11/07 14:00:00")</f>
        <v>2019/11/07 14:00:00</v>
      </c>
      <c r="G53" s="4" t="str">
        <f>IFERROR(__xludf.DUMMYFUNCTION("""COMPUTED_VALUE"""),"2019/11/07 14:25:00")</f>
        <v>2019/11/07 14:25:00</v>
      </c>
      <c r="H53" s="4" t="str">
        <f>IFERROR(__xludf.DUMMYFUNCTION("""COMPUTED_VALUE"""),"6c79a820-5adc-475a-b059-378cf1e5e7d0")</f>
        <v>6c79a820-5adc-475a-b059-378cf1e5e7d0</v>
      </c>
      <c r="I53" s="4" t="str">
        <f>IFERROR(__xludf.DUMMYFUNCTION("""COMPUTED_VALUE"""),"6c79a820-5adc-475a-b059-378cf1e5e7d0")</f>
        <v>6c79a820-5adc-475a-b059-378cf1e5e7d0</v>
      </c>
    </row>
    <row r="54">
      <c r="A54" s="4" t="str">
        <f>IFERROR(__xludf.DUMMYFUNCTION("""COMPUTED_VALUE"""),"Opening remarks")</f>
        <v>Opening remarks</v>
      </c>
      <c r="B54" s="4" t="str">
        <f>IFERROR(__xludf.DUMMYFUNCTION("""COMPUTED_VALUE"""),"")</f>
        <v/>
      </c>
      <c r="C54" s="4" t="str">
        <f>IFERROR(__xludf.DUMMYFUNCTION("""COMPUTED_VALUE"""),"MusicNotes")</f>
        <v>MusicNotes</v>
      </c>
      <c r="D54" s="4" t="str">
        <f>IFERROR(__xludf.DUMMYFUNCTION("""COMPUTED_VALUE"""),"Jane Gideon")</f>
        <v>Jane Gideon</v>
      </c>
      <c r="E54" s="4" t="str">
        <f>IFERROR(__xludf.DUMMYFUNCTION("""COMPUTED_VALUE"""),"Jane Gideon")</f>
        <v>Jane Gideon</v>
      </c>
      <c r="F54" s="4" t="str">
        <f>IFERROR(__xludf.DUMMYFUNCTION("""COMPUTED_VALUE"""),"2019/11/07 13:45:00")</f>
        <v>2019/11/07 13:45:00</v>
      </c>
      <c r="G54" s="4" t="str">
        <f>IFERROR(__xludf.DUMMYFUNCTION("""COMPUTED_VALUE"""),"2019/11/07 14:00:00")</f>
        <v>2019/11/07 14:00:00</v>
      </c>
      <c r="H54" s="4" t="str">
        <f>IFERROR(__xludf.DUMMYFUNCTION("""COMPUTED_VALUE"""),"49ccd40c-1f83-468b-a46a-3b0b3af46969")</f>
        <v>49ccd40c-1f83-468b-a46a-3b0b3af46969</v>
      </c>
      <c r="I54" s="4" t="str">
        <f>IFERROR(__xludf.DUMMYFUNCTION("""COMPUTED_VALUE"""),"49ccd40c-1f83-468b-a46a-3b0b3af46969")</f>
        <v>49ccd40c-1f83-468b-a46a-3b0b3af46969</v>
      </c>
    </row>
    <row r="55">
      <c r="A55" s="4" t="str">
        <f>IFERROR(__xludf.DUMMYFUNCTION("""COMPUTED_VALUE"""),"Net-zero, now achievable")</f>
        <v>Net-zero, now achievable</v>
      </c>
      <c r="B55" s="4" t="str">
        <f>IFERROR(__xludf.DUMMYFUNCTION("""COMPUTED_VALUE"""),"What are the implications and opportunities of being able to put atmospheric carbon back in the ground?  In this exclusive solo session, we hear from one of the only companies in the world engaged in carbon upcycling and find out if the tech behind it is "&amp;"all that's been promised.")</f>
        <v>What are the implications and opportunities of being able to put atmospheric carbon back in the ground?  In this exclusive solo session, we hear from one of the only companies in the world engaged in carbon upcycling and find out if the tech behind it is all that's been promised.</v>
      </c>
      <c r="C55" s="4" t="str">
        <f>IFERROR(__xludf.DUMMYFUNCTION("""COMPUTED_VALUE"""),"planet:tech ")</f>
        <v>planet:tech </v>
      </c>
      <c r="D55" s="4" t="str">
        <f>IFERROR(__xludf.DUMMYFUNCTION("""COMPUTED_VALUE"""),"Steve Oldham")</f>
        <v>Steve Oldham</v>
      </c>
      <c r="E55" s="4" t="str">
        <f>IFERROR(__xludf.DUMMYFUNCTION("""COMPUTED_VALUE"""),"Steve Oldham")</f>
        <v>Steve Oldham</v>
      </c>
      <c r="F55" s="4" t="str">
        <f>IFERROR(__xludf.DUMMYFUNCTION("""COMPUTED_VALUE"""),"2019/11/05 14:35:00")</f>
        <v>2019/11/05 14:35:00</v>
      </c>
      <c r="G55" s="4" t="str">
        <f>IFERROR(__xludf.DUMMYFUNCTION("""COMPUTED_VALUE"""),"2019/11/05 14:50:00")</f>
        <v>2019/11/05 14:50:00</v>
      </c>
      <c r="H55" s="4" t="str">
        <f>IFERROR(__xludf.DUMMYFUNCTION("""COMPUTED_VALUE"""),"889b4465-ebfd-4d10-9c60-288de087f2b0")</f>
        <v>889b4465-ebfd-4d10-9c60-288de087f2b0</v>
      </c>
      <c r="I55" s="4" t="str">
        <f>IFERROR(__xludf.DUMMYFUNCTION("""COMPUTED_VALUE"""),"889b4465-ebfd-4d10-9c60-288de087f2b0")</f>
        <v>889b4465-ebfd-4d10-9c60-288de087f2b0</v>
      </c>
    </row>
    <row r="56">
      <c r="A56" s="4" t="str">
        <f>IFERROR(__xludf.DUMMYFUNCTION("""COMPUTED_VALUE"""),"Huawei’s HMS ecosystem and $1b incentive programme, hosted by Huawei")</f>
        <v>Huawei’s HMS ecosystem and $1b incentive programme, hosted by Huawei</v>
      </c>
      <c r="B56" s="4" t="str">
        <f>IFERROR(__xludf.DUMMYFUNCTION("""COMPUTED_VALUE"""),"570m+ active users, 1m+ developers, 170+ countries coverage. As mobile is rapidly becoming the epicenter of our lives, we pledged ourselves to provide world-leading technologies to shape an open, collaborative, best-in-class digital ecosystem.")</f>
        <v>570m+ active users, 1m+ developers, 170+ countries coverage. As mobile is rapidly becoming the epicenter of our lives, we pledged ourselves to provide world-leading technologies to shape an open, collaborative, best-in-class digital ecosystem.</v>
      </c>
      <c r="C56" s="4" t="str">
        <f>IFERROR(__xludf.DUMMYFUNCTION("""COMPUTED_VALUE"""),"Workshop 1")</f>
        <v>Workshop 1</v>
      </c>
      <c r="D56" s="4" t="str">
        <f>IFERROR(__xludf.DUMMYFUNCTION("""COMPUTED_VALUE"""),"")</f>
        <v/>
      </c>
      <c r="E56" s="4" t="str">
        <f>IFERROR(__xludf.DUMMYFUNCTION("""COMPUTED_VALUE"""),"")</f>
        <v/>
      </c>
      <c r="F56" s="4" t="str">
        <f>IFERROR(__xludf.DUMMYFUNCTION("""COMPUTED_VALUE"""),"2019/11/05 13:30:00")</f>
        <v>2019/11/05 13:30:00</v>
      </c>
      <c r="G56" s="4" t="str">
        <f>IFERROR(__xludf.DUMMYFUNCTION("""COMPUTED_VALUE"""),"2019/11/05 13:45:00")</f>
        <v>2019/11/05 13:45:00</v>
      </c>
      <c r="H56" s="4" t="str">
        <f>IFERROR(__xludf.DUMMYFUNCTION("""COMPUTED_VALUE"""),"ffe5ad05-4c58-4577-bd39-81d72c6efd5c")</f>
        <v>ffe5ad05-4c58-4577-bd39-81d72c6efd5c</v>
      </c>
      <c r="I56" s="4" t="str">
        <f>IFERROR(__xludf.DUMMYFUNCTION("""COMPUTED_VALUE"""),"ffe5ad05-4c58-4577-bd39-81d72c6efd5c")</f>
        <v>ffe5ad05-4c58-4577-bd39-81d72c6efd5c</v>
      </c>
    </row>
    <row r="57">
      <c r="A57" s="4" t="str">
        <f>IFERROR(__xludf.DUMMYFUNCTION("""COMPUTED_VALUE"""),"PITCH ground round 14")</f>
        <v>PITCH ground round 14</v>
      </c>
      <c r="B57" s="4" t="str">
        <f>IFERROR(__xludf.DUMMYFUNCTION("""COMPUTED_VALUE"""),"")</f>
        <v/>
      </c>
      <c r="C57" s="4" t="str">
        <f>IFERROR(__xludf.DUMMYFUNCTION("""COMPUTED_VALUE"""),"")</f>
        <v/>
      </c>
      <c r="D57" s="4" t="str">
        <f>IFERROR(__xludf.DUMMYFUNCTION("""COMPUTED_VALUE"""),"Vanessa Wright,  Claude Ritter,  Yamilette Cano,  Stephan Morais,  Joe Altendorff,  Marco Delgado,  Hendrik Kramer,  Svetlana Zakharenkova,  Tony Park,  Klena Sarges Silva and  Jacinto Sa and Pedro Beirão")</f>
        <v>Vanessa Wright,  Claude Ritter,  Yamilette Cano,  Stephan Morais,  Joe Altendorff,  Marco Delgado,  Hendrik Kramer,  Svetlana Zakharenkova,  Tony Park,  Klena Sarges Silva and  Jacinto Sa and Pedro Beirão</v>
      </c>
      <c r="E57" s="4" t="str">
        <f>IFERROR(__xludf.DUMMYFUNCTION("""COMPUTED_VALUE"""),"Vanessa Wright, Claude Ritter, Yamilette Cano, Stephan Morais, Joe Altendorff, Marco Delgado, Hendrik Kramer, Svetlana Zakharenkova, Tony Park, Klena Sarges Silva, Jacinto Sa and Pedro Beirão")</f>
        <v>Vanessa Wright, Claude Ritter, Yamilette Cano, Stephan Morais, Joe Altendorff, Marco Delgado, Hendrik Kramer, Svetlana Zakharenkova, Tony Park, Klena Sarges Silva, Jacinto Sa and Pedro Beirão</v>
      </c>
      <c r="F57" s="4" t="str">
        <f>IFERROR(__xludf.DUMMYFUNCTION("""COMPUTED_VALUE"""),"")</f>
        <v/>
      </c>
      <c r="G57" s="4" t="str">
        <f>IFERROR(__xludf.DUMMYFUNCTION("""COMPUTED_VALUE"""),"")</f>
        <v/>
      </c>
      <c r="H57" s="4" t="str">
        <f>IFERROR(__xludf.DUMMYFUNCTION("""COMPUTED_VALUE"""),"cf931488-569f-545d-813a-2a49a76dddb5")</f>
        <v>cf931488-569f-545d-813a-2a49a76dddb5</v>
      </c>
      <c r="I57" s="4" t="str">
        <f>IFERROR(__xludf.DUMMYFUNCTION("""COMPUTED_VALUE"""),"cf931488-569f-545d-813a-2a49a76dddb5")</f>
        <v>cf931488-569f-545d-813a-2a49a76dddb5</v>
      </c>
    </row>
    <row r="58">
      <c r="A58" s="4" t="str">
        <f>IFERROR(__xludf.DUMMYFUNCTION("""COMPUTED_VALUE"""),"Key lessons from the art of the successful rebrand")</f>
        <v>Key lessons from the art of the successful rebrand</v>
      </c>
      <c r="B58" s="4" t="str">
        <f>IFERROR(__xludf.DUMMYFUNCTION("""COMPUTED_VALUE"""),"Rebranding a company's goals, message, and culture is hard – many try and most fail. A successful campaign requires more than a revamped logo. These marketing and branding experts explain what companies should do to inspire customers, investors and others"&amp;" to see their brand in a new light.
")</f>
        <v>Rebranding a company's goals, message, and culture is hard – many try and most fail. A successful campaign requires more than a revamped logo. These marketing and branding experts explain what companies should do to inspire customers, investors and others to see their brand in a new light.
</v>
      </c>
      <c r="C58" s="4" t="str">
        <f>IFERROR(__xludf.DUMMYFUNCTION("""COMPUTED_VALUE"""),"creatiff")</f>
        <v>creatiff</v>
      </c>
      <c r="D58" s="4" t="str">
        <f>IFERROR(__xludf.DUMMYFUNCTION("""COMPUTED_VALUE"""),"Margaret Molloy, Tom Klein, Paul Stafford and Charlie Wood")</f>
        <v>Margaret Molloy, Tom Klein, Paul Stafford and Charlie Wood</v>
      </c>
      <c r="E58" s="4" t="str">
        <f>IFERROR(__xludf.DUMMYFUNCTION("""COMPUTED_VALUE"""),"Margaret Molloy,Tom Klein,Paul Stafford,Charlie Wood")</f>
        <v>Margaret Molloy,Tom Klein,Paul Stafford,Charlie Wood</v>
      </c>
      <c r="F58" s="4" t="str">
        <f>IFERROR(__xludf.DUMMYFUNCTION("""COMPUTED_VALUE"""),"2019/11/05 15:40:00")</f>
        <v>2019/11/05 15:40:00</v>
      </c>
      <c r="G58" s="4" t="str">
        <f>IFERROR(__xludf.DUMMYFUNCTION("""COMPUTED_VALUE"""),"2019/11/05 16:05:00")</f>
        <v>2019/11/05 16:05:00</v>
      </c>
      <c r="H58" s="4" t="str">
        <f>IFERROR(__xludf.DUMMYFUNCTION("""COMPUTED_VALUE"""),"0576748e-f5be-424c-bd28-d0622dfe0af3")</f>
        <v>0576748e-f5be-424c-bd28-d0622dfe0af3</v>
      </c>
      <c r="I58" s="4" t="str">
        <f>IFERROR(__xludf.DUMMYFUNCTION("""COMPUTED_VALUE"""),"0576748e-f5be-424c-bd28-d0622dfe0af3")</f>
        <v>0576748e-f5be-424c-bd28-d0622dfe0af3</v>
      </c>
    </row>
    <row r="59">
      <c r="A59" s="4" t="str">
        <f>IFERROR(__xludf.DUMMYFUNCTION("""COMPUTED_VALUE"""),"The challenges of growing a B2B AI-based healthtech startup")</f>
        <v>The challenges of growing a B2B AI-based healthtech startup</v>
      </c>
      <c r="B59" s="4" t="str">
        <f>IFERROR(__xludf.DUMMYFUNCTION("""COMPUTED_VALUE"""),"There are many challenges that AI based healthcare startups face in regards to growth. As these businesses try to scale they need to deal with a constantly changing regulatory environment. How can a company deal with this while still being innovative?")</f>
        <v>There are many challenges that AI based healthcare startups face in regards to growth. As these businesses try to scale they need to deal with a constantly changing regulatory environment. How can a company deal with this while still being innovative?</v>
      </c>
      <c r="C59" s="4" t="str">
        <f>IFERROR(__xludf.DUMMYFUNCTION("""COMPUTED_VALUE"""),"Growth Summit")</f>
        <v>Growth Summit</v>
      </c>
      <c r="D59" s="4" t="str">
        <f>IFERROR(__xludf.DUMMYFUNCTION("""COMPUTED_VALUE"""),"Landon McKenna")</f>
        <v>Landon McKenna</v>
      </c>
      <c r="E59" s="4" t="str">
        <f>IFERROR(__xludf.DUMMYFUNCTION("""COMPUTED_VALUE"""),"Landon McKenna")</f>
        <v>Landon McKenna</v>
      </c>
      <c r="F59" s="4" t="str">
        <f>IFERROR(__xludf.DUMMYFUNCTION("""COMPUTED_VALUE"""),"2019/11/06 11:38:00")</f>
        <v>2019/11/06 11:38:00</v>
      </c>
      <c r="G59" s="4" t="str">
        <f>IFERROR(__xludf.DUMMYFUNCTION("""COMPUTED_VALUE"""),"2019/11/06 11:42:00")</f>
        <v>2019/11/06 11:42:00</v>
      </c>
      <c r="H59" s="4" t="str">
        <f>IFERROR(__xludf.DUMMYFUNCTION("""COMPUTED_VALUE"""),"9496b3fa-3e90-44e1-87d8-98237be9ace4")</f>
        <v>9496b3fa-3e90-44e1-87d8-98237be9ace4</v>
      </c>
      <c r="I59" s="4" t="str">
        <f>IFERROR(__xludf.DUMMYFUNCTION("""COMPUTED_VALUE"""),"9496b3fa-3e90-44e1-87d8-98237be9ace4")</f>
        <v>9496b3fa-3e90-44e1-87d8-98237be9ace4</v>
      </c>
    </row>
    <row r="60">
      <c r="A60" s="4" t="str">
        <f>IFERROR(__xludf.DUMMYFUNCTION("""COMPUTED_VALUE"""),"Are your smartphone and outdoor advertising connected?")</f>
        <v>Are your smartphone and outdoor advertising connected?</v>
      </c>
      <c r="B60" s="4" t="str">
        <f>IFERROR(__xludf.DUMMYFUNCTION("""COMPUTED_VALUE"""),"Mobile and outdoor advertising have more in common than you might suspect. If anyone should know, it's JCDecaux.")</f>
        <v>Mobile and outdoor advertising have more in common than you might suspect. If anyone should know, it's JCDecaux.</v>
      </c>
      <c r="C60" s="4" t="str">
        <f>IFERROR(__xludf.DUMMYFUNCTION("""COMPUTED_VALUE"""),"PandaConf")</f>
        <v>PandaConf</v>
      </c>
      <c r="D60" s="4" t="str">
        <f>IFERROR(__xludf.DUMMYFUNCTION("""COMPUTED_VALUE"""),"François-Xavier Pierrel")</f>
        <v>François-Xavier Pierrel</v>
      </c>
      <c r="E60" s="4" t="str">
        <f>IFERROR(__xludf.DUMMYFUNCTION("""COMPUTED_VALUE"""),"François-Xavier Pierrel")</f>
        <v>François-Xavier Pierrel</v>
      </c>
      <c r="F60" s="4" t="str">
        <f>IFERROR(__xludf.DUMMYFUNCTION("""COMPUTED_VALUE"""),"2019/11/06 15:05:00")</f>
        <v>2019/11/06 15:05:00</v>
      </c>
      <c r="G60" s="4" t="str">
        <f>IFERROR(__xludf.DUMMYFUNCTION("""COMPUTED_VALUE"""),"2019/11/06 15:25:00")</f>
        <v>2019/11/06 15:25:00</v>
      </c>
      <c r="H60" s="4" t="str">
        <f>IFERROR(__xludf.DUMMYFUNCTION("""COMPUTED_VALUE"""),"44f5b406-feed-4fad-a094-485085d7d3e5")</f>
        <v>44f5b406-feed-4fad-a094-485085d7d3e5</v>
      </c>
      <c r="I60" s="4" t="str">
        <f>IFERROR(__xludf.DUMMYFUNCTION("""COMPUTED_VALUE"""),"44f5b406-feed-4fad-a094-485085d7d3e5")</f>
        <v>44f5b406-feed-4fad-a094-485085d7d3e5</v>
      </c>
    </row>
    <row r="61">
      <c r="A61" s="4" t="str">
        <f>IFERROR(__xludf.DUMMYFUNCTION("""COMPUTED_VALUE"""),"Robots are dead, long live robots")</f>
        <v>Robots are dead, long live robots</v>
      </c>
      <c r="B61" s="4" t="str">
        <f>IFERROR(__xludf.DUMMYFUNCTION("""COMPUTED_VALUE"""),"Love them, or love to hate them, robots are getting smarter and more ubiquitous. A leading roboticist, joined by our robot overlord, sheds light on the future of working, living and playing alongside our machine friends. ")</f>
        <v>Love them, or love to hate them, robots are getting smarter and more ubiquitous. A leading roboticist, joined by our robot overlord, sheds light on the future of working, living and playing alongside our machine friends. </v>
      </c>
      <c r="C61" s="4" t="str">
        <f>IFERROR(__xludf.DUMMYFUNCTION("""COMPUTED_VALUE"""),"Centre Stage")</f>
        <v>Centre Stage</v>
      </c>
      <c r="D61" s="4" t="str">
        <f>IFERROR(__xludf.DUMMYFUNCTION("""COMPUTED_VALUE"""),"David Hanson, Sophia The Robot, Ben Goertzel and Philip K. Dick (robot)")</f>
        <v>David Hanson, Sophia The Robot, Ben Goertzel and Philip K. Dick (robot)</v>
      </c>
      <c r="E61" s="4" t="str">
        <f>IFERROR(__xludf.DUMMYFUNCTION("""COMPUTED_VALUE"""),"David Hanson,Sophia The Robot,Ben Goertzel,Philip K. Dick (robot)")</f>
        <v>David Hanson,Sophia The Robot,Ben Goertzel,Philip K. Dick (robot)</v>
      </c>
      <c r="F61" s="4" t="str">
        <f>IFERROR(__xludf.DUMMYFUNCTION("""COMPUTED_VALUE"""),"2019/11/06 14:00:00")</f>
        <v>2019/11/06 14:00:00</v>
      </c>
      <c r="G61" s="4" t="str">
        <f>IFERROR(__xludf.DUMMYFUNCTION("""COMPUTED_VALUE"""),"2019/11/06 14:25:00")</f>
        <v>2019/11/06 14:25:00</v>
      </c>
      <c r="H61" s="4" t="str">
        <f>IFERROR(__xludf.DUMMYFUNCTION("""COMPUTED_VALUE"""),"62a7378f-54a0-4a03-a376-07e508576ebb")</f>
        <v>62a7378f-54a0-4a03-a376-07e508576ebb</v>
      </c>
      <c r="I61" s="4" t="str">
        <f>IFERROR(__xludf.DUMMYFUNCTION("""COMPUTED_VALUE"""),"62a7378f-54a0-4a03-a376-07e508576ebb")</f>
        <v>62a7378f-54a0-4a03-a376-07e508576ebb</v>
      </c>
    </row>
    <row r="62">
      <c r="A62" s="4" t="str">
        <f>IFERROR(__xludf.DUMMYFUNCTION("""COMPUTED_VALUE"""),"Opening remarks")</f>
        <v>Opening remarks</v>
      </c>
      <c r="B62" s="4" t="str">
        <f>IFERROR(__xludf.DUMMYFUNCTION("""COMPUTED_VALUE"""),"")</f>
        <v/>
      </c>
      <c r="C62" s="4" t="str">
        <f>IFERROR(__xludf.DUMMYFUNCTION("""COMPUTED_VALUE"""),"Growth Summit")</f>
        <v>Growth Summit</v>
      </c>
      <c r="D62" s="4" t="str">
        <f>IFERROR(__xludf.DUMMYFUNCTION("""COMPUTED_VALUE"""),"Jane Gideon")</f>
        <v>Jane Gideon</v>
      </c>
      <c r="E62" s="4" t="str">
        <f>IFERROR(__xludf.DUMMYFUNCTION("""COMPUTED_VALUE"""),"Jane Gideon")</f>
        <v>Jane Gideon</v>
      </c>
      <c r="F62" s="4" t="str">
        <f>IFERROR(__xludf.DUMMYFUNCTION("""COMPUTED_VALUE"""),"2019/11/05 12:28:00")</f>
        <v>2019/11/05 12:28:00</v>
      </c>
      <c r="G62" s="4" t="str">
        <f>IFERROR(__xludf.DUMMYFUNCTION("""COMPUTED_VALUE"""),"2019/11/05 12:30:00")</f>
        <v>2019/11/05 12:30:00</v>
      </c>
      <c r="H62" s="4" t="str">
        <f>IFERROR(__xludf.DUMMYFUNCTION("""COMPUTED_VALUE"""),"0bc35cab-39da-4df9-a10f-d05a89509254")</f>
        <v>0bc35cab-39da-4df9-a10f-d05a89509254</v>
      </c>
      <c r="I62" s="4" t="str">
        <f>IFERROR(__xludf.DUMMYFUNCTION("""COMPUTED_VALUE"""),"0bc35cab-39da-4df9-a10f-d05a89509254")</f>
        <v>0bc35cab-39da-4df9-a10f-d05a89509254</v>
      </c>
    </row>
    <row r="63">
      <c r="A63" s="4" t="str">
        <f>IFERROR(__xludf.DUMMYFUNCTION("""COMPUTED_VALUE"""),"Innovating against crisis")</f>
        <v>Innovating against crisis</v>
      </c>
      <c r="B63" s="4" t="str">
        <f>IFERROR(__xludf.DUMMYFUNCTION("""COMPUTED_VALUE"""),"In this keynote, we will learn how leaders in business and government are reacting to a world of constant change and disruption. We will analyse the idea of opportunity in chaos, and ask how a 'crisis' mode of operations can help organisations, from start"&amp;"ups to global giants, better prioritise, mobilise resources to realise their innovative ideas.")</f>
        <v>In this keynote, we will learn how leaders in business and government are reacting to a world of constant change and disruption. We will analyse the idea of opportunity in chaos, and ask how a 'crisis' mode of operations can help organisations, from startups to global giants, better prioritise, mobilise resources to realise their innovative ideas.</v>
      </c>
      <c r="C63" s="4" t="str">
        <f>IFERROR(__xludf.DUMMYFUNCTION("""COMPUTED_VALUE"""),"Corporate Innovation Summit")</f>
        <v>Corporate Innovation Summit</v>
      </c>
      <c r="D63" s="4" t="str">
        <f>IFERROR(__xludf.DUMMYFUNCTION("""COMPUTED_VALUE"""),"Ricardo Vargas")</f>
        <v>Ricardo Vargas</v>
      </c>
      <c r="E63" s="4" t="str">
        <f>IFERROR(__xludf.DUMMYFUNCTION("""COMPUTED_VALUE"""),"Ricardo Vargas")</f>
        <v>Ricardo Vargas</v>
      </c>
      <c r="F63" s="4" t="str">
        <f>IFERROR(__xludf.DUMMYFUNCTION("""COMPUTED_VALUE"""),"2019/11/05 13:20:00")</f>
        <v>2019/11/05 13:20:00</v>
      </c>
      <c r="G63" s="4" t="str">
        <f>IFERROR(__xludf.DUMMYFUNCTION("""COMPUTED_VALUE"""),"2019/11/05 13:40:00")</f>
        <v>2019/11/05 13:40:00</v>
      </c>
      <c r="H63" s="4" t="str">
        <f>IFERROR(__xludf.DUMMYFUNCTION("""COMPUTED_VALUE"""),"4da5b880-2153-40a4-8868-22b185a3dd98")</f>
        <v>4da5b880-2153-40a4-8868-22b185a3dd98</v>
      </c>
      <c r="I63" s="4" t="str">
        <f>IFERROR(__xludf.DUMMYFUNCTION("""COMPUTED_VALUE"""),"4da5b880-2153-40a4-8868-22b185a3dd98")</f>
        <v>4da5b880-2153-40a4-8868-22b185a3dd98</v>
      </c>
    </row>
    <row r="64">
      <c r="A64" s="4" t="str">
        <f>IFERROR(__xludf.DUMMYFUNCTION("""COMPUTED_VALUE"""),"Building Calibra and increasing access to the global economy")</f>
        <v>Building Calibra and increasing access to the global economy</v>
      </c>
      <c r="B64" s="4" t="str">
        <f>IFERROR(__xludf.DUMMYFUNCTION("""COMPUTED_VALUE"""),"If you have an internet connection today, you can access all kinds of useful services for little to no cost. But when it comes to storing, sending, and spending money, it’s not that simple. Billions of people around the world still lack access to even bas"&amp;"ic financial services. This is the challenge Calibra is hoping to address with its digital wallet for Libra, a new global payments system powered by blockchain technology. In this session, Kevin Weil, VP of Product for Calibra, will discuss how Calibra sp"&amp;"ecifically and the Libra Blockchain, in general, can provide people with greater access to money and the global economy.")</f>
        <v>If you have an internet connection today, you can access all kinds of useful services for little to no cost. But when it comes to storing, sending, and spending money, it’s not that simple. Billions of people around the world still lack access to even basic financial services. This is the challenge Calibra is hoping to address with its digital wallet for Libra, a new global payments system powered by blockchain technology. In this session, Kevin Weil, VP of Product for Calibra, will discuss how Calibra specifically and the Libra Blockchain, in general, can provide people with greater access to money and the global economy.</v>
      </c>
      <c r="C64" s="4" t="str">
        <f>IFERROR(__xludf.DUMMYFUNCTION("""COMPUTED_VALUE"""),"Centre Stage")</f>
        <v>Centre Stage</v>
      </c>
      <c r="D64" s="4" t="str">
        <f>IFERROR(__xludf.DUMMYFUNCTION("""COMPUTED_VALUE"""),"Kevin Weil and Tim Bradshaw")</f>
        <v>Kevin Weil and Tim Bradshaw</v>
      </c>
      <c r="E64" s="4" t="str">
        <f>IFERROR(__xludf.DUMMYFUNCTION("""COMPUTED_VALUE"""),"Kevin Weil,Tim Bradshaw")</f>
        <v>Kevin Weil,Tim Bradshaw</v>
      </c>
      <c r="F64" s="4" t="str">
        <f>IFERROR(__xludf.DUMMYFUNCTION("""COMPUTED_VALUE"""),"2019/11/05 10:45:00")</f>
        <v>2019/11/05 10:45:00</v>
      </c>
      <c r="G64" s="4" t="str">
        <f>IFERROR(__xludf.DUMMYFUNCTION("""COMPUTED_VALUE"""),"2019/11/05 11:10:00")</f>
        <v>2019/11/05 11:10:00</v>
      </c>
      <c r="H64" s="4" t="str">
        <f>IFERROR(__xludf.DUMMYFUNCTION("""COMPUTED_VALUE"""),"b644ca03-0d33-47fe-b16b-93d2c0607c1a")</f>
        <v>b644ca03-0d33-47fe-b16b-93d2c0607c1a</v>
      </c>
      <c r="I64" s="4" t="str">
        <f>IFERROR(__xludf.DUMMYFUNCTION("""COMPUTED_VALUE"""),"b644ca03-0d33-47fe-b16b-93d2c0607c1a")</f>
        <v>b644ca03-0d33-47fe-b16b-93d2c0607c1a</v>
      </c>
    </row>
    <row r="65">
      <c r="A65" s="4" t="str">
        <f>IFERROR(__xludf.DUMMYFUNCTION("""COMPUTED_VALUE"""),"Featured venue: Tosca - Taberna São Paulo")</f>
        <v>Featured venue: Tosca - Taberna São Paulo</v>
      </c>
      <c r="B65" s="4" t="str">
        <f>IFERROR(__xludf.DUMMYFUNCTION("""COMPUTED_VALUE"""),"Want to chill out with some local vibes? This cute little restaurant bar is just for you.
Night Summit deals: 
2 for 1 drink deal on beer and glasses of house wine")</f>
        <v>Want to chill out with some local vibes? This cute little restaurant bar is just for you.
Night Summit deals: 
2 for 1 drink deal on beer and glasses of house wine</v>
      </c>
      <c r="C65" s="4" t="str">
        <f>IFERROR(__xludf.DUMMYFUNCTION("""COMPUTED_VALUE"""),"Tosca - Taberna São Paulo")</f>
        <v>Tosca - Taberna São Paulo</v>
      </c>
      <c r="D65" s="4" t="str">
        <f>IFERROR(__xludf.DUMMYFUNCTION("""COMPUTED_VALUE"""),"")</f>
        <v/>
      </c>
      <c r="E65" s="4" t="str">
        <f>IFERROR(__xludf.DUMMYFUNCTION("""COMPUTED_VALUE"""),"")</f>
        <v/>
      </c>
      <c r="F65" s="4" t="str">
        <f>IFERROR(__xludf.DUMMYFUNCTION("""COMPUTED_VALUE"""),"2019/11/05 20:00:00")</f>
        <v>2019/11/05 20:00:00</v>
      </c>
      <c r="G65" s="4" t="str">
        <f>IFERROR(__xludf.DUMMYFUNCTION("""COMPUTED_VALUE"""),"2019/11/06 00:00:00")</f>
        <v>2019/11/06 00:00:00</v>
      </c>
      <c r="H65" s="4" t="str">
        <f>IFERROR(__xludf.DUMMYFUNCTION("""COMPUTED_VALUE"""),"3c56c091-c9c1-4ab2-8af0-5770f18d0afa")</f>
        <v>3c56c091-c9c1-4ab2-8af0-5770f18d0afa</v>
      </c>
      <c r="I65" s="4" t="str">
        <f>IFERROR(__xludf.DUMMYFUNCTION("""COMPUTED_VALUE"""),"3c56c091-c9c1-4ab2-8af0-5770f18d0afa")</f>
        <v>3c56c091-c9c1-4ab2-8af0-5770f18d0afa</v>
      </c>
    </row>
    <row r="66">
      <c r="A66" s="4" t="str">
        <f>IFERROR(__xludf.DUMMYFUNCTION("""COMPUTED_VALUE"""),"Political journalism in a post-truth era")</f>
        <v>Political journalism in a post-truth era</v>
      </c>
      <c r="B66" s="4" t="str">
        <f>IFERROR(__xludf.DUMMYFUNCTION("""COMPUTED_VALUE"""),"Political journalism has become one of the most commonly ridiculed of professions - with constant accusations of fake news, bias, and innaccuracy being hurled at political journalists across the world. This next panel will discuss how to counter this narr"&amp;"ative and provide accurate and fair political reporting in an era that has lost touch with what the truth is.")</f>
        <v>Political journalism has become one of the most commonly ridiculed of professions - with constant accusations of fake news, bias, and innaccuracy being hurled at political journalists across the world. This next panel will discuss how to counter this narrative and provide accurate and fair political reporting in an era that has lost touch with what the truth is.</v>
      </c>
      <c r="C66" s="4" t="str">
        <f>IFERROR(__xludf.DUMMYFUNCTION("""COMPUTED_VALUE"""),"Future Societies")</f>
        <v>Future Societies</v>
      </c>
      <c r="D66" s="4" t="str">
        <f>IFERROR(__xludf.DUMMYFUNCTION("""COMPUTED_VALUE"""),"Dafna Linzer, Tim Alberta, James Ball and Steve Clemons")</f>
        <v>Dafna Linzer, Tim Alberta, James Ball and Steve Clemons</v>
      </c>
      <c r="E66" s="4" t="str">
        <f>IFERROR(__xludf.DUMMYFUNCTION("""COMPUTED_VALUE"""),"Dafna Linzer,Tim Alberta,James Ball,Steve Clemons")</f>
        <v>Dafna Linzer,Tim Alberta,James Ball,Steve Clemons</v>
      </c>
      <c r="F66" s="4" t="str">
        <f>IFERROR(__xludf.DUMMYFUNCTION("""COMPUTED_VALUE"""),"2019/11/06 12:10:00")</f>
        <v>2019/11/06 12:10:00</v>
      </c>
      <c r="G66" s="4" t="str">
        <f>IFERROR(__xludf.DUMMYFUNCTION("""COMPUTED_VALUE"""),"2019/11/06 12:30:00")</f>
        <v>2019/11/06 12:30:00</v>
      </c>
      <c r="H66" s="4" t="str">
        <f>IFERROR(__xludf.DUMMYFUNCTION("""COMPUTED_VALUE"""),"03687978-304d-4121-82e5-dca94850e527")</f>
        <v>03687978-304d-4121-82e5-dca94850e527</v>
      </c>
      <c r="I66" s="4" t="str">
        <f>IFERROR(__xludf.DUMMYFUNCTION("""COMPUTED_VALUE"""),"03687978-304d-4121-82e5-dca94850e527")</f>
        <v>03687978-304d-4121-82e5-dca94850e527</v>
      </c>
    </row>
    <row r="67">
      <c r="A67" s="4" t="str">
        <f>IFERROR(__xludf.DUMMYFUNCTION("""COMPUTED_VALUE"""),"Solving the problem of next-gen cars starts with thinking of scale")</f>
        <v>Solving the problem of next-gen cars starts with thinking of scale</v>
      </c>
      <c r="B67" s="4" t="str">
        <f>IFERROR(__xludf.DUMMYFUNCTION("""COMPUTED_VALUE"""),"Not long ago the plan for next generation cars included 12 cameras, 6 LiDARs, 10 radars, V2X, and multiple processors. Would this car actually work? Probably not. The innovative use of radar tech enables smarter processing, fewer sensors, and lower power."&amp;" Less is more - the key for scale in automotive.")</f>
        <v>Not long ago the plan for next generation cars included 12 cameras, 6 LiDARs, 10 radars, V2X, and multiple processors. Would this car actually work? Probably not. The innovative use of radar tech enables smarter processing, fewer sensors, and lower power. Less is more - the key for scale in automotive.</v>
      </c>
      <c r="C67" s="4" t="str">
        <f>IFERROR(__xludf.DUMMYFUNCTION("""COMPUTED_VALUE"""),"Growth Summit")</f>
        <v>Growth Summit</v>
      </c>
      <c r="D67" s="4" t="str">
        <f>IFERROR(__xludf.DUMMYFUNCTION("""COMPUTED_VALUE"""),"Kobi Marenko")</f>
        <v>Kobi Marenko</v>
      </c>
      <c r="E67" s="4" t="str">
        <f>IFERROR(__xludf.DUMMYFUNCTION("""COMPUTED_VALUE"""),"Kobi Marenko")</f>
        <v>Kobi Marenko</v>
      </c>
      <c r="F67" s="4" t="str">
        <f>IFERROR(__xludf.DUMMYFUNCTION("""COMPUTED_VALUE"""),"2019/11/05 15:48:00")</f>
        <v>2019/11/05 15:48:00</v>
      </c>
      <c r="G67" s="4" t="str">
        <f>IFERROR(__xludf.DUMMYFUNCTION("""COMPUTED_VALUE"""),"2019/11/05 15:59:00")</f>
        <v>2019/11/05 15:59:00</v>
      </c>
      <c r="H67" s="4" t="str">
        <f>IFERROR(__xludf.DUMMYFUNCTION("""COMPUTED_VALUE"""),"6f326db8-17ff-481c-b285-24416a034240")</f>
        <v>6f326db8-17ff-481c-b285-24416a034240</v>
      </c>
      <c r="I67" s="4" t="str">
        <f>IFERROR(__xludf.DUMMYFUNCTION("""COMPUTED_VALUE"""),"6f326db8-17ff-481c-b285-24416a034240")</f>
        <v>6f326db8-17ff-481c-b285-24416a034240</v>
      </c>
    </row>
    <row r="68">
      <c r="A68" s="4" t="str">
        <f>IFERROR(__xludf.DUMMYFUNCTION("""COMPUTED_VALUE"""),"Featured venue: Cucurico")</f>
        <v>Featured venue: Cucurico</v>
      </c>
      <c r="B68" s="4" t="str">
        <f>IFERROR(__xludf.DUMMYFUNCTION("""COMPUTED_VALUE"""),"Feeling hungry? You'll smell this place before you see it, as it prefers to cook with, you guessed it, a BARBEQUE. It's a fact universally accepted that there's no more delicious way to cook your chicken, and this restaurant is the master of it. Try out t"&amp;"he unique taste for yourself, where all free range chicken is grilled with natural vegetable charcoal and salt. 
Night Summit deals: 
2 for 1 deals, including: Homemade tea, Homemade lemonade, Water bottle 0.50cl, Sagres beer 0.20cl")</f>
        <v>Feeling hungry? You'll smell this place before you see it, as it prefers to cook with, you guessed it, a BARBEQUE. It's a fact universally accepted that there's no more delicious way to cook your chicken, and this restaurant is the master of it. Try out the unique taste for yourself, where all free range chicken is grilled with natural vegetable charcoal and salt. 
Night Summit deals: 
2 for 1 deals, including: Homemade tea, Homemade lemonade, Water bottle 0.50cl, Sagres beer 0.20cl</v>
      </c>
      <c r="C68" s="4" t="str">
        <f>IFERROR(__xludf.DUMMYFUNCTION("""COMPUTED_VALUE"""),"Cucurico")</f>
        <v>Cucurico</v>
      </c>
      <c r="D68" s="4" t="str">
        <f>IFERROR(__xludf.DUMMYFUNCTION("""COMPUTED_VALUE"""),"")</f>
        <v/>
      </c>
      <c r="E68" s="4" t="str">
        <f>IFERROR(__xludf.DUMMYFUNCTION("""COMPUTED_VALUE"""),"")</f>
        <v/>
      </c>
      <c r="F68" s="4" t="str">
        <f>IFERROR(__xludf.DUMMYFUNCTION("""COMPUTED_VALUE"""),"2019/11/06 20:00:00")</f>
        <v>2019/11/06 20:00:00</v>
      </c>
      <c r="G68" s="4" t="str">
        <f>IFERROR(__xludf.DUMMYFUNCTION("""COMPUTED_VALUE"""),"2019/11/07 02:00:00")</f>
        <v>2019/11/07 02:00:00</v>
      </c>
      <c r="H68" s="4" t="str">
        <f>IFERROR(__xludf.DUMMYFUNCTION("""COMPUTED_VALUE"""),"1c90b810-b9a8-4c88-9434-320ed855c523")</f>
        <v>1c90b810-b9a8-4c88-9434-320ed855c523</v>
      </c>
      <c r="I68" s="4" t="str">
        <f>IFERROR(__xludf.DUMMYFUNCTION("""COMPUTED_VALUE"""),"1c90b810-b9a8-4c88-9434-320ed855c523")</f>
        <v>1c90b810-b9a8-4c88-9434-320ed855c523</v>
      </c>
    </row>
    <row r="69">
      <c r="A69" s="4" t="str">
        <f>IFERROR(__xludf.DUMMYFUNCTION("""COMPUTED_VALUE"""),"Q&amp;A Session With Deco")</f>
        <v>Q&amp;A Session With Deco</v>
      </c>
      <c r="B69" s="4" t="str">
        <f>IFERROR(__xludf.DUMMYFUNCTION("""COMPUTED_VALUE"""),"")</f>
        <v/>
      </c>
      <c r="C69" s="4" t="str">
        <f>IFERROR(__xludf.DUMMYFUNCTION("""COMPUTED_VALUE"""),"Q + A")</f>
        <v>Q + A</v>
      </c>
      <c r="D69" s="4" t="str">
        <f>IFERROR(__xludf.DUMMYFUNCTION("""COMPUTED_VALUE""")," ")</f>
        <v> </v>
      </c>
      <c r="E69" s="4" t="str">
        <f>IFERROR(__xludf.DUMMYFUNCTION("""COMPUTED_VALUE""")," ")</f>
        <v> </v>
      </c>
      <c r="F69" s="4" t="str">
        <f>IFERROR(__xludf.DUMMYFUNCTION("""COMPUTED_VALUE"""),"2019/11/05 15:15:00")</f>
        <v>2019/11/05 15:15:00</v>
      </c>
      <c r="G69" s="4" t="str">
        <f>IFERROR(__xludf.DUMMYFUNCTION("""COMPUTED_VALUE"""),"2019/11/05 15:30:00")</f>
        <v>2019/11/05 15:30:00</v>
      </c>
      <c r="H69" s="4" t="str">
        <f>IFERROR(__xludf.DUMMYFUNCTION("""COMPUTED_VALUE"""),"8659e6ea-d676-4a56-8103-27e2de45fdc4")</f>
        <v>8659e6ea-d676-4a56-8103-27e2de45fdc4</v>
      </c>
      <c r="I69" s="4" t="str">
        <f>IFERROR(__xludf.DUMMYFUNCTION("""COMPUTED_VALUE"""),"8659e6ea-d676-4a56-8103-27e2de45fdc4")</f>
        <v>8659e6ea-d676-4a56-8103-27e2de45fdc4</v>
      </c>
    </row>
    <row r="70">
      <c r="A70" s="4" t="str">
        <f>IFERROR(__xludf.DUMMYFUNCTION("""COMPUTED_VALUE"""),"Featured venue: Espumantaria do Cais")</f>
        <v>Featured venue: Espumantaria do Cais</v>
      </c>
      <c r="B70" s="4" t="str">
        <f>IFERROR(__xludf.DUMMYFUNCTION("""COMPUTED_VALUE"""),"Everyone needs a little sparkle from time to time, right? Here, the 'specialists in sparkling' will serve you delicious, delicate and dangerously tasty light wines and champagnes. What's more, they'll craft unique and beautiful cocktails out of them. Diam"&amp;"onds might be a girl's best friend, but champagne comes in a close second place.
Night Summit deals: 
Draft beer for €2, pint for €4, and 20% discount for bottle or glass of sparkling wine/espumante)")</f>
        <v>Everyone needs a little sparkle from time to time, right? Here, the 'specialists in sparkling' will serve you delicious, delicate and dangerously tasty light wines and champagnes. What's more, they'll craft unique and beautiful cocktails out of them. Diamonds might be a girl's best friend, but champagne comes in a close second place.
Night Summit deals: 
Draft beer for €2, pint for €4, and 20% discount for bottle or glass of sparkling wine/espumante)</v>
      </c>
      <c r="C70" s="4" t="str">
        <f>IFERROR(__xludf.DUMMYFUNCTION("""COMPUTED_VALUE"""),"Espumantaria do Cais")</f>
        <v>Espumantaria do Cais</v>
      </c>
      <c r="D70" s="4" t="str">
        <f>IFERROR(__xludf.DUMMYFUNCTION("""COMPUTED_VALUE"""),"")</f>
        <v/>
      </c>
      <c r="E70" s="4" t="str">
        <f>IFERROR(__xludf.DUMMYFUNCTION("""COMPUTED_VALUE"""),"")</f>
        <v/>
      </c>
      <c r="F70" s="4" t="str">
        <f>IFERROR(__xludf.DUMMYFUNCTION("""COMPUTED_VALUE"""),"2019/11/05 20:00:00")</f>
        <v>2019/11/05 20:00:00</v>
      </c>
      <c r="G70" s="4" t="str">
        <f>IFERROR(__xludf.DUMMYFUNCTION("""COMPUTED_VALUE"""),"2019/11/06 00:00:00")</f>
        <v>2019/11/06 00:00:00</v>
      </c>
      <c r="H70" s="4" t="str">
        <f>IFERROR(__xludf.DUMMYFUNCTION("""COMPUTED_VALUE"""),"fe316919-c38b-4421-bf2d-b9f1673476bc")</f>
        <v>fe316919-c38b-4421-bf2d-b9f1673476bc</v>
      </c>
      <c r="I70" s="4" t="str">
        <f>IFERROR(__xludf.DUMMYFUNCTION("""COMPUTED_VALUE"""),"fe316919-c38b-4421-bf2d-b9f1673476bc")</f>
        <v>fe316919-c38b-4421-bf2d-b9f1673476bc</v>
      </c>
    </row>
    <row r="71">
      <c r="A71" s="4" t="str">
        <f>IFERROR(__xludf.DUMMYFUNCTION("""COMPUTED_VALUE"""),"Preparing for the rise of AI, autonomous vehicles, and the IoT revolution")</f>
        <v>Preparing for the rise of AI, autonomous vehicles, and the IoT revolution</v>
      </c>
      <c r="B71" s="4" t="str">
        <f>IFERROR(__xludf.DUMMYFUNCTION("""COMPUTED_VALUE"""),"Things are going to get worse before they get better. Major outages are making headlines every day. The world is becoming more reliant on the internet, and every business is becoming an online business. We need a new approach with the rise of AI, autonomo"&amp;"us vehicles, and IoT.")</f>
        <v>Things are going to get worse before they get better. Major outages are making headlines every day. The world is becoming more reliant on the internet, and every business is becoming an online business. We need a new approach with the rise of AI, autonomous vehicles, and IoT.</v>
      </c>
      <c r="C71" s="4" t="str">
        <f>IFERROR(__xludf.DUMMYFUNCTION("""COMPUTED_VALUE"""),"Growth Summit")</f>
        <v>Growth Summit</v>
      </c>
      <c r="D71" s="4" t="str">
        <f>IFERROR(__xludf.DUMMYFUNCTION("""COMPUTED_VALUE"""),"Matthew Fornaciari")</f>
        <v>Matthew Fornaciari</v>
      </c>
      <c r="E71" s="4" t="str">
        <f>IFERROR(__xludf.DUMMYFUNCTION("""COMPUTED_VALUE"""),"Matthew Fornaciari")</f>
        <v>Matthew Fornaciari</v>
      </c>
      <c r="F71" s="4" t="str">
        <f>IFERROR(__xludf.DUMMYFUNCTION("""COMPUTED_VALUE"""),"2019/11/05 13:25:00")</f>
        <v>2019/11/05 13:25:00</v>
      </c>
      <c r="G71" s="4" t="str">
        <f>IFERROR(__xludf.DUMMYFUNCTION("""COMPUTED_VALUE"""),"2019/11/05 13:36:00")</f>
        <v>2019/11/05 13:36:00</v>
      </c>
      <c r="H71" s="4" t="str">
        <f>IFERROR(__xludf.DUMMYFUNCTION("""COMPUTED_VALUE"""),"6e6c5d4e-1d58-485c-b82b-cb53b999f6fd")</f>
        <v>6e6c5d4e-1d58-485c-b82b-cb53b999f6fd</v>
      </c>
      <c r="I71" s="4" t="str">
        <f>IFERROR(__xludf.DUMMYFUNCTION("""COMPUTED_VALUE"""),"6e6c5d4e-1d58-485c-b82b-cb53b999f6fd")</f>
        <v>6e6c5d4e-1d58-485c-b82b-cb53b999f6fd</v>
      </c>
    </row>
    <row r="72">
      <c r="A72" s="4" t="str">
        <f>IFERROR(__xludf.DUMMYFUNCTION("""COMPUTED_VALUE"""),"Taking care of tomorrow")</f>
        <v>Taking care of tomorrow</v>
      </c>
      <c r="B72" s="4" t="str">
        <f>IFERROR(__xludf.DUMMYFUNCTION("""COMPUTED_VALUE"""),"AI, blockchain and other technologies and platforms hold the potential to transform health care to the benefit of patients, payers and providers. In this session, join Bayer and Philips to learn about the tech that is impacting the future of healthcare.")</f>
        <v>AI, blockchain and other technologies and platforms hold the potential to transform health care to the benefit of patients, payers and providers. In this session, join Bayer and Philips to learn about the tech that is impacting the future of healthcare.</v>
      </c>
      <c r="C72" s="4" t="str">
        <f>IFERROR(__xludf.DUMMYFUNCTION("""COMPUTED_VALUE"""),"Corporate Innovation Summit")</f>
        <v>Corporate Innovation Summit</v>
      </c>
      <c r="D72" s="4" t="str">
        <f>IFERROR(__xludf.DUMMYFUNCTION("""COMPUTED_VALUE"""),"Jeroen Tas, Saskia Steinacker and Paul Nuki")</f>
        <v>Jeroen Tas, Saskia Steinacker and Paul Nuki</v>
      </c>
      <c r="E72" s="4" t="str">
        <f>IFERROR(__xludf.DUMMYFUNCTION("""COMPUTED_VALUE"""),"Jeroen Tas,Saskia Steinacker,Paul Nuki")</f>
        <v>Jeroen Tas,Saskia Steinacker,Paul Nuki</v>
      </c>
      <c r="F72" s="4" t="str">
        <f>IFERROR(__xludf.DUMMYFUNCTION("""COMPUTED_VALUE"""),"2019/11/07 15:35:00")</f>
        <v>2019/11/07 15:35:00</v>
      </c>
      <c r="G72" s="4" t="str">
        <f>IFERROR(__xludf.DUMMYFUNCTION("""COMPUTED_VALUE"""),"2019/11/07 15:55:00")</f>
        <v>2019/11/07 15:55:00</v>
      </c>
      <c r="H72" s="4" t="str">
        <f>IFERROR(__xludf.DUMMYFUNCTION("""COMPUTED_VALUE"""),"31916c61-e7f5-4a42-9918-07d2fac5dfe2")</f>
        <v>31916c61-e7f5-4a42-9918-07d2fac5dfe2</v>
      </c>
      <c r="I72" s="4" t="str">
        <f>IFERROR(__xludf.DUMMYFUNCTION("""COMPUTED_VALUE"""),"31916c61-e7f5-4a42-9918-07d2fac5dfe2")</f>
        <v>31916c61-e7f5-4a42-9918-07d2fac5dfe2</v>
      </c>
    </row>
    <row r="73">
      <c r="A73" s="4" t="str">
        <f>IFERROR(__xludf.DUMMYFUNCTION("""COMPUTED_VALUE"""),"Join SAP at Web Summit: The future of business has feelings")</f>
        <v>Join SAP at Web Summit: The future of business has feelings</v>
      </c>
      <c r="B73" s="4" t="str">
        <f>IFERROR(__xludf.DUMMYFUNCTION("""COMPUTED_VALUE"""),"Does the future of business have feelings? Find out yourself at the SAP stand, located at E350, Hall 3. Successful companies in the experience economy combine operational and experiential data to produce meaningful business information. This information h"&amp;"elps executives win the hearts of customers and employees by generating positive feelings around product offerings and interactions . Visit the SAP stand to experience showcases, listen to a selection of sessions, and meet SAP experts, start-ups, and part"&amp;"ners. Here you can learn and discuss how to become an intelligent business in the experience economy. The full agenda is available at https://events.sap.com/websummit/en/sessions")</f>
        <v>Does the future of business have feelings? Find out yourself at the SAP stand, located at E350, Hall 3. Successful companies in the experience economy combine operational and experiential data to produce meaningful business information. This information helps executives win the hearts of customers and employees by generating positive feelings around product offerings and interactions . Visit the SAP stand to experience showcases, listen to a selection of sessions, and meet SAP experts, start-ups, and partners. Here you can learn and discuss how to become an intelligent business in the experience economy. The full agenda is available at https://events.sap.com/websummit/en/sessions</v>
      </c>
      <c r="C73" s="4" t="str">
        <f>IFERROR(__xludf.DUMMYFUNCTION("""COMPUTED_VALUE"""),"SAP, E350, FIL 3")</f>
        <v>SAP, E350, FIL 3</v>
      </c>
      <c r="D73" s="4" t="str">
        <f>IFERROR(__xludf.DUMMYFUNCTION("""COMPUTED_VALUE"""),"")</f>
        <v/>
      </c>
      <c r="E73" s="4" t="str">
        <f>IFERROR(__xludf.DUMMYFUNCTION("""COMPUTED_VALUE"""),"")</f>
        <v/>
      </c>
      <c r="F73" s="4" t="str">
        <f>IFERROR(__xludf.DUMMYFUNCTION("""COMPUTED_VALUE"""),"2019/11/07 10:00:00")</f>
        <v>2019/11/07 10:00:00</v>
      </c>
      <c r="G73" s="4" t="str">
        <f>IFERROR(__xludf.DUMMYFUNCTION("""COMPUTED_VALUE"""),"2019/11/07 17:00:00")</f>
        <v>2019/11/07 17:00:00</v>
      </c>
      <c r="H73" s="4" t="str">
        <f>IFERROR(__xludf.DUMMYFUNCTION("""COMPUTED_VALUE"""),"0f172346-bb5f-4697-ba51-a94bfcbe247a")</f>
        <v>0f172346-bb5f-4697-ba51-a94bfcbe247a</v>
      </c>
      <c r="I73" s="4" t="str">
        <f>IFERROR(__xludf.DUMMYFUNCTION("""COMPUTED_VALUE"""),"0f172346-bb5f-4697-ba51-a94bfcbe247a")</f>
        <v>0f172346-bb5f-4697-ba51-a94bfcbe247a</v>
      </c>
    </row>
    <row r="74">
      <c r="A74" s="4" t="str">
        <f>IFERROR(__xludf.DUMMYFUNCTION("""COMPUTED_VALUE"""),"PITCH group round 7")</f>
        <v>PITCH group round 7</v>
      </c>
      <c r="B74" s="4" t="str">
        <f>IFERROR(__xludf.DUMMYFUNCTION("""COMPUTED_VALUE"""),"")</f>
        <v/>
      </c>
      <c r="C74" s="4" t="str">
        <f>IFERROR(__xludf.DUMMYFUNCTION("""COMPUTED_VALUE"""),"PITCH 1")</f>
        <v>PITCH 1</v>
      </c>
      <c r="D74" s="4" t="str">
        <f>IFERROR(__xludf.DUMMYFUNCTION("""COMPUTED_VALUE"""),"Oded Ben Dror, Fred Lardieg, David Meltzer, Ricardo Marvao, Christoph Goeken, sergey khodakov, Jakob Knutzen, Olivier Le Lann, Michiel Lensink and Joep Wittebrood")</f>
        <v>Oded Ben Dror, Fred Lardieg, David Meltzer, Ricardo Marvao, Christoph Goeken, sergey khodakov, Jakob Knutzen, Olivier Le Lann, Michiel Lensink and Joep Wittebrood</v>
      </c>
      <c r="E74" s="4" t="str">
        <f>IFERROR(__xludf.DUMMYFUNCTION("""COMPUTED_VALUE"""),"Oded Ben Dror,Fred Lardieg,David Meltzer,Ricardo Marvao,Christoph Goeken,sergey khodakov,Jakob Knutzen,Olivier Le Lann,Michiel Lensink,Joep Wittebrood")</f>
        <v>Oded Ben Dror,Fred Lardieg,David Meltzer,Ricardo Marvao,Christoph Goeken,sergey khodakov,Jakob Knutzen,Olivier Le Lann,Michiel Lensink,Joep Wittebrood</v>
      </c>
      <c r="F74" s="4" t="str">
        <f>IFERROR(__xludf.DUMMYFUNCTION("""COMPUTED_VALUE"""),"2019/11/05 11:15:00")</f>
        <v>2019/11/05 11:15:00</v>
      </c>
      <c r="G74" s="4" t="str">
        <f>IFERROR(__xludf.DUMMYFUNCTION("""COMPUTED_VALUE"""),"2019/11/05 12:15:00")</f>
        <v>2019/11/05 12:15:00</v>
      </c>
      <c r="H74" s="4" t="str">
        <f>IFERROR(__xludf.DUMMYFUNCTION("""COMPUTED_VALUE"""),"1916444f-289e-4279-a4bd-dccc04f11ff0")</f>
        <v>1916444f-289e-4279-a4bd-dccc04f11ff0</v>
      </c>
      <c r="I74" s="4" t="str">
        <f>IFERROR(__xludf.DUMMYFUNCTION("""COMPUTED_VALUE"""),"1916444f-289e-4279-a4bd-dccc04f11ff0")</f>
        <v>1916444f-289e-4279-a4bd-dccc04f11ff0</v>
      </c>
    </row>
    <row r="75">
      <c r="A75" s="4" t="str">
        <f>IFERROR(__xludf.DUMMYFUNCTION("""COMPUTED_VALUE"""),"None left behind: Making tech work for the many")</f>
        <v>None left behind: Making tech work for the many</v>
      </c>
      <c r="B75" s="4" t="str">
        <f>IFERROR(__xludf.DUMMYFUNCTION("""COMPUTED_VALUE""")," Technology and globalisation have gone hand-in-hand. As tech has developed, the world has shrunk. Yet many people have been left behind by these developments. This has resulted in a high degree of disillusionment and disenfranchisement. Finding a way to "&amp;"solve these problems is vital to ensuring a fairer and more equitable world. This session sees two of the world's leading experts in using public policy to expand the benefits of tech come together to discuss how we can ensure that none are left behind.
")</f>
        <v> Technology and globalisation have gone hand-in-hand. As tech has developed, the world has shrunk. Yet many people have been left behind by these developments. This has resulted in a high degree of disillusionment and disenfranchisement. Finding a way to solve these problems is vital to ensuring a fairer and more equitable world. This session sees two of the world's leading experts in using public policy to expand the benefits of tech come together to discuss how we can ensure that none are left behind.
</v>
      </c>
      <c r="C75" s="4" t="str">
        <f>IFERROR(__xludf.DUMMYFUNCTION("""COMPUTED_VALUE"""),"Centre Stage")</f>
        <v>Centre Stage</v>
      </c>
      <c r="D75" s="4" t="str">
        <f>IFERROR(__xludf.DUMMYFUNCTION("""COMPUTED_VALUE"""),"Tony Blair, Ro Khanna and Hadas Gold")</f>
        <v>Tony Blair, Ro Khanna and Hadas Gold</v>
      </c>
      <c r="E75" s="4" t="str">
        <f>IFERROR(__xludf.DUMMYFUNCTION("""COMPUTED_VALUE"""),"Tony Blair,Ro Khanna,Hadas Gold")</f>
        <v>Tony Blair,Ro Khanna,Hadas Gold</v>
      </c>
      <c r="F75" s="4" t="str">
        <f>IFERROR(__xludf.DUMMYFUNCTION("""COMPUTED_VALUE"""),"2019/11/06 10:55:00")</f>
        <v>2019/11/06 10:55:00</v>
      </c>
      <c r="G75" s="4" t="str">
        <f>IFERROR(__xludf.DUMMYFUNCTION("""COMPUTED_VALUE"""),"2019/11/06 11:25:00")</f>
        <v>2019/11/06 11:25:00</v>
      </c>
      <c r="H75" s="4" t="str">
        <f>IFERROR(__xludf.DUMMYFUNCTION("""COMPUTED_VALUE"""),"6305e2fe-d840-41ae-89d9-bf00103142a0")</f>
        <v>6305e2fe-d840-41ae-89d9-bf00103142a0</v>
      </c>
      <c r="I75" s="4" t="str">
        <f>IFERROR(__xludf.DUMMYFUNCTION("""COMPUTED_VALUE"""),"6305e2fe-d840-41ae-89d9-bf00103142a0")</f>
        <v>6305e2fe-d840-41ae-89d9-bf00103142a0</v>
      </c>
    </row>
    <row r="76">
      <c r="A76" s="4" t="str">
        <f>IFERROR(__xludf.DUMMYFUNCTION("""COMPUTED_VALUE"""),"The future of team collaboration apps")</f>
        <v>The future of team collaboration apps</v>
      </c>
      <c r="B76" s="4" t="str">
        <f>IFERROR(__xludf.DUMMYFUNCTION("""COMPUTED_VALUE"""),"Every existing team collaboration app was designed for small sized single teams. Swit was founded to close the age of team collaboration and open a new era for teams collaboration to empower you with cross-functional collaboration and cross-workspace feat"&amp;"ures.")</f>
        <v>Every existing team collaboration app was designed for small sized single teams. Swit was founded to close the age of team collaboration and open a new era for teams collaboration to empower you with cross-functional collaboration and cross-workspace features.</v>
      </c>
      <c r="C76" s="4" t="str">
        <f>IFERROR(__xludf.DUMMYFUNCTION("""COMPUTED_VALUE"""),"Growth Summit")</f>
        <v>Growth Summit</v>
      </c>
      <c r="D76" s="4" t="str">
        <f>IFERROR(__xludf.DUMMYFUNCTION("""COMPUTED_VALUE"""),"Josh Lee")</f>
        <v>Josh Lee</v>
      </c>
      <c r="E76" s="4" t="str">
        <f>IFERROR(__xludf.DUMMYFUNCTION("""COMPUTED_VALUE"""),"Josh Lee")</f>
        <v>Josh Lee</v>
      </c>
      <c r="F76" s="4" t="str">
        <f>IFERROR(__xludf.DUMMYFUNCTION("""COMPUTED_VALUE"""),"2019/11/07 10:26:00")</f>
        <v>2019/11/07 10:26:00</v>
      </c>
      <c r="G76" s="4" t="str">
        <f>IFERROR(__xludf.DUMMYFUNCTION("""COMPUTED_VALUE"""),"2019/11/07 10:30:00")</f>
        <v>2019/11/07 10:30:00</v>
      </c>
      <c r="H76" s="4" t="str">
        <f>IFERROR(__xludf.DUMMYFUNCTION("""COMPUTED_VALUE"""),"3c24aa5b-3736-4f49-a095-a87f3fcd7426")</f>
        <v>3c24aa5b-3736-4f49-a095-a87f3fcd7426</v>
      </c>
      <c r="I76" s="4" t="str">
        <f>IFERROR(__xludf.DUMMYFUNCTION("""COMPUTED_VALUE"""),"3c24aa5b-3736-4f49-a095-a87f3fcd7426")</f>
        <v>3c24aa5b-3736-4f49-a095-a87f3fcd7426</v>
      </c>
    </row>
    <row r="77">
      <c r="A77" s="4" t="str">
        <f>IFERROR(__xludf.DUMMYFUNCTION("""COMPUTED_VALUE"""),"Disrupting the disruptors with cloud management software")</f>
        <v>Disrupting the disruptors with cloud management software</v>
      </c>
      <c r="B77" s="4" t="str">
        <f>IFERROR(__xludf.DUMMYFUNCTION("""COMPUTED_VALUE"""),"CEO of Brazilian software house Omiexperience, Marcelo will outline how cloud management software will take over banking and payments services for SMEs.")</f>
        <v>CEO of Brazilian software house Omiexperience, Marcelo will outline how cloud management software will take over banking and payments services for SMEs.</v>
      </c>
      <c r="C77" s="4" t="str">
        <f>IFERROR(__xludf.DUMMYFUNCTION("""COMPUTED_VALUE"""),"Growth Summit")</f>
        <v>Growth Summit</v>
      </c>
      <c r="D77" s="4" t="str">
        <f>IFERROR(__xludf.DUMMYFUNCTION("""COMPUTED_VALUE"""),"Marcelo Lombardo")</f>
        <v>Marcelo Lombardo</v>
      </c>
      <c r="E77" s="4" t="str">
        <f>IFERROR(__xludf.DUMMYFUNCTION("""COMPUTED_VALUE"""),"Marcelo Lombardo")</f>
        <v>Marcelo Lombardo</v>
      </c>
      <c r="F77" s="4" t="str">
        <f>IFERROR(__xludf.DUMMYFUNCTION("""COMPUTED_VALUE"""),"2019/11/06 16:54:00")</f>
        <v>2019/11/06 16:54:00</v>
      </c>
      <c r="G77" s="4" t="str">
        <f>IFERROR(__xludf.DUMMYFUNCTION("""COMPUTED_VALUE"""),"2019/11/06 17:05:00")</f>
        <v>2019/11/06 17:05:00</v>
      </c>
      <c r="H77" s="4" t="str">
        <f>IFERROR(__xludf.DUMMYFUNCTION("""COMPUTED_VALUE"""),"9464265c-a6fa-45ac-b8f1-19a0d8722d0e")</f>
        <v>9464265c-a6fa-45ac-b8f1-19a0d8722d0e</v>
      </c>
      <c r="I77" s="4" t="str">
        <f>IFERROR(__xludf.DUMMYFUNCTION("""COMPUTED_VALUE"""),"9464265c-a6fa-45ac-b8f1-19a0d8722d0e")</f>
        <v>9464265c-a6fa-45ac-b8f1-19a0d8722d0e</v>
      </c>
    </row>
    <row r="78">
      <c r="A78" s="4" t="str">
        <f>IFERROR(__xludf.DUMMYFUNCTION("""COMPUTED_VALUE"""),"Donald Trump has been a successful president")</f>
        <v>Donald Trump has been a successful president</v>
      </c>
      <c r="B78" s="4" t="str">
        <f>IFERROR(__xludf.DUMMYFUNCTION("""COMPUTED_VALUE"""),"We can all agree that Donald Trump has been divisive. What we definitely cannot agree on is whether he has been a successful president. Come and hear two US political experts argue it out and then you can make up your own mind. ")</f>
        <v>We can all agree that Donald Trump has been divisive. What we definitely cannot agree on is whether he has been a successful president. Come and hear two US political experts argue it out and then you can make up your own mind. </v>
      </c>
      <c r="C78" s="4" t="str">
        <f>IFERROR(__xludf.DUMMYFUNCTION("""COMPUTED_VALUE"""),"Future Societies")</f>
        <v>Future Societies</v>
      </c>
      <c r="D78" s="4" t="str">
        <f>IFERROR(__xludf.DUMMYFUNCTION("""COMPUTED_VALUE"""),"Joe Pounder, Neal Katyal and Dafna Linzer")</f>
        <v>Joe Pounder, Neal Katyal and Dafna Linzer</v>
      </c>
      <c r="E78" s="4" t="str">
        <f>IFERROR(__xludf.DUMMYFUNCTION("""COMPUTED_VALUE"""),"Joe Pounder,Neal Katyal,Dafna Linzer")</f>
        <v>Joe Pounder,Neal Katyal,Dafna Linzer</v>
      </c>
      <c r="F78" s="4" t="str">
        <f>IFERROR(__xludf.DUMMYFUNCTION("""COMPUTED_VALUE"""),"2019/11/05 15:15:00")</f>
        <v>2019/11/05 15:15:00</v>
      </c>
      <c r="G78" s="4" t="str">
        <f>IFERROR(__xludf.DUMMYFUNCTION("""COMPUTED_VALUE"""),"2019/11/05 15:40:00")</f>
        <v>2019/11/05 15:40:00</v>
      </c>
      <c r="H78" s="4" t="str">
        <f>IFERROR(__xludf.DUMMYFUNCTION("""COMPUTED_VALUE"""),"2931777b-0bbb-4d0e-8446-470eed9a7a67")</f>
        <v>2931777b-0bbb-4d0e-8446-470eed9a7a67</v>
      </c>
      <c r="I78" s="4" t="str">
        <f>IFERROR(__xludf.DUMMYFUNCTION("""COMPUTED_VALUE"""),"2931777b-0bbb-4d0e-8446-470eed9a7a67")</f>
        <v>2931777b-0bbb-4d0e-8446-470eed9a7a67</v>
      </c>
    </row>
    <row r="79">
      <c r="A79" s="4" t="str">
        <f>IFERROR(__xludf.DUMMYFUNCTION("""COMPUTED_VALUE"""),"Grow your startup with the best of Google")</f>
        <v>Grow your startup with the best of Google</v>
      </c>
      <c r="B79" s="4" t="str">
        <f>IFERROR(__xludf.DUMMYFUNCTION("""COMPUTED_VALUE"""),"From concept to startup —  no matter where your startup is, Google for Startups can help move it forward.  Come by the Google booth for daily Lightning Talks from Google Cloud specialists and founders from the Google for Startups Residency Program. Get up"&amp;" and running quickly and easily with one-on-one coaching, check out some of Google’s latest product demos, and stop by every day at 1pm for a bit of lunchtime yoga.")</f>
        <v>From concept to startup —  no matter where your startup is, Google for Startups can help move it forward.  Come by the Google booth for daily Lightning Talks from Google Cloud specialists and founders from the Google for Startups Residency Program. Get up and running quickly and easily with one-on-one coaching, check out some of Google’s latest product demos, and stop by every day at 1pm for a bit of lunchtime yoga.</v>
      </c>
      <c r="C79" s="4" t="str">
        <f>IFERROR(__xludf.DUMMYFUNCTION("""COMPUTED_VALUE"""),"Google, E110, FIL 1")</f>
        <v>Google, E110, FIL 1</v>
      </c>
      <c r="D79" s="4" t="str">
        <f>IFERROR(__xludf.DUMMYFUNCTION("""COMPUTED_VALUE"""),"")</f>
        <v/>
      </c>
      <c r="E79" s="4" t="str">
        <f>IFERROR(__xludf.DUMMYFUNCTION("""COMPUTED_VALUE"""),"")</f>
        <v/>
      </c>
      <c r="F79" s="4" t="str">
        <f>IFERROR(__xludf.DUMMYFUNCTION("""COMPUTED_VALUE"""),"2019/11/06 10:00:00")</f>
        <v>2019/11/06 10:00:00</v>
      </c>
      <c r="G79" s="4" t="str">
        <f>IFERROR(__xludf.DUMMYFUNCTION("""COMPUTED_VALUE"""),"2019/11/06 17:30:00")</f>
        <v>2019/11/06 17:30:00</v>
      </c>
      <c r="H79" s="4" t="str">
        <f>IFERROR(__xludf.DUMMYFUNCTION("""COMPUTED_VALUE"""),"84cf3bc6-ab44-4d87-a91f-8d9c36650644")</f>
        <v>84cf3bc6-ab44-4d87-a91f-8d9c36650644</v>
      </c>
      <c r="I79" s="4" t="str">
        <f>IFERROR(__xludf.DUMMYFUNCTION("""COMPUTED_VALUE"""),"84cf3bc6-ab44-4d87-a91f-8d9c36650644")</f>
        <v>84cf3bc6-ab44-4d87-a91f-8d9c36650644</v>
      </c>
    </row>
    <row r="80">
      <c r="A80" s="4" t="str">
        <f>IFERROR(__xludf.DUMMYFUNCTION("""COMPUTED_VALUE"""),"Machine Demo Round 4")</f>
        <v>Machine Demo Round 4</v>
      </c>
      <c r="B80" s="4" t="str">
        <f>IFERROR(__xludf.DUMMYFUNCTION("""COMPUTED_VALUE"""),"Machine Demo showcases the top products created by startups in the hardware &amp; IoT, AI &amp; machine learning, gaming, augmented reality, and virtual reality industries. For each group round, the audience will vote to decide the winner. The winners from each g"&amp;"roup progress to the Machine Demo final.")</f>
        <v>Machine Demo showcases the top products created by startups in the hardware &amp; IoT, AI &amp; machine learning, gaming, augmented reality, and virtual reality industries. For each group round, the audience will vote to decide the winner. The winners from each group progress to the Machine Demo final.</v>
      </c>
      <c r="C80" s="4" t="str">
        <f>IFERROR(__xludf.DUMMYFUNCTION("""COMPUTED_VALUE"""),"Machine Demo")</f>
        <v>Machine Demo</v>
      </c>
      <c r="D80" s="4" t="str">
        <f>IFERROR(__xludf.DUMMYFUNCTION("""COMPUTED_VALUE"""),"Jules Walker, CRISTINA GONZALEZ, Naor Amir, Christoph Hantschk, Alex Janusek and Ken Miyake")</f>
        <v>Jules Walker, CRISTINA GONZALEZ, Naor Amir, Christoph Hantschk, Alex Janusek and Ken Miyake</v>
      </c>
      <c r="E80" s="4" t="str">
        <f>IFERROR(__xludf.DUMMYFUNCTION("""COMPUTED_VALUE"""),"Jules Walker,CRISTINA GONZALEZ,Naor Amir,Christoph Hantschk,Alex Janusek,Ken Miyake")</f>
        <v>Jules Walker,CRISTINA GONZALEZ,Naor Amir,Christoph Hantschk,Alex Janusek,Ken Miyake</v>
      </c>
      <c r="F80" s="4" t="str">
        <f>IFERROR(__xludf.DUMMYFUNCTION("""COMPUTED_VALUE"""),"2019/11/07 12:15:00")</f>
        <v>2019/11/07 12:15:00</v>
      </c>
      <c r="G80" s="4" t="str">
        <f>IFERROR(__xludf.DUMMYFUNCTION("""COMPUTED_VALUE"""),"2019/11/07 13:15:00")</f>
        <v>2019/11/07 13:15:00</v>
      </c>
      <c r="H80" s="4" t="str">
        <f>IFERROR(__xludf.DUMMYFUNCTION("""COMPUTED_VALUE"""),"7cbb0713-5dc4-4ac4-ad3c-cb9f368a3d4f")</f>
        <v>7cbb0713-5dc4-4ac4-ad3c-cb9f368a3d4f</v>
      </c>
      <c r="I80" s="4" t="str">
        <f>IFERROR(__xludf.DUMMYFUNCTION("""COMPUTED_VALUE"""),"7cbb0713-5dc4-4ac4-ad3c-cb9f368a3d4f")</f>
        <v>7cbb0713-5dc4-4ac4-ad3c-cb9f368a3d4f</v>
      </c>
    </row>
    <row r="81">
      <c r="A81" s="4" t="str">
        <f>IFERROR(__xludf.DUMMYFUNCTION("""COMPUTED_VALUE"""),"Esports: Winning is just the beginning")</f>
        <v>Esports: Winning is just the beginning</v>
      </c>
      <c r="B81" s="4" t="str">
        <f>IFERROR(__xludf.DUMMYFUNCTION("""COMPUTED_VALUE"""),"Most people have become aware of the stratospheric growth in esports. Underlying the hype of gaming competition is a cultural sea change that represents how millennials and Gen Z consume and engage with content. This talk will explore how esports, and mor"&amp;"e broadly gaming, are defying audience convention and reshaping entertainment.")</f>
        <v>Most people have become aware of the stratospheric growth in esports. Underlying the hype of gaming competition is a cultural sea change that represents how millennials and Gen Z consume and engage with content. This talk will explore how esports, and more broadly gaming, are defying audience convention and reshaping entertainment.</v>
      </c>
      <c r="C81" s="4" t="str">
        <f>IFERROR(__xludf.DUMMYFUNCTION("""COMPUTED_VALUE"""),"ContentMakers")</f>
        <v>ContentMakers</v>
      </c>
      <c r="D81" s="4" t="str">
        <f>IFERROR(__xludf.DUMMYFUNCTION("""COMPUTED_VALUE"""),"Bruce Stein")</f>
        <v>Bruce Stein</v>
      </c>
      <c r="E81" s="4" t="str">
        <f>IFERROR(__xludf.DUMMYFUNCTION("""COMPUTED_VALUE"""),"Bruce Stein")</f>
        <v>Bruce Stein</v>
      </c>
      <c r="F81" s="4" t="str">
        <f>IFERROR(__xludf.DUMMYFUNCTION("""COMPUTED_VALUE"""),"2019/11/07 13:00:00")</f>
        <v>2019/11/07 13:00:00</v>
      </c>
      <c r="G81" s="4" t="str">
        <f>IFERROR(__xludf.DUMMYFUNCTION("""COMPUTED_VALUE"""),"2019/11/07 13:20:00")</f>
        <v>2019/11/07 13:20:00</v>
      </c>
      <c r="H81" s="4" t="str">
        <f>IFERROR(__xludf.DUMMYFUNCTION("""COMPUTED_VALUE"""),"cbce1666-1df1-437a-b316-c0c20f66f6a3")</f>
        <v>cbce1666-1df1-437a-b316-c0c20f66f6a3</v>
      </c>
      <c r="I81" s="4" t="str">
        <f>IFERROR(__xludf.DUMMYFUNCTION("""COMPUTED_VALUE"""),"cbce1666-1df1-437a-b316-c0c20f66f6a3")</f>
        <v>cbce1666-1df1-437a-b316-c0c20f66f6a3</v>
      </c>
    </row>
    <row r="82">
      <c r="A82" s="4" t="str">
        <f>IFERROR(__xludf.DUMMYFUNCTION("""COMPUTED_VALUE"""),"Cells to space to salads: what's a robot good for?")</f>
        <v>Cells to space to salads: what's a robot good for?</v>
      </c>
      <c r="B82" s="4" t="str">
        <f>IFERROR(__xludf.DUMMYFUNCTION("""COMPUTED_VALUE"""),"For decades, Hollywood has influenced our perception of what robots should look like and how they should behave. This keynote will discuss the reality of robotics in modern society.")</f>
        <v>For decades, Hollywood has influenced our perception of what robots should look like and how they should behave. This keynote will discuss the reality of robotics in modern society.</v>
      </c>
      <c r="C82" s="4" t="str">
        <f>IFERROR(__xludf.DUMMYFUNCTION("""COMPUTED_VALUE"""),"Auto/Tech &amp; TalkRobot")</f>
        <v>Auto/Tech &amp; TalkRobot</v>
      </c>
      <c r="D82" s="4" t="str">
        <f>IFERROR(__xludf.DUMMYFUNCTION("""COMPUTED_VALUE"""),"Kaigham Gabriel")</f>
        <v>Kaigham Gabriel</v>
      </c>
      <c r="E82" s="4" t="str">
        <f>IFERROR(__xludf.DUMMYFUNCTION("""COMPUTED_VALUE"""),"Kaigham Gabriel")</f>
        <v>Kaigham Gabriel</v>
      </c>
      <c r="F82" s="4" t="str">
        <f>IFERROR(__xludf.DUMMYFUNCTION("""COMPUTED_VALUE"""),"2019/11/05 14:05:00")</f>
        <v>2019/11/05 14:05:00</v>
      </c>
      <c r="G82" s="4" t="str">
        <f>IFERROR(__xludf.DUMMYFUNCTION("""COMPUTED_VALUE"""),"2019/11/05 14:25:00")</f>
        <v>2019/11/05 14:25:00</v>
      </c>
      <c r="H82" s="4" t="str">
        <f>IFERROR(__xludf.DUMMYFUNCTION("""COMPUTED_VALUE"""),"8ded08dc-0720-4e17-a17d-2b5d3b1c3c27")</f>
        <v>8ded08dc-0720-4e17-a17d-2b5d3b1c3c27</v>
      </c>
      <c r="I82" s="4" t="str">
        <f>IFERROR(__xludf.DUMMYFUNCTION("""COMPUTED_VALUE"""),"8ded08dc-0720-4e17-a17d-2b5d3b1c3c27")</f>
        <v>8ded08dc-0720-4e17-a17d-2b5d3b1c3c27</v>
      </c>
    </row>
    <row r="83">
      <c r="A83" s="4" t="str">
        <f>IFERROR(__xludf.DUMMYFUNCTION("""COMPUTED_VALUE"""),"Education beyond the classroom")</f>
        <v>Education beyond the classroom</v>
      </c>
      <c r="B83" s="4" t="str">
        <f>IFERROR(__xludf.DUMMYFUNCTION("""COMPUTED_VALUE"""),"Education is a lifelong development. We do not stop learning when we leave school. In this session we hear from some of the world's leading education innovators about how they encourage learning outside of the classroom, and about the impact that educatio"&amp;"n can have on society.")</f>
        <v>Education is a lifelong development. We do not stop learning when we leave school. In this session we hear from some of the world's leading education innovators about how they encourage learning outside of the classroom, and about the impact that education can have on society.</v>
      </c>
      <c r="C83" s="4" t="str">
        <f>IFERROR(__xludf.DUMMYFUNCTION("""COMPUTED_VALUE"""),"Future Societies")</f>
        <v>Future Societies</v>
      </c>
      <c r="D83" s="4" t="str">
        <f>IFERROR(__xludf.DUMMYFUNCTION("""COMPUTED_VALUE"""),"Corinne Vigreux, Thomas Holl, Mmantsetsa Marope and Tom Finn")</f>
        <v>Corinne Vigreux, Thomas Holl, Mmantsetsa Marope and Tom Finn</v>
      </c>
      <c r="E83" s="4" t="str">
        <f>IFERROR(__xludf.DUMMYFUNCTION("""COMPUTED_VALUE"""),"Corinne Vigreux,Thomas Holl,Mmantsetsa Marope,Tom Finn")</f>
        <v>Corinne Vigreux,Thomas Holl,Mmantsetsa Marope,Tom Finn</v>
      </c>
      <c r="F83" s="4" t="str">
        <f>IFERROR(__xludf.DUMMYFUNCTION("""COMPUTED_VALUE"""),"2019/11/05 14:25:00")</f>
        <v>2019/11/05 14:25:00</v>
      </c>
      <c r="G83" s="4" t="str">
        <f>IFERROR(__xludf.DUMMYFUNCTION("""COMPUTED_VALUE"""),"2019/11/05 14:50:00")</f>
        <v>2019/11/05 14:50:00</v>
      </c>
      <c r="H83" s="4" t="str">
        <f>IFERROR(__xludf.DUMMYFUNCTION("""COMPUTED_VALUE"""),"354d2d40-ce91-41cc-9af8-5370a39daa64")</f>
        <v>354d2d40-ce91-41cc-9af8-5370a39daa64</v>
      </c>
      <c r="I83" s="4" t="str">
        <f>IFERROR(__xludf.DUMMYFUNCTION("""COMPUTED_VALUE"""),"354d2d40-ce91-41cc-9af8-5370a39daa64")</f>
        <v>354d2d40-ce91-41cc-9af8-5370a39daa64</v>
      </c>
    </row>
    <row r="84">
      <c r="A84" s="4" t="str">
        <f>IFERROR(__xludf.DUMMYFUNCTION("""COMPUTED_VALUE"""),"Product-market fit as a moving target")</f>
        <v>Product-market fit as a moving target</v>
      </c>
      <c r="B84" s="4" t="str">
        <f>IFERROR(__xludf.DUMMYFUNCTION("""COMPUTED_VALUE"""),"Finding product-market fit is the first goal for every startup, but what many don’t realise is that it’s a moving target. Both the market and your product evolve over time and you need to keep aiming for that fit. At the end of the day if you are not disr"&amp;"upting, you are probably being disrupted.")</f>
        <v>Finding product-market fit is the first goal for every startup, but what many don’t realise is that it’s a moving target. Both the market and your product evolve over time and you need to keep aiming for that fit. At the end of the day if you are not disrupting, you are probably being disrupted.</v>
      </c>
      <c r="C84" s="4" t="str">
        <f>IFERROR(__xludf.DUMMYFUNCTION("""COMPUTED_VALUE"""),"Growth Summit")</f>
        <v>Growth Summit</v>
      </c>
      <c r="D84" s="4" t="str">
        <f>IFERROR(__xludf.DUMMYFUNCTION("""COMPUTED_VALUE"""),"Javi Fondevila")</f>
        <v>Javi Fondevila</v>
      </c>
      <c r="E84" s="4" t="str">
        <f>IFERROR(__xludf.DUMMYFUNCTION("""COMPUTED_VALUE"""),"Javi Fondevila")</f>
        <v>Javi Fondevila</v>
      </c>
      <c r="F84" s="4" t="str">
        <f>IFERROR(__xludf.DUMMYFUNCTION("""COMPUTED_VALUE"""),"2019/11/06 11:22:00")</f>
        <v>2019/11/06 11:22:00</v>
      </c>
      <c r="G84" s="4" t="str">
        <f>IFERROR(__xludf.DUMMYFUNCTION("""COMPUTED_VALUE"""),"2019/11/06 11:26:00")</f>
        <v>2019/11/06 11:26:00</v>
      </c>
      <c r="H84" s="4" t="str">
        <f>IFERROR(__xludf.DUMMYFUNCTION("""COMPUTED_VALUE"""),"1a0a8cf0-7134-4307-a284-0490adf28472")</f>
        <v>1a0a8cf0-7134-4307-a284-0490adf28472</v>
      </c>
      <c r="I84" s="4" t="str">
        <f>IFERROR(__xludf.DUMMYFUNCTION("""COMPUTED_VALUE"""),"1a0a8cf0-7134-4307-a284-0490adf28472")</f>
        <v>1a0a8cf0-7134-4307-a284-0490adf28472</v>
      </c>
    </row>
    <row r="85">
      <c r="A85" s="4" t="str">
        <f>IFERROR(__xludf.DUMMYFUNCTION("""COMPUTED_VALUE"""),"The ins and outs of financial inclusion")</f>
        <v>The ins and outs of financial inclusion</v>
      </c>
      <c r="B85" s="4" t="str">
        <f>IFERROR(__xludf.DUMMYFUNCTION("""COMPUTED_VALUE"""),"Fintechs and banks are finally starting to recognise the potential of a fair, shared global economy. As equality is brought to the forefront of economic conversations, how can companies turn ideologies into infrastructure?")</f>
        <v>Fintechs and banks are finally starting to recognise the potential of a fair, shared global economy. As equality is brought to the forefront of economic conversations, how can companies turn ideologies into infrastructure?</v>
      </c>
      <c r="C85" s="4" t="str">
        <f>IFERROR(__xludf.DUMMYFUNCTION("""COMPUTED_VALUE"""),"MoneyConf")</f>
        <v>MoneyConf</v>
      </c>
      <c r="D85" s="4" t="str">
        <f>IFERROR(__xludf.DUMMYFUNCTION("""COMPUTED_VALUE"""),"Christopher Leacock, Katica Roy and Amy Thomson")</f>
        <v>Christopher Leacock, Katica Roy and Amy Thomson</v>
      </c>
      <c r="E85" s="4" t="str">
        <f>IFERROR(__xludf.DUMMYFUNCTION("""COMPUTED_VALUE"""),"Christopher Leacock,Katica Roy,Amy Thomson")</f>
        <v>Christopher Leacock,Katica Roy,Amy Thomson</v>
      </c>
      <c r="F85" s="4" t="str">
        <f>IFERROR(__xludf.DUMMYFUNCTION("""COMPUTED_VALUE"""),"2019/11/06 12:15:00")</f>
        <v>2019/11/06 12:15:00</v>
      </c>
      <c r="G85" s="4" t="str">
        <f>IFERROR(__xludf.DUMMYFUNCTION("""COMPUTED_VALUE"""),"2019/11/06 12:35:00")</f>
        <v>2019/11/06 12:35:00</v>
      </c>
      <c r="H85" s="4" t="str">
        <f>IFERROR(__xludf.DUMMYFUNCTION("""COMPUTED_VALUE"""),"1086ec04-aa99-40a4-b5d8-c7688cbbb6f7")</f>
        <v>1086ec04-aa99-40a4-b5d8-c7688cbbb6f7</v>
      </c>
      <c r="I85" s="4" t="str">
        <f>IFERROR(__xludf.DUMMYFUNCTION("""COMPUTED_VALUE"""),"1086ec04-aa99-40a4-b5d8-c7688cbbb6f7")</f>
        <v>1086ec04-aa99-40a4-b5d8-c7688cbbb6f7</v>
      </c>
    </row>
    <row r="86">
      <c r="A86" s="4" t="str">
        <f>IFERROR(__xludf.DUMMYFUNCTION("""COMPUTED_VALUE"""),"Everything you've always wanted to know about marketing but were afraid to ask")</f>
        <v>Everything you've always wanted to know about marketing but were afraid to ask</v>
      </c>
      <c r="B86" s="4" t="str">
        <f>IFERROR(__xludf.DUMMYFUNCTION("""COMPUTED_VALUE"""),"our top advertising and marketing experts look ahead to 2020")</f>
        <v>our top advertising and marketing experts look ahead to 2020</v>
      </c>
      <c r="C86" s="4" t="str">
        <f>IFERROR(__xludf.DUMMYFUNCTION("""COMPUTED_VALUE"""),"PandaConf")</f>
        <v>PandaConf</v>
      </c>
      <c r="D86" s="4" t="str">
        <f>IFERROR(__xludf.DUMMYFUNCTION("""COMPUTED_VALUE"""),"Fernando Machado, Jane Wakely, Sir Martin Sorrell and Hadas Gold")</f>
        <v>Fernando Machado, Jane Wakely, Sir Martin Sorrell and Hadas Gold</v>
      </c>
      <c r="E86" s="4" t="str">
        <f>IFERROR(__xludf.DUMMYFUNCTION("""COMPUTED_VALUE"""),"Fernando Machado,Jane Wakely,Sir Martin Sorrell,Hadas Gold")</f>
        <v>Fernando Machado,Jane Wakely,Sir Martin Sorrell,Hadas Gold</v>
      </c>
      <c r="F86" s="4" t="str">
        <f>IFERROR(__xludf.DUMMYFUNCTION("""COMPUTED_VALUE"""),"2019/11/07 11:25:00")</f>
        <v>2019/11/07 11:25:00</v>
      </c>
      <c r="G86" s="4" t="str">
        <f>IFERROR(__xludf.DUMMYFUNCTION("""COMPUTED_VALUE"""),"2019/11/07 11:50:00")</f>
        <v>2019/11/07 11:50:00</v>
      </c>
      <c r="H86" s="4" t="str">
        <f>IFERROR(__xludf.DUMMYFUNCTION("""COMPUTED_VALUE"""),"f5e559b4-876a-4ea1-bd93-338dfbcc5ca3")</f>
        <v>f5e559b4-876a-4ea1-bd93-338dfbcc5ca3</v>
      </c>
      <c r="I86" s="4" t="str">
        <f>IFERROR(__xludf.DUMMYFUNCTION("""COMPUTED_VALUE"""),"f5e559b4-876a-4ea1-bd93-338dfbcc5ca3")</f>
        <v>f5e559b4-876a-4ea1-bd93-338dfbcc5ca3</v>
      </c>
    </row>
    <row r="87">
      <c r="A87" s="4" t="str">
        <f>IFERROR(__xludf.DUMMYFUNCTION("""COMPUTED_VALUE"""),"Opening Remarks: Not just another player: Four huge visions of SaaS enablement!")</f>
        <v>Opening Remarks: Not just another player: Four huge visions of SaaS enablement!</v>
      </c>
      <c r="B87" s="4" t="str">
        <f>IFERROR(__xludf.DUMMYFUNCTION("""COMPUTED_VALUE"""),"From optimising voice data, to customer data infrastructure, to democratising the mobile app ecosystem, to quantum as a service.")</f>
        <v>From optimising voice data, to customer data infrastructure, to democratising the mobile app ecosystem, to quantum as a service.</v>
      </c>
      <c r="C87" s="4" t="str">
        <f>IFERROR(__xludf.DUMMYFUNCTION("""COMPUTED_VALUE"""),"SaaS Monster")</f>
        <v>SaaS Monster</v>
      </c>
      <c r="D87" s="4" t="str">
        <f>IFERROR(__xludf.DUMMYFUNCTION("""COMPUTED_VALUE"""),"Stephen Cummins")</f>
        <v>Stephen Cummins</v>
      </c>
      <c r="E87" s="4" t="str">
        <f>IFERROR(__xludf.DUMMYFUNCTION("""COMPUTED_VALUE"""),"Stephen Cummins")</f>
        <v>Stephen Cummins</v>
      </c>
      <c r="F87" s="4" t="str">
        <f>IFERROR(__xludf.DUMMYFUNCTION("""COMPUTED_VALUE"""),"2019/11/05 10:15:00")</f>
        <v>2019/11/05 10:15:00</v>
      </c>
      <c r="G87" s="4" t="str">
        <f>IFERROR(__xludf.DUMMYFUNCTION("""COMPUTED_VALUE"""),"2019/11/05 10:30:00")</f>
        <v>2019/11/05 10:30:00</v>
      </c>
      <c r="H87" s="4" t="str">
        <f>IFERROR(__xludf.DUMMYFUNCTION("""COMPUTED_VALUE"""),"0bf64b65-4621-468c-a8ea-741ffab94a56")</f>
        <v>0bf64b65-4621-468c-a8ea-741ffab94a56</v>
      </c>
      <c r="I87" s="4" t="str">
        <f>IFERROR(__xludf.DUMMYFUNCTION("""COMPUTED_VALUE"""),"0bf64b65-4621-468c-a8ea-741ffab94a56")</f>
        <v>0bf64b65-4621-468c-a8ea-741ffab94a56</v>
      </c>
    </row>
    <row r="88">
      <c r="A88" s="4" t="str">
        <f>IFERROR(__xludf.DUMMYFUNCTION("""COMPUTED_VALUE"""),"How CTO.ai empowers DevOps through automation")</f>
        <v>How CTO.ai empowers DevOps through automation</v>
      </c>
      <c r="B88" s="4" t="str">
        <f>IFERROR(__xludf.DUMMYFUNCTION("""COMPUTED_VALUE"""),"CEO of CTO.ai, Kyle will illustrate how the software helps high growth engineering teams adopt DevOps through the power of automation.")</f>
        <v>CEO of CTO.ai, Kyle will illustrate how the software helps high growth engineering teams adopt DevOps through the power of automation.</v>
      </c>
      <c r="C88" s="4" t="str">
        <f>IFERROR(__xludf.DUMMYFUNCTION("""COMPUTED_VALUE"""),"Growth Summit")</f>
        <v>Growth Summit</v>
      </c>
      <c r="D88" s="4" t="str">
        <f>IFERROR(__xludf.DUMMYFUNCTION("""COMPUTED_VALUE"""),"Kyle Campbell")</f>
        <v>Kyle Campbell</v>
      </c>
      <c r="E88" s="4" t="str">
        <f>IFERROR(__xludf.DUMMYFUNCTION("""COMPUTED_VALUE"""),"Kyle Campbell")</f>
        <v>Kyle Campbell</v>
      </c>
      <c r="F88" s="4" t="str">
        <f>IFERROR(__xludf.DUMMYFUNCTION("""COMPUTED_VALUE"""),"2019/11/06 10:02:00")</f>
        <v>2019/11/06 10:02:00</v>
      </c>
      <c r="G88" s="4" t="str">
        <f>IFERROR(__xludf.DUMMYFUNCTION("""COMPUTED_VALUE"""),"2019/11/06 10:06:00")</f>
        <v>2019/11/06 10:06:00</v>
      </c>
      <c r="H88" s="4" t="str">
        <f>IFERROR(__xludf.DUMMYFUNCTION("""COMPUTED_VALUE"""),"61aaaa54-6029-4a92-8368-edb8e2da5471")</f>
        <v>61aaaa54-6029-4a92-8368-edb8e2da5471</v>
      </c>
      <c r="I88" s="4" t="str">
        <f>IFERROR(__xludf.DUMMYFUNCTION("""COMPUTED_VALUE"""),"61aaaa54-6029-4a92-8368-edb8e2da5471")</f>
        <v>61aaaa54-6029-4a92-8368-edb8e2da5471</v>
      </c>
    </row>
    <row r="89">
      <c r="A89" s="4" t="str">
        <f>IFERROR(__xludf.DUMMYFUNCTION("""COMPUTED_VALUE"""),"Scaling content production without sacrificing your visual identity, hosted by Shutterstock")</f>
        <v>Scaling content production without sacrificing your visual identity, hosted by Shutterstock</v>
      </c>
      <c r="B89" s="4" t="str">
        <f>IFERROR(__xludf.DUMMYFUNCTION("""COMPUTED_VALUE"""),"Over 90% of brands use social media to grow awareness. It can become very hard to post content at a high-frequency, and across different markets and platforms, without losing your brand's identity. Join us to understand and see how leading global companie"&amp;"s are exploring new ways to ensure brand consistency while creating authentic and engaging content for social media. This collaborative session will educate attendees on how to analyse their visual identity and create localised content.")</f>
        <v>Over 90% of brands use social media to grow awareness. It can become very hard to post content at a high-frequency, and across different markets and platforms, without losing your brand's identity. Join us to understand and see how leading global companies are exploring new ways to ensure brand consistency while creating authentic and engaging content for social media. This collaborative session will educate attendees on how to analyse their visual identity and create localised content.</v>
      </c>
      <c r="C89" s="4" t="str">
        <f>IFERROR(__xludf.DUMMYFUNCTION("""COMPUTED_VALUE"""),"Workshop 3")</f>
        <v>Workshop 3</v>
      </c>
      <c r="D89" s="4" t="str">
        <f>IFERROR(__xludf.DUMMYFUNCTION("""COMPUTED_VALUE"""),"Yoann Chipotel")</f>
        <v>Yoann Chipotel</v>
      </c>
      <c r="E89" s="4" t="str">
        <f>IFERROR(__xludf.DUMMYFUNCTION("""COMPUTED_VALUE"""),"Yoann Chipotel")</f>
        <v>Yoann Chipotel</v>
      </c>
      <c r="F89" s="4" t="str">
        <f>IFERROR(__xludf.DUMMYFUNCTION("""COMPUTED_VALUE"""),"2019/11/06 10:45:00")</f>
        <v>2019/11/06 10:45:00</v>
      </c>
      <c r="G89" s="4" t="str">
        <f>IFERROR(__xludf.DUMMYFUNCTION("""COMPUTED_VALUE"""),"2019/11/06 11:30:00")</f>
        <v>2019/11/06 11:30:00</v>
      </c>
      <c r="H89" s="4" t="str">
        <f>IFERROR(__xludf.DUMMYFUNCTION("""COMPUTED_VALUE"""),"cc073b4d-3af8-4f8f-98d4-dc85f7f7d526")</f>
        <v>cc073b4d-3af8-4f8f-98d4-dc85f7f7d526</v>
      </c>
      <c r="I89" s="4" t="str">
        <f>IFERROR(__xludf.DUMMYFUNCTION("""COMPUTED_VALUE"""),"cc073b4d-3af8-4f8f-98d4-dc85f7f7d526")</f>
        <v>cc073b4d-3af8-4f8f-98d4-dc85f7f7d526</v>
      </c>
    </row>
    <row r="90">
      <c r="A90" s="4" t="str">
        <f>IFERROR(__xludf.DUMMYFUNCTION("""COMPUTED_VALUE"""),"Startup Showcase")</f>
        <v>Startup Showcase</v>
      </c>
      <c r="B90" s="4" t="str">
        <f>IFERROR(__xludf.DUMMYFUNCTION("""COMPUTED_VALUE"""),"On this brand new stage, expect quickfire presentations where startups will showcase their solutions to the future's biggest challenges. This hour focuses on sustainability &amp; the environment, covering topics like clean energy sources, sustainable business"&amp;" models, and waste reduction.
")</f>
        <v>On this brand new stage, expect quickfire presentations where startups will showcase their solutions to the future's biggest challenges. This hour focuses on sustainability &amp; the environment, covering topics like clean energy sources, sustainable business models, and waste reduction.
</v>
      </c>
      <c r="C90" s="4" t="str">
        <f>IFERROR(__xludf.DUMMYFUNCTION("""COMPUTED_VALUE"""),"Startup Showcase 3")</f>
        <v>Startup Showcase 3</v>
      </c>
      <c r="D90" s="4" t="str">
        <f>IFERROR(__xludf.DUMMYFUNCTION("""COMPUTED_VALUE"""),"Toon Bouten, Jonny kurtz, Kenjiro YAMAMOTO, Yukihiro Kawaguchi, Vyacheslav Grigoriev, Masaomi SUZUKI, Declan Conway, Masahide (Masa) Ando, Sergey Soloboev, Linus Frosteryd, Alvaro Lopes-Cardoso, Todor Lazov, KOICHIRO SATO, Marco Piras, Martin Kravchenko, "&amp;"Mike Prisikar, Pablo Vidarte, Dinara Tikhomirova, Linus Norton, Ana Caboz, Nils Lundin, Simon Puleston Jones, Alessandro Imparato, Bernie Frola, Chayana Farinango, Jenny Jobring, Nicolas Ohanna, Pedro Humbert, Dima Prisikar, Vitor Sanches, Jonathan Tambos"&amp;"i, Margaux Lebel, Kevin Farquharson, Denis Tikhomirov, aristides bertuol, RYUTA SHIOYA, DAVID MALINAS, 📺 Victor Ingman, Nikolay Kuteev, Nora Al-Kassab, Santiago Zindel, Cecilia Lalatta Costerbosa, Erika Vincent and Christoph Hantschk")</f>
        <v>Toon Bouten, Jonny kurtz, Kenjiro YAMAMOTO, Yukihiro Kawaguchi, Vyacheslav Grigoriev, Masaomi SUZUKI, Declan Conway, Masahide (Masa) Ando, Sergey Soloboev, Linus Frosteryd, Alvaro Lopes-Cardoso, Todor Lazov, KOICHIRO SATO, Marco Piras, Martin Kravchenko, Mike Prisikar, Pablo Vidarte, Dinara Tikhomirova, Linus Norton, Ana Caboz, Nils Lundin, Simon Puleston Jones, Alessandro Imparato, Bernie Frola, Chayana Farinango, Jenny Jobring, Nicolas Ohanna, Pedro Humbert, Dima Prisikar, Vitor Sanches, Jonathan Tambosi, Margaux Lebel, Kevin Farquharson, Denis Tikhomirov, aristides bertuol, RYUTA SHIOYA, DAVID MALINAS, 📺 Victor Ingman, Nikolay Kuteev, Nora Al-Kassab, Santiago Zindel, Cecilia Lalatta Costerbosa, Erika Vincent and Christoph Hantschk</v>
      </c>
      <c r="E90" s="4" t="str">
        <f>IFERROR(__xludf.DUMMYFUNCTION("""COMPUTED_VALUE"""),"Toon Bouten,Jonny kurtz,Kenjiro YAMAMOTO,Yukihiro Kawaguchi,Vyacheslav Grigoriev,Masaomi SUZUKI,Declan Conway,Masahide (Masa) Ando,Sergey Soloboev,Linus Frosteryd,Alvaro Lopes-Cardoso,Todor Lazov,KOICHIRO SATO,Marco Piras,Martin Kravchenko,Mike Prisikar,P"&amp;"ablo Vidarte,Dinara Tikhomirova,Linus Norton,Ana Caboz,Nils Lundin,Simon Puleston Jones,Alessandro Imparato,Bernie Frola,Chayana Farinango,Jenny Jobring,Nicolas Ohanna,Pedro Humbert,Dima Prisikar,Vitor Sanches,Jonathan Tambosi,Margaux Lebel,Kevin Farquhar"&amp;"son,Denis Tikhomirov,aristides bertuol,RYUTA SHIOYA,DAVID MALINAS,📺 Victor Ingman,Nikolay Kuteev,Nora Al-Kassab,Santiago Zindel,Cecilia Lalatta Costerbosa,Erika Vincent,Christoph Hantschk")</f>
        <v>Toon Bouten,Jonny kurtz,Kenjiro YAMAMOTO,Yukihiro Kawaguchi,Vyacheslav Grigoriev,Masaomi SUZUKI,Declan Conway,Masahide (Masa) Ando,Sergey Soloboev,Linus Frosteryd,Alvaro Lopes-Cardoso,Todor Lazov,KOICHIRO SATO,Marco Piras,Martin Kravchenko,Mike Prisikar,Pablo Vidarte,Dinara Tikhomirova,Linus Norton,Ana Caboz,Nils Lundin,Simon Puleston Jones,Alessandro Imparato,Bernie Frola,Chayana Farinango,Jenny Jobring,Nicolas Ohanna,Pedro Humbert,Dima Prisikar,Vitor Sanches,Jonathan Tambosi,Margaux Lebel,Kevin Farquharson,Denis Tikhomirov,aristides bertuol,RYUTA SHIOYA,DAVID MALINAS,📺 Victor Ingman,Nikolay Kuteev,Nora Al-Kassab,Santiago Zindel,Cecilia Lalatta Costerbosa,Erika Vincent,Christoph Hantschk</v>
      </c>
      <c r="F90" s="4" t="str">
        <f>IFERROR(__xludf.DUMMYFUNCTION("""COMPUTED_VALUE"""),"2019/11/06 12:15:00")</f>
        <v>2019/11/06 12:15:00</v>
      </c>
      <c r="G90" s="4" t="str">
        <f>IFERROR(__xludf.DUMMYFUNCTION("""COMPUTED_VALUE"""),"2019/11/06 13:15:00")</f>
        <v>2019/11/06 13:15:00</v>
      </c>
      <c r="H90" s="4" t="str">
        <f>IFERROR(__xludf.DUMMYFUNCTION("""COMPUTED_VALUE"""),"40dda7f9-c1df-4b2e-b233-4c7560ba2c11")</f>
        <v>40dda7f9-c1df-4b2e-b233-4c7560ba2c11</v>
      </c>
      <c r="I90" s="4" t="str">
        <f>IFERROR(__xludf.DUMMYFUNCTION("""COMPUTED_VALUE"""),"40dda7f9-c1df-4b2e-b233-4c7560ba2c11")</f>
        <v>40dda7f9-c1df-4b2e-b233-4c7560ba2c11</v>
      </c>
    </row>
    <row r="91">
      <c r="A91" s="4" t="str">
        <f>IFERROR(__xludf.DUMMYFUNCTION("""COMPUTED_VALUE"""),"Class A potential: The case for psychedelics")</f>
        <v>Class A potential: The case for psychedelics</v>
      </c>
      <c r="B91" s="4" t="str">
        <f>IFERROR(__xludf.DUMMYFUNCTION("""COMPUTED_VALUE"""),"Would you donate the details of your psychedelic experiences to science?  We meet the software architect commissioned by Imperial College London scientists to build the world's first Psychedelic Search Engine and app, in the name of improving our understa"&amp;"nding of the drugs, the data and the depths of their full potential. ")</f>
        <v>Would you donate the details of your psychedelic experiences to science?  We meet the software architect commissioned by Imperial College London scientists to build the world's first Psychedelic Search Engine and app, in the name of improving our understanding of the drugs, the data and the depths of their full potential. </v>
      </c>
      <c r="C91" s="4" t="str">
        <f>IFERROR(__xludf.DUMMYFUNCTION("""COMPUTED_VALUE"""),"HealthConf")</f>
        <v>HealthConf</v>
      </c>
      <c r="D91" s="4" t="str">
        <f>IFERROR(__xludf.DUMMYFUNCTION("""COMPUTED_VALUE"""),"Kenneth Jønck")</f>
        <v>Kenneth Jønck</v>
      </c>
      <c r="E91" s="4" t="str">
        <f>IFERROR(__xludf.DUMMYFUNCTION("""COMPUTED_VALUE"""),"Kenneth Jønck")</f>
        <v>Kenneth Jønck</v>
      </c>
      <c r="F91" s="4" t="str">
        <f>IFERROR(__xludf.DUMMYFUNCTION("""COMPUTED_VALUE"""),"2019/11/07 13:25:00")</f>
        <v>2019/11/07 13:25:00</v>
      </c>
      <c r="G91" s="4" t="str">
        <f>IFERROR(__xludf.DUMMYFUNCTION("""COMPUTED_VALUE"""),"2019/11/07 13:40:00")</f>
        <v>2019/11/07 13:40:00</v>
      </c>
      <c r="H91" s="4" t="str">
        <f>IFERROR(__xludf.DUMMYFUNCTION("""COMPUTED_VALUE"""),"99d35c7c-c70b-4f34-8c5f-153b161ad39d")</f>
        <v>99d35c7c-c70b-4f34-8c5f-153b161ad39d</v>
      </c>
      <c r="I91" s="4" t="str">
        <f>IFERROR(__xludf.DUMMYFUNCTION("""COMPUTED_VALUE"""),"99d35c7c-c70b-4f34-8c5f-153b161ad39d")</f>
        <v>99d35c7c-c70b-4f34-8c5f-153b161ad39d</v>
      </c>
    </row>
    <row r="92">
      <c r="A92" s="4" t="str">
        <f>IFERROR(__xludf.DUMMYFUNCTION("""COMPUTED_VALUE"""),"PITCH group round 12")</f>
        <v>PITCH group round 12</v>
      </c>
      <c r="B92" s="4" t="str">
        <f>IFERROR(__xludf.DUMMYFUNCTION("""COMPUTED_VALUE"""),"")</f>
        <v/>
      </c>
      <c r="C92" s="4" t="str">
        <f>IFERROR(__xludf.DUMMYFUNCTION("""COMPUTED_VALUE"""),"PITCH 3")</f>
        <v>PITCH 3</v>
      </c>
      <c r="D92" s="4" t="str">
        <f>IFERROR(__xludf.DUMMYFUNCTION("""COMPUTED_VALUE"""),"Fatima Zaidi, Oliver Clasen, Brendan Yell, Tom Michael, Maja Markowitz, Tracy Isacke, Rupert Barksfield, Seth Ward, Sam Abrika, Katy Lindemann, Laurent Marfisi, Ken Miyake, Simonetta d'Ottaviano and Mario Arabov")</f>
        <v>Fatima Zaidi, Oliver Clasen, Brendan Yell, Tom Michael, Maja Markowitz, Tracy Isacke, Rupert Barksfield, Seth Ward, Sam Abrika, Katy Lindemann, Laurent Marfisi, Ken Miyake, Simonetta d'Ottaviano and Mario Arabov</v>
      </c>
      <c r="E92" s="4" t="str">
        <f>IFERROR(__xludf.DUMMYFUNCTION("""COMPUTED_VALUE"""),"Fatima Zaidi,Oliver Clasen,Brendan Yell,Tom Michael,Maja Markowitz,Tracy Isacke,Rupert Barksfield,Seth Ward,Sam Abrika,Katy Lindemann,Laurent Marfisi,Ken Miyake,Simonetta d'Ottaviano,Mario Arabov")</f>
        <v>Fatima Zaidi,Oliver Clasen,Brendan Yell,Tom Michael,Maja Markowitz,Tracy Isacke,Rupert Barksfield,Seth Ward,Sam Abrika,Katy Lindemann,Laurent Marfisi,Ken Miyake,Simonetta d'Ottaviano,Mario Arabov</v>
      </c>
      <c r="F92" s="4" t="str">
        <f>IFERROR(__xludf.DUMMYFUNCTION("""COMPUTED_VALUE"""),"2019/11/05 12:15:00")</f>
        <v>2019/11/05 12:15:00</v>
      </c>
      <c r="G92" s="4" t="str">
        <f>IFERROR(__xludf.DUMMYFUNCTION("""COMPUTED_VALUE"""),"2019/11/05 13:15:00")</f>
        <v>2019/11/05 13:15:00</v>
      </c>
      <c r="H92" s="4" t="str">
        <f>IFERROR(__xludf.DUMMYFUNCTION("""COMPUTED_VALUE"""),"7a40a49a-c925-47c4-9249-d9754bf771e8")</f>
        <v>7a40a49a-c925-47c4-9249-d9754bf771e8</v>
      </c>
      <c r="I92" s="4" t="str">
        <f>IFERROR(__xludf.DUMMYFUNCTION("""COMPUTED_VALUE"""),"7a40a49a-c925-47c4-9249-d9754bf771e8")</f>
        <v>7a40a49a-c925-47c4-9249-d9754bf771e8</v>
      </c>
    </row>
    <row r="93">
      <c r="A93" s="4" t="str">
        <f>IFERROR(__xludf.DUMMYFUNCTION("""COMPUTED_VALUE"""),"Shaping your future in the (former) Valley of the Unaware")</f>
        <v>Shaping your future in the (former) Valley of the Unaware</v>
      </c>
      <c r="B93" s="4" t="str">
        <f>IFERROR(__xludf.DUMMYFUNCTION("""COMPUTED_VALUE"""),"CEO of Wandelbots discusses how the company developed a wearable sensor-laden suit that enables users to demonstrate actions for a robot to replicate.")</f>
        <v>CEO of Wandelbots discusses how the company developed a wearable sensor-laden suit that enables users to demonstrate actions for a robot to replicate.</v>
      </c>
      <c r="C93" s="4" t="str">
        <f>IFERROR(__xludf.DUMMYFUNCTION("""COMPUTED_VALUE"""),"Growth Summit")</f>
        <v>Growth Summit</v>
      </c>
      <c r="D93" s="4" t="str">
        <f>IFERROR(__xludf.DUMMYFUNCTION("""COMPUTED_VALUE"""),"Christian Piechnick")</f>
        <v>Christian Piechnick</v>
      </c>
      <c r="E93" s="4" t="str">
        <f>IFERROR(__xludf.DUMMYFUNCTION("""COMPUTED_VALUE"""),"Christian Piechnick")</f>
        <v>Christian Piechnick</v>
      </c>
      <c r="F93" s="4" t="str">
        <f>IFERROR(__xludf.DUMMYFUNCTION("""COMPUTED_VALUE"""),"2019/11/06 10:18:00")</f>
        <v>2019/11/06 10:18:00</v>
      </c>
      <c r="G93" s="4" t="str">
        <f>IFERROR(__xludf.DUMMYFUNCTION("""COMPUTED_VALUE"""),"2019/11/06 10:22:00")</f>
        <v>2019/11/06 10:22:00</v>
      </c>
      <c r="H93" s="4" t="str">
        <f>IFERROR(__xludf.DUMMYFUNCTION("""COMPUTED_VALUE"""),"8de81090-a58e-4170-81aa-981df312797f")</f>
        <v>8de81090-a58e-4170-81aa-981df312797f</v>
      </c>
      <c r="I93" s="4" t="str">
        <f>IFERROR(__xludf.DUMMYFUNCTION("""COMPUTED_VALUE"""),"8de81090-a58e-4170-81aa-981df312797f")</f>
        <v>8de81090-a58e-4170-81aa-981df312797f</v>
      </c>
    </row>
    <row r="94">
      <c r="A94" s="4" t="str">
        <f>IFERROR(__xludf.DUMMYFUNCTION("""COMPUTED_VALUE"""),"Adjusting communication to grow an online business")</f>
        <v>Adjusting communication to grow an online business</v>
      </c>
      <c r="B94" s="4" t="str">
        <f>IFERROR(__xludf.DUMMYFUNCTION("""COMPUTED_VALUE"""),"User.com co-founder Mike Korba will discuss adjusting communication to grow an online business")</f>
        <v>User.com co-founder Mike Korba will discuss adjusting communication to grow an online business</v>
      </c>
      <c r="C94" s="4" t="str">
        <f>IFERROR(__xludf.DUMMYFUNCTION("""COMPUTED_VALUE"""),"Growth Summit")</f>
        <v>Growth Summit</v>
      </c>
      <c r="D94" s="4" t="str">
        <f>IFERROR(__xludf.DUMMYFUNCTION("""COMPUTED_VALUE"""),"Mike Korba")</f>
        <v>Mike Korba</v>
      </c>
      <c r="E94" s="4" t="str">
        <f>IFERROR(__xludf.DUMMYFUNCTION("""COMPUTED_VALUE"""),"Mike Korba")</f>
        <v>Mike Korba</v>
      </c>
      <c r="F94" s="4" t="str">
        <f>IFERROR(__xludf.DUMMYFUNCTION("""COMPUTED_VALUE"""),"2019/11/07 10:10:00")</f>
        <v>2019/11/07 10:10:00</v>
      </c>
      <c r="G94" s="4" t="str">
        <f>IFERROR(__xludf.DUMMYFUNCTION("""COMPUTED_VALUE"""),"2019/11/07 10:14:00")</f>
        <v>2019/11/07 10:14:00</v>
      </c>
      <c r="H94" s="4" t="str">
        <f>IFERROR(__xludf.DUMMYFUNCTION("""COMPUTED_VALUE"""),"52c21009-658c-4a74-89a4-f78368887196")</f>
        <v>52c21009-658c-4a74-89a4-f78368887196</v>
      </c>
      <c r="I94" s="4" t="str">
        <f>IFERROR(__xludf.DUMMYFUNCTION("""COMPUTED_VALUE"""),"52c21009-658c-4a74-89a4-f78368887196")</f>
        <v>52c21009-658c-4a74-89a4-f78368887196</v>
      </c>
    </row>
    <row r="95">
      <c r="A95" s="4" t="str">
        <f>IFERROR(__xludf.DUMMYFUNCTION("""COMPUTED_VALUE"""),"Opening remarks")</f>
        <v>Opening remarks</v>
      </c>
      <c r="B95" s="4" t="str">
        <f>IFERROR(__xludf.DUMMYFUNCTION("""COMPUTED_VALUE"""),"")</f>
        <v/>
      </c>
      <c r="C95" s="4" t="str">
        <f>IFERROR(__xludf.DUMMYFUNCTION("""COMPUTED_VALUE"""),"planet:tech ")</f>
        <v>planet:tech </v>
      </c>
      <c r="D95" s="4" t="str">
        <f>IFERROR(__xludf.DUMMYFUNCTION("""COMPUTED_VALUE"""),"Caroline Venza")</f>
        <v>Caroline Venza</v>
      </c>
      <c r="E95" s="4" t="str">
        <f>IFERROR(__xludf.DUMMYFUNCTION("""COMPUTED_VALUE"""),"Caroline Venza")</f>
        <v>Caroline Venza</v>
      </c>
      <c r="F95" s="4" t="str">
        <f>IFERROR(__xludf.DUMMYFUNCTION("""COMPUTED_VALUE"""),"2019/11/05 14:20:00")</f>
        <v>2019/11/05 14:20:00</v>
      </c>
      <c r="G95" s="4" t="str">
        <f>IFERROR(__xludf.DUMMYFUNCTION("""COMPUTED_VALUE"""),"2019/11/05 14:35:00")</f>
        <v>2019/11/05 14:35:00</v>
      </c>
      <c r="H95" s="4" t="str">
        <f>IFERROR(__xludf.DUMMYFUNCTION("""COMPUTED_VALUE"""),"a31a5083-bf9c-4ad9-a8ea-fe20e825f116")</f>
        <v>a31a5083-bf9c-4ad9-a8ea-fe20e825f116</v>
      </c>
      <c r="I95" s="4" t="str">
        <f>IFERROR(__xludf.DUMMYFUNCTION("""COMPUTED_VALUE"""),"a31a5083-bf9c-4ad9-a8ea-fe20e825f116")</f>
        <v>a31a5083-bf9c-4ad9-a8ea-fe20e825f116</v>
      </c>
    </row>
    <row r="96">
      <c r="A96" s="4" t="str">
        <f>IFERROR(__xludf.DUMMYFUNCTION("""COMPUTED_VALUE"""),"Own Your Data to protect democracy - Press conference with Brittany Kaiser, Own Your Data")</f>
        <v>Own Your Data to protect democracy - Press conference with Brittany Kaiser, Own Your Data</v>
      </c>
      <c r="B96" s="4" t="str">
        <f>IFERROR(__xludf.DUMMYFUNCTION("""COMPUTED_VALUE"""),"")</f>
        <v/>
      </c>
      <c r="C96" s="4" t="str">
        <f>IFERROR(__xludf.DUMMYFUNCTION("""COMPUTED_VALUE"""),"")</f>
        <v/>
      </c>
      <c r="D96" s="4" t="str">
        <f>IFERROR(__xludf.DUMMYFUNCTION("""COMPUTED_VALUE"""),"Brittany Kaiser")</f>
        <v>Brittany Kaiser</v>
      </c>
      <c r="E96" s="4" t="str">
        <f>IFERROR(__xludf.DUMMYFUNCTION("""COMPUTED_VALUE"""),"Brittany Kaiser")</f>
        <v>Brittany Kaiser</v>
      </c>
      <c r="F96" s="4" t="str">
        <f>IFERROR(__xludf.DUMMYFUNCTION("""COMPUTED_VALUE"""),"")</f>
        <v/>
      </c>
      <c r="G96" s="4" t="str">
        <f>IFERROR(__xludf.DUMMYFUNCTION("""COMPUTED_VALUE"""),"")</f>
        <v/>
      </c>
      <c r="H96" s="4" t="str">
        <f>IFERROR(__xludf.DUMMYFUNCTION("""COMPUTED_VALUE"""),"5f5acf6a-a9e2-5211-8ffa-1e9af3f793f7")</f>
        <v>5f5acf6a-a9e2-5211-8ffa-1e9af3f793f7</v>
      </c>
      <c r="I96" s="4" t="str">
        <f>IFERROR(__xludf.DUMMYFUNCTION("""COMPUTED_VALUE"""),"5f5acf6a-a9e2-5211-8ffa-1e9af3f793f7")</f>
        <v>5f5acf6a-a9e2-5211-8ffa-1e9af3f793f7</v>
      </c>
    </row>
    <row r="97">
      <c r="A97" s="4" t="str">
        <f>IFERROR(__xludf.DUMMYFUNCTION("""COMPUTED_VALUE"""),"InvestEU for innovative companies in education and culture, hosted by European Commission")</f>
        <v>InvestEU for innovative companies in education and culture, hosted by European Commission</v>
      </c>
      <c r="B97" s="4" t="str">
        <f>IFERROR(__xludf.DUMMYFUNCTION("""COMPUTED_VALUE"""),"InvestEU aims at triggering at least €650 billion in additional investment to boost jobs and growth. It offers a budget guarantee to investment in sustainable infrastructure; research, innovation, and digitalisation; SMEs; as well as social investment and"&amp;" skills.
The workshop will present how the InvestEU programme works, with a particular focus on the support for education and culture. Participants will interact with panellists who have a long experience in debt and equity financing.")</f>
        <v>InvestEU aims at triggering at least €650 billion in additional investment to boost jobs and growth. It offers a budget guarantee to investment in sustainable infrastructure; research, innovation, and digitalisation; SMEs; as well as social investment and skills.
The workshop will present how the InvestEU programme works, with a particular focus on the support for education and culture. Participants will interact with panellists who have a long experience in debt and equity financing.</v>
      </c>
      <c r="C97" s="4" t="str">
        <f>IFERROR(__xludf.DUMMYFUNCTION("""COMPUTED_VALUE"""),"Workshop 2")</f>
        <v>Workshop 2</v>
      </c>
      <c r="D97" s="4" t="str">
        <f>IFERROR(__xludf.DUMMYFUNCTION("""COMPUTED_VALUE"""),"Rossella Cravetto")</f>
        <v>Rossella Cravetto</v>
      </c>
      <c r="E97" s="4" t="str">
        <f>IFERROR(__xludf.DUMMYFUNCTION("""COMPUTED_VALUE"""),"Rossella Cravetto")</f>
        <v>Rossella Cravetto</v>
      </c>
      <c r="F97" s="4" t="str">
        <f>IFERROR(__xludf.DUMMYFUNCTION("""COMPUTED_VALUE"""),"2019/11/07 12:00:00")</f>
        <v>2019/11/07 12:00:00</v>
      </c>
      <c r="G97" s="4" t="str">
        <f>IFERROR(__xludf.DUMMYFUNCTION("""COMPUTED_VALUE"""),"2019/11/07 12:45:00")</f>
        <v>2019/11/07 12:45:00</v>
      </c>
      <c r="H97" s="4" t="str">
        <f>IFERROR(__xludf.DUMMYFUNCTION("""COMPUTED_VALUE"""),"c075bce1-a1ca-407b-b9fd-908c5eb1a1d2")</f>
        <v>c075bce1-a1ca-407b-b9fd-908c5eb1a1d2</v>
      </c>
      <c r="I97" s="4" t="str">
        <f>IFERROR(__xludf.DUMMYFUNCTION("""COMPUTED_VALUE"""),"c075bce1-a1ca-407b-b9fd-908c5eb1a1d2")</f>
        <v>c075bce1-a1ca-407b-b9fd-908c5eb1a1d2</v>
      </c>
    </row>
    <row r="98">
      <c r="A98" s="4" t="str">
        <f>IFERROR(__xludf.DUMMYFUNCTION("""COMPUTED_VALUE"""),"PITCH group round 9")</f>
        <v>PITCH group round 9</v>
      </c>
      <c r="B98" s="4" t="str">
        <f>IFERROR(__xludf.DUMMYFUNCTION("""COMPUTED_VALUE"""),"")</f>
        <v/>
      </c>
      <c r="C98" s="4" t="str">
        <f>IFERROR(__xludf.DUMMYFUNCTION("""COMPUTED_VALUE"""),"")</f>
        <v/>
      </c>
      <c r="D98" s="4" t="str">
        <f>IFERROR(__xludf.DUMMYFUNCTION("""COMPUTED_VALUE"""),"Maya Horgan Famodu,  Christian Knott,  Felix Buggenthin,  Mohan Ram,  Gijs den Hartog,  Eyal Sheinholtz,  Joanna Yein Song,  Danica Damljanovic,  Rafal Witkowski,  andrea baldini,  Sergey Soloboev,  Egor Pchelnikov and  Samuel Lathey
")</f>
        <v>Maya Horgan Famodu,  Christian Knott,  Felix Buggenthin,  Mohan Ram,  Gijs den Hartog,  Eyal Sheinholtz,  Joanna Yein Song,  Danica Damljanovic,  Rafal Witkowski,  andrea baldini,  Sergey Soloboev,  Egor Pchelnikov and  Samuel Lathey
</v>
      </c>
      <c r="E98" s="4" t="str">
        <f>IFERROR(__xludf.DUMMYFUNCTION("""COMPUTED_VALUE"""),"Maya Horgan Famodu, Christian Knott, Felix Buggenthin, Mohan Ram, Gijs den Hartog, Eyal Sheinholtz, Joanna Yein Song, Danica Damljanovic, Rafal Witkowski, andrea baldini, Sergey Soloboev, Egor Pchelnikov, Samuel Lathey
")</f>
        <v>Maya Horgan Famodu, Christian Knott, Felix Buggenthin, Mohan Ram, Gijs den Hartog, Eyal Sheinholtz, Joanna Yein Song, Danica Damljanovic, Rafal Witkowski, andrea baldini, Sergey Soloboev, Egor Pchelnikov, Samuel Lathey
</v>
      </c>
      <c r="F98" s="4" t="str">
        <f>IFERROR(__xludf.DUMMYFUNCTION("""COMPUTED_VALUE"""),"")</f>
        <v/>
      </c>
      <c r="G98" s="4" t="str">
        <f>IFERROR(__xludf.DUMMYFUNCTION("""COMPUTED_VALUE"""),"")</f>
        <v/>
      </c>
      <c r="H98" s="4" t="str">
        <f>IFERROR(__xludf.DUMMYFUNCTION("""COMPUTED_VALUE"""),"e4d362cb-c518-51bf-ab09-f7cfc842e036")</f>
        <v>e4d362cb-c518-51bf-ab09-f7cfc842e036</v>
      </c>
      <c r="I98" s="4" t="str">
        <f>IFERROR(__xludf.DUMMYFUNCTION("""COMPUTED_VALUE"""),"e4d362cb-c518-51bf-ab09-f7cfc842e036")</f>
        <v>e4d362cb-c518-51bf-ab09-f7cfc842e036</v>
      </c>
    </row>
    <row r="99">
      <c r="A99" s="4" t="str">
        <f>IFERROR(__xludf.DUMMYFUNCTION("""COMPUTED_VALUE"""),"Breaking device boundaries with EMUI distributed technology, hosted by Huawei")</f>
        <v>Breaking device boundaries with EMUI distributed technology, hosted by Huawei</v>
      </c>
      <c r="B99" s="4" t="str">
        <f>IFERROR(__xludf.DUMMYFUNCTION("""COMPUTED_VALUE"""),"Introduction of the APIs that you can integrate Huawei device technologies into your apps, to help make your innovations more efficient.")</f>
        <v>Introduction of the APIs that you can integrate Huawei device technologies into your apps, to help make your innovations more efficient.</v>
      </c>
      <c r="C99" s="4" t="str">
        <f>IFERROR(__xludf.DUMMYFUNCTION("""COMPUTED_VALUE"""),"Workshop 1")</f>
        <v>Workshop 1</v>
      </c>
      <c r="D99" s="4" t="str">
        <f>IFERROR(__xludf.DUMMYFUNCTION("""COMPUTED_VALUE"""),"")</f>
        <v/>
      </c>
      <c r="E99" s="4" t="str">
        <f>IFERROR(__xludf.DUMMYFUNCTION("""COMPUTED_VALUE"""),"")</f>
        <v/>
      </c>
      <c r="F99" s="4" t="str">
        <f>IFERROR(__xludf.DUMMYFUNCTION("""COMPUTED_VALUE"""),"2019/11/05 15:10:00")</f>
        <v>2019/11/05 15:10:00</v>
      </c>
      <c r="G99" s="4" t="str">
        <f>IFERROR(__xludf.DUMMYFUNCTION("""COMPUTED_VALUE"""),"2019/11/05 15:35:00")</f>
        <v>2019/11/05 15:35:00</v>
      </c>
      <c r="H99" s="4" t="str">
        <f>IFERROR(__xludf.DUMMYFUNCTION("""COMPUTED_VALUE"""),"d4cbf248-8fff-4f44-a946-f3d6f18f7a08")</f>
        <v>d4cbf248-8fff-4f44-a946-f3d6f18f7a08</v>
      </c>
      <c r="I99" s="4" t="str">
        <f>IFERROR(__xludf.DUMMYFUNCTION("""COMPUTED_VALUE"""),"d4cbf248-8fff-4f44-a946-f3d6f18f7a08")</f>
        <v>d4cbf248-8fff-4f44-a946-f3d6f18f7a08</v>
      </c>
    </row>
    <row r="100">
      <c r="A100" s="4" t="str">
        <f>IFERROR(__xludf.DUMMYFUNCTION("""COMPUTED_VALUE"""),"Opening remarks")</f>
        <v>Opening remarks</v>
      </c>
      <c r="B100" s="4" t="str">
        <f>IFERROR(__xludf.DUMMYFUNCTION("""COMPUTED_VALUE"""),"")</f>
        <v/>
      </c>
      <c r="C100" s="4" t="str">
        <f>IFERROR(__xludf.DUMMYFUNCTION("""COMPUTED_VALUE"""),"Venture stage")</f>
        <v>Venture stage</v>
      </c>
      <c r="D100" s="4" t="str">
        <f>IFERROR(__xludf.DUMMYFUNCTION("""COMPUTED_VALUE"""),"Yamilette Cano")</f>
        <v>Yamilette Cano</v>
      </c>
      <c r="E100" s="4" t="str">
        <f>IFERROR(__xludf.DUMMYFUNCTION("""COMPUTED_VALUE"""),"Yamilette Cano")</f>
        <v>Yamilette Cano</v>
      </c>
      <c r="F100" s="4" t="str">
        <f>IFERROR(__xludf.DUMMYFUNCTION("""COMPUTED_VALUE"""),"2019/11/06 13:35:00")</f>
        <v>2019/11/06 13:35:00</v>
      </c>
      <c r="G100" s="4" t="str">
        <f>IFERROR(__xludf.DUMMYFUNCTION("""COMPUTED_VALUE"""),"2019/11/06 13:45:00")</f>
        <v>2019/11/06 13:45:00</v>
      </c>
      <c r="H100" s="4" t="str">
        <f>IFERROR(__xludf.DUMMYFUNCTION("""COMPUTED_VALUE"""),"52f8302a-b9fc-4eab-bc24-3bfcd49e430d")</f>
        <v>52f8302a-b9fc-4eab-bc24-3bfcd49e430d</v>
      </c>
      <c r="I100" s="4" t="str">
        <f>IFERROR(__xludf.DUMMYFUNCTION("""COMPUTED_VALUE"""),"52f8302a-b9fc-4eab-bc24-3bfcd49e430d")</f>
        <v>52f8302a-b9fc-4eab-bc24-3bfcd49e430d</v>
      </c>
    </row>
    <row r="101">
      <c r="A101" s="4" t="str">
        <f>IFERROR(__xludf.DUMMYFUNCTION("""COMPUTED_VALUE"""),"Our future doesn't have to be a boring dystopia")</f>
        <v>Our future doesn't have to be a boring dystopia</v>
      </c>
      <c r="B101" s="4" t="str">
        <f>IFERROR(__xludf.DUMMYFUNCTION("""COMPUTED_VALUE"""),"If you sometimes feel like we're headed toward a very dull dystopia, you're not alone. In this panel, we'll discuss what the future might look like, without the misery.")</f>
        <v>If you sometimes feel like we're headed toward a very dull dystopia, you're not alone. In this panel, we'll discuss what the future might look like, without the misery.</v>
      </c>
      <c r="C101" s="4" t="str">
        <f>IFERROR(__xludf.DUMMYFUNCTION("""COMPUTED_VALUE"""),"Auto/Tech &amp; TalkRobot")</f>
        <v>Auto/Tech &amp; TalkRobot</v>
      </c>
      <c r="D101" s="4" t="str">
        <f>IFERROR(__xludf.DUMMYFUNCTION("""COMPUTED_VALUE"""),"Falon Fatemi, Wendy Queen, Fouzia Adjailia and Emil Protalinski")</f>
        <v>Falon Fatemi, Wendy Queen, Fouzia Adjailia and Emil Protalinski</v>
      </c>
      <c r="E101" s="4" t="str">
        <f>IFERROR(__xludf.DUMMYFUNCTION("""COMPUTED_VALUE"""),"Falon Fatemi,Wendy Queen,Fouzia Adjailia,Emil Protalinski")</f>
        <v>Falon Fatemi,Wendy Queen,Fouzia Adjailia,Emil Protalinski</v>
      </c>
      <c r="F101" s="4" t="str">
        <f>IFERROR(__xludf.DUMMYFUNCTION("""COMPUTED_VALUE"""),"2019/11/05 15:25:00")</f>
        <v>2019/11/05 15:25:00</v>
      </c>
      <c r="G101" s="4" t="str">
        <f>IFERROR(__xludf.DUMMYFUNCTION("""COMPUTED_VALUE"""),"2019/11/05 15:45:00")</f>
        <v>2019/11/05 15:45:00</v>
      </c>
      <c r="H101" s="4" t="str">
        <f>IFERROR(__xludf.DUMMYFUNCTION("""COMPUTED_VALUE"""),"1a5a3ff0-7fd7-439c-bf0c-160aeec22399")</f>
        <v>1a5a3ff0-7fd7-439c-bf0c-160aeec22399</v>
      </c>
      <c r="I101" s="4" t="str">
        <f>IFERROR(__xludf.DUMMYFUNCTION("""COMPUTED_VALUE"""),"1a5a3ff0-7fd7-439c-bf0c-160aeec22399")</f>
        <v>1a5a3ff0-7fd7-439c-bf0c-160aeec22399</v>
      </c>
    </row>
    <row r="102">
      <c r="A102" s="4" t="str">
        <f>IFERROR(__xludf.DUMMYFUNCTION("""COMPUTED_VALUE"""),"From newcomers to leaders: How Red Points is disrupting the fight against fakes")</f>
        <v>From newcomers to leaders: How Red Points is disrupting the fight against fakes</v>
      </c>
      <c r="B102" s="4" t="str">
        <f>IFERROR(__xludf.DUMMYFUNCTION("""COMPUTED_VALUE"""),"Laura, CEO of Red Points, will be discussing how the company has become the fastest growing intellectual property SaaS solution by leveraging technology to support brands worldwide as they fight against fakes online.")</f>
        <v>Laura, CEO of Red Points, will be discussing how the company has become the fastest growing intellectual property SaaS solution by leveraging technology to support brands worldwide as they fight against fakes online.</v>
      </c>
      <c r="C102" s="4" t="str">
        <f>IFERROR(__xludf.DUMMYFUNCTION("""COMPUTED_VALUE"""),"Growth Summit")</f>
        <v>Growth Summit</v>
      </c>
      <c r="D102" s="4" t="str">
        <f>IFERROR(__xludf.DUMMYFUNCTION("""COMPUTED_VALUE"""),"Laura Urquizu")</f>
        <v>Laura Urquizu</v>
      </c>
      <c r="E102" s="4" t="str">
        <f>IFERROR(__xludf.DUMMYFUNCTION("""COMPUTED_VALUE"""),"Laura Urquizu")</f>
        <v>Laura Urquizu</v>
      </c>
      <c r="F102" s="4" t="str">
        <f>IFERROR(__xludf.DUMMYFUNCTION("""COMPUTED_VALUE"""),"2019/11/05 16:10:00")</f>
        <v>2019/11/05 16:10:00</v>
      </c>
      <c r="G102" s="4" t="str">
        <f>IFERROR(__xludf.DUMMYFUNCTION("""COMPUTED_VALUE"""),"2019/11/05 16:21:00")</f>
        <v>2019/11/05 16:21:00</v>
      </c>
      <c r="H102" s="4" t="str">
        <f>IFERROR(__xludf.DUMMYFUNCTION("""COMPUTED_VALUE"""),"b107bcfd-78d1-469e-b998-6d5efffc0b14")</f>
        <v>b107bcfd-78d1-469e-b998-6d5efffc0b14</v>
      </c>
      <c r="I102" s="4" t="str">
        <f>IFERROR(__xludf.DUMMYFUNCTION("""COMPUTED_VALUE"""),"b107bcfd-78d1-469e-b998-6d5efffc0b14")</f>
        <v>b107bcfd-78d1-469e-b998-6d5efffc0b14</v>
      </c>
    </row>
    <row r="103">
      <c r="A103" s="4" t="str">
        <f>IFERROR(__xludf.DUMMYFUNCTION("""COMPUTED_VALUE"""),"What's in store for retail? The era of experience")</f>
        <v>What's in store for retail? The era of experience</v>
      </c>
      <c r="B103" s="4" t="str">
        <f>IFERROR(__xludf.DUMMYFUNCTION("""COMPUTED_VALUE"""),"Our next panel recognise the importance of tangible experiences. Join them as they discuss how human connections and memorable moments may just be the key to saving traditional retail. ")</f>
        <v>Our next panel recognise the importance of tangible experiences. Join them as they discuss how human connections and memorable moments may just be the key to saving traditional retail. </v>
      </c>
      <c r="C103" s="4" t="str">
        <f>IFERROR(__xludf.DUMMYFUNCTION("""COMPUTED_VALUE"""),"Modum")</f>
        <v>Modum</v>
      </c>
      <c r="D103" s="4" t="str">
        <f>IFERROR(__xludf.DUMMYFUNCTION("""COMPUTED_VALUE"""),"Annia Spiliopoulos, Annastasia Seebohm and Alex Deane")</f>
        <v>Annia Spiliopoulos, Annastasia Seebohm and Alex Deane</v>
      </c>
      <c r="E103" s="4" t="str">
        <f>IFERROR(__xludf.DUMMYFUNCTION("""COMPUTED_VALUE"""),"Annia Spiliopoulos,Annastasia Seebohm,Alex Deane")</f>
        <v>Annia Spiliopoulos,Annastasia Seebohm,Alex Deane</v>
      </c>
      <c r="F103" s="4" t="str">
        <f>IFERROR(__xludf.DUMMYFUNCTION("""COMPUTED_VALUE"""),"2019/11/07 13:00:00")</f>
        <v>2019/11/07 13:00:00</v>
      </c>
      <c r="G103" s="4" t="str">
        <f>IFERROR(__xludf.DUMMYFUNCTION("""COMPUTED_VALUE"""),"2019/11/07 13:20:00")</f>
        <v>2019/11/07 13:20:00</v>
      </c>
      <c r="H103" s="4" t="str">
        <f>IFERROR(__xludf.DUMMYFUNCTION("""COMPUTED_VALUE"""),"11d33255-a863-4df8-8e46-9b07ab1fdd54")</f>
        <v>11d33255-a863-4df8-8e46-9b07ab1fdd54</v>
      </c>
      <c r="I103" s="4" t="str">
        <f>IFERROR(__xludf.DUMMYFUNCTION("""COMPUTED_VALUE"""),"11d33255-a863-4df8-8e46-9b07ab1fdd54")</f>
        <v>11d33255-a863-4df8-8e46-9b07ab1fdd54</v>
      </c>
    </row>
    <row r="104">
      <c r="A104" s="4" t="str">
        <f>IFERROR(__xludf.DUMMYFUNCTION("""COMPUTED_VALUE"""),"Lean In Circles: The power of sisterhood to build inclusive technology and fight bias, hosted by Lean In Women In Tech Lisbon")</f>
        <v>Lean In Circles: The power of sisterhood to build inclusive technology and fight bias, hosted by Lean In Women In Tech Lisbon</v>
      </c>
      <c r="B104" s="4" t="str">
        <f>IFERROR(__xludf.DUMMYFUNCTION("""COMPUTED_VALUE"""),"We believe there is a need for diversity and inclusion in the tech space, and we are here to help bridge the gap! We will have a Lean In Circle for women who want to explore unconscious biases and different ways to overcome them in a safe and supportive s"&amp;"pace. Lean in circles are places for exchanging experiences and supporting each other to become our best selves. After participation, you will be inspired and empowered to take the next step towards your goals. Together we can create the change!")</f>
        <v>We believe there is a need for diversity and inclusion in the tech space, and we are here to help bridge the gap! We will have a Lean In Circle for women who want to explore unconscious biases and different ways to overcome them in a safe and supportive space. Lean in circles are places for exchanging experiences and supporting each other to become our best selves. After participation, you will be inspired and empowered to take the next step towards your goals. Together we can create the change!</v>
      </c>
      <c r="C104" s="4" t="str">
        <f>IFERROR(__xludf.DUMMYFUNCTION("""COMPUTED_VALUE"""),"Workshop 1")</f>
        <v>Workshop 1</v>
      </c>
      <c r="D104" s="4" t="str">
        <f>IFERROR(__xludf.DUMMYFUNCTION("""COMPUTED_VALUE"""),"Stela Suils Cuesta, Adriana Camilleri, Melissa Romero, Amel Murphy, Barbara Lampl, Netta Nevalainen and Anni Rautio")</f>
        <v>Stela Suils Cuesta, Adriana Camilleri, Melissa Romero, Amel Murphy, Barbara Lampl, Netta Nevalainen and Anni Rautio</v>
      </c>
      <c r="E104" s="4" t="str">
        <f>IFERROR(__xludf.DUMMYFUNCTION("""COMPUTED_VALUE"""),"Stela Suils Cuesta,Adriana Camilleri,Melissa Romero,Amel Murphy,Barbara Lampl,Netta Nevalainen,Anni Rautio")</f>
        <v>Stela Suils Cuesta,Adriana Camilleri,Melissa Romero,Amel Murphy,Barbara Lampl,Netta Nevalainen,Anni Rautio</v>
      </c>
      <c r="F104" s="4" t="str">
        <f>IFERROR(__xludf.DUMMYFUNCTION("""COMPUTED_VALUE"""),"2019/11/07 10:00:00")</f>
        <v>2019/11/07 10:00:00</v>
      </c>
      <c r="G104" s="4" t="str">
        <f>IFERROR(__xludf.DUMMYFUNCTION("""COMPUTED_VALUE"""),"2019/11/07 11:15:00")</f>
        <v>2019/11/07 11:15:00</v>
      </c>
      <c r="H104" s="4" t="str">
        <f>IFERROR(__xludf.DUMMYFUNCTION("""COMPUTED_VALUE"""),"e8a54f60-d296-49ce-bb7f-ce1fec306ce1")</f>
        <v>e8a54f60-d296-49ce-bb7f-ce1fec306ce1</v>
      </c>
      <c r="I104" s="4" t="str">
        <f>IFERROR(__xludf.DUMMYFUNCTION("""COMPUTED_VALUE"""),"e8a54f60-d296-49ce-bb7f-ce1fec306ce1")</f>
        <v>e8a54f60-d296-49ce-bb7f-ce1fec306ce1</v>
      </c>
    </row>
    <row r="105">
      <c r="A105" s="4" t="str">
        <f>IFERROR(__xludf.DUMMYFUNCTION("""COMPUTED_VALUE"""),"Taking your fare to the air: The flying taxi's new reality")</f>
        <v>Taking your fare to the air: The flying taxi's new reality</v>
      </c>
      <c r="B105" s="4" t="str">
        <f>IFERROR(__xludf.DUMMYFUNCTION("""COMPUTED_VALUE"""),"Never mind hailing a cab on the roadside- it's all about the sky now.")</f>
        <v>Never mind hailing a cab on the roadside- it's all about the sky now.</v>
      </c>
      <c r="C105" s="4" t="str">
        <f>IFERROR(__xludf.DUMMYFUNCTION("""COMPUTED_VALUE"""),"Auto/Tech &amp; TalkRobot")</f>
        <v>Auto/Tech &amp; TalkRobot</v>
      </c>
      <c r="D105" s="4" t="str">
        <f>IFERROR(__xludf.DUMMYFUNCTION("""COMPUTED_VALUE"""),"Daniel Wiegand and Steve Ranger")</f>
        <v>Daniel Wiegand and Steve Ranger</v>
      </c>
      <c r="E105" s="4" t="str">
        <f>IFERROR(__xludf.DUMMYFUNCTION("""COMPUTED_VALUE"""),"Daniel Wiegand,Steve Ranger")</f>
        <v>Daniel Wiegand,Steve Ranger</v>
      </c>
      <c r="F105" s="4" t="str">
        <f>IFERROR(__xludf.DUMMYFUNCTION("""COMPUTED_VALUE"""),"2019/11/06 15:40:00")</f>
        <v>2019/11/06 15:40:00</v>
      </c>
      <c r="G105" s="4" t="str">
        <f>IFERROR(__xludf.DUMMYFUNCTION("""COMPUTED_VALUE"""),"2019/11/06 16:00:00")</f>
        <v>2019/11/06 16:00:00</v>
      </c>
      <c r="H105" s="4" t="str">
        <f>IFERROR(__xludf.DUMMYFUNCTION("""COMPUTED_VALUE"""),"57c773b4-debd-417b-90eb-ed96a3e269f9")</f>
        <v>57c773b4-debd-417b-90eb-ed96a3e269f9</v>
      </c>
      <c r="I105" s="4" t="str">
        <f>IFERROR(__xludf.DUMMYFUNCTION("""COMPUTED_VALUE"""),"57c773b4-debd-417b-90eb-ed96a3e269f9")</f>
        <v>57c773b4-debd-417b-90eb-ed96a3e269f9</v>
      </c>
    </row>
    <row r="106">
      <c r="A106" s="4" t="str">
        <f>IFERROR(__xludf.DUMMYFUNCTION("""COMPUTED_VALUE"""),"Healthtech and VC: The narrowing divide")</f>
        <v>Healthtech and VC: The narrowing divide</v>
      </c>
      <c r="B106" s="4" t="str">
        <f>IFERROR(__xludf.DUMMYFUNCTION("""COMPUTED_VALUE"""),"Venture capital money is flowing into health, med tech and life sciences. Meanwhile tech platforms are disrupting the consumer experience in the health industry. How can VCs work with the biggest players in the field? ")</f>
        <v>Venture capital money is flowing into health, med tech and life sciences. Meanwhile tech platforms are disrupting the consumer experience in the health industry. How can VCs work with the biggest players in the field? </v>
      </c>
      <c r="C106" s="4" t="str">
        <f>IFERROR(__xludf.DUMMYFUNCTION("""COMPUTED_VALUE"""),"Venture stage")</f>
        <v>Venture stage</v>
      </c>
      <c r="D106" s="4" t="str">
        <f>IFERROR(__xludf.DUMMYFUNCTION("""COMPUTED_VALUE"""),"Dirk Kersten, Min Hu, John Zibert, Marc Rougier and Lu Zhang")</f>
        <v>Dirk Kersten, Min Hu, John Zibert, Marc Rougier and Lu Zhang</v>
      </c>
      <c r="E106" s="4" t="str">
        <f>IFERROR(__xludf.DUMMYFUNCTION("""COMPUTED_VALUE"""),"Dirk Kersten,Min Hu,John Zibert,Marc Rougier,Lu Zhang")</f>
        <v>Dirk Kersten,Min Hu,John Zibert,Marc Rougier,Lu Zhang</v>
      </c>
      <c r="F106" s="4" t="str">
        <f>IFERROR(__xludf.DUMMYFUNCTION("""COMPUTED_VALUE"""),"2019/11/07 11:55:00")</f>
        <v>2019/11/07 11:55:00</v>
      </c>
      <c r="G106" s="4" t="str">
        <f>IFERROR(__xludf.DUMMYFUNCTION("""COMPUTED_VALUE"""),"2019/11/07 12:20:00")</f>
        <v>2019/11/07 12:20:00</v>
      </c>
      <c r="H106" s="4" t="str">
        <f>IFERROR(__xludf.DUMMYFUNCTION("""COMPUTED_VALUE"""),"24f4b41a-c145-4ea8-ae61-2937b8b63771")</f>
        <v>24f4b41a-c145-4ea8-ae61-2937b8b63771</v>
      </c>
      <c r="I106" s="4" t="str">
        <f>IFERROR(__xludf.DUMMYFUNCTION("""COMPUTED_VALUE"""),"24f4b41a-c145-4ea8-ae61-2937b8b63771")</f>
        <v>24f4b41a-c145-4ea8-ae61-2937b8b63771</v>
      </c>
    </row>
    <row r="107">
      <c r="A107" s="4" t="str">
        <f>IFERROR(__xludf.DUMMYFUNCTION("""COMPUTED_VALUE"""),"David partnering Goliath: How startups should think at partnerships")</f>
        <v>David partnering Goliath: How startups should think at partnerships</v>
      </c>
      <c r="B107" s="4" t="str">
        <f>IFERROR(__xludf.DUMMYFUNCTION("""COMPUTED_VALUE"""),"Francesco Simoneschi, CEO and co-founder of Europe's leading financial API provider TrueLayer, discusses how building a network of partnerships is a critical and often overlooked part of a startup's journey. Using TrueLayer's story of working with banks, "&amp;"fintechs and regulators to successfully build and refine its products, Francesco will cover the strategy and factors all startups should consider when building and maintaining their partnership network.")</f>
        <v>Francesco Simoneschi, CEO and co-founder of Europe's leading financial API provider TrueLayer, discusses how building a network of partnerships is a critical and often overlooked part of a startup's journey. Using TrueLayer's story of working with banks, fintechs and regulators to successfully build and refine its products, Francesco will cover the strategy and factors all startups should consider when building and maintaining their partnership network.</v>
      </c>
      <c r="C107" s="4" t="str">
        <f>IFERROR(__xludf.DUMMYFUNCTION("""COMPUTED_VALUE"""),"Growth Summit")</f>
        <v>Growth Summit</v>
      </c>
      <c r="D107" s="4" t="str">
        <f>IFERROR(__xludf.DUMMYFUNCTION("""COMPUTED_VALUE"""),"Francesco Simoneschi")</f>
        <v>Francesco Simoneschi</v>
      </c>
      <c r="E107" s="4" t="str">
        <f>IFERROR(__xludf.DUMMYFUNCTION("""COMPUTED_VALUE"""),"Francesco Simoneschi")</f>
        <v>Francesco Simoneschi</v>
      </c>
      <c r="F107" s="4" t="str">
        <f>IFERROR(__xludf.DUMMYFUNCTION("""COMPUTED_VALUE"""),"2019/11/05 14:20:00")</f>
        <v>2019/11/05 14:20:00</v>
      </c>
      <c r="G107" s="4" t="str">
        <f>IFERROR(__xludf.DUMMYFUNCTION("""COMPUTED_VALUE"""),"2019/11/05 14:31:00")</f>
        <v>2019/11/05 14:31:00</v>
      </c>
      <c r="H107" s="4" t="str">
        <f>IFERROR(__xludf.DUMMYFUNCTION("""COMPUTED_VALUE"""),"60825590-e9f9-48d4-8c82-b3364f8133cc")</f>
        <v>60825590-e9f9-48d4-8c82-b3364f8133cc</v>
      </c>
      <c r="I107" s="4" t="str">
        <f>IFERROR(__xludf.DUMMYFUNCTION("""COMPUTED_VALUE"""),"60825590-e9f9-48d4-8c82-b3364f8133cc")</f>
        <v>60825590-e9f9-48d4-8c82-b3364f8133cc</v>
      </c>
    </row>
    <row r="108">
      <c r="A108" s="4" t="str">
        <f>IFERROR(__xludf.DUMMYFUNCTION("""COMPUTED_VALUE"""),"Privacy meets innovation in a global marketplace")</f>
        <v>Privacy meets innovation in a global marketplace</v>
      </c>
      <c r="B108" s="4" t="str">
        <f>IFERROR(__xludf.DUMMYFUNCTION("""COMPUTED_VALUE"""),"In this keynote presentation, Uber's Chief Privacy Officer, Ruby Zefo, will be discussing the role of privacy in the ride-sharing ecosystem.")</f>
        <v>In this keynote presentation, Uber's Chief Privacy Officer, Ruby Zefo, will be discussing the role of privacy in the ride-sharing ecosystem.</v>
      </c>
      <c r="C108" s="4" t="str">
        <f>IFERROR(__xludf.DUMMYFUNCTION("""COMPUTED_VALUE"""),"Auto/Tech &amp; TalkRobot")</f>
        <v>Auto/Tech &amp; TalkRobot</v>
      </c>
      <c r="D108" s="4" t="str">
        <f>IFERROR(__xludf.DUMMYFUNCTION("""COMPUTED_VALUE"""),"Ruby Zefo and Charlie Warzel")</f>
        <v>Ruby Zefo and Charlie Warzel</v>
      </c>
      <c r="E108" s="4" t="str">
        <f>IFERROR(__xludf.DUMMYFUNCTION("""COMPUTED_VALUE"""),"Ruby Zefo,Charlie Warzel")</f>
        <v>Ruby Zefo,Charlie Warzel</v>
      </c>
      <c r="F108" s="4" t="str">
        <f>IFERROR(__xludf.DUMMYFUNCTION("""COMPUTED_VALUE"""),"2019/11/05 16:05:00")</f>
        <v>2019/11/05 16:05:00</v>
      </c>
      <c r="G108" s="4" t="str">
        <f>IFERROR(__xludf.DUMMYFUNCTION("""COMPUTED_VALUE"""),"2019/11/05 16:25:00")</f>
        <v>2019/11/05 16:25:00</v>
      </c>
      <c r="H108" s="4" t="str">
        <f>IFERROR(__xludf.DUMMYFUNCTION("""COMPUTED_VALUE"""),"eb050208-6dbc-428f-893b-caf9613dce08")</f>
        <v>eb050208-6dbc-428f-893b-caf9613dce08</v>
      </c>
      <c r="I108" s="4" t="str">
        <f>IFERROR(__xludf.DUMMYFUNCTION("""COMPUTED_VALUE"""),"eb050208-6dbc-428f-893b-caf9613dce08")</f>
        <v>eb050208-6dbc-428f-893b-caf9613dce08</v>
      </c>
    </row>
    <row r="109">
      <c r="A109" s="4" t="str">
        <f>IFERROR(__xludf.DUMMYFUNCTION("""COMPUTED_VALUE"""),"Opening remarks")</f>
        <v>Opening remarks</v>
      </c>
      <c r="B109" s="4" t="str">
        <f>IFERROR(__xludf.DUMMYFUNCTION("""COMPUTED_VALUE"""),"Muse headband creator Ariel Garten leads a morning meditation before HealthConf's first talk.")</f>
        <v>Muse headband creator Ariel Garten leads a morning meditation before HealthConf's first talk.</v>
      </c>
      <c r="C109" s="4" t="str">
        <f>IFERROR(__xludf.DUMMYFUNCTION("""COMPUTED_VALUE"""),"HealthConf")</f>
        <v>HealthConf</v>
      </c>
      <c r="D109" s="4" t="str">
        <f>IFERROR(__xludf.DUMMYFUNCTION("""COMPUTED_VALUE"""),"Ariel Garten")</f>
        <v>Ariel Garten</v>
      </c>
      <c r="E109" s="4" t="str">
        <f>IFERROR(__xludf.DUMMYFUNCTION("""COMPUTED_VALUE"""),"Ariel Garten")</f>
        <v>Ariel Garten</v>
      </c>
      <c r="F109" s="4" t="str">
        <f>IFERROR(__xludf.DUMMYFUNCTION("""COMPUTED_VALUE"""),"2019/11/07 10:30:00")</f>
        <v>2019/11/07 10:30:00</v>
      </c>
      <c r="G109" s="4" t="str">
        <f>IFERROR(__xludf.DUMMYFUNCTION("""COMPUTED_VALUE"""),"2019/11/07 10:45:00")</f>
        <v>2019/11/07 10:45:00</v>
      </c>
      <c r="H109" s="4" t="str">
        <f>IFERROR(__xludf.DUMMYFUNCTION("""COMPUTED_VALUE"""),"d9d9963d-8d9d-42dc-8973-a5f8ee4fb095")</f>
        <v>d9d9963d-8d9d-42dc-8973-a5f8ee4fb095</v>
      </c>
      <c r="I109" s="4" t="str">
        <f>IFERROR(__xludf.DUMMYFUNCTION("""COMPUTED_VALUE"""),"d9d9963d-8d9d-42dc-8973-a5f8ee4fb095")</f>
        <v>d9d9963d-8d9d-42dc-8973-a5f8ee4fb095</v>
      </c>
    </row>
    <row r="110">
      <c r="A110" s="4" t="str">
        <f>IFERROR(__xludf.DUMMYFUNCTION("""COMPUTED_VALUE"""),"Robotics Process Automation, shaping the future of work")</f>
        <v>Robotics Process Automation, shaping the future of work</v>
      </c>
      <c r="B110" s="4" t="str">
        <f>IFERROR(__xludf.DUMMYFUNCTION("""COMPUTED_VALUE"""),"In his presentation, Vargha Moayed, Chief Strategy Officer, UiPath sheds more light on how AI, cloud and robotics are changing the future of work.")</f>
        <v>In his presentation, Vargha Moayed, Chief Strategy Officer, UiPath sheds more light on how AI, cloud and robotics are changing the future of work.</v>
      </c>
      <c r="C110" s="4" t="str">
        <f>IFERROR(__xludf.DUMMYFUNCTION("""COMPUTED_VALUE"""),"SaaS Monster")</f>
        <v>SaaS Monster</v>
      </c>
      <c r="D110" s="4" t="str">
        <f>IFERROR(__xludf.DUMMYFUNCTION("""COMPUTED_VALUE"""),"Vargha Moayed")</f>
        <v>Vargha Moayed</v>
      </c>
      <c r="E110" s="4" t="str">
        <f>IFERROR(__xludf.DUMMYFUNCTION("""COMPUTED_VALUE"""),"Vargha Moayed")</f>
        <v>Vargha Moayed</v>
      </c>
      <c r="F110" s="4" t="str">
        <f>IFERROR(__xludf.DUMMYFUNCTION("""COMPUTED_VALUE"""),"2019/11/06 11:25:00")</f>
        <v>2019/11/06 11:25:00</v>
      </c>
      <c r="G110" s="4" t="str">
        <f>IFERROR(__xludf.DUMMYFUNCTION("""COMPUTED_VALUE"""),"2019/11/06 11:45:00")</f>
        <v>2019/11/06 11:45:00</v>
      </c>
      <c r="H110" s="4" t="str">
        <f>IFERROR(__xludf.DUMMYFUNCTION("""COMPUTED_VALUE"""),"0235c182-6a0f-440a-bbe7-f9aab349aa69")</f>
        <v>0235c182-6a0f-440a-bbe7-f9aab349aa69</v>
      </c>
      <c r="I110" s="4" t="str">
        <f>IFERROR(__xludf.DUMMYFUNCTION("""COMPUTED_VALUE"""),"0235c182-6a0f-440a-bbe7-f9aab349aa69")</f>
        <v>0235c182-6a0f-440a-bbe7-f9aab349aa69</v>
      </c>
    </row>
    <row r="111">
      <c r="A111" s="4" t="str">
        <f>IFERROR(__xludf.DUMMYFUNCTION("""COMPUTED_VALUE"""),"Opening remarks")</f>
        <v>Opening remarks</v>
      </c>
      <c r="B111" s="4" t="str">
        <f>IFERROR(__xludf.DUMMYFUNCTION("""COMPUTED_VALUE"""),"Welcome back to Corporate Innovation Summit, we hope you enjoyed your lunch. ")</f>
        <v>Welcome back to Corporate Innovation Summit, we hope you enjoyed your lunch. </v>
      </c>
      <c r="C111" s="4" t="str">
        <f>IFERROR(__xludf.DUMMYFUNCTION("""COMPUTED_VALUE"""),"Corporate Innovation Summit")</f>
        <v>Corporate Innovation Summit</v>
      </c>
      <c r="D111" s="4" t="str">
        <f>IFERROR(__xludf.DUMMYFUNCTION("""COMPUTED_VALUE"""),"Belinda Esterhammer")</f>
        <v>Belinda Esterhammer</v>
      </c>
      <c r="E111" s="4" t="str">
        <f>IFERROR(__xludf.DUMMYFUNCTION("""COMPUTED_VALUE"""),"Belinda Esterhammer")</f>
        <v>Belinda Esterhammer</v>
      </c>
      <c r="F111" s="4" t="str">
        <f>IFERROR(__xludf.DUMMYFUNCTION("""COMPUTED_VALUE"""),"2019/11/07 13:30:00")</f>
        <v>2019/11/07 13:30:00</v>
      </c>
      <c r="G111" s="4" t="str">
        <f>IFERROR(__xludf.DUMMYFUNCTION("""COMPUTED_VALUE"""),"2019/11/07 13:45:00")</f>
        <v>2019/11/07 13:45:00</v>
      </c>
      <c r="H111" s="4" t="str">
        <f>IFERROR(__xludf.DUMMYFUNCTION("""COMPUTED_VALUE"""),"e3898815-c179-4865-b49c-c5960add5cb3")</f>
        <v>e3898815-c179-4865-b49c-c5960add5cb3</v>
      </c>
      <c r="I111" s="4" t="str">
        <f>IFERROR(__xludf.DUMMYFUNCTION("""COMPUTED_VALUE"""),"e3898815-c179-4865-b49c-c5960add5cb3")</f>
        <v>e3898815-c179-4865-b49c-c5960add5cb3</v>
      </c>
    </row>
    <row r="112">
      <c r="A112" s="4" t="str">
        <f>IFERROR(__xludf.DUMMYFUNCTION("""COMPUTED_VALUE"""),"PITCH group round 13")</f>
        <v>PITCH group round 13</v>
      </c>
      <c r="B112" s="4" t="str">
        <f>IFERROR(__xludf.DUMMYFUNCTION("""COMPUTED_VALUE"""),"")</f>
        <v/>
      </c>
      <c r="C112" s="4" t="str">
        <f>IFERROR(__xludf.DUMMYFUNCTION("""COMPUTED_VALUE"""),"PITCH 1")</f>
        <v>PITCH 1</v>
      </c>
      <c r="D112" s="4" t="str">
        <f>IFERROR(__xludf.DUMMYFUNCTION("""COMPUTED_VALUE"""),"Jules Walker, Yamilette Cano, Anthemos Georgiades, Jim Hunter, Melissa Lester, young kwon, Hugo Feiler, Nicolas Hotterbeekx, Piotr Bardadyn, Mateusz Romanów, Rodrigo Moretti, André Flórido and Veena Giridhar Gopal")</f>
        <v>Jules Walker, Yamilette Cano, Anthemos Georgiades, Jim Hunter, Melissa Lester, young kwon, Hugo Feiler, Nicolas Hotterbeekx, Piotr Bardadyn, Mateusz Romanów, Rodrigo Moretti, André Flórido and Veena Giridhar Gopal</v>
      </c>
      <c r="E112" s="4" t="str">
        <f>IFERROR(__xludf.DUMMYFUNCTION("""COMPUTED_VALUE"""),"Jules Walker,Yamilette Cano,Anthemos Georgiades,Jim Hunter,Melissa Lester,young kwon,Hugo Feiler,Nicolas Hotterbeekx,Piotr Bardadyn,Mateusz Romanów,Rodrigo Moretti,André Flórido,Veena Giridhar Gopal")</f>
        <v>Jules Walker,Yamilette Cano,Anthemos Georgiades,Jim Hunter,Melissa Lester,young kwon,Hugo Feiler,Nicolas Hotterbeekx,Piotr Bardadyn,Mateusz Romanów,Rodrigo Moretti,André Flórido,Veena Giridhar Gopal</v>
      </c>
      <c r="F112" s="4" t="str">
        <f>IFERROR(__xludf.DUMMYFUNCTION("""COMPUTED_VALUE"""),"2019/11/05 14:00:00")</f>
        <v>2019/11/05 14:00:00</v>
      </c>
      <c r="G112" s="4" t="str">
        <f>IFERROR(__xludf.DUMMYFUNCTION("""COMPUTED_VALUE"""),"2019/11/05 15:00:00")</f>
        <v>2019/11/05 15:00:00</v>
      </c>
      <c r="H112" s="4" t="str">
        <f>IFERROR(__xludf.DUMMYFUNCTION("""COMPUTED_VALUE"""),"075ff58d-7582-46f6-80a0-4ba8c6b791c6")</f>
        <v>075ff58d-7582-46f6-80a0-4ba8c6b791c6</v>
      </c>
      <c r="I112" s="4" t="str">
        <f>IFERROR(__xludf.DUMMYFUNCTION("""COMPUTED_VALUE"""),"075ff58d-7582-46f6-80a0-4ba8c6b791c6")</f>
        <v>075ff58d-7582-46f6-80a0-4ba8c6b791c6</v>
      </c>
    </row>
    <row r="113">
      <c r="A113" s="4" t="str">
        <f>IFERROR(__xludf.DUMMYFUNCTION("""COMPUTED_VALUE"""),"How to build on AWS without knowing much about AWS")</f>
        <v>How to build on AWS without knowing much about AWS</v>
      </c>
      <c r="B113" s="4" t="str">
        <f>IFERROR(__xludf.DUMMYFUNCTION("""COMPUTED_VALUE"""),"Building a new startup? Which cloud provider do you pick and why? If you are brand new to AWS or cloud computing and interested in learning about how to leverage the cloud to build your next app or startup, then this is the session for you! Join us to lea"&amp;"rn about how to get started with application development, deployment, and operations on AWS. You will also learn about why AWS is the most popular platform for technology startups, and how you can use AWS to serve your customers while you scale them.
")</f>
        <v>Building a new startup? Which cloud provider do you pick and why? If you are brand new to AWS or cloud computing and interested in learning about how to leverage the cloud to build your next app or startup, then this is the session for you! Join us to learn about how to get started with application development, deployment, and operations on AWS. You will also learn about why AWS is the most popular platform for technology startups, and how you can use AWS to serve your customers while you scale them.
</v>
      </c>
      <c r="C113" s="4" t="str">
        <f>IFERROR(__xludf.DUMMYFUNCTION("""COMPUTED_VALUE"""),"AWS Developer Workshops")</f>
        <v>AWS Developer Workshops</v>
      </c>
      <c r="D113" s="4" t="str">
        <f>IFERROR(__xludf.DUMMYFUNCTION("""COMPUTED_VALUE"""),"")</f>
        <v/>
      </c>
      <c r="E113" s="4" t="str">
        <f>IFERROR(__xludf.DUMMYFUNCTION("""COMPUTED_VALUE"""),"")</f>
        <v/>
      </c>
      <c r="F113" s="4" t="str">
        <f>IFERROR(__xludf.DUMMYFUNCTION("""COMPUTED_VALUE"""),"2019/11/06 10:00:00")</f>
        <v>2019/11/06 10:00:00</v>
      </c>
      <c r="G113" s="4" t="str">
        <f>IFERROR(__xludf.DUMMYFUNCTION("""COMPUTED_VALUE"""),"2019/11/06 10:50:00")</f>
        <v>2019/11/06 10:50:00</v>
      </c>
      <c r="H113" s="4" t="str">
        <f>IFERROR(__xludf.DUMMYFUNCTION("""COMPUTED_VALUE"""),"21be6916-a0eb-405a-b0ae-1bdf9e13ed50")</f>
        <v>21be6916-a0eb-405a-b0ae-1bdf9e13ed50</v>
      </c>
      <c r="I113" s="4" t="str">
        <f>IFERROR(__xludf.DUMMYFUNCTION("""COMPUTED_VALUE"""),"21be6916-a0eb-405a-b0ae-1bdf9e13ed50")</f>
        <v>21be6916-a0eb-405a-b0ae-1bdf9e13ed50</v>
      </c>
    </row>
    <row r="114">
      <c r="A114" s="4" t="str">
        <f>IFERROR(__xludf.DUMMYFUNCTION("""COMPUTED_VALUE"""),"The anatomy of the perfect pitch deck")</f>
        <v>The anatomy of the perfect pitch deck</v>
      </c>
      <c r="B114" s="4" t="str">
        <f>IFERROR(__xludf.DUMMYFUNCTION("""COMPUTED_VALUE"""),"CEO and co-founder of DocSend, Russ explores what data tells us about successful pitch decks. What works, what doesn't, and how to build the pitch deck that will get you in front of VCs.")</f>
        <v>CEO and co-founder of DocSend, Russ explores what data tells us about successful pitch decks. What works, what doesn't, and how to build the pitch deck that will get you in front of VCs.</v>
      </c>
      <c r="C114" s="4" t="str">
        <f>IFERROR(__xludf.DUMMYFUNCTION("""COMPUTED_VALUE"""),"Growth Summit")</f>
        <v>Growth Summit</v>
      </c>
      <c r="D114" s="4" t="str">
        <f>IFERROR(__xludf.DUMMYFUNCTION("""COMPUTED_VALUE"""),"Russ Heddleston")</f>
        <v>Russ Heddleston</v>
      </c>
      <c r="E114" s="4" t="str">
        <f>IFERROR(__xludf.DUMMYFUNCTION("""COMPUTED_VALUE"""),"Russ Heddleston")</f>
        <v>Russ Heddleston</v>
      </c>
      <c r="F114" s="4" t="str">
        <f>IFERROR(__xludf.DUMMYFUNCTION("""COMPUTED_VALUE"""),"2019/11/05 10:14:00")</f>
        <v>2019/11/05 10:14:00</v>
      </c>
      <c r="G114" s="4" t="str">
        <f>IFERROR(__xludf.DUMMYFUNCTION("""COMPUTED_VALUE"""),"2019/11/05 10:18:00")</f>
        <v>2019/11/05 10:18:00</v>
      </c>
      <c r="H114" s="4" t="str">
        <f>IFERROR(__xludf.DUMMYFUNCTION("""COMPUTED_VALUE"""),"8b9d894d-b600-4de0-b33e-d15604afbe7d")</f>
        <v>8b9d894d-b600-4de0-b33e-d15604afbe7d</v>
      </c>
      <c r="I114" s="4" t="str">
        <f>IFERROR(__xludf.DUMMYFUNCTION("""COMPUTED_VALUE"""),"8b9d894d-b600-4de0-b33e-d15604afbe7d")</f>
        <v>8b9d894d-b600-4de0-b33e-d15604afbe7d</v>
      </c>
    </row>
    <row r="115">
      <c r="A115" s="4" t="str">
        <f>IFERROR(__xludf.DUMMYFUNCTION("""COMPUTED_VALUE"""),"How does your brand sound?  Fine tuning for voice assistants")</f>
        <v>How does your brand sound?  Fine tuning for voice assistants</v>
      </c>
      <c r="B115" s="4" t="str">
        <f>IFERROR(__xludf.DUMMYFUNCTION("""COMPUTED_VALUE"""),"Successful conversation branding is about shaping a brand’s perceived personality, giving it a voice, adding tonality and infusing it with character. CEO of MetaDesign, Daniel will explore the winning formula to use when shaping your brand's voice, while "&amp;"making it an authentic part of your narrative.")</f>
        <v>Successful conversation branding is about shaping a brand’s perceived personality, giving it a voice, adding tonality and infusing it with character. CEO of MetaDesign, Daniel will explore the winning formula to use when shaping your brand's voice, while making it an authentic part of your narrative.</v>
      </c>
      <c r="C115" s="4" t="str">
        <f>IFERROR(__xludf.DUMMYFUNCTION("""COMPUTED_VALUE"""),"creatiff")</f>
        <v>creatiff</v>
      </c>
      <c r="D115" s="4" t="str">
        <f>IFERROR(__xludf.DUMMYFUNCTION("""COMPUTED_VALUE"""),"Daniel Leyser")</f>
        <v>Daniel Leyser</v>
      </c>
      <c r="E115" s="4" t="str">
        <f>IFERROR(__xludf.DUMMYFUNCTION("""COMPUTED_VALUE"""),"Daniel Leyser")</f>
        <v>Daniel Leyser</v>
      </c>
      <c r="F115" s="4" t="str">
        <f>IFERROR(__xludf.DUMMYFUNCTION("""COMPUTED_VALUE"""),"2019/11/05 12:45:00")</f>
        <v>2019/11/05 12:45:00</v>
      </c>
      <c r="G115" s="4" t="str">
        <f>IFERROR(__xludf.DUMMYFUNCTION("""COMPUTED_VALUE"""),"2019/11/05 13:05:00")</f>
        <v>2019/11/05 13:05:00</v>
      </c>
      <c r="H115" s="4" t="str">
        <f>IFERROR(__xludf.DUMMYFUNCTION("""COMPUTED_VALUE"""),"03ba1bae-c970-4c0a-9b29-aa6dca5b6410")</f>
        <v>03ba1bae-c970-4c0a-9b29-aa6dca5b6410</v>
      </c>
      <c r="I115" s="4" t="str">
        <f>IFERROR(__xludf.DUMMYFUNCTION("""COMPUTED_VALUE"""),"03ba1bae-c970-4c0a-9b29-aa6dca5b6410")</f>
        <v>03ba1bae-c970-4c0a-9b29-aa6dca5b6410</v>
      </c>
    </row>
    <row r="116">
      <c r="A116" s="4" t="str">
        <f>IFERROR(__xludf.DUMMYFUNCTION("""COMPUTED_VALUE"""),"24/7 healthcare is here")</f>
        <v>24/7 healthcare is here</v>
      </c>
      <c r="B116" s="4" t="str">
        <f>IFERROR(__xludf.DUMMYFUNCTION("""COMPUTED_VALUE"""),"Doctors on demand. It's long been the dream, is it now the reality? Have AI and increased tech access called time on traditional office hours? And what are the pros and cons for the patient-provider relationship? Babylon's Chief  Technology Officer shares"&amp;" his insight with HealthConf 2019.")</f>
        <v>Doctors on demand. It's long been the dream, is it now the reality? Have AI and increased tech access called time on traditional office hours? And what are the pros and cons for the patient-provider relationship? Babylon's Chief  Technology Officer shares his insight with HealthConf 2019.</v>
      </c>
      <c r="C116" s="4" t="str">
        <f>IFERROR(__xludf.DUMMYFUNCTION("""COMPUTED_VALUE"""),"HealthConf")</f>
        <v>HealthConf</v>
      </c>
      <c r="D116" s="4" t="str">
        <f>IFERROR(__xludf.DUMMYFUNCTION("""COMPUTED_VALUE"""),"Gary Mudie and Joao Tome")</f>
        <v>Gary Mudie and Joao Tome</v>
      </c>
      <c r="E116" s="4" t="str">
        <f>IFERROR(__xludf.DUMMYFUNCTION("""COMPUTED_VALUE"""),"Gary Mudie,Joao Tome")</f>
        <v>Gary Mudie,Joao Tome</v>
      </c>
      <c r="F116" s="4" t="str">
        <f>IFERROR(__xludf.DUMMYFUNCTION("""COMPUTED_VALUE"""),"2019/11/07 14:45:00")</f>
        <v>2019/11/07 14:45:00</v>
      </c>
      <c r="G116" s="4" t="str">
        <f>IFERROR(__xludf.DUMMYFUNCTION("""COMPUTED_VALUE"""),"2019/11/07 15:05:00")</f>
        <v>2019/11/07 15:05:00</v>
      </c>
      <c r="H116" s="4" t="str">
        <f>IFERROR(__xludf.DUMMYFUNCTION("""COMPUTED_VALUE"""),"42f6d75d-4df5-4091-bf57-d55466938fb7")</f>
        <v>42f6d75d-4df5-4091-bf57-d55466938fb7</v>
      </c>
      <c r="I116" s="4" t="str">
        <f>IFERROR(__xludf.DUMMYFUNCTION("""COMPUTED_VALUE"""),"42f6d75d-4df5-4091-bf57-d55466938fb7")</f>
        <v>42f6d75d-4df5-4091-bf57-d55466938fb7</v>
      </c>
    </row>
    <row r="117">
      <c r="A117" s="4" t="str">
        <f>IFERROR(__xludf.DUMMYFUNCTION("""COMPUTED_VALUE"""),"Machine Demo Round 3")</f>
        <v>Machine Demo Round 3</v>
      </c>
      <c r="B117" s="4" t="str">
        <f>IFERROR(__xludf.DUMMYFUNCTION("""COMPUTED_VALUE"""),"")</f>
        <v/>
      </c>
      <c r="C117" s="4" t="str">
        <f>IFERROR(__xludf.DUMMYFUNCTION("""COMPUTED_VALUE"""),"")</f>
        <v/>
      </c>
      <c r="D117" s="4" t="str">
        <f>IFERROR(__xludf.DUMMYFUNCTION("""COMPUTED_VALUE"""),"Ilya Velder,  eunkyeong kwon,  Lucas Malanda,  Dennis Poon,  Clemens Kirner and  Michael Schöggl")</f>
        <v>Ilya Velder,  eunkyeong kwon,  Lucas Malanda,  Dennis Poon,  Clemens Kirner and  Michael Schöggl</v>
      </c>
      <c r="E117" s="4" t="str">
        <f>IFERROR(__xludf.DUMMYFUNCTION("""COMPUTED_VALUE"""),"Ilya Velder, eunkyeong kwon, Lucas Malanda, Dennis Poon, Clemens Kirner, Michael Schöggl")</f>
        <v>Ilya Velder, eunkyeong kwon, Lucas Malanda, Dennis Poon, Clemens Kirner, Michael Schöggl</v>
      </c>
      <c r="F117" s="4" t="str">
        <f>IFERROR(__xludf.DUMMYFUNCTION("""COMPUTED_VALUE"""),"")</f>
        <v/>
      </c>
      <c r="G117" s="4" t="str">
        <f>IFERROR(__xludf.DUMMYFUNCTION("""COMPUTED_VALUE"""),"")</f>
        <v/>
      </c>
      <c r="H117" s="4" t="str">
        <f>IFERROR(__xludf.DUMMYFUNCTION("""COMPUTED_VALUE"""),"e493a642-7866-57bc-abf3-4fb9582c71cc")</f>
        <v>e493a642-7866-57bc-abf3-4fb9582c71cc</v>
      </c>
      <c r="I117" s="4" t="str">
        <f>IFERROR(__xludf.DUMMYFUNCTION("""COMPUTED_VALUE"""),"e493a642-7866-57bc-abf3-4fb9582c71cc")</f>
        <v>e493a642-7866-57bc-abf3-4fb9582c71cc</v>
      </c>
    </row>
    <row r="118">
      <c r="A118" s="4" t="str">
        <f>IFERROR(__xludf.DUMMYFUNCTION("""COMPUTED_VALUE"""),"Machine Demo Round 2")</f>
        <v>Machine Demo Round 2</v>
      </c>
      <c r="B118" s="4" t="str">
        <f>IFERROR(__xludf.DUMMYFUNCTION("""COMPUTED_VALUE"""),"")</f>
        <v/>
      </c>
      <c r="C118" s="4" t="str">
        <f>IFERROR(__xludf.DUMMYFUNCTION("""COMPUTED_VALUE"""),"")</f>
        <v/>
      </c>
      <c r="D118" s="4" t="str">
        <f>IFERROR(__xludf.DUMMYFUNCTION("""COMPUTED_VALUE"""),"Jonathan Greene,  Alexandre Santos,  Andreas Botsch,  Svitlana Malovana,  Julien Yee and  Achim Schneider
")</f>
        <v>Jonathan Greene,  Alexandre Santos,  Andreas Botsch,  Svitlana Malovana,  Julien Yee and  Achim Schneider
</v>
      </c>
      <c r="E118" s="4" t="str">
        <f>IFERROR(__xludf.DUMMYFUNCTION("""COMPUTED_VALUE"""),"Jonathan Greene, Alexandre Santos, Andreas Botsch, Svitlana Malovana, Julien Yee, Achim Schneider
")</f>
        <v>Jonathan Greene, Alexandre Santos, Andreas Botsch, Svitlana Malovana, Julien Yee, Achim Schneider
</v>
      </c>
      <c r="F118" s="4" t="str">
        <f>IFERROR(__xludf.DUMMYFUNCTION("""COMPUTED_VALUE"""),"")</f>
        <v/>
      </c>
      <c r="G118" s="4" t="str">
        <f>IFERROR(__xludf.DUMMYFUNCTION("""COMPUTED_VALUE"""),"")</f>
        <v/>
      </c>
      <c r="H118" s="4" t="str">
        <f>IFERROR(__xludf.DUMMYFUNCTION("""COMPUTED_VALUE"""),"74f44523-db8b-5459-b13a-6207b9adf43c")</f>
        <v>74f44523-db8b-5459-b13a-6207b9adf43c</v>
      </c>
      <c r="I118" s="4" t="str">
        <f>IFERROR(__xludf.DUMMYFUNCTION("""COMPUTED_VALUE"""),"74f44523-db8b-5459-b13a-6207b9adf43c")</f>
        <v>74f44523-db8b-5459-b13a-6207b9adf43c</v>
      </c>
    </row>
    <row r="119">
      <c r="A119" s="4" t="str">
        <f>IFERROR(__xludf.DUMMYFUNCTION("""COMPUTED_VALUE"""),"Opening remarks")</f>
        <v>Opening remarks</v>
      </c>
      <c r="B119" s="4" t="str">
        <f>IFERROR(__xludf.DUMMYFUNCTION("""COMPUTED_VALUE"""),"")</f>
        <v/>
      </c>
      <c r="C119" s="4" t="str">
        <f>IFERROR(__xludf.DUMMYFUNCTION("""COMPUTED_VALUE"""),"Future Societies")</f>
        <v>Future Societies</v>
      </c>
      <c r="D119" s="4" t="str">
        <f>IFERROR(__xludf.DUMMYFUNCTION("""COMPUTED_VALUE"""),"Khalid Machchate")</f>
        <v>Khalid Machchate</v>
      </c>
      <c r="E119" s="4" t="str">
        <f>IFERROR(__xludf.DUMMYFUNCTION("""COMPUTED_VALUE"""),"Khalid Machchate")</f>
        <v>Khalid Machchate</v>
      </c>
      <c r="F119" s="4" t="str">
        <f>IFERROR(__xludf.DUMMYFUNCTION("""COMPUTED_VALUE"""),"2019/11/05 12:53:00")</f>
        <v>2019/11/05 12:53:00</v>
      </c>
      <c r="G119" s="4" t="str">
        <f>IFERROR(__xludf.DUMMYFUNCTION("""COMPUTED_VALUE"""),"2019/11/05 13:03:00")</f>
        <v>2019/11/05 13:03:00</v>
      </c>
      <c r="H119" s="4" t="str">
        <f>IFERROR(__xludf.DUMMYFUNCTION("""COMPUTED_VALUE"""),"ea893807-3848-4738-aa69-d1cc9b73e190")</f>
        <v>ea893807-3848-4738-aa69-d1cc9b73e190</v>
      </c>
      <c r="I119" s="4" t="str">
        <f>IFERROR(__xludf.DUMMYFUNCTION("""COMPUTED_VALUE"""),"ea893807-3848-4738-aa69-d1cc9b73e190")</f>
        <v>ea893807-3848-4738-aa69-d1cc9b73e190</v>
      </c>
    </row>
    <row r="120">
      <c r="A120" s="4" t="str">
        <f>IFERROR(__xludf.DUMMYFUNCTION("""COMPUTED_VALUE"""),"Balancing culture and commerce")</f>
        <v>Balancing culture and commerce</v>
      </c>
      <c r="B120" s="4" t="str">
        <f>IFERROR(__xludf.DUMMYFUNCTION("""COMPUTED_VALUE"""),"Legendary DJ and producer Gilles Peterson, sits across from Damian Bradfield, WeTransfer's CCO, for this insightful exchange between two entrepreneurs that work across tech, music and media. In this talk we’ll learn how to balance culture and commerce, an"&amp;"d how to build successful long term relationships.")</f>
        <v>Legendary DJ and producer Gilles Peterson, sits across from Damian Bradfield, WeTransfer's CCO, for this insightful exchange between two entrepreneurs that work across tech, music and media. In this talk we’ll learn how to balance culture and commerce, and how to build successful long term relationships.</v>
      </c>
      <c r="C120" s="4" t="str">
        <f>IFERROR(__xludf.DUMMYFUNCTION("""COMPUTED_VALUE"""),"MusicNotes")</f>
        <v>MusicNotes</v>
      </c>
      <c r="D120" s="4" t="str">
        <f>IFERROR(__xludf.DUMMYFUNCTION("""COMPUTED_VALUE"""),"Gilles Peterson and Damian Bradfield")</f>
        <v>Gilles Peterson and Damian Bradfield</v>
      </c>
      <c r="E120" s="4" t="str">
        <f>IFERROR(__xludf.DUMMYFUNCTION("""COMPUTED_VALUE"""),"Gilles Peterson,Damian Bradfield")</f>
        <v>Gilles Peterson,Damian Bradfield</v>
      </c>
      <c r="F120" s="4" t="str">
        <f>IFERROR(__xludf.DUMMYFUNCTION("""COMPUTED_VALUE"""),"2019/11/07 14:20:00")</f>
        <v>2019/11/07 14:20:00</v>
      </c>
      <c r="G120" s="4" t="str">
        <f>IFERROR(__xludf.DUMMYFUNCTION("""COMPUTED_VALUE"""),"2019/11/07 14:40:00")</f>
        <v>2019/11/07 14:40:00</v>
      </c>
      <c r="H120" s="4" t="str">
        <f>IFERROR(__xludf.DUMMYFUNCTION("""COMPUTED_VALUE"""),"c2d44328-13a2-4612-ab0f-dd73a6c8efef")</f>
        <v>c2d44328-13a2-4612-ab0f-dd73a6c8efef</v>
      </c>
      <c r="I120" s="4" t="str">
        <f>IFERROR(__xludf.DUMMYFUNCTION("""COMPUTED_VALUE"""),"c2d44328-13a2-4612-ab0f-dd73a6c8efef")</f>
        <v>c2d44328-13a2-4612-ab0f-dd73a6c8efef</v>
      </c>
    </row>
    <row r="121">
      <c r="A121" s="4" t="str">
        <f>IFERROR(__xludf.DUMMYFUNCTION("""COMPUTED_VALUE"""),"How to compete against the big guns")</f>
        <v>How to compete against the big guns</v>
      </c>
      <c r="B121" s="4" t="str">
        <f>IFERROR(__xludf.DUMMYFUNCTION("""COMPUTED_VALUE"""),"Octave Klaba, will discuss how to succeed in an increasingly competitive marketplace while creating a culture where employees can thrive. He will share his company's winning formula and his views on the changing landscape of the cloud industry.")</f>
        <v>Octave Klaba, will discuss how to succeed in an increasingly competitive marketplace while creating a culture where employees can thrive. He will share his company's winning formula and his views on the changing landscape of the cloud industry.</v>
      </c>
      <c r="C121" s="4" t="str">
        <f>IFERROR(__xludf.DUMMYFUNCTION("""COMPUTED_VALUE"""),"SaaS Monster")</f>
        <v>SaaS Monster</v>
      </c>
      <c r="D121" s="4" t="str">
        <f>IFERROR(__xludf.DUMMYFUNCTION("""COMPUTED_VALUE"""),"Octave Klaba and John Rampton")</f>
        <v>Octave Klaba and John Rampton</v>
      </c>
      <c r="E121" s="4" t="str">
        <f>IFERROR(__xludf.DUMMYFUNCTION("""COMPUTED_VALUE"""),"Octave Klaba,John Rampton")</f>
        <v>Octave Klaba,John Rampton</v>
      </c>
      <c r="F121" s="4" t="str">
        <f>IFERROR(__xludf.DUMMYFUNCTION("""COMPUTED_VALUE"""),"2019/11/06 14:00:00")</f>
        <v>2019/11/06 14:00:00</v>
      </c>
      <c r="G121" s="4" t="str">
        <f>IFERROR(__xludf.DUMMYFUNCTION("""COMPUTED_VALUE"""),"2019/11/06 14:20:00")</f>
        <v>2019/11/06 14:20:00</v>
      </c>
      <c r="H121" s="4" t="str">
        <f>IFERROR(__xludf.DUMMYFUNCTION("""COMPUTED_VALUE"""),"d6335c5b-311b-4700-b362-bd8c4fc66bc5")</f>
        <v>d6335c5b-311b-4700-b362-bd8c4fc66bc5</v>
      </c>
      <c r="I121" s="4" t="str">
        <f>IFERROR(__xludf.DUMMYFUNCTION("""COMPUTED_VALUE"""),"d6335c5b-311b-4700-b362-bd8c4fc66bc5")</f>
        <v>d6335c5b-311b-4700-b362-bd8c4fc66bc5</v>
      </c>
    </row>
    <row r="122">
      <c r="A122" s="4" t="str">
        <f>IFERROR(__xludf.DUMMYFUNCTION("""COMPUTED_VALUE"""),"Funding beyond equity: Growing bigger with venture debt, hosted by European Investment Bank Group")</f>
        <v>Funding beyond equity: Growing bigger with venture debt, hosted by European Investment Bank Group</v>
      </c>
      <c r="B122" s="4" t="str">
        <f>IFERROR(__xludf.DUMMYFUNCTION("""COMPUTED_VALUE"""),"Venture debt provides your business with a source of funding next to equity. It enables additional funding with less dilution of existing shareholders and fewer governance requirements (no board seats and/or voting rights). In this session, you can learn "&amp;"how venture debt works and how your business can benefit. The workshop is organised by the European Investment Bank Group, Kreos Capital, Sillicon Valley Bank, Harbert and Bootstrap Europe, Europe's major venture debt providers.")</f>
        <v>Venture debt provides your business with a source of funding next to equity. It enables additional funding with less dilution of existing shareholders and fewer governance requirements (no board seats and/or voting rights). In this session, you can learn how venture debt works and how your business can benefit. The workshop is organised by the European Investment Bank Group, Kreos Capital, Sillicon Valley Bank, Harbert and Bootstrap Europe, Europe's major venture debt providers.</v>
      </c>
      <c r="C122" s="4" t="str">
        <f>IFERROR(__xludf.DUMMYFUNCTION("""COMPUTED_VALUE"""),"Workshop 4")</f>
        <v>Workshop 4</v>
      </c>
      <c r="D122" s="4" t="str">
        <f>IFERROR(__xludf.DUMMYFUNCTION("""COMPUTED_VALUE"""),"Hristo Stoykov and David Bateman")</f>
        <v>Hristo Stoykov and David Bateman</v>
      </c>
      <c r="E122" s="4" t="str">
        <f>IFERROR(__xludf.DUMMYFUNCTION("""COMPUTED_VALUE"""),"Hristo Stoykov,David Bateman")</f>
        <v>Hristo Stoykov,David Bateman</v>
      </c>
      <c r="F122" s="4" t="str">
        <f>IFERROR(__xludf.DUMMYFUNCTION("""COMPUTED_VALUE"""),"2019/11/06 10:00:00")</f>
        <v>2019/11/06 10:00:00</v>
      </c>
      <c r="G122" s="4" t="str">
        <f>IFERROR(__xludf.DUMMYFUNCTION("""COMPUTED_VALUE"""),"2019/11/06 11:30:00")</f>
        <v>2019/11/06 11:30:00</v>
      </c>
      <c r="H122" s="4" t="str">
        <f>IFERROR(__xludf.DUMMYFUNCTION("""COMPUTED_VALUE"""),"c8203a4a-cd7d-450a-ae36-882993e56166")</f>
        <v>c8203a4a-cd7d-450a-ae36-882993e56166</v>
      </c>
      <c r="I122" s="4" t="str">
        <f>IFERROR(__xludf.DUMMYFUNCTION("""COMPUTED_VALUE"""),"c8203a4a-cd7d-450a-ae36-882993e56166")</f>
        <v>c8203a4a-cd7d-450a-ae36-882993e56166</v>
      </c>
    </row>
    <row r="123">
      <c r="A123" s="4" t="str">
        <f>IFERROR(__xludf.DUMMYFUNCTION("""COMPUTED_VALUE"""),"Protecting the vulnerable: How tech can help refugees")</f>
        <v>Protecting the vulnerable: How tech can help refugees</v>
      </c>
      <c r="B123" s="4" t="str">
        <f>IFERROR(__xludf.DUMMYFUNCTION("""COMPUTED_VALUE"""),"The refugee crisis that struck Europe in 2015 has receded from view in the media. Yet the plight of the over 70 million displaced people and over 30 million refugees globally has not receded. In this session we will hear from experts in the field about wh"&amp;"at we can do to help, and issue a call to arms - why has tech not done more?")</f>
        <v>The refugee crisis that struck Europe in 2015 has receded from view in the media. Yet the plight of the over 70 million displaced people and over 30 million refugees globally has not receded. In this session we will hear from experts in the field about what we can do to help, and issue a call to arms - why has tech not done more?</v>
      </c>
      <c r="C123" s="4" t="str">
        <f>IFERROR(__xludf.DUMMYFUNCTION("""COMPUTED_VALUE"""),"Future Societies")</f>
        <v>Future Societies</v>
      </c>
      <c r="D123" s="4" t="str">
        <f>IFERROR(__xludf.DUMMYFUNCTION("""COMPUTED_VALUE"""),"Mike Walton, George Papandreou and Steve Clemons")</f>
        <v>Mike Walton, George Papandreou and Steve Clemons</v>
      </c>
      <c r="E123" s="4" t="str">
        <f>IFERROR(__xludf.DUMMYFUNCTION("""COMPUTED_VALUE"""),"Mike Walton,George Papandreou,Steve Clemons")</f>
        <v>Mike Walton,George Papandreou,Steve Clemons</v>
      </c>
      <c r="F123" s="4" t="str">
        <f>IFERROR(__xludf.DUMMYFUNCTION("""COMPUTED_VALUE"""),"2019/11/05 11:50:00")</f>
        <v>2019/11/05 11:50:00</v>
      </c>
      <c r="G123" s="4" t="str">
        <f>IFERROR(__xludf.DUMMYFUNCTION("""COMPUTED_VALUE"""),"2019/11/05 12:10:00")</f>
        <v>2019/11/05 12:10:00</v>
      </c>
      <c r="H123" s="4" t="str">
        <f>IFERROR(__xludf.DUMMYFUNCTION("""COMPUTED_VALUE"""),"53af7779-7471-4023-8ef0-15334065bf62")</f>
        <v>53af7779-7471-4023-8ef0-15334065bf62</v>
      </c>
      <c r="I123" s="4" t="str">
        <f>IFERROR(__xludf.DUMMYFUNCTION("""COMPUTED_VALUE"""),"53af7779-7471-4023-8ef0-15334065bf62")</f>
        <v>53af7779-7471-4023-8ef0-15334065bf62</v>
      </c>
    </row>
    <row r="124">
      <c r="A124" s="4" t="str">
        <f>IFERROR(__xludf.DUMMYFUNCTION("""COMPUTED_VALUE"""),"Every brand needs a music POV")</f>
        <v>Every brand needs a music POV</v>
      </c>
      <c r="B124" s="4" t="str">
        <f>IFERROR(__xludf.DUMMYFUNCTION("""COMPUTED_VALUE"""),"In a world where everyone has a taste in music, every brand should have a music point of view. But which one? How do you position your brand in a wide cultural landscape? With insights, data and creative ideas, that’s how. In this talk learn how brands de"&amp;"fine their own personal music space and more.")</f>
        <v>In a world where everyone has a taste in music, every brand should have a music point of view. But which one? How do you position your brand in a wide cultural landscape? With insights, data and creative ideas, that’s how. In this talk learn how brands define their own personal music space and more.</v>
      </c>
      <c r="C124" s="4" t="str">
        <f>IFERROR(__xludf.DUMMYFUNCTION("""COMPUTED_VALUE"""),"MusicNotes")</f>
        <v>MusicNotes</v>
      </c>
      <c r="D124" s="4" t="str">
        <f>IFERROR(__xludf.DUMMYFUNCTION("""COMPUTED_VALUE"""),"Olivier Robert-Murphy")</f>
        <v>Olivier Robert-Murphy</v>
      </c>
      <c r="E124" s="4" t="str">
        <f>IFERROR(__xludf.DUMMYFUNCTION("""COMPUTED_VALUE"""),"Olivier Robert-Murphy")</f>
        <v>Olivier Robert-Murphy</v>
      </c>
      <c r="F124" s="4" t="str">
        <f>IFERROR(__xludf.DUMMYFUNCTION("""COMPUTED_VALUE"""),"2019/11/07 11:20:00")</f>
        <v>2019/11/07 11:20:00</v>
      </c>
      <c r="G124" s="4" t="str">
        <f>IFERROR(__xludf.DUMMYFUNCTION("""COMPUTED_VALUE"""),"2019/11/07 11:35:00")</f>
        <v>2019/11/07 11:35:00</v>
      </c>
      <c r="H124" s="4" t="str">
        <f>IFERROR(__xludf.DUMMYFUNCTION("""COMPUTED_VALUE"""),"2f0f101b-0592-46bd-8b45-6530301ac771")</f>
        <v>2f0f101b-0592-46bd-8b45-6530301ac771</v>
      </c>
      <c r="I124" s="4" t="str">
        <f>IFERROR(__xludf.DUMMYFUNCTION("""COMPUTED_VALUE"""),"2f0f101b-0592-46bd-8b45-6530301ac771")</f>
        <v>2f0f101b-0592-46bd-8b45-6530301ac771</v>
      </c>
    </row>
    <row r="125">
      <c r="A125" s="4" t="str">
        <f>IFERROR(__xludf.DUMMYFUNCTION("""COMPUTED_VALUE"""),"Can tech put women's health on the right track?")</f>
        <v>Can tech put women's health on the right track?</v>
      </c>
      <c r="B125" s="4" t="str">
        <f>IFERROR(__xludf.DUMMYFUNCTION("""COMPUTED_VALUE"""),"Technology is changing the way we work, rest and play. More health products and pursuits are available today than ever before. How can you find the best one for you?")</f>
        <v>Technology is changing the way we work, rest and play. More health products and pursuits are available today than ever before. How can you find the best one for you?</v>
      </c>
      <c r="C125" s="4" t="str">
        <f>IFERROR(__xludf.DUMMYFUNCTION("""COMPUTED_VALUE"""),"PandaConf")</f>
        <v>PandaConf</v>
      </c>
      <c r="D125" s="4" t="str">
        <f>IFERROR(__xludf.DUMMYFUNCTION("""COMPUTED_VALUE"""),"Jessica Ennis-Hill, Hilary Coles and Cheng Lei")</f>
        <v>Jessica Ennis-Hill, Hilary Coles and Cheng Lei</v>
      </c>
      <c r="E125" s="4" t="str">
        <f>IFERROR(__xludf.DUMMYFUNCTION("""COMPUTED_VALUE"""),"Jessica Ennis-Hill,Hilary Coles,Cheng Lei")</f>
        <v>Jessica Ennis-Hill,Hilary Coles,Cheng Lei</v>
      </c>
      <c r="F125" s="4" t="str">
        <f>IFERROR(__xludf.DUMMYFUNCTION("""COMPUTED_VALUE"""),"2019/11/05 15:45:00")</f>
        <v>2019/11/05 15:45:00</v>
      </c>
      <c r="G125" s="4" t="str">
        <f>IFERROR(__xludf.DUMMYFUNCTION("""COMPUTED_VALUE"""),"2019/11/05 16:10:00")</f>
        <v>2019/11/05 16:10:00</v>
      </c>
      <c r="H125" s="4" t="str">
        <f>IFERROR(__xludf.DUMMYFUNCTION("""COMPUTED_VALUE"""),"c0c630a0-a48c-448d-b10e-0b4a6e26f1ca")</f>
        <v>c0c630a0-a48c-448d-b10e-0b4a6e26f1ca</v>
      </c>
      <c r="I125" s="4" t="str">
        <f>IFERROR(__xludf.DUMMYFUNCTION("""COMPUTED_VALUE"""),"c0c630a0-a48c-448d-b10e-0b4a6e26f1ca")</f>
        <v>c0c630a0-a48c-448d-b10e-0b4a6e26f1ca</v>
      </c>
    </row>
    <row r="126">
      <c r="A126" s="4" t="str">
        <f>IFERROR(__xludf.DUMMYFUNCTION("""COMPUTED_VALUE"""),"The giants of e-commerce, in conversation")</f>
        <v>The giants of e-commerce, in conversation</v>
      </c>
      <c r="B126" s="4" t="str">
        <f>IFERROR(__xludf.DUMMYFUNCTION("""COMPUTED_VALUE"""),"Who is winning in the battle for retail dominance? This panel will bring together the three biggest marketplaces in the world to discuss the fate of ecommerce.")</f>
        <v>Who is winning in the battle for retail dominance? This panel will bring together the three biggest marketplaces in the world to discuss the fate of ecommerce.</v>
      </c>
      <c r="C126" s="4" t="str">
        <f>IFERROR(__xludf.DUMMYFUNCTION("""COMPUTED_VALUE"""),"MoneyConf")</f>
        <v>MoneyConf</v>
      </c>
      <c r="D126" s="4" t="str">
        <f>IFERROR(__xludf.DUMMYFUNCTION("""COMPUTED_VALUE"""),"Werner Vogels, Alyssa Cutright, Tatyana Bakalchuk and Felix Holtermann")</f>
        <v>Werner Vogels, Alyssa Cutright, Tatyana Bakalchuk and Felix Holtermann</v>
      </c>
      <c r="E126" s="4" t="str">
        <f>IFERROR(__xludf.DUMMYFUNCTION("""COMPUTED_VALUE"""),"Werner Vogels,Alyssa Cutright,Tatyana Bakalchuk,Felix Holtermann")</f>
        <v>Werner Vogels,Alyssa Cutright,Tatyana Bakalchuk,Felix Holtermann</v>
      </c>
      <c r="F126" s="4" t="str">
        <f>IFERROR(__xludf.DUMMYFUNCTION("""COMPUTED_VALUE"""),"2019/11/07 14:25:00")</f>
        <v>2019/11/07 14:25:00</v>
      </c>
      <c r="G126" s="4" t="str">
        <f>IFERROR(__xludf.DUMMYFUNCTION("""COMPUTED_VALUE"""),"2019/11/07 14:50:00")</f>
        <v>2019/11/07 14:50:00</v>
      </c>
      <c r="H126" s="4" t="str">
        <f>IFERROR(__xludf.DUMMYFUNCTION("""COMPUTED_VALUE"""),"548adcf7-173e-475b-a0da-a87a23a55552")</f>
        <v>548adcf7-173e-475b-a0da-a87a23a55552</v>
      </c>
      <c r="I126" s="4" t="str">
        <f>IFERROR(__xludf.DUMMYFUNCTION("""COMPUTED_VALUE"""),"548adcf7-173e-475b-a0da-a87a23a55552")</f>
        <v>548adcf7-173e-475b-a0da-a87a23a55552</v>
      </c>
    </row>
    <row r="127">
      <c r="A127" s="4" t="str">
        <f>IFERROR(__xludf.DUMMYFUNCTION("""COMPUTED_VALUE"""),"Financing the future of philanthropy")</f>
        <v>Financing the future of philanthropy</v>
      </c>
      <c r="B127" s="4" t="str">
        <f>IFERROR(__xludf.DUMMYFUNCTION("""COMPUTED_VALUE"""),"Often the biggest challenge for an innovative charity is finding funding. The UBS Optimus foundation has developed an innovative funding structure, called a Development Impact Bond, designed to provide charities with the funding needed to allow them to gr"&amp;"ow. Here we will hear from the CEO of the foundation about these DIBs and from the leader of one of the charities that benefitted. ")</f>
        <v>Often the biggest challenge for an innovative charity is finding funding. The UBS Optimus foundation has developed an innovative funding structure, called a Development Impact Bond, designed to provide charities with the funding needed to allow them to grow. Here we will hear from the CEO of the foundation about these DIBs and from the leader of one of the charities that benefitted. </v>
      </c>
      <c r="C127" s="4" t="str">
        <f>IFERROR(__xludf.DUMMYFUNCTION("""COMPUTED_VALUE"""),"Future Societies")</f>
        <v>Future Societies</v>
      </c>
      <c r="D127" s="4" t="str">
        <f>IFERROR(__xludf.DUMMYFUNCTION("""COMPUTED_VALUE"""),"Phyllis Costanza, Aditya Natraj and Felix Salmon")</f>
        <v>Phyllis Costanza, Aditya Natraj and Felix Salmon</v>
      </c>
      <c r="E127" s="4" t="str">
        <f>IFERROR(__xludf.DUMMYFUNCTION("""COMPUTED_VALUE"""),"Phyllis Costanza,Aditya Natraj,Felix Salmon")</f>
        <v>Phyllis Costanza,Aditya Natraj,Felix Salmon</v>
      </c>
      <c r="F127" s="4" t="str">
        <f>IFERROR(__xludf.DUMMYFUNCTION("""COMPUTED_VALUE"""),"2019/11/07 10:50:00")</f>
        <v>2019/11/07 10:50:00</v>
      </c>
      <c r="G127" s="4" t="str">
        <f>IFERROR(__xludf.DUMMYFUNCTION("""COMPUTED_VALUE"""),"2019/11/07 11:10:00")</f>
        <v>2019/11/07 11:10:00</v>
      </c>
      <c r="H127" s="4" t="str">
        <f>IFERROR(__xludf.DUMMYFUNCTION("""COMPUTED_VALUE"""),"6ed1ee3e-56bc-4fc7-9971-f8b83d597a02")</f>
        <v>6ed1ee3e-56bc-4fc7-9971-f8b83d597a02</v>
      </c>
      <c r="I127" s="4" t="str">
        <f>IFERROR(__xludf.DUMMYFUNCTION("""COMPUTED_VALUE"""),"6ed1ee3e-56bc-4fc7-9971-f8b83d597a02")</f>
        <v>6ed1ee3e-56bc-4fc7-9971-f8b83d597a02</v>
      </c>
    </row>
    <row r="128">
      <c r="A128" s="4" t="str">
        <f>IFERROR(__xludf.DUMMYFUNCTION("""COMPUTED_VALUE"""),"Star Wars: Rise of the space junk")</f>
        <v>Star Wars: Rise of the space junk</v>
      </c>
      <c r="B128" s="4" t="str">
        <f>IFERROR(__xludf.DUMMYFUNCTION("""COMPUTED_VALUE"""),"There are 8,000 tons of debris orbiting the Earth at 17,500mph. We need to talk about space sustainability, before we're marooned here forever.
")</f>
        <v>There are 8,000 tons of debris orbiting the Earth at 17,500mph. We need to talk about space sustainability, before we're marooned here forever.
</v>
      </c>
      <c r="C128" s="4" t="str">
        <f>IFERROR(__xludf.DUMMYFUNCTION("""COMPUTED_VALUE"""),"DeepTech")</f>
        <v>DeepTech</v>
      </c>
      <c r="D128" s="4" t="str">
        <f>IFERROR(__xludf.DUMMYFUNCTION("""COMPUTED_VALUE"""),"Holger Krag, Nobu Okada, Peter Martinez and Jeremy Wilks")</f>
        <v>Holger Krag, Nobu Okada, Peter Martinez and Jeremy Wilks</v>
      </c>
      <c r="E128" s="4" t="str">
        <f>IFERROR(__xludf.DUMMYFUNCTION("""COMPUTED_VALUE"""),"Holger Krag,Nobu Okada,Peter Martinez,Jeremy Wilks")</f>
        <v>Holger Krag,Nobu Okada,Peter Martinez,Jeremy Wilks</v>
      </c>
      <c r="F128" s="4" t="str">
        <f>IFERROR(__xludf.DUMMYFUNCTION("""COMPUTED_VALUE"""),"2019/11/06 14:50:00")</f>
        <v>2019/11/06 14:50:00</v>
      </c>
      <c r="G128" s="4" t="str">
        <f>IFERROR(__xludf.DUMMYFUNCTION("""COMPUTED_VALUE"""),"2019/11/06 15:15:00")</f>
        <v>2019/11/06 15:15:00</v>
      </c>
      <c r="H128" s="4" t="str">
        <f>IFERROR(__xludf.DUMMYFUNCTION("""COMPUTED_VALUE"""),"871689fc-ecc3-489d-82f1-f443c7b6c01e")</f>
        <v>871689fc-ecc3-489d-82f1-f443c7b6c01e</v>
      </c>
      <c r="I128" s="4" t="str">
        <f>IFERROR(__xludf.DUMMYFUNCTION("""COMPUTED_VALUE"""),"871689fc-ecc3-489d-82f1-f443c7b6c01e")</f>
        <v>871689fc-ecc3-489d-82f1-f443c7b6c01e</v>
      </c>
    </row>
    <row r="129">
      <c r="A129" s="4" t="str">
        <f>IFERROR(__xludf.DUMMYFUNCTION("""COMPUTED_VALUE"""),"Battling for the better angels of our nature")</f>
        <v>Battling for the better angels of our nature</v>
      </c>
      <c r="B129" s="4" t="str">
        <f>IFERROR(__xludf.DUMMYFUNCTION("""COMPUTED_VALUE"""),"Combatting inequality, climate change, and political polarisation are some of central battles of our time. In this session, the head of Amnesty International, Kumi, will explore what we are doing to fight them and what more we must do if we are to save ou"&amp;"r better angels.")</f>
        <v>Combatting inequality, climate change, and political polarisation are some of central battles of our time. In this session, the head of Amnesty International, Kumi, will explore what we are doing to fight them and what more we must do if we are to save our better angels.</v>
      </c>
      <c r="C129" s="4" t="str">
        <f>IFERROR(__xludf.DUMMYFUNCTION("""COMPUTED_VALUE"""),"Future Societies")</f>
        <v>Future Societies</v>
      </c>
      <c r="D129" s="4" t="str">
        <f>IFERROR(__xludf.DUMMYFUNCTION("""COMPUTED_VALUE"""),"Kumi Naidoo and Tshepo Mokoena")</f>
        <v>Kumi Naidoo and Tshepo Mokoena</v>
      </c>
      <c r="E129" s="4" t="str">
        <f>IFERROR(__xludf.DUMMYFUNCTION("""COMPUTED_VALUE"""),"Kumi Naidoo,Tshepo Mokoena")</f>
        <v>Kumi Naidoo,Tshepo Mokoena</v>
      </c>
      <c r="F129" s="4" t="str">
        <f>IFERROR(__xludf.DUMMYFUNCTION("""COMPUTED_VALUE"""),"2019/11/07 13:20:00")</f>
        <v>2019/11/07 13:20:00</v>
      </c>
      <c r="G129" s="4" t="str">
        <f>IFERROR(__xludf.DUMMYFUNCTION("""COMPUTED_VALUE"""),"2019/11/07 13:40:00")</f>
        <v>2019/11/07 13:40:00</v>
      </c>
      <c r="H129" s="4" t="str">
        <f>IFERROR(__xludf.DUMMYFUNCTION("""COMPUTED_VALUE"""),"0d908ad4-fa35-4fbf-850c-a91619cad298")</f>
        <v>0d908ad4-fa35-4fbf-850c-a91619cad298</v>
      </c>
      <c r="I129" s="4" t="str">
        <f>IFERROR(__xludf.DUMMYFUNCTION("""COMPUTED_VALUE"""),"0d908ad4-fa35-4fbf-850c-a91619cad298")</f>
        <v>0d908ad4-fa35-4fbf-850c-a91619cad298</v>
      </c>
    </row>
    <row r="130">
      <c r="A130" s="4" t="str">
        <f>IFERROR(__xludf.DUMMYFUNCTION("""COMPUTED_VALUE"""),"Modernise your websites and applications with AWS")</f>
        <v>Modernise your websites and applications with AWS</v>
      </c>
      <c r="B130" s="4" t="str">
        <f>IFERROR(__xludf.DUMMYFUNCTION("""COMPUTED_VALUE"""),"Web development changes rapidly. New languages, modern frameworks (and microframeworks), and stronger, smarter browsers and edge devices allow web developers to innovate faster and smarter.
In this session we will look into the different paths a develope"&amp;"r can take with AWS to build a modern website or application. From powerful hosting, security and distribution with Amazon S3, CloudFront, Certificate Manager and Route53 to serverless backend and then bringing it all together with AWS Amplify, a new serv"&amp;"ice which can build and manage your web deployments.")</f>
        <v>Web development changes rapidly. New languages, modern frameworks (and microframeworks), and stronger, smarter browsers and edge devices allow web developers to innovate faster and smarter.
In this session we will look into the different paths a developer can take with AWS to build a modern website or application. From powerful hosting, security and distribution with Amazon S3, CloudFront, Certificate Manager and Route53 to serverless backend and then bringing it all together with AWS Amplify, a new service which can build and manage your web deployments.</v>
      </c>
      <c r="C130" s="4" t="str">
        <f>IFERROR(__xludf.DUMMYFUNCTION("""COMPUTED_VALUE"""),"AWS Developer Workshops")</f>
        <v>AWS Developer Workshops</v>
      </c>
      <c r="D130" s="4" t="str">
        <f>IFERROR(__xludf.DUMMYFUNCTION("""COMPUTED_VALUE"""),"")</f>
        <v/>
      </c>
      <c r="E130" s="4" t="str">
        <f>IFERROR(__xludf.DUMMYFUNCTION("""COMPUTED_VALUE"""),"")</f>
        <v/>
      </c>
      <c r="F130" s="4" t="str">
        <f>IFERROR(__xludf.DUMMYFUNCTION("""COMPUTED_VALUE"""),"2019/11/05 11:00:00")</f>
        <v>2019/11/05 11:00:00</v>
      </c>
      <c r="G130" s="4" t="str">
        <f>IFERROR(__xludf.DUMMYFUNCTION("""COMPUTED_VALUE"""),"2019/11/05 11:50:00")</f>
        <v>2019/11/05 11:50:00</v>
      </c>
      <c r="H130" s="4" t="str">
        <f>IFERROR(__xludf.DUMMYFUNCTION("""COMPUTED_VALUE"""),"ba8176d8-cb7e-4c66-84a6-1391b0ab0aaa")</f>
        <v>ba8176d8-cb7e-4c66-84a6-1391b0ab0aaa</v>
      </c>
      <c r="I130" s="4" t="str">
        <f>IFERROR(__xludf.DUMMYFUNCTION("""COMPUTED_VALUE"""),"ba8176d8-cb7e-4c66-84a6-1391b0ab0aaa")</f>
        <v>ba8176d8-cb7e-4c66-84a6-1391b0ab0aaa</v>
      </c>
    </row>
    <row r="131">
      <c r="A131" s="4" t="str">
        <f>IFERROR(__xludf.DUMMYFUNCTION("""COMPUTED_VALUE"""),"Building an anti-brand: The evolution of visual culture")</f>
        <v>Building an anti-brand: The evolution of visual culture</v>
      </c>
      <c r="B131" s="4" t="str">
        <f>IFERROR(__xludf.DUMMYFUNCTION("""COMPUTED_VALUE"""),"The rise of the ""anti-brand"" among Millennial and Gen-Z consumers has plagued traditional fashion marketing. Our three panelists are pioneers in pushing the boundaries of modern visual culture. Today, we ask them: how do you sell to the savviest generat"&amp;"ion yet? ")</f>
        <v>The rise of the "anti-brand" among Millennial and Gen-Z consumers has plagued traditional fashion marketing. Our three panelists are pioneers in pushing the boundaries of modern visual culture. Today, we ask them: how do you sell to the savviest generation yet? </v>
      </c>
      <c r="C131" s="4" t="str">
        <f>IFERROR(__xludf.DUMMYFUNCTION("""COMPUTED_VALUE"""),"Modum")</f>
        <v>Modum</v>
      </c>
      <c r="D131" s="4" t="str">
        <f>IFERROR(__xludf.DUMMYFUNCTION("""COMPUTED_VALUE""")," , Greg Lutze, Kenneth Richard and Natalie Salmon")</f>
        <v> , Greg Lutze, Kenneth Richard and Natalie Salmon</v>
      </c>
      <c r="E131" s="4" t="str">
        <f>IFERROR(__xludf.DUMMYFUNCTION("""COMPUTED_VALUE""")," ,Greg Lutze,Kenneth Richard,Natalie Salmon")</f>
        <v> ,Greg Lutze,Kenneth Richard,Natalie Salmon</v>
      </c>
      <c r="F131" s="4" t="str">
        <f>IFERROR(__xludf.DUMMYFUNCTION("""COMPUTED_VALUE"""),"2019/11/07 11:30:00")</f>
        <v>2019/11/07 11:30:00</v>
      </c>
      <c r="G131" s="4" t="str">
        <f>IFERROR(__xludf.DUMMYFUNCTION("""COMPUTED_VALUE"""),"2019/11/07 11:55:00")</f>
        <v>2019/11/07 11:55:00</v>
      </c>
      <c r="H131" s="4" t="str">
        <f>IFERROR(__xludf.DUMMYFUNCTION("""COMPUTED_VALUE"""),"5e0d7839-5cd6-4d94-928a-65450a52ee50")</f>
        <v>5e0d7839-5cd6-4d94-928a-65450a52ee50</v>
      </c>
      <c r="I131" s="4" t="str">
        <f>IFERROR(__xludf.DUMMYFUNCTION("""COMPUTED_VALUE"""),"5e0d7839-5cd6-4d94-928a-65450a52ee50")</f>
        <v>5e0d7839-5cd6-4d94-928a-65450a52ee50</v>
      </c>
    </row>
    <row r="132">
      <c r="A132" s="4" t="str">
        <f>IFERROR(__xludf.DUMMYFUNCTION("""COMPUTED_VALUE"""),"Why the ocean isn't doomed")</f>
        <v>Why the ocean isn't doomed</v>
      </c>
      <c r="B132" s="4" t="str">
        <f>IFERROR(__xludf.DUMMYFUNCTION("""COMPUTED_VALUE"""),"Plastic in the Pacific. Shampoo in the Sargasso sea. Bottles on the beaches. As some claim it's too late to clean up the oceans, others ask what happens if we don't? Our panel of experts reflects on the fight to look past pollution, toward solutions, and "&amp;"reveal why they believe all is not yet lost.")</f>
        <v>Plastic in the Pacific. Shampoo in the Sargasso sea. Bottles on the beaches. As some claim it's too late to clean up the oceans, others ask what happens if we don't? Our panel of experts reflects on the fight to look past pollution, toward solutions, and reveal why they believe all is not yet lost.</v>
      </c>
      <c r="C132" s="4" t="str">
        <f>IFERROR(__xludf.DUMMYFUNCTION("""COMPUTED_VALUE"""),"planet:tech ")</f>
        <v>planet:tech </v>
      </c>
      <c r="D132" s="4" t="str">
        <f>IFERROR(__xludf.DUMMYFUNCTION("""COMPUTED_VALUE"""),"Garrett McNamara, Dianna Cohen and Philip Crowther")</f>
        <v>Garrett McNamara, Dianna Cohen and Philip Crowther</v>
      </c>
      <c r="E132" s="4" t="str">
        <f>IFERROR(__xludf.DUMMYFUNCTION("""COMPUTED_VALUE"""),"Garrett McNamara,Dianna Cohen,Philip Crowther")</f>
        <v>Garrett McNamara,Dianna Cohen,Philip Crowther</v>
      </c>
      <c r="F132" s="4" t="str">
        <f>IFERROR(__xludf.DUMMYFUNCTION("""COMPUTED_VALUE"""),"2019/11/05 14:50:00")</f>
        <v>2019/11/05 14:50:00</v>
      </c>
      <c r="G132" s="4" t="str">
        <f>IFERROR(__xludf.DUMMYFUNCTION("""COMPUTED_VALUE"""),"2019/11/05 15:10:00")</f>
        <v>2019/11/05 15:10:00</v>
      </c>
      <c r="H132" s="4" t="str">
        <f>IFERROR(__xludf.DUMMYFUNCTION("""COMPUTED_VALUE"""),"53f761ef-b26e-43d6-b849-c0d302ff6cd6")</f>
        <v>53f761ef-b26e-43d6-b849-c0d302ff6cd6</v>
      </c>
      <c r="I132" s="4" t="str">
        <f>IFERROR(__xludf.DUMMYFUNCTION("""COMPUTED_VALUE"""),"53f761ef-b26e-43d6-b849-c0d302ff6cd6")</f>
        <v>53f761ef-b26e-43d6-b849-c0d302ff6cd6</v>
      </c>
    </row>
    <row r="133">
      <c r="A133" s="4" t="str">
        <f>IFERROR(__xludf.DUMMYFUNCTION("""COMPUTED_VALUE"""),"Innovation and regulation: The EU takes on Silicon Valley ")</f>
        <v>Innovation and regulation: The EU takes on Silicon Valley </v>
      </c>
      <c r="B133" s="4" t="str">
        <f>IFERROR(__xludf.DUMMYFUNCTION("""COMPUTED_VALUE"""),"Europe is well-positioned to overtake Silicon Valley as the ideological heart of the tech industry. In this fireside chat moderated by Nicholas Vinocur from Politico, Dashlane CEO Emmanuel Schalit will discuss how the U.S. has slipped as a leader in tech "&amp;"and innovation, especially as the tech industry has lost the public’s trust after extensive user tracking and massive data breaches. They'll also talk about tech regulation, how the EU is emerging in light of GDPR, and ultimately, who - or rather, where -"&amp;" will own the next generation of the internet.")</f>
        <v>Europe is well-positioned to overtake Silicon Valley as the ideological heart of the tech industry. In this fireside chat moderated by Nicholas Vinocur from Politico, Dashlane CEO Emmanuel Schalit will discuss how the U.S. has slipped as a leader in tech and innovation, especially as the tech industry has lost the public’s trust after extensive user tracking and massive data breaches. They'll also talk about tech regulation, how the EU is emerging in light of GDPR, and ultimately, who - or rather, where - will own the next generation of the internet.</v>
      </c>
      <c r="C133" s="4" t="str">
        <f>IFERROR(__xludf.DUMMYFUNCTION("""COMPUTED_VALUE"""),"SaaS Monster")</f>
        <v>SaaS Monster</v>
      </c>
      <c r="D133" s="4" t="str">
        <f>IFERROR(__xludf.DUMMYFUNCTION("""COMPUTED_VALUE"""),"Emmanuel Schalit and Nicholas Vinocur")</f>
        <v>Emmanuel Schalit and Nicholas Vinocur</v>
      </c>
      <c r="E133" s="4" t="str">
        <f>IFERROR(__xludf.DUMMYFUNCTION("""COMPUTED_VALUE"""),"Emmanuel Schalit,Nicholas Vinocur")</f>
        <v>Emmanuel Schalit,Nicholas Vinocur</v>
      </c>
      <c r="F133" s="4" t="str">
        <f>IFERROR(__xludf.DUMMYFUNCTION("""COMPUTED_VALUE"""),"2019/11/06 14:45:00")</f>
        <v>2019/11/06 14:45:00</v>
      </c>
      <c r="G133" s="4" t="str">
        <f>IFERROR(__xludf.DUMMYFUNCTION("""COMPUTED_VALUE"""),"2019/11/06 15:05:00")</f>
        <v>2019/11/06 15:05:00</v>
      </c>
      <c r="H133" s="4" t="str">
        <f>IFERROR(__xludf.DUMMYFUNCTION("""COMPUTED_VALUE"""),"6f83107c-c233-4251-967d-13e881b14d20")</f>
        <v>6f83107c-c233-4251-967d-13e881b14d20</v>
      </c>
      <c r="I133" s="4" t="str">
        <f>IFERROR(__xludf.DUMMYFUNCTION("""COMPUTED_VALUE"""),"6f83107c-c233-4251-967d-13e881b14d20")</f>
        <v>6f83107c-c233-4251-967d-13e881b14d20</v>
      </c>
    </row>
    <row r="134">
      <c r="A134" s="4" t="str">
        <f>IFERROR(__xludf.DUMMYFUNCTION("""COMPUTED_VALUE"""),"DS TEST TITLE")</f>
        <v>DS TEST TITLE</v>
      </c>
      <c r="B134" s="4" t="str">
        <f>IFERROR(__xludf.DUMMYFUNCTION("""COMPUTED_VALUE"""),"DS TEST DESCRIPTION")</f>
        <v>DS TEST DESCRIPTION</v>
      </c>
      <c r="C134" s="4" t="str">
        <f>IFERROR(__xludf.DUMMYFUNCTION("""COMPUTED_VALUE"""),"")</f>
        <v/>
      </c>
      <c r="D134" s="4" t="str">
        <f>IFERROR(__xludf.DUMMYFUNCTION("""COMPUTED_VALUE"""),"Aaron Meagher")</f>
        <v>Aaron Meagher</v>
      </c>
      <c r="E134" s="4" t="str">
        <f>IFERROR(__xludf.DUMMYFUNCTION("""COMPUTED_VALUE"""),"Aaron Meagher")</f>
        <v>Aaron Meagher</v>
      </c>
      <c r="F134" s="4" t="str">
        <f>IFERROR(__xludf.DUMMYFUNCTION("""COMPUTED_VALUE"""),"2019/05/21 13:45:00")</f>
        <v>2019/05/21 13:45:00</v>
      </c>
      <c r="G134" s="4" t="str">
        <f>IFERROR(__xludf.DUMMYFUNCTION("""COMPUTED_VALUE"""),"2019/05/21 14:00:00")</f>
        <v>2019/05/21 14:00:00</v>
      </c>
      <c r="H134" s="4" t="str">
        <f>IFERROR(__xludf.DUMMYFUNCTION("""COMPUTED_VALUE"""),"b96fd2d5-f2cf-4ad8-83fc-9550eada9ab6")</f>
        <v>b96fd2d5-f2cf-4ad8-83fc-9550eada9ab6</v>
      </c>
      <c r="I134" s="4" t="str">
        <f>IFERROR(__xludf.DUMMYFUNCTION("""COMPUTED_VALUE"""),"b96fd2d5-f2cf-4ad8-83fc-9550eada9ab6")</f>
        <v>b96fd2d5-f2cf-4ad8-83fc-9550eada9ab6</v>
      </c>
    </row>
    <row r="135">
      <c r="A135" s="4" t="str">
        <f>IFERROR(__xludf.DUMMYFUNCTION("""COMPUTED_VALUE"""),"Cash is dead, what's next to go?")</f>
        <v>Cash is dead, what's next to go?</v>
      </c>
      <c r="B135" s="4" t="str">
        <f>IFERROR(__xludf.DUMMYFUNCTION("""COMPUTED_VALUE"""),"Despite scrutiny and skepticism, fintech disruption is here to stay. It's hard to argue against the value of breaking the old models. With cash and brick and mortars on their way out, fintech leaders give their vision for the next big change. ")</f>
        <v>Despite scrutiny and skepticism, fintech disruption is here to stay. It's hard to argue against the value of breaking the old models. With cash and brick and mortars on their way out, fintech leaders give their vision for the next big change. </v>
      </c>
      <c r="C135" s="4" t="str">
        <f>IFERROR(__xludf.DUMMYFUNCTION("""COMPUTED_VALUE"""),"Centre Stage")</f>
        <v>Centre Stage</v>
      </c>
      <c r="D135" s="4" t="str">
        <f>IFERROR(__xludf.DUMMYFUNCTION("""COMPUTED_VALUE"""),"Nikolay Storonsky, Zach Perret, Anne Boden and Felix Salmon")</f>
        <v>Nikolay Storonsky, Zach Perret, Anne Boden and Felix Salmon</v>
      </c>
      <c r="E135" s="4" t="str">
        <f>IFERROR(__xludf.DUMMYFUNCTION("""COMPUTED_VALUE"""),"Nikolay Storonsky,Zach Perret,Anne Boden,Felix Salmon")</f>
        <v>Nikolay Storonsky,Zach Perret,Anne Boden,Felix Salmon</v>
      </c>
      <c r="F135" s="4" t="str">
        <f>IFERROR(__xludf.DUMMYFUNCTION("""COMPUTED_VALUE"""),"2019/11/07 12:10:00")</f>
        <v>2019/11/07 12:10:00</v>
      </c>
      <c r="G135" s="4" t="str">
        <f>IFERROR(__xludf.DUMMYFUNCTION("""COMPUTED_VALUE"""),"2019/11/07 12:30:00")</f>
        <v>2019/11/07 12:30:00</v>
      </c>
      <c r="H135" s="4" t="str">
        <f>IFERROR(__xludf.DUMMYFUNCTION("""COMPUTED_VALUE"""),"b2d76271-5c88-4504-8eb4-6f45b3b38de4")</f>
        <v>b2d76271-5c88-4504-8eb4-6f45b3b38de4</v>
      </c>
      <c r="I135" s="4" t="str">
        <f>IFERROR(__xludf.DUMMYFUNCTION("""COMPUTED_VALUE"""),"b2d76271-5c88-4504-8eb4-6f45b3b38de4")</f>
        <v>b2d76271-5c88-4504-8eb4-6f45b3b38de4</v>
      </c>
    </row>
    <row r="136">
      <c r="A136" s="4" t="str">
        <f>IFERROR(__xludf.DUMMYFUNCTION("""COMPUTED_VALUE"""),"Should robots have rights?")</f>
        <v>Should robots have rights?</v>
      </c>
      <c r="B136" s="4" t="str">
        <f>IFERROR(__xludf.DUMMYFUNCTION("""COMPUTED_VALUE"""),"Many experts have warned of the importance to protecting humanity from advanced AI, but could we reach a time when we are a threat to the robots? We'll discuss whether the concept of rights applies to humans alone. 
")</f>
        <v>Many experts have warned of the importance to protecting humanity from advanced AI, but could we reach a time when we are a threat to the robots? We'll discuss whether the concept of rights applies to humans alone. 
</v>
      </c>
      <c r="C136" s="4" t="str">
        <f>IFERROR(__xludf.DUMMYFUNCTION("""COMPUTED_VALUE"""),"DeepTech")</f>
        <v>DeepTech</v>
      </c>
      <c r="D136" s="4" t="str">
        <f>IFERROR(__xludf.DUMMYFUNCTION("""COMPUTED_VALUE"""),"John Basl, Steve Petersen, Ben Goertzel, Fouzia Adjailia and Louise Lucas")</f>
        <v>John Basl, Steve Petersen, Ben Goertzel, Fouzia Adjailia and Louise Lucas</v>
      </c>
      <c r="E136" s="4" t="str">
        <f>IFERROR(__xludf.DUMMYFUNCTION("""COMPUTED_VALUE"""),"John Basl,Steve Petersen,Ben Goertzel,Fouzia Adjailia,Louise Lucas")</f>
        <v>John Basl,Steve Petersen,Ben Goertzel,Fouzia Adjailia,Louise Lucas</v>
      </c>
      <c r="F136" s="4" t="str">
        <f>IFERROR(__xludf.DUMMYFUNCTION("""COMPUTED_VALUE"""),"2019/11/06 12:10:00")</f>
        <v>2019/11/06 12:10:00</v>
      </c>
      <c r="G136" s="4" t="str">
        <f>IFERROR(__xludf.DUMMYFUNCTION("""COMPUTED_VALUE"""),"2019/11/06 12:35:00")</f>
        <v>2019/11/06 12:35:00</v>
      </c>
      <c r="H136" s="4" t="str">
        <f>IFERROR(__xludf.DUMMYFUNCTION("""COMPUTED_VALUE"""),"cad13a64-b9db-4862-b091-0435773e2aec")</f>
        <v>cad13a64-b9db-4862-b091-0435773e2aec</v>
      </c>
      <c r="I136" s="4" t="str">
        <f>IFERROR(__xludf.DUMMYFUNCTION("""COMPUTED_VALUE"""),"cad13a64-b9db-4862-b091-0435773e2aec")</f>
        <v>cad13a64-b9db-4862-b091-0435773e2aec</v>
      </c>
    </row>
    <row r="137">
      <c r="A137" s="4" t="str">
        <f>IFERROR(__xludf.DUMMYFUNCTION("""COMPUTED_VALUE"""),"Opening remarks")</f>
        <v>Opening remarks</v>
      </c>
      <c r="B137" s="4" t="str">
        <f>IFERROR(__xludf.DUMMYFUNCTION("""COMPUTED_VALUE"""),"")</f>
        <v/>
      </c>
      <c r="C137" s="4" t="str">
        <f>IFERROR(__xludf.DUMMYFUNCTION("""COMPUTED_VALUE"""),"PandaConf")</f>
        <v>PandaConf</v>
      </c>
      <c r="D137" s="4" t="str">
        <f>IFERROR(__xludf.DUMMYFUNCTION("""COMPUTED_VALUE"""),"Belinda Esterhammer")</f>
        <v>Belinda Esterhammer</v>
      </c>
      <c r="E137" s="4" t="str">
        <f>IFERROR(__xludf.DUMMYFUNCTION("""COMPUTED_VALUE"""),"Belinda Esterhammer")</f>
        <v>Belinda Esterhammer</v>
      </c>
      <c r="F137" s="4" t="str">
        <f>IFERROR(__xludf.DUMMYFUNCTION("""COMPUTED_VALUE"""),"2019/11/06 13:20:00")</f>
        <v>2019/11/06 13:20:00</v>
      </c>
      <c r="G137" s="4" t="str">
        <f>IFERROR(__xludf.DUMMYFUNCTION("""COMPUTED_VALUE"""),"2019/11/06 13:25:00")</f>
        <v>2019/11/06 13:25:00</v>
      </c>
      <c r="H137" s="4" t="str">
        <f>IFERROR(__xludf.DUMMYFUNCTION("""COMPUTED_VALUE"""),"fb0e70e0-034f-404d-9fc4-51faa6d0e1dc")</f>
        <v>fb0e70e0-034f-404d-9fc4-51faa6d0e1dc</v>
      </c>
      <c r="I137" s="4" t="str">
        <f>IFERROR(__xludf.DUMMYFUNCTION("""COMPUTED_VALUE"""),"fb0e70e0-034f-404d-9fc4-51faa6d0e1dc")</f>
        <v>fb0e70e0-034f-404d-9fc4-51faa6d0e1dc</v>
      </c>
    </row>
    <row r="138">
      <c r="A138" s="4" t="str">
        <f>IFERROR(__xludf.DUMMYFUNCTION("""COMPUTED_VALUE"""),"The moon, for your next-level business ")</f>
        <v>The moon, for your next-level business </v>
      </c>
      <c r="B138" s="4" t="str">
        <f>IFERROR(__xludf.DUMMYFUNCTION("""COMPUTED_VALUE"""),"Takeshi Hakamada, Founder &amp; CEO of ispace, a Japanese lunar exploration company that raised over $90 million for its upcoming private lunar missions, will speak about the business opportunity for non-space companies to enter the lunar market. With a focus"&amp;" on the automotive industry, Takeshi will speak about the companies that have partnered with ispace to bring their business to the Moon.")</f>
        <v>Takeshi Hakamada, Founder &amp; CEO of ispace, a Japanese lunar exploration company that raised over $90 million for its upcoming private lunar missions, will speak about the business opportunity for non-space companies to enter the lunar market. With a focus on the automotive industry, Takeshi will speak about the companies that have partnered with ispace to bring their business to the Moon.</v>
      </c>
      <c r="C138" s="4" t="str">
        <f>IFERROR(__xludf.DUMMYFUNCTION("""COMPUTED_VALUE"""),"Auto/Tech &amp; TalkRobot")</f>
        <v>Auto/Tech &amp; TalkRobot</v>
      </c>
      <c r="D138" s="4" t="str">
        <f>IFERROR(__xludf.DUMMYFUNCTION("""COMPUTED_VALUE"""),"Takeshi Hakamada")</f>
        <v>Takeshi Hakamada</v>
      </c>
      <c r="E138" s="4" t="str">
        <f>IFERROR(__xludf.DUMMYFUNCTION("""COMPUTED_VALUE"""),"Takeshi Hakamada")</f>
        <v>Takeshi Hakamada</v>
      </c>
      <c r="F138" s="4" t="str">
        <f>IFERROR(__xludf.DUMMYFUNCTION("""COMPUTED_VALUE"""),"2019/11/06 12:35:00")</f>
        <v>2019/11/06 12:35:00</v>
      </c>
      <c r="G138" s="4" t="str">
        <f>IFERROR(__xludf.DUMMYFUNCTION("""COMPUTED_VALUE"""),"2019/11/06 12:55:00")</f>
        <v>2019/11/06 12:55:00</v>
      </c>
      <c r="H138" s="4" t="str">
        <f>IFERROR(__xludf.DUMMYFUNCTION("""COMPUTED_VALUE"""),"2d2605c0-2036-4e02-a704-55fb46ddbf1b")</f>
        <v>2d2605c0-2036-4e02-a704-55fb46ddbf1b</v>
      </c>
      <c r="I138" s="4" t="str">
        <f>IFERROR(__xludf.DUMMYFUNCTION("""COMPUTED_VALUE"""),"2d2605c0-2036-4e02-a704-55fb46ddbf1b")</f>
        <v>2d2605c0-2036-4e02-a704-55fb46ddbf1b</v>
      </c>
    </row>
    <row r="139">
      <c r="A139" s="4" t="str">
        <f>IFERROR(__xludf.DUMMYFUNCTION("""COMPUTED_VALUE"""),"Banking on it: Why fintech is more than a safe bet")</f>
        <v>Banking on it: Why fintech is more than a safe bet</v>
      </c>
      <c r="B139" s="4" t="str">
        <f>IFERROR(__xludf.DUMMYFUNCTION("""COMPUTED_VALUE"""),"Fintech could be a gateway to financial inclusion globally, making the sector more than just a smart bet. From online lending to payments startups, why should VCs focus on fintech?")</f>
        <v>Fintech could be a gateway to financial inclusion globally, making the sector more than just a smart bet. From online lending to payments startups, why should VCs focus on fintech?</v>
      </c>
      <c r="C139" s="4" t="str">
        <f>IFERROR(__xludf.DUMMYFUNCTION("""COMPUTED_VALUE"""),"Venture stage")</f>
        <v>Venture stage</v>
      </c>
      <c r="D139" s="4" t="str">
        <f>IFERROR(__xludf.DUMMYFUNCTION("""COMPUTED_VALUE"""),"Michael Schlein, Donatella Callegaris and Callum Burroughs")</f>
        <v>Michael Schlein, Donatella Callegaris and Callum Burroughs</v>
      </c>
      <c r="E139" s="4" t="str">
        <f>IFERROR(__xludf.DUMMYFUNCTION("""COMPUTED_VALUE"""),"Michael Schlein,Donatella Callegaris,Callum Burroughs")</f>
        <v>Michael Schlein,Donatella Callegaris,Callum Burroughs</v>
      </c>
      <c r="F139" s="4" t="str">
        <f>IFERROR(__xludf.DUMMYFUNCTION("""COMPUTED_VALUE"""),"2019/11/05 15:30:00")</f>
        <v>2019/11/05 15:30:00</v>
      </c>
      <c r="G139" s="4" t="str">
        <f>IFERROR(__xludf.DUMMYFUNCTION("""COMPUTED_VALUE"""),"2019/11/05 15:50:00")</f>
        <v>2019/11/05 15:50:00</v>
      </c>
      <c r="H139" s="4" t="str">
        <f>IFERROR(__xludf.DUMMYFUNCTION("""COMPUTED_VALUE"""),"5100d185-ad11-4412-b62f-f5e2bf55b693")</f>
        <v>5100d185-ad11-4412-b62f-f5e2bf55b693</v>
      </c>
      <c r="I139" s="4" t="str">
        <f>IFERROR(__xludf.DUMMYFUNCTION("""COMPUTED_VALUE"""),"5100d185-ad11-4412-b62f-f5e2bf55b693")</f>
        <v>5100d185-ad11-4412-b62f-f5e2bf55b693</v>
      </c>
    </row>
    <row r="140">
      <c r="A140" s="4" t="str">
        <f>IFERROR(__xludf.DUMMYFUNCTION("""COMPUTED_VALUE"""),"A review of top smart watches to hit the market")</f>
        <v>A review of top smart watches to hit the market</v>
      </c>
      <c r="B140" s="4" t="str">
        <f>IFERROR(__xludf.DUMMYFUNCTION("""COMPUTED_VALUE"""),"Meet the latest range of smart watches which can do everything from tracking your heart rate, to playing music while you run. How does our panel of reviewers rate them against their market rivals?")</f>
        <v>Meet the latest range of smart watches which can do everything from tracking your heart rate, to playing music while you run. How does our panel of reviewers rate them against their market rivals?</v>
      </c>
      <c r="C140" s="4" t="str">
        <f>IFERROR(__xludf.DUMMYFUNCTION("""COMPUTED_VALUE"""),"UnBoxed")</f>
        <v>UnBoxed</v>
      </c>
      <c r="D140" s="4" t="str">
        <f>IFERROR(__xludf.DUMMYFUNCTION("""COMPUTED_VALUE"""),"Eli Etherton, Tom Honeyands, Katie Collins and Lindsey Turrentine")</f>
        <v>Eli Etherton, Tom Honeyands, Katie Collins and Lindsey Turrentine</v>
      </c>
      <c r="E140" s="4" t="str">
        <f>IFERROR(__xludf.DUMMYFUNCTION("""COMPUTED_VALUE"""),"Eli Etherton,Tom Honeyands,Katie Collins,Lindsey Turrentine")</f>
        <v>Eli Etherton,Tom Honeyands,Katie Collins,Lindsey Turrentine</v>
      </c>
      <c r="F140" s="4" t="str">
        <f>IFERROR(__xludf.DUMMYFUNCTION("""COMPUTED_VALUE"""),"2019/11/05 12:45:00")</f>
        <v>2019/11/05 12:45:00</v>
      </c>
      <c r="G140" s="4" t="str">
        <f>IFERROR(__xludf.DUMMYFUNCTION("""COMPUTED_VALUE"""),"2019/11/05 13:15:00")</f>
        <v>2019/11/05 13:15:00</v>
      </c>
      <c r="H140" s="4" t="str">
        <f>IFERROR(__xludf.DUMMYFUNCTION("""COMPUTED_VALUE"""),"0ddd2d08-0a01-4207-af98-ade08b4d210a")</f>
        <v>0ddd2d08-0a01-4207-af98-ade08b4d210a</v>
      </c>
      <c r="I140" s="4" t="str">
        <f>IFERROR(__xludf.DUMMYFUNCTION("""COMPUTED_VALUE"""),"0ddd2d08-0a01-4207-af98-ade08b4d210a")</f>
        <v>0ddd2d08-0a01-4207-af98-ade08b4d210a</v>
      </c>
    </row>
    <row r="141">
      <c r="A141" s="4" t="str">
        <f>IFERROR(__xludf.DUMMYFUNCTION("""COMPUTED_VALUE"""),"Startup Showcase")</f>
        <v>Startup Showcase</v>
      </c>
      <c r="B141" s="4" t="str">
        <f>IFERROR(__xludf.DUMMYFUNCTION("""COMPUTED_VALUE"""),"")</f>
        <v/>
      </c>
      <c r="C141" s="4" t="str">
        <f>IFERROR(__xludf.DUMMYFUNCTION("""COMPUTED_VALUE"""),"")</f>
        <v/>
      </c>
      <c r="D141" s="4" t="str">
        <f>IFERROR(__xludf.DUMMYFUNCTION("""COMPUTED_VALUE"""),"Steven Gundry,  Mohamed Khashaba,  YongKee Lim,  Damien Gorlier,  Feldberg Natalia,  Chelsy Swackhamer,  Etienne Petermann,  Apar Jain,  Kwon Taehyeon,  Lys Mehou-Loko,  Agata Baran,  Mohamed Abdallah,  Amin Hossein,  Daeho Lee,  Davood Fanaei Sheikholesl"&amp;"ami,  Hermann 'Hesh' Schreiter,  Amelie Grohnert,  Mohammed Ahmad,  Chang Hun (Douglass) Lee,  Tatiana Khodanovich,  Johan Boholm,  Viktoriia Sharapova,  Carlos Ferreira,  Hassan Yasin,  Michael Maurer-Pühringer,  Valeria Mingova,  Jueun Ha,  Sergey Vassi"&amp;"lyev,  Soonae Lee,  Mohammad Mohammad Amini,  Bola Bardet,  Mihai Draghici,  DongHoon Lee,  Lawrence Smith,  Graham Mak,  Dennis Poon,  Esmaeil Kondori,  Markus Pelnar,  Victoria Shabunina,  Ahmed Abdelaty,  DAWOON Han,  Luca Buscioni,  Diana Mereu,  Ali "&amp;"Alvi,  Marcin Kotewicz,  Jakub Jamontt,  Armando Statti,  Ana Cristina Grohnert and  Joanna Yein Song and Richard Schütze")</f>
        <v>Steven Gundry,  Mohamed Khashaba,  YongKee Lim,  Damien Gorlier,  Feldberg Natalia,  Chelsy Swackhamer,  Etienne Petermann,  Apar Jain,  Kwon Taehyeon,  Lys Mehou-Loko,  Agata Baran,  Mohamed Abdallah,  Amin Hossein,  Daeho Lee,  Davood Fanaei Sheikholeslami,  Hermann 'Hesh' Schreiter,  Amelie Grohnert,  Mohammed Ahmad,  Chang Hun (Douglass) Lee,  Tatiana Khodanovich,  Johan Boholm,  Viktoriia Sharapova,  Carlos Ferreira,  Hassan Yasin,  Michael Maurer-Pühringer,  Valeria Mingova,  Jueun Ha,  Sergey Vassilyev,  Soonae Lee,  Mohammad Mohammad Amini,  Bola Bardet,  Mihai Draghici,  DongHoon Lee,  Lawrence Smith,  Graham Mak,  Dennis Poon,  Esmaeil Kondori,  Markus Pelnar,  Victoria Shabunina,  Ahmed Abdelaty,  DAWOON Han,  Luca Buscioni,  Diana Mereu,  Ali Alvi,  Marcin Kotewicz,  Jakub Jamontt,  Armando Statti,  Ana Cristina Grohnert and  Joanna Yein Song and Richard Schütze</v>
      </c>
      <c r="E141" s="4" t="str">
        <f>IFERROR(__xludf.DUMMYFUNCTION("""COMPUTED_VALUE"""),"Steven Gundry, Mohamed Khashaba, YongKee Lim, Damien Gorlier, Feldberg Natalia, Chelsy Swackhamer, Etienne Petermann, Apar Jain, Kwon Taehyeon, Lys Mehou-Loko, Agata Baran, Mohamed Abdallah, Amin Hossein, Daeho Lee, Davood Fanaei Sheikholeslami, Hermann '"&amp;"Hesh' Schreiter, Amelie Grohnert, Mohammed Ahmad, Chang Hun (Douglass) Lee, Tatiana Khodanovich, Johan Boholm, Viktoriia Sharapova, Carlos Ferreira, Hassan Yasin, Michael Maurer-Pühringer, Valeria Mingova, Jueun Ha, Sergey Vassilyev, Soonae Lee, Mohammad "&amp;"Mohammad Amini, Bola Bardet, Mihai Draghici, DongHoon Lee, Lawrence Smith, Graham Mak, Dennis Poon, Esmaeil Kondori, Markus Pelnar, Victoria Shabunina, Ahmed Abdelaty, DAWOON Han, Luca Buscioni, Diana Mereu, Ali Alvi, Marcin Kotewicz, Jakub Jamontt, Arman"&amp;"do Statti, Ana Cristina Grohnert, Joanna Yein Song and Richard Schütze")</f>
        <v>Steven Gundry, Mohamed Khashaba, YongKee Lim, Damien Gorlier, Feldberg Natalia, Chelsy Swackhamer, Etienne Petermann, Apar Jain, Kwon Taehyeon, Lys Mehou-Loko, Agata Baran, Mohamed Abdallah, Amin Hossein, Daeho Lee, Davood Fanaei Sheikholeslami, Hermann 'Hesh' Schreiter, Amelie Grohnert, Mohammed Ahmad, Chang Hun (Douglass) Lee, Tatiana Khodanovich, Johan Boholm, Viktoriia Sharapova, Carlos Ferreira, Hassan Yasin, Michael Maurer-Pühringer, Valeria Mingova, Jueun Ha, Sergey Vassilyev, Soonae Lee, Mohammad Mohammad Amini, Bola Bardet, Mihai Draghici, DongHoon Lee, Lawrence Smith, Graham Mak, Dennis Poon, Esmaeil Kondori, Markus Pelnar, Victoria Shabunina, Ahmed Abdelaty, DAWOON Han, Luca Buscioni, Diana Mereu, Ali Alvi, Marcin Kotewicz, Jakub Jamontt, Armando Statti, Ana Cristina Grohnert, Joanna Yein Song and Richard Schütze</v>
      </c>
      <c r="F141" s="4" t="str">
        <f>IFERROR(__xludf.DUMMYFUNCTION("""COMPUTED_VALUE"""),"")</f>
        <v/>
      </c>
      <c r="G141" s="4" t="str">
        <f>IFERROR(__xludf.DUMMYFUNCTION("""COMPUTED_VALUE"""),"")</f>
        <v/>
      </c>
      <c r="H141" s="4" t="str">
        <f>IFERROR(__xludf.DUMMYFUNCTION("""COMPUTED_VALUE"""),"4e6c7af8-4e5e-5596-80ba-21b0ed6db59b")</f>
        <v>4e6c7af8-4e5e-5596-80ba-21b0ed6db59b</v>
      </c>
      <c r="I141" s="4" t="str">
        <f>IFERROR(__xludf.DUMMYFUNCTION("""COMPUTED_VALUE"""),"4e6c7af8-4e5e-5596-80ba-21b0ed6db59b")</f>
        <v>4e6c7af8-4e5e-5596-80ba-21b0ed6db59b</v>
      </c>
    </row>
    <row r="142">
      <c r="A142" s="4" t="str">
        <f>IFERROR(__xludf.DUMMYFUNCTION("""COMPUTED_VALUE"""),"Featured venue: La Puttana")</f>
        <v>Featured venue: La Puttana</v>
      </c>
      <c r="B142" s="4" t="str">
        <f>IFERROR(__xludf.DUMMYFUNCTION("""COMPUTED_VALUE"""),"At this small and provocatively named pizza place (we'll leave you to check it out on Google Translate), upstart chef Nuno Bergonse keeps things simple. A handful of Neapolitan-style pizzas are the perfect treat to hit the spot on a buzzing evening out al"&amp;"ong Pink Street. Rumour has it they taste even better at 2am...
Night Summit deals: 
Food deal: pizza (normal size) + free drink (imperial, tea, wine glass)")</f>
        <v>At this small and provocatively named pizza place (we'll leave you to check it out on Google Translate), upstart chef Nuno Bergonse keeps things simple. A handful of Neapolitan-style pizzas are the perfect treat to hit the spot on a buzzing evening out along Pink Street. Rumour has it they taste even better at 2am...
Night Summit deals: 
Food deal: pizza (normal size) + free drink (imperial, tea, wine glass)</v>
      </c>
      <c r="C142" s="4" t="str">
        <f>IFERROR(__xludf.DUMMYFUNCTION("""COMPUTED_VALUE"""),"La Puttana")</f>
        <v>La Puttana</v>
      </c>
      <c r="D142" s="4" t="str">
        <f>IFERROR(__xludf.DUMMYFUNCTION("""COMPUTED_VALUE"""),"")</f>
        <v/>
      </c>
      <c r="E142" s="4" t="str">
        <f>IFERROR(__xludf.DUMMYFUNCTION("""COMPUTED_VALUE"""),"")</f>
        <v/>
      </c>
      <c r="F142" s="4" t="str">
        <f>IFERROR(__xludf.DUMMYFUNCTION("""COMPUTED_VALUE"""),"2019/11/05 20:00:00")</f>
        <v>2019/11/05 20:00:00</v>
      </c>
      <c r="G142" s="4" t="str">
        <f>IFERROR(__xludf.DUMMYFUNCTION("""COMPUTED_VALUE"""),"2019/11/06 00:00:00")</f>
        <v>2019/11/06 00:00:00</v>
      </c>
      <c r="H142" s="4" t="str">
        <f>IFERROR(__xludf.DUMMYFUNCTION("""COMPUTED_VALUE"""),"460702a6-4620-4646-92f9-1d00700e5439")</f>
        <v>460702a6-4620-4646-92f9-1d00700e5439</v>
      </c>
      <c r="I142" s="4" t="str">
        <f>IFERROR(__xludf.DUMMYFUNCTION("""COMPUTED_VALUE"""),"460702a6-4620-4646-92f9-1d00700e5439")</f>
        <v>460702a6-4620-4646-92f9-1d00700e5439</v>
      </c>
    </row>
    <row r="143">
      <c r="A143" s="4" t="str">
        <f>IFERROR(__xludf.DUMMYFUNCTION("""COMPUTED_VALUE"""),"A picture is worth a thousand words")</f>
        <v>A picture is worth a thousand words</v>
      </c>
      <c r="B143" s="4" t="str">
        <f>IFERROR(__xludf.DUMMYFUNCTION("""COMPUTED_VALUE"""),"At this talk you will be in the company of one of our generation’s foremost photographers. Over the last 30 years, Rankin has worked in fashion, music and branding and has captured some of pop culture’s most iconic images. Join us as he talks through what"&amp;" he’s learned in a lifetime behind the lens.")</f>
        <v>At this talk you will be in the company of one of our generation’s foremost photographers. Over the last 30 years, Rankin has worked in fashion, music and branding and has captured some of pop culture’s most iconic images. Join us as he talks through what he’s learned in a lifetime behind the lens.</v>
      </c>
      <c r="C143" s="4" t="str">
        <f>IFERROR(__xludf.DUMMYFUNCTION("""COMPUTED_VALUE"""),"ContentMakers")</f>
        <v>ContentMakers</v>
      </c>
      <c r="D143" s="4" t="str">
        <f>IFERROR(__xludf.DUMMYFUNCTION("""COMPUTED_VALUE"""),"  and Rob Schwartz")</f>
        <v>  and Rob Schwartz</v>
      </c>
      <c r="E143" s="4" t="str">
        <f>IFERROR(__xludf.DUMMYFUNCTION("""COMPUTED_VALUE""")," ,Rob Schwartz")</f>
        <v> ,Rob Schwartz</v>
      </c>
      <c r="F143" s="4" t="str">
        <f>IFERROR(__xludf.DUMMYFUNCTION("""COMPUTED_VALUE"""),"2019/11/06 14:15:00")</f>
        <v>2019/11/06 14:15:00</v>
      </c>
      <c r="G143" s="4" t="str">
        <f>IFERROR(__xludf.DUMMYFUNCTION("""COMPUTED_VALUE"""),"2019/11/06 14:35:00")</f>
        <v>2019/11/06 14:35:00</v>
      </c>
      <c r="H143" s="4" t="str">
        <f>IFERROR(__xludf.DUMMYFUNCTION("""COMPUTED_VALUE"""),"dfb4965a-f237-40d1-b849-365622e84eaf")</f>
        <v>dfb4965a-f237-40d1-b849-365622e84eaf</v>
      </c>
      <c r="I143" s="4" t="str">
        <f>IFERROR(__xludf.DUMMYFUNCTION("""COMPUTED_VALUE"""),"dfb4965a-f237-40d1-b849-365622e84eaf")</f>
        <v>dfb4965a-f237-40d1-b849-365622e84eaf</v>
      </c>
    </row>
    <row r="144">
      <c r="A144" s="4" t="str">
        <f>IFERROR(__xludf.DUMMYFUNCTION("""COMPUTED_VALUE"""),"Opening remarks")</f>
        <v>Opening remarks</v>
      </c>
      <c r="B144" s="4" t="str">
        <f>IFERROR(__xludf.DUMMYFUNCTION("""COMPUTED_VALUE"""),"")</f>
        <v/>
      </c>
      <c r="C144" s="4" t="str">
        <f>IFERROR(__xludf.DUMMYFUNCTION("""COMPUTED_VALUE"""),"PandaConf")</f>
        <v>PandaConf</v>
      </c>
      <c r="D144" s="4" t="str">
        <f>IFERROR(__xludf.DUMMYFUNCTION("""COMPUTED_VALUE"""),"Mark Little")</f>
        <v>Mark Little</v>
      </c>
      <c r="E144" s="4" t="str">
        <f>IFERROR(__xludf.DUMMYFUNCTION("""COMPUTED_VALUE"""),"Mark Little")</f>
        <v>Mark Little</v>
      </c>
      <c r="F144" s="4" t="str">
        <f>IFERROR(__xludf.DUMMYFUNCTION("""COMPUTED_VALUE"""),"2019/11/05 10:30:00")</f>
        <v>2019/11/05 10:30:00</v>
      </c>
      <c r="G144" s="4" t="str">
        <f>IFERROR(__xludf.DUMMYFUNCTION("""COMPUTED_VALUE"""),"2019/11/05 10:45:00")</f>
        <v>2019/11/05 10:45:00</v>
      </c>
      <c r="H144" s="4" t="str">
        <f>IFERROR(__xludf.DUMMYFUNCTION("""COMPUTED_VALUE"""),"e9c06ccc-b1b0-488e-8769-505b81a582f8")</f>
        <v>e9c06ccc-b1b0-488e-8769-505b81a582f8</v>
      </c>
      <c r="I144" s="4" t="str">
        <f>IFERROR(__xludf.DUMMYFUNCTION("""COMPUTED_VALUE"""),"e9c06ccc-b1b0-488e-8769-505b81a582f8")</f>
        <v>e9c06ccc-b1b0-488e-8769-505b81a582f8</v>
      </c>
    </row>
    <row r="145">
      <c r="A145" s="4" t="str">
        <f>IFERROR(__xludf.DUMMYFUNCTION("""COMPUTED_VALUE"""),"Dubai 4.0: A global entrepreneurship and innovation opportunity, hosted by Dubai Investment Development Agency")</f>
        <v>Dubai 4.0: A global entrepreneurship and innovation opportunity, hosted by Dubai Investment Development Agency</v>
      </c>
      <c r="B145" s="4" t="str">
        <f>IFERROR(__xludf.DUMMYFUNCTION("""COMPUTED_VALUE"""),"Dubai’s drive to converge industry 4.0 technologies into the fabric of city life has achieved significant gains in productivity, efficiency, safety, and sustainability. These advancements further inspire new ways of thinking to shape the smart and sustain"&amp;"able cities of tomorrow.
Learn from leading Dubai government organisations about how the local connected ecosystem creates unique growth opportunities for startups, scale-ups, investors, as well as established innovative businesses from around the world.")</f>
        <v>Dubai’s drive to converge industry 4.0 technologies into the fabric of city life has achieved significant gains in productivity, efficiency, safety, and sustainability. These advancements further inspire new ways of thinking to shape the smart and sustainable cities of tomorrow.
Learn from leading Dubai government organisations about how the local connected ecosystem creates unique growth opportunities for startups, scale-ups, investors, as well as established innovative businesses from around the world.</v>
      </c>
      <c r="C145" s="4" t="str">
        <f>IFERROR(__xludf.DUMMYFUNCTION("""COMPUTED_VALUE"""),"Workshop 2")</f>
        <v>Workshop 2</v>
      </c>
      <c r="D145" s="4" t="str">
        <f>IFERROR(__xludf.DUMMYFUNCTION("""COMPUTED_VALUE"""),"")</f>
        <v/>
      </c>
      <c r="E145" s="4" t="str">
        <f>IFERROR(__xludf.DUMMYFUNCTION("""COMPUTED_VALUE"""),"")</f>
        <v/>
      </c>
      <c r="F145" s="4" t="str">
        <f>IFERROR(__xludf.DUMMYFUNCTION("""COMPUTED_VALUE"""),"2019/11/06 10:00:00")</f>
        <v>2019/11/06 10:00:00</v>
      </c>
      <c r="G145" s="4" t="str">
        <f>IFERROR(__xludf.DUMMYFUNCTION("""COMPUTED_VALUE"""),"2019/11/06 11:30:00")</f>
        <v>2019/11/06 11:30:00</v>
      </c>
      <c r="H145" s="4" t="str">
        <f>IFERROR(__xludf.DUMMYFUNCTION("""COMPUTED_VALUE"""),"ff7ae125-13b5-40aa-bc4b-5a9b68e1da75")</f>
        <v>ff7ae125-13b5-40aa-bc4b-5a9b68e1da75</v>
      </c>
      <c r="I145" s="4" t="str">
        <f>IFERROR(__xludf.DUMMYFUNCTION("""COMPUTED_VALUE"""),"ff7ae125-13b5-40aa-bc4b-5a9b68e1da75")</f>
        <v>ff7ae125-13b5-40aa-bc4b-5a9b68e1da75</v>
      </c>
    </row>
    <row r="146">
      <c r="A146" s="4" t="str">
        <f>IFERROR(__xludf.DUMMYFUNCTION("""COMPUTED_VALUE"""),"Working with giants: Three ways to close B2B partnerships faster")</f>
        <v>Working with giants: Three ways to close B2B partnerships faster</v>
      </c>
      <c r="B146" s="4" t="str">
        <f>IFERROR(__xludf.DUMMYFUNCTION("""COMPUTED_VALUE"""),"David and Goliath - this was the fintech metaphor everyone was using. CEO &amp; founder of Flux, Matty outlines how the company progressed from us versus them and started to deliver for customers instead of just companies, through a variety of partnerships in"&amp;"cluding Just Eat, KFC, and Barclays.")</f>
        <v>David and Goliath - this was the fintech metaphor everyone was using. CEO &amp; founder of Flux, Matty outlines how the company progressed from us versus them and started to deliver for customers instead of just companies, through a variety of partnerships including Just Eat, KFC, and Barclays.</v>
      </c>
      <c r="C146" s="4" t="str">
        <f>IFERROR(__xludf.DUMMYFUNCTION("""COMPUTED_VALUE"""),"Growth Summit")</f>
        <v>Growth Summit</v>
      </c>
      <c r="D146" s="4" t="str">
        <f>IFERROR(__xludf.DUMMYFUNCTION("""COMPUTED_VALUE"""),"Matty Cusden-Ross")</f>
        <v>Matty Cusden-Ross</v>
      </c>
      <c r="E146" s="4" t="str">
        <f>IFERROR(__xludf.DUMMYFUNCTION("""COMPUTED_VALUE"""),"Matty Cusden-Ross")</f>
        <v>Matty Cusden-Ross</v>
      </c>
      <c r="F146" s="4" t="str">
        <f>IFERROR(__xludf.DUMMYFUNCTION("""COMPUTED_VALUE"""),"2019/11/06 10:10:00")</f>
        <v>2019/11/06 10:10:00</v>
      </c>
      <c r="G146" s="4" t="str">
        <f>IFERROR(__xludf.DUMMYFUNCTION("""COMPUTED_VALUE"""),"2019/11/06 10:14:00")</f>
        <v>2019/11/06 10:14:00</v>
      </c>
      <c r="H146" s="4" t="str">
        <f>IFERROR(__xludf.DUMMYFUNCTION("""COMPUTED_VALUE"""),"5f028636-6abd-4417-a264-1f869ec452e3")</f>
        <v>5f028636-6abd-4417-a264-1f869ec452e3</v>
      </c>
      <c r="I146" s="4" t="str">
        <f>IFERROR(__xludf.DUMMYFUNCTION("""COMPUTED_VALUE"""),"5f028636-6abd-4417-a264-1f869ec452e3")</f>
        <v>5f028636-6abd-4417-a264-1f869ec452e3</v>
      </c>
    </row>
    <row r="147">
      <c r="A147" s="4" t="str">
        <f>IFERROR(__xludf.DUMMYFUNCTION("""COMPUTED_VALUE"""),"Q&amp;A Session with Mikhaila Peterson")</f>
        <v>Q&amp;A Session with Mikhaila Peterson</v>
      </c>
      <c r="B147" s="4" t="str">
        <f>IFERROR(__xludf.DUMMYFUNCTION("""COMPUTED_VALUE"""),"")</f>
        <v/>
      </c>
      <c r="C147" s="4" t="str">
        <f>IFERROR(__xludf.DUMMYFUNCTION("""COMPUTED_VALUE"""),"Q + A")</f>
        <v>Q + A</v>
      </c>
      <c r="D147" s="4" t="str">
        <f>IFERROR(__xludf.DUMMYFUNCTION("""COMPUTED_VALUE"""),"Mikhaila Peterson")</f>
        <v>Mikhaila Peterson</v>
      </c>
      <c r="E147" s="4" t="str">
        <f>IFERROR(__xludf.DUMMYFUNCTION("""COMPUTED_VALUE"""),"Mikhaila Peterson")</f>
        <v>Mikhaila Peterson</v>
      </c>
      <c r="F147" s="4" t="str">
        <f>IFERROR(__xludf.DUMMYFUNCTION("""COMPUTED_VALUE"""),"2019/11/07 12:30:00")</f>
        <v>2019/11/07 12:30:00</v>
      </c>
      <c r="G147" s="4" t="str">
        <f>IFERROR(__xludf.DUMMYFUNCTION("""COMPUTED_VALUE"""),"2019/11/07 12:45:00")</f>
        <v>2019/11/07 12:45:00</v>
      </c>
      <c r="H147" s="4" t="str">
        <f>IFERROR(__xludf.DUMMYFUNCTION("""COMPUTED_VALUE"""),"90a5f821-be17-4203-8089-71f2c4233921")</f>
        <v>90a5f821-be17-4203-8089-71f2c4233921</v>
      </c>
      <c r="I147" s="4" t="str">
        <f>IFERROR(__xludf.DUMMYFUNCTION("""COMPUTED_VALUE"""),"90a5f821-be17-4203-8089-71f2c4233921")</f>
        <v>90a5f821-be17-4203-8089-71f2c4233921</v>
      </c>
    </row>
    <row r="148">
      <c r="A148" s="4" t="str">
        <f>IFERROR(__xludf.DUMMYFUNCTION("""COMPUTED_VALUE"""),"The perks of getting in early")</f>
        <v>The perks of getting in early</v>
      </c>
      <c r="B148" s="4" t="str">
        <f>IFERROR(__xludf.DUMMYFUNCTION("""COMPUTED_VALUE"""),"Nothing beats getting in on the ground floor. But you need to know how to spot a winner, to back one. And once you do, what can you expect next?")</f>
        <v>Nothing beats getting in on the ground floor. But you need to know how to spot a winner, to back one. And once you do, what can you expect next?</v>
      </c>
      <c r="C148" s="4" t="str">
        <f>IFERROR(__xludf.DUMMYFUNCTION("""COMPUTED_VALUE"""),"Venture stage")</f>
        <v>Venture stage</v>
      </c>
      <c r="D148" s="4" t="str">
        <f>IFERROR(__xludf.DUMMYFUNCTION("""COMPUTED_VALUE"""),"Pär-Jörgen Pärson and Arnaud Bonzom")</f>
        <v>Pär-Jörgen Pärson and Arnaud Bonzom</v>
      </c>
      <c r="E148" s="4" t="str">
        <f>IFERROR(__xludf.DUMMYFUNCTION("""COMPUTED_VALUE"""),"Pär-Jörgen Pärson,Arnaud Bonzom")</f>
        <v>Pär-Jörgen Pärson,Arnaud Bonzom</v>
      </c>
      <c r="F148" s="4" t="str">
        <f>IFERROR(__xludf.DUMMYFUNCTION("""COMPUTED_VALUE"""),"2019/11/06 12:30:00")</f>
        <v>2019/11/06 12:30:00</v>
      </c>
      <c r="G148" s="4" t="str">
        <f>IFERROR(__xludf.DUMMYFUNCTION("""COMPUTED_VALUE"""),"2019/11/06 12:50:00")</f>
        <v>2019/11/06 12:50:00</v>
      </c>
      <c r="H148" s="4" t="str">
        <f>IFERROR(__xludf.DUMMYFUNCTION("""COMPUTED_VALUE"""),"af7641e2-1749-45fe-bb8b-1a3f6220dfc7")</f>
        <v>af7641e2-1749-45fe-bb8b-1a3f6220dfc7</v>
      </c>
      <c r="I148" s="4" t="str">
        <f>IFERROR(__xludf.DUMMYFUNCTION("""COMPUTED_VALUE"""),"af7641e2-1749-45fe-bb8b-1a3f6220dfc7")</f>
        <v>af7641e2-1749-45fe-bb8b-1a3f6220dfc7</v>
      </c>
    </row>
    <row r="149">
      <c r="A149" s="4" t="str">
        <f>IFERROR(__xludf.DUMMYFUNCTION("""COMPUTED_VALUE"""),"Lunch break")</f>
        <v>Lunch break</v>
      </c>
      <c r="B149" s="4" t="str">
        <f>IFERROR(__xludf.DUMMYFUNCTION("""COMPUTED_VALUE"""),"")</f>
        <v/>
      </c>
      <c r="C149" s="4" t="str">
        <f>IFERROR(__xludf.DUMMYFUNCTION("""COMPUTED_VALUE"""),"Corporate Innovation Summit")</f>
        <v>Corporate Innovation Summit</v>
      </c>
      <c r="D149" s="4" t="str">
        <f>IFERROR(__xludf.DUMMYFUNCTION("""COMPUTED_VALUE"""),"")</f>
        <v/>
      </c>
      <c r="E149" s="4" t="str">
        <f>IFERROR(__xludf.DUMMYFUNCTION("""COMPUTED_VALUE"""),"")</f>
        <v/>
      </c>
      <c r="F149" s="4" t="str">
        <f>IFERROR(__xludf.DUMMYFUNCTION("""COMPUTED_VALUE"""),"2019/11/06 13:00:00")</f>
        <v>2019/11/06 13:00:00</v>
      </c>
      <c r="G149" s="4" t="str">
        <f>IFERROR(__xludf.DUMMYFUNCTION("""COMPUTED_VALUE"""),"2019/11/06 13:45:00")</f>
        <v>2019/11/06 13:45:00</v>
      </c>
      <c r="H149" s="4" t="str">
        <f>IFERROR(__xludf.DUMMYFUNCTION("""COMPUTED_VALUE"""),"b1eee270-2eba-4cdb-9fce-e15b7bdfe981")</f>
        <v>b1eee270-2eba-4cdb-9fce-e15b7bdfe981</v>
      </c>
      <c r="I149" s="4" t="str">
        <f>IFERROR(__xludf.DUMMYFUNCTION("""COMPUTED_VALUE"""),"b1eee270-2eba-4cdb-9fce-e15b7bdfe981")</f>
        <v>b1eee270-2eba-4cdb-9fce-e15b7bdfe981</v>
      </c>
    </row>
    <row r="150">
      <c r="A150" s="4" t="str">
        <f>IFERROR(__xludf.DUMMYFUNCTION("""COMPUTED_VALUE"""),"PITCH group round 13")</f>
        <v>PITCH group round 13</v>
      </c>
      <c r="B150" s="4" t="str">
        <f>IFERROR(__xludf.DUMMYFUNCTION("""COMPUTED_VALUE"""),"")</f>
        <v/>
      </c>
      <c r="C150" s="4" t="str">
        <f>IFERROR(__xludf.DUMMYFUNCTION("""COMPUTED_VALUE"""),"")</f>
        <v/>
      </c>
      <c r="D150" s="4" t="str">
        <f>IFERROR(__xludf.DUMMYFUNCTION("""COMPUTED_VALUE"""),"Jules Walker
Yamilette Cano
Anthemos Georgiades
Jim Hunter
Melissa Lester
young kwon
Hugo Feiler
Nicolas Hotterbeekx
Piotr Bardadyn
Mateusz Romanów
Rodrigo Moretti
André Flórido
Veena Giridhar Gopal")</f>
        <v>Jules Walker
Yamilette Cano
Anthemos Georgiades
Jim Hunter
Melissa Lester
young kwon
Hugo Feiler
Nicolas Hotterbeekx
Piotr Bardadyn
Mateusz Romanów
Rodrigo Moretti
André Flórido
Veena Giridhar Gopal</v>
      </c>
      <c r="E150" s="4" t="str">
        <f>IFERROR(__xludf.DUMMYFUNCTION("""COMPUTED_VALUE"""),"Jules Walker
Yamilette Cano
Anthemos Georgiades
Jim Hunter
Melissa Lester
young kwon
Hugo Feiler
Nicolas Hotterbeekx
Piotr Bardadyn
Mateusz Romanów
Rodrigo Moretti
André Flórido
Veena Giridhar Gopal")</f>
        <v>Jules Walker
Yamilette Cano
Anthemos Georgiades
Jim Hunter
Melissa Lester
young kwon
Hugo Feiler
Nicolas Hotterbeekx
Piotr Bardadyn
Mateusz Romanów
Rodrigo Moretti
André Flórido
Veena Giridhar Gopal</v>
      </c>
      <c r="F150" s="4" t="str">
        <f>IFERROR(__xludf.DUMMYFUNCTION("""COMPUTED_VALUE"""),"")</f>
        <v/>
      </c>
      <c r="G150" s="4" t="str">
        <f>IFERROR(__xludf.DUMMYFUNCTION("""COMPUTED_VALUE"""),"")</f>
        <v/>
      </c>
      <c r="H150" s="4" t="str">
        <f>IFERROR(__xludf.DUMMYFUNCTION("""COMPUTED_VALUE"""),"3e385ce7-c08f-52a0-b433-472a358f9267")</f>
        <v>3e385ce7-c08f-52a0-b433-472a358f9267</v>
      </c>
      <c r="I150" s="4" t="str">
        <f>IFERROR(__xludf.DUMMYFUNCTION("""COMPUTED_VALUE"""),"3e385ce7-c08f-52a0-b433-472a358f9267")</f>
        <v>3e385ce7-c08f-52a0-b433-472a358f9267</v>
      </c>
    </row>
    <row r="151">
      <c r="A151" s="4" t="str">
        <f>IFERROR(__xludf.DUMMYFUNCTION("""COMPUTED_VALUE"""),"Digital values: The European approach to promote prosperity")</f>
        <v>Digital values: The European approach to promote prosperity</v>
      </c>
      <c r="B151" s="4" t="str">
        <f>IFERROR(__xludf.DUMMYFUNCTION("""COMPUTED_VALUE"""),"The economic ties of trade and cooperation that bind the European continent are now, in spite of the turmoil of the past few years, tighter than ever. In this session we’ll hear from two of Europe’s leading innovators in the realm of public policy discuss"&amp;"ion on how they promote the use of technology to drive economic growth across Europe, all while strengthening values.")</f>
        <v>The economic ties of trade and cooperation that bind the European continent are now, in spite of the turmoil of the past few years, tighter than ever. In this session we’ll hear from two of Europe’s leading innovators in the realm of public policy discussion on how they promote the use of technology to drive economic growth across Europe, all while strengthening values.</v>
      </c>
      <c r="C151" s="4" t="str">
        <f>IFERROR(__xludf.DUMMYFUNCTION("""COMPUTED_VALUE"""),"Future Societies")</f>
        <v>Future Societies</v>
      </c>
      <c r="D151" s="4" t="str">
        <f>IFERROR(__xludf.DUMMYFUNCTION("""COMPUTED_VALUE"""),"Dorothee Bär, George Papandreou and Hadas Gold")</f>
        <v>Dorothee Bär, George Papandreou and Hadas Gold</v>
      </c>
      <c r="E151" s="4" t="str">
        <f>IFERROR(__xludf.DUMMYFUNCTION("""COMPUTED_VALUE"""),"Dorothee Bär,George Papandreou,Hadas Gold")</f>
        <v>Dorothee Bär,George Papandreou,Hadas Gold</v>
      </c>
      <c r="F151" s="4" t="str">
        <f>IFERROR(__xludf.DUMMYFUNCTION("""COMPUTED_VALUE"""),"2019/11/06 13:55:00")</f>
        <v>2019/11/06 13:55:00</v>
      </c>
      <c r="G151" s="4" t="str">
        <f>IFERROR(__xludf.DUMMYFUNCTION("""COMPUTED_VALUE"""),"2019/11/06 14:15:00")</f>
        <v>2019/11/06 14:15:00</v>
      </c>
      <c r="H151" s="4" t="str">
        <f>IFERROR(__xludf.DUMMYFUNCTION("""COMPUTED_VALUE"""),"8dc45218-8b4a-43c8-9e70-87f83930f8f8")</f>
        <v>8dc45218-8b4a-43c8-9e70-87f83930f8f8</v>
      </c>
      <c r="I151" s="4" t="str">
        <f>IFERROR(__xludf.DUMMYFUNCTION("""COMPUTED_VALUE"""),"8dc45218-8b4a-43c8-9e70-87f83930f8f8")</f>
        <v>8dc45218-8b4a-43c8-9e70-87f83930f8f8</v>
      </c>
    </row>
    <row r="152">
      <c r="A152" s="4" t="str">
        <f>IFERROR(__xludf.DUMMYFUNCTION("""COMPUTED_VALUE"""),"Train Station Alcântara-Mar")</f>
        <v>Train Station Alcântara-Mar</v>
      </c>
      <c r="B152" s="4" t="str">
        <f>IFERROR(__xludf.DUMMYFUNCTION("""COMPUTED_VALUE"""),"")</f>
        <v/>
      </c>
      <c r="C152" s="4" t="str">
        <f>IFERROR(__xludf.DUMMYFUNCTION("""COMPUTED_VALUE"""),"Train Station Alcântara-Mar")</f>
        <v>Train Station Alcântara-Mar</v>
      </c>
      <c r="D152" s="4" t="str">
        <f>IFERROR(__xludf.DUMMYFUNCTION("""COMPUTED_VALUE"""),"")</f>
        <v/>
      </c>
      <c r="E152" s="4" t="str">
        <f>IFERROR(__xludf.DUMMYFUNCTION("""COMPUTED_VALUE"""),"")</f>
        <v/>
      </c>
      <c r="F152" s="4" t="str">
        <f>IFERROR(__xludf.DUMMYFUNCTION("""COMPUTED_VALUE"""),"2019/11/06 20:01:00")</f>
        <v>2019/11/06 20:01:00</v>
      </c>
      <c r="G152" s="4" t="str">
        <f>IFERROR(__xludf.DUMMYFUNCTION("""COMPUTED_VALUE"""),"2019/11/07 01:59:00")</f>
        <v>2019/11/07 01:59:00</v>
      </c>
      <c r="H152" s="4" t="str">
        <f>IFERROR(__xludf.DUMMYFUNCTION("""COMPUTED_VALUE"""),"90a8aa9b-d961-436b-9229-0b8a9193e8a7")</f>
        <v>90a8aa9b-d961-436b-9229-0b8a9193e8a7</v>
      </c>
      <c r="I152" s="4" t="str">
        <f>IFERROR(__xludf.DUMMYFUNCTION("""COMPUTED_VALUE"""),"90a8aa9b-d961-436b-9229-0b8a9193e8a7")</f>
        <v>90a8aa9b-d961-436b-9229-0b8a9193e8a7</v>
      </c>
    </row>
    <row r="153">
      <c r="A153" s="4" t="str">
        <f>IFERROR(__xludf.DUMMYFUNCTION("""COMPUTED_VALUE"""),"Delivering to the next level")</f>
        <v>Delivering to the next level</v>
      </c>
      <c r="B153" s="4" t="str">
        <f>IFERROR(__xludf.DUMMYFUNCTION("""COMPUTED_VALUE"""),"With 1,300 locations in over 100 countries, Kuehne + Nagel understand a thing or two about logistics. In this session, we'll learn about how software and data are shaping the logistics service of the future.")</f>
        <v>With 1,300 locations in over 100 countries, Kuehne + Nagel understand a thing or two about logistics. In this session, we'll learn about how software and data are shaping the logistics service of the future.</v>
      </c>
      <c r="C153" s="4" t="str">
        <f>IFERROR(__xludf.DUMMYFUNCTION("""COMPUTED_VALUE"""),"Corporate Innovation Summit")</f>
        <v>Corporate Innovation Summit</v>
      </c>
      <c r="D153" s="4" t="str">
        <f>IFERROR(__xludf.DUMMYFUNCTION("""COMPUTED_VALUE"""),"Martin Kolbe")</f>
        <v>Martin Kolbe</v>
      </c>
      <c r="E153" s="4" t="str">
        <f>IFERROR(__xludf.DUMMYFUNCTION("""COMPUTED_VALUE"""),"Martin Kolbe")</f>
        <v>Martin Kolbe</v>
      </c>
      <c r="F153" s="4" t="str">
        <f>IFERROR(__xludf.DUMMYFUNCTION("""COMPUTED_VALUE"""),"2019/11/06 10:45:00")</f>
        <v>2019/11/06 10:45:00</v>
      </c>
      <c r="G153" s="4" t="str">
        <f>IFERROR(__xludf.DUMMYFUNCTION("""COMPUTED_VALUE"""),"2019/11/06 11:05:00")</f>
        <v>2019/11/06 11:05:00</v>
      </c>
      <c r="H153" s="4" t="str">
        <f>IFERROR(__xludf.DUMMYFUNCTION("""COMPUTED_VALUE"""),"30de7968-f8a8-4392-8a75-a2d96fe1f170")</f>
        <v>30de7968-f8a8-4392-8a75-a2d96fe1f170</v>
      </c>
      <c r="I153" s="4" t="str">
        <f>IFERROR(__xludf.DUMMYFUNCTION("""COMPUTED_VALUE"""),"30de7968-f8a8-4392-8a75-a2d96fe1f170")</f>
        <v>30de7968-f8a8-4392-8a75-a2d96fe1f170</v>
      </c>
    </row>
    <row r="154">
      <c r="A154" s="4" t="str">
        <f>IFERROR(__xludf.DUMMYFUNCTION("""COMPUTED_VALUE"""),"The bull's eye strategy to bootstrap past $2m ARR")</f>
        <v>The bull's eye strategy to bootstrap past $2m ARR</v>
      </c>
      <c r="B154" s="4" t="str">
        <f>IFERROR(__xludf.DUMMYFUNCTION("""COMPUTED_VALUE"""),"Communication spreads in concentric circles, from the core influencers towards the least connected actors. By targeting these core influencers in the ""bullʼs eye"", co-founder and CEO of Chili Piper, Nicolas will discuss how he was able to close the firs"&amp;"t million in revenues himself, bootstrap past $2m and continue doubling year over year.")</f>
        <v>Communication spreads in concentric circles, from the core influencers towards the least connected actors. By targeting these core influencers in the "bullʼs eye", co-founder and CEO of Chili Piper, Nicolas will discuss how he was able to close the first million in revenues himself, bootstrap past $2m and continue doubling year over year.</v>
      </c>
      <c r="C154" s="4" t="str">
        <f>IFERROR(__xludf.DUMMYFUNCTION("""COMPUTED_VALUE"""),"Growth Summit")</f>
        <v>Growth Summit</v>
      </c>
      <c r="D154" s="4" t="str">
        <f>IFERROR(__xludf.DUMMYFUNCTION("""COMPUTED_VALUE"""),"Nicolas Vandenberghe")</f>
        <v>Nicolas Vandenberghe</v>
      </c>
      <c r="E154" s="4" t="str">
        <f>IFERROR(__xludf.DUMMYFUNCTION("""COMPUTED_VALUE"""),"Nicolas Vandenberghe")</f>
        <v>Nicolas Vandenberghe</v>
      </c>
      <c r="F154" s="4" t="str">
        <f>IFERROR(__xludf.DUMMYFUNCTION("""COMPUTED_VALUE"""),"2019/11/05 10:34:00")</f>
        <v>2019/11/05 10:34:00</v>
      </c>
      <c r="G154" s="4" t="str">
        <f>IFERROR(__xludf.DUMMYFUNCTION("""COMPUTED_VALUE"""),"2019/11/05 10:38:00")</f>
        <v>2019/11/05 10:38:00</v>
      </c>
      <c r="H154" s="4" t="str">
        <f>IFERROR(__xludf.DUMMYFUNCTION("""COMPUTED_VALUE"""),"00d9bc29-2697-4e24-9413-6fe06fd96eda")</f>
        <v>00d9bc29-2697-4e24-9413-6fe06fd96eda</v>
      </c>
      <c r="I154" s="4" t="str">
        <f>IFERROR(__xludf.DUMMYFUNCTION("""COMPUTED_VALUE"""),"00d9bc29-2697-4e24-9413-6fe06fd96eda")</f>
        <v>00d9bc29-2697-4e24-9413-6fe06fd96eda</v>
      </c>
    </row>
    <row r="155">
      <c r="A155" s="4" t="str">
        <f>IFERROR(__xludf.DUMMYFUNCTION("""COMPUTED_VALUE"""),"Burn the  maps: Re-inventing navigation... again")</f>
        <v>Burn the  maps: Re-inventing navigation... again</v>
      </c>
      <c r="B155" s="4" t="str">
        <f>IFERROR(__xludf.DUMMYFUNCTION("""COMPUTED_VALUE"""),"Is there anything left to innovate in the field of maps and navigation? What are future directions in the age of electric and autonomous driving? If you're feeling lost, don't worry. We know the way.")</f>
        <v>Is there anything left to innovate in the field of maps and navigation? What are future directions in the age of electric and autonomous driving? If you're feeling lost, don't worry. We know the way.</v>
      </c>
      <c r="C155" s="4" t="str">
        <f>IFERROR(__xludf.DUMMYFUNCTION("""COMPUTED_VALUE"""),"Auto/Tech &amp; TalkRobot")</f>
        <v>Auto/Tech &amp; TalkRobot</v>
      </c>
      <c r="D155" s="4" t="str">
        <f>IFERROR(__xludf.DUMMYFUNCTION("""COMPUTED_VALUE"""),"Risto Vahtra, Gideon van Dijk, Jan Feiling and Steve Ranger")</f>
        <v>Risto Vahtra, Gideon van Dijk, Jan Feiling and Steve Ranger</v>
      </c>
      <c r="E155" s="4" t="str">
        <f>IFERROR(__xludf.DUMMYFUNCTION("""COMPUTED_VALUE"""),"Risto Vahtra,Gideon van Dijk,Jan Feiling,Steve Ranger")</f>
        <v>Risto Vahtra,Gideon van Dijk,Jan Feiling,Steve Ranger</v>
      </c>
      <c r="F155" s="4" t="str">
        <f>IFERROR(__xludf.DUMMYFUNCTION("""COMPUTED_VALUE"""),"2019/11/07 12:55:00")</f>
        <v>2019/11/07 12:55:00</v>
      </c>
      <c r="G155" s="4" t="str">
        <f>IFERROR(__xludf.DUMMYFUNCTION("""COMPUTED_VALUE"""),"2019/11/07 13:15:00")</f>
        <v>2019/11/07 13:15:00</v>
      </c>
      <c r="H155" s="4" t="str">
        <f>IFERROR(__xludf.DUMMYFUNCTION("""COMPUTED_VALUE"""),"8bd1d885-2ccb-4623-80fc-170eab4eb74f")</f>
        <v>8bd1d885-2ccb-4623-80fc-170eab4eb74f</v>
      </c>
      <c r="I155" s="4" t="str">
        <f>IFERROR(__xludf.DUMMYFUNCTION("""COMPUTED_VALUE"""),"8bd1d885-2ccb-4623-80fc-170eab4eb74f")</f>
        <v>8bd1d885-2ccb-4623-80fc-170eab4eb74f</v>
      </c>
    </row>
    <row r="156">
      <c r="A156" s="4" t="str">
        <f>IFERROR(__xludf.DUMMYFUNCTION("""COMPUTED_VALUE"""),"Taxi drop off")</f>
        <v>Taxi drop off</v>
      </c>
      <c r="B156" s="4" t="str">
        <f>IFERROR(__xludf.DUMMYFUNCTION("""COMPUTED_VALUE"""),"")</f>
        <v/>
      </c>
      <c r="C156" s="4" t="str">
        <f>IFERROR(__xludf.DUMMYFUNCTION("""COMPUTED_VALUE"""),"Taxi drop off - Night Summit - Nov 5")</f>
        <v>Taxi drop off - Night Summit - Nov 5</v>
      </c>
      <c r="D156" s="4" t="str">
        <f>IFERROR(__xludf.DUMMYFUNCTION("""COMPUTED_VALUE"""),"")</f>
        <v/>
      </c>
      <c r="E156" s="4" t="str">
        <f>IFERROR(__xludf.DUMMYFUNCTION("""COMPUTED_VALUE"""),"")</f>
        <v/>
      </c>
      <c r="F156" s="4" t="str">
        <f>IFERROR(__xludf.DUMMYFUNCTION("""COMPUTED_VALUE"""),"2019/11/05 20:01:00")</f>
        <v>2019/11/05 20:01:00</v>
      </c>
      <c r="G156" s="4" t="str">
        <f>IFERROR(__xludf.DUMMYFUNCTION("""COMPUTED_VALUE"""),"2019/11/05 23:59:00")</f>
        <v>2019/11/05 23:59:00</v>
      </c>
      <c r="H156" s="4" t="str">
        <f>IFERROR(__xludf.DUMMYFUNCTION("""COMPUTED_VALUE"""),"b5b8f70c-79df-4dda-9671-775de039d686")</f>
        <v>b5b8f70c-79df-4dda-9671-775de039d686</v>
      </c>
      <c r="I156" s="4" t="str">
        <f>IFERROR(__xludf.DUMMYFUNCTION("""COMPUTED_VALUE"""),"b5b8f70c-79df-4dda-9671-775de039d686")</f>
        <v>b5b8f70c-79df-4dda-9671-775de039d686</v>
      </c>
    </row>
    <row r="157">
      <c r="A157" s="4" t="str">
        <f>IFERROR(__xludf.DUMMYFUNCTION("""COMPUTED_VALUE"""),"How do investors look at mobility?")</f>
        <v>How do investors look at mobility?</v>
      </c>
      <c r="B157" s="4" t="str">
        <f>IFERROR(__xludf.DUMMYFUNCTION("""COMPUTED_VALUE"""),"Where are investors putting their money in mobility over the next five years?")</f>
        <v>Where are investors putting their money in mobility over the next five years?</v>
      </c>
      <c r="C157" s="4" t="str">
        <f>IFERROR(__xludf.DUMMYFUNCTION("""COMPUTED_VALUE"""),"Auto/Tech &amp; TalkRobot")</f>
        <v>Auto/Tech &amp; TalkRobot</v>
      </c>
      <c r="D157" s="4" t="str">
        <f>IFERROR(__xludf.DUMMYFUNCTION("""COMPUTED_VALUE"""),"Philipp von Hagen, Olaf Sakkers and Kimberly Weisul")</f>
        <v>Philipp von Hagen, Olaf Sakkers and Kimberly Weisul</v>
      </c>
      <c r="E157" s="4" t="str">
        <f>IFERROR(__xludf.DUMMYFUNCTION("""COMPUTED_VALUE"""),"Philipp von Hagen,Olaf Sakkers,Kimberly Weisul")</f>
        <v>Philipp von Hagen,Olaf Sakkers,Kimberly Weisul</v>
      </c>
      <c r="F157" s="4" t="str">
        <f>IFERROR(__xludf.DUMMYFUNCTION("""COMPUTED_VALUE"""),"2019/11/06 14:20:00")</f>
        <v>2019/11/06 14:20:00</v>
      </c>
      <c r="G157" s="4" t="str">
        <f>IFERROR(__xludf.DUMMYFUNCTION("""COMPUTED_VALUE"""),"2019/11/06 14:40:00")</f>
        <v>2019/11/06 14:40:00</v>
      </c>
      <c r="H157" s="4" t="str">
        <f>IFERROR(__xludf.DUMMYFUNCTION("""COMPUTED_VALUE"""),"a38698a7-a96b-48c2-baef-5bae369c2ef3")</f>
        <v>a38698a7-a96b-48c2-baef-5bae369c2ef3</v>
      </c>
      <c r="I157" s="4" t="str">
        <f>IFERROR(__xludf.DUMMYFUNCTION("""COMPUTED_VALUE"""),"a38698a7-a96b-48c2-baef-5bae369c2ef3")</f>
        <v>a38698a7-a96b-48c2-baef-5bae369c2ef3</v>
      </c>
    </row>
    <row r="158">
      <c r="A158" s="4" t="str">
        <f>IFERROR(__xludf.DUMMYFUNCTION("""COMPUTED_VALUE"""),"Meet the next generation of fintech unicorns")</f>
        <v>Meet the next generation of fintech unicorns</v>
      </c>
      <c r="B158" s="4" t="str">
        <f>IFERROR(__xludf.DUMMYFUNCTION("""COMPUTED_VALUE"""),"What happens when you bring together the founders of three of the most valuable fintechs in the world? We’re about to find out. We've gathered three trailblazing, news-making pioneers from global fintechs, who will be joining us in conversation about what"&amp;" it means to be a unicorn.")</f>
        <v>What happens when you bring together the founders of three of the most valuable fintechs in the world? We’re about to find out. We've gathered three trailblazing, news-making pioneers from global fintechs, who will be joining us in conversation about what it means to be a unicorn.</v>
      </c>
      <c r="C158" s="4" t="str">
        <f>IFERROR(__xludf.DUMMYFUNCTION("""COMPUTED_VALUE"""),"MoneyConf")</f>
        <v>MoneyConf</v>
      </c>
      <c r="D158" s="4" t="str">
        <f>IFERROR(__xludf.DUMMYFUNCTION("""COMPUTED_VALUE"""),"Sunil Chandra, Lucy Liu, Tim Sievers and John Detrixhe")</f>
        <v>Sunil Chandra, Lucy Liu, Tim Sievers and John Detrixhe</v>
      </c>
      <c r="E158" s="4" t="str">
        <f>IFERROR(__xludf.DUMMYFUNCTION("""COMPUTED_VALUE"""),"Sunil Chandra,Lucy Liu,Tim Sievers,John Detrixhe")</f>
        <v>Sunil Chandra,Lucy Liu,Tim Sievers,John Detrixhe</v>
      </c>
      <c r="F158" s="4" t="str">
        <f>IFERROR(__xludf.DUMMYFUNCTION("""COMPUTED_VALUE"""),"2019/11/06 12:35:00")</f>
        <v>2019/11/06 12:35:00</v>
      </c>
      <c r="G158" s="4" t="str">
        <f>IFERROR(__xludf.DUMMYFUNCTION("""COMPUTED_VALUE"""),"2019/11/06 13:00:00")</f>
        <v>2019/11/06 13:00:00</v>
      </c>
      <c r="H158" s="4" t="str">
        <f>IFERROR(__xludf.DUMMYFUNCTION("""COMPUTED_VALUE"""),"6f68d430-2e86-420a-bd3b-12ff3db1e16b")</f>
        <v>6f68d430-2e86-420a-bd3b-12ff3db1e16b</v>
      </c>
      <c r="I158" s="4" t="str">
        <f>IFERROR(__xludf.DUMMYFUNCTION("""COMPUTED_VALUE"""),"6f68d430-2e86-420a-bd3b-12ff3db1e16b")</f>
        <v>6f68d430-2e86-420a-bd3b-12ff3db1e16b</v>
      </c>
    </row>
    <row r="159">
      <c r="A159" s="4" t="str">
        <f>IFERROR(__xludf.DUMMYFUNCTION("""COMPUTED_VALUE"""),"Can technology revitalise democracy?")</f>
        <v>Can technology revitalise democracy?</v>
      </c>
      <c r="B159" s="4" t="str">
        <f>IFERROR(__xludf.DUMMYFUNCTION("""COMPUTED_VALUE"""),"Although digital technology and in particular social media is often seen as a driver of the current crisis of liberal democracy, it may also be part of the solution. Around the world, citizens have used digital technology to experiment with new forms of c"&amp;"ommunication and mobilization and parties and governments have used digital technology to involve citizens.")</f>
        <v>Although digital technology and in particular social media is often seen as a driver of the current crisis of liberal democracy, it may also be part of the solution. Around the world, citizens have used digital technology to experiment with new forms of communication and mobilization and parties and governments have used digital technology to involve citizens.</v>
      </c>
      <c r="C159" s="4" t="str">
        <f>IFERROR(__xludf.DUMMYFUNCTION("""COMPUTED_VALUE"""),"Future Societies")</f>
        <v>Future Societies</v>
      </c>
      <c r="D159" s="4" t="str">
        <f>IFERROR(__xludf.DUMMYFUNCTION("""COMPUTED_VALUE"""),"Sheila Nix, Ayman Hariri, Carlos Moedas and Hans Kundnani")</f>
        <v>Sheila Nix, Ayman Hariri, Carlos Moedas and Hans Kundnani</v>
      </c>
      <c r="E159" s="4" t="str">
        <f>IFERROR(__xludf.DUMMYFUNCTION("""COMPUTED_VALUE"""),"Sheila Nix,Ayman Hariri,Carlos Moedas,Hans Kundnani")</f>
        <v>Sheila Nix,Ayman Hariri,Carlos Moedas,Hans Kundnani</v>
      </c>
      <c r="F159" s="4" t="str">
        <f>IFERROR(__xludf.DUMMYFUNCTION("""COMPUTED_VALUE"""),"2019/11/07 14:00:00")</f>
        <v>2019/11/07 14:00:00</v>
      </c>
      <c r="G159" s="4" t="str">
        <f>IFERROR(__xludf.DUMMYFUNCTION("""COMPUTED_VALUE"""),"2019/11/07 14:20:00")</f>
        <v>2019/11/07 14:20:00</v>
      </c>
      <c r="H159" s="4" t="str">
        <f>IFERROR(__xludf.DUMMYFUNCTION("""COMPUTED_VALUE"""),"5278877b-bb2b-411a-ab6a-1134cbe228a4")</f>
        <v>5278877b-bb2b-411a-ab6a-1134cbe228a4</v>
      </c>
      <c r="I159" s="4" t="str">
        <f>IFERROR(__xludf.DUMMYFUNCTION("""COMPUTED_VALUE"""),"5278877b-bb2b-411a-ab6a-1134cbe228a4")</f>
        <v>5278877b-bb2b-411a-ab6a-1134cbe228a4</v>
      </c>
    </row>
    <row r="160">
      <c r="A160" s="4" t="str">
        <f>IFERROR(__xludf.DUMMYFUNCTION("""COMPUTED_VALUE"""),"GoCardless and Transferwise: A new shared vision for recurring payments")</f>
        <v>GoCardless and Transferwise: A new shared vision for recurring payments</v>
      </c>
      <c r="B160" s="4" t="str">
        <f>IFERROR(__xludf.DUMMYFUNCTION("""COMPUTED_VALUE"""),"")</f>
        <v/>
      </c>
      <c r="C160" s="4" t="str">
        <f>IFERROR(__xludf.DUMMYFUNCTION("""COMPUTED_VALUE"""),"")</f>
        <v/>
      </c>
      <c r="D160" s="4" t="str">
        <f>IFERROR(__xludf.DUMMYFUNCTION("""COMPUTED_VALUE"""),"Taavet Hinrikus and  Hiroki Takeuchi
")</f>
        <v>Taavet Hinrikus and  Hiroki Takeuchi
</v>
      </c>
      <c r="E160" s="4" t="str">
        <f>IFERROR(__xludf.DUMMYFUNCTION("""COMPUTED_VALUE"""),"Taavet Hinrikus, Hiroki Takeuchi
")</f>
        <v>Taavet Hinrikus, Hiroki Takeuchi
</v>
      </c>
      <c r="F160" s="4" t="str">
        <f>IFERROR(__xludf.DUMMYFUNCTION("""COMPUTED_VALUE"""),"")</f>
        <v/>
      </c>
      <c r="G160" s="4" t="str">
        <f>IFERROR(__xludf.DUMMYFUNCTION("""COMPUTED_VALUE"""),"")</f>
        <v/>
      </c>
      <c r="H160" s="4" t="str">
        <f>IFERROR(__xludf.DUMMYFUNCTION("""COMPUTED_VALUE"""),"2c284f7d-1dd7-5126-8bcc-0db3e96a68a4")</f>
        <v>2c284f7d-1dd7-5126-8bcc-0db3e96a68a4</v>
      </c>
      <c r="I160" s="4" t="str">
        <f>IFERROR(__xludf.DUMMYFUNCTION("""COMPUTED_VALUE"""),"2c284f7d-1dd7-5126-8bcc-0db3e96a68a4")</f>
        <v>2c284f7d-1dd7-5126-8bcc-0db3e96a68a4</v>
      </c>
    </row>
    <row r="161">
      <c r="A161" s="4" t="str">
        <f>IFERROR(__xludf.DUMMYFUNCTION("""COMPUTED_VALUE"""),"Artificial intelligence: What every business leader should know, hosted by IESE Business School")</f>
        <v>Artificial intelligence: What every business leader should know, hosted by IESE Business School</v>
      </c>
      <c r="B161" s="4" t="str">
        <f>IFERROR(__xludf.DUMMYFUNCTION("""COMPUTED_VALUE"""),"Most companies are accessing artificial intelligence (AI) tools, but they are unsure of how it will transform their business model. IESE Prof. Javier Zamora will discuss how to understand AI from a strategic point of view and select and optimise these too"&amp;"ls to create new value propositions.")</f>
        <v>Most companies are accessing artificial intelligence (AI) tools, but they are unsure of how it will transform their business model. IESE Prof. Javier Zamora will discuss how to understand AI from a strategic point of view and select and optimise these tools to create new value propositions.</v>
      </c>
      <c r="C161" s="4" t="str">
        <f>IFERROR(__xludf.DUMMYFUNCTION("""COMPUTED_VALUE"""),"Workshop 1")</f>
        <v>Workshop 1</v>
      </c>
      <c r="D161" s="4" t="str">
        <f>IFERROR(__xludf.DUMMYFUNCTION("""COMPUTED_VALUE"""),"Javier Zamora")</f>
        <v>Javier Zamora</v>
      </c>
      <c r="E161" s="4" t="str">
        <f>IFERROR(__xludf.DUMMYFUNCTION("""COMPUTED_VALUE"""),"Javier Zamora")</f>
        <v>Javier Zamora</v>
      </c>
      <c r="F161" s="4" t="str">
        <f>IFERROR(__xludf.DUMMYFUNCTION("""COMPUTED_VALUE"""),"2019/11/06 14:30:00")</f>
        <v>2019/11/06 14:30:00</v>
      </c>
      <c r="G161" s="4" t="str">
        <f>IFERROR(__xludf.DUMMYFUNCTION("""COMPUTED_VALUE"""),"2019/11/06 15:30:00")</f>
        <v>2019/11/06 15:30:00</v>
      </c>
      <c r="H161" s="4" t="str">
        <f>IFERROR(__xludf.DUMMYFUNCTION("""COMPUTED_VALUE"""),"d3be623f-5fa8-4315-b11f-7460cfa94501")</f>
        <v>d3be623f-5fa8-4315-b11f-7460cfa94501</v>
      </c>
      <c r="I161" s="4" t="str">
        <f>IFERROR(__xludf.DUMMYFUNCTION("""COMPUTED_VALUE"""),"d3be623f-5fa8-4315-b11f-7460cfa94501")</f>
        <v>d3be623f-5fa8-4315-b11f-7460cfa94501</v>
      </c>
    </row>
    <row r="162">
      <c r="A162" s="4" t="str">
        <f>IFERROR(__xludf.DUMMYFUNCTION("""COMPUTED_VALUE"""),"Wladimir Klitschko: From boxing champion to challenge master ")</f>
        <v>Wladimir Klitschko: From boxing champion to challenge master </v>
      </c>
      <c r="B162" s="4" t="str">
        <f>IFERROR(__xludf.DUMMYFUNCTION("""COMPUTED_VALUE"""),"Wladimir Klitschko holds the record for the longest cumulative heavyweight title reign. In this session, he explains his love of a challenge and his success principles both inside and outside the ring, which still serve him today. 
")</f>
        <v>Wladimir Klitschko holds the record for the longest cumulative heavyweight title reign. In this session, he explains his love of a challenge and his success principles both inside and outside the ring, which still serve him today. 
</v>
      </c>
      <c r="C162" s="4" t="str">
        <f>IFERROR(__xludf.DUMMYFUNCTION("""COMPUTED_VALUE"""),"SportsTrade")</f>
        <v>SportsTrade</v>
      </c>
      <c r="D162" s="4" t="str">
        <f>IFERROR(__xludf.DUMMYFUNCTION("""COMPUTED_VALUE"""),"Wladimir Klitschko and Sachin Nakrani")</f>
        <v>Wladimir Klitschko and Sachin Nakrani</v>
      </c>
      <c r="E162" s="4" t="str">
        <f>IFERROR(__xludf.DUMMYFUNCTION("""COMPUTED_VALUE"""),"Wladimir Klitschko,Sachin Nakrani")</f>
        <v>Wladimir Klitschko,Sachin Nakrani</v>
      </c>
      <c r="F162" s="4" t="str">
        <f>IFERROR(__xludf.DUMMYFUNCTION("""COMPUTED_VALUE"""),"2019/11/05 10:50:00")</f>
        <v>2019/11/05 10:50:00</v>
      </c>
      <c r="G162" s="4" t="str">
        <f>IFERROR(__xludf.DUMMYFUNCTION("""COMPUTED_VALUE"""),"2019/11/05 11:05:00")</f>
        <v>2019/11/05 11:05:00</v>
      </c>
      <c r="H162" s="4" t="str">
        <f>IFERROR(__xludf.DUMMYFUNCTION("""COMPUTED_VALUE"""),"d8cb4530-6628-447a-b84e-d57bff0d3af2")</f>
        <v>d8cb4530-6628-447a-b84e-d57bff0d3af2</v>
      </c>
      <c r="I162" s="4" t="str">
        <f>IFERROR(__xludf.DUMMYFUNCTION("""COMPUTED_VALUE"""),"d8cb4530-6628-447a-b84e-d57bff0d3af2")</f>
        <v>d8cb4530-6628-447a-b84e-d57bff0d3af2</v>
      </c>
    </row>
    <row r="163">
      <c r="A163" s="4" t="str">
        <f>IFERROR(__xludf.DUMMYFUNCTION("""COMPUTED_VALUE"""),"Building a global ecosystem")</f>
        <v>Building a global ecosystem</v>
      </c>
      <c r="B163" s="4" t="str">
        <f>IFERROR(__xludf.DUMMYFUNCTION("""COMPUTED_VALUE"""),"Join Sebastien, CEO of KaiOS Technologies, as he shares the plans for his company which powers a global ecosystem of affordable digital products and services. In this keynote, you’ll learn about how a new entrant in an established market becomes the world"&amp;"’s third-largest mobile operating system.")</f>
        <v>Join Sebastien, CEO of KaiOS Technologies, as he shares the plans for his company which powers a global ecosystem of affordable digital products and services. In this keynote, you’ll learn about how a new entrant in an established market becomes the world’s third-largest mobile operating system.</v>
      </c>
      <c r="C163" s="4" t="str">
        <f>IFERROR(__xludf.DUMMYFUNCTION("""COMPUTED_VALUE"""),"Growth Summit")</f>
        <v>Growth Summit</v>
      </c>
      <c r="D163" s="4" t="str">
        <f>IFERROR(__xludf.DUMMYFUNCTION("""COMPUTED_VALUE"""),"Sebastien Codeville")</f>
        <v>Sebastien Codeville</v>
      </c>
      <c r="E163" s="4" t="str">
        <f>IFERROR(__xludf.DUMMYFUNCTION("""COMPUTED_VALUE"""),"Sebastien Codeville")</f>
        <v>Sebastien Codeville</v>
      </c>
      <c r="F163" s="4" t="str">
        <f>IFERROR(__xludf.DUMMYFUNCTION("""COMPUTED_VALUE"""),"2019/11/07 13:14:00")</f>
        <v>2019/11/07 13:14:00</v>
      </c>
      <c r="G163" s="4" t="str">
        <f>IFERROR(__xludf.DUMMYFUNCTION("""COMPUTED_VALUE"""),"2019/11/07 13:25:00")</f>
        <v>2019/11/07 13:25:00</v>
      </c>
      <c r="H163" s="4" t="str">
        <f>IFERROR(__xludf.DUMMYFUNCTION("""COMPUTED_VALUE"""),"bb3601e0-eeae-4d54-a99e-a93b6a3d345d")</f>
        <v>bb3601e0-eeae-4d54-a99e-a93b6a3d345d</v>
      </c>
      <c r="I163" s="4" t="str">
        <f>IFERROR(__xludf.DUMMYFUNCTION("""COMPUTED_VALUE"""),"bb3601e0-eeae-4d54-a99e-a93b6a3d345d")</f>
        <v>bb3601e0-eeae-4d54-a99e-a93b6a3d345d</v>
      </c>
    </row>
    <row r="164">
      <c r="A164" s="4" t="str">
        <f>IFERROR(__xludf.DUMMYFUNCTION("""COMPUTED_VALUE"""),"Why 5G will change everything")</f>
        <v>Why 5G will change everything</v>
      </c>
      <c r="B164" s="4" t="str">
        <f>IFERROR(__xludf.DUMMYFUNCTION("""COMPUTED_VALUE"""),"Whilst most innovations thus far have catered to consumers, the 5G phase of the mobile internet will be driven by industry. Join Marcus, CTO of Nokia, to learn how 5G networks will affect the industrial space, as well as society.")</f>
        <v>Whilst most innovations thus far have catered to consumers, the 5G phase of the mobile internet will be driven by industry. Join Marcus, CTO of Nokia, to learn how 5G networks will affect the industrial space, as well as society.</v>
      </c>
      <c r="C164" s="4" t="str">
        <f>IFERROR(__xludf.DUMMYFUNCTION("""COMPUTED_VALUE"""),"Corporate Innovation Summit")</f>
        <v>Corporate Innovation Summit</v>
      </c>
      <c r="D164" s="4" t="str">
        <f>IFERROR(__xludf.DUMMYFUNCTION("""COMPUTED_VALUE"""),"Marcus Weldon and Jonathan Weber")</f>
        <v>Marcus Weldon and Jonathan Weber</v>
      </c>
      <c r="E164" s="4" t="str">
        <f>IFERROR(__xludf.DUMMYFUNCTION("""COMPUTED_VALUE"""),"Marcus Weldon,Jonathan Weber")</f>
        <v>Marcus Weldon,Jonathan Weber</v>
      </c>
      <c r="F164" s="4" t="str">
        <f>IFERROR(__xludf.DUMMYFUNCTION("""COMPUTED_VALUE"""),"2019/11/06 12:40:00")</f>
        <v>2019/11/06 12:40:00</v>
      </c>
      <c r="G164" s="4" t="str">
        <f>IFERROR(__xludf.DUMMYFUNCTION("""COMPUTED_VALUE"""),"2019/11/06 13:00:00")</f>
        <v>2019/11/06 13:00:00</v>
      </c>
      <c r="H164" s="4" t="str">
        <f>IFERROR(__xludf.DUMMYFUNCTION("""COMPUTED_VALUE"""),"e3731954-0333-42a2-881e-44b3ce1c97d4")</f>
        <v>e3731954-0333-42a2-881e-44b3ce1c97d4</v>
      </c>
      <c r="I164" s="4" t="str">
        <f>IFERROR(__xludf.DUMMYFUNCTION("""COMPUTED_VALUE"""),"e3731954-0333-42a2-881e-44b3ce1c97d4")</f>
        <v>e3731954-0333-42a2-881e-44b3ce1c97d4</v>
      </c>
    </row>
    <row r="165">
      <c r="A165" s="4" t="str">
        <f>IFERROR(__xludf.DUMMYFUNCTION("""COMPUTED_VALUE"""),"PITCH group round 15")</f>
        <v>PITCH group round 15</v>
      </c>
      <c r="B165" s="4" t="str">
        <f>IFERROR(__xludf.DUMMYFUNCTION("""COMPUTED_VALUE"""),"")</f>
        <v/>
      </c>
      <c r="C165" s="4" t="str">
        <f>IFERROR(__xludf.DUMMYFUNCTION("""COMPUTED_VALUE"""),"")</f>
        <v/>
      </c>
      <c r="D165" s="4" t="str">
        <f>IFERROR(__xludf.DUMMYFUNCTION("""COMPUTED_VALUE"""),"Roham Gharegozlo,  Marin Cauvas,  Freddie Evans,  Saba Karim,  Eduardo Lemos,  Ivan Alaiz,  João Lopes,  Artur Fjodorov,  Marian Glaeser,  Alex cordero,  Stone Atwine,  IVAN SHTANKO and  Hirbod Bigvand
")</f>
        <v>Roham Gharegozlo,  Marin Cauvas,  Freddie Evans,  Saba Karim,  Eduardo Lemos,  Ivan Alaiz,  João Lopes,  Artur Fjodorov,  Marian Glaeser,  Alex cordero,  Stone Atwine,  IVAN SHTANKO and  Hirbod Bigvand
</v>
      </c>
      <c r="E165" s="4" t="str">
        <f>IFERROR(__xludf.DUMMYFUNCTION("""COMPUTED_VALUE"""),"Roham Gharegozlo, Marin Cauvas, Freddie Evans, Saba Karim, Eduardo Lemos, Ivan Alaiz, João Lopes, Artur Fjodorov, Marian Glaeser, Alex cordero, Stone Atwine, IVAN SHTANKO, Hirbod Bigvand
")</f>
        <v>Roham Gharegozlo, Marin Cauvas, Freddie Evans, Saba Karim, Eduardo Lemos, Ivan Alaiz, João Lopes, Artur Fjodorov, Marian Glaeser, Alex cordero, Stone Atwine, IVAN SHTANKO, Hirbod Bigvand
</v>
      </c>
      <c r="F165" s="4" t="str">
        <f>IFERROR(__xludf.DUMMYFUNCTION("""COMPUTED_VALUE"""),"")</f>
        <v/>
      </c>
      <c r="G165" s="4" t="str">
        <f>IFERROR(__xludf.DUMMYFUNCTION("""COMPUTED_VALUE"""),"")</f>
        <v/>
      </c>
      <c r="H165" s="4" t="str">
        <f>IFERROR(__xludf.DUMMYFUNCTION("""COMPUTED_VALUE"""),"95855248-5baf-54cb-87de-c2e70ce8eb9c")</f>
        <v>95855248-5baf-54cb-87de-c2e70ce8eb9c</v>
      </c>
      <c r="I165" s="4" t="str">
        <f>IFERROR(__xludf.DUMMYFUNCTION("""COMPUTED_VALUE"""),"95855248-5baf-54cb-87de-c2e70ce8eb9c")</f>
        <v>95855248-5baf-54cb-87de-c2e70ce8eb9c</v>
      </c>
    </row>
    <row r="166">
      <c r="A166" s="4" t="str">
        <f>IFERROR(__xludf.DUMMYFUNCTION("""COMPUTED_VALUE"""),"Opening Remarks: The world is broken: Four founders who solved problems in their own office with SaaS")</f>
        <v>Opening Remarks: The world is broken: Four founders who solved problems in their own office with SaaS</v>
      </c>
      <c r="B166" s="4" t="str">
        <f>IFERROR(__xludf.DUMMYFUNCTION("""COMPUTED_VALUE"""),"Solving these initial problems led to the discovery of bigger and better problems, and very lucrative businesses.")</f>
        <v>Solving these initial problems led to the discovery of bigger and better problems, and very lucrative businesses.</v>
      </c>
      <c r="C166" s="4" t="str">
        <f>IFERROR(__xludf.DUMMYFUNCTION("""COMPUTED_VALUE"""),"SaaS Monster")</f>
        <v>SaaS Monster</v>
      </c>
      <c r="D166" s="4" t="str">
        <f>IFERROR(__xludf.DUMMYFUNCTION("""COMPUTED_VALUE"""),"Stephen Cummins")</f>
        <v>Stephen Cummins</v>
      </c>
      <c r="E166" s="4" t="str">
        <f>IFERROR(__xludf.DUMMYFUNCTION("""COMPUTED_VALUE"""),"Stephen Cummins")</f>
        <v>Stephen Cummins</v>
      </c>
      <c r="F166" s="4" t="str">
        <f>IFERROR(__xludf.DUMMYFUNCTION("""COMPUTED_VALUE"""),"2019/11/06 10:45:00")</f>
        <v>2019/11/06 10:45:00</v>
      </c>
      <c r="G166" s="4" t="str">
        <f>IFERROR(__xludf.DUMMYFUNCTION("""COMPUTED_VALUE"""),"2019/11/06 11:00:00")</f>
        <v>2019/11/06 11:00:00</v>
      </c>
      <c r="H166" s="4" t="str">
        <f>IFERROR(__xludf.DUMMYFUNCTION("""COMPUTED_VALUE"""),"72860cf5-c69d-4def-823c-b25c9fb6cf49")</f>
        <v>72860cf5-c69d-4def-823c-b25c9fb6cf49</v>
      </c>
      <c r="I166" s="4" t="str">
        <f>IFERROR(__xludf.DUMMYFUNCTION("""COMPUTED_VALUE"""),"72860cf5-c69d-4def-823c-b25c9fb6cf49")</f>
        <v>72860cf5-c69d-4def-823c-b25c9fb6cf49</v>
      </c>
    </row>
    <row r="167">
      <c r="A167" s="4" t="str">
        <f>IFERROR(__xludf.DUMMYFUNCTION("""COMPUTED_VALUE"""),"Bradley Twohig of Lightspeed in conversation")</f>
        <v>Bradley Twohig of Lightspeed in conversation</v>
      </c>
      <c r="B167" s="4" t="str">
        <f>IFERROR(__xludf.DUMMYFUNCTION("""COMPUTED_VALUE"""),"One of the first Snapchat investors shares his thoughts on current funding trends in the US and Europe.")</f>
        <v>One of the first Snapchat investors shares his thoughts on current funding trends in the US and Europe.</v>
      </c>
      <c r="C167" s="4" t="str">
        <f>IFERROR(__xludf.DUMMYFUNCTION("""COMPUTED_VALUE"""),"Venture stage")</f>
        <v>Venture stage</v>
      </c>
      <c r="D167" s="4" t="str">
        <f>IFERROR(__xludf.DUMMYFUNCTION("""COMPUTED_VALUE"""),"Bradley Twohig and Frank Caufield")</f>
        <v>Bradley Twohig and Frank Caufield</v>
      </c>
      <c r="E167" s="4" t="str">
        <f>IFERROR(__xludf.DUMMYFUNCTION("""COMPUTED_VALUE"""),"Bradley Twohig,Frank Caufield")</f>
        <v>Bradley Twohig,Frank Caufield</v>
      </c>
      <c r="F167" s="4" t="str">
        <f>IFERROR(__xludf.DUMMYFUNCTION("""COMPUTED_VALUE"""),"2019/11/06 14:05:00")</f>
        <v>2019/11/06 14:05:00</v>
      </c>
      <c r="G167" s="4" t="str">
        <f>IFERROR(__xludf.DUMMYFUNCTION("""COMPUTED_VALUE"""),"2019/11/06 14:25:00")</f>
        <v>2019/11/06 14:25:00</v>
      </c>
      <c r="H167" s="4" t="str">
        <f>IFERROR(__xludf.DUMMYFUNCTION("""COMPUTED_VALUE"""),"0d7726a8-82d4-454b-91d9-bcdd50bc23f5")</f>
        <v>0d7726a8-82d4-454b-91d9-bcdd50bc23f5</v>
      </c>
      <c r="I167" s="4" t="str">
        <f>IFERROR(__xludf.DUMMYFUNCTION("""COMPUTED_VALUE"""),"0d7726a8-82d4-454b-91d9-bcdd50bc23f5")</f>
        <v>0d7726a8-82d4-454b-91d9-bcdd50bc23f5</v>
      </c>
    </row>
    <row r="168">
      <c r="A168" s="4" t="str">
        <f>IFERROR(__xludf.DUMMYFUNCTION("""COMPUTED_VALUE"""),"Opening remarks")</f>
        <v>Opening remarks</v>
      </c>
      <c r="B168" s="4" t="str">
        <f>IFERROR(__xludf.DUMMYFUNCTION("""COMPUTED_VALUE"""),"Welcome to Corporate Innovation Summit, where we unfold the secrets of the worlds largest firms.")</f>
        <v>Welcome to Corporate Innovation Summit, where we unfold the secrets of the worlds largest firms.</v>
      </c>
      <c r="C168" s="4" t="str">
        <f>IFERROR(__xludf.DUMMYFUNCTION("""COMPUTED_VALUE"""),"Corporate Innovation Summit")</f>
        <v>Corporate Innovation Summit</v>
      </c>
      <c r="D168" s="4" t="str">
        <f>IFERROR(__xludf.DUMMYFUNCTION("""COMPUTED_VALUE"""),"Diogo Sousa")</f>
        <v>Diogo Sousa</v>
      </c>
      <c r="E168" s="4" t="str">
        <f>IFERROR(__xludf.DUMMYFUNCTION("""COMPUTED_VALUE"""),"Diogo Sousa")</f>
        <v>Diogo Sousa</v>
      </c>
      <c r="F168" s="4" t="str">
        <f>IFERROR(__xludf.DUMMYFUNCTION("""COMPUTED_VALUE"""),"2019/11/06 10:15:00")</f>
        <v>2019/11/06 10:15:00</v>
      </c>
      <c r="G168" s="4" t="str">
        <f>IFERROR(__xludf.DUMMYFUNCTION("""COMPUTED_VALUE"""),"2019/11/06 10:30:00")</f>
        <v>2019/11/06 10:30:00</v>
      </c>
      <c r="H168" s="4" t="str">
        <f>IFERROR(__xludf.DUMMYFUNCTION("""COMPUTED_VALUE"""),"145259d2-ccb5-41ce-9ab9-b98883051820")</f>
        <v>145259d2-ccb5-41ce-9ab9-b98883051820</v>
      </c>
      <c r="I168" s="4" t="str">
        <f>IFERROR(__xludf.DUMMYFUNCTION("""COMPUTED_VALUE"""),"145259d2-ccb5-41ce-9ab9-b98883051820")</f>
        <v>145259d2-ccb5-41ce-9ab9-b98883051820</v>
      </c>
    </row>
    <row r="169">
      <c r="A169" s="4" t="str">
        <f>IFERROR(__xludf.DUMMYFUNCTION("""COMPUTED_VALUE"""),"What makes TikTok tick?  Inside the world's top app ")</f>
        <v>What makes TikTok tick?  Inside the world's top app </v>
      </c>
      <c r="B169" s="4" t="str">
        <f>IFERROR(__xludf.DUMMYFUNCTION("""COMPUTED_VALUE"""),"TikTok mania is upon us, and we will never be the same again. The phenomenon is only getting bigger:  How well do you know the world's most weird and wonderful app?")</f>
        <v>TikTok mania is upon us, and we will never be the same again. The phenomenon is only getting bigger:  How well do you know the world's most weird and wonderful app?</v>
      </c>
      <c r="C169" s="4" t="str">
        <f>IFERROR(__xludf.DUMMYFUNCTION("""COMPUTED_VALUE"""),"Startup University")</f>
        <v>Startup University</v>
      </c>
      <c r="D169" s="4" t="str">
        <f>IFERROR(__xludf.DUMMYFUNCTION("""COMPUTED_VALUE"""),"Hannah Snow, Dylan Collins and Natalie Monbiot")</f>
        <v>Hannah Snow, Dylan Collins and Natalie Monbiot</v>
      </c>
      <c r="E169" s="4" t="str">
        <f>IFERROR(__xludf.DUMMYFUNCTION("""COMPUTED_VALUE"""),"Hannah Snow,Dylan Collins,Natalie Monbiot")</f>
        <v>Hannah Snow,Dylan Collins,Natalie Monbiot</v>
      </c>
      <c r="F169" s="4" t="str">
        <f>IFERROR(__xludf.DUMMYFUNCTION("""COMPUTED_VALUE"""),"2019/11/05 15:25:00")</f>
        <v>2019/11/05 15:25:00</v>
      </c>
      <c r="G169" s="4" t="str">
        <f>IFERROR(__xludf.DUMMYFUNCTION("""COMPUTED_VALUE"""),"2019/11/05 15:45:00")</f>
        <v>2019/11/05 15:45:00</v>
      </c>
      <c r="H169" s="4" t="str">
        <f>IFERROR(__xludf.DUMMYFUNCTION("""COMPUTED_VALUE"""),"388b42c9-f97f-4acc-bfb4-4181466546bc")</f>
        <v>388b42c9-f97f-4acc-bfb4-4181466546bc</v>
      </c>
      <c r="I169" s="4" t="str">
        <f>IFERROR(__xludf.DUMMYFUNCTION("""COMPUTED_VALUE"""),"388b42c9-f97f-4acc-bfb4-4181466546bc")</f>
        <v>388b42c9-f97f-4acc-bfb4-4181466546bc</v>
      </c>
    </row>
    <row r="170">
      <c r="A170" s="4" t="str">
        <f>IFERROR(__xludf.DUMMYFUNCTION("""COMPUTED_VALUE"""),"Lunch break")</f>
        <v>Lunch break</v>
      </c>
      <c r="B170" s="4" t="str">
        <f>IFERROR(__xludf.DUMMYFUNCTION("""COMPUTED_VALUE"""),"")</f>
        <v/>
      </c>
      <c r="C170" s="4" t="str">
        <f>IFERROR(__xludf.DUMMYFUNCTION("""COMPUTED_VALUE"""),"Auto/Tech &amp; TalkRobot")</f>
        <v>Auto/Tech &amp; TalkRobot</v>
      </c>
      <c r="D170" s="4" t="str">
        <f>IFERROR(__xludf.DUMMYFUNCTION("""COMPUTED_VALUE"""),"")</f>
        <v/>
      </c>
      <c r="E170" s="4" t="str">
        <f>IFERROR(__xludf.DUMMYFUNCTION("""COMPUTED_VALUE"""),"")</f>
        <v/>
      </c>
      <c r="F170" s="4" t="str">
        <f>IFERROR(__xludf.DUMMYFUNCTION("""COMPUTED_VALUE"""),"2019/11/06 13:15:00")</f>
        <v>2019/11/06 13:15:00</v>
      </c>
      <c r="G170" s="4" t="str">
        <f>IFERROR(__xludf.DUMMYFUNCTION("""COMPUTED_VALUE"""),"2019/11/06 14:00:00")</f>
        <v>2019/11/06 14:00:00</v>
      </c>
      <c r="H170" s="4" t="str">
        <f>IFERROR(__xludf.DUMMYFUNCTION("""COMPUTED_VALUE"""),"2ac7eaf8-3025-400b-aa2a-ae1c008fc618")</f>
        <v>2ac7eaf8-3025-400b-aa2a-ae1c008fc618</v>
      </c>
      <c r="I170" s="4" t="str">
        <f>IFERROR(__xludf.DUMMYFUNCTION("""COMPUTED_VALUE"""),"2ac7eaf8-3025-400b-aa2a-ae1c008fc618")</f>
        <v>2ac7eaf8-3025-400b-aa2a-ae1c008fc618</v>
      </c>
    </row>
    <row r="171">
      <c r="A171" s="4" t="str">
        <f>IFERROR(__xludf.DUMMYFUNCTION("""COMPUTED_VALUE"""),"Machine Demo final")</f>
        <v>Machine Demo final</v>
      </c>
      <c r="B171" s="4" t="str">
        <f>IFERROR(__xludf.DUMMYFUNCTION("""COMPUTED_VALUE"""),"The four finalists from Machine Demo group rounds battle it out in front of a panel of expert judges to be crowned the 2019 Machine Demo champion.")</f>
        <v>The four finalists from Machine Demo group rounds battle it out in front of a panel of expert judges to be crowned the 2019 Machine Demo champion.</v>
      </c>
      <c r="C171" s="4" t="str">
        <f>IFERROR(__xludf.DUMMYFUNCTION("""COMPUTED_VALUE"""),"Machine Demo")</f>
        <v>Machine Demo</v>
      </c>
      <c r="D171" s="4" t="str">
        <f>IFERROR(__xludf.DUMMYFUNCTION("""COMPUTED_VALUE"""),"Ansgar Chorhummel, Kaigham Gabriel, Sven Illing, Rytis Vitkauskas, Bruno Meireles de Sousa and Hugo Augusto")</f>
        <v>Ansgar Chorhummel, Kaigham Gabriel, Sven Illing, Rytis Vitkauskas, Bruno Meireles de Sousa and Hugo Augusto</v>
      </c>
      <c r="E171" s="4" t="str">
        <f>IFERROR(__xludf.DUMMYFUNCTION("""COMPUTED_VALUE"""),"Ansgar Chorhummel,Kaigham Gabriel,Sven Illing,Rytis Vitkauskas,Bruno Meireles de Sousa,Hugo Augusto")</f>
        <v>Ansgar Chorhummel,Kaigham Gabriel,Sven Illing,Rytis Vitkauskas,Bruno Meireles de Sousa,Hugo Augusto</v>
      </c>
      <c r="F171" s="4" t="str">
        <f>IFERROR(__xludf.DUMMYFUNCTION("""COMPUTED_VALUE"""),"2019/11/07 14:30:00")</f>
        <v>2019/11/07 14:30:00</v>
      </c>
      <c r="G171" s="4" t="str">
        <f>IFERROR(__xludf.DUMMYFUNCTION("""COMPUTED_VALUE"""),"2019/11/07 15:15:00")</f>
        <v>2019/11/07 15:15:00</v>
      </c>
      <c r="H171" s="4" t="str">
        <f>IFERROR(__xludf.DUMMYFUNCTION("""COMPUTED_VALUE"""),"a45525a4-80dc-43f5-9f4b-e2aa68ae37eb")</f>
        <v>a45525a4-80dc-43f5-9f4b-e2aa68ae37eb</v>
      </c>
      <c r="I171" s="4" t="str">
        <f>IFERROR(__xludf.DUMMYFUNCTION("""COMPUTED_VALUE"""),"a45525a4-80dc-43f5-9f4b-e2aa68ae37eb")</f>
        <v>a45525a4-80dc-43f5-9f4b-e2aa68ae37eb</v>
      </c>
    </row>
    <row r="172">
      <c r="A172" s="4" t="str">
        <f>IFERROR(__xludf.DUMMYFUNCTION("""COMPUTED_VALUE"""),"Opening remarks")</f>
        <v>Opening remarks</v>
      </c>
      <c r="B172" s="4" t="str">
        <f>IFERROR(__xludf.DUMMYFUNCTION("""COMPUTED_VALUE"""),"")</f>
        <v/>
      </c>
      <c r="C172" s="4" t="str">
        <f>IFERROR(__xludf.DUMMYFUNCTION("""COMPUTED_VALUE"""),"Centre Stage")</f>
        <v>Centre Stage</v>
      </c>
      <c r="D172" s="4" t="str">
        <f>IFERROR(__xludf.DUMMYFUNCTION("""COMPUTED_VALUE"""),"Paddy Cosgrave")</f>
        <v>Paddy Cosgrave</v>
      </c>
      <c r="E172" s="4" t="str">
        <f>IFERROR(__xludf.DUMMYFUNCTION("""COMPUTED_VALUE"""),"Paddy Cosgrave")</f>
        <v>Paddy Cosgrave</v>
      </c>
      <c r="F172" s="4" t="str">
        <f>IFERROR(__xludf.DUMMYFUNCTION("""COMPUTED_VALUE"""),"2019/11/07 10:15:00")</f>
        <v>2019/11/07 10:15:00</v>
      </c>
      <c r="G172" s="4" t="str">
        <f>IFERROR(__xludf.DUMMYFUNCTION("""COMPUTED_VALUE"""),"2019/11/07 10:30:00")</f>
        <v>2019/11/07 10:30:00</v>
      </c>
      <c r="H172" s="4" t="str">
        <f>IFERROR(__xludf.DUMMYFUNCTION("""COMPUTED_VALUE"""),"ea03f8f8-84e1-47a9-afee-1829384c3b79")</f>
        <v>ea03f8f8-84e1-47a9-afee-1829384c3b79</v>
      </c>
      <c r="I172" s="4" t="str">
        <f>IFERROR(__xludf.DUMMYFUNCTION("""COMPUTED_VALUE"""),"ea03f8f8-84e1-47a9-afee-1829384c3b79")</f>
        <v>ea03f8f8-84e1-47a9-afee-1829384c3b79</v>
      </c>
    </row>
    <row r="173">
      <c r="A173" s="4" t="str">
        <f>IFERROR(__xludf.DUMMYFUNCTION("""COMPUTED_VALUE"""),"Why AI-based decision making will grow your company")</f>
        <v>Why AI-based decision making will grow your company</v>
      </c>
      <c r="B173" s="4" t="str">
        <f>IFERROR(__xludf.DUMMYFUNCTION("""COMPUTED_VALUE"""),"Vishal, CEO of Prowler.io, explains how the most successful companies will increasingly use AI to inform their decisions. He'll draw on the surprising characteristic of Prowler’s growth such as how the company built a team of world-class AI practitioners "&amp;"out of the academic field and integrated them into a commercial organisation.")</f>
        <v>Vishal, CEO of Prowler.io, explains how the most successful companies will increasingly use AI to inform their decisions. He'll draw on the surprising characteristic of Prowler’s growth such as how the company built a team of world-class AI practitioners out of the academic field and integrated them into a commercial organisation.</v>
      </c>
      <c r="C173" s="4" t="str">
        <f>IFERROR(__xludf.DUMMYFUNCTION("""COMPUTED_VALUE"""),"Growth Summit")</f>
        <v>Growth Summit</v>
      </c>
      <c r="D173" s="4" t="str">
        <f>IFERROR(__xludf.DUMMYFUNCTION("""COMPUTED_VALUE"""),"Vishal Chatrath")</f>
        <v>Vishal Chatrath</v>
      </c>
      <c r="E173" s="4" t="str">
        <f>IFERROR(__xludf.DUMMYFUNCTION("""COMPUTED_VALUE"""),"Vishal Chatrath")</f>
        <v>Vishal Chatrath</v>
      </c>
      <c r="F173" s="4" t="str">
        <f>IFERROR(__xludf.DUMMYFUNCTION("""COMPUTED_VALUE"""),"2019/11/06 12:41:00")</f>
        <v>2019/11/06 12:41:00</v>
      </c>
      <c r="G173" s="4" t="str">
        <f>IFERROR(__xludf.DUMMYFUNCTION("""COMPUTED_VALUE"""),"2019/11/06 12:52:00")</f>
        <v>2019/11/06 12:52:00</v>
      </c>
      <c r="H173" s="4" t="str">
        <f>IFERROR(__xludf.DUMMYFUNCTION("""COMPUTED_VALUE"""),"51ae4986-1360-46e7-92eb-2af6e705c8fa")</f>
        <v>51ae4986-1360-46e7-92eb-2af6e705c8fa</v>
      </c>
      <c r="I173" s="4" t="str">
        <f>IFERROR(__xludf.DUMMYFUNCTION("""COMPUTED_VALUE"""),"51ae4986-1360-46e7-92eb-2af6e705c8fa")</f>
        <v>51ae4986-1360-46e7-92eb-2af6e705c8fa</v>
      </c>
    </row>
    <row r="174">
      <c r="A174" s="4" t="str">
        <f>IFERROR(__xludf.DUMMYFUNCTION("""COMPUTED_VALUE"""),"PITCH group round 14")</f>
        <v>PITCH group round 14</v>
      </c>
      <c r="B174" s="4" t="str">
        <f>IFERROR(__xludf.DUMMYFUNCTION("""COMPUTED_VALUE"""),"")</f>
        <v/>
      </c>
      <c r="C174" s="4" t="str">
        <f>IFERROR(__xludf.DUMMYFUNCTION("""COMPUTED_VALUE"""),"PITCH 2")</f>
        <v>PITCH 2</v>
      </c>
      <c r="D174" s="4" t="str">
        <f>IFERROR(__xludf.DUMMYFUNCTION("""COMPUTED_VALUE"""),"Vanessa Wright, Claude Ritter, Yamilette Cano, Stephan Morais, Joe Altendorff, Marco Delgado, Hendrik Kramer, Svetlana Zakharenkova, Tony Park, Klena Sarges Silva, Jacinto Sa and Pedro Beirão")</f>
        <v>Vanessa Wright, Claude Ritter, Yamilette Cano, Stephan Morais, Joe Altendorff, Marco Delgado, Hendrik Kramer, Svetlana Zakharenkova, Tony Park, Klena Sarges Silva, Jacinto Sa and Pedro Beirão</v>
      </c>
      <c r="E174" s="4" t="str">
        <f>IFERROR(__xludf.DUMMYFUNCTION("""COMPUTED_VALUE"""),"Vanessa Wright,Claude Ritter,Yamilette Cano,Stephan Morais,Joe Altendorff,Marco Delgado,Hendrik Kramer,Svetlana Zakharenkova,Tony Park,Klena Sarges Silva,Jacinto Sa,Pedro Beirão")</f>
        <v>Vanessa Wright,Claude Ritter,Yamilette Cano,Stephan Morais,Joe Altendorff,Marco Delgado,Hendrik Kramer,Svetlana Zakharenkova,Tony Park,Klena Sarges Silva,Jacinto Sa,Pedro Beirão</v>
      </c>
      <c r="F174" s="4" t="str">
        <f>IFERROR(__xludf.DUMMYFUNCTION("""COMPUTED_VALUE"""),"2019/11/05 14:00:00")</f>
        <v>2019/11/05 14:00:00</v>
      </c>
      <c r="G174" s="4" t="str">
        <f>IFERROR(__xludf.DUMMYFUNCTION("""COMPUTED_VALUE"""),"2019/11/05 15:00:00")</f>
        <v>2019/11/05 15:00:00</v>
      </c>
      <c r="H174" s="4" t="str">
        <f>IFERROR(__xludf.DUMMYFUNCTION("""COMPUTED_VALUE"""),"708f2837-fcff-48b7-bf28-b917ee417d80")</f>
        <v>708f2837-fcff-48b7-bf28-b917ee417d80</v>
      </c>
      <c r="I174" s="4" t="str">
        <f>IFERROR(__xludf.DUMMYFUNCTION("""COMPUTED_VALUE"""),"708f2837-fcff-48b7-bf28-b917ee417d80")</f>
        <v>708f2837-fcff-48b7-bf28-b917ee417d80</v>
      </c>
    </row>
    <row r="175">
      <c r="A175" s="4" t="str">
        <f>IFERROR(__xludf.DUMMYFUNCTION("""COMPUTED_VALUE"""),"The changing face of TV Sports")</f>
        <v>The changing face of TV Sports</v>
      </c>
      <c r="B175" s="4" t="str">
        <f>IFERROR(__xludf.DUMMYFUNCTION("""COMPUTED_VALUE"""),"Is the TV sports rights bubble about to burst?  This session examines the state of industry and highlights what the disruptors and OTT platforms are doing to change the game.
")</f>
        <v>Is the TV sports rights bubble about to burst?  This session examines the state of industry and highlights what the disruptors and OTT platforms are doing to change the game.
</v>
      </c>
      <c r="C175" s="4" t="str">
        <f>IFERROR(__xludf.DUMMYFUNCTION("""COMPUTED_VALUE"""),"SportsTrade")</f>
        <v>SportsTrade</v>
      </c>
      <c r="D175" s="4" t="str">
        <f>IFERROR(__xludf.DUMMYFUNCTION("""COMPUTED_VALUE"""),"Baron Davis, Zack Weiner and Michael Spirito")</f>
        <v>Baron Davis, Zack Weiner and Michael Spirito</v>
      </c>
      <c r="E175" s="4" t="str">
        <f>IFERROR(__xludf.DUMMYFUNCTION("""COMPUTED_VALUE"""),"Baron Davis,Zack Weiner,Michael Spirito")</f>
        <v>Baron Davis,Zack Weiner,Michael Spirito</v>
      </c>
      <c r="F175" s="4" t="str">
        <f>IFERROR(__xludf.DUMMYFUNCTION("""COMPUTED_VALUE"""),"2019/11/05 11:45:00")</f>
        <v>2019/11/05 11:45:00</v>
      </c>
      <c r="G175" s="4" t="str">
        <f>IFERROR(__xludf.DUMMYFUNCTION("""COMPUTED_VALUE"""),"2019/11/05 12:05:00")</f>
        <v>2019/11/05 12:05:00</v>
      </c>
      <c r="H175" s="4" t="str">
        <f>IFERROR(__xludf.DUMMYFUNCTION("""COMPUTED_VALUE"""),"59cc6a20-06d0-4e50-867f-655066403c91")</f>
        <v>59cc6a20-06d0-4e50-867f-655066403c91</v>
      </c>
      <c r="I175" s="4" t="str">
        <f>IFERROR(__xludf.DUMMYFUNCTION("""COMPUTED_VALUE"""),"59cc6a20-06d0-4e50-867f-655066403c91")</f>
        <v>59cc6a20-06d0-4e50-867f-655066403c91</v>
      </c>
    </row>
    <row r="176">
      <c r="A176" s="4" t="str">
        <f>IFERROR(__xludf.DUMMYFUNCTION("""COMPUTED_VALUE"""),"Wealthtech: Finding our path to success")</f>
        <v>Wealthtech: Finding our path to success</v>
      </c>
      <c r="B176" s="4" t="str">
        <f>IFERROR(__xludf.DUMMYFUNCTION("""COMPUTED_VALUE"""),"CEO of Nucoro, Lennart will discuss the challenges of building a B2B tech platform from scratch and how partnerships can solve the digitisation challenge in finance.")</f>
        <v>CEO of Nucoro, Lennart will discuss the challenges of building a B2B tech platform from scratch and how partnerships can solve the digitisation challenge in finance.</v>
      </c>
      <c r="C176" s="4" t="str">
        <f>IFERROR(__xludf.DUMMYFUNCTION("""COMPUTED_VALUE"""),"Growth Summit")</f>
        <v>Growth Summit</v>
      </c>
      <c r="D176" s="4" t="str">
        <f>IFERROR(__xludf.DUMMYFUNCTION("""COMPUTED_VALUE"""),"Lennart Asshoff")</f>
        <v>Lennart Asshoff</v>
      </c>
      <c r="E176" s="4" t="str">
        <f>IFERROR(__xludf.DUMMYFUNCTION("""COMPUTED_VALUE"""),"Lennart Asshoff")</f>
        <v>Lennart Asshoff</v>
      </c>
      <c r="F176" s="4" t="str">
        <f>IFERROR(__xludf.DUMMYFUNCTION("""COMPUTED_VALUE"""),"2019/11/06 10:22:00")</f>
        <v>2019/11/06 10:22:00</v>
      </c>
      <c r="G176" s="4" t="str">
        <f>IFERROR(__xludf.DUMMYFUNCTION("""COMPUTED_VALUE"""),"2019/11/06 10:26:00")</f>
        <v>2019/11/06 10:26:00</v>
      </c>
      <c r="H176" s="4" t="str">
        <f>IFERROR(__xludf.DUMMYFUNCTION("""COMPUTED_VALUE"""),"b3535b77-bbce-4a95-8901-534a627cae9c")</f>
        <v>b3535b77-bbce-4a95-8901-534a627cae9c</v>
      </c>
      <c r="I176" s="4" t="str">
        <f>IFERROR(__xludf.DUMMYFUNCTION("""COMPUTED_VALUE"""),"b3535b77-bbce-4a95-8901-534a627cae9c")</f>
        <v>b3535b77-bbce-4a95-8901-534a627cae9c</v>
      </c>
    </row>
    <row r="177">
      <c r="A177" s="4" t="str">
        <f>IFERROR(__xludf.DUMMYFUNCTION("""COMPUTED_VALUE"""),"I, Robot: The future of marketing ")</f>
        <v>I, Robot: The future of marketing </v>
      </c>
      <c r="B177" s="4" t="str">
        <f>IFERROR(__xludf.DUMMYFUNCTION("""COMPUTED_VALUE"""),"Mobile has created the most frictionless market the world has ever seen – within seconds, you can reach millions of potential customers across the globe. To manage the complexity of a global market, marketers use increasing amounts of data – and to deal w"&amp;"ith that, they use machine learning or AI. Does this mean the marketer of the future is a robot?")</f>
        <v>Mobile has created the most frictionless market the world has ever seen – within seconds, you can reach millions of potential customers across the globe. To manage the complexity of a global market, marketers use increasing amounts of data – and to deal with that, they use machine learning or AI. Does this mean the marketer of the future is a robot?</v>
      </c>
      <c r="C177" s="4" t="str">
        <f>IFERROR(__xludf.DUMMYFUNCTION("""COMPUTED_VALUE"""),"SaaS Monster")</f>
        <v>SaaS Monster</v>
      </c>
      <c r="D177" s="4" t="str">
        <f>IFERROR(__xludf.DUMMYFUNCTION("""COMPUTED_VALUE"""),"Christian Henschel and Emil Protalinski")</f>
        <v>Christian Henschel and Emil Protalinski</v>
      </c>
      <c r="E177" s="4" t="str">
        <f>IFERROR(__xludf.DUMMYFUNCTION("""COMPUTED_VALUE"""),"Christian Henschel,Emil Protalinski")</f>
        <v>Christian Henschel,Emil Protalinski</v>
      </c>
      <c r="F177" s="4" t="str">
        <f>IFERROR(__xludf.DUMMYFUNCTION("""COMPUTED_VALUE"""),"2019/11/05 14:25:00")</f>
        <v>2019/11/05 14:25:00</v>
      </c>
      <c r="G177" s="4" t="str">
        <f>IFERROR(__xludf.DUMMYFUNCTION("""COMPUTED_VALUE"""),"2019/11/05 14:45:00")</f>
        <v>2019/11/05 14:45:00</v>
      </c>
      <c r="H177" s="4" t="str">
        <f>IFERROR(__xludf.DUMMYFUNCTION("""COMPUTED_VALUE"""),"f8834362-1388-40bf-bd2a-9d4c8118f0f6")</f>
        <v>f8834362-1388-40bf-bd2a-9d4c8118f0f6</v>
      </c>
      <c r="I177" s="4" t="str">
        <f>IFERROR(__xludf.DUMMYFUNCTION("""COMPUTED_VALUE"""),"f8834362-1388-40bf-bd2a-9d4c8118f0f6")</f>
        <v>f8834362-1388-40bf-bd2a-9d4c8118f0f6</v>
      </c>
    </row>
    <row r="178">
      <c r="A178" s="4" t="str">
        <f>IFERROR(__xludf.DUMMYFUNCTION("""COMPUTED_VALUE"""),"Winning in the feedback economy")</f>
        <v>Winning in the feedback economy</v>
      </c>
      <c r="B178" s="4" t="str">
        <f>IFERROR(__xludf.DUMMYFUNCTION("""COMPUTED_VALUE"""),"Feedback is pervasive, public, and powerful. The total transparency of social media coupled with the fundamental human desire to be heard means feedback is constantly surfacing about every aspect of your company. Companies that listen better and faster th"&amp;"an their competitors can adapt — and win — in the feedback economy. ")</f>
        <v>Feedback is pervasive, public, and powerful. The total transparency of social media coupled with the fundamental human desire to be heard means feedback is constantly surfacing about every aspect of your company. Companies that listen better and faster than their competitors can adapt — and win — in the feedback economy. </v>
      </c>
      <c r="C178" s="4" t="str">
        <f>IFERROR(__xludf.DUMMYFUNCTION("""COMPUTED_VALUE"""),"PandaConf")</f>
        <v>PandaConf</v>
      </c>
      <c r="D178" s="4" t="str">
        <f>IFERROR(__xludf.DUMMYFUNCTION("""COMPUTED_VALUE"""),"Zander Lurie")</f>
        <v>Zander Lurie</v>
      </c>
      <c r="E178" s="4" t="str">
        <f>IFERROR(__xludf.DUMMYFUNCTION("""COMPUTED_VALUE"""),"Zander Lurie")</f>
        <v>Zander Lurie</v>
      </c>
      <c r="F178" s="4" t="str">
        <f>IFERROR(__xludf.DUMMYFUNCTION("""COMPUTED_VALUE"""),"2019/11/05 10:45:00")</f>
        <v>2019/11/05 10:45:00</v>
      </c>
      <c r="G178" s="4" t="str">
        <f>IFERROR(__xludf.DUMMYFUNCTION("""COMPUTED_VALUE"""),"2019/11/05 11:05:00")</f>
        <v>2019/11/05 11:05:00</v>
      </c>
      <c r="H178" s="4" t="str">
        <f>IFERROR(__xludf.DUMMYFUNCTION("""COMPUTED_VALUE"""),"230f8603-c72e-4b0f-8f1a-20d41f115544")</f>
        <v>230f8603-c72e-4b0f-8f1a-20d41f115544</v>
      </c>
      <c r="I178" s="4" t="str">
        <f>IFERROR(__xludf.DUMMYFUNCTION("""COMPUTED_VALUE"""),"230f8603-c72e-4b0f-8f1a-20d41f115544")</f>
        <v>230f8603-c72e-4b0f-8f1a-20d41f115544</v>
      </c>
    </row>
    <row r="179">
      <c r="A179" s="4" t="str">
        <f>IFERROR(__xludf.DUMMYFUNCTION("""COMPUTED_VALUE"""),"Making innovation instrumental")</f>
        <v>Making innovation instrumental</v>
      </c>
      <c r="B179" s="4" t="str">
        <f>IFERROR(__xludf.DUMMYFUNCTION("""COMPUTED_VALUE"""),"CEO of Fender, Andy discusses how Fender – now in its 74th year as a world-leading guitar manufacturer - is appealing to digitally-savvy millennial consumers by innovating in both software and hardware and connecting both to drive industry and company gro"&amp;"wth.  ")</f>
        <v>CEO of Fender, Andy discusses how Fender – now in its 74th year as a world-leading guitar manufacturer - is appealing to digitally-savvy millennial consumers by innovating in both software and hardware and connecting both to drive industry and company growth.  </v>
      </c>
      <c r="C179" s="4" t="str">
        <f>IFERROR(__xludf.DUMMYFUNCTION("""COMPUTED_VALUE"""),"MusicNotes")</f>
        <v>MusicNotes</v>
      </c>
      <c r="D179" s="4" t="str">
        <f>IFERROR(__xludf.DUMMYFUNCTION("""COMPUTED_VALUE"""),"Andy Mooney")</f>
        <v>Andy Mooney</v>
      </c>
      <c r="E179" s="4" t="str">
        <f>IFERROR(__xludf.DUMMYFUNCTION("""COMPUTED_VALUE"""),"Andy Mooney")</f>
        <v>Andy Mooney</v>
      </c>
      <c r="F179" s="4" t="str">
        <f>IFERROR(__xludf.DUMMYFUNCTION("""COMPUTED_VALUE"""),"2019/11/07 15:15:00")</f>
        <v>2019/11/07 15:15:00</v>
      </c>
      <c r="G179" s="4" t="str">
        <f>IFERROR(__xludf.DUMMYFUNCTION("""COMPUTED_VALUE"""),"2019/11/07 15:35:00")</f>
        <v>2019/11/07 15:35:00</v>
      </c>
      <c r="H179" s="4" t="str">
        <f>IFERROR(__xludf.DUMMYFUNCTION("""COMPUTED_VALUE"""),"6e4ef6f9-b2b7-46fb-b62d-205e7229be0c")</f>
        <v>6e4ef6f9-b2b7-46fb-b62d-205e7229be0c</v>
      </c>
      <c r="I179" s="4" t="str">
        <f>IFERROR(__xludf.DUMMYFUNCTION("""COMPUTED_VALUE"""),"6e4ef6f9-b2b7-46fb-b62d-205e7229be0c")</f>
        <v>6e4ef6f9-b2b7-46fb-b62d-205e7229be0c</v>
      </c>
    </row>
    <row r="180">
      <c r="A180" s="4" t="str">
        <f>IFERROR(__xludf.DUMMYFUNCTION("""COMPUTED_VALUE"""),"Lunch break")</f>
        <v>Lunch break</v>
      </c>
      <c r="B180" s="4" t="str">
        <f>IFERROR(__xludf.DUMMYFUNCTION("""COMPUTED_VALUE"""),"")</f>
        <v/>
      </c>
      <c r="C180" s="4" t="str">
        <f>IFERROR(__xludf.DUMMYFUNCTION("""COMPUTED_VALUE"""),"Corporate Innovation Summit")</f>
        <v>Corporate Innovation Summit</v>
      </c>
      <c r="D180" s="4" t="str">
        <f>IFERROR(__xludf.DUMMYFUNCTION("""COMPUTED_VALUE"""),"")</f>
        <v/>
      </c>
      <c r="E180" s="4" t="str">
        <f>IFERROR(__xludf.DUMMYFUNCTION("""COMPUTED_VALUE"""),"")</f>
        <v/>
      </c>
      <c r="F180" s="4" t="str">
        <f>IFERROR(__xludf.DUMMYFUNCTION("""COMPUTED_VALUE"""),"2019/11/07 12:55:00")</f>
        <v>2019/11/07 12:55:00</v>
      </c>
      <c r="G180" s="4" t="str">
        <f>IFERROR(__xludf.DUMMYFUNCTION("""COMPUTED_VALUE"""),"2019/11/07 13:30:00")</f>
        <v>2019/11/07 13:30:00</v>
      </c>
      <c r="H180" s="4" t="str">
        <f>IFERROR(__xludf.DUMMYFUNCTION("""COMPUTED_VALUE"""),"d36c7638-471e-453f-9f5e-b95a47877687")</f>
        <v>d36c7638-471e-453f-9f5e-b95a47877687</v>
      </c>
      <c r="I180" s="4" t="str">
        <f>IFERROR(__xludf.DUMMYFUNCTION("""COMPUTED_VALUE"""),"d36c7638-471e-453f-9f5e-b95a47877687")</f>
        <v>d36c7638-471e-453f-9f5e-b95a47877687</v>
      </c>
    </row>
    <row r="181">
      <c r="A181" s="4" t="str">
        <f>IFERROR(__xludf.DUMMYFUNCTION("""COMPUTED_VALUE"""),"Extraterrestrial entrepreneurs: Doing business in the new space market")</f>
        <v>Extraterrestrial entrepreneurs: Doing business in the new space market</v>
      </c>
      <c r="B181" s="4" t="str">
        <f>IFERROR(__xludf.DUMMYFUNCTION("""COMPUTED_VALUE"""),"The re-emergence of the space industry is bringing about new opportunities for corporations and individuals to leverage technical advances made possible through NASA, ESA and other organisations. As we enter this new era of public-private partnerships, le"&amp;"arn about the potential business and societal advancements on the horizon with Chantelle Baier from 4Space inc and about future corporate technical uses with Alan Boehme from P&amp;G.")</f>
        <v>The re-emergence of the space industry is bringing about new opportunities for corporations and individuals to leverage technical advances made possible through NASA, ESA and other organisations. As we enter this new era of public-private partnerships, learn about the potential business and societal advancements on the horizon with Chantelle Baier from 4Space inc and about future corporate technical uses with Alan Boehme from P&amp;G.</v>
      </c>
      <c r="C181" s="4" t="str">
        <f>IFERROR(__xludf.DUMMYFUNCTION("""COMPUTED_VALUE"""),"DeepTech")</f>
        <v>DeepTech</v>
      </c>
      <c r="D181" s="4" t="str">
        <f>IFERROR(__xludf.DUMMYFUNCTION("""COMPUTED_VALUE"""),"Alan Boehme and Chantelle Baier")</f>
        <v>Alan Boehme and Chantelle Baier</v>
      </c>
      <c r="E181" s="4" t="str">
        <f>IFERROR(__xludf.DUMMYFUNCTION("""COMPUTED_VALUE"""),"Alan Boehme,Chantelle Baier")</f>
        <v>Alan Boehme,Chantelle Baier</v>
      </c>
      <c r="F181" s="4" t="str">
        <f>IFERROR(__xludf.DUMMYFUNCTION("""COMPUTED_VALUE"""),"2019/11/06 16:20:00")</f>
        <v>2019/11/06 16:20:00</v>
      </c>
      <c r="G181" s="4" t="str">
        <f>IFERROR(__xludf.DUMMYFUNCTION("""COMPUTED_VALUE"""),"2019/11/06 16:40:00")</f>
        <v>2019/11/06 16:40:00</v>
      </c>
      <c r="H181" s="4" t="str">
        <f>IFERROR(__xludf.DUMMYFUNCTION("""COMPUTED_VALUE"""),"102a2943-0682-4789-8944-33e68885e9c9")</f>
        <v>102a2943-0682-4789-8944-33e68885e9c9</v>
      </c>
      <c r="I181" s="4" t="str">
        <f>IFERROR(__xludf.DUMMYFUNCTION("""COMPUTED_VALUE"""),"102a2943-0682-4789-8944-33e68885e9c9")</f>
        <v>102a2943-0682-4789-8944-33e68885e9c9</v>
      </c>
    </row>
    <row r="182">
      <c r="A182" s="4" t="str">
        <f>IFERROR(__xludf.DUMMYFUNCTION("""COMPUTED_VALUE"""),"Retrofitting digital to banking")</f>
        <v>Retrofitting digital to banking</v>
      </c>
      <c r="B182" s="4" t="str">
        <f>IFERROR(__xludf.DUMMYFUNCTION("""COMPUTED_VALUE"""),"As consumers continue their mass migration toward digital and mobile banking solutions, reaching them is a digital challenge that traditional banks often struggle with. In this session, we'll learn what strategies and technologies are being employed to pr"&amp;"epare for the future.")</f>
        <v>As consumers continue their mass migration toward digital and mobile banking solutions, reaching them is a digital challenge that traditional banks often struggle with. In this session, we'll learn what strategies and technologies are being employed to prepare for the future.</v>
      </c>
      <c r="C182" s="4" t="str">
        <f>IFERROR(__xludf.DUMMYFUNCTION("""COMPUTED_VALUE"""),"Corporate Innovation Summit")</f>
        <v>Corporate Innovation Summit</v>
      </c>
      <c r="D182" s="4" t="str">
        <f>IFERROR(__xludf.DUMMYFUNCTION("""COMPUTED_VALUE"""),"Luis Uguina, Claire Calmejane, Paulo Marques and Peter Zemsky")</f>
        <v>Luis Uguina, Claire Calmejane, Paulo Marques and Peter Zemsky</v>
      </c>
      <c r="E182" s="4" t="str">
        <f>IFERROR(__xludf.DUMMYFUNCTION("""COMPUTED_VALUE"""),"Luis Uguina,Claire Calmejane,Paulo Marques,Peter Zemsky")</f>
        <v>Luis Uguina,Claire Calmejane,Paulo Marques,Peter Zemsky</v>
      </c>
      <c r="F182" s="4" t="str">
        <f>IFERROR(__xludf.DUMMYFUNCTION("""COMPUTED_VALUE"""),"2019/11/06 15:45:00")</f>
        <v>2019/11/06 15:45:00</v>
      </c>
      <c r="G182" s="4" t="str">
        <f>IFERROR(__xludf.DUMMYFUNCTION("""COMPUTED_VALUE"""),"2019/11/06 16:05:00")</f>
        <v>2019/11/06 16:05:00</v>
      </c>
      <c r="H182" s="4" t="str">
        <f>IFERROR(__xludf.DUMMYFUNCTION("""COMPUTED_VALUE"""),"f696cbec-24a3-42b1-b196-2a9ab262bbd7")</f>
        <v>f696cbec-24a3-42b1-b196-2a9ab262bbd7</v>
      </c>
      <c r="I182" s="4" t="str">
        <f>IFERROR(__xludf.DUMMYFUNCTION("""COMPUTED_VALUE"""),"f696cbec-24a3-42b1-b196-2a9ab262bbd7")</f>
        <v>f696cbec-24a3-42b1-b196-2a9ab262bbd7</v>
      </c>
    </row>
    <row r="183">
      <c r="A183" s="4" t="str">
        <f>IFERROR(__xludf.DUMMYFUNCTION("""COMPUTED_VALUE"""),"Opening remarks")</f>
        <v>Opening remarks</v>
      </c>
      <c r="B183" s="4" t="str">
        <f>IFERROR(__xludf.DUMMYFUNCTION("""COMPUTED_VALUE"""),"")</f>
        <v/>
      </c>
      <c r="C183" s="4" t="str">
        <f>IFERROR(__xludf.DUMMYFUNCTION("""COMPUTED_VALUE"""),"Centre Stage")</f>
        <v>Centre Stage</v>
      </c>
      <c r="D183" s="4" t="str">
        <f>IFERROR(__xludf.DUMMYFUNCTION("""COMPUTED_VALUE"""),"Yvonne Redmond")</f>
        <v>Yvonne Redmond</v>
      </c>
      <c r="E183" s="4" t="str">
        <f>IFERROR(__xludf.DUMMYFUNCTION("""COMPUTED_VALUE"""),"Yvonne Redmond")</f>
        <v>Yvonne Redmond</v>
      </c>
      <c r="F183" s="4" t="str">
        <f>IFERROR(__xludf.DUMMYFUNCTION("""COMPUTED_VALUE"""),"2019/11/06 13:50:00")</f>
        <v>2019/11/06 13:50:00</v>
      </c>
      <c r="G183" s="4" t="str">
        <f>IFERROR(__xludf.DUMMYFUNCTION("""COMPUTED_VALUE"""),"2019/11/06 14:00:00")</f>
        <v>2019/11/06 14:00:00</v>
      </c>
      <c r="H183" s="4" t="str">
        <f>IFERROR(__xludf.DUMMYFUNCTION("""COMPUTED_VALUE"""),"0cf0a640-509c-4e4c-8645-36186884d20e")</f>
        <v>0cf0a640-509c-4e4c-8645-36186884d20e</v>
      </c>
      <c r="I183" s="4" t="str">
        <f>IFERROR(__xludf.DUMMYFUNCTION("""COMPUTED_VALUE"""),"0cf0a640-509c-4e4c-8645-36186884d20e")</f>
        <v>0cf0a640-509c-4e4c-8645-36186884d20e</v>
      </c>
    </row>
    <row r="184">
      <c r="A184" s="4" t="str">
        <f>IFERROR(__xludf.DUMMYFUNCTION("""COMPUTED_VALUE"""),"PITCH group round 2")</f>
        <v>PITCH group round 2</v>
      </c>
      <c r="B184" s="4" t="str">
        <f>IFERROR(__xludf.DUMMYFUNCTION("""COMPUTED_VALUE"""),"")</f>
        <v/>
      </c>
      <c r="C184" s="4" t="str">
        <f>IFERROR(__xludf.DUMMYFUNCTION("""COMPUTED_VALUE"""),"PITCH 2")</f>
        <v>PITCH 2</v>
      </c>
      <c r="D184" s="4" t="str">
        <f>IFERROR(__xludf.DUMMYFUNCTION("""COMPUTED_VALUE"""),"Nic Brisbourne, David Meltzer, Myra Khanna, Luis Shemtov, Miguel Barbosa, Jiazi Guo, George Laliashvili, Daniel Sozonov, Sam Davies, Pedro Humbert and MICHAEL JASCHKE")</f>
        <v>Nic Brisbourne, David Meltzer, Myra Khanna, Luis Shemtov, Miguel Barbosa, Jiazi Guo, George Laliashvili, Daniel Sozonov, Sam Davies, Pedro Humbert and MICHAEL JASCHKE</v>
      </c>
      <c r="E184" s="4" t="str">
        <f>IFERROR(__xludf.DUMMYFUNCTION("""COMPUTED_VALUE"""),"Nic Brisbourne,David Meltzer,Myra Khanna,Luis Shemtov,Miguel Barbosa,Jiazi Guo,George Laliashvili,Daniel Sozonov,Sam Davies,Pedro Humbert,MICHAEL JASCHKE")</f>
        <v>Nic Brisbourne,David Meltzer,Myra Khanna,Luis Shemtov,Miguel Barbosa,Jiazi Guo,George Laliashvili,Daniel Sozonov,Sam Davies,Pedro Humbert,MICHAEL JASCHKE</v>
      </c>
      <c r="F184" s="4" t="str">
        <f>IFERROR(__xludf.DUMMYFUNCTION("""COMPUTED_VALUE"""),"2019/11/05 09:15:00")</f>
        <v>2019/11/05 09:15:00</v>
      </c>
      <c r="G184" s="4" t="str">
        <f>IFERROR(__xludf.DUMMYFUNCTION("""COMPUTED_VALUE"""),"2019/11/05 10:15:00")</f>
        <v>2019/11/05 10:15:00</v>
      </c>
      <c r="H184" s="4" t="str">
        <f>IFERROR(__xludf.DUMMYFUNCTION("""COMPUTED_VALUE"""),"ae5f1596-fd1a-4771-8149-cb941bbcf18b")</f>
        <v>ae5f1596-fd1a-4771-8149-cb941bbcf18b</v>
      </c>
      <c r="I184" s="4" t="str">
        <f>IFERROR(__xludf.DUMMYFUNCTION("""COMPUTED_VALUE"""),"ae5f1596-fd1a-4771-8149-cb941bbcf18b")</f>
        <v>ae5f1596-fd1a-4771-8149-cb941bbcf18b</v>
      </c>
    </row>
    <row r="185">
      <c r="A185" s="4" t="str">
        <f>IFERROR(__xludf.DUMMYFUNCTION("""COMPUTED_VALUE"""),"Music 2030: What the future holds  ")</f>
        <v>Music 2030: What the future holds  </v>
      </c>
      <c r="B185" s="4" t="str">
        <f>IFERROR(__xludf.DUMMYFUNCTION("""COMPUTED_VALUE"""),"This panel is a state of the nation discussion on where music is - and where it is going. What has been the impact of streaming services, digital publishing, AI and machine learning so far, and where will it take the music industry in the future?")</f>
        <v>This panel is a state of the nation discussion on where music is - and where it is going. What has been the impact of streaming services, digital publishing, AI and machine learning so far, and where will it take the music industry in the future?</v>
      </c>
      <c r="C185" s="4" t="str">
        <f>IFERROR(__xludf.DUMMYFUNCTION("""COMPUTED_VALUE"""),"MusicNotes")</f>
        <v>MusicNotes</v>
      </c>
      <c r="D185" s="4" t="str">
        <f>IFERROR(__xludf.DUMMYFUNCTION("""COMPUTED_VALUE"""),"Jean-Michel Jarre, Pieter Van Rijn, Gigi Johnson and Eamonn Forde")</f>
        <v>Jean-Michel Jarre, Pieter Van Rijn, Gigi Johnson and Eamonn Forde</v>
      </c>
      <c r="E185" s="4" t="str">
        <f>IFERROR(__xludf.DUMMYFUNCTION("""COMPUTED_VALUE"""),"Jean-Michel Jarre,Pieter Van Rijn,Gigi Johnson,Eamonn Forde")</f>
        <v>Jean-Michel Jarre,Pieter Van Rijn,Gigi Johnson,Eamonn Forde</v>
      </c>
      <c r="F185" s="4" t="str">
        <f>IFERROR(__xludf.DUMMYFUNCTION("""COMPUTED_VALUE"""),"2019/11/07 15:35:00")</f>
        <v>2019/11/07 15:35:00</v>
      </c>
      <c r="G185" s="4" t="str">
        <f>IFERROR(__xludf.DUMMYFUNCTION("""COMPUTED_VALUE"""),"2019/11/07 16:00:00")</f>
        <v>2019/11/07 16:00:00</v>
      </c>
      <c r="H185" s="4" t="str">
        <f>IFERROR(__xludf.DUMMYFUNCTION("""COMPUTED_VALUE"""),"90a1f14c-da9d-44df-b565-c402b6114bb5")</f>
        <v>90a1f14c-da9d-44df-b565-c402b6114bb5</v>
      </c>
      <c r="I185" s="4" t="str">
        <f>IFERROR(__xludf.DUMMYFUNCTION("""COMPUTED_VALUE"""),"90a1f14c-da9d-44df-b565-c402b6114bb5")</f>
        <v>90a1f14c-da9d-44df-b565-c402b6114bb5</v>
      </c>
    </row>
    <row r="186">
      <c r="A186" s="4" t="str">
        <f>IFERROR(__xludf.DUMMYFUNCTION("""COMPUTED_VALUE"""),"Growth lessons from Japan")</f>
        <v>Growth lessons from Japan</v>
      </c>
      <c r="B186" s="4" t="str">
        <f>IFERROR(__xludf.DUMMYFUNCTION("""COMPUTED_VALUE"""),"As one of the world's strongest economies, Japanese business practices are taught and studied the world over. This session will transport us into the business philosophies and lessons that have shaped Japan and its culture.")</f>
        <v>As one of the world's strongest economies, Japanese business practices are taught and studied the world over. This session will transport us into the business philosophies and lessons that have shaped Japan and its culture.</v>
      </c>
      <c r="C186" s="4" t="str">
        <f>IFERROR(__xludf.DUMMYFUNCTION("""COMPUTED_VALUE"""),"Corporate Innovation Summit")</f>
        <v>Corporate Innovation Summit</v>
      </c>
      <c r="D186" s="4" t="str">
        <f>IFERROR(__xludf.DUMMYFUNCTION("""COMPUTED_VALUE"""),"Noriyuki Yamazaki, Aya Nakajo and Leisha Santorelli")</f>
        <v>Noriyuki Yamazaki, Aya Nakajo and Leisha Santorelli</v>
      </c>
      <c r="E186" s="4" t="str">
        <f>IFERROR(__xludf.DUMMYFUNCTION("""COMPUTED_VALUE"""),"Noriyuki Yamazaki,Aya Nakajo,Leisha Santorelli")</f>
        <v>Noriyuki Yamazaki,Aya Nakajo,Leisha Santorelli</v>
      </c>
      <c r="F186" s="4" t="str">
        <f>IFERROR(__xludf.DUMMYFUNCTION("""COMPUTED_VALUE"""),"2019/11/06 11:45:00")</f>
        <v>2019/11/06 11:45:00</v>
      </c>
      <c r="G186" s="4" t="str">
        <f>IFERROR(__xludf.DUMMYFUNCTION("""COMPUTED_VALUE"""),"2019/11/06 12:05:00")</f>
        <v>2019/11/06 12:05:00</v>
      </c>
      <c r="H186" s="4" t="str">
        <f>IFERROR(__xludf.DUMMYFUNCTION("""COMPUTED_VALUE"""),"afba863a-7765-421b-8672-b51d2a8e79e5")</f>
        <v>afba863a-7765-421b-8672-b51d2a8e79e5</v>
      </c>
      <c r="I186" s="4" t="str">
        <f>IFERROR(__xludf.DUMMYFUNCTION("""COMPUTED_VALUE"""),"afba863a-7765-421b-8672-b51d2a8e79e5")</f>
        <v>afba863a-7765-421b-8672-b51d2a8e79e5</v>
      </c>
    </row>
    <row r="187">
      <c r="A187" s="4" t="str">
        <f>IFERROR(__xludf.DUMMYFUNCTION("""COMPUTED_VALUE"""),"Lunch break")</f>
        <v>Lunch break</v>
      </c>
      <c r="B187" s="4" t="str">
        <f>IFERROR(__xludf.DUMMYFUNCTION("""COMPUTED_VALUE"""),"")</f>
        <v/>
      </c>
      <c r="C187" s="8" t="str">
        <f>IFERROR(__xludf.DUMMYFUNCTION("""COMPUTED_VALUE"""),"binate.io")</f>
        <v>binate.io</v>
      </c>
      <c r="D187" s="4" t="str">
        <f>IFERROR(__xludf.DUMMYFUNCTION("""COMPUTED_VALUE"""),"")</f>
        <v/>
      </c>
      <c r="E187" s="4" t="str">
        <f>IFERROR(__xludf.DUMMYFUNCTION("""COMPUTED_VALUE"""),"")</f>
        <v/>
      </c>
      <c r="F187" s="4" t="str">
        <f>IFERROR(__xludf.DUMMYFUNCTION("""COMPUTED_VALUE"""),"2019/11/06 13:05:00")</f>
        <v>2019/11/06 13:05:00</v>
      </c>
      <c r="G187" s="4" t="str">
        <f>IFERROR(__xludf.DUMMYFUNCTION("""COMPUTED_VALUE"""),"2019/11/06 13:50:00")</f>
        <v>2019/11/06 13:50:00</v>
      </c>
      <c r="H187" s="4" t="str">
        <f>IFERROR(__xludf.DUMMYFUNCTION("""COMPUTED_VALUE"""),"da4fc303-cfe8-4656-83f6-cbd1d333596d")</f>
        <v>da4fc303-cfe8-4656-83f6-cbd1d333596d</v>
      </c>
      <c r="I187" s="4" t="str">
        <f>IFERROR(__xludf.DUMMYFUNCTION("""COMPUTED_VALUE"""),"da4fc303-cfe8-4656-83f6-cbd1d333596d")</f>
        <v>da4fc303-cfe8-4656-83f6-cbd1d333596d</v>
      </c>
    </row>
    <row r="188">
      <c r="A188" s="4" t="str">
        <f>IFERROR(__xludf.DUMMYFUNCTION("""COMPUTED_VALUE"""),"Lunch break")</f>
        <v>Lunch break</v>
      </c>
      <c r="B188" s="4" t="str">
        <f>IFERROR(__xludf.DUMMYFUNCTION("""COMPUTED_VALUE"""),"")</f>
        <v/>
      </c>
      <c r="C188" s="4" t="str">
        <f>IFERROR(__xludf.DUMMYFUNCTION("""COMPUTED_VALUE"""),"UnBoxed")</f>
        <v>UnBoxed</v>
      </c>
      <c r="D188" s="4" t="str">
        <f>IFERROR(__xludf.DUMMYFUNCTION("""COMPUTED_VALUE"""),"")</f>
        <v/>
      </c>
      <c r="E188" s="4" t="str">
        <f>IFERROR(__xludf.DUMMYFUNCTION("""COMPUTED_VALUE"""),"")</f>
        <v/>
      </c>
      <c r="F188" s="4" t="str">
        <f>IFERROR(__xludf.DUMMYFUNCTION("""COMPUTED_VALUE"""),"2019/11/05 13:15:00")</f>
        <v>2019/11/05 13:15:00</v>
      </c>
      <c r="G188" s="4" t="str">
        <f>IFERROR(__xludf.DUMMYFUNCTION("""COMPUTED_VALUE"""),"2019/11/05 14:15:00")</f>
        <v>2019/11/05 14:15:00</v>
      </c>
      <c r="H188" s="4" t="str">
        <f>IFERROR(__xludf.DUMMYFUNCTION("""COMPUTED_VALUE"""),"50f59da3-2fd5-4907-ae64-321d597f2cac")</f>
        <v>50f59da3-2fd5-4907-ae64-321d597f2cac</v>
      </c>
      <c r="I188" s="4" t="str">
        <f>IFERROR(__xludf.DUMMYFUNCTION("""COMPUTED_VALUE"""),"50f59da3-2fd5-4907-ae64-321d597f2cac")</f>
        <v>50f59da3-2fd5-4907-ae64-321d597f2cac</v>
      </c>
    </row>
    <row r="189">
      <c r="A189" s="4" t="str">
        <f>IFERROR(__xludf.DUMMYFUNCTION("""COMPUTED_VALUE"""),"The New York Times: Storytelling and brands")</f>
        <v>The New York Times: Storytelling and brands</v>
      </c>
      <c r="B189" s="4" t="str">
        <f>IFERROR(__xludf.DUMMYFUNCTION("""COMPUTED_VALUE"""),"The New York Times is the most innovative storyteller in the world, famous for turning complex subjects into digestible narratives with its unique brand of storytelling. As Creative Director of their in-house brand studio, Graham will take you through som"&amp;"e of the greatest success stories in recent years and some of the design and storytelling methods they utilise to bring these stories to life.")</f>
        <v>The New York Times is the most innovative storyteller in the world, famous for turning complex subjects into digestible narratives with its unique brand of storytelling. As Creative Director of their in-house brand studio, Graham will take you through some of the greatest success stories in recent years and some of the design and storytelling methods they utilise to bring these stories to life.</v>
      </c>
      <c r="C189" s="4" t="str">
        <f>IFERROR(__xludf.DUMMYFUNCTION("""COMPUTED_VALUE"""),"ContentMakers")</f>
        <v>ContentMakers</v>
      </c>
      <c r="D189" s="4" t="str">
        <f>IFERROR(__xludf.DUMMYFUNCTION("""COMPUTED_VALUE"""),"Graham McDonnell")</f>
        <v>Graham McDonnell</v>
      </c>
      <c r="E189" s="4" t="str">
        <f>IFERROR(__xludf.DUMMYFUNCTION("""COMPUTED_VALUE"""),"Graham McDonnell")</f>
        <v>Graham McDonnell</v>
      </c>
      <c r="F189" s="4" t="str">
        <f>IFERROR(__xludf.DUMMYFUNCTION("""COMPUTED_VALUE"""),"2019/11/06 12:50:00")</f>
        <v>2019/11/06 12:50:00</v>
      </c>
      <c r="G189" s="4" t="str">
        <f>IFERROR(__xludf.DUMMYFUNCTION("""COMPUTED_VALUE"""),"2019/11/06 13:10:00")</f>
        <v>2019/11/06 13:10:00</v>
      </c>
      <c r="H189" s="4" t="str">
        <f>IFERROR(__xludf.DUMMYFUNCTION("""COMPUTED_VALUE"""),"1d77fc32-e449-4eb2-9e31-ac590f340617")</f>
        <v>1d77fc32-e449-4eb2-9e31-ac590f340617</v>
      </c>
      <c r="I189" s="4" t="str">
        <f>IFERROR(__xludf.DUMMYFUNCTION("""COMPUTED_VALUE"""),"1d77fc32-e449-4eb2-9e31-ac590f340617")</f>
        <v>1d77fc32-e449-4eb2-9e31-ac590f340617</v>
      </c>
    </row>
    <row r="190">
      <c r="A190" s="4" t="str">
        <f>IFERROR(__xludf.DUMMYFUNCTION("""COMPUTED_VALUE"""),"Living on the edge: The future of edge computing")</f>
        <v>Living on the edge: The future of edge computing</v>
      </c>
      <c r="B190" s="4" t="str">
        <f>IFERROR(__xludf.DUMMYFUNCTION("""COMPUTED_VALUE"""),"Tyler McMullen, CTO of Fastly, will share what it really means to be “at the edge”, and where the field of edge computing is going.  He’ll discuss current use cases and future opportunities for leveraging the edge for new application logic, including how "&amp;"enterprises can accomplish speed and safety using multi-tenancy and isolation.")</f>
        <v>Tyler McMullen, CTO of Fastly, will share what it really means to be “at the edge”, and where the field of edge computing is going.  He’ll discuss current use cases and future opportunities for leveraging the edge for new application logic, including how enterprises can accomplish speed and safety using multi-tenancy and isolation.</v>
      </c>
      <c r="C190" s="4" t="str">
        <f>IFERROR(__xludf.DUMMYFUNCTION("""COMPUTED_VALUE"""),"FullSTK")</f>
        <v>FullSTK</v>
      </c>
      <c r="D190" s="4" t="str">
        <f>IFERROR(__xludf.DUMMYFUNCTION("""COMPUTED_VALUE"""),"Tyler McMullen")</f>
        <v>Tyler McMullen</v>
      </c>
      <c r="E190" s="4" t="str">
        <f>IFERROR(__xludf.DUMMYFUNCTION("""COMPUTED_VALUE"""),"Tyler McMullen")</f>
        <v>Tyler McMullen</v>
      </c>
      <c r="F190" s="4" t="str">
        <f>IFERROR(__xludf.DUMMYFUNCTION("""COMPUTED_VALUE"""),"2019/11/07 14:35:00")</f>
        <v>2019/11/07 14:35:00</v>
      </c>
      <c r="G190" s="4" t="str">
        <f>IFERROR(__xludf.DUMMYFUNCTION("""COMPUTED_VALUE"""),"2019/11/07 14:55:00")</f>
        <v>2019/11/07 14:55:00</v>
      </c>
      <c r="H190" s="4" t="str">
        <f>IFERROR(__xludf.DUMMYFUNCTION("""COMPUTED_VALUE"""),"cc0447cd-c4ca-437d-bfa3-7c2eddc63cd7")</f>
        <v>cc0447cd-c4ca-437d-bfa3-7c2eddc63cd7</v>
      </c>
      <c r="I190" s="4" t="str">
        <f>IFERROR(__xludf.DUMMYFUNCTION("""COMPUTED_VALUE"""),"cc0447cd-c4ca-437d-bfa3-7c2eddc63cd7")</f>
        <v>cc0447cd-c4ca-437d-bfa3-7c2eddc63cd7</v>
      </c>
    </row>
    <row r="191">
      <c r="A191" s="4" t="str">
        <f>IFERROR(__xludf.DUMMYFUNCTION("""COMPUTED_VALUE"""),"How much tax is just right?")</f>
        <v>How much tax is just right?</v>
      </c>
      <c r="B191" s="4" t="str">
        <f>IFERROR(__xludf.DUMMYFUNCTION("""COMPUTED_VALUE"""),"If you think that the hardest thing to understand is income tax then you are in good company - Albert Einstein's. If you would like to better understand tax then you should come to this session where you will hear from some of the world's authorities on j"&amp;"ust how much tax is right.")</f>
        <v>If you think that the hardest thing to understand is income tax then you are in good company - Albert Einstein's. If you would like to better understand tax then you should come to this session where you will hear from some of the world's authorities on just how much tax is right.</v>
      </c>
      <c r="C191" s="4" t="str">
        <f>IFERROR(__xludf.DUMMYFUNCTION("""COMPUTED_VALUE"""),"Future Societies")</f>
        <v>Future Societies</v>
      </c>
      <c r="D191" s="4" t="str">
        <f>IFERROR(__xludf.DUMMYFUNCTION("""COMPUTED_VALUE"""),"Pascal Saint-Amans, Jane McCormick and Ryan Broderick")</f>
        <v>Pascal Saint-Amans, Jane McCormick and Ryan Broderick</v>
      </c>
      <c r="E191" s="4" t="str">
        <f>IFERROR(__xludf.DUMMYFUNCTION("""COMPUTED_VALUE"""),"Pascal Saint-Amans,Jane McCormick,Ryan Broderick")</f>
        <v>Pascal Saint-Amans,Jane McCormick,Ryan Broderick</v>
      </c>
      <c r="F191" s="4" t="str">
        <f>IFERROR(__xludf.DUMMYFUNCTION("""COMPUTED_VALUE"""),"2019/11/07 11:10:00")</f>
        <v>2019/11/07 11:10:00</v>
      </c>
      <c r="G191" s="4" t="str">
        <f>IFERROR(__xludf.DUMMYFUNCTION("""COMPUTED_VALUE"""),"2019/11/07 11:30:00")</f>
        <v>2019/11/07 11:30:00</v>
      </c>
      <c r="H191" s="4" t="str">
        <f>IFERROR(__xludf.DUMMYFUNCTION("""COMPUTED_VALUE"""),"57afb291-b87d-4915-ba24-1416b7084be1")</f>
        <v>57afb291-b87d-4915-ba24-1416b7084be1</v>
      </c>
      <c r="I191" s="4" t="str">
        <f>IFERROR(__xludf.DUMMYFUNCTION("""COMPUTED_VALUE"""),"57afb291-b87d-4915-ba24-1416b7084be1")</f>
        <v>57afb291-b87d-4915-ba24-1416b7084be1</v>
      </c>
    </row>
    <row r="192">
      <c r="A192" s="4" t="str">
        <f>IFERROR(__xludf.DUMMYFUNCTION("""COMPUTED_VALUE"""),"No one left behind: Making tech work for the many")</f>
        <v>No one left behind: Making tech work for the many</v>
      </c>
      <c r="B192" s="4" t="str">
        <f>IFERROR(__xludf.DUMMYFUNCTION("""COMPUTED_VALUE"""),"")</f>
        <v/>
      </c>
      <c r="C192" s="4" t="str">
        <f>IFERROR(__xludf.DUMMYFUNCTION("""COMPUTED_VALUE"""),"")</f>
        <v/>
      </c>
      <c r="D192" s="4" t="str">
        <f>IFERROR(__xludf.DUMMYFUNCTION("""COMPUTED_VALUE"""),"Ro Khanna")</f>
        <v>Ro Khanna</v>
      </c>
      <c r="E192" s="4" t="str">
        <f>IFERROR(__xludf.DUMMYFUNCTION("""COMPUTED_VALUE"""),"Ro Khanna")</f>
        <v>Ro Khanna</v>
      </c>
      <c r="F192" s="4" t="str">
        <f>IFERROR(__xludf.DUMMYFUNCTION("""COMPUTED_VALUE"""),"")</f>
        <v/>
      </c>
      <c r="G192" s="4" t="str">
        <f>IFERROR(__xludf.DUMMYFUNCTION("""COMPUTED_VALUE"""),"")</f>
        <v/>
      </c>
      <c r="H192" s="4" t="str">
        <f>IFERROR(__xludf.DUMMYFUNCTION("""COMPUTED_VALUE"""),"881fb86a-874b-55f5-9edd-f657075ca652")</f>
        <v>881fb86a-874b-55f5-9edd-f657075ca652</v>
      </c>
      <c r="I192" s="4" t="str">
        <f>IFERROR(__xludf.DUMMYFUNCTION("""COMPUTED_VALUE"""),"881fb86a-874b-55f5-9edd-f657075ca652")</f>
        <v>881fb86a-874b-55f5-9edd-f657075ca652</v>
      </c>
    </row>
    <row r="193">
      <c r="A193" s="4" t="str">
        <f>IFERROR(__xludf.DUMMYFUNCTION("""COMPUTED_VALUE"""),"Predicting the future of brand design")</f>
        <v>Predicting the future of brand design</v>
      </c>
      <c r="B193" s="4" t="str">
        <f>IFERROR(__xludf.DUMMYFUNCTION("""COMPUTED_VALUE"""),"Despite cultural, political and technological change, one thing remains constant: Companies will keep trying to sell you stuff, and they’ll keep coming up with new ways to do it. Let's hear what the experts think of where the industry is going.")</f>
        <v>Despite cultural, political and technological change, one thing remains constant: Companies will keep trying to sell you stuff, and they’ll keep coming up with new ways to do it. Let's hear what the experts think of where the industry is going.</v>
      </c>
      <c r="C193" s="4" t="str">
        <f>IFERROR(__xludf.DUMMYFUNCTION("""COMPUTED_VALUE"""),"PandaConf")</f>
        <v>PandaConf</v>
      </c>
      <c r="D193" s="4" t="str">
        <f>IFERROR(__xludf.DUMMYFUNCTION("""COMPUTED_VALUE"""),"Dan Gardner, Amy Buckner Chowdhry, Tim Kobe and Marty Swant")</f>
        <v>Dan Gardner, Amy Buckner Chowdhry, Tim Kobe and Marty Swant</v>
      </c>
      <c r="E193" s="4" t="str">
        <f>IFERROR(__xludf.DUMMYFUNCTION("""COMPUTED_VALUE"""),"Dan Gardner,Amy Buckner Chowdhry,Tim Kobe,Marty Swant")</f>
        <v>Dan Gardner,Amy Buckner Chowdhry,Tim Kobe,Marty Swant</v>
      </c>
      <c r="F193" s="4" t="str">
        <f>IFERROR(__xludf.DUMMYFUNCTION("""COMPUTED_VALUE"""),"2019/11/07 14:10:00")</f>
        <v>2019/11/07 14:10:00</v>
      </c>
      <c r="G193" s="4" t="str">
        <f>IFERROR(__xludf.DUMMYFUNCTION("""COMPUTED_VALUE"""),"2019/11/07 14:35:00")</f>
        <v>2019/11/07 14:35:00</v>
      </c>
      <c r="H193" s="4" t="str">
        <f>IFERROR(__xludf.DUMMYFUNCTION("""COMPUTED_VALUE"""),"cd12ea61-81ae-49e1-85cf-c58408fce6bb")</f>
        <v>cd12ea61-81ae-49e1-85cf-c58408fce6bb</v>
      </c>
      <c r="I193" s="4" t="str">
        <f>IFERROR(__xludf.DUMMYFUNCTION("""COMPUTED_VALUE"""),"cd12ea61-81ae-49e1-85cf-c58408fce6bb")</f>
        <v>cd12ea61-81ae-49e1-85cf-c58408fce6bb</v>
      </c>
    </row>
    <row r="194">
      <c r="A194" s="4" t="str">
        <f>IFERROR(__xludf.DUMMYFUNCTION("""COMPUTED_VALUE"""),"What I learned from building a 'unicorn' ")</f>
        <v>What I learned from building a 'unicorn' </v>
      </c>
      <c r="B194" s="4" t="str">
        <f>IFERROR(__xludf.DUMMYFUNCTION("""COMPUTED_VALUE"""),"Tech unicorns are no longer as rare as the name suggests, but those that survive the test of time (and balance sheets) might be. Three unicorn founders talk about the difference between high valuations and actually running a successful company.")</f>
        <v>Tech unicorns are no longer as rare as the name suggests, but those that survive the test of time (and balance sheets) might be. Three unicorn founders talk about the difference between high valuations and actually running a successful company.</v>
      </c>
      <c r="C194" s="4" t="str">
        <f>IFERROR(__xludf.DUMMYFUNCTION("""COMPUTED_VALUE"""),"Startup University")</f>
        <v>Startup University</v>
      </c>
      <c r="D194" s="4" t="str">
        <f>IFERROR(__xludf.DUMMYFUNCTION("""COMPUTED_VALUE"""),"Melanie Perkins, Mada Seghete, Lucy Liu and Ryan Browne")</f>
        <v>Melanie Perkins, Mada Seghete, Lucy Liu and Ryan Browne</v>
      </c>
      <c r="E194" s="4" t="str">
        <f>IFERROR(__xludf.DUMMYFUNCTION("""COMPUTED_VALUE"""),"Melanie Perkins,Mada Seghete,Lucy Liu,Ryan Browne")</f>
        <v>Melanie Perkins,Mada Seghete,Lucy Liu,Ryan Browne</v>
      </c>
      <c r="F194" s="4" t="str">
        <f>IFERROR(__xludf.DUMMYFUNCTION("""COMPUTED_VALUE"""),"2019/11/05 16:05:00")</f>
        <v>2019/11/05 16:05:00</v>
      </c>
      <c r="G194" s="4" t="str">
        <f>IFERROR(__xludf.DUMMYFUNCTION("""COMPUTED_VALUE"""),"2019/11/05 16:30:00")</f>
        <v>2019/11/05 16:30:00</v>
      </c>
      <c r="H194" s="4" t="str">
        <f>IFERROR(__xludf.DUMMYFUNCTION("""COMPUTED_VALUE"""),"6f917ff5-7193-40fb-bda6-f2cdac423d6e")</f>
        <v>6f917ff5-7193-40fb-bda6-f2cdac423d6e</v>
      </c>
      <c r="I194" s="4" t="str">
        <f>IFERROR(__xludf.DUMMYFUNCTION("""COMPUTED_VALUE"""),"6f917ff5-7193-40fb-bda6-f2cdac423d6e")</f>
        <v>6f917ff5-7193-40fb-bda6-f2cdac423d6e</v>
      </c>
    </row>
    <row r="195">
      <c r="A195" s="4" t="str">
        <f>IFERROR(__xludf.DUMMYFUNCTION("""COMPUTED_VALUE"""),"Experian's approach to data innovation ")</f>
        <v>Experian's approach to data innovation </v>
      </c>
      <c r="B195" s="4" t="str">
        <f>IFERROR(__xludf.DUMMYFUNCTION("""COMPUTED_VALUE"""),"5.8 million people are virtually invisible to the mainstream financial system that most people take for granted. This talk will cover the problems the potential solution found in data, and what key learnings can be adopted by the tech community at large.
"&amp;"
")</f>
        <v>5.8 million people are virtually invisible to the mainstream financial system that most people take for granted. This talk will cover the problems the potential solution found in data, and what key learnings can be adopted by the tech community at large.
</v>
      </c>
      <c r="C195" s="4" t="str">
        <f>IFERROR(__xludf.DUMMYFUNCTION("""COMPUTED_VALUE"""),"Startup University")</f>
        <v>Startup University</v>
      </c>
      <c r="D195" s="4" t="str">
        <f>IFERROR(__xludf.DUMMYFUNCTION("""COMPUTED_VALUE"""),"Jonathan Westley")</f>
        <v>Jonathan Westley</v>
      </c>
      <c r="E195" s="4" t="str">
        <f>IFERROR(__xludf.DUMMYFUNCTION("""COMPUTED_VALUE"""),"Jonathan Westley")</f>
        <v>Jonathan Westley</v>
      </c>
      <c r="F195" s="4" t="str">
        <f>IFERROR(__xludf.DUMMYFUNCTION("""COMPUTED_VALUE"""),"2019/11/06 11:30:00")</f>
        <v>2019/11/06 11:30:00</v>
      </c>
      <c r="G195" s="4" t="str">
        <f>IFERROR(__xludf.DUMMYFUNCTION("""COMPUTED_VALUE"""),"2019/11/06 11:50:00")</f>
        <v>2019/11/06 11:50:00</v>
      </c>
      <c r="H195" s="4" t="str">
        <f>IFERROR(__xludf.DUMMYFUNCTION("""COMPUTED_VALUE"""),"26433169-4936-4d3a-9b98-d91e6070b895")</f>
        <v>26433169-4936-4d3a-9b98-d91e6070b895</v>
      </c>
      <c r="I195" s="4" t="str">
        <f>IFERROR(__xludf.DUMMYFUNCTION("""COMPUTED_VALUE"""),"26433169-4936-4d3a-9b98-d91e6070b895")</f>
        <v>26433169-4936-4d3a-9b98-d91e6070b895</v>
      </c>
    </row>
    <row r="196">
      <c r="A196" s="4" t="str">
        <f>IFERROR(__xludf.DUMMYFUNCTION("""COMPUTED_VALUE"""),"Multi-platform media: The digital challenge")</f>
        <v>Multi-platform media: The digital challenge</v>
      </c>
      <c r="B196" s="4" t="str">
        <f>IFERROR(__xludf.DUMMYFUNCTION("""COMPUTED_VALUE"""),"This discussion will look at the changing face of traditional media and ask what both heritage brands and digitally native outlets need to do to thrive in a multi-platform environment. ")</f>
        <v>This discussion will look at the changing face of traditional media and ask what both heritage brands and digitally native outlets need to do to thrive in a multi-platform environment. </v>
      </c>
      <c r="C196" s="4" t="str">
        <f>IFERROR(__xludf.DUMMYFUNCTION("""COMPUTED_VALUE"""),"ContentMakers")</f>
        <v>ContentMakers</v>
      </c>
      <c r="D196" s="4" t="str">
        <f>IFERROR(__xludf.DUMMYFUNCTION("""COMPUTED_VALUE"""),"Larry Fitzgibbon, Victoriya Boklag, Kelly Bales and Erika Allen")</f>
        <v>Larry Fitzgibbon, Victoriya Boklag, Kelly Bales and Erika Allen</v>
      </c>
      <c r="E196" s="4" t="str">
        <f>IFERROR(__xludf.DUMMYFUNCTION("""COMPUTED_VALUE"""),"Larry Fitzgibbon,Victoriya Boklag,Kelly Bales,Erika Allen")</f>
        <v>Larry Fitzgibbon,Victoriya Boklag,Kelly Bales,Erika Allen</v>
      </c>
      <c r="F196" s="4" t="str">
        <f>IFERROR(__xludf.DUMMYFUNCTION("""COMPUTED_VALUE"""),"2019/11/06 12:30:00")</f>
        <v>2019/11/06 12:30:00</v>
      </c>
      <c r="G196" s="4" t="str">
        <f>IFERROR(__xludf.DUMMYFUNCTION("""COMPUTED_VALUE"""),"2019/11/06 12:50:00")</f>
        <v>2019/11/06 12:50:00</v>
      </c>
      <c r="H196" s="4" t="str">
        <f>IFERROR(__xludf.DUMMYFUNCTION("""COMPUTED_VALUE"""),"f3067ba0-d16f-476b-b9db-bf84b746156f")</f>
        <v>f3067ba0-d16f-476b-b9db-bf84b746156f</v>
      </c>
      <c r="I196" s="4" t="str">
        <f>IFERROR(__xludf.DUMMYFUNCTION("""COMPUTED_VALUE"""),"f3067ba0-d16f-476b-b9db-bf84b746156f")</f>
        <v>f3067ba0-d16f-476b-b9db-bf84b746156f</v>
      </c>
    </row>
    <row r="197">
      <c r="A197" s="4" t="str">
        <f>IFERROR(__xludf.DUMMYFUNCTION("""COMPUTED_VALUE"""),"PITCH ground round 17")</f>
        <v>PITCH ground round 17</v>
      </c>
      <c r="B197" s="4" t="str">
        <f>IFERROR(__xludf.DUMMYFUNCTION("""COMPUTED_VALUE"""),"")</f>
        <v/>
      </c>
      <c r="C197" s="4" t="str">
        <f>IFERROR(__xludf.DUMMYFUNCTION("""COMPUTED_VALUE"""),"")</f>
        <v/>
      </c>
      <c r="D197" s="4" t="str">
        <f>IFERROR(__xludf.DUMMYFUNCTION("""COMPUTED_VALUE"""),"Zach Coelius,  Michael Szalontay,  Yamilette Cano,  Henri Baker,  Patricia Alves,  Tal Ben-Simon,  Erika Vincent,  Christoph Hantschk,  Alexander Zaytsev,  Alberto Noronha and  Leah Cohen and Rosse Gates")</f>
        <v>Zach Coelius,  Michael Szalontay,  Yamilette Cano,  Henri Baker,  Patricia Alves,  Tal Ben-Simon,  Erika Vincent,  Christoph Hantschk,  Alexander Zaytsev,  Alberto Noronha and  Leah Cohen and Rosse Gates</v>
      </c>
      <c r="E197" s="4" t="str">
        <f>IFERROR(__xludf.DUMMYFUNCTION("""COMPUTED_VALUE"""),"Zach Coelius, Michael Szalontay, Yamilette Cano, Henri Baker, Patricia Alves, Tal Ben-Simon, Erika Vincent, Christoph Hantschk, Alexander Zaytsev, Alberto Noronha, Leah Cohen and Rosse Gates")</f>
        <v>Zach Coelius, Michael Szalontay, Yamilette Cano, Henri Baker, Patricia Alves, Tal Ben-Simon, Erika Vincent, Christoph Hantschk, Alexander Zaytsev, Alberto Noronha, Leah Cohen and Rosse Gates</v>
      </c>
      <c r="F197" s="4" t="str">
        <f>IFERROR(__xludf.DUMMYFUNCTION("""COMPUTED_VALUE"""),"")</f>
        <v/>
      </c>
      <c r="G197" s="4" t="str">
        <f>IFERROR(__xludf.DUMMYFUNCTION("""COMPUTED_VALUE"""),"")</f>
        <v/>
      </c>
      <c r="H197" s="4" t="str">
        <f>IFERROR(__xludf.DUMMYFUNCTION("""COMPUTED_VALUE"""),"2db93563-4078-59e0-a3f8-e995b6cacd50")</f>
        <v>2db93563-4078-59e0-a3f8-e995b6cacd50</v>
      </c>
      <c r="I197" s="4" t="str">
        <f>IFERROR(__xludf.DUMMYFUNCTION("""COMPUTED_VALUE"""),"2db93563-4078-59e0-a3f8-e995b6cacd50")</f>
        <v>2db93563-4078-59e0-a3f8-e995b6cacd50</v>
      </c>
    </row>
    <row r="198">
      <c r="A198" s="4" t="str">
        <f>IFERROR(__xludf.DUMMYFUNCTION("""COMPUTED_VALUE"""),"Featured venue: Messe Pizzaria")</f>
        <v>Featured venue: Messe Pizzaria</v>
      </c>
      <c r="B198" s="4" t="str">
        <f>IFERROR(__xludf.DUMMYFUNCTION("""COMPUTED_VALUE"""),"Want a slice of the action? There's few things as satifying as fresh pizza straight out of the oven, and this is the spot to get it. Enjoy these homemade pizzas in the restaurant or under the Lisbon sky in the outside area. 
Night Summit deals:
Pizza "&amp;"+ free drink (beer, water, or juice)")</f>
        <v>Want a slice of the action? There's few things as satifying as fresh pizza straight out of the oven, and this is the spot to get it. Enjoy these homemade pizzas in the restaurant or under the Lisbon sky in the outside area. 
Night Summit deals:
Pizza + free drink (beer, water, or juice)</v>
      </c>
      <c r="C198" s="4" t="str">
        <f>IFERROR(__xludf.DUMMYFUNCTION("""COMPUTED_VALUE"""),"Messe Pizzaria")</f>
        <v>Messe Pizzaria</v>
      </c>
      <c r="D198" s="4" t="str">
        <f>IFERROR(__xludf.DUMMYFUNCTION("""COMPUTED_VALUE"""),"")</f>
        <v/>
      </c>
      <c r="E198" s="4" t="str">
        <f>IFERROR(__xludf.DUMMYFUNCTION("""COMPUTED_VALUE"""),"")</f>
        <v/>
      </c>
      <c r="F198" s="4" t="str">
        <f>IFERROR(__xludf.DUMMYFUNCTION("""COMPUTED_VALUE"""),"2019/11/06 20:00:00")</f>
        <v>2019/11/06 20:00:00</v>
      </c>
      <c r="G198" s="4" t="str">
        <f>IFERROR(__xludf.DUMMYFUNCTION("""COMPUTED_VALUE"""),"2019/11/07 02:00:00")</f>
        <v>2019/11/07 02:00:00</v>
      </c>
      <c r="H198" s="4" t="str">
        <f>IFERROR(__xludf.DUMMYFUNCTION("""COMPUTED_VALUE"""),"fd05e381-4301-40e1-9560-ae4220e3118a")</f>
        <v>fd05e381-4301-40e1-9560-ae4220e3118a</v>
      </c>
      <c r="I198" s="4" t="str">
        <f>IFERROR(__xludf.DUMMYFUNCTION("""COMPUTED_VALUE"""),"fd05e381-4301-40e1-9560-ae4220e3118a")</f>
        <v>fd05e381-4301-40e1-9560-ae4220e3118a</v>
      </c>
    </row>
    <row r="199">
      <c r="A199" s="4" t="str">
        <f>IFERROR(__xludf.DUMMYFUNCTION("""COMPUTED_VALUE"""),"Big data = big gains?")</f>
        <v>Big data = big gains?</v>
      </c>
      <c r="B199" s="4" t="str">
        <f>IFERROR(__xludf.DUMMYFUNCTION("""COMPUTED_VALUE"""),"Our panellists will discuss how big data and analytics solutions can help businesses to make their services more efficient.")</f>
        <v>Our panellists will discuss how big data and analytics solutions can help businesses to make their services more efficient.</v>
      </c>
      <c r="C199" s="8" t="str">
        <f>IFERROR(__xludf.DUMMYFUNCTION("""COMPUTED_VALUE"""),"binate.io")</f>
        <v>binate.io</v>
      </c>
      <c r="D199" s="4" t="str">
        <f>IFERROR(__xludf.DUMMYFUNCTION("""COMPUTED_VALUE"""),"Ilan Twig, Winnie Lee, Karthic Bala, Lori Fink and Rani Molla")</f>
        <v>Ilan Twig, Winnie Lee, Karthic Bala, Lori Fink and Rani Molla</v>
      </c>
      <c r="E199" s="4" t="str">
        <f>IFERROR(__xludf.DUMMYFUNCTION("""COMPUTED_VALUE"""),"Ilan Twig,Winnie Lee,Karthic Bala,Lori Fink,Rani Molla")</f>
        <v>Ilan Twig,Winnie Lee,Karthic Bala,Lori Fink,Rani Molla</v>
      </c>
      <c r="F199" s="4" t="str">
        <f>IFERROR(__xludf.DUMMYFUNCTION("""COMPUTED_VALUE"""),"2019/11/06 11:40:00")</f>
        <v>2019/11/06 11:40:00</v>
      </c>
      <c r="G199" s="4" t="str">
        <f>IFERROR(__xludf.DUMMYFUNCTION("""COMPUTED_VALUE"""),"2019/11/06 12:05:00")</f>
        <v>2019/11/06 12:05:00</v>
      </c>
      <c r="H199" s="4" t="str">
        <f>IFERROR(__xludf.DUMMYFUNCTION("""COMPUTED_VALUE"""),"94cb956d-fb44-48da-be1a-c1d81057c018")</f>
        <v>94cb956d-fb44-48da-be1a-c1d81057c018</v>
      </c>
      <c r="I199" s="4" t="str">
        <f>IFERROR(__xludf.DUMMYFUNCTION("""COMPUTED_VALUE"""),"94cb956d-fb44-48da-be1a-c1d81057c018")</f>
        <v>94cb956d-fb44-48da-be1a-c1d81057c018</v>
      </c>
    </row>
    <row r="200">
      <c r="A200" s="4" t="str">
        <f>IFERROR(__xludf.DUMMYFUNCTION("""COMPUTED_VALUE"""),"Startup Showcase")</f>
        <v>Startup Showcase</v>
      </c>
      <c r="B200" s="4" t="str">
        <f>IFERROR(__xludf.DUMMYFUNCTION("""COMPUTED_VALUE"""),"On this brand new stage, expect quickfire presentations where startups will showcase their solutions to the future's biggest challenges. This hour focuses on the future of work, covering topics like remote working, productivity apps, office management, en"&amp;"terprise software, SaaS, and business automation.
")</f>
        <v>On this brand new stage, expect quickfire presentations where startups will showcase their solutions to the future's biggest challenges. This hour focuses on the future of work, covering topics like remote working, productivity apps, office management, enterprise software, SaaS, and business automation.
</v>
      </c>
      <c r="C200" s="4" t="str">
        <f>IFERROR(__xludf.DUMMYFUNCTION("""COMPUTED_VALUE"""),"Startup Showcase 1")</f>
        <v>Startup Showcase 1</v>
      </c>
      <c r="D200" s="4" t="str">
        <f>IFERROR(__xludf.DUMMYFUNCTION("""COMPUTED_VALUE"""),"Frances Schwiep, Anton Merlin, Vitaly Zdanevich, Manon Langnel, Sophie Smallwood, Alina Vandenberghe, Damiano D'Amici, Hélder Loio, Romain Parel, Markellos Diorinos,  Alex Pilguy, Nicolas Dubouloz, James Rees, Ben Beh, Eduardo Brás, Meriem Chafiqi, Henriq"&amp;"ue Araujo, Marco Paolini, Chris Amato, Leah Pilguy, Rita Januário, Faiza Choudhury, Omar Adnan, Simon Courtois, Anas El Arras, vincent trusgnach, Bertrand Muth, Ross McGee, Mark Bate, Martin Plouy, Pedro Reis, Jami Saiful, Paul Roberts, Ahmed Elghareeb, B"&amp;"ilal Ali Kamri, George Laliashvili, James Smith, Jack Taylor, Polly Howden, Ricky Angel, Matthieu de la Fourniere, Vitaliy Sichkar, Vitaliy Zdanevich, Fabiano Izzo, Lydia Morazzani, Rob Fernandes, Dave Smallwood, Andy Goldfinch, Soumya Shubhra Ghosh and N"&amp;"aomi Lim")</f>
        <v>Frances Schwiep, Anton Merlin, Vitaly Zdanevich, Manon Langnel, Sophie Smallwood, Alina Vandenberghe, Damiano D'Amici, Hélder Loio, Romain Parel, Markellos Diorinos,  Alex Pilguy, Nicolas Dubouloz, James Rees, Ben Beh, Eduardo Brás, Meriem Chafiqi, Henrique Araujo, Marco Paolini, Chris Amato, Leah Pilguy, Rita Januário, Faiza Choudhury, Omar Adnan, Simon Courtois, Anas El Arras, vincent trusgnach, Bertrand Muth, Ross McGee, Mark Bate, Martin Plouy, Pedro Reis, Jami Saiful, Paul Roberts, Ahmed Elghareeb, Bilal Ali Kamri, George Laliashvili, James Smith, Jack Taylor, Polly Howden, Ricky Angel, Matthieu de la Fourniere, Vitaliy Sichkar, Vitaliy Zdanevich, Fabiano Izzo, Lydia Morazzani, Rob Fernandes, Dave Smallwood, Andy Goldfinch, Soumya Shubhra Ghosh and Naomi Lim</v>
      </c>
      <c r="E200" s="4" t="str">
        <f>IFERROR(__xludf.DUMMYFUNCTION("""COMPUTED_VALUE"""),"Frances Schwiep,Anton Merlin,Vitaly Zdanevich,Manon Langnel,Sophie Smallwood,Alina Vandenberghe,Damiano D'Amici,Hélder Loio,Romain Parel,Markellos Diorinos, Alex Pilguy,Nicolas Dubouloz,James Rees,Ben Beh,Eduardo Brás,Meriem Chafiqi,Henrique Araujo,Marco "&amp;"Paolini,Chris Amato,Leah Pilguy,Rita Januário,Faiza Choudhury,Omar Adnan,Simon Courtois,Anas El Arras,vincent trusgnach,Bertrand Muth,Ross McGee,Mark Bate,Martin Plouy,Pedro Reis,Jami Saiful,Paul Roberts,Ahmed Elghareeb,Bilal Ali Kamri,George Laliashvili,"&amp;"James Smith,Jack Taylor,Polly Howden,Ricky Angel,Matthieu de la Fourniere,Vitaliy Sichkar,Vitaliy Zdanevich,Fabiano Izzo,Lydia Morazzani,Rob Fernandes,Dave Smallwood,Andy Goldfinch,Soumya Shubhra Ghosh,Naomi Lim")</f>
        <v>Frances Schwiep,Anton Merlin,Vitaly Zdanevich,Manon Langnel,Sophie Smallwood,Alina Vandenberghe,Damiano D'Amici,Hélder Loio,Romain Parel,Markellos Diorinos, Alex Pilguy,Nicolas Dubouloz,James Rees,Ben Beh,Eduardo Brás,Meriem Chafiqi,Henrique Araujo,Marco Paolini,Chris Amato,Leah Pilguy,Rita Januário,Faiza Choudhury,Omar Adnan,Simon Courtois,Anas El Arras,vincent trusgnach,Bertrand Muth,Ross McGee,Mark Bate,Martin Plouy,Pedro Reis,Jami Saiful,Paul Roberts,Ahmed Elghareeb,Bilal Ali Kamri,George Laliashvili,James Smith,Jack Taylor,Polly Howden,Ricky Angel,Matthieu de la Fourniere,Vitaliy Sichkar,Vitaliy Zdanevich,Fabiano Izzo,Lydia Morazzani,Rob Fernandes,Dave Smallwood,Andy Goldfinch,Soumya Shubhra Ghosh,Naomi Lim</v>
      </c>
      <c r="F200" s="4" t="str">
        <f>IFERROR(__xludf.DUMMYFUNCTION("""COMPUTED_VALUE"""),"2019/11/06 15:15:00")</f>
        <v>2019/11/06 15:15:00</v>
      </c>
      <c r="G200" s="4" t="str">
        <f>IFERROR(__xludf.DUMMYFUNCTION("""COMPUTED_VALUE"""),"2019/11/06 16:15:00")</f>
        <v>2019/11/06 16:15:00</v>
      </c>
      <c r="H200" s="4" t="str">
        <f>IFERROR(__xludf.DUMMYFUNCTION("""COMPUTED_VALUE"""),"3b5ee924-88e6-4ef0-bfb3-441ac0b91db8")</f>
        <v>3b5ee924-88e6-4ef0-bfb3-441ac0b91db8</v>
      </c>
      <c r="I200" s="4" t="str">
        <f>IFERROR(__xludf.DUMMYFUNCTION("""COMPUTED_VALUE"""),"3b5ee924-88e6-4ef0-bfb3-441ac0b91db8")</f>
        <v>3b5ee924-88e6-4ef0-bfb3-441ac0b91db8</v>
      </c>
    </row>
    <row r="201">
      <c r="A201" s="4" t="str">
        <f>IFERROR(__xludf.DUMMYFUNCTION("""COMPUTED_VALUE"""),"Keep on creating")</f>
        <v>Keep on creating</v>
      </c>
      <c r="B201" s="4" t="str">
        <f>IFERROR(__xludf.DUMMYFUNCTION("""COMPUTED_VALUE"""),"Ronaldinho joins us with an inspiring message for everybody at Web Summit.")</f>
        <v>Ronaldinho joins us with an inspiring message for everybody at Web Summit.</v>
      </c>
      <c r="C201" s="4" t="str">
        <f>IFERROR(__xludf.DUMMYFUNCTION("""COMPUTED_VALUE"""),"Centre Stage")</f>
        <v>Centre Stage</v>
      </c>
      <c r="D201" s="4" t="str">
        <f>IFERROR(__xludf.DUMMYFUNCTION("""COMPUTED_VALUE"""),"  and Viktor Huszar")</f>
        <v>  and Viktor Huszar</v>
      </c>
      <c r="E201" s="4" t="str">
        <f>IFERROR(__xludf.DUMMYFUNCTION("""COMPUTED_VALUE""")," ,Viktor Huszar")</f>
        <v> ,Viktor Huszar</v>
      </c>
      <c r="F201" s="4" t="str">
        <f>IFERROR(__xludf.DUMMYFUNCTION("""COMPUTED_VALUE"""),"2019/11/05 15:50:00")</f>
        <v>2019/11/05 15:50:00</v>
      </c>
      <c r="G201" s="4" t="str">
        <f>IFERROR(__xludf.DUMMYFUNCTION("""COMPUTED_VALUE"""),"2019/11/05 16:00:00")</f>
        <v>2019/11/05 16:00:00</v>
      </c>
      <c r="H201" s="4" t="str">
        <f>IFERROR(__xludf.DUMMYFUNCTION("""COMPUTED_VALUE"""),"c16e1b67-6054-472e-a051-c5b94870d36a")</f>
        <v>c16e1b67-6054-472e-a051-c5b94870d36a</v>
      </c>
      <c r="I201" s="4" t="str">
        <f>IFERROR(__xludf.DUMMYFUNCTION("""COMPUTED_VALUE"""),"c16e1b67-6054-472e-a051-c5b94870d36a")</f>
        <v>c16e1b67-6054-472e-a051-c5b94870d36a</v>
      </c>
    </row>
    <row r="202">
      <c r="A202" s="4" t="str">
        <f>IFERROR(__xludf.DUMMYFUNCTION("""COMPUTED_VALUE"""),"Lisbon and the world")</f>
        <v>Lisbon and the world</v>
      </c>
      <c r="B202" s="4" t="str">
        <f>IFERROR(__xludf.DUMMYFUNCTION("""COMPUTED_VALUE"""),"John Graham-Cumming, the CTO of Cloudflare in his interview with Mariana Barbosa, the Editor of ECO, talks about opening the office in Lisbon and the future of the SaaS industry.")</f>
        <v>John Graham-Cumming, the CTO of Cloudflare in his interview with Mariana Barbosa, the Editor of ECO, talks about opening the office in Lisbon and the future of the SaaS industry.</v>
      </c>
      <c r="C202" s="4" t="str">
        <f>IFERROR(__xludf.DUMMYFUNCTION("""COMPUTED_VALUE"""),"SaaS Monster")</f>
        <v>SaaS Monster</v>
      </c>
      <c r="D202" s="4" t="str">
        <f>IFERROR(__xludf.DUMMYFUNCTION("""COMPUTED_VALUE"""),"John Graham-Cumming and Mariana Barbosa")</f>
        <v>John Graham-Cumming and Mariana Barbosa</v>
      </c>
      <c r="E202" s="4" t="str">
        <f>IFERROR(__xludf.DUMMYFUNCTION("""COMPUTED_VALUE"""),"John Graham-Cumming,Mariana Barbosa")</f>
        <v>John Graham-Cumming,Mariana Barbosa</v>
      </c>
      <c r="F202" s="4" t="str">
        <f>IFERROR(__xludf.DUMMYFUNCTION("""COMPUTED_VALUE"""),"2019/11/05 15:05:00")</f>
        <v>2019/11/05 15:05:00</v>
      </c>
      <c r="G202" s="4" t="str">
        <f>IFERROR(__xludf.DUMMYFUNCTION("""COMPUTED_VALUE"""),"2019/11/05 15:25:00")</f>
        <v>2019/11/05 15:25:00</v>
      </c>
      <c r="H202" s="4" t="str">
        <f>IFERROR(__xludf.DUMMYFUNCTION("""COMPUTED_VALUE"""),"6496ba34-14e0-4480-ad1f-5c2d82992dc1")</f>
        <v>6496ba34-14e0-4480-ad1f-5c2d82992dc1</v>
      </c>
      <c r="I202" s="4" t="str">
        <f>IFERROR(__xludf.DUMMYFUNCTION("""COMPUTED_VALUE"""),"6496ba34-14e0-4480-ad1f-5c2d82992dc1")</f>
        <v>6496ba34-14e0-4480-ad1f-5c2d82992dc1</v>
      </c>
    </row>
    <row r="203">
      <c r="A203" s="4" t="str">
        <f>IFERROR(__xludf.DUMMYFUNCTION("""COMPUTED_VALUE"""),"Top new laptop releases")</f>
        <v>Top new laptop releases</v>
      </c>
      <c r="B203" s="4" t="str">
        <f>IFERROR(__xludf.DUMMYFUNCTION("""COMPUTED_VALUE"""),"Are you looking to replace your old laptop with a new one; one that can work for home, for work or for gaming? Our panel will analyse new entries to the market to help you decide. ")</f>
        <v>Are you looking to replace your old laptop with a new one; one that can work for home, for work or for gaming? Our panel will analyse new entries to the market to help you decide. </v>
      </c>
      <c r="C203" s="4" t="str">
        <f>IFERROR(__xludf.DUMMYFUNCTION("""COMPUTED_VALUE"""),"UnBoxed")</f>
        <v>UnBoxed</v>
      </c>
      <c r="D203" s="4" t="str">
        <f>IFERROR(__xludf.DUMMYFUNCTION("""COMPUTED_VALUE"""),"Eli Etherton, Tom Honeyands, Jacklyn Dallas and Jess Kelly")</f>
        <v>Eli Etherton, Tom Honeyands, Jacklyn Dallas and Jess Kelly</v>
      </c>
      <c r="E203" s="4" t="str">
        <f>IFERROR(__xludf.DUMMYFUNCTION("""COMPUTED_VALUE"""),"Eli Etherton,Tom Honeyands,Jacklyn Dallas,Jess Kelly")</f>
        <v>Eli Etherton,Tom Honeyands,Jacklyn Dallas,Jess Kelly</v>
      </c>
      <c r="F203" s="4" t="str">
        <f>IFERROR(__xludf.DUMMYFUNCTION("""COMPUTED_VALUE"""),"2019/11/05 14:30:00")</f>
        <v>2019/11/05 14:30:00</v>
      </c>
      <c r="G203" s="4" t="str">
        <f>IFERROR(__xludf.DUMMYFUNCTION("""COMPUTED_VALUE"""),"2019/11/05 15:00:00")</f>
        <v>2019/11/05 15:00:00</v>
      </c>
      <c r="H203" s="4" t="str">
        <f>IFERROR(__xludf.DUMMYFUNCTION("""COMPUTED_VALUE"""),"d021f579-3162-45c0-b54e-34272155149c")</f>
        <v>d021f579-3162-45c0-b54e-34272155149c</v>
      </c>
      <c r="I203" s="4" t="str">
        <f>IFERROR(__xludf.DUMMYFUNCTION("""COMPUTED_VALUE"""),"d021f579-3162-45c0-b54e-34272155149c")</f>
        <v>d021f579-3162-45c0-b54e-34272155149c</v>
      </c>
    </row>
    <row r="204">
      <c r="A204" s="4" t="str">
        <f>IFERROR(__xludf.DUMMYFUNCTION("""COMPUTED_VALUE"""),"Supporting entrepreneurs in new markets")</f>
        <v>Supporting entrepreneurs in new markets</v>
      </c>
      <c r="B204" s="4" t="str">
        <f>IFERROR(__xludf.DUMMYFUNCTION("""COMPUTED_VALUE"""),"Balancing value and profit: Learn how VCs support tech companies in developing countries that have the ability to succeed and change the world for the better.")</f>
        <v>Balancing value and profit: Learn how VCs support tech companies in developing countries that have the ability to succeed and change the world for the better.</v>
      </c>
      <c r="C204" s="4" t="str">
        <f>IFERROR(__xludf.DUMMYFUNCTION("""COMPUTED_VALUE"""),"Venture stage")</f>
        <v>Venture stage</v>
      </c>
      <c r="D204" s="4" t="str">
        <f>IFERROR(__xludf.DUMMYFUNCTION("""COMPUTED_VALUE"""),"Maya Horgan Famodu, Michael Schlein, Pedro Santos Vieira and Alara Basul")</f>
        <v>Maya Horgan Famodu, Michael Schlein, Pedro Santos Vieira and Alara Basul</v>
      </c>
      <c r="E204" s="4" t="str">
        <f>IFERROR(__xludf.DUMMYFUNCTION("""COMPUTED_VALUE"""),"Maya Horgan Famodu,Michael Schlein,Pedro Santos Vieira,Alara Basul")</f>
        <v>Maya Horgan Famodu,Michael Schlein,Pedro Santos Vieira,Alara Basul</v>
      </c>
      <c r="F204" s="4" t="str">
        <f>IFERROR(__xludf.DUMMYFUNCTION("""COMPUTED_VALUE"""),"2019/11/05 14:45:00")</f>
        <v>2019/11/05 14:45:00</v>
      </c>
      <c r="G204" s="4" t="str">
        <f>IFERROR(__xludf.DUMMYFUNCTION("""COMPUTED_VALUE"""),"2019/11/05 15:05:00")</f>
        <v>2019/11/05 15:05:00</v>
      </c>
      <c r="H204" s="4" t="str">
        <f>IFERROR(__xludf.DUMMYFUNCTION("""COMPUTED_VALUE"""),"03db29c5-bb66-4c68-ba88-726280dd5d62")</f>
        <v>03db29c5-bb66-4c68-ba88-726280dd5d62</v>
      </c>
      <c r="I204" s="4" t="str">
        <f>IFERROR(__xludf.DUMMYFUNCTION("""COMPUTED_VALUE"""),"03db29c5-bb66-4c68-ba88-726280dd5d62")</f>
        <v>03db29c5-bb66-4c68-ba88-726280dd5d62</v>
      </c>
    </row>
    <row r="205">
      <c r="A205" s="4" t="str">
        <f>IFERROR(__xludf.DUMMYFUNCTION("""COMPUTED_VALUE"""),"Startup Showcase")</f>
        <v>Startup Showcase</v>
      </c>
      <c r="B205" s="4" t="str">
        <f>IFERROR(__xludf.DUMMYFUNCTION("""COMPUTED_VALUE"""),"On this brand new stage, expect quickfire presentations where startups will showcase their solutions to the future's biggest challenges. This hour focuses on the future of money, covering topics like fintech, cryptocurrencies, virtual wallets, investment "&amp;"platforms, and AI-powered financial models.")</f>
        <v>On this brand new stage, expect quickfire presentations where startups will showcase their solutions to the future's biggest challenges. This hour focuses on the future of money, covering topics like fintech, cryptocurrencies, virtual wallets, investment platforms, and AI-powered financial models.</v>
      </c>
      <c r="C205" s="4" t="str">
        <f>IFERROR(__xludf.DUMMYFUNCTION("""COMPUTED_VALUE"""),"Startup Showcase 2")</f>
        <v>Startup Showcase 2</v>
      </c>
      <c r="D205" s="4" t="str">
        <f>IFERROR(__xludf.DUMMYFUNCTION("""COMPUTED_VALUE"""),"IGOR OVCHARENKO, Ekaterina Spiegel, Charles De Gastines, Alexandr Nedostupov, Raivo Malter, Sara Marques, Martin Berggren, Tanel Orro, Sunil Bhardwaj, Gaby Treiband, Fernanda Cortellini, Matteo Rossi, Rashed AlTammar, John Cavebring, Diego Dal Cero, Filip"&amp;"p Shubin, Stefania Sulis, Salvador Lukas Serrano Stieglitz, Evald-Hannes Kree, Tainan Lamas, Kirill Tripolski, Laurent Bruchez, Kirill Gorynya, Dmytro Moskalenko, Sarah Almachar, Ebrahim Alrashed, Thomas Sevège, Maxim Yehorov, Pablo Pfister, OLGA STAROSOT"&amp;"SKA, Kastriot Fazliu, Toomas Tirman, Tricia Buenvenida, Tariq El-Asad, Khaled Al Rashed, Fellipe Tenorio, Paola Rojas, Jacquelin Becheau La Fonta, Alexander Conceicao, Amyn Chagan, Francois Dumont, Renato Pavan, Max Bubuioc, Adam Boulel, James Coop, Arber"&amp;" Fazliu, Ferran Martinez, Florian Zermatten, Axel Arvidsson and Mattia Rossi")</f>
        <v>IGOR OVCHARENKO, Ekaterina Spiegel, Charles De Gastines, Alexandr Nedostupov, Raivo Malter, Sara Marques, Martin Berggren, Tanel Orro, Sunil Bhardwaj, Gaby Treiband, Fernanda Cortellini, Matteo Rossi, Rashed AlTammar, John Cavebring, Diego Dal Cero, Filipp Shubin, Stefania Sulis, Salvador Lukas Serrano Stieglitz, Evald-Hannes Kree, Tainan Lamas, Kirill Tripolski, Laurent Bruchez, Kirill Gorynya, Dmytro Moskalenko, Sarah Almachar, Ebrahim Alrashed, Thomas Sevège, Maxim Yehorov, Pablo Pfister, OLGA STAROSOTSKA, Kastriot Fazliu, Toomas Tirman, Tricia Buenvenida, Tariq El-Asad, Khaled Al Rashed, Fellipe Tenorio, Paola Rojas, Jacquelin Becheau La Fonta, Alexander Conceicao, Amyn Chagan, Francois Dumont, Renato Pavan, Max Bubuioc, Adam Boulel, James Coop, Arber Fazliu, Ferran Martinez, Florian Zermatten, Axel Arvidsson and Mattia Rossi</v>
      </c>
      <c r="E205" s="4" t="str">
        <f>IFERROR(__xludf.DUMMYFUNCTION("""COMPUTED_VALUE"""),"IGOR OVCHARENKO,Ekaterina Spiegel,Charles De Gastines,Alexandr Nedostupov,Raivo Malter,Sara Marques,Martin Berggren,Tanel Orro,Sunil Bhardwaj,Gaby Treiband,Fernanda Cortellini,Matteo Rossi,Rashed AlTammar,John Cavebring,Diego Dal Cero,Filipp Shubin,Stefan"&amp;"ia Sulis,Salvador Lukas Serrano Stieglitz,Evald-Hannes Kree,Tainan Lamas,Kirill Tripolski,Laurent Bruchez,Kirill Gorynya,Dmytro Moskalenko,Sarah Almachar,Ebrahim Alrashed,Thomas Sevège,Maxim Yehorov,Pablo Pfister,OLGA STAROSOTSKA,Kastriot Fazliu,Toomas Ti"&amp;"rman,Tricia Buenvenida,Tariq El-Asad,Khaled Al Rashed,Fellipe Tenorio,Paola Rojas,Jacquelin Becheau La Fonta,Alexander Conceicao,Amyn Chagan,Francois Dumont,Renato Pavan,Max Bubuioc,Adam Boulel,James Coop,Arber Fazliu,Ferran Martinez,Florian Zermatten,Axe"&amp;"l Arvidsson,Mattia Rossi")</f>
        <v>IGOR OVCHARENKO,Ekaterina Spiegel,Charles De Gastines,Alexandr Nedostupov,Raivo Malter,Sara Marques,Martin Berggren,Tanel Orro,Sunil Bhardwaj,Gaby Treiband,Fernanda Cortellini,Matteo Rossi,Rashed AlTammar,John Cavebring,Diego Dal Cero,Filipp Shubin,Stefania Sulis,Salvador Lukas Serrano Stieglitz,Evald-Hannes Kree,Tainan Lamas,Kirill Tripolski,Laurent Bruchez,Kirill Gorynya,Dmytro Moskalenko,Sarah Almachar,Ebrahim Alrashed,Thomas Sevège,Maxim Yehorov,Pablo Pfister,OLGA STAROSOTSKA,Kastriot Fazliu,Toomas Tirman,Tricia Buenvenida,Tariq El-Asad,Khaled Al Rashed,Fellipe Tenorio,Paola Rojas,Jacquelin Becheau La Fonta,Alexander Conceicao,Amyn Chagan,Francois Dumont,Renato Pavan,Max Bubuioc,Adam Boulel,James Coop,Arber Fazliu,Ferran Martinez,Florian Zermatten,Axel Arvidsson,Mattia Rossi</v>
      </c>
      <c r="F205" s="4" t="str">
        <f>IFERROR(__xludf.DUMMYFUNCTION("""COMPUTED_VALUE"""),"2019/11/06 15:15:00")</f>
        <v>2019/11/06 15:15:00</v>
      </c>
      <c r="G205" s="4" t="str">
        <f>IFERROR(__xludf.DUMMYFUNCTION("""COMPUTED_VALUE"""),"2019/11/06 16:15:00")</f>
        <v>2019/11/06 16:15:00</v>
      </c>
      <c r="H205" s="4" t="str">
        <f>IFERROR(__xludf.DUMMYFUNCTION("""COMPUTED_VALUE"""),"3fbacf59-99da-4000-b741-4f01eab1d253")</f>
        <v>3fbacf59-99da-4000-b741-4f01eab1d253</v>
      </c>
      <c r="I205" s="4" t="str">
        <f>IFERROR(__xludf.DUMMYFUNCTION("""COMPUTED_VALUE"""),"3fbacf59-99da-4000-b741-4f01eab1d253")</f>
        <v>3fbacf59-99da-4000-b741-4f01eab1d253</v>
      </c>
    </row>
    <row r="206">
      <c r="A206" s="4" t="str">
        <f>IFERROR(__xludf.DUMMYFUNCTION("""COMPUTED_VALUE"""),"Beyond the hype: Why everything you hear about technology is wrong")</f>
        <v>Beyond the hype: Why everything you hear about technology is wrong</v>
      </c>
      <c r="B206" s="4" t="str">
        <f>IFERROR(__xludf.DUMMYFUNCTION("""COMPUTED_VALUE"""),"In the IT world, we tend to get pretty excited by the latest thing — think Agile, AI, blockchain. But when it comes down to it, technology alone won’t save your business. Success is about focusing on outcomes and matching them with the right technology. ")</f>
        <v>In the IT world, we tend to get pretty excited by the latest thing — think Agile, AI, blockchain. But when it comes down to it, technology alone won’t save your business. Success is about focusing on outcomes and matching them with the right technology. </v>
      </c>
      <c r="C206" s="4" t="str">
        <f>IFERROR(__xludf.DUMMYFUNCTION("""COMPUTED_VALUE"""),"Auto/Tech &amp; TalkRobot")</f>
        <v>Auto/Tech &amp; TalkRobot</v>
      </c>
      <c r="D206" s="4" t="str">
        <f>IFERROR(__xludf.DUMMYFUNCTION("""COMPUTED_VALUE"""),"Arthur Hu")</f>
        <v>Arthur Hu</v>
      </c>
      <c r="E206" s="4" t="str">
        <f>IFERROR(__xludf.DUMMYFUNCTION("""COMPUTED_VALUE"""),"Arthur Hu")</f>
        <v>Arthur Hu</v>
      </c>
      <c r="F206" s="4" t="str">
        <f>IFERROR(__xludf.DUMMYFUNCTION("""COMPUTED_VALUE"""),"2019/11/07 15:10:00")</f>
        <v>2019/11/07 15:10:00</v>
      </c>
      <c r="G206" s="4" t="str">
        <f>IFERROR(__xludf.DUMMYFUNCTION("""COMPUTED_VALUE"""),"2019/11/07 15:30:00")</f>
        <v>2019/11/07 15:30:00</v>
      </c>
      <c r="H206" s="4" t="str">
        <f>IFERROR(__xludf.DUMMYFUNCTION("""COMPUTED_VALUE"""),"d3ae6007-4ef3-40d9-9ce1-d9f59c9e330d")</f>
        <v>d3ae6007-4ef3-40d9-9ce1-d9f59c9e330d</v>
      </c>
      <c r="I206" s="4" t="str">
        <f>IFERROR(__xludf.DUMMYFUNCTION("""COMPUTED_VALUE"""),"d3ae6007-4ef3-40d9-9ce1-d9f59c9e330d")</f>
        <v>d3ae6007-4ef3-40d9-9ce1-d9f59c9e330d</v>
      </c>
    </row>
    <row r="207">
      <c r="A207" s="4" t="str">
        <f>IFERROR(__xludf.DUMMYFUNCTION("""COMPUTED_VALUE"""),"New releases for the smart home")</f>
        <v>New releases for the smart home</v>
      </c>
      <c r="B207" s="4" t="str">
        <f>IFERROR(__xludf.DUMMYFUNCTION("""COMPUTED_VALUE"""),"What are the most advanced devices for your home?  Our panel of reviewers offer a glimpse into the future of the smart home with a range of new releases.")</f>
        <v>What are the most advanced devices for your home?  Our panel of reviewers offer a glimpse into the future of the smart home with a range of new releases.</v>
      </c>
      <c r="C207" s="4" t="str">
        <f>IFERROR(__xludf.DUMMYFUNCTION("""COMPUTED_VALUE"""),"UnBoxed")</f>
        <v>UnBoxed</v>
      </c>
      <c r="D207" s="4" t="str">
        <f>IFERROR(__xludf.DUMMYFUNCTION("""COMPUTED_VALUE"""),"Dominic Preston, Keaton Keller, Katie Collins and Lindsey Turrentine")</f>
        <v>Dominic Preston, Keaton Keller, Katie Collins and Lindsey Turrentine</v>
      </c>
      <c r="E207" s="4" t="str">
        <f>IFERROR(__xludf.DUMMYFUNCTION("""COMPUTED_VALUE"""),"Dominic Preston,Keaton Keller,Katie Collins,Lindsey Turrentine")</f>
        <v>Dominic Preston,Keaton Keller,Katie Collins,Lindsey Turrentine</v>
      </c>
      <c r="F207" s="4" t="str">
        <f>IFERROR(__xludf.DUMMYFUNCTION("""COMPUTED_VALUE"""),"2019/11/05 11:15:00")</f>
        <v>2019/11/05 11:15:00</v>
      </c>
      <c r="G207" s="4" t="str">
        <f>IFERROR(__xludf.DUMMYFUNCTION("""COMPUTED_VALUE"""),"2019/11/05 11:45:00")</f>
        <v>2019/11/05 11:45:00</v>
      </c>
      <c r="H207" s="4" t="str">
        <f>IFERROR(__xludf.DUMMYFUNCTION("""COMPUTED_VALUE"""),"af1046ce-9f13-4374-b494-6ae031dcefdd")</f>
        <v>af1046ce-9f13-4374-b494-6ae031dcefdd</v>
      </c>
      <c r="I207" s="4" t="str">
        <f>IFERROR(__xludf.DUMMYFUNCTION("""COMPUTED_VALUE"""),"af1046ce-9f13-4374-b494-6ae031dcefdd")</f>
        <v>af1046ce-9f13-4374-b494-6ae031dcefdd</v>
      </c>
    </row>
    <row r="208">
      <c r="A208" s="4" t="str">
        <f>IFERROR(__xludf.DUMMYFUNCTION("""COMPUTED_VALUE"""),"Opening remarks")</f>
        <v>Opening remarks</v>
      </c>
      <c r="B208" s="4" t="str">
        <f>IFERROR(__xludf.DUMMYFUNCTION("""COMPUTED_VALUE"""),"")</f>
        <v/>
      </c>
      <c r="C208" s="4" t="str">
        <f>IFERROR(__xludf.DUMMYFUNCTION("""COMPUTED_VALUE"""),"MoneyConf")</f>
        <v>MoneyConf</v>
      </c>
      <c r="D208" s="4" t="str">
        <f>IFERROR(__xludf.DUMMYFUNCTION("""COMPUTED_VALUE"""),"Roberto Hergueta")</f>
        <v>Roberto Hergueta</v>
      </c>
      <c r="E208" s="4" t="str">
        <f>IFERROR(__xludf.DUMMYFUNCTION("""COMPUTED_VALUE"""),"Roberto Hergueta")</f>
        <v>Roberto Hergueta</v>
      </c>
      <c r="F208" s="4" t="str">
        <f>IFERROR(__xludf.DUMMYFUNCTION("""COMPUTED_VALUE"""),"2019/11/07 13:50:00")</f>
        <v>2019/11/07 13:50:00</v>
      </c>
      <c r="G208" s="4" t="str">
        <f>IFERROR(__xludf.DUMMYFUNCTION("""COMPUTED_VALUE"""),"2019/11/07 14:05:00")</f>
        <v>2019/11/07 14:05:00</v>
      </c>
      <c r="H208" s="4" t="str">
        <f>IFERROR(__xludf.DUMMYFUNCTION("""COMPUTED_VALUE"""),"f0e2aaa8-e00f-4fa5-9471-e2c91aa78438")</f>
        <v>f0e2aaa8-e00f-4fa5-9471-e2c91aa78438</v>
      </c>
      <c r="I208" s="4" t="str">
        <f>IFERROR(__xludf.DUMMYFUNCTION("""COMPUTED_VALUE"""),"f0e2aaa8-e00f-4fa5-9471-e2c91aa78438")</f>
        <v>f0e2aaa8-e00f-4fa5-9471-e2c91aa78438</v>
      </c>
    </row>
    <row r="209">
      <c r="A209" s="4" t="str">
        <f>IFERROR(__xludf.DUMMYFUNCTION("""COMPUTED_VALUE"""),"Is there a future for work?")</f>
        <v>Is there a future for work?</v>
      </c>
      <c r="B209" s="4" t="str">
        <f>IFERROR(__xludf.DUMMYFUNCTION("""COMPUTED_VALUE"""),"The way we work is being transformed by technology. From how we find work to the nature of the work we are doing - technology has reshaped the fundamentals of the economy. In this session we bring together three experts to discuss the changes technology i"&amp;"s bringing to our work day. ")</f>
        <v>The way we work is being transformed by technology. From how we find work to the nature of the work we are doing - technology has reshaped the fundamentals of the economy. In this session we bring together three experts to discuss the changes technology is bringing to our work day. </v>
      </c>
      <c r="C209" s="4" t="str">
        <f>IFERROR(__xludf.DUMMYFUNCTION("""COMPUTED_VALUE"""),"Future Societies")</f>
        <v>Future Societies</v>
      </c>
      <c r="D209" s="4" t="str">
        <f>IFERROR(__xludf.DUMMYFUNCTION("""COMPUTED_VALUE"""),"Daniel Yanisse, Oisin Hanrahan, Chelsea Rustrum and Kimberly Weisul")</f>
        <v>Daniel Yanisse, Oisin Hanrahan, Chelsea Rustrum and Kimberly Weisul</v>
      </c>
      <c r="E209" s="4" t="str">
        <f>IFERROR(__xludf.DUMMYFUNCTION("""COMPUTED_VALUE"""),"Daniel Yanisse,Oisin Hanrahan,Chelsea Rustrum,Kimberly Weisul")</f>
        <v>Daniel Yanisse,Oisin Hanrahan,Chelsea Rustrum,Kimberly Weisul</v>
      </c>
      <c r="F209" s="4" t="str">
        <f>IFERROR(__xludf.DUMMYFUNCTION("""COMPUTED_VALUE"""),"2019/11/07 11:30:00")</f>
        <v>2019/11/07 11:30:00</v>
      </c>
      <c r="G209" s="4" t="str">
        <f>IFERROR(__xludf.DUMMYFUNCTION("""COMPUTED_VALUE"""),"2019/11/07 11:50:00")</f>
        <v>2019/11/07 11:50:00</v>
      </c>
      <c r="H209" s="4" t="str">
        <f>IFERROR(__xludf.DUMMYFUNCTION("""COMPUTED_VALUE"""),"a40cfdb9-6260-40a4-95a4-3adbe11f124b")</f>
        <v>a40cfdb9-6260-40a4-95a4-3adbe11f124b</v>
      </c>
      <c r="I209" s="4" t="str">
        <f>IFERROR(__xludf.DUMMYFUNCTION("""COMPUTED_VALUE"""),"a40cfdb9-6260-40a4-95a4-3adbe11f124b")</f>
        <v>a40cfdb9-6260-40a4-95a4-3adbe11f124b</v>
      </c>
    </row>
    <row r="210">
      <c r="A210" s="4" t="str">
        <f>IFERROR(__xludf.DUMMYFUNCTION("""COMPUTED_VALUE"""),"Featured venue: El Chanta")</f>
        <v>Featured venue: El Chanta</v>
      </c>
      <c r="B210" s="4" t="str">
        <f>IFERROR(__xludf.DUMMYFUNCTION("""COMPUTED_VALUE"""),"")</f>
        <v/>
      </c>
      <c r="C210" s="4" t="str">
        <f>IFERROR(__xludf.DUMMYFUNCTION("""COMPUTED_VALUE"""),"El Chanta")</f>
        <v>El Chanta</v>
      </c>
      <c r="D210" s="4" t="str">
        <f>IFERROR(__xludf.DUMMYFUNCTION("""COMPUTED_VALUE"""),"")</f>
        <v/>
      </c>
      <c r="E210" s="4" t="str">
        <f>IFERROR(__xludf.DUMMYFUNCTION("""COMPUTED_VALUE"""),"")</f>
        <v/>
      </c>
      <c r="F210" s="4" t="str">
        <f>IFERROR(__xludf.DUMMYFUNCTION("""COMPUTED_VALUE"""),"2019/11/06 20:00:00")</f>
        <v>2019/11/06 20:00:00</v>
      </c>
      <c r="G210" s="4" t="str">
        <f>IFERROR(__xludf.DUMMYFUNCTION("""COMPUTED_VALUE"""),"2019/11/07 02:00:00")</f>
        <v>2019/11/07 02:00:00</v>
      </c>
      <c r="H210" s="4" t="str">
        <f>IFERROR(__xludf.DUMMYFUNCTION("""COMPUTED_VALUE"""),"0dc32336-762b-4886-95dd-98547421e0f9")</f>
        <v>0dc32336-762b-4886-95dd-98547421e0f9</v>
      </c>
      <c r="I210" s="4" t="str">
        <f>IFERROR(__xludf.DUMMYFUNCTION("""COMPUTED_VALUE"""),"0dc32336-762b-4886-95dd-98547421e0f9")</f>
        <v>0dc32336-762b-4886-95dd-98547421e0f9</v>
      </c>
    </row>
    <row r="211">
      <c r="A211" s="4" t="str">
        <f>IFERROR(__xludf.DUMMYFUNCTION("""COMPUTED_VALUE"""),"What to do with your good idea")</f>
        <v>What to do with your good idea</v>
      </c>
      <c r="B211" s="4" t="str">
        <f>IFERROR(__xludf.DUMMYFUNCTION("""COMPUTED_VALUE"""),"How do you turn an idea into reality? Who should you ask for help? The people you choose to work with can become your competitive advantage. When you have an idea, what people should you surround yourself with to make it a success?")</f>
        <v>How do you turn an idea into reality? Who should you ask for help? The people you choose to work with can become your competitive advantage. When you have an idea, what people should you surround yourself with to make it a success?</v>
      </c>
      <c r="C211" s="4" t="str">
        <f>IFERROR(__xludf.DUMMYFUNCTION("""COMPUTED_VALUE"""),"Venture stage")</f>
        <v>Venture stage</v>
      </c>
      <c r="D211" s="4" t="str">
        <f>IFERROR(__xludf.DUMMYFUNCTION("""COMPUTED_VALUE"""),"Elizabeth Weil, Saalim Chowdhury, Cyril Ebersweiler, Chris Adelsbach and Jared Lindzon")</f>
        <v>Elizabeth Weil, Saalim Chowdhury, Cyril Ebersweiler, Chris Adelsbach and Jared Lindzon</v>
      </c>
      <c r="E211" s="4" t="str">
        <f>IFERROR(__xludf.DUMMYFUNCTION("""COMPUTED_VALUE"""),"Elizabeth Weil,Saalim Chowdhury,Cyril Ebersweiler,Chris Adelsbach,Jared Lindzon")</f>
        <v>Elizabeth Weil,Saalim Chowdhury,Cyril Ebersweiler,Chris Adelsbach,Jared Lindzon</v>
      </c>
      <c r="F211" s="4" t="str">
        <f>IFERROR(__xludf.DUMMYFUNCTION("""COMPUTED_VALUE"""),"2019/11/05 12:20:00")</f>
        <v>2019/11/05 12:20:00</v>
      </c>
      <c r="G211" s="4" t="str">
        <f>IFERROR(__xludf.DUMMYFUNCTION("""COMPUTED_VALUE"""),"2019/11/05 12:45:00")</f>
        <v>2019/11/05 12:45:00</v>
      </c>
      <c r="H211" s="4" t="str">
        <f>IFERROR(__xludf.DUMMYFUNCTION("""COMPUTED_VALUE"""),"c3314cfc-14bb-4f3c-9510-182be25f4f35")</f>
        <v>c3314cfc-14bb-4f3c-9510-182be25f4f35</v>
      </c>
      <c r="I211" s="4" t="str">
        <f>IFERROR(__xludf.DUMMYFUNCTION("""COMPUTED_VALUE"""),"c3314cfc-14bb-4f3c-9510-182be25f4f35")</f>
        <v>c3314cfc-14bb-4f3c-9510-182be25f4f35</v>
      </c>
    </row>
    <row r="212">
      <c r="A212" s="4" t="str">
        <f>IFERROR(__xludf.DUMMYFUNCTION("""COMPUTED_VALUE"""),"EIC: Funding breakthrough innovation from the idea to the market, hosted by European Commission")</f>
        <v>EIC: Funding breakthrough innovation from the idea to the market, hosted by European Commission</v>
      </c>
      <c r="B212" s="4" t="str">
        <f>IFERROR(__xludf.DUMMYFUNCTION("""COMPUTED_VALUE"""),"This workshop will serve to present the novelties brought by the European Innovation Council (EIC) pilot in terms of support to innovators and startups in the field of 'deep tech'. 
The session will aim at providing an overview of the most notable inno"&amp;"vation funding tools under the EIC, namely, the EIC Pathfinder and the EIC Accelerator.")</f>
        <v>This workshop will serve to present the novelties brought by the European Innovation Council (EIC) pilot in terms of support to innovators and startups in the field of 'deep tech'. 
The session will aim at providing an overview of the most notable innovation funding tools under the EIC, namely, the EIC Pathfinder and the EIC Accelerator.</v>
      </c>
      <c r="C212" s="4" t="str">
        <f>IFERROR(__xludf.DUMMYFUNCTION("""COMPUTED_VALUE"""),"Workshop 2")</f>
        <v>Workshop 2</v>
      </c>
      <c r="D212" s="4" t="str">
        <f>IFERROR(__xludf.DUMMYFUNCTION("""COMPUTED_VALUE"""),"Aoife Mangan")</f>
        <v>Aoife Mangan</v>
      </c>
      <c r="E212" s="4" t="str">
        <f>IFERROR(__xludf.DUMMYFUNCTION("""COMPUTED_VALUE"""),"Aoife Mangan")</f>
        <v>Aoife Mangan</v>
      </c>
      <c r="F212" s="4" t="str">
        <f>IFERROR(__xludf.DUMMYFUNCTION("""COMPUTED_VALUE"""),"2019/11/05 16:00:00")</f>
        <v>2019/11/05 16:00:00</v>
      </c>
      <c r="G212" s="4" t="str">
        <f>IFERROR(__xludf.DUMMYFUNCTION("""COMPUTED_VALUE"""),"2019/11/05 16:45:00")</f>
        <v>2019/11/05 16:45:00</v>
      </c>
      <c r="H212" s="4" t="str">
        <f>IFERROR(__xludf.DUMMYFUNCTION("""COMPUTED_VALUE"""),"35fde51a-1401-42dc-a42f-e41c990536d7")</f>
        <v>35fde51a-1401-42dc-a42f-e41c990536d7</v>
      </c>
      <c r="I212" s="4" t="str">
        <f>IFERROR(__xludf.DUMMYFUNCTION("""COMPUTED_VALUE"""),"35fde51a-1401-42dc-a42f-e41c990536d7")</f>
        <v>35fde51a-1401-42dc-a42f-e41c990536d7</v>
      </c>
    </row>
    <row r="213">
      <c r="A213" s="4" t="str">
        <f>IFERROR(__xludf.DUMMYFUNCTION("""COMPUTED_VALUE"""),"Reinventing your brand in a digital era ")</f>
        <v>Reinventing your brand in a digital era </v>
      </c>
      <c r="B213" s="4" t="str">
        <f>IFERROR(__xludf.DUMMYFUNCTION("""COMPUTED_VALUE"""),"Some of the most popular companies in the world sell products that have been popular for a long time. But how do these traditional brands adapt to a modern marketplace?")</f>
        <v>Some of the most popular companies in the world sell products that have been popular for a long time. But how do these traditional brands adapt to a modern marketplace?</v>
      </c>
      <c r="C213" s="4" t="str">
        <f>IFERROR(__xludf.DUMMYFUNCTION("""COMPUTED_VALUE"""),"Centre Stage")</f>
        <v>Centre Stage</v>
      </c>
      <c r="D213" s="4" t="str">
        <f>IFERROR(__xludf.DUMMYFUNCTION("""COMPUTED_VALUE"""),"Barbara Martin Coppola, Kristin Lemkau and Cheng Lei")</f>
        <v>Barbara Martin Coppola, Kristin Lemkau and Cheng Lei</v>
      </c>
      <c r="E213" s="4" t="str">
        <f>IFERROR(__xludf.DUMMYFUNCTION("""COMPUTED_VALUE"""),"Barbara Martin Coppola,Kristin Lemkau,Cheng Lei")</f>
        <v>Barbara Martin Coppola,Kristin Lemkau,Cheng Lei</v>
      </c>
      <c r="F213" s="4" t="str">
        <f>IFERROR(__xludf.DUMMYFUNCTION("""COMPUTED_VALUE"""),"2019/11/05 10:25:00")</f>
        <v>2019/11/05 10:25:00</v>
      </c>
      <c r="G213" s="4" t="str">
        <f>IFERROR(__xludf.DUMMYFUNCTION("""COMPUTED_VALUE"""),"2019/11/05 10:45:00")</f>
        <v>2019/11/05 10:45:00</v>
      </c>
      <c r="H213" s="4" t="str">
        <f>IFERROR(__xludf.DUMMYFUNCTION("""COMPUTED_VALUE"""),"95e83ee7-1575-4b04-90f3-35e69d85efa8")</f>
        <v>95e83ee7-1575-4b04-90f3-35e69d85efa8</v>
      </c>
      <c r="I213" s="4" t="str">
        <f>IFERROR(__xludf.DUMMYFUNCTION("""COMPUTED_VALUE"""),"95e83ee7-1575-4b04-90f3-35e69d85efa8")</f>
        <v>95e83ee7-1575-4b04-90f3-35e69d85efa8</v>
      </c>
    </row>
    <row r="214">
      <c r="A214" s="4" t="str">
        <f>IFERROR(__xludf.DUMMYFUNCTION("""COMPUTED_VALUE"""),"Competition: It's complicated ")</f>
        <v>Competition: It's complicated </v>
      </c>
      <c r="B214" s="4" t="str">
        <f>IFERROR(__xludf.DUMMYFUNCTION("""COMPUTED_VALUE"""),"The CEO of the company behind top games MobileStrike and Game of War explores how she keeps the company, herself, and her team, ahead of the game in the cutthroat market of mobile gaming.")</f>
        <v>The CEO of the company behind top games MobileStrike and Game of War explores how she keeps the company, herself, and her team, ahead of the game in the cutthroat market of mobile gaming.</v>
      </c>
      <c r="C214" s="4" t="str">
        <f>IFERROR(__xludf.DUMMYFUNCTION("""COMPUTED_VALUE"""),"Startup University")</f>
        <v>Startup University</v>
      </c>
      <c r="D214" s="4" t="str">
        <f>IFERROR(__xludf.DUMMYFUNCTION("""COMPUTED_VALUE"""),"Kristen Garcia Dumont")</f>
        <v>Kristen Garcia Dumont</v>
      </c>
      <c r="E214" s="4" t="str">
        <f>IFERROR(__xludf.DUMMYFUNCTION("""COMPUTED_VALUE"""),"Kristen Garcia Dumont")</f>
        <v>Kristen Garcia Dumont</v>
      </c>
      <c r="F214" s="4" t="str">
        <f>IFERROR(__xludf.DUMMYFUNCTION("""COMPUTED_VALUE"""),"2019/11/05 10:50:00")</f>
        <v>2019/11/05 10:50:00</v>
      </c>
      <c r="G214" s="4" t="str">
        <f>IFERROR(__xludf.DUMMYFUNCTION("""COMPUTED_VALUE"""),"2019/11/05 11:10:00")</f>
        <v>2019/11/05 11:10:00</v>
      </c>
      <c r="H214" s="4" t="str">
        <f>IFERROR(__xludf.DUMMYFUNCTION("""COMPUTED_VALUE"""),"938bc87e-f800-43dd-9587-397cd9aa7392")</f>
        <v>938bc87e-f800-43dd-9587-397cd9aa7392</v>
      </c>
      <c r="I214" s="4" t="str">
        <f>IFERROR(__xludf.DUMMYFUNCTION("""COMPUTED_VALUE"""),"938bc87e-f800-43dd-9587-397cd9aa7392")</f>
        <v>938bc87e-f800-43dd-9587-397cd9aa7392</v>
      </c>
    </row>
    <row r="215">
      <c r="A215" s="4" t="str">
        <f>IFERROR(__xludf.DUMMYFUNCTION("""COMPUTED_VALUE"""),"AI and decision intelligence")</f>
        <v>AI and decision intelligence</v>
      </c>
      <c r="B215" s="4" t="str">
        <f>IFERROR(__xludf.DUMMYFUNCTION("""COMPUTED_VALUE"""),"In this Keynote, Google's Chief Decision Scientist will discuss where next for decision intelligence.")</f>
        <v>In this Keynote, Google's Chief Decision Scientist will discuss where next for decision intelligence.</v>
      </c>
      <c r="C215" s="4" t="str">
        <f>IFERROR(__xludf.DUMMYFUNCTION("""COMPUTED_VALUE"""),"Auto/Tech &amp; TalkRobot")</f>
        <v>Auto/Tech &amp; TalkRobot</v>
      </c>
      <c r="D215" s="4" t="str">
        <f>IFERROR(__xludf.DUMMYFUNCTION("""COMPUTED_VALUE"""),"Cassie Kozyrkov")</f>
        <v>Cassie Kozyrkov</v>
      </c>
      <c r="E215" s="4" t="str">
        <f>IFERROR(__xludf.DUMMYFUNCTION("""COMPUTED_VALUE"""),"Cassie Kozyrkov")</f>
        <v>Cassie Kozyrkov</v>
      </c>
      <c r="F215" s="4" t="str">
        <f>IFERROR(__xludf.DUMMYFUNCTION("""COMPUTED_VALUE"""),"2019/11/05 12:00:00")</f>
        <v>2019/11/05 12:00:00</v>
      </c>
      <c r="G215" s="4" t="str">
        <f>IFERROR(__xludf.DUMMYFUNCTION("""COMPUTED_VALUE"""),"2019/11/05 12:20:00")</f>
        <v>2019/11/05 12:20:00</v>
      </c>
      <c r="H215" s="4" t="str">
        <f>IFERROR(__xludf.DUMMYFUNCTION("""COMPUTED_VALUE"""),"2c378424-194e-4a32-b56e-a1e8f521fe0f")</f>
        <v>2c378424-194e-4a32-b56e-a1e8f521fe0f</v>
      </c>
      <c r="I215" s="4" t="str">
        <f>IFERROR(__xludf.DUMMYFUNCTION("""COMPUTED_VALUE"""),"2c378424-194e-4a32-b56e-a1e8f521fe0f")</f>
        <v>2c378424-194e-4a32-b56e-a1e8f521fe0f</v>
      </c>
    </row>
    <row r="216">
      <c r="A216" s="4" t="str">
        <f>IFERROR(__xludf.DUMMYFUNCTION("""COMPUTED_VALUE"""),"Welcome to Planet Jarre")</f>
        <v>Welcome to Planet Jarre</v>
      </c>
      <c r="B216" s="4" t="str">
        <f>IFERROR(__xludf.DUMMYFUNCTION("""COMPUTED_VALUE"""),"Jean-Michel Jarre is a French composer, performer, record producer and electronic music pioneer. He has sold an estimated 80 million albums worldwide. In this wide ranging fireside we look at his career to-date and get his thoughts on how new technology s"&amp;"uch as AI and VR can benefit artists creatively and bring digital communities together.")</f>
        <v>Jean-Michel Jarre is a French composer, performer, record producer and electronic music pioneer. He has sold an estimated 80 million albums worldwide. In this wide ranging fireside we look at his career to-date and get his thoughts on how new technology such as AI and VR can benefit artists creatively and bring digital communities together.</v>
      </c>
      <c r="C216" s="4" t="str">
        <f>IFERROR(__xludf.DUMMYFUNCTION("""COMPUTED_VALUE"""),"MusicNotes")</f>
        <v>MusicNotes</v>
      </c>
      <c r="D216" s="4" t="str">
        <f>IFERROR(__xludf.DUMMYFUNCTION("""COMPUTED_VALUE"""),"Jean-Michel Jarre and Rob Schwartz")</f>
        <v>Jean-Michel Jarre and Rob Schwartz</v>
      </c>
      <c r="E216" s="4" t="str">
        <f>IFERROR(__xludf.DUMMYFUNCTION("""COMPUTED_VALUE"""),"Jean-Michel Jarre,Rob Schwartz")</f>
        <v>Jean-Michel Jarre,Rob Schwartz</v>
      </c>
      <c r="F216" s="4" t="str">
        <f>IFERROR(__xludf.DUMMYFUNCTION("""COMPUTED_VALUE"""),"2019/11/07 14:00:00")</f>
        <v>2019/11/07 14:00:00</v>
      </c>
      <c r="G216" s="4" t="str">
        <f>IFERROR(__xludf.DUMMYFUNCTION("""COMPUTED_VALUE"""),"2019/11/07 14:20:00")</f>
        <v>2019/11/07 14:20:00</v>
      </c>
      <c r="H216" s="4" t="str">
        <f>IFERROR(__xludf.DUMMYFUNCTION("""COMPUTED_VALUE"""),"24a288aa-6c13-497f-b100-4267601509c2")</f>
        <v>24a288aa-6c13-497f-b100-4267601509c2</v>
      </c>
      <c r="I216" s="4" t="str">
        <f>IFERROR(__xludf.DUMMYFUNCTION("""COMPUTED_VALUE"""),"24a288aa-6c13-497f-b100-4267601509c2")</f>
        <v>24a288aa-6c13-497f-b100-4267601509c2</v>
      </c>
    </row>
    <row r="217">
      <c r="A217" s="4" t="str">
        <f>IFERROR(__xludf.DUMMYFUNCTION("""COMPUTED_VALUE"""),"Debunking the unbanked: Bringing payments to the masses")</f>
        <v>Debunking the unbanked: Bringing payments to the masses</v>
      </c>
      <c r="B217" s="4" t="str">
        <f>IFERROR(__xludf.DUMMYFUNCTION("""COMPUTED_VALUE"""),"The concept of unbanked people is commonly referenced, especially within emerging markets. But is it papering over the cracks of a deeper problem? This session will explore how to best provide financial services to people in emerging economies, going beyo"&amp;"nd mere banking.")</f>
        <v>The concept of unbanked people is commonly referenced, especially within emerging markets. But is it papering over the cracks of a deeper problem? This session will explore how to best provide financial services to people in emerging economies, going beyond mere banking.</v>
      </c>
      <c r="C217" s="4" t="str">
        <f>IFERROR(__xludf.DUMMYFUNCTION("""COMPUTED_VALUE"""),"Future Societies")</f>
        <v>Future Societies</v>
      </c>
      <c r="D217" s="4" t="str">
        <f>IFERROR(__xludf.DUMMYFUNCTION("""COMPUTED_VALUE"""),"Mark Roden, Tunde Kehinde, Christopher Leacock and Joon Ian Wong")</f>
        <v>Mark Roden, Tunde Kehinde, Christopher Leacock and Joon Ian Wong</v>
      </c>
      <c r="E217" s="4" t="str">
        <f>IFERROR(__xludf.DUMMYFUNCTION("""COMPUTED_VALUE"""),"Mark Roden,Tunde Kehinde,Christopher Leacock,Joon Ian Wong")</f>
        <v>Mark Roden,Tunde Kehinde,Christopher Leacock,Joon Ian Wong</v>
      </c>
      <c r="F217" s="4" t="str">
        <f>IFERROR(__xludf.DUMMYFUNCTION("""COMPUTED_VALUE"""),"2019/11/05 13:35:00")</f>
        <v>2019/11/05 13:35:00</v>
      </c>
      <c r="G217" s="4" t="str">
        <f>IFERROR(__xludf.DUMMYFUNCTION("""COMPUTED_VALUE"""),"2019/11/05 14:00:00")</f>
        <v>2019/11/05 14:00:00</v>
      </c>
      <c r="H217" s="4" t="str">
        <f>IFERROR(__xludf.DUMMYFUNCTION("""COMPUTED_VALUE"""),"dcdbf7a5-6d59-413c-9f18-c6313c1a0694")</f>
        <v>dcdbf7a5-6d59-413c-9f18-c6313c1a0694</v>
      </c>
      <c r="I217" s="4" t="str">
        <f>IFERROR(__xludf.DUMMYFUNCTION("""COMPUTED_VALUE"""),"dcdbf7a5-6d59-413c-9f18-c6313c1a0694")</f>
        <v>dcdbf7a5-6d59-413c-9f18-c6313c1a0694</v>
      </c>
    </row>
    <row r="218">
      <c r="A218" s="4" t="str">
        <f>IFERROR(__xludf.DUMMYFUNCTION("""COMPUTED_VALUE"""),"Opening remarks")</f>
        <v>Opening remarks</v>
      </c>
      <c r="B218" s="4" t="str">
        <f>IFERROR(__xludf.DUMMYFUNCTION("""COMPUTED_VALUE"""),"")</f>
        <v/>
      </c>
      <c r="C218" s="4" t="str">
        <f>IFERROR(__xludf.DUMMYFUNCTION("""COMPUTED_VALUE"""),"ContentMakers")</f>
        <v>ContentMakers</v>
      </c>
      <c r="D218" s="4" t="str">
        <f>IFERROR(__xludf.DUMMYFUNCTION("""COMPUTED_VALUE"""),"Jim Prior")</f>
        <v>Jim Prior</v>
      </c>
      <c r="E218" s="4" t="str">
        <f>IFERROR(__xludf.DUMMYFUNCTION("""COMPUTED_VALUE"""),"Jim Prior")</f>
        <v>Jim Prior</v>
      </c>
      <c r="F218" s="4" t="str">
        <f>IFERROR(__xludf.DUMMYFUNCTION("""COMPUTED_VALUE"""),"2019/11/07 11:15:00")</f>
        <v>2019/11/07 11:15:00</v>
      </c>
      <c r="G218" s="4" t="str">
        <f>IFERROR(__xludf.DUMMYFUNCTION("""COMPUTED_VALUE"""),"2019/11/07 11:30:00")</f>
        <v>2019/11/07 11:30:00</v>
      </c>
      <c r="H218" s="4" t="str">
        <f>IFERROR(__xludf.DUMMYFUNCTION("""COMPUTED_VALUE"""),"0b04d957-85d2-4348-8ffc-a8a8c89b721f")</f>
        <v>0b04d957-85d2-4348-8ffc-a8a8c89b721f</v>
      </c>
      <c r="I218" s="4" t="str">
        <f>IFERROR(__xludf.DUMMYFUNCTION("""COMPUTED_VALUE"""),"0b04d957-85d2-4348-8ffc-a8a8c89b721f")</f>
        <v>0b04d957-85d2-4348-8ffc-a8a8c89b721f</v>
      </c>
    </row>
    <row r="219">
      <c r="A219" s="4" t="str">
        <f>IFERROR(__xludf.DUMMYFUNCTION("""COMPUTED_VALUE"""),"Predicting tomorrow's megatrends for a better today")</f>
        <v>Predicting tomorrow's megatrends for a better today</v>
      </c>
      <c r="B219" s="4" t="str">
        <f>IFERROR(__xludf.DUMMYFUNCTION("""COMPUTED_VALUE"""),"Today's world is experiencing a record volume of change. It forces us to consider how we think about the future, where to invest, and ultimately how to stay ahead. How we manage all of this change requires a deep understanding of the global forces that wi"&amp;"ll shape our human experiences and our business decisions long into the future. Join this session to find out more.")</f>
        <v>Today's world is experiencing a record volume of change. It forces us to consider how we think about the future, where to invest, and ultimately how to stay ahead. How we manage all of this change requires a deep understanding of the global forces that will shape our human experiences and our business decisions long into the future. Join this session to find out more.</v>
      </c>
      <c r="C219" s="4" t="str">
        <f>IFERROR(__xludf.DUMMYFUNCTION("""COMPUTED_VALUE"""),"SaaS Monster")</f>
        <v>SaaS Monster</v>
      </c>
      <c r="D219" s="4" t="str">
        <f>IFERROR(__xludf.DUMMYFUNCTION("""COMPUTED_VALUE"""),"Shane Wall and Rob Pegoraro")</f>
        <v>Shane Wall and Rob Pegoraro</v>
      </c>
      <c r="E219" s="4" t="str">
        <f>IFERROR(__xludf.DUMMYFUNCTION("""COMPUTED_VALUE"""),"Shane Wall,Rob Pegoraro")</f>
        <v>Shane Wall,Rob Pegoraro</v>
      </c>
      <c r="F219" s="4" t="str">
        <f>IFERROR(__xludf.DUMMYFUNCTION("""COMPUTED_VALUE"""),"2019/11/06 11:45:00")</f>
        <v>2019/11/06 11:45:00</v>
      </c>
      <c r="G219" s="4" t="str">
        <f>IFERROR(__xludf.DUMMYFUNCTION("""COMPUTED_VALUE"""),"2019/11/06 12:05:00")</f>
        <v>2019/11/06 12:05:00</v>
      </c>
      <c r="H219" s="4" t="str">
        <f>IFERROR(__xludf.DUMMYFUNCTION("""COMPUTED_VALUE"""),"1cd4494f-0692-4dc3-a33b-8f1a29633bf0")</f>
        <v>1cd4494f-0692-4dc3-a33b-8f1a29633bf0</v>
      </c>
      <c r="I219" s="4" t="str">
        <f>IFERROR(__xludf.DUMMYFUNCTION("""COMPUTED_VALUE"""),"1cd4494f-0692-4dc3-a33b-8f1a29633bf0")</f>
        <v>1cd4494f-0692-4dc3-a33b-8f1a29633bf0</v>
      </c>
    </row>
    <row r="220">
      <c r="A220" s="4" t="str">
        <f>IFERROR(__xludf.DUMMYFUNCTION("""COMPUTED_VALUE"""),"Breakout startups")</f>
        <v>Breakout startups</v>
      </c>
      <c r="B220" s="4" t="str">
        <f>IFERROR(__xludf.DUMMYFUNCTION("""COMPUTED_VALUE"""),"")</f>
        <v/>
      </c>
      <c r="C220" s="4" t="str">
        <f>IFERROR(__xludf.DUMMYFUNCTION("""COMPUTED_VALUE"""),"Centre Stage")</f>
        <v>Centre Stage</v>
      </c>
      <c r="D220" s="4" t="str">
        <f>IFERROR(__xludf.DUMMYFUNCTION("""COMPUTED_VALUE"""),"Maria Raga, Susan Kuo, Jean-Stéphane Arcis, André Penha, Lisa Alderson, Dominic Williams, Leah Remfry-Peploe and Nikki Michelsen")</f>
        <v>Maria Raga, Susan Kuo, Jean-Stéphane Arcis, André Penha, Lisa Alderson, Dominic Williams, Leah Remfry-Peploe and Nikki Michelsen</v>
      </c>
      <c r="E220" s="4" t="str">
        <f>IFERROR(__xludf.DUMMYFUNCTION("""COMPUTED_VALUE"""),"Maria Raga,Susan Kuo,Jean-Stéphane Arcis,André Penha,Lisa Alderson,Dominic Williams,Leah Remfry-Peploe,Nikki Michelsen")</f>
        <v>Maria Raga,Susan Kuo,Jean-Stéphane Arcis,André Penha,Lisa Alderson,Dominic Williams,Leah Remfry-Peploe,Nikki Michelsen</v>
      </c>
      <c r="F220" s="4" t="str">
        <f>IFERROR(__xludf.DUMMYFUNCTION("""COMPUTED_VALUE"""),"2019/11/07 13:10:00")</f>
        <v>2019/11/07 13:10:00</v>
      </c>
      <c r="G220" s="4" t="str">
        <f>IFERROR(__xludf.DUMMYFUNCTION("""COMPUTED_VALUE"""),"2019/11/07 13:45:00")</f>
        <v>2019/11/07 13:45:00</v>
      </c>
      <c r="H220" s="4" t="str">
        <f>IFERROR(__xludf.DUMMYFUNCTION("""COMPUTED_VALUE"""),"d076ec0e-074f-4d55-a1b4-2a3e80f0465f")</f>
        <v>d076ec0e-074f-4d55-a1b4-2a3e80f0465f</v>
      </c>
      <c r="I220" s="4" t="str">
        <f>IFERROR(__xludf.DUMMYFUNCTION("""COMPUTED_VALUE"""),"d076ec0e-074f-4d55-a1b4-2a3e80f0465f")</f>
        <v>d076ec0e-074f-4d55-a1b4-2a3e80f0465f</v>
      </c>
    </row>
    <row r="221">
      <c r="A221" s="4" t="str">
        <f>IFERROR(__xludf.DUMMYFUNCTION("""COMPUTED_VALUE"""),"Night Summit bar &amp; lounge")</f>
        <v>Night Summit bar &amp; lounge</v>
      </c>
      <c r="B221" s="4" t="str">
        <f>IFERROR(__xludf.DUMMYFUNCTION("""COMPUTED_VALUE"""),"Welcome to the first night of Night Summit! We've installed extra bars to comfortably host the party for our attendees, right after Opening Night. Head down to the waterfront for gorgeous views and a bit of fun with your fellow attendees. It can get a lit"&amp;"tle chilly in the evening, so bring something warm to wear in case. ")</f>
        <v>Welcome to the first night of Night Summit! We've installed extra bars to comfortably host the party for our attendees, right after Opening Night. Head down to the waterfront for gorgeous views and a bit of fun with your fellow attendees. It can get a little chilly in the evening, so bring something warm to wear in case. </v>
      </c>
      <c r="C221" s="4" t="str">
        <f>IFERROR(__xludf.DUMMYFUNCTION("""COMPUTED_VALUE"""),"Waterfront")</f>
        <v>Waterfront</v>
      </c>
      <c r="D221" s="4" t="str">
        <f>IFERROR(__xludf.DUMMYFUNCTION("""COMPUTED_VALUE"""),"")</f>
        <v/>
      </c>
      <c r="E221" s="4" t="str">
        <f>IFERROR(__xludf.DUMMYFUNCTION("""COMPUTED_VALUE"""),"")</f>
        <v/>
      </c>
      <c r="F221" s="4" t="str">
        <f>IFERROR(__xludf.DUMMYFUNCTION("""COMPUTED_VALUE"""),"2019/11/04 20:00:00")</f>
        <v>2019/11/04 20:00:00</v>
      </c>
      <c r="G221" s="4" t="str">
        <f>IFERROR(__xludf.DUMMYFUNCTION("""COMPUTED_VALUE"""),"2019/11/04 23:00:00")</f>
        <v>2019/11/04 23:00:00</v>
      </c>
      <c r="H221" s="4" t="str">
        <f>IFERROR(__xludf.DUMMYFUNCTION("""COMPUTED_VALUE"""),"05c78822-e0c5-4b23-bc0b-6b3f9972ab1b")</f>
        <v>05c78822-e0c5-4b23-bc0b-6b3f9972ab1b</v>
      </c>
      <c r="I221" s="4" t="str">
        <f>IFERROR(__xludf.DUMMYFUNCTION("""COMPUTED_VALUE"""),"05c78822-e0c5-4b23-bc0b-6b3f9972ab1b")</f>
        <v>05c78822-e0c5-4b23-bc0b-6b3f9972ab1b</v>
      </c>
    </row>
    <row r="222">
      <c r="A222" s="4" t="str">
        <f>IFERROR(__xludf.DUMMYFUNCTION("""COMPUTED_VALUE"""),"Brand safety and responsible media")</f>
        <v>Brand safety and responsible media</v>
      </c>
      <c r="B222" s="4" t="str">
        <f>IFERROR(__xludf.DUMMYFUNCTION("""COMPUTED_VALUE"""),"You might roll your eyes when you hear people talk about 'purpose'. But do you know what your brand stands for? Let’s find out if there’s a solution to this pressing problem for brands today.")</f>
        <v>You might roll your eyes when you hear people talk about 'purpose'. But do you know what your brand stands for? Let’s find out if there’s a solution to this pressing problem for brands today.</v>
      </c>
      <c r="C222" s="4" t="str">
        <f>IFERROR(__xludf.DUMMYFUNCTION("""COMPUTED_VALUE"""),"PandaConf")</f>
        <v>PandaConf</v>
      </c>
      <c r="D222" s="4" t="str">
        <f>IFERROR(__xludf.DUMMYFUNCTION("""COMPUTED_VALUE"""),"Raja Rajamannar")</f>
        <v>Raja Rajamannar</v>
      </c>
      <c r="E222" s="4" t="str">
        <f>IFERROR(__xludf.DUMMYFUNCTION("""COMPUTED_VALUE"""),"Raja Rajamannar")</f>
        <v>Raja Rajamannar</v>
      </c>
      <c r="F222" s="4" t="str">
        <f>IFERROR(__xludf.DUMMYFUNCTION("""COMPUTED_VALUE"""),"2019/11/06 14:00:00")</f>
        <v>2019/11/06 14:00:00</v>
      </c>
      <c r="G222" s="4" t="str">
        <f>IFERROR(__xludf.DUMMYFUNCTION("""COMPUTED_VALUE"""),"2019/11/06 14:20:00")</f>
        <v>2019/11/06 14:20:00</v>
      </c>
      <c r="H222" s="4" t="str">
        <f>IFERROR(__xludf.DUMMYFUNCTION("""COMPUTED_VALUE"""),"258a4d18-1e24-4cc3-b510-ceba05f8eea6")</f>
        <v>258a4d18-1e24-4cc3-b510-ceba05f8eea6</v>
      </c>
      <c r="I222" s="4" t="str">
        <f>IFERROR(__xludf.DUMMYFUNCTION("""COMPUTED_VALUE"""),"258a4d18-1e24-4cc3-b510-ceba05f8eea6")</f>
        <v>258a4d18-1e24-4cc3-b510-ceba05f8eea6</v>
      </c>
    </row>
    <row r="223">
      <c r="A223" s="4" t="str">
        <f>IFERROR(__xludf.DUMMYFUNCTION("""COMPUTED_VALUE"""),"Embracing the discomfort zone ")</f>
        <v>Embracing the discomfort zone </v>
      </c>
      <c r="B223" s="4" t="str">
        <f>IFERROR(__xludf.DUMMYFUNCTION("""COMPUTED_VALUE"""),"Even the largest, most established companies can no longer live within their comfort zone. The 140+year old media group behind Grazia, KISS FM, Cosmopolitan, Bravo and Closer presents the challenges, and how Bauer is future-proofing its company.
")</f>
        <v>Even the largest, most established companies can no longer live within their comfort zone. The 140+year old media group behind Grazia, KISS FM, Cosmopolitan, Bravo and Closer presents the challenges, and how Bauer is future-proofing its company.
</v>
      </c>
      <c r="C223" s="4" t="str">
        <f>IFERROR(__xludf.DUMMYFUNCTION("""COMPUTED_VALUE"""),"Corporate Innovation Summit")</f>
        <v>Corporate Innovation Summit</v>
      </c>
      <c r="D223" s="4" t="str">
        <f>IFERROR(__xludf.DUMMYFUNCTION("""COMPUTED_VALUE"""),"Veit Dengler and Sara Fischer")</f>
        <v>Veit Dengler and Sara Fischer</v>
      </c>
      <c r="E223" s="4" t="str">
        <f>IFERROR(__xludf.DUMMYFUNCTION("""COMPUTED_VALUE"""),"Veit Dengler,Sara Fischer")</f>
        <v>Veit Dengler,Sara Fischer</v>
      </c>
      <c r="F223" s="4" t="str">
        <f>IFERROR(__xludf.DUMMYFUNCTION("""COMPUTED_VALUE"""),"2019/11/07 11:20:00")</f>
        <v>2019/11/07 11:20:00</v>
      </c>
      <c r="G223" s="4" t="str">
        <f>IFERROR(__xludf.DUMMYFUNCTION("""COMPUTED_VALUE"""),"2019/11/07 11:40:00")</f>
        <v>2019/11/07 11:40:00</v>
      </c>
      <c r="H223" s="4" t="str">
        <f>IFERROR(__xludf.DUMMYFUNCTION("""COMPUTED_VALUE"""),"c12355eb-7a0b-40cc-acaa-05ba0553f310")</f>
        <v>c12355eb-7a0b-40cc-acaa-05ba0553f310</v>
      </c>
      <c r="I223" s="4" t="str">
        <f>IFERROR(__xludf.DUMMYFUNCTION("""COMPUTED_VALUE"""),"c12355eb-7a0b-40cc-acaa-05ba0553f310")</f>
        <v>c12355eb-7a0b-40cc-acaa-05ba0553f310</v>
      </c>
    </row>
    <row r="224">
      <c r="A224" s="4" t="str">
        <f>IFERROR(__xludf.DUMMYFUNCTION("""COMPUTED_VALUE"""),"Setting company values ")</f>
        <v>Setting company values </v>
      </c>
      <c r="B224" s="4" t="str">
        <f>IFERROR(__xludf.DUMMYFUNCTION("""COMPUTED_VALUE"""),"How do you hold true to your company's core values and not just pay them lip service?")</f>
        <v>How do you hold true to your company's core values and not just pay them lip service?</v>
      </c>
      <c r="C224" s="4" t="str">
        <f>IFERROR(__xludf.DUMMYFUNCTION("""COMPUTED_VALUE"""),"Centre Stage")</f>
        <v>Centre Stage</v>
      </c>
      <c r="D224" s="4" t="str">
        <f>IFERROR(__xludf.DUMMYFUNCTION("""COMPUTED_VALUE"""),"Gillian Tans, Simon Segars, Adaire Fox-Martin and Mark Scott")</f>
        <v>Gillian Tans, Simon Segars, Adaire Fox-Martin and Mark Scott</v>
      </c>
      <c r="E224" s="4" t="str">
        <f>IFERROR(__xludf.DUMMYFUNCTION("""COMPUTED_VALUE"""),"Gillian Tans,Simon Segars,Adaire Fox-Martin,Mark Scott")</f>
        <v>Gillian Tans,Simon Segars,Adaire Fox-Martin,Mark Scott</v>
      </c>
      <c r="F224" s="4" t="str">
        <f>IFERROR(__xludf.DUMMYFUNCTION("""COMPUTED_VALUE"""),"2019/11/05 16:00:00")</f>
        <v>2019/11/05 16:00:00</v>
      </c>
      <c r="G224" s="4" t="str">
        <f>IFERROR(__xludf.DUMMYFUNCTION("""COMPUTED_VALUE"""),"2019/11/05 16:25:00")</f>
        <v>2019/11/05 16:25:00</v>
      </c>
      <c r="H224" s="4" t="str">
        <f>IFERROR(__xludf.DUMMYFUNCTION("""COMPUTED_VALUE"""),"cfebc897-dc7c-427b-85d6-090b3fa5e287")</f>
        <v>cfebc897-dc7c-427b-85d6-090b3fa5e287</v>
      </c>
      <c r="I224" s="4" t="str">
        <f>IFERROR(__xludf.DUMMYFUNCTION("""COMPUTED_VALUE"""),"cfebc897-dc7c-427b-85d6-090b3fa5e287")</f>
        <v>cfebc897-dc7c-427b-85d6-090b3fa5e287</v>
      </c>
    </row>
    <row r="225">
      <c r="A225" s="4" t="str">
        <f>IFERROR(__xludf.DUMMYFUNCTION("""COMPUTED_VALUE"""),"The evolution of virtual beings")</f>
        <v>The evolution of virtual beings</v>
      </c>
      <c r="B225" s="4" t="str">
        <f>IFERROR(__xludf.DUMMYFUNCTION("""COMPUTED_VALUE"""),"With AR and VR, we now have the ability to create and inhabit multiple lives - the physical, and the one(s) we live virtually. How will we change as social beings? Eugene Chung of Penrose Studios shares how the next evolution of AR/VR and other emerging t"&amp;"ech will impact the way we interact as humans.")</f>
        <v>With AR and VR, we now have the ability to create and inhabit multiple lives - the physical, and the one(s) we live virtually. How will we change as social beings? Eugene Chung of Penrose Studios shares how the next evolution of AR/VR and other emerging tech will impact the way we interact as humans.</v>
      </c>
      <c r="C225" s="4" t="str">
        <f>IFERROR(__xludf.DUMMYFUNCTION("""COMPUTED_VALUE"""),"Centre Stage")</f>
        <v>Centre Stage</v>
      </c>
      <c r="D225" s="4" t="str">
        <f>IFERROR(__xludf.DUMMYFUNCTION("""COMPUTED_VALUE"""),"Eugene Chung")</f>
        <v>Eugene Chung</v>
      </c>
      <c r="E225" s="4" t="str">
        <f>IFERROR(__xludf.DUMMYFUNCTION("""COMPUTED_VALUE"""),"Eugene Chung")</f>
        <v>Eugene Chung</v>
      </c>
      <c r="F225" s="4" t="str">
        <f>IFERROR(__xludf.DUMMYFUNCTION("""COMPUTED_VALUE"""),"2019/11/06 12:20:00")</f>
        <v>2019/11/06 12:20:00</v>
      </c>
      <c r="G225" s="4" t="str">
        <f>IFERROR(__xludf.DUMMYFUNCTION("""COMPUTED_VALUE"""),"2019/11/06 12:35:00")</f>
        <v>2019/11/06 12:35:00</v>
      </c>
      <c r="H225" s="4" t="str">
        <f>IFERROR(__xludf.DUMMYFUNCTION("""COMPUTED_VALUE"""),"25b269c9-e062-488b-ae06-3f58151379ca")</f>
        <v>25b269c9-e062-488b-ae06-3f58151379ca</v>
      </c>
      <c r="I225" s="4" t="str">
        <f>IFERROR(__xludf.DUMMYFUNCTION("""COMPUTED_VALUE"""),"25b269c9-e062-488b-ae06-3f58151379ca")</f>
        <v>25b269c9-e062-488b-ae06-3f58151379ca</v>
      </c>
    </row>
    <row r="226">
      <c r="A226" s="4" t="str">
        <f>IFERROR(__xludf.DUMMYFUNCTION("""COMPUTED_VALUE"""),"Starting a revolution: the next wave of tech giants")</f>
        <v>Starting a revolution: the next wave of tech giants</v>
      </c>
      <c r="B226" s="4" t="str">
        <f>IFERROR(__xludf.DUMMYFUNCTION("""COMPUTED_VALUE"""),"Who are the up and coming tech companies that are making VCs, tech media, and customers stand up and take notice?")</f>
        <v>Who are the up and coming tech companies that are making VCs, tech media, and customers stand up and take notice?</v>
      </c>
      <c r="C226" s="4" t="str">
        <f>IFERROR(__xludf.DUMMYFUNCTION("""COMPUTED_VALUE"""),"Centre Stage")</f>
        <v>Centre Stage</v>
      </c>
      <c r="D226" s="4" t="str">
        <f>IFERROR(__xludf.DUMMYFUNCTION("""COMPUTED_VALUE"""),"Josh Luber, Mada Seghete, Henrique Dubugras and Jonathan Weber")</f>
        <v>Josh Luber, Mada Seghete, Henrique Dubugras and Jonathan Weber</v>
      </c>
      <c r="E226" s="4" t="str">
        <f>IFERROR(__xludf.DUMMYFUNCTION("""COMPUTED_VALUE"""),"Josh Luber,Mada Seghete,Henrique Dubugras,Jonathan Weber")</f>
        <v>Josh Luber,Mada Seghete,Henrique Dubugras,Jonathan Weber</v>
      </c>
      <c r="F226" s="4" t="str">
        <f>IFERROR(__xludf.DUMMYFUNCTION("""COMPUTED_VALUE"""),"2019/11/07 14:45:00")</f>
        <v>2019/11/07 14:45:00</v>
      </c>
      <c r="G226" s="4" t="str">
        <f>IFERROR(__xludf.DUMMYFUNCTION("""COMPUTED_VALUE"""),"2019/11/07 15:10:00")</f>
        <v>2019/11/07 15:10:00</v>
      </c>
      <c r="H226" s="4" t="str">
        <f>IFERROR(__xludf.DUMMYFUNCTION("""COMPUTED_VALUE"""),"c6bee28f-45ea-4fd5-bb11-632d19bbb357")</f>
        <v>c6bee28f-45ea-4fd5-bb11-632d19bbb357</v>
      </c>
      <c r="I226" s="4" t="str">
        <f>IFERROR(__xludf.DUMMYFUNCTION("""COMPUTED_VALUE"""),"c6bee28f-45ea-4fd5-bb11-632d19bbb357")</f>
        <v>c6bee28f-45ea-4fd5-bb11-632d19bbb357</v>
      </c>
    </row>
    <row r="227">
      <c r="A227" s="4" t="str">
        <f>IFERROR(__xludf.DUMMYFUNCTION("""COMPUTED_VALUE"""),"The future of privacy-by-default")</f>
        <v>The future of privacy-by-default</v>
      </c>
      <c r="B227" s="4" t="str">
        <f>IFERROR(__xludf.DUMMYFUNCTION("""COMPUTED_VALUE"""),"Brendan Eich, the creator of JavaScipt and the CEO of Brave, will share how you can start controlling how much of your online activities are tracked and recorded.")</f>
        <v>Brendan Eich, the creator of JavaScipt and the CEO of Brave, will share how you can start controlling how much of your online activities are tracked and recorded.</v>
      </c>
      <c r="C227" s="4" t="str">
        <f>IFERROR(__xludf.DUMMYFUNCTION("""COMPUTED_VALUE"""),"FullSTK")</f>
        <v>FullSTK</v>
      </c>
      <c r="D227" s="4" t="str">
        <f>IFERROR(__xludf.DUMMYFUNCTION("""COMPUTED_VALUE"""),"Brendan Eich")</f>
        <v>Brendan Eich</v>
      </c>
      <c r="E227" s="4" t="str">
        <f>IFERROR(__xludf.DUMMYFUNCTION("""COMPUTED_VALUE"""),"Brendan Eich")</f>
        <v>Brendan Eich</v>
      </c>
      <c r="F227" s="4" t="str">
        <f>IFERROR(__xludf.DUMMYFUNCTION("""COMPUTED_VALUE"""),"2019/11/07 11:35:00")</f>
        <v>2019/11/07 11:35:00</v>
      </c>
      <c r="G227" s="4" t="str">
        <f>IFERROR(__xludf.DUMMYFUNCTION("""COMPUTED_VALUE"""),"2019/11/07 11:55:00")</f>
        <v>2019/11/07 11:55:00</v>
      </c>
      <c r="H227" s="4" t="str">
        <f>IFERROR(__xludf.DUMMYFUNCTION("""COMPUTED_VALUE"""),"571f2c12-2d3a-4cb9-bb18-40eb0151c52e")</f>
        <v>571f2c12-2d3a-4cb9-bb18-40eb0151c52e</v>
      </c>
      <c r="I227" s="4" t="str">
        <f>IFERROR(__xludf.DUMMYFUNCTION("""COMPUTED_VALUE"""),"571f2c12-2d3a-4cb9-bb18-40eb0151c52e")</f>
        <v>571f2c12-2d3a-4cb9-bb18-40eb0151c52e</v>
      </c>
    </row>
    <row r="228">
      <c r="A228" s="4" t="str">
        <f>IFERROR(__xludf.DUMMYFUNCTION("""COMPUTED_VALUE"""),"Lunch break")</f>
        <v>Lunch break</v>
      </c>
      <c r="B228" s="4" t="str">
        <f>IFERROR(__xludf.DUMMYFUNCTION("""COMPUTED_VALUE"""),"")</f>
        <v/>
      </c>
      <c r="C228" s="4" t="str">
        <f>IFERROR(__xludf.DUMMYFUNCTION("""COMPUTED_VALUE"""),"PandaConf")</f>
        <v>PandaConf</v>
      </c>
      <c r="D228" s="4" t="str">
        <f>IFERROR(__xludf.DUMMYFUNCTION("""COMPUTED_VALUE"""),"")</f>
        <v/>
      </c>
      <c r="E228" s="4" t="str">
        <f>IFERROR(__xludf.DUMMYFUNCTION("""COMPUTED_VALUE"""),"")</f>
        <v/>
      </c>
      <c r="F228" s="4" t="str">
        <f>IFERROR(__xludf.DUMMYFUNCTION("""COMPUTED_VALUE"""),"2019/11/05 12:55:00")</f>
        <v>2019/11/05 12:55:00</v>
      </c>
      <c r="G228" s="4" t="str">
        <f>IFERROR(__xludf.DUMMYFUNCTION("""COMPUTED_VALUE"""),"2019/11/05 13:40:00")</f>
        <v>2019/11/05 13:40:00</v>
      </c>
      <c r="H228" s="4" t="str">
        <f>IFERROR(__xludf.DUMMYFUNCTION("""COMPUTED_VALUE"""),"160966cb-f4ed-40a4-9530-bbdcdc4ca4ea")</f>
        <v>160966cb-f4ed-40a4-9530-bbdcdc4ca4ea</v>
      </c>
      <c r="I228" s="4" t="str">
        <f>IFERROR(__xludf.DUMMYFUNCTION("""COMPUTED_VALUE"""),"160966cb-f4ed-40a4-9530-bbdcdc4ca4ea")</f>
        <v>160966cb-f4ed-40a4-9530-bbdcdc4ca4ea</v>
      </c>
    </row>
    <row r="229">
      <c r="A229" s="4" t="str">
        <f>IFERROR(__xludf.DUMMYFUNCTION("""COMPUTED_VALUE"""),"Is Silicon Valley pivoting to profits?")</f>
        <v>Is Silicon Valley pivoting to profits?</v>
      </c>
      <c r="B229" s="4" t="str">
        <f>IFERROR(__xludf.DUMMYFUNCTION("""COMPUTED_VALUE"""),"In the wake of the WeWork story, and as more and more commentators question valuations, are we witnessing a paradigm shift in Silicon Valley?")</f>
        <v>In the wake of the WeWork story, and as more and more commentators question valuations, are we witnessing a paradigm shift in Silicon Valley?</v>
      </c>
      <c r="C229" s="4" t="str">
        <f>IFERROR(__xludf.DUMMYFUNCTION("""COMPUTED_VALUE"""),"Centre Stage")</f>
        <v>Centre Stage</v>
      </c>
      <c r="D229" s="4" t="str">
        <f>IFERROR(__xludf.DUMMYFUNCTION("""COMPUTED_VALUE"""),"Ravi Viswanathan, Rytis Vitkauskas and Emil Protalinski")</f>
        <v>Ravi Viswanathan, Rytis Vitkauskas and Emil Protalinski</v>
      </c>
      <c r="E229" s="4" t="str">
        <f>IFERROR(__xludf.DUMMYFUNCTION("""COMPUTED_VALUE"""),"Ravi Viswanathan,Rytis Vitkauskas,Emil Protalinski")</f>
        <v>Ravi Viswanathan,Rytis Vitkauskas,Emil Protalinski</v>
      </c>
      <c r="F229" s="4" t="str">
        <f>IFERROR(__xludf.DUMMYFUNCTION("""COMPUTED_VALUE"""),"2019/11/07 11:30:00")</f>
        <v>2019/11/07 11:30:00</v>
      </c>
      <c r="G229" s="4" t="str">
        <f>IFERROR(__xludf.DUMMYFUNCTION("""COMPUTED_VALUE"""),"2019/11/07 11:50:00")</f>
        <v>2019/11/07 11:50:00</v>
      </c>
      <c r="H229" s="4" t="str">
        <f>IFERROR(__xludf.DUMMYFUNCTION("""COMPUTED_VALUE"""),"d32b6e13-ca37-46b7-9986-53f27b57dbaf")</f>
        <v>d32b6e13-ca37-46b7-9986-53f27b57dbaf</v>
      </c>
      <c r="I229" s="4" t="str">
        <f>IFERROR(__xludf.DUMMYFUNCTION("""COMPUTED_VALUE"""),"d32b6e13-ca37-46b7-9986-53f27b57dbaf")</f>
        <v>d32b6e13-ca37-46b7-9986-53f27b57dbaf</v>
      </c>
    </row>
    <row r="230">
      <c r="A230" s="4" t="str">
        <f>IFERROR(__xludf.DUMMYFUNCTION("""COMPUTED_VALUE"""),"Go-to-market fit")</f>
        <v>Go-to-market fit</v>
      </c>
      <c r="B230" s="4" t="str">
        <f>IFERROR(__xludf.DUMMYFUNCTION("""COMPUTED_VALUE"""),"Product-market fit is key, and finding it is tough, but you can't stop there - finding go-to-market fit is just as important in building a great business.")</f>
        <v>Product-market fit is key, and finding it is tough, but you can't stop there - finding go-to-market fit is just as important in building a great business.</v>
      </c>
      <c r="C230" s="4" t="str">
        <f>IFERROR(__xludf.DUMMYFUNCTION("""COMPUTED_VALUE"""),"Growth Summit")</f>
        <v>Growth Summit</v>
      </c>
      <c r="D230" s="4" t="str">
        <f>IFERROR(__xludf.DUMMYFUNCTION("""COMPUTED_VALUE"""),"David Kelso")</f>
        <v>David Kelso</v>
      </c>
      <c r="E230" s="4" t="str">
        <f>IFERROR(__xludf.DUMMYFUNCTION("""COMPUTED_VALUE"""),"David Kelso")</f>
        <v>David Kelso</v>
      </c>
      <c r="F230" s="4" t="str">
        <f>IFERROR(__xludf.DUMMYFUNCTION("""COMPUTED_VALUE"""),"2019/11/07 11:18:00")</f>
        <v>2019/11/07 11:18:00</v>
      </c>
      <c r="G230" s="4" t="str">
        <f>IFERROR(__xludf.DUMMYFUNCTION("""COMPUTED_VALUE"""),"2019/11/07 11:22:00")</f>
        <v>2019/11/07 11:22:00</v>
      </c>
      <c r="H230" s="4" t="str">
        <f>IFERROR(__xludf.DUMMYFUNCTION("""COMPUTED_VALUE"""),"2a8b0561-959e-4c2a-b391-aed2af7df1ef")</f>
        <v>2a8b0561-959e-4c2a-b391-aed2af7df1ef</v>
      </c>
      <c r="I230" s="4" t="str">
        <f>IFERROR(__xludf.DUMMYFUNCTION("""COMPUTED_VALUE"""),"2a8b0561-959e-4c2a-b391-aed2af7df1ef")</f>
        <v>2a8b0561-959e-4c2a-b391-aed2af7df1ef</v>
      </c>
    </row>
    <row r="231">
      <c r="A231" s="4" t="str">
        <f>IFERROR(__xludf.DUMMYFUNCTION("""COMPUTED_VALUE"""),"Lunch break")</f>
        <v>Lunch break</v>
      </c>
      <c r="B231" s="4" t="str">
        <f>IFERROR(__xludf.DUMMYFUNCTION("""COMPUTED_VALUE"""),"")</f>
        <v/>
      </c>
      <c r="C231" s="4" t="str">
        <f>IFERROR(__xludf.DUMMYFUNCTION("""COMPUTED_VALUE"""),"Centre Stage")</f>
        <v>Centre Stage</v>
      </c>
      <c r="D231" s="4" t="str">
        <f>IFERROR(__xludf.DUMMYFUNCTION("""COMPUTED_VALUE"""),"")</f>
        <v/>
      </c>
      <c r="E231" s="4" t="str">
        <f>IFERROR(__xludf.DUMMYFUNCTION("""COMPUTED_VALUE"""),"")</f>
        <v/>
      </c>
      <c r="F231" s="4" t="str">
        <f>IFERROR(__xludf.DUMMYFUNCTION("""COMPUTED_VALUE"""),"2019/11/07 13:00:00")</f>
        <v>2019/11/07 13:00:00</v>
      </c>
      <c r="G231" s="4" t="str">
        <f>IFERROR(__xludf.DUMMYFUNCTION("""COMPUTED_VALUE"""),"2019/11/07 13:10:00")</f>
        <v>2019/11/07 13:10:00</v>
      </c>
      <c r="H231" s="4" t="str">
        <f>IFERROR(__xludf.DUMMYFUNCTION("""COMPUTED_VALUE"""),"c53f5459-eb20-4aa1-b959-82adbbbf8c22")</f>
        <v>c53f5459-eb20-4aa1-b959-82adbbbf8c22</v>
      </c>
      <c r="I231" s="4" t="str">
        <f>IFERROR(__xludf.DUMMYFUNCTION("""COMPUTED_VALUE"""),"c53f5459-eb20-4aa1-b959-82adbbbf8c22")</f>
        <v>c53f5459-eb20-4aa1-b959-82adbbbf8c22</v>
      </c>
    </row>
    <row r="232">
      <c r="A232" s="4" t="str">
        <f>IFERROR(__xludf.DUMMYFUNCTION("""COMPUTED_VALUE"""),"Breakout startups")</f>
        <v>Breakout startups</v>
      </c>
      <c r="B232" s="4" t="str">
        <f>IFERROR(__xludf.DUMMYFUNCTION("""COMPUTED_VALUE"""),"Are these the companies everyone will be talking about in 2020? Dozens of the world’s leading investors think so. Every lunchtime on Centre Stage you’ll get an introduction to some of the world’s most exciting growth stage startups.  Each of the startups "&amp;"have been hand-selected by some of the world’s most successful investors. You’re in for a treat.")</f>
        <v>Are these the companies everyone will be talking about in 2020? Dozens of the world’s leading investors think so. Every lunchtime on Centre Stage you’ll get an introduction to some of the world’s most exciting growth stage startups.  Each of the startups have been hand-selected by some of the world’s most successful investors. You’re in for a treat.</v>
      </c>
      <c r="C232" s="4" t="str">
        <f>IFERROR(__xludf.DUMMYFUNCTION("""COMPUTED_VALUE"""),"Centre Stage")</f>
        <v>Centre Stage</v>
      </c>
      <c r="D232" s="4" t="str">
        <f>IFERROR(__xludf.DUMMYFUNCTION("""COMPUTED_VALUE"""),"John Wolanin, Lingjia Tang, Kate Rosenbluth, Aba Schubert, Alex Barrotti, Firmin Zocchetto and Laura Urquizu")</f>
        <v>John Wolanin, Lingjia Tang, Kate Rosenbluth, Aba Schubert, Alex Barrotti, Firmin Zocchetto and Laura Urquizu</v>
      </c>
      <c r="E232" s="4" t="str">
        <f>IFERROR(__xludf.DUMMYFUNCTION("""COMPUTED_VALUE"""),"John Wolanin,Lingjia Tang,Kate Rosenbluth,Aba Schubert,Alex Barrotti,Firmin Zocchetto,Laura Urquizu")</f>
        <v>John Wolanin,Lingjia Tang,Kate Rosenbluth,Aba Schubert,Alex Barrotti,Firmin Zocchetto,Laura Urquizu</v>
      </c>
      <c r="F232" s="4" t="str">
        <f>IFERROR(__xludf.DUMMYFUNCTION("""COMPUTED_VALUE"""),"2019/11/05 13:15:00")</f>
        <v>2019/11/05 13:15:00</v>
      </c>
      <c r="G232" s="4" t="str">
        <f>IFERROR(__xludf.DUMMYFUNCTION("""COMPUTED_VALUE"""),"2019/11/05 13:50:00")</f>
        <v>2019/11/05 13:50:00</v>
      </c>
      <c r="H232" s="4" t="str">
        <f>IFERROR(__xludf.DUMMYFUNCTION("""COMPUTED_VALUE"""),"90a12fa3-4f2c-4e14-a26f-5a9dcf6b1c6c")</f>
        <v>90a12fa3-4f2c-4e14-a26f-5a9dcf6b1c6c</v>
      </c>
      <c r="I232" s="4" t="str">
        <f>IFERROR(__xludf.DUMMYFUNCTION("""COMPUTED_VALUE"""),"90a12fa3-4f2c-4e14-a26f-5a9dcf6b1c6c")</f>
        <v>90a12fa3-4f2c-4e14-a26f-5a9dcf6b1c6c</v>
      </c>
    </row>
    <row r="233">
      <c r="A233" s="4" t="str">
        <f>IFERROR(__xludf.DUMMYFUNCTION("""COMPUTED_VALUE"""),"Ideas are easy, business is hard")</f>
        <v>Ideas are easy, business is hard</v>
      </c>
      <c r="B233" s="4" t="str">
        <f>IFERROR(__xludf.DUMMYFUNCTION("""COMPUTED_VALUE"""),"Our panel of prominent investors talk VC trends, triumphs and turbulence in the year to come. ")</f>
        <v>Our panel of prominent investors talk VC trends, triumphs and turbulence in the year to come. </v>
      </c>
      <c r="C233" s="4" t="str">
        <f>IFERROR(__xludf.DUMMYFUNCTION("""COMPUTED_VALUE"""),"Startup University")</f>
        <v>Startup University</v>
      </c>
      <c r="D233" s="4" t="str">
        <f>IFERROR(__xludf.DUMMYFUNCTION("""COMPUTED_VALUE"""),"Christina Bechhold Russ, Fabrice Grinda and Caleb Silver")</f>
        <v>Christina Bechhold Russ, Fabrice Grinda and Caleb Silver</v>
      </c>
      <c r="E233" s="4" t="str">
        <f>IFERROR(__xludf.DUMMYFUNCTION("""COMPUTED_VALUE"""),"Christina Bechhold Russ,Fabrice Grinda,Caleb Silver")</f>
        <v>Christina Bechhold Russ,Fabrice Grinda,Caleb Silver</v>
      </c>
      <c r="F233" s="4" t="str">
        <f>IFERROR(__xludf.DUMMYFUNCTION("""COMPUTED_VALUE"""),"2019/11/06 11:50:00")</f>
        <v>2019/11/06 11:50:00</v>
      </c>
      <c r="G233" s="4" t="str">
        <f>IFERROR(__xludf.DUMMYFUNCTION("""COMPUTED_VALUE"""),"2019/11/06 12:10:00")</f>
        <v>2019/11/06 12:10:00</v>
      </c>
      <c r="H233" s="4" t="str">
        <f>IFERROR(__xludf.DUMMYFUNCTION("""COMPUTED_VALUE"""),"2a03bf28-c209-4ad9-a39f-c77cdbc2a81b")</f>
        <v>2a03bf28-c209-4ad9-a39f-c77cdbc2a81b</v>
      </c>
      <c r="I233" s="4" t="str">
        <f>IFERROR(__xludf.DUMMYFUNCTION("""COMPUTED_VALUE"""),"2a03bf28-c209-4ad9-a39f-c77cdbc2a81b")</f>
        <v>2a03bf28-c209-4ad9-a39f-c77cdbc2a81b</v>
      </c>
    </row>
    <row r="234">
      <c r="A234" s="4" t="str">
        <f>IFERROR(__xludf.DUMMYFUNCTION("""COMPUTED_VALUE"""),"Startup Showcase")</f>
        <v>Startup Showcase</v>
      </c>
      <c r="B234" s="4" t="str">
        <f>IFERROR(__xludf.DUMMYFUNCTION("""COMPUTED_VALUE"""),"On this brand new stage, expect quickfire presentations where startups will showcase their solutions to the future's biggest challenges. This hour focuses on health, covering topics like medtech, fitness apps, and mental health training.
")</f>
        <v>On this brand new stage, expect quickfire presentations where startups will showcase their solutions to the future's biggest challenges. This hour focuses on health, covering topics like medtech, fitness apps, and mental health training.
</v>
      </c>
      <c r="C234" s="4" t="str">
        <f>IFERROR(__xludf.DUMMYFUNCTION("""COMPUTED_VALUE"""),"Startup Showcase 3")</f>
        <v>Startup Showcase 3</v>
      </c>
      <c r="D234" s="4" t="str">
        <f>IFERROR(__xludf.DUMMYFUNCTION("""COMPUTED_VALUE"""),"Steven Gundry, Mohamed Khashaba, YongKee Lim, Damien Gorlier, Feldberg Natalia, Chelsy Swackhamer, Etienne Petermann, Apar Jain, Kwon Taehyeon, Lys Mehou-Loko, Agata Baran, Mohamed Abdallah, Amin Hossein, Daeho Lee, Davood Fanaei Sheikholeslami, Hermann '"&amp;"Hesh' Schreiter, Amelie Grohnert, Mohammed Ahmad, Chang Hun (Douglass) Lee, Tatiana Khodanovich, Johan Boholm, Viktoriia Sharapova, Carlos Ferreira, Hassan Yasin, Michael Maurer-Pühringer, Valeria Mingova, Jueun Ha, Sergey Vassilyev, Soonae Lee, Mohammad "&amp;"Mohammad Amini, Bola Bardet, Mihai Draghici, DongHoon Lee, Lawrence Smith, Graham Mak, Dennis Poon, Esmaeil Kondori, Markus Pelnar, Victoria Shabunina, Ahmed Abdelaty, DAWOON Han, Luca Buscioni, Diana Mereu, Ali Alvi, Marcin Kotewicz, Jakub Jamontt, Arman"&amp;"do Statti, Ana Cristina Grohnert, Joanna Yein Song and Richard Schütze")</f>
        <v>Steven Gundry, Mohamed Khashaba, YongKee Lim, Damien Gorlier, Feldberg Natalia, Chelsy Swackhamer, Etienne Petermann, Apar Jain, Kwon Taehyeon, Lys Mehou-Loko, Agata Baran, Mohamed Abdallah, Amin Hossein, Daeho Lee, Davood Fanaei Sheikholeslami, Hermann 'Hesh' Schreiter, Amelie Grohnert, Mohammed Ahmad, Chang Hun (Douglass) Lee, Tatiana Khodanovich, Johan Boholm, Viktoriia Sharapova, Carlos Ferreira, Hassan Yasin, Michael Maurer-Pühringer, Valeria Mingova, Jueun Ha, Sergey Vassilyev, Soonae Lee, Mohammad Mohammad Amini, Bola Bardet, Mihai Draghici, DongHoon Lee, Lawrence Smith, Graham Mak, Dennis Poon, Esmaeil Kondori, Markus Pelnar, Victoria Shabunina, Ahmed Abdelaty, DAWOON Han, Luca Buscioni, Diana Mereu, Ali Alvi, Marcin Kotewicz, Jakub Jamontt, Armando Statti, Ana Cristina Grohnert, Joanna Yein Song and Richard Schütze</v>
      </c>
      <c r="E234" s="4" t="str">
        <f>IFERROR(__xludf.DUMMYFUNCTION("""COMPUTED_VALUE"""),"Steven Gundry,Mohamed Khashaba,YongKee Lim,Damien Gorlier,Feldberg Natalia,Chelsy Swackhamer,Etienne Petermann,Apar Jain,Kwon Taehyeon,Lys Mehou-Loko,Agata Baran,Mohamed Abdallah,Amin Hossein,Daeho Lee,Davood Fanaei Sheikholeslami,Hermann 'Hesh' Schreiter"&amp;",Amelie Grohnert,Mohammed Ahmad,Chang Hun (Douglass) Lee,Tatiana Khodanovich,Johan Boholm,Viktoriia Sharapova,Carlos Ferreira,Hassan Yasin,Michael Maurer-Pühringer,Valeria Mingova,Jueun Ha,Sergey Vassilyev,Soonae Lee,Mohammad Mohammad Amini,Bola Bardet,Mi"&amp;"hai Draghici,DongHoon Lee,Lawrence Smith,Graham Mak,Dennis Poon,Esmaeil Kondori,Markus Pelnar,Victoria Shabunina,Ahmed Abdelaty,DAWOON Han,Luca Buscioni,Diana Mereu,Ali Alvi,Marcin Kotewicz,Jakub Jamontt,Armando Statti,Ana Cristina Grohnert,Joanna Yein So"&amp;"ng,Richard Schütze")</f>
        <v>Steven Gundry,Mohamed Khashaba,YongKee Lim,Damien Gorlier,Feldberg Natalia,Chelsy Swackhamer,Etienne Petermann,Apar Jain,Kwon Taehyeon,Lys Mehou-Loko,Agata Baran,Mohamed Abdallah,Amin Hossein,Daeho Lee,Davood Fanaei Sheikholeslami,Hermann 'Hesh' Schreiter,Amelie Grohnert,Mohammed Ahmad,Chang Hun (Douglass) Lee,Tatiana Khodanovich,Johan Boholm,Viktoriia Sharapova,Carlos Ferreira,Hassan Yasin,Michael Maurer-Pühringer,Valeria Mingova,Jueun Ha,Sergey Vassilyev,Soonae Lee,Mohammad Mohammad Amini,Bola Bardet,Mihai Draghici,DongHoon Lee,Lawrence Smith,Graham Mak,Dennis Poon,Esmaeil Kondori,Markus Pelnar,Victoria Shabunina,Ahmed Abdelaty,DAWOON Han,Luca Buscioni,Diana Mereu,Ali Alvi,Marcin Kotewicz,Jakub Jamontt,Armando Statti,Ana Cristina Grohnert,Joanna Yein Song,Richard Schütze</v>
      </c>
      <c r="F234" s="4" t="str">
        <f>IFERROR(__xludf.DUMMYFUNCTION("""COMPUTED_VALUE"""),"2019/11/07 16:15:00")</f>
        <v>2019/11/07 16:15:00</v>
      </c>
      <c r="G234" s="4" t="str">
        <f>IFERROR(__xludf.DUMMYFUNCTION("""COMPUTED_VALUE"""),"2019/11/07 17:15:00")</f>
        <v>2019/11/07 17:15:00</v>
      </c>
      <c r="H234" s="4" t="str">
        <f>IFERROR(__xludf.DUMMYFUNCTION("""COMPUTED_VALUE"""),"03fed8cd-7815-433d-acd9-c05a9f0a2b74")</f>
        <v>03fed8cd-7815-433d-acd9-c05a9f0a2b74</v>
      </c>
      <c r="I234" s="4" t="str">
        <f>IFERROR(__xludf.DUMMYFUNCTION("""COMPUTED_VALUE"""),"03fed8cd-7815-433d-acd9-c05a9f0a2b74")</f>
        <v>03fed8cd-7815-433d-acd9-c05a9f0a2b74</v>
      </c>
    </row>
    <row r="235">
      <c r="A235" s="4" t="str">
        <f>IFERROR(__xludf.DUMMYFUNCTION("""COMPUTED_VALUE"""),"Lunch break")</f>
        <v>Lunch break</v>
      </c>
      <c r="B235" s="4" t="str">
        <f>IFERROR(__xludf.DUMMYFUNCTION("""COMPUTED_VALUE"""),"")</f>
        <v/>
      </c>
      <c r="C235" s="4" t="str">
        <f>IFERROR(__xludf.DUMMYFUNCTION("""COMPUTED_VALUE"""),"FullSTK")</f>
        <v>FullSTK</v>
      </c>
      <c r="D235" s="4" t="str">
        <f>IFERROR(__xludf.DUMMYFUNCTION("""COMPUTED_VALUE"""),"")</f>
        <v/>
      </c>
      <c r="E235" s="4" t="str">
        <f>IFERROR(__xludf.DUMMYFUNCTION("""COMPUTED_VALUE"""),"")</f>
        <v/>
      </c>
      <c r="F235" s="4" t="str">
        <f>IFERROR(__xludf.DUMMYFUNCTION("""COMPUTED_VALUE"""),"2019/11/07 13:35:00")</f>
        <v>2019/11/07 13:35:00</v>
      </c>
      <c r="G235" s="4" t="str">
        <f>IFERROR(__xludf.DUMMYFUNCTION("""COMPUTED_VALUE"""),"2019/11/07 14:10:00")</f>
        <v>2019/11/07 14:10:00</v>
      </c>
      <c r="H235" s="4" t="str">
        <f>IFERROR(__xludf.DUMMYFUNCTION("""COMPUTED_VALUE"""),"d426f130-7278-4386-b397-d10322a138b8")</f>
        <v>d426f130-7278-4386-b397-d10322a138b8</v>
      </c>
      <c r="I235" s="4" t="str">
        <f>IFERROR(__xludf.DUMMYFUNCTION("""COMPUTED_VALUE"""),"d426f130-7278-4386-b397-d10322a138b8")</f>
        <v>d426f130-7278-4386-b397-d10322a138b8</v>
      </c>
    </row>
    <row r="236">
      <c r="A236" s="4" t="str">
        <f>IFERROR(__xludf.DUMMYFUNCTION("""COMPUTED_VALUE"""),"A digital innovation challenge for Europe’s startups and SMEs, hosted by European Commission")</f>
        <v>A digital innovation challenge for Europe’s startups and SMEs, hosted by European Commission</v>
      </c>
      <c r="B236" s="4" t="str">
        <f>IFERROR(__xludf.DUMMYFUNCTION("""COMPUTED_VALUE"""),"The European Commission invites you to imagine new services based on smart solutions provided by the European Commission.
You can gain visibility at European level and work on your ideas together with experts from the European Commission.
The winners "&amp;"can win up to € 50,000. Interested? Get ready to think bigger, grow your business and contribute to a brighter future for Europe. Join us at the workshop!")</f>
        <v>The European Commission invites you to imagine new services based on smart solutions provided by the European Commission.
You can gain visibility at European level and work on your ideas together with experts from the European Commission.
The winners can win up to € 50,000. Interested? Get ready to think bigger, grow your business and contribute to a brighter future for Europe. Join us at the workshop!</v>
      </c>
      <c r="C236" s="4" t="str">
        <f>IFERROR(__xludf.DUMMYFUNCTION("""COMPUTED_VALUE"""),"Workshop 2")</f>
        <v>Workshop 2</v>
      </c>
      <c r="D236" s="4" t="str">
        <f>IFERROR(__xludf.DUMMYFUNCTION("""COMPUTED_VALUE"""),"Emanuele Baldacci, Saky Kourtidis and Eleonora Zoboli")</f>
        <v>Emanuele Baldacci, Saky Kourtidis and Eleonora Zoboli</v>
      </c>
      <c r="E236" s="4" t="str">
        <f>IFERROR(__xludf.DUMMYFUNCTION("""COMPUTED_VALUE"""),"Emanuele Baldacci,Saky Kourtidis,Eleonora Zoboli")</f>
        <v>Emanuele Baldacci,Saky Kourtidis,Eleonora Zoboli</v>
      </c>
      <c r="F236" s="4" t="str">
        <f>IFERROR(__xludf.DUMMYFUNCTION("""COMPUTED_VALUE"""),"2019/11/07 10:00:00")</f>
        <v>2019/11/07 10:00:00</v>
      </c>
      <c r="G236" s="4" t="str">
        <f>IFERROR(__xludf.DUMMYFUNCTION("""COMPUTED_VALUE"""),"2019/11/07 10:45:00")</f>
        <v>2019/11/07 10:45:00</v>
      </c>
      <c r="H236" s="4" t="str">
        <f>IFERROR(__xludf.DUMMYFUNCTION("""COMPUTED_VALUE"""),"271a4a44-a2e1-47f2-b85b-32b9c7f4f748")</f>
        <v>271a4a44-a2e1-47f2-b85b-32b9c7f4f748</v>
      </c>
      <c r="I236" s="4" t="str">
        <f>IFERROR(__xludf.DUMMYFUNCTION("""COMPUTED_VALUE"""),"271a4a44-a2e1-47f2-b85b-32b9c7f4f748")</f>
        <v>271a4a44-a2e1-47f2-b85b-32b9c7f4f748</v>
      </c>
    </row>
    <row r="237">
      <c r="A237" s="4" t="str">
        <f>IFERROR(__xludf.DUMMYFUNCTION("""COMPUTED_VALUE"""),"Do androids dream of electric sheep?")</f>
        <v>Do androids dream of electric sheep?</v>
      </c>
      <c r="B237" s="4" t="str">
        <f>IFERROR(__xludf.DUMMYFUNCTION("""COMPUTED_VALUE"""),"You've seen them speak. You've even seen them debate at our events. Now it's time to look at a robot inspired by the work of Philip K. Dick.")</f>
        <v>You've seen them speak. You've even seen them debate at our events. Now it's time to look at a robot inspired by the work of Philip K. Dick.</v>
      </c>
      <c r="C237" s="4" t="str">
        <f>IFERROR(__xludf.DUMMYFUNCTION("""COMPUTED_VALUE"""),"Auto/Tech &amp; TalkRobot")</f>
        <v>Auto/Tech &amp; TalkRobot</v>
      </c>
      <c r="D237" s="4" t="str">
        <f>IFERROR(__xludf.DUMMYFUNCTION("""COMPUTED_VALUE"""),"Ben Goertzel")</f>
        <v>Ben Goertzel</v>
      </c>
      <c r="E237" s="4" t="str">
        <f>IFERROR(__xludf.DUMMYFUNCTION("""COMPUTED_VALUE"""),"Ben Goertzel")</f>
        <v>Ben Goertzel</v>
      </c>
      <c r="F237" s="4" t="str">
        <f>IFERROR(__xludf.DUMMYFUNCTION("""COMPUTED_VALUE"""),"2019/11/06 12:55:00")</f>
        <v>2019/11/06 12:55:00</v>
      </c>
      <c r="G237" s="4" t="str">
        <f>IFERROR(__xludf.DUMMYFUNCTION("""COMPUTED_VALUE"""),"2019/11/06 13:15:00")</f>
        <v>2019/11/06 13:15:00</v>
      </c>
      <c r="H237" s="4" t="str">
        <f>IFERROR(__xludf.DUMMYFUNCTION("""COMPUTED_VALUE"""),"e36cd054-3b0b-4eab-b359-039a2a7694c3")</f>
        <v>e36cd054-3b0b-4eab-b359-039a2a7694c3</v>
      </c>
      <c r="I237" s="4" t="str">
        <f>IFERROR(__xludf.DUMMYFUNCTION("""COMPUTED_VALUE"""),"e36cd054-3b0b-4eab-b359-039a2a7694c3")</f>
        <v>e36cd054-3b0b-4eab-b359-039a2a7694c3</v>
      </c>
    </row>
    <row r="238">
      <c r="A238" s="4" t="str">
        <f>IFERROR(__xludf.DUMMYFUNCTION("""COMPUTED_VALUE"""),"Opening remarks")</f>
        <v>Opening remarks</v>
      </c>
      <c r="B238" s="4" t="str">
        <f>IFERROR(__xludf.DUMMYFUNCTION("""COMPUTED_VALUE"""),"")</f>
        <v/>
      </c>
      <c r="C238" s="4" t="str">
        <f>IFERROR(__xludf.DUMMYFUNCTION("""COMPUTED_VALUE"""),"SaaS Monster")</f>
        <v>SaaS Monster</v>
      </c>
      <c r="D238" s="4" t="str">
        <f>IFERROR(__xludf.DUMMYFUNCTION("""COMPUTED_VALUE"""),"Mandy Gilbert")</f>
        <v>Mandy Gilbert</v>
      </c>
      <c r="E238" s="4" t="str">
        <f>IFERROR(__xludf.DUMMYFUNCTION("""COMPUTED_VALUE"""),"Mandy Gilbert")</f>
        <v>Mandy Gilbert</v>
      </c>
      <c r="F238" s="4" t="str">
        <f>IFERROR(__xludf.DUMMYFUNCTION("""COMPUTED_VALUE"""),"2019/11/06 13:30:00")</f>
        <v>2019/11/06 13:30:00</v>
      </c>
      <c r="G238" s="4" t="str">
        <f>IFERROR(__xludf.DUMMYFUNCTION("""COMPUTED_VALUE"""),"2019/11/06 13:40:00")</f>
        <v>2019/11/06 13:40:00</v>
      </c>
      <c r="H238" s="4" t="str">
        <f>IFERROR(__xludf.DUMMYFUNCTION("""COMPUTED_VALUE"""),"1d5b0336-6b60-4a9e-8b29-ed010c0e5746")</f>
        <v>1d5b0336-6b60-4a9e-8b29-ed010c0e5746</v>
      </c>
      <c r="I238" s="4" t="str">
        <f>IFERROR(__xludf.DUMMYFUNCTION("""COMPUTED_VALUE"""),"1d5b0336-6b60-4a9e-8b29-ed010c0e5746")</f>
        <v>1d5b0336-6b60-4a9e-8b29-ed010c0e5746</v>
      </c>
    </row>
    <row r="239">
      <c r="A239" s="4" t="str">
        <f>IFERROR(__xludf.DUMMYFUNCTION("""COMPUTED_VALUE"""),"Featured venue: Bar Único")</f>
        <v>Featured venue: Bar Único</v>
      </c>
      <c r="B239" s="4" t="str">
        <f>IFERROR(__xludf.DUMMYFUNCTION("""COMPUTED_VALUE"""),"Hey startups! We know you guys love craft beer so what sort of party would this be without a bar dedicated to them? With a carefully curated selection on tap, this is the place to go if you love a craft beer. 
Night Summit deals: 
€1.50 imperial (20cl"&amp;")")</f>
        <v>Hey startups! We know you guys love craft beer so what sort of party would this be without a bar dedicated to them? With a carefully curated selection on tap, this is the place to go if you love a craft beer. 
Night Summit deals: 
€1.50 imperial (20cl)</v>
      </c>
      <c r="C239" s="4" t="str">
        <f>IFERROR(__xludf.DUMMYFUNCTION("""COMPUTED_VALUE"""),"Bar Único")</f>
        <v>Bar Único</v>
      </c>
      <c r="D239" s="4" t="str">
        <f>IFERROR(__xludf.DUMMYFUNCTION("""COMPUTED_VALUE"""),"")</f>
        <v/>
      </c>
      <c r="E239" s="4" t="str">
        <f>IFERROR(__xludf.DUMMYFUNCTION("""COMPUTED_VALUE"""),"")</f>
        <v/>
      </c>
      <c r="F239" s="4" t="str">
        <f>IFERROR(__xludf.DUMMYFUNCTION("""COMPUTED_VALUE"""),"2019/11/06 20:00:00")</f>
        <v>2019/11/06 20:00:00</v>
      </c>
      <c r="G239" s="4" t="str">
        <f>IFERROR(__xludf.DUMMYFUNCTION("""COMPUTED_VALUE"""),"2019/11/07 02:00:00")</f>
        <v>2019/11/07 02:00:00</v>
      </c>
      <c r="H239" s="4" t="str">
        <f>IFERROR(__xludf.DUMMYFUNCTION("""COMPUTED_VALUE"""),"8d5489be-e73c-4386-8e25-9bca53bf72c7")</f>
        <v>8d5489be-e73c-4386-8e25-9bca53bf72c7</v>
      </c>
      <c r="I239" s="4" t="str">
        <f>IFERROR(__xludf.DUMMYFUNCTION("""COMPUTED_VALUE"""),"8d5489be-e73c-4386-8e25-9bca53bf72c7")</f>
        <v>8d5489be-e73c-4386-8e25-9bca53bf72c7</v>
      </c>
    </row>
    <row r="240">
      <c r="A240" s="4" t="str">
        <f>IFERROR(__xludf.DUMMYFUNCTION("""COMPUTED_VALUE"""),"The whole human thing. Can marketing save our species?")</f>
        <v>The whole human thing. Can marketing save our species?</v>
      </c>
      <c r="B240" s="4" t="str">
        <f>IFERROR(__xludf.DUMMYFUNCTION("""COMPUTED_VALUE"""),"Is our professional quest for all things hyper-effective and relentlessly efficient threatening humanity or sustaining it? Can we seek the holy grail of innovation without jeopardising the people whose lives we touch?  How can marketers keep us human?")</f>
        <v>Is our professional quest for all things hyper-effective and relentlessly efficient threatening humanity or sustaining it? Can we seek the holy grail of innovation without jeopardising the people whose lives we touch?  How can marketers keep us human?</v>
      </c>
      <c r="C240" s="4" t="str">
        <f>IFERROR(__xludf.DUMMYFUNCTION("""COMPUTED_VALUE"""),"Future Societies")</f>
        <v>Future Societies</v>
      </c>
      <c r="D240" s="4" t="str">
        <f>IFERROR(__xludf.DUMMYFUNCTION("""COMPUTED_VALUE"""),"Gail Heimann")</f>
        <v>Gail Heimann</v>
      </c>
      <c r="E240" s="4" t="str">
        <f>IFERROR(__xludf.DUMMYFUNCTION("""COMPUTED_VALUE"""),"Gail Heimann")</f>
        <v>Gail Heimann</v>
      </c>
      <c r="F240" s="4" t="str">
        <f>IFERROR(__xludf.DUMMYFUNCTION("""COMPUTED_VALUE"""),"2019/11/05 13:15:00")</f>
        <v>2019/11/05 13:15:00</v>
      </c>
      <c r="G240" s="4" t="str">
        <f>IFERROR(__xludf.DUMMYFUNCTION("""COMPUTED_VALUE"""),"2019/11/05 13:35:00")</f>
        <v>2019/11/05 13:35:00</v>
      </c>
      <c r="H240" s="4" t="str">
        <f>IFERROR(__xludf.DUMMYFUNCTION("""COMPUTED_VALUE"""),"c7953718-e8c4-441a-9d36-2d73b31d527e")</f>
        <v>c7953718-e8c4-441a-9d36-2d73b31d527e</v>
      </c>
      <c r="I240" s="4" t="str">
        <f>IFERROR(__xludf.DUMMYFUNCTION("""COMPUTED_VALUE"""),"c7953718-e8c4-441a-9d36-2d73b31d527e")</f>
        <v>c7953718-e8c4-441a-9d36-2d73b31d527e</v>
      </c>
    </row>
    <row r="241">
      <c r="A241" s="4" t="str">
        <f>IFERROR(__xludf.DUMMYFUNCTION("""COMPUTED_VALUE"""),"The cognitive enterprise")</f>
        <v>The cognitive enterprise</v>
      </c>
      <c r="B241" s="4" t="str">
        <f>IFERROR(__xludf.DUMMYFUNCTION("""COMPUTED_VALUE"""),"IBM SVP of Global Business Services Mark Foster explains the next big shift in business architectures - becoming a cognitive enterprise. By combining proprietary data, unique tech platforms and specialist expertise, financial services institutions continu"&amp;"ally reinvent themselves for competitive advantage.
")</f>
        <v>IBM SVP of Global Business Services Mark Foster explains the next big shift in business architectures - becoming a cognitive enterprise. By combining proprietary data, unique tech platforms and specialist expertise, financial services institutions continually reinvent themselves for competitive advantage.
</v>
      </c>
      <c r="C241" s="4" t="str">
        <f>IFERROR(__xludf.DUMMYFUNCTION("""COMPUTED_VALUE"""),"Corporate Innovation Summit")</f>
        <v>Corporate Innovation Summit</v>
      </c>
      <c r="D241" s="4" t="str">
        <f>IFERROR(__xludf.DUMMYFUNCTION("""COMPUTED_VALUE"""),"Mark Foster and Paul Michelman")</f>
        <v>Mark Foster and Paul Michelman</v>
      </c>
      <c r="E241" s="4" t="str">
        <f>IFERROR(__xludf.DUMMYFUNCTION("""COMPUTED_VALUE"""),"Mark Foster,Paul Michelman")</f>
        <v>Mark Foster,Paul Michelman</v>
      </c>
      <c r="F241" s="4" t="str">
        <f>IFERROR(__xludf.DUMMYFUNCTION("""COMPUTED_VALUE"""),"2019/11/05 10:55:00")</f>
        <v>2019/11/05 10:55:00</v>
      </c>
      <c r="G241" s="4" t="str">
        <f>IFERROR(__xludf.DUMMYFUNCTION("""COMPUTED_VALUE"""),"2019/11/05 11:15:00")</f>
        <v>2019/11/05 11:15:00</v>
      </c>
      <c r="H241" s="4" t="str">
        <f>IFERROR(__xludf.DUMMYFUNCTION("""COMPUTED_VALUE"""),"4deaa9c0-697f-41cf-80d1-ff36597371ff")</f>
        <v>4deaa9c0-697f-41cf-80d1-ff36597371ff</v>
      </c>
      <c r="I241" s="4" t="str">
        <f>IFERROR(__xludf.DUMMYFUNCTION("""COMPUTED_VALUE"""),"4deaa9c0-697f-41cf-80d1-ff36597371ff")</f>
        <v>4deaa9c0-697f-41cf-80d1-ff36597371ff</v>
      </c>
    </row>
    <row r="242">
      <c r="A242" s="4" t="str">
        <f>IFERROR(__xludf.DUMMYFUNCTION("""COMPUTED_VALUE"""),"Featured venue: Boqueirão")</f>
        <v>Featured venue: Boqueirão</v>
      </c>
      <c r="B242" s="4" t="str">
        <f>IFERROR(__xludf.DUMMYFUNCTION("""COMPUTED_VALUE"""),"This bar specialises in Brazilian vibes, together with a big charcoal grill, outdoor area, and live music. On the menu? The best of street food from Brazil of course! Choose from chicken, pork, or beef on your charcoal grilled kebabs. Top tip? Don't miss "&amp;"out on the caipirinhas, the cheese bread, and the brigadeiros. See you there!
Night Summit deals:
Food recommendation: Brazilian grill")</f>
        <v>This bar specialises in Brazilian vibes, together with a big charcoal grill, outdoor area, and live music. On the menu? The best of street food from Brazil of course! Choose from chicken, pork, or beef on your charcoal grilled kebabs. Top tip? Don't miss out on the caipirinhas, the cheese bread, and the brigadeiros. See you there!
Night Summit deals:
Food recommendation: Brazilian grill</v>
      </c>
      <c r="C242" s="4" t="str">
        <f>IFERROR(__xludf.DUMMYFUNCTION("""COMPUTED_VALUE"""),"Boqueirão")</f>
        <v>Boqueirão</v>
      </c>
      <c r="D242" s="4" t="str">
        <f>IFERROR(__xludf.DUMMYFUNCTION("""COMPUTED_VALUE"""),"")</f>
        <v/>
      </c>
      <c r="E242" s="4" t="str">
        <f>IFERROR(__xludf.DUMMYFUNCTION("""COMPUTED_VALUE"""),"")</f>
        <v/>
      </c>
      <c r="F242" s="4" t="str">
        <f>IFERROR(__xludf.DUMMYFUNCTION("""COMPUTED_VALUE"""),"2019/11/06 20:00:00")</f>
        <v>2019/11/06 20:00:00</v>
      </c>
      <c r="G242" s="4" t="str">
        <f>IFERROR(__xludf.DUMMYFUNCTION("""COMPUTED_VALUE"""),"2019/11/07 02:00:00")</f>
        <v>2019/11/07 02:00:00</v>
      </c>
      <c r="H242" s="4" t="str">
        <f>IFERROR(__xludf.DUMMYFUNCTION("""COMPUTED_VALUE"""),"f0cdd332-7585-4c70-a69a-da903b7c04f1")</f>
        <v>f0cdd332-7585-4c70-a69a-da903b7c04f1</v>
      </c>
      <c r="I242" s="4" t="str">
        <f>IFERROR(__xludf.DUMMYFUNCTION("""COMPUTED_VALUE"""),"f0cdd332-7585-4c70-a69a-da903b7c04f1")</f>
        <v>f0cdd332-7585-4c70-a69a-da903b7c04f1</v>
      </c>
    </row>
    <row r="243">
      <c r="A243" s="4" t="str">
        <f>IFERROR(__xludf.DUMMYFUNCTION("""COMPUTED_VALUE"""),"Supercharge product development with cloud best practices")</f>
        <v>Supercharge product development with cloud best practices</v>
      </c>
      <c r="B243" s="4" t="str">
        <f>IFERROR(__xludf.DUMMYFUNCTION("""COMPUTED_VALUE"""),"Continuous Integration (CI), Continuous Delivery (CD), and Infrastructure as Code (IaC) help developers automate the software release process. The faster you can release new features and fix bugs, the quicker you can innovate and respond to customer needs"&amp;". AWS provides developer tools that help you automate the end-to-end lifecycle of your application. In this session, we will discuss a method for automating the deployment of cloud applications, using services such as AWS CodePipeline and AWS CodeBuild, a"&amp;"nd techniques such as canary deployments and automatic rollbacks.")</f>
        <v>Continuous Integration (CI), Continuous Delivery (CD), and Infrastructure as Code (IaC) help developers automate the software release process. The faster you can release new features and fix bugs, the quicker you can innovate and respond to customer needs. AWS provides developer tools that help you automate the end-to-end lifecycle of your application. In this session, we will discuss a method for automating the deployment of cloud applications, using services such as AWS CodePipeline and AWS CodeBuild, and techniques such as canary deployments and automatic rollbacks.</v>
      </c>
      <c r="C243" s="4" t="str">
        <f>IFERROR(__xludf.DUMMYFUNCTION("""COMPUTED_VALUE"""),"AWS Developer Workshops")</f>
        <v>AWS Developer Workshops</v>
      </c>
      <c r="D243" s="4" t="str">
        <f>IFERROR(__xludf.DUMMYFUNCTION("""COMPUTED_VALUE"""),"")</f>
        <v/>
      </c>
      <c r="E243" s="4" t="str">
        <f>IFERROR(__xludf.DUMMYFUNCTION("""COMPUTED_VALUE"""),"")</f>
        <v/>
      </c>
      <c r="F243" s="4" t="str">
        <f>IFERROR(__xludf.DUMMYFUNCTION("""COMPUTED_VALUE"""),"2019/11/05 13:00:00")</f>
        <v>2019/11/05 13:00:00</v>
      </c>
      <c r="G243" s="4" t="str">
        <f>IFERROR(__xludf.DUMMYFUNCTION("""COMPUTED_VALUE"""),"2019/11/05 13:50:00")</f>
        <v>2019/11/05 13:50:00</v>
      </c>
      <c r="H243" s="4" t="str">
        <f>IFERROR(__xludf.DUMMYFUNCTION("""COMPUTED_VALUE"""),"780e95d2-b08c-4a26-ab36-3f539a24d5b7")</f>
        <v>780e95d2-b08c-4a26-ab36-3f539a24d5b7</v>
      </c>
      <c r="I243" s="4" t="str">
        <f>IFERROR(__xludf.DUMMYFUNCTION("""COMPUTED_VALUE"""),"780e95d2-b08c-4a26-ab36-3f539a24d5b7")</f>
        <v>780e95d2-b08c-4a26-ab36-3f539a24d5b7</v>
      </c>
    </row>
    <row r="244">
      <c r="A244" s="4" t="str">
        <f>IFERROR(__xludf.DUMMYFUNCTION("""COMPUTED_VALUE"""),"Going digital: It's childsplay")</f>
        <v>Going digital: It's childsplay</v>
      </c>
      <c r="B244" s="4" t="str">
        <f>IFERROR(__xludf.DUMMYFUNCTION("""COMPUTED_VALUE"""),"The way children play has been transformed in the last twenty years. With the rise of video games and the integration of technology into more traditional toys, digital play gives kids and teens a way they can create, learn and socialize. As a result, ensu"&amp;"ring that children are able to play safely is much different than in the past. This panel will discuss the changing nature of play, and how to ensure that digital play is safe, fosters creativity, and prepares kids for the future.")</f>
        <v>The way children play has been transformed in the last twenty years. With the rise of video games and the integration of technology into more traditional toys, digital play gives kids and teens a way they can create, learn and socialize. As a result, ensuring that children are able to play safely is much different than in the past. This panel will discuss the changing nature of play, and how to ensure that digital play is safe, fosters creativity, and prepares kids for the future.</v>
      </c>
      <c r="C244" s="4" t="str">
        <f>IFERROR(__xludf.DUMMYFUNCTION("""COMPUTED_VALUE"""),"Future Societies")</f>
        <v>Future Societies</v>
      </c>
      <c r="D244" s="4" t="str">
        <f>IFERROR(__xludf.DUMMYFUNCTION("""COMPUTED_VALUE"""),"Craig Donato and Katie Collins")</f>
        <v>Craig Donato and Katie Collins</v>
      </c>
      <c r="E244" s="4" t="str">
        <f>IFERROR(__xludf.DUMMYFUNCTION("""COMPUTED_VALUE"""),"Craig Donato,Katie Collins")</f>
        <v>Craig Donato,Katie Collins</v>
      </c>
      <c r="F244" s="4" t="str">
        <f>IFERROR(__xludf.DUMMYFUNCTION("""COMPUTED_VALUE"""),"2019/11/06 12:30:00")</f>
        <v>2019/11/06 12:30:00</v>
      </c>
      <c r="G244" s="4" t="str">
        <f>IFERROR(__xludf.DUMMYFUNCTION("""COMPUTED_VALUE"""),"2019/11/06 12:50:00")</f>
        <v>2019/11/06 12:50:00</v>
      </c>
      <c r="H244" s="4" t="str">
        <f>IFERROR(__xludf.DUMMYFUNCTION("""COMPUTED_VALUE"""),"2cae1dae-caed-44cd-90b7-9f38a5c4087b")</f>
        <v>2cae1dae-caed-44cd-90b7-9f38a5c4087b</v>
      </c>
      <c r="I244" s="4" t="str">
        <f>IFERROR(__xludf.DUMMYFUNCTION("""COMPUTED_VALUE"""),"2cae1dae-caed-44cd-90b7-9f38a5c4087b")</f>
        <v>2cae1dae-caed-44cd-90b7-9f38a5c4087b</v>
      </c>
    </row>
    <row r="245">
      <c r="A245" s="4" t="str">
        <f>IFERROR(__xludf.DUMMYFUNCTION("""COMPUTED_VALUE"""),"Is AI really that intelligent?")</f>
        <v>Is AI really that intelligent?</v>
      </c>
      <c r="B245" s="4" t="str">
        <f>IFERROR(__xludf.DUMMYFUNCTION("""COMPUTED_VALUE"""),"We're putting a lot of faith in it- but is AI really that intelligent?")</f>
        <v>We're putting a lot of faith in it- but is AI really that intelligent?</v>
      </c>
      <c r="C245" s="4" t="str">
        <f>IFERROR(__xludf.DUMMYFUNCTION("""COMPUTED_VALUE"""),"Auto/Tech &amp; TalkRobot")</f>
        <v>Auto/Tech &amp; TalkRobot</v>
      </c>
      <c r="D245" s="4" t="str">
        <f>IFERROR(__xludf.DUMMYFUNCTION("""COMPUTED_VALUE"""),"Frida Polli and Javier Zamora")</f>
        <v>Frida Polli and Javier Zamora</v>
      </c>
      <c r="E245" s="4" t="str">
        <f>IFERROR(__xludf.DUMMYFUNCTION("""COMPUTED_VALUE"""),"Frida Polli,Javier Zamora")</f>
        <v>Frida Polli,Javier Zamora</v>
      </c>
      <c r="F245" s="4" t="str">
        <f>IFERROR(__xludf.DUMMYFUNCTION("""COMPUTED_VALUE"""),"2019/11/05 12:40:00")</f>
        <v>2019/11/05 12:40:00</v>
      </c>
      <c r="G245" s="4" t="str">
        <f>IFERROR(__xludf.DUMMYFUNCTION("""COMPUTED_VALUE"""),"2019/11/05 13:00:00")</f>
        <v>2019/11/05 13:00:00</v>
      </c>
      <c r="H245" s="4" t="str">
        <f>IFERROR(__xludf.DUMMYFUNCTION("""COMPUTED_VALUE"""),"6b69d4cb-163a-4f72-a06a-733873508a7e")</f>
        <v>6b69d4cb-163a-4f72-a06a-733873508a7e</v>
      </c>
      <c r="I245" s="4" t="str">
        <f>IFERROR(__xludf.DUMMYFUNCTION("""COMPUTED_VALUE"""),"6b69d4cb-163a-4f72-a06a-733873508a7e")</f>
        <v>6b69d4cb-163a-4f72-a06a-733873508a7e</v>
      </c>
    </row>
    <row r="246">
      <c r="A246" s="4" t="str">
        <f>IFERROR(__xludf.DUMMYFUNCTION("""COMPUTED_VALUE"""),"Protecting the Lion's Share")</f>
        <v>Protecting the Lion's Share</v>
      </c>
      <c r="B246" s="4" t="str">
        <f>IFERROR(__xludf.DUMMYFUNCTION("""COMPUTED_VALUE"""),"Animals star in nearly 20% of all ads. Unfortunately, a full 90% of the most popular animals that appear in advertising are either endangered or on their way there. Mars Inc  has partnered with the UN to try protect our wildlife.")</f>
        <v>Animals star in nearly 20% of all ads. Unfortunately, a full 90% of the most popular animals that appear in advertising are either endangered or on their way there. Mars Inc  has partnered with the UN to try protect our wildlife.</v>
      </c>
      <c r="C246" s="4" t="str">
        <f>IFERROR(__xludf.DUMMYFUNCTION("""COMPUTED_VALUE"""),"PandaConf")</f>
        <v>PandaConf</v>
      </c>
      <c r="D246" s="4" t="str">
        <f>IFERROR(__xludf.DUMMYFUNCTION("""COMPUTED_VALUE"""),"Jane Wakely")</f>
        <v>Jane Wakely</v>
      </c>
      <c r="E246" s="4" t="str">
        <f>IFERROR(__xludf.DUMMYFUNCTION("""COMPUTED_VALUE"""),"Jane Wakely")</f>
        <v>Jane Wakely</v>
      </c>
      <c r="F246" s="4" t="str">
        <f>IFERROR(__xludf.DUMMYFUNCTION("""COMPUTED_VALUE"""),"2019/11/07 15:15:00")</f>
        <v>2019/11/07 15:15:00</v>
      </c>
      <c r="G246" s="4" t="str">
        <f>IFERROR(__xludf.DUMMYFUNCTION("""COMPUTED_VALUE"""),"2019/11/07 15:35:00")</f>
        <v>2019/11/07 15:35:00</v>
      </c>
      <c r="H246" s="4" t="str">
        <f>IFERROR(__xludf.DUMMYFUNCTION("""COMPUTED_VALUE"""),"82b2a066-cc55-4cb3-b513-87046be33307")</f>
        <v>82b2a066-cc55-4cb3-b513-87046be33307</v>
      </c>
      <c r="I246" s="4" t="str">
        <f>IFERROR(__xludf.DUMMYFUNCTION("""COMPUTED_VALUE"""),"82b2a066-cc55-4cb3-b513-87046be33307")</f>
        <v>82b2a066-cc55-4cb3-b513-87046be33307</v>
      </c>
    </row>
    <row r="247">
      <c r="A247" s="4" t="str">
        <f>IFERROR(__xludf.DUMMYFUNCTION("""COMPUTED_VALUE"""),"What's next in fintech? Investors show their hands ")</f>
        <v>What's next in fintech? Investors show their hands </v>
      </c>
      <c r="B247" s="4" t="str">
        <f>IFERROR(__xludf.DUMMYFUNCTION("""COMPUTED_VALUE"""),"Investors have long kept their cards close to their chests when it comes to fintech. However, as unicorns begin to crop up globally, we have gathered three top financial investors to share their insights and predictions.")</f>
        <v>Investors have long kept their cards close to their chests when it comes to fintech. However, as unicorns begin to crop up globally, we have gathered three top financial investors to share their insights and predictions.</v>
      </c>
      <c r="C247" s="4" t="str">
        <f>IFERROR(__xludf.DUMMYFUNCTION("""COMPUTED_VALUE"""),"MoneyConf")</f>
        <v>MoneyConf</v>
      </c>
      <c r="D247" s="4" t="str">
        <f>IFERROR(__xludf.DUMMYFUNCTION("""COMPUTED_VALUE"""),"Andrei Brasoveanu, Tara Reeves, Jeff Pulver and Matthieu Favas")</f>
        <v>Andrei Brasoveanu, Tara Reeves, Jeff Pulver and Matthieu Favas</v>
      </c>
      <c r="E247" s="4" t="str">
        <f>IFERROR(__xludf.DUMMYFUNCTION("""COMPUTED_VALUE"""),"Andrei Brasoveanu,Tara Reeves,Jeff Pulver,Matthieu Favas")</f>
        <v>Andrei Brasoveanu,Tara Reeves,Jeff Pulver,Matthieu Favas</v>
      </c>
      <c r="F247" s="4" t="str">
        <f>IFERROR(__xludf.DUMMYFUNCTION("""COMPUTED_VALUE"""),"2019/11/07 14:05:00")</f>
        <v>2019/11/07 14:05:00</v>
      </c>
      <c r="G247" s="4" t="str">
        <f>IFERROR(__xludf.DUMMYFUNCTION("""COMPUTED_VALUE"""),"2019/11/07 14:25:00")</f>
        <v>2019/11/07 14:25:00</v>
      </c>
      <c r="H247" s="4" t="str">
        <f>IFERROR(__xludf.DUMMYFUNCTION("""COMPUTED_VALUE"""),"6bb3207e-e613-431b-87d1-d0fb283173be")</f>
        <v>6bb3207e-e613-431b-87d1-d0fb283173be</v>
      </c>
      <c r="I247" s="4" t="str">
        <f>IFERROR(__xludf.DUMMYFUNCTION("""COMPUTED_VALUE"""),"6bb3207e-e613-431b-87d1-d0fb283173be")</f>
        <v>6bb3207e-e613-431b-87d1-d0fb283173be</v>
      </c>
    </row>
    <row r="248">
      <c r="A248" s="4" t="str">
        <f>IFERROR(__xludf.DUMMYFUNCTION("""COMPUTED_VALUE"""),"Catching feelings: The strength of experience")</f>
        <v>Catching feelings: The strength of experience</v>
      </c>
      <c r="B248" s="4" t="str">
        <f>IFERROR(__xludf.DUMMYFUNCTION("""COMPUTED_VALUE"""),"In today’s experience economy, consumers are demanding unique and meaningful interaction from the brands they do business with. Let's hear how brands can create once-in-a-lifetime customer journeys by gaining a deep understanding of employee, brand, and p"&amp;"roduct experiences. We’ll learn to create experiences that drive growth by combining the power of technology with human emotion.")</f>
        <v>In today’s experience economy, consumers are demanding unique and meaningful interaction from the brands they do business with. Let's hear how brands can create once-in-a-lifetime customer journeys by gaining a deep understanding of employee, brand, and product experiences. We’ll learn to create experiences that drive growth by combining the power of technology with human emotion.</v>
      </c>
      <c r="C248" s="4" t="str">
        <f>IFERROR(__xludf.DUMMYFUNCTION("""COMPUTED_VALUE"""),"PandaConf")</f>
        <v>PandaConf</v>
      </c>
      <c r="D248" s="4" t="str">
        <f>IFERROR(__xludf.DUMMYFUNCTION("""COMPUTED_VALUE"""),"Alicia Tillman")</f>
        <v>Alicia Tillman</v>
      </c>
      <c r="E248" s="4" t="str">
        <f>IFERROR(__xludf.DUMMYFUNCTION("""COMPUTED_VALUE"""),"Alicia Tillman")</f>
        <v>Alicia Tillman</v>
      </c>
      <c r="F248" s="4" t="str">
        <f>IFERROR(__xludf.DUMMYFUNCTION("""COMPUTED_VALUE"""),"2019/11/06 14:45:00")</f>
        <v>2019/11/06 14:45:00</v>
      </c>
      <c r="G248" s="4" t="str">
        <f>IFERROR(__xludf.DUMMYFUNCTION("""COMPUTED_VALUE"""),"2019/11/06 15:05:00")</f>
        <v>2019/11/06 15:05:00</v>
      </c>
      <c r="H248" s="4" t="str">
        <f>IFERROR(__xludf.DUMMYFUNCTION("""COMPUTED_VALUE"""),"dabafdcc-86cd-479f-96fb-0cd2da1b9ac1")</f>
        <v>dabafdcc-86cd-479f-96fb-0cd2da1b9ac1</v>
      </c>
      <c r="I248" s="4" t="str">
        <f>IFERROR(__xludf.DUMMYFUNCTION("""COMPUTED_VALUE"""),"dabafdcc-86cd-479f-96fb-0cd2da1b9ac1")</f>
        <v>dabafdcc-86cd-479f-96fb-0cd2da1b9ac1</v>
      </c>
    </row>
    <row r="249">
      <c r="A249" s="4" t="str">
        <f>IFERROR(__xludf.DUMMYFUNCTION("""COMPUTED_VALUE"""),"Opening remarks")</f>
        <v>Opening remarks</v>
      </c>
      <c r="B249" s="4" t="str">
        <f>IFERROR(__xludf.DUMMYFUNCTION("""COMPUTED_VALUE"""),"")</f>
        <v/>
      </c>
      <c r="C249" s="4" t="str">
        <f>IFERROR(__xludf.DUMMYFUNCTION("""COMPUTED_VALUE"""),"ContentMakers")</f>
        <v>ContentMakers</v>
      </c>
      <c r="D249" s="4" t="str">
        <f>IFERROR(__xludf.DUMMYFUNCTION("""COMPUTED_VALUE"""),"Natalie Monbiot")</f>
        <v>Natalie Monbiot</v>
      </c>
      <c r="E249" s="4" t="str">
        <f>IFERROR(__xludf.DUMMYFUNCTION("""COMPUTED_VALUE"""),"Natalie Monbiot")</f>
        <v>Natalie Monbiot</v>
      </c>
      <c r="F249" s="4" t="str">
        <f>IFERROR(__xludf.DUMMYFUNCTION("""COMPUTED_VALUE"""),"2019/11/06 11:00:00")</f>
        <v>2019/11/06 11:00:00</v>
      </c>
      <c r="G249" s="4" t="str">
        <f>IFERROR(__xludf.DUMMYFUNCTION("""COMPUTED_VALUE"""),"2019/11/06 11:10:00")</f>
        <v>2019/11/06 11:10:00</v>
      </c>
      <c r="H249" s="4" t="str">
        <f>IFERROR(__xludf.DUMMYFUNCTION("""COMPUTED_VALUE"""),"6a3d15a8-1309-4b0d-9603-829f65347946")</f>
        <v>6a3d15a8-1309-4b0d-9603-829f65347946</v>
      </c>
      <c r="I249" s="4" t="str">
        <f>IFERROR(__xludf.DUMMYFUNCTION("""COMPUTED_VALUE"""),"6a3d15a8-1309-4b0d-9603-829f65347946")</f>
        <v>6a3d15a8-1309-4b0d-9603-829f65347946</v>
      </c>
    </row>
    <row r="250">
      <c r="A250" s="4" t="str">
        <f>IFERROR(__xludf.DUMMYFUNCTION("""COMPUTED_VALUE"""),"Design for product success")</f>
        <v>Design for product success</v>
      </c>
      <c r="B250" s="4" t="str">
        <f>IFERROR(__xludf.DUMMYFUNCTION("""COMPUTED_VALUE"""),"Co-founder and CEO, Pieter shares how the Sketch team built the tool they needed and grew it into the digital design platform that empowers over one million designers — from freelancers to the world’s largest companies.")</f>
        <v>Co-founder and CEO, Pieter shares how the Sketch team built the tool they needed and grew it into the digital design platform that empowers over one million designers — from freelancers to the world’s largest companies.</v>
      </c>
      <c r="C250" s="4" t="str">
        <f>IFERROR(__xludf.DUMMYFUNCTION("""COMPUTED_VALUE"""),"Growth Summit")</f>
        <v>Growth Summit</v>
      </c>
      <c r="D250" s="4" t="str">
        <f>IFERROR(__xludf.DUMMYFUNCTION("""COMPUTED_VALUE"""),"Pieter Omvlee")</f>
        <v>Pieter Omvlee</v>
      </c>
      <c r="E250" s="4" t="str">
        <f>IFERROR(__xludf.DUMMYFUNCTION("""COMPUTED_VALUE"""),"Pieter Omvlee")</f>
        <v>Pieter Omvlee</v>
      </c>
      <c r="F250" s="4" t="str">
        <f>IFERROR(__xludf.DUMMYFUNCTION("""COMPUTED_VALUE"""),"2019/11/05 13:03:00")</f>
        <v>2019/11/05 13:03:00</v>
      </c>
      <c r="G250" s="4" t="str">
        <f>IFERROR(__xludf.DUMMYFUNCTION("""COMPUTED_VALUE"""),"2019/11/05 13:14:00")</f>
        <v>2019/11/05 13:14:00</v>
      </c>
      <c r="H250" s="4" t="str">
        <f>IFERROR(__xludf.DUMMYFUNCTION("""COMPUTED_VALUE"""),"16e7ddc6-b395-4462-851e-bb00c6a085fe")</f>
        <v>16e7ddc6-b395-4462-851e-bb00c6a085fe</v>
      </c>
      <c r="I250" s="4" t="str">
        <f>IFERROR(__xludf.DUMMYFUNCTION("""COMPUTED_VALUE"""),"16e7ddc6-b395-4462-851e-bb00c6a085fe")</f>
        <v>16e7ddc6-b395-4462-851e-bb00c6a085fe</v>
      </c>
    </row>
    <row r="251">
      <c r="A251" s="4" t="str">
        <f>IFERROR(__xludf.DUMMYFUNCTION("""COMPUTED_VALUE"""),"Featured venue: Pink Wine Point")</f>
        <v>Featured venue: Pink Wine Point</v>
      </c>
      <c r="B251" s="4" t="str">
        <f>IFERROR(__xludf.DUMMYFUNCTION("""COMPUTED_VALUE"""),"Portugal is renowned for its delicious flavours, least not in the world of wine and spirits. This is the place to try signature cocktails, limoncello, and they are the only place in Cais do Sodré where you can try top quality Portuguese wine without havin"&amp;"g to buy a whole bottle.
Night Summit deals: 
25% on all wines and sangria")</f>
        <v>Portugal is renowned for its delicious flavours, least not in the world of wine and spirits. This is the place to try signature cocktails, limoncello, and they are the only place in Cais do Sodré where you can try top quality Portuguese wine without having to buy a whole bottle.
Night Summit deals: 
25% on all wines and sangria</v>
      </c>
      <c r="C251" s="4" t="str">
        <f>IFERROR(__xludf.DUMMYFUNCTION("""COMPUTED_VALUE"""),"Pink Wine Point")</f>
        <v>Pink Wine Point</v>
      </c>
      <c r="D251" s="4" t="str">
        <f>IFERROR(__xludf.DUMMYFUNCTION("""COMPUTED_VALUE"""),"")</f>
        <v/>
      </c>
      <c r="E251" s="4" t="str">
        <f>IFERROR(__xludf.DUMMYFUNCTION("""COMPUTED_VALUE"""),"")</f>
        <v/>
      </c>
      <c r="F251" s="4" t="str">
        <f>IFERROR(__xludf.DUMMYFUNCTION("""COMPUTED_VALUE"""),"2019/11/05 20:00:00")</f>
        <v>2019/11/05 20:00:00</v>
      </c>
      <c r="G251" s="4" t="str">
        <f>IFERROR(__xludf.DUMMYFUNCTION("""COMPUTED_VALUE"""),"2019/11/06 00:00:00")</f>
        <v>2019/11/06 00:00:00</v>
      </c>
      <c r="H251" s="4" t="str">
        <f>IFERROR(__xludf.DUMMYFUNCTION("""COMPUTED_VALUE"""),"77f35cca-1ddb-41c6-8eab-a78e62f536f0")</f>
        <v>77f35cca-1ddb-41c6-8eab-a78e62f536f0</v>
      </c>
      <c r="I251" s="4" t="str">
        <f>IFERROR(__xludf.DUMMYFUNCTION("""COMPUTED_VALUE"""),"77f35cca-1ddb-41c6-8eab-a78e62f536f0")</f>
        <v>77f35cca-1ddb-41c6-8eab-a78e62f536f0</v>
      </c>
    </row>
    <row r="252">
      <c r="A252" s="4" t="str">
        <f>IFERROR(__xludf.DUMMYFUNCTION("""COMPUTED_VALUE"""),"The combined impact of blockchain and AI")</f>
        <v>The combined impact of blockchain and AI</v>
      </c>
      <c r="B252" s="4" t="str">
        <f>IFERROR(__xludf.DUMMYFUNCTION("""COMPUTED_VALUE"""),"Discussing the benefits of implementing blockchain and AI in financial services; particularly how and why both technologies are poised to transform the entire industry.")</f>
        <v>Discussing the benefits of implementing blockchain and AI in financial services; particularly how and why both technologies are poised to transform the entire industry.</v>
      </c>
      <c r="C252" s="4" t="str">
        <f>IFERROR(__xludf.DUMMYFUNCTION("""COMPUTED_VALUE"""),"Growth Summit")</f>
        <v>Growth Summit</v>
      </c>
      <c r="D252" s="4" t="str">
        <f>IFERROR(__xludf.DUMMYFUNCTION("""COMPUTED_VALUE"""),"Mark Arthur")</f>
        <v>Mark Arthur</v>
      </c>
      <c r="E252" s="4" t="str">
        <f>IFERROR(__xludf.DUMMYFUNCTION("""COMPUTED_VALUE"""),"Mark Arthur")</f>
        <v>Mark Arthur</v>
      </c>
      <c r="F252" s="4" t="str">
        <f>IFERROR(__xludf.DUMMYFUNCTION("""COMPUTED_VALUE"""),"2019/11/07 10:38:00")</f>
        <v>2019/11/07 10:38:00</v>
      </c>
      <c r="G252" s="4" t="str">
        <f>IFERROR(__xludf.DUMMYFUNCTION("""COMPUTED_VALUE"""),"2019/11/07 10:42:00")</f>
        <v>2019/11/07 10:42:00</v>
      </c>
      <c r="H252" s="4" t="str">
        <f>IFERROR(__xludf.DUMMYFUNCTION("""COMPUTED_VALUE"""),"06bcbbe0-4efd-4675-8228-9969940fffa1")</f>
        <v>06bcbbe0-4efd-4675-8228-9969940fffa1</v>
      </c>
      <c r="I252" s="4" t="str">
        <f>IFERROR(__xludf.DUMMYFUNCTION("""COMPUTED_VALUE"""),"06bcbbe0-4efd-4675-8228-9969940fffa1")</f>
        <v>06bcbbe0-4efd-4675-8228-9969940fffa1</v>
      </c>
    </row>
    <row r="253">
      <c r="A253" s="4" t="str">
        <f>IFERROR(__xludf.DUMMYFUNCTION("""COMPUTED_VALUE"""),"Nutrition and technology secrets for enhancing longevity")</f>
        <v>Nutrition and technology secrets for enhancing longevity</v>
      </c>
      <c r="B253" s="4" t="str">
        <f>IFERROR(__xludf.DUMMYFUNCTION("""COMPUTED_VALUE"""),"Humans have the capability to live healthy to 110. Unlocking the secrets of aging and living Longer is at the essence of what we do at L-Nutra. Given that we are the only company with an issued patent on promoting health and longevity, we wanted to share "&amp;"the pillars of nutrition for longevity.")</f>
        <v>Humans have the capability to live healthy to 110. Unlocking the secrets of aging and living Longer is at the essence of what we do at L-Nutra. Given that we are the only company with an issued patent on promoting health and longevity, we wanted to share the pillars of nutrition for longevity.</v>
      </c>
      <c r="C253" s="4" t="str">
        <f>IFERROR(__xludf.DUMMYFUNCTION("""COMPUTED_VALUE"""),"Growth Summit")</f>
        <v>Growth Summit</v>
      </c>
      <c r="D253" s="4" t="str">
        <f>IFERROR(__xludf.DUMMYFUNCTION("""COMPUTED_VALUE"""),"Joseph Antoun")</f>
        <v>Joseph Antoun</v>
      </c>
      <c r="E253" s="4" t="str">
        <f>IFERROR(__xludf.DUMMYFUNCTION("""COMPUTED_VALUE"""),"Joseph Antoun")</f>
        <v>Joseph Antoun</v>
      </c>
      <c r="F253" s="4" t="str">
        <f>IFERROR(__xludf.DUMMYFUNCTION("""COMPUTED_VALUE"""),"2019/11/05 10:58:00")</f>
        <v>2019/11/05 10:58:00</v>
      </c>
      <c r="G253" s="4" t="str">
        <f>IFERROR(__xludf.DUMMYFUNCTION("""COMPUTED_VALUE"""),"2019/11/05 11:02:00")</f>
        <v>2019/11/05 11:02:00</v>
      </c>
      <c r="H253" s="4" t="str">
        <f>IFERROR(__xludf.DUMMYFUNCTION("""COMPUTED_VALUE"""),"a51c8666-b50f-4020-ad2a-5f83d6a26ef6")</f>
        <v>a51c8666-b50f-4020-ad2a-5f83d6a26ef6</v>
      </c>
      <c r="I253" s="4" t="str">
        <f>IFERROR(__xludf.DUMMYFUNCTION("""COMPUTED_VALUE"""),"a51c8666-b50f-4020-ad2a-5f83d6a26ef6")</f>
        <v>a51c8666-b50f-4020-ad2a-5f83d6a26ef6</v>
      </c>
    </row>
    <row r="254">
      <c r="A254" s="4" t="str">
        <f>IFERROR(__xludf.DUMMYFUNCTION("""COMPUTED_VALUE"""),"Press conference with Carlos Moedas, European Commission &amp; Pedro Siza Viera, Government of Portugal")</f>
        <v>Press conference with Carlos Moedas, European Commission &amp; Pedro Siza Viera, Government of Portugal</v>
      </c>
      <c r="B254" s="4" t="str">
        <f>IFERROR(__xludf.DUMMYFUNCTION("""COMPUTED_VALUE"""),"")</f>
        <v/>
      </c>
      <c r="C254" s="4" t="str">
        <f>IFERROR(__xludf.DUMMYFUNCTION("""COMPUTED_VALUE"""),"")</f>
        <v/>
      </c>
      <c r="D254" s="4" t="str">
        <f>IFERROR(__xludf.DUMMYFUNCTION("""COMPUTED_VALUE"""),"Carlos Moedas and  Pedro Siza Vieira
")</f>
        <v>Carlos Moedas and  Pedro Siza Vieira
</v>
      </c>
      <c r="E254" s="4" t="str">
        <f>IFERROR(__xludf.DUMMYFUNCTION("""COMPUTED_VALUE"""),"Carlos Moedas, Pedro Siza Vieira
")</f>
        <v>Carlos Moedas, Pedro Siza Vieira
</v>
      </c>
      <c r="F254" s="4" t="str">
        <f>IFERROR(__xludf.DUMMYFUNCTION("""COMPUTED_VALUE"""),"")</f>
        <v/>
      </c>
      <c r="G254" s="4" t="str">
        <f>IFERROR(__xludf.DUMMYFUNCTION("""COMPUTED_VALUE"""),"")</f>
        <v/>
      </c>
      <c r="H254" s="4" t="str">
        <f>IFERROR(__xludf.DUMMYFUNCTION("""COMPUTED_VALUE"""),"531fec28-4a60-59ad-9284-5696cce9264a")</f>
        <v>531fec28-4a60-59ad-9284-5696cce9264a</v>
      </c>
      <c r="I254" s="4" t="str">
        <f>IFERROR(__xludf.DUMMYFUNCTION("""COMPUTED_VALUE"""),"531fec28-4a60-59ad-9284-5696cce9264a")</f>
        <v>531fec28-4a60-59ad-9284-5696cce9264a</v>
      </c>
    </row>
    <row r="255">
      <c r="A255" s="4" t="str">
        <f>IFERROR(__xludf.DUMMYFUNCTION("""COMPUTED_VALUE"""),"Navigating the ever-evolving landscape of security and privacy")</f>
        <v>Navigating the ever-evolving landscape of security and privacy</v>
      </c>
      <c r="B255" s="4" t="str">
        <f>IFERROR(__xludf.DUMMYFUNCTION("""COMPUTED_VALUE"""),"Learn how high growth startup Nylas manoeuvered through a series of product security and privacy pivots while their competitors collapsed.")</f>
        <v>Learn how high growth startup Nylas manoeuvered through a series of product security and privacy pivots while their competitors collapsed.</v>
      </c>
      <c r="C255" s="4" t="str">
        <f>IFERROR(__xludf.DUMMYFUNCTION("""COMPUTED_VALUE"""),"Growth Summit")</f>
        <v>Growth Summit</v>
      </c>
      <c r="D255" s="4" t="str">
        <f>IFERROR(__xludf.DUMMYFUNCTION("""COMPUTED_VALUE"""),"Christine Spang")</f>
        <v>Christine Spang</v>
      </c>
      <c r="E255" s="4" t="str">
        <f>IFERROR(__xludf.DUMMYFUNCTION("""COMPUTED_VALUE"""),"Christine Spang")</f>
        <v>Christine Spang</v>
      </c>
      <c r="F255" s="4" t="str">
        <f>IFERROR(__xludf.DUMMYFUNCTION("""COMPUTED_VALUE"""),"2019/11/06 14:53:00")</f>
        <v>2019/11/06 14:53:00</v>
      </c>
      <c r="G255" s="4" t="str">
        <f>IFERROR(__xludf.DUMMYFUNCTION("""COMPUTED_VALUE"""),"2019/11/06 15:04:00")</f>
        <v>2019/11/06 15:04:00</v>
      </c>
      <c r="H255" s="4" t="str">
        <f>IFERROR(__xludf.DUMMYFUNCTION("""COMPUTED_VALUE"""),"76c7561f-3f3f-4df9-9b84-463305abcb4f")</f>
        <v>76c7561f-3f3f-4df9-9b84-463305abcb4f</v>
      </c>
      <c r="I255" s="4" t="str">
        <f>IFERROR(__xludf.DUMMYFUNCTION("""COMPUTED_VALUE"""),"76c7561f-3f3f-4df9-9b84-463305abcb4f")</f>
        <v>76c7561f-3f3f-4df9-9b84-463305abcb4f</v>
      </c>
    </row>
    <row r="256">
      <c r="A256" s="4" t="str">
        <f>IFERROR(__xludf.DUMMYFUNCTION("""COMPUTED_VALUE"""),"Retail therapy: Tech for fast consumption")</f>
        <v>Retail therapy: Tech for fast consumption</v>
      </c>
      <c r="B256" s="4" t="str">
        <f>IFERROR(__xludf.DUMMYFUNCTION("""COMPUTED_VALUE"""),"The fashion retail world changes exceptionally fast, with trends falling in and out of style far more than just seasonally. As retail moves increasingly online and the fight for digital consumers intensifies, what are investors looking for in an e-commerc"&amp;"e platform? ")</f>
        <v>The fashion retail world changes exceptionally fast, with trends falling in and out of style far more than just seasonally. As retail moves increasingly online and the fight for digital consumers intensifies, what are investors looking for in an e-commerce platform? </v>
      </c>
      <c r="C256" s="4" t="str">
        <f>IFERROR(__xludf.DUMMYFUNCTION("""COMPUTED_VALUE"""),"Venture stage")</f>
        <v>Venture stage</v>
      </c>
      <c r="D256" s="4" t="str">
        <f>IFERROR(__xludf.DUMMYFUNCTION("""COMPUTED_VALUE"""),"Carmen Alfonso Rico, Rainer Märkle, Nicola McClafferty and Natalia Drozdiak")</f>
        <v>Carmen Alfonso Rico, Rainer Märkle, Nicola McClafferty and Natalia Drozdiak</v>
      </c>
      <c r="E256" s="4" t="str">
        <f>IFERROR(__xludf.DUMMYFUNCTION("""COMPUTED_VALUE"""),"Carmen Alfonso Rico,Rainer Märkle,Nicola McClafferty,Natalia Drozdiak")</f>
        <v>Carmen Alfonso Rico,Rainer Märkle,Nicola McClafferty,Natalia Drozdiak</v>
      </c>
      <c r="F256" s="4" t="str">
        <f>IFERROR(__xludf.DUMMYFUNCTION("""COMPUTED_VALUE"""),"2019/11/05 10:50:00")</f>
        <v>2019/11/05 10:50:00</v>
      </c>
      <c r="G256" s="4" t="str">
        <f>IFERROR(__xludf.DUMMYFUNCTION("""COMPUTED_VALUE"""),"2019/11/05 11:10:00")</f>
        <v>2019/11/05 11:10:00</v>
      </c>
      <c r="H256" s="4" t="str">
        <f>IFERROR(__xludf.DUMMYFUNCTION("""COMPUTED_VALUE"""),"7921e49e-7c01-41ca-a2e2-33b1448f0ee9")</f>
        <v>7921e49e-7c01-41ca-a2e2-33b1448f0ee9</v>
      </c>
      <c r="I256" s="4" t="str">
        <f>IFERROR(__xludf.DUMMYFUNCTION("""COMPUTED_VALUE"""),"7921e49e-7c01-41ca-a2e2-33b1448f0ee9")</f>
        <v>7921e49e-7c01-41ca-a2e2-33b1448f0ee9</v>
      </c>
    </row>
    <row r="257">
      <c r="A257" s="4" t="str">
        <f>IFERROR(__xludf.DUMMYFUNCTION("""COMPUTED_VALUE"""),"PITCH group round 16")</f>
        <v>PITCH group round 16</v>
      </c>
      <c r="B257" s="4" t="str">
        <f>IFERROR(__xludf.DUMMYFUNCTION("""COMPUTED_VALUE"""),"")</f>
        <v/>
      </c>
      <c r="C257" s="4" t="str">
        <f>IFERROR(__xludf.DUMMYFUNCTION("""COMPUTED_VALUE"""),"PITCH 1")</f>
        <v>PITCH 1</v>
      </c>
      <c r="D257" s="4" t="str">
        <f>IFERROR(__xludf.DUMMYFUNCTION("""COMPUTED_VALUE"""),"Francis Lowry, Malin Holmberg, Anneli Rispens, Miguel Rangel, Mohan Ram, Amer Nasereddin, Ben Moe, Thierry Tacheny, Riccardo Tomassetti, Hubert Guzera, Den Melnykov, MIGUEL REYNOLDS BRANDAO and Niky Achivei")</f>
        <v>Francis Lowry, Malin Holmberg, Anneli Rispens, Miguel Rangel, Mohan Ram, Amer Nasereddin, Ben Moe, Thierry Tacheny, Riccardo Tomassetti, Hubert Guzera, Den Melnykov, MIGUEL REYNOLDS BRANDAO and Niky Achivei</v>
      </c>
      <c r="E257" s="4" t="str">
        <f>IFERROR(__xludf.DUMMYFUNCTION("""COMPUTED_VALUE"""),"Francis Lowry,Malin Holmberg,Anneli Rispens,Miguel Rangel,Mohan Ram,Amer Nasereddin,Ben Moe,Thierry Tacheny,Riccardo Tomassetti,Hubert Guzera,Den Melnykov,MIGUEL REYNOLDS BRANDAO,Niky Achivei")</f>
        <v>Francis Lowry,Malin Holmberg,Anneli Rispens,Miguel Rangel,Mohan Ram,Amer Nasereddin,Ben Moe,Thierry Tacheny,Riccardo Tomassetti,Hubert Guzera,Den Melnykov,MIGUEL REYNOLDS BRANDAO,Niky Achivei</v>
      </c>
      <c r="F257" s="4" t="str">
        <f>IFERROR(__xludf.DUMMYFUNCTION("""COMPUTED_VALUE"""),"2019/11/05 15:00:00")</f>
        <v>2019/11/05 15:00:00</v>
      </c>
      <c r="G257" s="4" t="str">
        <f>IFERROR(__xludf.DUMMYFUNCTION("""COMPUTED_VALUE"""),"2019/11/05 16:00:00")</f>
        <v>2019/11/05 16:00:00</v>
      </c>
      <c r="H257" s="4" t="str">
        <f>IFERROR(__xludf.DUMMYFUNCTION("""COMPUTED_VALUE"""),"e4e7a3d7-c1fc-479c-ac8e-2f88536880e0")</f>
        <v>e4e7a3d7-c1fc-479c-ac8e-2f88536880e0</v>
      </c>
      <c r="I257" s="4" t="str">
        <f>IFERROR(__xludf.DUMMYFUNCTION("""COMPUTED_VALUE"""),"e4e7a3d7-c1fc-479c-ac8e-2f88536880e0")</f>
        <v>e4e7a3d7-c1fc-479c-ac8e-2f88536880e0</v>
      </c>
    </row>
    <row r="258">
      <c r="A258" s="4" t="str">
        <f>IFERROR(__xludf.DUMMYFUNCTION("""COMPUTED_VALUE"""),"Breaking news in a video-first world")</f>
        <v>Breaking news in a video-first world</v>
      </c>
      <c r="B258" s="4" t="str">
        <f>IFERROR(__xludf.DUMMYFUNCTION("""COMPUTED_VALUE"""),"24/7 international video news agency Ruptly was the first outlet with the Julian Assange arrest video - one of 2019’s biggest stories. This talk looks at how video is taking over news dissemination, the need for speed versus the desire for quality, conten"&amp;"t creation, and verification in a digital era. ")</f>
        <v>24/7 international video news agency Ruptly was the first outlet with the Julian Assange arrest video - one of 2019’s biggest stories. This talk looks at how video is taking over news dissemination, the need for speed versus the desire for quality, content creation, and verification in a digital era. </v>
      </c>
      <c r="C258" s="4" t="str">
        <f>IFERROR(__xludf.DUMMYFUNCTION("""COMPUTED_VALUE"""),"ContentMakers")</f>
        <v>ContentMakers</v>
      </c>
      <c r="D258" s="4" t="str">
        <f>IFERROR(__xludf.DUMMYFUNCTION("""COMPUTED_VALUE"""),"Dinara Toktosunova, Juan Branco and Sara Fischer")</f>
        <v>Dinara Toktosunova, Juan Branco and Sara Fischer</v>
      </c>
      <c r="E258" s="4" t="str">
        <f>IFERROR(__xludf.DUMMYFUNCTION("""COMPUTED_VALUE"""),"Dinara Toktosunova,Juan Branco,Sara Fischer")</f>
        <v>Dinara Toktosunova,Juan Branco,Sara Fischer</v>
      </c>
      <c r="F258" s="4" t="str">
        <f>IFERROR(__xludf.DUMMYFUNCTION("""COMPUTED_VALUE"""),"2019/11/06 15:35:00")</f>
        <v>2019/11/06 15:35:00</v>
      </c>
      <c r="G258" s="4" t="str">
        <f>IFERROR(__xludf.DUMMYFUNCTION("""COMPUTED_VALUE"""),"2019/11/06 15:55:00")</f>
        <v>2019/11/06 15:55:00</v>
      </c>
      <c r="H258" s="4" t="str">
        <f>IFERROR(__xludf.DUMMYFUNCTION("""COMPUTED_VALUE"""),"307300a4-2093-45ea-971e-1af85ebc8685")</f>
        <v>307300a4-2093-45ea-971e-1af85ebc8685</v>
      </c>
      <c r="I258" s="4" t="str">
        <f>IFERROR(__xludf.DUMMYFUNCTION("""COMPUTED_VALUE"""),"307300a4-2093-45ea-971e-1af85ebc8685")</f>
        <v>307300a4-2093-45ea-971e-1af85ebc8685</v>
      </c>
    </row>
    <row r="259">
      <c r="A259" s="4" t="str">
        <f>IFERROR(__xludf.DUMMYFUNCTION("""COMPUTED_VALUE"""),"PITCH group round 15")</f>
        <v>PITCH group round 15</v>
      </c>
      <c r="B259" s="4" t="str">
        <f>IFERROR(__xludf.DUMMYFUNCTION("""COMPUTED_VALUE"""),"")</f>
        <v/>
      </c>
      <c r="C259" s="4" t="str">
        <f>IFERROR(__xludf.DUMMYFUNCTION("""COMPUTED_VALUE"""),"PITCH 3")</f>
        <v>PITCH 3</v>
      </c>
      <c r="D259" s="4" t="str">
        <f>IFERROR(__xludf.DUMMYFUNCTION("""COMPUTED_VALUE"""),"Roham Gharegozlou, Marin Cauvas, Freddie Evans, Saba Karim, Eduardo Lemos, Ivan Alaiz, João Lopes, Artur Fjodorov, Marian Glaeser, Alex cordero, Stone Atwine, IVAN SHTANKO and Hirbod Bigvand")</f>
        <v>Roham Gharegozlou, Marin Cauvas, Freddie Evans, Saba Karim, Eduardo Lemos, Ivan Alaiz, João Lopes, Artur Fjodorov, Marian Glaeser, Alex cordero, Stone Atwine, IVAN SHTANKO and Hirbod Bigvand</v>
      </c>
      <c r="E259" s="4" t="str">
        <f>IFERROR(__xludf.DUMMYFUNCTION("""COMPUTED_VALUE"""),"Roham Gharegozlou,Marin Cauvas,Freddie Evans,Saba Karim,Eduardo Lemos,Ivan Alaiz,João Lopes,Artur Fjodorov,Marian Glaeser,Alex cordero,Stone Atwine,IVAN SHTANKO,Hirbod Bigvand")</f>
        <v>Roham Gharegozlou,Marin Cauvas,Freddie Evans,Saba Karim,Eduardo Lemos,Ivan Alaiz,João Lopes,Artur Fjodorov,Marian Glaeser,Alex cordero,Stone Atwine,IVAN SHTANKO,Hirbod Bigvand</v>
      </c>
      <c r="F259" s="4" t="str">
        <f>IFERROR(__xludf.DUMMYFUNCTION("""COMPUTED_VALUE"""),"2019/11/05 14:00:00")</f>
        <v>2019/11/05 14:00:00</v>
      </c>
      <c r="G259" s="4" t="str">
        <f>IFERROR(__xludf.DUMMYFUNCTION("""COMPUTED_VALUE"""),"2019/11/05 15:00:00")</f>
        <v>2019/11/05 15:00:00</v>
      </c>
      <c r="H259" s="4" t="str">
        <f>IFERROR(__xludf.DUMMYFUNCTION("""COMPUTED_VALUE"""),"4dd71908-66e8-42cb-ae27-6d3739ba80aa")</f>
        <v>4dd71908-66e8-42cb-ae27-6d3739ba80aa</v>
      </c>
      <c r="I259" s="4" t="str">
        <f>IFERROR(__xludf.DUMMYFUNCTION("""COMPUTED_VALUE"""),"4dd71908-66e8-42cb-ae27-6d3739ba80aa")</f>
        <v>4dd71908-66e8-42cb-ae27-6d3739ba80aa</v>
      </c>
    </row>
    <row r="260">
      <c r="A260" s="4" t="str">
        <f>IFERROR(__xludf.DUMMYFUNCTION("""COMPUTED_VALUE"""),"What's left to modernise?")</f>
        <v>What's left to modernise?</v>
      </c>
      <c r="B260" s="4" t="str">
        <f>IFERROR(__xludf.DUMMYFUNCTION("""COMPUTED_VALUE"""),"With traditional industries facing unprecedented disruption year-on-year, what else is there left to modernize? What problems need fixing in 2020?")</f>
        <v>With traditional industries facing unprecedented disruption year-on-year, what else is there left to modernize? What problems need fixing in 2020?</v>
      </c>
      <c r="C260" s="4" t="str">
        <f>IFERROR(__xludf.DUMMYFUNCTION("""COMPUTED_VALUE"""),"Venture stage")</f>
        <v>Venture stage</v>
      </c>
      <c r="D260" s="4" t="str">
        <f>IFERROR(__xludf.DUMMYFUNCTION("""COMPUTED_VALUE"""),"Omar El-Ayat, Malin Holmberg, Jean-Patrice Anciaux and Oisin Hanrahan")</f>
        <v>Omar El-Ayat, Malin Holmberg, Jean-Patrice Anciaux and Oisin Hanrahan</v>
      </c>
      <c r="E260" s="4" t="str">
        <f>IFERROR(__xludf.DUMMYFUNCTION("""COMPUTED_VALUE"""),"Omar El-Ayat,Malin Holmberg,Jean-Patrice Anciaux,Oisin Hanrahan")</f>
        <v>Omar El-Ayat,Malin Holmberg,Jean-Patrice Anciaux,Oisin Hanrahan</v>
      </c>
      <c r="F260" s="4" t="str">
        <f>IFERROR(__xludf.DUMMYFUNCTION("""COMPUTED_VALUE"""),"2019/11/07 14:05:00")</f>
        <v>2019/11/07 14:05:00</v>
      </c>
      <c r="G260" s="4" t="str">
        <f>IFERROR(__xludf.DUMMYFUNCTION("""COMPUTED_VALUE"""),"2019/11/07 14:25:00")</f>
        <v>2019/11/07 14:25:00</v>
      </c>
      <c r="H260" s="4" t="str">
        <f>IFERROR(__xludf.DUMMYFUNCTION("""COMPUTED_VALUE"""),"d7f1f39d-20c7-4f27-b93d-81361e7de613")</f>
        <v>d7f1f39d-20c7-4f27-b93d-81361e7de613</v>
      </c>
      <c r="I260" s="4" t="str">
        <f>IFERROR(__xludf.DUMMYFUNCTION("""COMPUTED_VALUE"""),"d7f1f39d-20c7-4f27-b93d-81361e7de613")</f>
        <v>d7f1f39d-20c7-4f27-b93d-81361e7de613</v>
      </c>
    </row>
    <row r="261">
      <c r="A261" s="4" t="str">
        <f>IFERROR(__xludf.DUMMYFUNCTION("""COMPUTED_VALUE"""),"Purpose and innovation: Rethinking how we do business")</f>
        <v>Purpose and innovation: Rethinking how we do business</v>
      </c>
      <c r="B261" s="4" t="str">
        <f>IFERROR(__xludf.DUMMYFUNCTION("""COMPUTED_VALUE"""),"Our time is precious. Success is no longer measured by pure profit alone and traditional marketing won’t cut it. Time to rethink how we do business. ")</f>
        <v>Our time is precious. Success is no longer measured by pure profit alone and traditional marketing won’t cut it. Time to rethink how we do business. </v>
      </c>
      <c r="C261" s="4" t="str">
        <f>IFERROR(__xludf.DUMMYFUNCTION("""COMPUTED_VALUE"""),"PandaConf")</f>
        <v>PandaConf</v>
      </c>
      <c r="D261" s="4" t="str">
        <f>IFERROR(__xludf.DUMMYFUNCTION("""COMPUTED_VALUE"""),"Brian Whipple ")</f>
        <v>Brian Whipple </v>
      </c>
      <c r="E261" s="4" t="str">
        <f>IFERROR(__xludf.DUMMYFUNCTION("""COMPUTED_VALUE"""),"Brian Whipple ")</f>
        <v>Brian Whipple </v>
      </c>
      <c r="F261" s="4" t="str">
        <f>IFERROR(__xludf.DUMMYFUNCTION("""COMPUTED_VALUE"""),"2019/11/07 11:50:00")</f>
        <v>2019/11/07 11:50:00</v>
      </c>
      <c r="G261" s="4" t="str">
        <f>IFERROR(__xludf.DUMMYFUNCTION("""COMPUTED_VALUE"""),"2019/11/07 12:10:00")</f>
        <v>2019/11/07 12:10:00</v>
      </c>
      <c r="H261" s="4" t="str">
        <f>IFERROR(__xludf.DUMMYFUNCTION("""COMPUTED_VALUE"""),"8b83324c-51b5-4784-b324-45a7e94d2a59")</f>
        <v>8b83324c-51b5-4784-b324-45a7e94d2a59</v>
      </c>
      <c r="I261" s="4" t="str">
        <f>IFERROR(__xludf.DUMMYFUNCTION("""COMPUTED_VALUE"""),"8b83324c-51b5-4784-b324-45a7e94d2a59")</f>
        <v>8b83324c-51b5-4784-b324-45a7e94d2a59</v>
      </c>
    </row>
    <row r="262">
      <c r="A262" s="4" t="str">
        <f>IFERROR(__xludf.DUMMYFUNCTION("""COMPUTED_VALUE"""),"Featured venue: Roterdão Club")</f>
        <v>Featured venue: Roterdão Club</v>
      </c>
      <c r="B262" s="4" t="str">
        <f>IFERROR(__xludf.DUMMYFUNCTION("""COMPUTED_VALUE"""),"The originals are always the best. First established in 1988, this is one of the original clubs on Pink Street. Get into the groove with the originals of one of the wildest streets in Lisbon. Despite changing management and decor, it has always kept its n"&amp;"ame, old neon signs, and party vibe. 
Night Summit deals: 
Free welcome drink. Jerupiga €5 mixed drinks of Greenall's gin, Famous Grouse whiskey, Brugal rum, and Moskovskaya vodka")</f>
        <v>The originals are always the best. First established in 1988, this is one of the original clubs on Pink Street. Get into the groove with the originals of one of the wildest streets in Lisbon. Despite changing management and decor, it has always kept its name, old neon signs, and party vibe. 
Night Summit deals: 
Free welcome drink. Jerupiga €5 mixed drinks of Greenall's gin, Famous Grouse whiskey, Brugal rum, and Moskovskaya vodka</v>
      </c>
      <c r="C262" s="4" t="str">
        <f>IFERROR(__xludf.DUMMYFUNCTION("""COMPUTED_VALUE"""),"Roterdão Club")</f>
        <v>Roterdão Club</v>
      </c>
      <c r="D262" s="4" t="str">
        <f>IFERROR(__xludf.DUMMYFUNCTION("""COMPUTED_VALUE"""),"")</f>
        <v/>
      </c>
      <c r="E262" s="4" t="str">
        <f>IFERROR(__xludf.DUMMYFUNCTION("""COMPUTED_VALUE"""),"")</f>
        <v/>
      </c>
      <c r="F262" s="4" t="str">
        <f>IFERROR(__xludf.DUMMYFUNCTION("""COMPUTED_VALUE"""),"2019/11/05 20:00:00")</f>
        <v>2019/11/05 20:00:00</v>
      </c>
      <c r="G262" s="4" t="str">
        <f>IFERROR(__xludf.DUMMYFUNCTION("""COMPUTED_VALUE"""),"2019/11/06 00:00:00")</f>
        <v>2019/11/06 00:00:00</v>
      </c>
      <c r="H262" s="4" t="str">
        <f>IFERROR(__xludf.DUMMYFUNCTION("""COMPUTED_VALUE"""),"4da0932c-a0ac-4e25-b23a-708a0b68b0f5")</f>
        <v>4da0932c-a0ac-4e25-b23a-708a0b68b0f5</v>
      </c>
      <c r="I262" s="4" t="str">
        <f>IFERROR(__xludf.DUMMYFUNCTION("""COMPUTED_VALUE"""),"4da0932c-a0ac-4e25-b23a-708a0b68b0f5")</f>
        <v>4da0932c-a0ac-4e25-b23a-708a0b68b0f5</v>
      </c>
    </row>
    <row r="263">
      <c r="A263" s="4" t="str">
        <f>IFERROR(__xludf.DUMMYFUNCTION("""COMPUTED_VALUE"""),"Designing the ultimate driving experience")</f>
        <v>Designing the ultimate driving experience</v>
      </c>
      <c r="B263" s="4" t="str">
        <f>IFERROR(__xludf.DUMMYFUNCTION("""COMPUTED_VALUE"""),"COO of Swedish car company Koenigsegg, Halldora von Koenigsegg offers an insight into the passion behind the design of their breathtaking supercars. How did the ultimate driving machine adapt to meet the demands of a growing climate crisis and how is this"&amp;" group of ""automotive artisans"" preparing for a world of autonomous driving?")</f>
        <v>COO of Swedish car company Koenigsegg, Halldora von Koenigsegg offers an insight into the passion behind the design of their breathtaking supercars. How did the ultimate driving machine adapt to meet the demands of a growing climate crisis and how is this group of "automotive artisans" preparing for a world of autonomous driving?</v>
      </c>
      <c r="C263" s="4" t="str">
        <f>IFERROR(__xludf.DUMMYFUNCTION("""COMPUTED_VALUE"""),"creatiff")</f>
        <v>creatiff</v>
      </c>
      <c r="D263" s="4" t="str">
        <f>IFERROR(__xludf.DUMMYFUNCTION("""COMPUTED_VALUE"""),"Halldora von Koenigsegg")</f>
        <v>Halldora von Koenigsegg</v>
      </c>
      <c r="E263" s="4" t="str">
        <f>IFERROR(__xludf.DUMMYFUNCTION("""COMPUTED_VALUE"""),"Halldora von Koenigsegg")</f>
        <v>Halldora von Koenigsegg</v>
      </c>
      <c r="F263" s="4" t="str">
        <f>IFERROR(__xludf.DUMMYFUNCTION("""COMPUTED_VALUE"""),"2019/11/05 13:05:00")</f>
        <v>2019/11/05 13:05:00</v>
      </c>
      <c r="G263" s="4" t="str">
        <f>IFERROR(__xludf.DUMMYFUNCTION("""COMPUTED_VALUE"""),"2019/11/05 13:25:00")</f>
        <v>2019/11/05 13:25:00</v>
      </c>
      <c r="H263" s="4" t="str">
        <f>IFERROR(__xludf.DUMMYFUNCTION("""COMPUTED_VALUE"""),"8741a0b8-dd04-46cf-b991-dd2e7ff8d203")</f>
        <v>8741a0b8-dd04-46cf-b991-dd2e7ff8d203</v>
      </c>
      <c r="I263" s="4" t="str">
        <f>IFERROR(__xludf.DUMMYFUNCTION("""COMPUTED_VALUE"""),"8741a0b8-dd04-46cf-b991-dd2e7ff8d203")</f>
        <v>8741a0b8-dd04-46cf-b991-dd2e7ff8d203</v>
      </c>
    </row>
    <row r="264">
      <c r="A264" s="4" t="str">
        <f>IFERROR(__xludf.DUMMYFUNCTION("""COMPUTED_VALUE"""),"Democratising influencer marketing")</f>
        <v>Democratising influencer marketing</v>
      </c>
      <c r="B264" s="4" t="str">
        <f>IFERROR(__xludf.DUMMYFUNCTION("""COMPUTED_VALUE"""),"Online friends are almost as good as real friends... except you can't borrow their clothes. Until now. This panel will discuss why social commerce and fashion platforms have become the latest startup unicorn generator. ")</f>
        <v>Online friends are almost as good as real friends... except you can't borrow their clothes. Until now. This panel will discuss why social commerce and fashion platforms have become the latest startup unicorn generator. </v>
      </c>
      <c r="C264" s="4" t="str">
        <f>IFERROR(__xludf.DUMMYFUNCTION("""COMPUTED_VALUE"""),"Modum")</f>
        <v>Modum</v>
      </c>
      <c r="D264" s="4" t="str">
        <f>IFERROR(__xludf.DUMMYFUNCTION("""COMPUTED_VALUE"""),"Rachel Waller, Bonnie Takhar, John Kinder, Brita Fernandez Schmidt and Natalie Salmon")</f>
        <v>Rachel Waller, Bonnie Takhar, John Kinder, Brita Fernandez Schmidt and Natalie Salmon</v>
      </c>
      <c r="E264" s="4" t="str">
        <f>IFERROR(__xludf.DUMMYFUNCTION("""COMPUTED_VALUE"""),"Rachel Waller,Bonnie Takhar,John Kinder,Brita Fernandez Schmidt,Natalie Salmon")</f>
        <v>Rachel Waller,Bonnie Takhar,John Kinder,Brita Fernandez Schmidt,Natalie Salmon</v>
      </c>
      <c r="F264" s="4" t="str">
        <f>IFERROR(__xludf.DUMMYFUNCTION("""COMPUTED_VALUE"""),"2019/11/07 13:20:00")</f>
        <v>2019/11/07 13:20:00</v>
      </c>
      <c r="G264" s="4" t="str">
        <f>IFERROR(__xludf.DUMMYFUNCTION("""COMPUTED_VALUE"""),"2019/11/07 13:45:00")</f>
        <v>2019/11/07 13:45:00</v>
      </c>
      <c r="H264" s="4" t="str">
        <f>IFERROR(__xludf.DUMMYFUNCTION("""COMPUTED_VALUE"""),"2226844c-4cf8-4e32-8e96-4ac0718464e9")</f>
        <v>2226844c-4cf8-4e32-8e96-4ac0718464e9</v>
      </c>
      <c r="I264" s="4" t="str">
        <f>IFERROR(__xludf.DUMMYFUNCTION("""COMPUTED_VALUE"""),"2226844c-4cf8-4e32-8e96-4ac0718464e9")</f>
        <v>2226844c-4cf8-4e32-8e96-4ac0718464e9</v>
      </c>
    </row>
    <row r="265">
      <c r="A265" s="4" t="str">
        <f>IFERROR(__xludf.DUMMYFUNCTION("""COMPUTED_VALUE"""),"Featured venue: Ler Devagar")</f>
        <v>Featured venue: Ler Devagar</v>
      </c>
      <c r="B265" s="4" t="str">
        <f>IFERROR(__xludf.DUMMYFUNCTION("""COMPUTED_VALUE"""),"A former printing space, ""Ler Devagar"" is a beloved bookstore. Meaning “Read Slowly”, it's been named one of the ten most beautiful bookstores in the world. Don't miss out on the chance to visit this magical place!
Night Summit deals:
Glass of Loios"&amp;"/Pouca Roupa wine for €2")</f>
        <v>A former printing space, "Ler Devagar" is a beloved bookstore. Meaning “Read Slowly”, it's been named one of the ten most beautiful bookstores in the world. Don't miss out on the chance to visit this magical place!
Night Summit deals:
Glass of Loios/Pouca Roupa wine for €2</v>
      </c>
      <c r="C265" s="4" t="str">
        <f>IFERROR(__xludf.DUMMYFUNCTION("""COMPUTED_VALUE"""),"Ler Devagar")</f>
        <v>Ler Devagar</v>
      </c>
      <c r="D265" s="4" t="str">
        <f>IFERROR(__xludf.DUMMYFUNCTION("""COMPUTED_VALUE"""),"")</f>
        <v/>
      </c>
      <c r="E265" s="4" t="str">
        <f>IFERROR(__xludf.DUMMYFUNCTION("""COMPUTED_VALUE"""),"")</f>
        <v/>
      </c>
      <c r="F265" s="4" t="str">
        <f>IFERROR(__xludf.DUMMYFUNCTION("""COMPUTED_VALUE"""),"2019/11/06 20:00:00")</f>
        <v>2019/11/06 20:00:00</v>
      </c>
      <c r="G265" s="4" t="str">
        <f>IFERROR(__xludf.DUMMYFUNCTION("""COMPUTED_VALUE"""),"2019/11/07 02:00:00")</f>
        <v>2019/11/07 02:00:00</v>
      </c>
      <c r="H265" s="4" t="str">
        <f>IFERROR(__xludf.DUMMYFUNCTION("""COMPUTED_VALUE"""),"69a5c880-3ce2-4330-9bba-2e8162ddaff8")</f>
        <v>69a5c880-3ce2-4330-9bba-2e8162ddaff8</v>
      </c>
      <c r="I265" s="4" t="str">
        <f>IFERROR(__xludf.DUMMYFUNCTION("""COMPUTED_VALUE"""),"69a5c880-3ce2-4330-9bba-2e8162ddaff8")</f>
        <v>69a5c880-3ce2-4330-9bba-2e8162ddaff8</v>
      </c>
    </row>
    <row r="266">
      <c r="A266" s="4" t="str">
        <f>IFERROR(__xludf.DUMMYFUNCTION("""COMPUTED_VALUE"""),"Can brands save the planet?")</f>
        <v>Can brands save the planet?</v>
      </c>
      <c r="B266" s="4" t="str">
        <f>IFERROR(__xludf.DUMMYFUNCTION("""COMPUTED_VALUE"""),"What role do brands have in saving the planet? As governments around the world abdicate responsibility, is it time for brands to speak out and step in?")</f>
        <v>What role do brands have in saving the planet? As governments around the world abdicate responsibility, is it time for brands to speak out and step in?</v>
      </c>
      <c r="C266" s="4" t="str">
        <f>IFERROR(__xludf.DUMMYFUNCTION("""COMPUTED_VALUE"""),"PandaConf")</f>
        <v>PandaConf</v>
      </c>
      <c r="D266" s="4" t="str">
        <f>IFERROR(__xludf.DUMMYFUNCTION("""COMPUTED_VALUE"""),"Shane Wall, Ian Somerhalder and Naina Bajekal")</f>
        <v>Shane Wall, Ian Somerhalder and Naina Bajekal</v>
      </c>
      <c r="E266" s="4" t="str">
        <f>IFERROR(__xludf.DUMMYFUNCTION("""COMPUTED_VALUE"""),"Shane Wall,Ian Somerhalder,Naina Bajekal")</f>
        <v>Shane Wall,Ian Somerhalder,Naina Bajekal</v>
      </c>
      <c r="F266" s="4" t="str">
        <f>IFERROR(__xludf.DUMMYFUNCTION("""COMPUTED_VALUE"""),"2019/11/05 15:20:00")</f>
        <v>2019/11/05 15:20:00</v>
      </c>
      <c r="G266" s="4" t="str">
        <f>IFERROR(__xludf.DUMMYFUNCTION("""COMPUTED_VALUE"""),"2019/11/05 15:45:00")</f>
        <v>2019/11/05 15:45:00</v>
      </c>
      <c r="H266" s="4" t="str">
        <f>IFERROR(__xludf.DUMMYFUNCTION("""COMPUTED_VALUE"""),"796b9900-6f30-4fed-a2c1-7208ee07cac4")</f>
        <v>796b9900-6f30-4fed-a2c1-7208ee07cac4</v>
      </c>
      <c r="I266" s="4" t="str">
        <f>IFERROR(__xludf.DUMMYFUNCTION("""COMPUTED_VALUE"""),"796b9900-6f30-4fed-a2c1-7208ee07cac4")</f>
        <v>796b9900-6f30-4fed-a2c1-7208ee07cac4</v>
      </c>
    </row>
    <row r="267">
      <c r="A267" s="4" t="str">
        <f>IFERROR(__xludf.DUMMYFUNCTION("""COMPUTED_VALUE"""),"Official Opening Ceremony")</f>
        <v>Official Opening Ceremony</v>
      </c>
      <c r="B267" s="4" t="str">
        <f>IFERROR(__xludf.DUMMYFUNCTION("""COMPUTED_VALUE"""),"Join us as we officially open Web Summit 2019!")</f>
        <v>Join us as we officially open Web Summit 2019!</v>
      </c>
      <c r="C267" s="4" t="str">
        <f>IFERROR(__xludf.DUMMYFUNCTION("""COMPUTED_VALUE"""),"Centre Stage")</f>
        <v>Centre Stage</v>
      </c>
      <c r="D267" s="4" t="str">
        <f>IFERROR(__xludf.DUMMYFUNCTION("""COMPUTED_VALUE"""),"Pedro Siza Vieira, Fernando Medina and Paddy Cosgrave")</f>
        <v>Pedro Siza Vieira, Fernando Medina and Paddy Cosgrave</v>
      </c>
      <c r="E267" s="4" t="str">
        <f>IFERROR(__xludf.DUMMYFUNCTION("""COMPUTED_VALUE"""),"Pedro Siza Vieira,Fernando Medina,Paddy Cosgrave")</f>
        <v>Pedro Siza Vieira,Fernando Medina,Paddy Cosgrave</v>
      </c>
      <c r="F267" s="4" t="str">
        <f>IFERROR(__xludf.DUMMYFUNCTION("""COMPUTED_VALUE"""),"2019/11/04 19:35:00")</f>
        <v>2019/11/04 19:35:00</v>
      </c>
      <c r="G267" s="4" t="str">
        <f>IFERROR(__xludf.DUMMYFUNCTION("""COMPUTED_VALUE"""),"2019/11/04 19:45:00")</f>
        <v>2019/11/04 19:45:00</v>
      </c>
      <c r="H267" s="4" t="str">
        <f>IFERROR(__xludf.DUMMYFUNCTION("""COMPUTED_VALUE"""),"88d43ad8-c396-434a-9b4f-ecea0ab0ea09")</f>
        <v>88d43ad8-c396-434a-9b4f-ecea0ab0ea09</v>
      </c>
      <c r="I267" s="4" t="str">
        <f>IFERROR(__xludf.DUMMYFUNCTION("""COMPUTED_VALUE"""),"88d43ad8-c396-434a-9b4f-ecea0ab0ea09")</f>
        <v>88d43ad8-c396-434a-9b4f-ecea0ab0ea09</v>
      </c>
    </row>
    <row r="268">
      <c r="A268" s="4" t="str">
        <f>IFERROR(__xludf.DUMMYFUNCTION("""COMPUTED_VALUE"""),"CX growth hacking (part 1), hosted by ZETA")</f>
        <v>CX growth hacking (part 1), hosted by ZETA</v>
      </c>
      <c r="B268" s="4" t="str">
        <f>IFERROR(__xludf.DUMMYFUNCTION("""COMPUTED_VALUE"""),"""We are on the verge of a new commerce engagement with the consumer.
Gen Z utilizes the mobile phone for all aspects of commerce making OMO central for all commerce players and solution vendors. The influence of OMO is far-reaching; not only to marketin"&amp;"g, but logistics, payment, shop design and shop staff behavior. The growth of the pop up store shows how CX is evolving by OMO. This workshop will show what UX design and functions are appropriate for the customer in this new era of CX.""")</f>
        <v>"We are on the verge of a new commerce engagement with the consumer.
Gen Z utilizes the mobile phone for all aspects of commerce making OMO central for all commerce players and solution vendors. The influence of OMO is far-reaching; not only to marketing, but logistics, payment, shop design and shop staff behavior. The growth of the pop up store shows how CX is evolving by OMO. This workshop will show what UX design and functions are appropriate for the customer in this new era of CX."</v>
      </c>
      <c r="C268" s="4" t="str">
        <f>IFERROR(__xludf.DUMMYFUNCTION("""COMPUTED_VALUE"""),"Workshop 4")</f>
        <v>Workshop 4</v>
      </c>
      <c r="D268" s="4" t="str">
        <f>IFERROR(__xludf.DUMMYFUNCTION("""COMPUTED_VALUE"""),"Natsuko Mitsugi")</f>
        <v>Natsuko Mitsugi</v>
      </c>
      <c r="E268" s="4" t="str">
        <f>IFERROR(__xludf.DUMMYFUNCTION("""COMPUTED_VALUE"""),"Natsuko Mitsugi")</f>
        <v>Natsuko Mitsugi</v>
      </c>
      <c r="F268" s="4" t="str">
        <f>IFERROR(__xludf.DUMMYFUNCTION("""COMPUTED_VALUE"""),"2019/11/06 12:00:00")</f>
        <v>2019/11/06 12:00:00</v>
      </c>
      <c r="G268" s="4" t="str">
        <f>IFERROR(__xludf.DUMMYFUNCTION("""COMPUTED_VALUE"""),"2019/11/06 12:40:00")</f>
        <v>2019/11/06 12:40:00</v>
      </c>
      <c r="H268" s="4" t="str">
        <f>IFERROR(__xludf.DUMMYFUNCTION("""COMPUTED_VALUE"""),"a7b2c8c7-b120-4021-b4ea-c4b372889538")</f>
        <v>a7b2c8c7-b120-4021-b4ea-c4b372889538</v>
      </c>
      <c r="I268" s="4" t="str">
        <f>IFERROR(__xludf.DUMMYFUNCTION("""COMPUTED_VALUE"""),"a7b2c8c7-b120-4021-b4ea-c4b372889538")</f>
        <v>a7b2c8c7-b120-4021-b4ea-c4b372889538</v>
      </c>
    </row>
    <row r="269">
      <c r="A269" s="4" t="str">
        <f>IFERROR(__xludf.DUMMYFUNCTION("""COMPUTED_VALUE"""),"Kickstarting innovation in your company:  The story of Wirecard´s corporate innovation lab, hosted by Wirecard")</f>
        <v>Kickstarting innovation in your company:  The story of Wirecard´s corporate innovation lab, hosted by Wirecard</v>
      </c>
      <c r="B269" s="4" t="str">
        <f>IFERROR(__xludf.DUMMYFUNCTION("""COMPUTED_VALUE"""),"Consumers are more connected than ever before. Pair that with the rising expectations of millennials, and it means leading companies need to innovate to stay ahead. Find out more about why Wirecard's built an innovation lab, which gave their employees a p"&amp;"latform to innovate, quickly validate future product concepts, and accelerate product innovation. The key topics which will be covered include: enablers of success; challenges of scaling; finding your 10% (internal champions); and storytelling innovation.")</f>
        <v>Consumers are more connected than ever before. Pair that with the rising expectations of millennials, and it means leading companies need to innovate to stay ahead. Find out more about why Wirecard's built an innovation lab, which gave their employees a platform to innovate, quickly validate future product concepts, and accelerate product innovation. The key topics which will be covered include: enablers of success; challenges of scaling; finding your 10% (internal champions); and storytelling innovation.</v>
      </c>
      <c r="C269" s="4" t="str">
        <f>IFERROR(__xludf.DUMMYFUNCTION("""COMPUTED_VALUE"""),"Workshop 4")</f>
        <v>Workshop 4</v>
      </c>
      <c r="D269" s="4" t="str">
        <f>IFERROR(__xludf.DUMMYFUNCTION("""COMPUTED_VALUE"""),"Sara Maki")</f>
        <v>Sara Maki</v>
      </c>
      <c r="E269" s="4" t="str">
        <f>IFERROR(__xludf.DUMMYFUNCTION("""COMPUTED_VALUE"""),"Sara Maki")</f>
        <v>Sara Maki</v>
      </c>
      <c r="F269" s="4" t="str">
        <f>IFERROR(__xludf.DUMMYFUNCTION("""COMPUTED_VALUE"""),"2019/11/05 10:00:00")</f>
        <v>2019/11/05 10:00:00</v>
      </c>
      <c r="G269" s="4" t="str">
        <f>IFERROR(__xludf.DUMMYFUNCTION("""COMPUTED_VALUE"""),"2019/11/05 10:45:00")</f>
        <v>2019/11/05 10:45:00</v>
      </c>
      <c r="H269" s="4" t="str">
        <f>IFERROR(__xludf.DUMMYFUNCTION("""COMPUTED_VALUE"""),"00763865-7780-420e-b3c0-1b91899c30b1")</f>
        <v>00763865-7780-420e-b3c0-1b91899c30b1</v>
      </c>
      <c r="I269" s="4" t="str">
        <f>IFERROR(__xludf.DUMMYFUNCTION("""COMPUTED_VALUE"""),"00763865-7780-420e-b3c0-1b91899c30b1")</f>
        <v>00763865-7780-420e-b3c0-1b91899c30b1</v>
      </c>
    </row>
    <row r="270">
      <c r="A270" s="4" t="str">
        <f>IFERROR(__xludf.DUMMYFUNCTION("""COMPUTED_VALUE"""),"Breakout startups")</f>
        <v>Breakout startups</v>
      </c>
      <c r="B270" s="4" t="str">
        <f>IFERROR(__xludf.DUMMYFUNCTION("""COMPUTED_VALUE"""),"Are these the companies everyone will be talking about in 2020? Dozens of the world’s leading investors think so. Each morning and lunchtime on Centre Stage you’ll get an introduction some of the world’s most exciting early and growth stage startups. Each"&amp;" of the startups have been hand-selected by some of the world’s most successful investors. You’re in for a treat.")</f>
        <v>Are these the companies everyone will be talking about in 2020? Dozens of the world’s leading investors think so. Each morning and lunchtime on Centre Stage you’ll get an introduction some of the world’s most exciting early and growth stage startups. Each of the startups have been hand-selected by some of the world’s most successful investors. You’re in for a treat.</v>
      </c>
      <c r="C270" s="4" t="str">
        <f>IFERROR(__xludf.DUMMYFUNCTION("""COMPUTED_VALUE"""),"Centre Stage")</f>
        <v>Centre Stage</v>
      </c>
      <c r="D270" s="4" t="str">
        <f>IFERROR(__xludf.DUMMYFUNCTION("""COMPUTED_VALUE"""),"Luisa Lima, Manoj Harasgama, Amir Bozorgzadeh, Louise Lindblad, Julia Salasky, Alina Lapusneanu, Emmanuel Straschnov, Rui Sales, Victor Riparbelli, Bobby Healy, Hanna Marie Asmussen and Shiran Yaroslavsky")</f>
        <v>Luisa Lima, Manoj Harasgama, Amir Bozorgzadeh, Louise Lindblad, Julia Salasky, Alina Lapusneanu, Emmanuel Straschnov, Rui Sales, Victor Riparbelli, Bobby Healy, Hanna Marie Asmussen and Shiran Yaroslavsky</v>
      </c>
      <c r="E270" s="4" t="str">
        <f>IFERROR(__xludf.DUMMYFUNCTION("""COMPUTED_VALUE"""),"Luisa Lima,Manoj Harasgama,Amir Bozorgzadeh,Louise Lindblad,Julia Salasky,Alina Lapusneanu,Emmanuel Straschnov,Rui Sales,Victor Riparbelli,Bobby Healy,Hanna Marie Asmussen,Shiran Yaroslavsky")</f>
        <v>Luisa Lima,Manoj Harasgama,Amir Bozorgzadeh,Louise Lindblad,Julia Salasky,Alina Lapusneanu,Emmanuel Straschnov,Rui Sales,Victor Riparbelli,Bobby Healy,Hanna Marie Asmussen,Shiran Yaroslavsky</v>
      </c>
      <c r="F270" s="4" t="str">
        <f>IFERROR(__xludf.DUMMYFUNCTION("""COMPUTED_VALUE"""),"2019/11/06 09:30:00")</f>
        <v>2019/11/06 09:30:00</v>
      </c>
      <c r="G270" s="4" t="str">
        <f>IFERROR(__xludf.DUMMYFUNCTION("""COMPUTED_VALUE"""),"2019/11/06 10:15:00")</f>
        <v>2019/11/06 10:15:00</v>
      </c>
      <c r="H270" s="4" t="str">
        <f>IFERROR(__xludf.DUMMYFUNCTION("""COMPUTED_VALUE"""),"e4b9aa37-f551-4471-b9c6-65e56f0b4f3b")</f>
        <v>e4b9aa37-f551-4471-b9c6-65e56f0b4f3b</v>
      </c>
      <c r="I270" s="4" t="str">
        <f>IFERROR(__xludf.DUMMYFUNCTION("""COMPUTED_VALUE"""),"e4b9aa37-f551-4471-b9c6-65e56f0b4f3b")</f>
        <v>e4b9aa37-f551-4471-b9c6-65e56f0b4f3b</v>
      </c>
    </row>
    <row r="271">
      <c r="A271" s="4" t="str">
        <f>IFERROR(__xludf.DUMMYFUNCTION("""COMPUTED_VALUE"""),"Do fintechs care about your financial health?")</f>
        <v>Do fintechs care about your financial health?</v>
      </c>
      <c r="B271" s="4" t="str">
        <f>IFERROR(__xludf.DUMMYFUNCTION("""COMPUTED_VALUE"""),"This panel will bring together two consumer-focused fintech companies whose goals stretch beyond profit. However, can the purusit of individuial financial health ever align with the aims of new fintech startups?  ")</f>
        <v>This panel will bring together two consumer-focused fintech companies whose goals stretch beyond profit. However, can the purusit of individuial financial health ever align with the aims of new fintech startups?  </v>
      </c>
      <c r="C271" s="4" t="str">
        <f>IFERROR(__xludf.DUMMYFUNCTION("""COMPUTED_VALUE"""),"MoneyConf")</f>
        <v>MoneyConf</v>
      </c>
      <c r="D271" s="4" t="str">
        <f>IFERROR(__xludf.DUMMYFUNCTION("""COMPUTED_VALUE"""),"Yoni Assia, Elnor Rozenrot and Matthieu Favas")</f>
        <v>Yoni Assia, Elnor Rozenrot and Matthieu Favas</v>
      </c>
      <c r="E271" s="4" t="str">
        <f>IFERROR(__xludf.DUMMYFUNCTION("""COMPUTED_VALUE"""),"Yoni Assia,Elnor Rozenrot,Matthieu Favas")</f>
        <v>Yoni Assia,Elnor Rozenrot,Matthieu Favas</v>
      </c>
      <c r="F271" s="4" t="str">
        <f>IFERROR(__xludf.DUMMYFUNCTION("""COMPUTED_VALUE"""),"2019/11/07 11:40:00")</f>
        <v>2019/11/07 11:40:00</v>
      </c>
      <c r="G271" s="4" t="str">
        <f>IFERROR(__xludf.DUMMYFUNCTION("""COMPUTED_VALUE"""),"2019/11/07 12:10:00")</f>
        <v>2019/11/07 12:10:00</v>
      </c>
      <c r="H271" s="4" t="str">
        <f>IFERROR(__xludf.DUMMYFUNCTION("""COMPUTED_VALUE"""),"073251c7-796d-48ab-9270-cd9b3b6dc0fb")</f>
        <v>073251c7-796d-48ab-9270-cd9b3b6dc0fb</v>
      </c>
      <c r="I271" s="4" t="str">
        <f>IFERROR(__xludf.DUMMYFUNCTION("""COMPUTED_VALUE"""),"073251c7-796d-48ab-9270-cd9b3b6dc0fb")</f>
        <v>073251c7-796d-48ab-9270-cd9b3b6dc0fb</v>
      </c>
    </row>
    <row r="272">
      <c r="A272" s="4" t="str">
        <f>IFERROR(__xludf.DUMMYFUNCTION("""COMPUTED_VALUE"""),"Simplify mobile and web development with cloud-based backends")</f>
        <v>Simplify mobile and web development with cloud-based backends</v>
      </c>
      <c r="B272" s="4" t="str">
        <f>IFERROR(__xludf.DUMMYFUNCTION("""COMPUTED_VALUE"""),"Designing, deploying and maintaining backend services for your mobile application is a challenge. There's a lot to think about. Authentication, authorisation, data access, notifications, offline devices and the usual non-functional requirements of availab"&amp;"ility, scalability and crucially, shrinking budgets! During this session we will show you how to deploy cloud-based services, without the need to be a cloud expert. Learn how to easily integrate an authentication wall, with minimal coding, how to deploy a"&amp;"n API layer and how to publish your web app without using a single server. By attending this session you will be able to accelerate the development of your web and mobile applications by using simplified backends in the cloud.")</f>
        <v>Designing, deploying and maintaining backend services for your mobile application is a challenge. There's a lot to think about. Authentication, authorisation, data access, notifications, offline devices and the usual non-functional requirements of availability, scalability and crucially, shrinking budgets! During this session we will show you how to deploy cloud-based services, without the need to be a cloud expert. Learn how to easily integrate an authentication wall, with minimal coding, how to deploy an API layer and how to publish your web app without using a single server. By attending this session you will be able to accelerate the development of your web and mobile applications by using simplified backends in the cloud.</v>
      </c>
      <c r="C272" s="4" t="str">
        <f>IFERROR(__xludf.DUMMYFUNCTION("""COMPUTED_VALUE"""),"AWS Developer Workshops")</f>
        <v>AWS Developer Workshops</v>
      </c>
      <c r="D272" s="4" t="str">
        <f>IFERROR(__xludf.DUMMYFUNCTION("""COMPUTED_VALUE"""),"")</f>
        <v/>
      </c>
      <c r="E272" s="4" t="str">
        <f>IFERROR(__xludf.DUMMYFUNCTION("""COMPUTED_VALUE"""),"")</f>
        <v/>
      </c>
      <c r="F272" s="4" t="str">
        <f>IFERROR(__xludf.DUMMYFUNCTION("""COMPUTED_VALUE"""),"2019/11/05 12:00:00")</f>
        <v>2019/11/05 12:00:00</v>
      </c>
      <c r="G272" s="4" t="str">
        <f>IFERROR(__xludf.DUMMYFUNCTION("""COMPUTED_VALUE"""),"2019/11/05 12:50:00")</f>
        <v>2019/11/05 12:50:00</v>
      </c>
      <c r="H272" s="4" t="str">
        <f>IFERROR(__xludf.DUMMYFUNCTION("""COMPUTED_VALUE"""),"38eb311d-40e2-4f8e-ab1d-e8e7026e818b")</f>
        <v>38eb311d-40e2-4f8e-ab1d-e8e7026e818b</v>
      </c>
      <c r="I272" s="4" t="str">
        <f>IFERROR(__xludf.DUMMYFUNCTION("""COMPUTED_VALUE"""),"38eb311d-40e2-4f8e-ab1d-e8e7026e818b")</f>
        <v>38eb311d-40e2-4f8e-ab1d-e8e7026e818b</v>
      </c>
    </row>
    <row r="273">
      <c r="A273" s="4" t="str">
        <f>IFERROR(__xludf.DUMMYFUNCTION("""COMPUTED_VALUE"""),"Opportunities in Latin America: Will your business reach half a billion people?, hosted by Inter-American Development Bank")</f>
        <v>Opportunities in Latin America: Will your business reach half a billion people?, hosted by Inter-American Development Bank</v>
      </c>
      <c r="B273" s="4" t="str">
        <f>IFERROR(__xludf.DUMMYFUNCTION("""COMPUTED_VALUE"""),"For 60 years, the Inter-American Development Bank Group (IDB) has been financing, advising and helping public and private sector projects in Latin America and the Caribbean. The result? Hand-on knowledge of the obstacles, tactics and strategies needed to "&amp;"significantly improve the lives of more than 500 million people in 26 countries. We want to share this knowledge with startups and entrepreneurs. But all good conversations are two-way - we also want to share challenges presented by this region and hear w"&amp;"hat solutions your business could provide. We’re looking for new ideas, businesses and entrepreneurs to work with - will it be you?")</f>
        <v>For 60 years, the Inter-American Development Bank Group (IDB) has been financing, advising and helping public and private sector projects in Latin America and the Caribbean. The result? Hand-on knowledge of the obstacles, tactics and strategies needed to significantly improve the lives of more than 500 million people in 26 countries. We want to share this knowledge with startups and entrepreneurs. But all good conversations are two-way - we also want to share challenges presented by this region and hear what solutions your business could provide. We’re looking for new ideas, businesses and entrepreneurs to work with - will it be you?</v>
      </c>
      <c r="C273" s="4" t="str">
        <f>IFERROR(__xludf.DUMMYFUNCTION("""COMPUTED_VALUE"""),"Workshop 3")</f>
        <v>Workshop 3</v>
      </c>
      <c r="D273" s="4" t="str">
        <f>IFERROR(__xludf.DUMMYFUNCTION("""COMPUTED_VALUE"""),"")</f>
        <v/>
      </c>
      <c r="E273" s="4" t="str">
        <f>IFERROR(__xludf.DUMMYFUNCTION("""COMPUTED_VALUE"""),"")</f>
        <v/>
      </c>
      <c r="F273" s="4" t="str">
        <f>IFERROR(__xludf.DUMMYFUNCTION("""COMPUTED_VALUE"""),"2019/11/05 12:00:00")</f>
        <v>2019/11/05 12:00:00</v>
      </c>
      <c r="G273" s="4" t="str">
        <f>IFERROR(__xludf.DUMMYFUNCTION("""COMPUTED_VALUE"""),"2019/11/05 12:45:00")</f>
        <v>2019/11/05 12:45:00</v>
      </c>
      <c r="H273" s="4" t="str">
        <f>IFERROR(__xludf.DUMMYFUNCTION("""COMPUTED_VALUE"""),"d6496db7-23c5-4ea8-bc63-00caa03e5499")</f>
        <v>d6496db7-23c5-4ea8-bc63-00caa03e5499</v>
      </c>
      <c r="I273" s="4" t="str">
        <f>IFERROR(__xludf.DUMMYFUNCTION("""COMPUTED_VALUE"""),"d6496db7-23c5-4ea8-bc63-00caa03e5499")</f>
        <v>d6496db7-23c5-4ea8-bc63-00caa03e5499</v>
      </c>
    </row>
    <row r="274">
      <c r="A274" s="4" t="str">
        <f>IFERROR(__xludf.DUMMYFUNCTION("""COMPUTED_VALUE"""),"Nine years of Web Summit: With Paddy Cosgrave")</f>
        <v>Nine years of Web Summit: With Paddy Cosgrave</v>
      </c>
      <c r="B274" s="4" t="str">
        <f>IFERROR(__xludf.DUMMYFUNCTION("""COMPUTED_VALUE"""),"")</f>
        <v/>
      </c>
      <c r="C274" s="4" t="str">
        <f>IFERROR(__xludf.DUMMYFUNCTION("""COMPUTED_VALUE"""),"")</f>
        <v/>
      </c>
      <c r="D274" s="4" t="str">
        <f>IFERROR(__xludf.DUMMYFUNCTION("""COMPUTED_VALUE"""),"Paddy Cosgrave")</f>
        <v>Paddy Cosgrave</v>
      </c>
      <c r="E274" s="4" t="str">
        <f>IFERROR(__xludf.DUMMYFUNCTION("""COMPUTED_VALUE"""),"Paddy Cosgrave")</f>
        <v>Paddy Cosgrave</v>
      </c>
      <c r="F274" s="4" t="str">
        <f>IFERROR(__xludf.DUMMYFUNCTION("""COMPUTED_VALUE"""),"")</f>
        <v/>
      </c>
      <c r="G274" s="4" t="str">
        <f>IFERROR(__xludf.DUMMYFUNCTION("""COMPUTED_VALUE"""),"")</f>
        <v/>
      </c>
      <c r="H274" s="4" t="str">
        <f>IFERROR(__xludf.DUMMYFUNCTION("""COMPUTED_VALUE"""),"536c9d6a-abd1-5178-b467-53af8e5ee557")</f>
        <v>536c9d6a-abd1-5178-b467-53af8e5ee557</v>
      </c>
      <c r="I274" s="4" t="str">
        <f>IFERROR(__xludf.DUMMYFUNCTION("""COMPUTED_VALUE"""),"536c9d6a-abd1-5178-b467-53af8e5ee557")</f>
        <v>536c9d6a-abd1-5178-b467-53af8e5ee557</v>
      </c>
    </row>
    <row r="275">
      <c r="A275" s="4" t="str">
        <f>IFERROR(__xludf.DUMMYFUNCTION("""COMPUTED_VALUE"""),"Q&amp;A with Yancey Strickler")</f>
        <v>Q&amp;A with Yancey Strickler</v>
      </c>
      <c r="B275" s="4" t="str">
        <f>IFERROR(__xludf.DUMMYFUNCTION("""COMPUTED_VALUE"""),"")</f>
        <v/>
      </c>
      <c r="C275" s="4" t="str">
        <f>IFERROR(__xludf.DUMMYFUNCTION("""COMPUTED_VALUE"""),"Q + A")</f>
        <v>Q + A</v>
      </c>
      <c r="D275" s="4" t="str">
        <f>IFERROR(__xludf.DUMMYFUNCTION("""COMPUTED_VALUE"""),"Yancey Strickler")</f>
        <v>Yancey Strickler</v>
      </c>
      <c r="E275" s="4" t="str">
        <f>IFERROR(__xludf.DUMMYFUNCTION("""COMPUTED_VALUE"""),"Yancey Strickler")</f>
        <v>Yancey Strickler</v>
      </c>
      <c r="F275" s="4" t="str">
        <f>IFERROR(__xludf.DUMMYFUNCTION("""COMPUTED_VALUE"""),"2019/11/07 09:30:00")</f>
        <v>2019/11/07 09:30:00</v>
      </c>
      <c r="G275" s="4" t="str">
        <f>IFERROR(__xludf.DUMMYFUNCTION("""COMPUTED_VALUE"""),"2019/11/07 09:45:00")</f>
        <v>2019/11/07 09:45:00</v>
      </c>
      <c r="H275" s="4" t="str">
        <f>IFERROR(__xludf.DUMMYFUNCTION("""COMPUTED_VALUE"""),"de03af1b-f6b0-457a-bfea-b88ec0ad1ca4")</f>
        <v>de03af1b-f6b0-457a-bfea-b88ec0ad1ca4</v>
      </c>
      <c r="I275" s="4" t="str">
        <f>IFERROR(__xludf.DUMMYFUNCTION("""COMPUTED_VALUE"""),"de03af1b-f6b0-457a-bfea-b88ec0ad1ca4")</f>
        <v>de03af1b-f6b0-457a-bfea-b88ec0ad1ca4</v>
      </c>
    </row>
    <row r="276">
      <c r="A276" s="4" t="str">
        <f>IFERROR(__xludf.DUMMYFUNCTION("""COMPUTED_VALUE"""),"Opening remarks")</f>
        <v>Opening remarks</v>
      </c>
      <c r="B276" s="4" t="str">
        <f>IFERROR(__xludf.DUMMYFUNCTION("""COMPUTED_VALUE"""),"")</f>
        <v/>
      </c>
      <c r="C276" s="4" t="str">
        <f>IFERROR(__xludf.DUMMYFUNCTION("""COMPUTED_VALUE"""),"DeepTech")</f>
        <v>DeepTech</v>
      </c>
      <c r="D276" s="4" t="str">
        <f>IFERROR(__xludf.DUMMYFUNCTION("""COMPUTED_VALUE"""),"Matthew Fornaciari")</f>
        <v>Matthew Fornaciari</v>
      </c>
      <c r="E276" s="4" t="str">
        <f>IFERROR(__xludf.DUMMYFUNCTION("""COMPUTED_VALUE"""),"Matthew Fornaciari")</f>
        <v>Matthew Fornaciari</v>
      </c>
      <c r="F276" s="4" t="str">
        <f>IFERROR(__xludf.DUMMYFUNCTION("""COMPUTED_VALUE"""),"2019/11/06 13:50:00")</f>
        <v>2019/11/06 13:50:00</v>
      </c>
      <c r="G276" s="4" t="str">
        <f>IFERROR(__xludf.DUMMYFUNCTION("""COMPUTED_VALUE"""),"2019/11/06 13:55:00")</f>
        <v>2019/11/06 13:55:00</v>
      </c>
      <c r="H276" s="4" t="str">
        <f>IFERROR(__xludf.DUMMYFUNCTION("""COMPUTED_VALUE"""),"b2c907b9-1735-4fdc-a3bc-ae0eaf3a20bb")</f>
        <v>b2c907b9-1735-4fdc-a3bc-ae0eaf3a20bb</v>
      </c>
      <c r="I276" s="4" t="str">
        <f>IFERROR(__xludf.DUMMYFUNCTION("""COMPUTED_VALUE"""),"b2c907b9-1735-4fdc-a3bc-ae0eaf3a20bb")</f>
        <v>b2c907b9-1735-4fdc-a3bc-ae0eaf3a20bb</v>
      </c>
    </row>
    <row r="277">
      <c r="A277" s="4" t="str">
        <f>IFERROR(__xludf.DUMMYFUNCTION("""COMPUTED_VALUE"""),"Making magic: Developing new products")</f>
        <v>Making magic: Developing new products</v>
      </c>
      <c r="B277" s="4" t="str">
        <f>IFERROR(__xludf.DUMMYFUNCTION("""COMPUTED_VALUE"""),"Co-founder of Mercku, Erik Ackner, delves into the moving parts and strategies that go into building a cutting-edge product. Designing and improving existing products can follow familiar roadmaps, but creating something entirely new requires delicate coor"&amp;"dination across all functional teams.")</f>
        <v>Co-founder of Mercku, Erik Ackner, delves into the moving parts and strategies that go into building a cutting-edge product. Designing and improving existing products can follow familiar roadmaps, but creating something entirely new requires delicate coordination across all functional teams.</v>
      </c>
      <c r="C277" s="4" t="str">
        <f>IFERROR(__xludf.DUMMYFUNCTION("""COMPUTED_VALUE"""),"Growth Summit")</f>
        <v>Growth Summit</v>
      </c>
      <c r="D277" s="4" t="str">
        <f>IFERROR(__xludf.DUMMYFUNCTION("""COMPUTED_VALUE"""),"Erik Ackner")</f>
        <v>Erik Ackner</v>
      </c>
      <c r="E277" s="4" t="str">
        <f>IFERROR(__xludf.DUMMYFUNCTION("""COMPUTED_VALUE"""),"Erik Ackner")</f>
        <v>Erik Ackner</v>
      </c>
      <c r="F277" s="4" t="str">
        <f>IFERROR(__xludf.DUMMYFUNCTION("""COMPUTED_VALUE"""),"2019/11/05 11:06:00")</f>
        <v>2019/11/05 11:06:00</v>
      </c>
      <c r="G277" s="4" t="str">
        <f>IFERROR(__xludf.DUMMYFUNCTION("""COMPUTED_VALUE"""),"2019/11/05 11:10:00")</f>
        <v>2019/11/05 11:10:00</v>
      </c>
      <c r="H277" s="4" t="str">
        <f>IFERROR(__xludf.DUMMYFUNCTION("""COMPUTED_VALUE"""),"00d46bdc-9298-469d-8a1b-fba5451ee868")</f>
        <v>00d46bdc-9298-469d-8a1b-fba5451ee868</v>
      </c>
      <c r="I277" s="4" t="str">
        <f>IFERROR(__xludf.DUMMYFUNCTION("""COMPUTED_VALUE"""),"00d46bdc-9298-469d-8a1b-fba5451ee868")</f>
        <v>00d46bdc-9298-469d-8a1b-fba5451ee868</v>
      </c>
    </row>
    <row r="278">
      <c r="A278" s="4" t="str">
        <f>IFERROR(__xludf.DUMMYFUNCTION("""COMPUTED_VALUE"""),"Scaling a business in a rapidly growing industry: Medical device cybersecurity")</f>
        <v>Scaling a business in a rapidly growing industry: Medical device cybersecurity</v>
      </c>
      <c r="B278" s="4" t="str">
        <f>IFERROR(__xludf.DUMMYFUNCTION("""COMPUTED_VALUE"""),"Nova Leah recognised a need for cybersecurity solutions in the connected medical device industry before that industry existed. The company now recognise that today’s solutions will not be fit to meet tomorrow's challenges. As they prepare to scale, Nova L"&amp;"eah places focus on people, processes and technology to meet the rapidly evolving industry needs. This is the company's story.")</f>
        <v>Nova Leah recognised a need for cybersecurity solutions in the connected medical device industry before that industry existed. The company now recognise that today’s solutions will not be fit to meet tomorrow's challenges. As they prepare to scale, Nova Leah places focus on people, processes and technology to meet the rapidly evolving industry needs. This is the company's story.</v>
      </c>
      <c r="C278" s="4" t="str">
        <f>IFERROR(__xludf.DUMMYFUNCTION("""COMPUTED_VALUE"""),"Growth Summit")</f>
        <v>Growth Summit</v>
      </c>
      <c r="D278" s="4" t="str">
        <f>IFERROR(__xludf.DUMMYFUNCTION("""COMPUTED_VALUE"""),"Fergal McCaffery")</f>
        <v>Fergal McCaffery</v>
      </c>
      <c r="E278" s="4" t="str">
        <f>IFERROR(__xludf.DUMMYFUNCTION("""COMPUTED_VALUE"""),"Fergal McCaffery")</f>
        <v>Fergal McCaffery</v>
      </c>
      <c r="F278" s="4" t="str">
        <f>IFERROR(__xludf.DUMMYFUNCTION("""COMPUTED_VALUE"""),"2019/11/05 11:26:00")</f>
        <v>2019/11/05 11:26:00</v>
      </c>
      <c r="G278" s="4" t="str">
        <f>IFERROR(__xludf.DUMMYFUNCTION("""COMPUTED_VALUE"""),"2019/11/05 11:30:00")</f>
        <v>2019/11/05 11:30:00</v>
      </c>
      <c r="H278" s="4" t="str">
        <f>IFERROR(__xludf.DUMMYFUNCTION("""COMPUTED_VALUE"""),"f82fc89b-7b3f-4930-9e75-329a3b3ea7d6")</f>
        <v>f82fc89b-7b3f-4930-9e75-329a3b3ea7d6</v>
      </c>
      <c r="I278" s="4" t="str">
        <f>IFERROR(__xludf.DUMMYFUNCTION("""COMPUTED_VALUE"""),"f82fc89b-7b3f-4930-9e75-329a3b3ea7d6")</f>
        <v>f82fc89b-7b3f-4930-9e75-329a3b3ea7d6</v>
      </c>
    </row>
    <row r="279">
      <c r="A279" s="4" t="str">
        <f>IFERROR(__xludf.DUMMYFUNCTION("""COMPUTED_VALUE"""),"Featured venue: Livraria Bar - Menina e Moça")</f>
        <v>Featured venue: Livraria Bar - Menina e Moça</v>
      </c>
      <c r="B279" s="4" t="str">
        <f>IFERROR(__xludf.DUMMYFUNCTION("""COMPUTED_VALUE"""),"Reflection, magic, and childlike wonder are just some of the goals of this unique venue. Their goal is to make you look at things as if for the first time, whether that be the city of Lisbon, the architecture, or even your friends' eyes. This magical miss"&amp;"ion of Menina e Moça to recover childlike wonder and see where the worlds of dream and adventure can carry us means it's a venue not to be missed. 
Night Summit deals: 
Imperial gin &amp; tonic €1, Bombay Dry gin &amp; tonic €5.50, tonic port €5")</f>
        <v>Reflection, magic, and childlike wonder are just some of the goals of this unique venue. Their goal is to make you look at things as if for the first time, whether that be the city of Lisbon, the architecture, or even your friends' eyes. This magical mission of Menina e Moça to recover childlike wonder and see where the worlds of dream and adventure can carry us means it's a venue not to be missed. 
Night Summit deals: 
Imperial gin &amp; tonic €1, Bombay Dry gin &amp; tonic €5.50, tonic port €5</v>
      </c>
      <c r="C279" s="4" t="str">
        <f>IFERROR(__xludf.DUMMYFUNCTION("""COMPUTED_VALUE"""),"Livraria Bar - Menina e Moça")</f>
        <v>Livraria Bar - Menina e Moça</v>
      </c>
      <c r="D279" s="4" t="str">
        <f>IFERROR(__xludf.DUMMYFUNCTION("""COMPUTED_VALUE"""),"")</f>
        <v/>
      </c>
      <c r="E279" s="4" t="str">
        <f>IFERROR(__xludf.DUMMYFUNCTION("""COMPUTED_VALUE"""),"")</f>
        <v/>
      </c>
      <c r="F279" s="4" t="str">
        <f>IFERROR(__xludf.DUMMYFUNCTION("""COMPUTED_VALUE"""),"2019/11/05 20:00:00")</f>
        <v>2019/11/05 20:00:00</v>
      </c>
      <c r="G279" s="4" t="str">
        <f>IFERROR(__xludf.DUMMYFUNCTION("""COMPUTED_VALUE"""),"2019/11/06 00:00:00")</f>
        <v>2019/11/06 00:00:00</v>
      </c>
      <c r="H279" s="4" t="str">
        <f>IFERROR(__xludf.DUMMYFUNCTION("""COMPUTED_VALUE"""),"dec2e72c-a0f2-4f64-ad2d-0aa11c73c29d")</f>
        <v>dec2e72c-a0f2-4f64-ad2d-0aa11c73c29d</v>
      </c>
      <c r="I279" s="4" t="str">
        <f>IFERROR(__xludf.DUMMYFUNCTION("""COMPUTED_VALUE"""),"dec2e72c-a0f2-4f64-ad2d-0aa11c73c29d")</f>
        <v>dec2e72c-a0f2-4f64-ad2d-0aa11c73c29d</v>
      </c>
    </row>
    <row r="280">
      <c r="A280" s="4" t="str">
        <f>IFERROR(__xludf.DUMMYFUNCTION("""COMPUTED_VALUE"""),"Is collaboration killing us?")</f>
        <v>Is collaboration killing us?</v>
      </c>
      <c r="B280" s="4" t="str">
        <f>IFERROR(__xludf.DUMMYFUNCTION("""COMPUTED_VALUE"""),"From chat to file sharing to constant pings, there are more ways to communicate and collaborate than ever before. And yet, despite the proliferation of collaboration tools, actual productivity has declined considerably. 
In this fireside chat, Chris Fa"&amp;"rinacci, COO for leading work management platform Asana, will discuss how our always-on notification culture is widening the chasm between collaboration and productivity, and what role technology leaders can play in bridging the gap.")</f>
        <v>From chat to file sharing to constant pings, there are more ways to communicate and collaborate than ever before. And yet, despite the proliferation of collaboration tools, actual productivity has declined considerably. 
In this fireside chat, Chris Farinacci, COO for leading work management platform Asana, will discuss how our always-on notification culture is widening the chasm between collaboration and productivity, and what role technology leaders can play in bridging the gap.</v>
      </c>
      <c r="C280" s="4" t="str">
        <f>IFERROR(__xludf.DUMMYFUNCTION("""COMPUTED_VALUE"""),"SaaS Monster")</f>
        <v>SaaS Monster</v>
      </c>
      <c r="D280" s="4" t="str">
        <f>IFERROR(__xludf.DUMMYFUNCTION("""COMPUTED_VALUE"""),"Chris Farinacci and Jordan French")</f>
        <v>Chris Farinacci and Jordan French</v>
      </c>
      <c r="E280" s="4" t="str">
        <f>IFERROR(__xludf.DUMMYFUNCTION("""COMPUTED_VALUE"""),"Chris Farinacci,Jordan French")</f>
        <v>Chris Farinacci,Jordan French</v>
      </c>
      <c r="F280" s="4" t="str">
        <f>IFERROR(__xludf.DUMMYFUNCTION("""COMPUTED_VALUE"""),"2019/11/05 13:45:00")</f>
        <v>2019/11/05 13:45:00</v>
      </c>
      <c r="G280" s="4" t="str">
        <f>IFERROR(__xludf.DUMMYFUNCTION("""COMPUTED_VALUE"""),"2019/11/05 14:05:00")</f>
        <v>2019/11/05 14:05:00</v>
      </c>
      <c r="H280" s="4" t="str">
        <f>IFERROR(__xludf.DUMMYFUNCTION("""COMPUTED_VALUE"""),"175bc399-db50-4844-9a34-d3941af68962")</f>
        <v>175bc399-db50-4844-9a34-d3941af68962</v>
      </c>
      <c r="I280" s="4" t="str">
        <f>IFERROR(__xludf.DUMMYFUNCTION("""COMPUTED_VALUE"""),"175bc399-db50-4844-9a34-d3941af68962")</f>
        <v>175bc399-db50-4844-9a34-d3941af68962</v>
      </c>
    </row>
    <row r="281">
      <c r="A281" s="4" t="str">
        <f>IFERROR(__xludf.DUMMYFUNCTION("""COMPUTED_VALUE"""),"ATM 4")</f>
        <v>ATM 4</v>
      </c>
      <c r="B281" s="4" t="str">
        <f>IFERROR(__xludf.DUMMYFUNCTION("""COMPUTED_VALUE"""),"")</f>
        <v/>
      </c>
      <c r="C281" s="4" t="str">
        <f>IFERROR(__xludf.DUMMYFUNCTION("""COMPUTED_VALUE"""),"ATM - 4 - Nov 5")</f>
        <v>ATM - 4 - Nov 5</v>
      </c>
      <c r="D281" s="4" t="str">
        <f>IFERROR(__xludf.DUMMYFUNCTION("""COMPUTED_VALUE"""),"")</f>
        <v/>
      </c>
      <c r="E281" s="4" t="str">
        <f>IFERROR(__xludf.DUMMYFUNCTION("""COMPUTED_VALUE"""),"")</f>
        <v/>
      </c>
      <c r="F281" s="4" t="str">
        <f>IFERROR(__xludf.DUMMYFUNCTION("""COMPUTED_VALUE"""),"2019/11/05 20:01:00")</f>
        <v>2019/11/05 20:01:00</v>
      </c>
      <c r="G281" s="4" t="str">
        <f>IFERROR(__xludf.DUMMYFUNCTION("""COMPUTED_VALUE"""),"2019/11/05 23:59:00")</f>
        <v>2019/11/05 23:59:00</v>
      </c>
      <c r="H281" s="4" t="str">
        <f>IFERROR(__xludf.DUMMYFUNCTION("""COMPUTED_VALUE"""),"b066f11a-62b6-4a29-8379-35f397322035")</f>
        <v>b066f11a-62b6-4a29-8379-35f397322035</v>
      </c>
      <c r="I281" s="4" t="str">
        <f>IFERROR(__xludf.DUMMYFUNCTION("""COMPUTED_VALUE"""),"b066f11a-62b6-4a29-8379-35f397322035")</f>
        <v>b066f11a-62b6-4a29-8379-35f397322035</v>
      </c>
    </row>
    <row r="282">
      <c r="A282" s="4" t="str">
        <f>IFERROR(__xludf.DUMMYFUNCTION("""COMPUTED_VALUE"""),"Lunch break")</f>
        <v>Lunch break</v>
      </c>
      <c r="B282" s="4" t="str">
        <f>IFERROR(__xludf.DUMMYFUNCTION("""COMPUTED_VALUE"""),"")</f>
        <v/>
      </c>
      <c r="C282" s="4" t="str">
        <f>IFERROR(__xludf.DUMMYFUNCTION("""COMPUTED_VALUE"""),"SportsTrade")</f>
        <v>SportsTrade</v>
      </c>
      <c r="D282" s="4" t="str">
        <f>IFERROR(__xludf.DUMMYFUNCTION("""COMPUTED_VALUE"""),"")</f>
        <v/>
      </c>
      <c r="E282" s="4" t="str">
        <f>IFERROR(__xludf.DUMMYFUNCTION("""COMPUTED_VALUE"""),"")</f>
        <v/>
      </c>
      <c r="F282" s="4" t="str">
        <f>IFERROR(__xludf.DUMMYFUNCTION("""COMPUTED_VALUE"""),"2019/11/05 12:40:00")</f>
        <v>2019/11/05 12:40:00</v>
      </c>
      <c r="G282" s="4" t="str">
        <f>IFERROR(__xludf.DUMMYFUNCTION("""COMPUTED_VALUE"""),"2019/11/05 13:10:00")</f>
        <v>2019/11/05 13:10:00</v>
      </c>
      <c r="H282" s="4" t="str">
        <f>IFERROR(__xludf.DUMMYFUNCTION("""COMPUTED_VALUE"""),"9e0a254e-4273-4c0f-96e1-ebc4e7d5b1b5")</f>
        <v>9e0a254e-4273-4c0f-96e1-ebc4e7d5b1b5</v>
      </c>
      <c r="I282" s="4" t="str">
        <f>IFERROR(__xludf.DUMMYFUNCTION("""COMPUTED_VALUE"""),"9e0a254e-4273-4c0f-96e1-ebc4e7d5b1b5")</f>
        <v>9e0a254e-4273-4c0f-96e1-ebc4e7d5b1b5</v>
      </c>
    </row>
    <row r="283">
      <c r="A283" s="4" t="str">
        <f>IFERROR(__xludf.DUMMYFUNCTION("""COMPUTED_VALUE"""),"Scaling content production without sacrificing your visual identity, hosted by Shutterstock ")</f>
        <v>Scaling content production without sacrificing your visual identity, hosted by Shutterstock </v>
      </c>
      <c r="B283" s="4" t="str">
        <f>IFERROR(__xludf.DUMMYFUNCTION("""COMPUTED_VALUE"""),"Over 90% of brands use social media to grow awareness. It can become very hard to post content at a high-frequency, and across different markets and platforms, without losing your brand's identity. Join us to understand and see how leading global companie"&amp;"s are exploring new ways to ensure brand consistency while creating authentic and engaging content for social media. This collaborative session will educate attendees on how to analyse their visual identity and create localised content.")</f>
        <v>Over 90% of brands use social media to grow awareness. It can become very hard to post content at a high-frequency, and across different markets and platforms, without losing your brand's identity. Join us to understand and see how leading global companies are exploring new ways to ensure brand consistency while creating authentic and engaging content for social media. This collaborative session will educate attendees on how to analyse their visual identity and create localised content.</v>
      </c>
      <c r="C283" s="4" t="str">
        <f>IFERROR(__xludf.DUMMYFUNCTION("""COMPUTED_VALUE"""),"Workshop 3")</f>
        <v>Workshop 3</v>
      </c>
      <c r="D283" s="4" t="str">
        <f>IFERROR(__xludf.DUMMYFUNCTION("""COMPUTED_VALUE"""),"Yoann Chipotel")</f>
        <v>Yoann Chipotel</v>
      </c>
      <c r="E283" s="4" t="str">
        <f>IFERROR(__xludf.DUMMYFUNCTION("""COMPUTED_VALUE"""),"Yoann Chipotel")</f>
        <v>Yoann Chipotel</v>
      </c>
      <c r="F283" s="4" t="str">
        <f>IFERROR(__xludf.DUMMYFUNCTION("""COMPUTED_VALUE"""),"2019/11/05 10:45:00")</f>
        <v>2019/11/05 10:45:00</v>
      </c>
      <c r="G283" s="4" t="str">
        <f>IFERROR(__xludf.DUMMYFUNCTION("""COMPUTED_VALUE"""),"2019/11/05 11:30:00")</f>
        <v>2019/11/05 11:30:00</v>
      </c>
      <c r="H283" s="4" t="str">
        <f>IFERROR(__xludf.DUMMYFUNCTION("""COMPUTED_VALUE"""),"6c6bdc0b-2e1f-4fc7-934d-2f9d5da1e50f")</f>
        <v>6c6bdc0b-2e1f-4fc7-934d-2f9d5da1e50f</v>
      </c>
      <c r="I283" s="4" t="str">
        <f>IFERROR(__xludf.DUMMYFUNCTION("""COMPUTED_VALUE"""),"6c6bdc0b-2e1f-4fc7-934d-2f9d5da1e50f")</f>
        <v>6c6bdc0b-2e1f-4fc7-934d-2f9d5da1e50f</v>
      </c>
    </row>
    <row r="284">
      <c r="A284" s="4" t="str">
        <f>IFERROR(__xludf.DUMMYFUNCTION("""COMPUTED_VALUE"""),"Don't shoot the messenger")</f>
        <v>Don't shoot the messenger</v>
      </c>
      <c r="B284" s="4" t="str">
        <f>IFERROR(__xludf.DUMMYFUNCTION("""COMPUTED_VALUE"""),"As AI, machine learning and algorithms are changing the way we make, break and consume news, there will always be a need for good old fashioned investigative journalism in every news organisation. But is it under threat? In this talk, hear from those on t"&amp;"he front lines about the ongoing fight to maintain honest journalism and protect the rights of whistleblowers. ")</f>
        <v>As AI, machine learning and algorithms are changing the way we make, break and consume news, there will always be a need for good old fashioned investigative journalism in every news organisation. But is it under threat? In this talk, hear from those on the front lines about the ongoing fight to maintain honest journalism and protect the rights of whistleblowers. </v>
      </c>
      <c r="C284" s="4" t="str">
        <f>IFERROR(__xludf.DUMMYFUNCTION("""COMPUTED_VALUE"""),"ContentMakers")</f>
        <v>ContentMakers</v>
      </c>
      <c r="D284" s="4" t="str">
        <f>IFERROR(__xludf.DUMMYFUNCTION("""COMPUTED_VALUE"""),"James Ball, John Tye, Brittany Kaiser and Ali Aydin")</f>
        <v>James Ball, John Tye, Brittany Kaiser and Ali Aydin</v>
      </c>
      <c r="E284" s="4" t="str">
        <f>IFERROR(__xludf.DUMMYFUNCTION("""COMPUTED_VALUE"""),"James Ball,John Tye,Brittany Kaiser,Ali Aydin")</f>
        <v>James Ball,John Tye,Brittany Kaiser,Ali Aydin</v>
      </c>
      <c r="F284" s="4" t="str">
        <f>IFERROR(__xludf.DUMMYFUNCTION("""COMPUTED_VALUE"""),"2019/11/06 16:15:00")</f>
        <v>2019/11/06 16:15:00</v>
      </c>
      <c r="G284" s="4" t="str">
        <f>IFERROR(__xludf.DUMMYFUNCTION("""COMPUTED_VALUE"""),"2019/11/06 16:35:00")</f>
        <v>2019/11/06 16:35:00</v>
      </c>
      <c r="H284" s="4" t="str">
        <f>IFERROR(__xludf.DUMMYFUNCTION("""COMPUTED_VALUE"""),"2a3f793a-ebb2-4bb5-a6ce-02c096805517")</f>
        <v>2a3f793a-ebb2-4bb5-a6ce-02c096805517</v>
      </c>
      <c r="I284" s="4" t="str">
        <f>IFERROR(__xludf.DUMMYFUNCTION("""COMPUTED_VALUE"""),"2a3f793a-ebb2-4bb5-a6ce-02c096805517")</f>
        <v>2a3f793a-ebb2-4bb5-a6ce-02c096805517</v>
      </c>
    </row>
    <row r="285">
      <c r="A285" s="4" t="str">
        <f>IFERROR(__xludf.DUMMYFUNCTION("""COMPUTED_VALUE"""),"PITCH group round 9")</f>
        <v>PITCH group round 9</v>
      </c>
      <c r="B285" s="4" t="str">
        <f>IFERROR(__xludf.DUMMYFUNCTION("""COMPUTED_VALUE"""),"")</f>
        <v/>
      </c>
      <c r="C285" s="4" t="str">
        <f>IFERROR(__xludf.DUMMYFUNCTION("""COMPUTED_VALUE"""),"PITCH 3")</f>
        <v>PITCH 3</v>
      </c>
      <c r="D285" s="4" t="str">
        <f>IFERROR(__xludf.DUMMYFUNCTION("""COMPUTED_VALUE"""),"Maya Horgan Famodu, Christian Knott, Felix Buggenthin, Mohan Ram, Gijs den Hartog, Eyal Sheinholtz, Joanna Yein Song, Danica Damljanovic, Rafal Witkowski, andrea baldini, Sergey Soloboev, Egor Pchelnikov and Samuel Lathey")</f>
        <v>Maya Horgan Famodu, Christian Knott, Felix Buggenthin, Mohan Ram, Gijs den Hartog, Eyal Sheinholtz, Joanna Yein Song, Danica Damljanovic, Rafal Witkowski, andrea baldini, Sergey Soloboev, Egor Pchelnikov and Samuel Lathey</v>
      </c>
      <c r="E285" s="4" t="str">
        <f>IFERROR(__xludf.DUMMYFUNCTION("""COMPUTED_VALUE"""),"Maya Horgan Famodu,Christian Knott,Felix Buggenthin,Mohan Ram,Gijs den Hartog,Eyal Sheinholtz,Joanna Yein Song,Danica Damljanovic,Rafal Witkowski,andrea baldini,Sergey Soloboev,Egor Pchelnikov,Samuel Lathey")</f>
        <v>Maya Horgan Famodu,Christian Knott,Felix Buggenthin,Mohan Ram,Gijs den Hartog,Eyal Sheinholtz,Joanna Yein Song,Danica Damljanovic,Rafal Witkowski,andrea baldini,Sergey Soloboev,Egor Pchelnikov,Samuel Lathey</v>
      </c>
      <c r="F285" s="4" t="str">
        <f>IFERROR(__xludf.DUMMYFUNCTION("""COMPUTED_VALUE"""),"2019/11/05 11:15:00")</f>
        <v>2019/11/05 11:15:00</v>
      </c>
      <c r="G285" s="4" t="str">
        <f>IFERROR(__xludf.DUMMYFUNCTION("""COMPUTED_VALUE"""),"2019/11/05 12:15:00")</f>
        <v>2019/11/05 12:15:00</v>
      </c>
      <c r="H285" s="4" t="str">
        <f>IFERROR(__xludf.DUMMYFUNCTION("""COMPUTED_VALUE"""),"5065bd64-f376-4245-b5f5-10d436de2011")</f>
        <v>5065bd64-f376-4245-b5f5-10d436de2011</v>
      </c>
      <c r="I285" s="4" t="str">
        <f>IFERROR(__xludf.DUMMYFUNCTION("""COMPUTED_VALUE"""),"5065bd64-f376-4245-b5f5-10d436de2011")</f>
        <v>5065bd64-f376-4245-b5f5-10d436de2011</v>
      </c>
    </row>
    <row r="286">
      <c r="A286" s="4" t="str">
        <f>IFERROR(__xludf.DUMMYFUNCTION("""COMPUTED_VALUE"""),"The Height of Disruption")</f>
        <v>The Height of Disruption</v>
      </c>
      <c r="B286" s="4" t="str">
        <f>IFERROR(__xludf.DUMMYFUNCTION("""COMPUTED_VALUE"""),"The world of business needs more disruption, and so does the world at large. This session explores how the business ideas and philosophies of the great entrepreneurs of our time — including Marc Benioff, Arianna Huffington, Zhang Ruimin, Oprah Winfrey and"&amp;" more — can show us the way to a more prosperous and purposeful future.
")</f>
        <v>The world of business needs more disruption, and so does the world at large. This session explores how the business ideas and philosophies of the great entrepreneurs of our time — including Marc Benioff, Arianna Huffington, Zhang Ruimin, Oprah Winfrey and more — can show us the way to a more prosperous and purposeful future.
</v>
      </c>
      <c r="C286" s="4" t="str">
        <f>IFERROR(__xludf.DUMMYFUNCTION("""COMPUTED_VALUE"""),"Corporate Innovation Summit")</f>
        <v>Corporate Innovation Summit</v>
      </c>
      <c r="D286" s="4" t="str">
        <f>IFERROR(__xludf.DUMMYFUNCTION("""COMPUTED_VALUE"""),"Jean-Marie Dru")</f>
        <v>Jean-Marie Dru</v>
      </c>
      <c r="E286" s="4" t="str">
        <f>IFERROR(__xludf.DUMMYFUNCTION("""COMPUTED_VALUE"""),"Jean-Marie Dru")</f>
        <v>Jean-Marie Dru</v>
      </c>
      <c r="F286" s="4" t="str">
        <f>IFERROR(__xludf.DUMMYFUNCTION("""COMPUTED_VALUE"""),"2019/11/05 15:35:00")</f>
        <v>2019/11/05 15:35:00</v>
      </c>
      <c r="G286" s="4" t="str">
        <f>IFERROR(__xludf.DUMMYFUNCTION("""COMPUTED_VALUE"""),"2019/11/05 15:55:00")</f>
        <v>2019/11/05 15:55:00</v>
      </c>
      <c r="H286" s="4" t="str">
        <f>IFERROR(__xludf.DUMMYFUNCTION("""COMPUTED_VALUE"""),"0c04eae5-3135-4e48-9e2f-336649101992")</f>
        <v>0c04eae5-3135-4e48-9e2f-336649101992</v>
      </c>
      <c r="I286" s="4" t="str">
        <f>IFERROR(__xludf.DUMMYFUNCTION("""COMPUTED_VALUE"""),"0c04eae5-3135-4e48-9e2f-336649101992")</f>
        <v>0c04eae5-3135-4e48-9e2f-336649101992</v>
      </c>
    </row>
    <row r="287">
      <c r="A287" s="4" t="str">
        <f>IFERROR(__xludf.DUMMYFUNCTION("""COMPUTED_VALUE"""),"Financing SMEs in fast growing economies")</f>
        <v>Financing SMEs in fast growing economies</v>
      </c>
      <c r="B287" s="4" t="str">
        <f>IFERROR(__xludf.DUMMYFUNCTION("""COMPUTED_VALUE"""),"The SME credit gap is over $5 trillion worldwide. However, using its Sardis technology, Lidya solves this problem by using over 100 data points to disburse credit to SMEs in Eastern Europe and West Africa through an easy and inspiring lending process.")</f>
        <v>The SME credit gap is over $5 trillion worldwide. However, using its Sardis technology, Lidya solves this problem by using over 100 data points to disburse credit to SMEs in Eastern Europe and West Africa through an easy and inspiring lending process.</v>
      </c>
      <c r="C287" s="4" t="str">
        <f>IFERROR(__xludf.DUMMYFUNCTION("""COMPUTED_VALUE"""),"Growth Summit")</f>
        <v>Growth Summit</v>
      </c>
      <c r="D287" s="4" t="str">
        <f>IFERROR(__xludf.DUMMYFUNCTION("""COMPUTED_VALUE"""),"Tunde Kehinde")</f>
        <v>Tunde Kehinde</v>
      </c>
      <c r="E287" s="4" t="str">
        <f>IFERROR(__xludf.DUMMYFUNCTION("""COMPUTED_VALUE"""),"Tunde Kehinde")</f>
        <v>Tunde Kehinde</v>
      </c>
      <c r="F287" s="4" t="str">
        <f>IFERROR(__xludf.DUMMYFUNCTION("""COMPUTED_VALUE"""),"2019/11/05 10:26:00")</f>
        <v>2019/11/05 10:26:00</v>
      </c>
      <c r="G287" s="4" t="str">
        <f>IFERROR(__xludf.DUMMYFUNCTION("""COMPUTED_VALUE"""),"2019/11/05 10:30:00")</f>
        <v>2019/11/05 10:30:00</v>
      </c>
      <c r="H287" s="4" t="str">
        <f>IFERROR(__xludf.DUMMYFUNCTION("""COMPUTED_VALUE"""),"e38fa0e6-4127-40dc-a098-51180b1a1fcb")</f>
        <v>e38fa0e6-4127-40dc-a098-51180b1a1fcb</v>
      </c>
      <c r="I287" s="4" t="str">
        <f>IFERROR(__xludf.DUMMYFUNCTION("""COMPUTED_VALUE"""),"e38fa0e6-4127-40dc-a098-51180b1a1fcb")</f>
        <v>e38fa0e6-4127-40dc-a098-51180b1a1fcb</v>
      </c>
    </row>
    <row r="288">
      <c r="A288" s="4" t="str">
        <f>IFERROR(__xludf.DUMMYFUNCTION("""COMPUTED_VALUE"""),"The right way to blow the whistle")</f>
        <v>The right way to blow the whistle</v>
      </c>
      <c r="B288" s="4" t="str">
        <f>IFERROR(__xludf.DUMMYFUNCTION("""COMPUTED_VALUE"""),"Whistleblowing takes a lot of courage. Standing against a powerful organisation to reveal wrongdoing is never easy. The legal procedures can be a labyrinth, and going around those procedures can lead to jail time and persecution. In this session we hear f"&amp;"rom a man who not only blew the whistle, legally, but now works to make it easier for others to do the same")</f>
        <v>Whistleblowing takes a lot of courage. Standing against a powerful organisation to reveal wrongdoing is never easy. The legal procedures can be a labyrinth, and going around those procedures can lead to jail time and persecution. In this session we hear from a man who not only blew the whistle, legally, but now works to make it easier for others to do the same</v>
      </c>
      <c r="C288" s="4" t="str">
        <f>IFERROR(__xludf.DUMMYFUNCTION("""COMPUTED_VALUE"""),"Future Societies")</f>
        <v>Future Societies</v>
      </c>
      <c r="D288" s="4" t="str">
        <f>IFERROR(__xludf.DUMMYFUNCTION("""COMPUTED_VALUE"""),"John Tye and Ryan Broderick")</f>
        <v>John Tye and Ryan Broderick</v>
      </c>
      <c r="E288" s="4" t="str">
        <f>IFERROR(__xludf.DUMMYFUNCTION("""COMPUTED_VALUE"""),"John Tye,Ryan Broderick")</f>
        <v>John Tye,Ryan Broderick</v>
      </c>
      <c r="F288" s="4" t="str">
        <f>IFERROR(__xludf.DUMMYFUNCTION("""COMPUTED_VALUE"""),"2019/11/06 11:30:00")</f>
        <v>2019/11/06 11:30:00</v>
      </c>
      <c r="G288" s="4" t="str">
        <f>IFERROR(__xludf.DUMMYFUNCTION("""COMPUTED_VALUE"""),"2019/11/06 11:50:00")</f>
        <v>2019/11/06 11:50:00</v>
      </c>
      <c r="H288" s="4" t="str">
        <f>IFERROR(__xludf.DUMMYFUNCTION("""COMPUTED_VALUE"""),"f9a27453-a1e9-457d-a961-25a01d9b579c")</f>
        <v>f9a27453-a1e9-457d-a961-25a01d9b579c</v>
      </c>
      <c r="I288" s="4" t="str">
        <f>IFERROR(__xludf.DUMMYFUNCTION("""COMPUTED_VALUE"""),"f9a27453-a1e9-457d-a961-25a01d9b579c")</f>
        <v>f9a27453-a1e9-457d-a961-25a01d9b579c</v>
      </c>
    </row>
    <row r="289">
      <c r="A289" s="4" t="str">
        <f>IFERROR(__xludf.DUMMYFUNCTION("""COMPUTED_VALUE"""),"Breakout startups group 1")</f>
        <v>Breakout startups group 1</v>
      </c>
      <c r="B289" s="4" t="str">
        <f>IFERROR(__xludf.DUMMYFUNCTION("""COMPUTED_VALUE"""),"Are these the startups everyone will be talking about in 2020? Dozens of the world’s leading investors think so. Get ready to see and hear from some of the world’s most exciting early-stage startups. ")</f>
        <v>Are these the startups everyone will be talking about in 2020? Dozens of the world’s leading investors think so. Get ready to see and hear from some of the world’s most exciting early-stage startups. </v>
      </c>
      <c r="C289" s="4" t="str">
        <f>IFERROR(__xludf.DUMMYFUNCTION("""COMPUTED_VALUE"""),"Centre Stage")</f>
        <v>Centre Stage</v>
      </c>
      <c r="D289" s="4" t="str">
        <f>IFERROR(__xludf.DUMMYFUNCTION("""COMPUTED_VALUE"""),"Luisa Lima, Veronika Riederle, Andre Jordao, Nils Henning, Shane Curran, Alina Lapusneanu, Dee Coakley, Sarah Sandnes, Jaleh Rezaei, Sunil Sharma and Casey Lau")</f>
        <v>Luisa Lima, Veronika Riederle, Andre Jordao, Nils Henning, Shane Curran, Alina Lapusneanu, Dee Coakley, Sarah Sandnes, Jaleh Rezaei, Sunil Sharma and Casey Lau</v>
      </c>
      <c r="E289" s="4" t="str">
        <f>IFERROR(__xludf.DUMMYFUNCTION("""COMPUTED_VALUE"""),"Luisa Lima,Veronika Riederle,Andre Jordao,Nils Henning,Shane Curran,Alina Lapusneanu,Dee Coakley,Sarah Sandnes,Jaleh Rezaei,Sunil Sharma,Casey Lau")</f>
        <v>Luisa Lima,Veronika Riederle,Andre Jordao,Nils Henning,Shane Curran,Alina Lapusneanu,Dee Coakley,Sarah Sandnes,Jaleh Rezaei,Sunil Sharma,Casey Lau</v>
      </c>
      <c r="F289" s="4" t="str">
        <f>IFERROR(__xludf.DUMMYFUNCTION("""COMPUTED_VALUE"""),"2019/11/04 17:00:00")</f>
        <v>2019/11/04 17:00:00</v>
      </c>
      <c r="G289" s="4" t="str">
        <f>IFERROR(__xludf.DUMMYFUNCTION("""COMPUTED_VALUE"""),"2019/11/04 17:50:00")</f>
        <v>2019/11/04 17:50:00</v>
      </c>
      <c r="H289" s="4" t="str">
        <f>IFERROR(__xludf.DUMMYFUNCTION("""COMPUTED_VALUE"""),"2e2a8609-5c87-41df-bcce-3724875785f9")</f>
        <v>2e2a8609-5c87-41df-bcce-3724875785f9</v>
      </c>
      <c r="I289" s="4" t="str">
        <f>IFERROR(__xludf.DUMMYFUNCTION("""COMPUTED_VALUE"""),"2e2a8609-5c87-41df-bcce-3724875785f9")</f>
        <v>2e2a8609-5c87-41df-bcce-3724875785f9</v>
      </c>
    </row>
    <row r="290">
      <c r="A290" s="4" t="str">
        <f>IFERROR(__xludf.DUMMYFUNCTION("""COMPUTED_VALUE"""),"PITCH quarterfinal 1")</f>
        <v>PITCH quarterfinal 1</v>
      </c>
      <c r="B290" s="4" t="str">
        <f>IFERROR(__xludf.DUMMYFUNCTION("""COMPUTED_VALUE"""),"")</f>
        <v/>
      </c>
      <c r="C290" s="4" t="str">
        <f>IFERROR(__xludf.DUMMYFUNCTION("""COMPUTED_VALUE"""),"")</f>
        <v/>
      </c>
      <c r="D290" s="4" t="str">
        <f>IFERROR(__xludf.DUMMYFUNCTION("""COMPUTED_VALUE"""),"
Diana Lace,  Rouven Dresselhaus,  Rouven Dresselhaus,  David Meltzer,  Andre Retterath and  Joakim Dal")</f>
        <v>
Diana Lace,  Rouven Dresselhaus,  Rouven Dresselhaus,  David Meltzer,  Andre Retterath and  Joakim Dal</v>
      </c>
      <c r="E290" s="4" t="str">
        <f>IFERROR(__xludf.DUMMYFUNCTION("""COMPUTED_VALUE"""),"
Diana Lace, Rouven Dresselhaus, Rouven Dresselhaus, David Meltzer, Andre Retterath, Joakim Dal")</f>
        <v>
Diana Lace, Rouven Dresselhaus, Rouven Dresselhaus, David Meltzer, Andre Retterath, Joakim Dal</v>
      </c>
      <c r="F290" s="4" t="str">
        <f>IFERROR(__xludf.DUMMYFUNCTION("""COMPUTED_VALUE"""),"")</f>
        <v/>
      </c>
      <c r="G290" s="4" t="str">
        <f>IFERROR(__xludf.DUMMYFUNCTION("""COMPUTED_VALUE"""),"")</f>
        <v/>
      </c>
      <c r="H290" s="4" t="str">
        <f>IFERROR(__xludf.DUMMYFUNCTION("""COMPUTED_VALUE"""),"f3ad21d7-3bc0-5ee7-bf56-ca5e4700174e")</f>
        <v>f3ad21d7-3bc0-5ee7-bf56-ca5e4700174e</v>
      </c>
      <c r="I290" s="4" t="str">
        <f>IFERROR(__xludf.DUMMYFUNCTION("""COMPUTED_VALUE"""),"f3ad21d7-3bc0-5ee7-bf56-ca5e4700174e")</f>
        <v>f3ad21d7-3bc0-5ee7-bf56-ca5e4700174e</v>
      </c>
    </row>
    <row r="291">
      <c r="A291" s="4" t="str">
        <f>IFERROR(__xludf.DUMMYFUNCTION("""COMPUTED_VALUE"""),"Q&amp;A with Akon")</f>
        <v>Q&amp;A with Akon</v>
      </c>
      <c r="B291" s="4" t="str">
        <f>IFERROR(__xludf.DUMMYFUNCTION("""COMPUTED_VALUE"""),"")</f>
        <v/>
      </c>
      <c r="C291" s="4" t="str">
        <f>IFERROR(__xludf.DUMMYFUNCTION("""COMPUTED_VALUE"""),"Q + A")</f>
        <v>Q + A</v>
      </c>
      <c r="D291" s="4" t="str">
        <f>IFERROR(__xludf.DUMMYFUNCTION("""COMPUTED_VALUE""")," ")</f>
        <v> </v>
      </c>
      <c r="E291" s="4" t="str">
        <f>IFERROR(__xludf.DUMMYFUNCTION("""COMPUTED_VALUE""")," ")</f>
        <v> </v>
      </c>
      <c r="F291" s="4" t="str">
        <f>IFERROR(__xludf.DUMMYFUNCTION("""COMPUTED_VALUE"""),"2019/11/06 14:45:00")</f>
        <v>2019/11/06 14:45:00</v>
      </c>
      <c r="G291" s="4" t="str">
        <f>IFERROR(__xludf.DUMMYFUNCTION("""COMPUTED_VALUE"""),"2019/11/06 15:00:00")</f>
        <v>2019/11/06 15:00:00</v>
      </c>
      <c r="H291" s="4" t="str">
        <f>IFERROR(__xludf.DUMMYFUNCTION("""COMPUTED_VALUE"""),"ef6486a8-16dc-450c-a7b1-c67f9f7210a2")</f>
        <v>ef6486a8-16dc-450c-a7b1-c67f9f7210a2</v>
      </c>
      <c r="I291" s="4" t="str">
        <f>IFERROR(__xludf.DUMMYFUNCTION("""COMPUTED_VALUE"""),"ef6486a8-16dc-450c-a7b1-c67f9f7210a2")</f>
        <v>ef6486a8-16dc-450c-a7b1-c67f9f7210a2</v>
      </c>
    </row>
    <row r="292">
      <c r="A292" s="4" t="str">
        <f>IFERROR(__xludf.DUMMYFUNCTION("""COMPUTED_VALUE"""),"Avon's digital makeover")</f>
        <v>Avon's digital makeover</v>
      </c>
      <c r="B292" s="4" t="str">
        <f>IFERROR(__xludf.DUMMYFUNCTION("""COMPUTED_VALUE"""),"Avon is the iconic platform through which tens of thousands of micro-entrepreneurs distribute hundreds of millions of beauty and cosmetic products across the world. Join Benedetto, Avon's Group Digital Officer, to learn how the company is using tech for g"&amp;"rowth.")</f>
        <v>Avon is the iconic platform through which tens of thousands of micro-entrepreneurs distribute hundreds of millions of beauty and cosmetic products across the world. Join Benedetto, Avon's Group Digital Officer, to learn how the company is using tech for growth.</v>
      </c>
      <c r="C292" s="4" t="str">
        <f>IFERROR(__xludf.DUMMYFUNCTION("""COMPUTED_VALUE"""),"Corporate Innovation Summit")</f>
        <v>Corporate Innovation Summit</v>
      </c>
      <c r="D292" s="4" t="str">
        <f>IFERROR(__xludf.DUMMYFUNCTION("""COMPUTED_VALUE"""),"Benedetto Conversano and Bruno Guicardi")</f>
        <v>Benedetto Conversano and Bruno Guicardi</v>
      </c>
      <c r="E292" s="4" t="str">
        <f>IFERROR(__xludf.DUMMYFUNCTION("""COMPUTED_VALUE"""),"Benedetto Conversano,Bruno Guicardi")</f>
        <v>Benedetto Conversano,Bruno Guicardi</v>
      </c>
      <c r="F292" s="4" t="str">
        <f>IFERROR(__xludf.DUMMYFUNCTION("""COMPUTED_VALUE"""),"2019/11/06 11:05:00")</f>
        <v>2019/11/06 11:05:00</v>
      </c>
      <c r="G292" s="4" t="str">
        <f>IFERROR(__xludf.DUMMYFUNCTION("""COMPUTED_VALUE"""),"2019/11/06 11:25:00")</f>
        <v>2019/11/06 11:25:00</v>
      </c>
      <c r="H292" s="4" t="str">
        <f>IFERROR(__xludf.DUMMYFUNCTION("""COMPUTED_VALUE"""),"e7eecd57-22eb-44a9-8cf7-a5d270877bde")</f>
        <v>e7eecd57-22eb-44a9-8cf7-a5d270877bde</v>
      </c>
      <c r="I292" s="4" t="str">
        <f>IFERROR(__xludf.DUMMYFUNCTION("""COMPUTED_VALUE"""),"e7eecd57-22eb-44a9-8cf7-a5d270877bde")</f>
        <v>e7eecd57-22eb-44a9-8cf7-a5d270877bde</v>
      </c>
    </row>
    <row r="293">
      <c r="A293" s="4" t="str">
        <f>IFERROR(__xludf.DUMMYFUNCTION("""COMPUTED_VALUE"""),"What if your startup was a body?")</f>
        <v>What if your startup was a body?</v>
      </c>
      <c r="B293" s="4" t="str">
        <f>IFERROR(__xludf.DUMMYFUNCTION("""COMPUTED_VALUE"""),"The foundation of a company and how to scale a human organisation.")</f>
        <v>The foundation of a company and how to scale a human organisation.</v>
      </c>
      <c r="C293" s="4" t="str">
        <f>IFERROR(__xludf.DUMMYFUNCTION("""COMPUTED_VALUE"""),"Growth Summit")</f>
        <v>Growth Summit</v>
      </c>
      <c r="D293" s="4" t="str">
        <f>IFERROR(__xludf.DUMMYFUNCTION("""COMPUTED_VALUE"""),"Federico Mattia Dolci")</f>
        <v>Federico Mattia Dolci</v>
      </c>
      <c r="E293" s="4" t="str">
        <f>IFERROR(__xludf.DUMMYFUNCTION("""COMPUTED_VALUE"""),"Federico Mattia Dolci")</f>
        <v>Federico Mattia Dolci</v>
      </c>
      <c r="F293" s="4" t="str">
        <f>IFERROR(__xludf.DUMMYFUNCTION("""COMPUTED_VALUE"""),"2019/11/07 10:06:00")</f>
        <v>2019/11/07 10:06:00</v>
      </c>
      <c r="G293" s="4" t="str">
        <f>IFERROR(__xludf.DUMMYFUNCTION("""COMPUTED_VALUE"""),"2019/11/07 10:10:00")</f>
        <v>2019/11/07 10:10:00</v>
      </c>
      <c r="H293" s="4" t="str">
        <f>IFERROR(__xludf.DUMMYFUNCTION("""COMPUTED_VALUE"""),"eda7e768-0a8a-48b1-b7a8-86121c08f575")</f>
        <v>eda7e768-0a8a-48b1-b7a8-86121c08f575</v>
      </c>
      <c r="I293" s="4" t="str">
        <f>IFERROR(__xludf.DUMMYFUNCTION("""COMPUTED_VALUE"""),"eda7e768-0a8a-48b1-b7a8-86121c08f575")</f>
        <v>eda7e768-0a8a-48b1-b7a8-86121c08f575</v>
      </c>
    </row>
    <row r="294">
      <c r="A294" s="4" t="str">
        <f>IFERROR(__xludf.DUMMYFUNCTION("""COMPUTED_VALUE"""),"AI is recession-proof")</f>
        <v>AI is recession-proof</v>
      </c>
      <c r="B294" s="4" t="str">
        <f>IFERROR(__xludf.DUMMYFUNCTION("""COMPUTED_VALUE"""),"AI has the capability to create efficiencies, improve business processes and drive growth immediately. Amidst warnings of a global recession, join this talk as Jeff explains what makes AI recession-proof. ")</f>
        <v>AI has the capability to create efficiencies, improve business processes and drive growth immediately. Amidst warnings of a global recession, join this talk as Jeff explains what makes AI recession-proof. </v>
      </c>
      <c r="C294" s="4" t="str">
        <f>IFERROR(__xludf.DUMMYFUNCTION("""COMPUTED_VALUE"""),"Corporate Innovation Summit")</f>
        <v>Corporate Innovation Summit</v>
      </c>
      <c r="D294" s="4" t="str">
        <f>IFERROR(__xludf.DUMMYFUNCTION("""COMPUTED_VALUE"""),"Jeff Wong")</f>
        <v>Jeff Wong</v>
      </c>
      <c r="E294" s="4" t="str">
        <f>IFERROR(__xludf.DUMMYFUNCTION("""COMPUTED_VALUE"""),"Jeff Wong")</f>
        <v>Jeff Wong</v>
      </c>
      <c r="F294" s="4" t="str">
        <f>IFERROR(__xludf.DUMMYFUNCTION("""COMPUTED_VALUE"""),"2019/11/06 12:25:00")</f>
        <v>2019/11/06 12:25:00</v>
      </c>
      <c r="G294" s="4" t="str">
        <f>IFERROR(__xludf.DUMMYFUNCTION("""COMPUTED_VALUE"""),"2019/11/06 12:40:00")</f>
        <v>2019/11/06 12:40:00</v>
      </c>
      <c r="H294" s="4" t="str">
        <f>IFERROR(__xludf.DUMMYFUNCTION("""COMPUTED_VALUE"""),"0356687d-90c2-43df-8c45-c8baeaf6e765")</f>
        <v>0356687d-90c2-43df-8c45-c8baeaf6e765</v>
      </c>
      <c r="I294" s="4" t="str">
        <f>IFERROR(__xludf.DUMMYFUNCTION("""COMPUTED_VALUE"""),"0356687d-90c2-43df-8c45-c8baeaf6e765")</f>
        <v>0356687d-90c2-43df-8c45-c8baeaf6e765</v>
      </c>
    </row>
    <row r="295">
      <c r="A295" s="4" t="str">
        <f>IFERROR(__xludf.DUMMYFUNCTION("""COMPUTED_VALUE"""),"The true meaning of free trade")</f>
        <v>The true meaning of free trade</v>
      </c>
      <c r="B295" s="4" t="str">
        <f>IFERROR(__xludf.DUMMYFUNCTION("""COMPUTED_VALUE"""),"Gert Sylvest, Tradeshift Inc, in conversation with Don Clark, discuss global trade accessibility issues and how the SaaS industry can help to solve these problems.")</f>
        <v>Gert Sylvest, Tradeshift Inc, in conversation with Don Clark, discuss global trade accessibility issues and how the SaaS industry can help to solve these problems.</v>
      </c>
      <c r="C295" s="4" t="str">
        <f>IFERROR(__xludf.DUMMYFUNCTION("""COMPUTED_VALUE"""),"SaaS Monster")</f>
        <v>SaaS Monster</v>
      </c>
      <c r="D295" s="4" t="str">
        <f>IFERROR(__xludf.DUMMYFUNCTION("""COMPUTED_VALUE"""),"Gert Sylvest and Don Clark")</f>
        <v>Gert Sylvest and Don Clark</v>
      </c>
      <c r="E295" s="4" t="str">
        <f>IFERROR(__xludf.DUMMYFUNCTION("""COMPUTED_VALUE"""),"Gert Sylvest,Don Clark")</f>
        <v>Gert Sylvest,Don Clark</v>
      </c>
      <c r="F295" s="4" t="str">
        <f>IFERROR(__xludf.DUMMYFUNCTION("""COMPUTED_VALUE"""),"2019/11/05 14:45:00")</f>
        <v>2019/11/05 14:45:00</v>
      </c>
      <c r="G295" s="4" t="str">
        <f>IFERROR(__xludf.DUMMYFUNCTION("""COMPUTED_VALUE"""),"2019/11/05 15:05:00")</f>
        <v>2019/11/05 15:05:00</v>
      </c>
      <c r="H295" s="4" t="str">
        <f>IFERROR(__xludf.DUMMYFUNCTION("""COMPUTED_VALUE"""),"42510510-abbe-4a6c-bb0e-e70f1ad98e55")</f>
        <v>42510510-abbe-4a6c-bb0e-e70f1ad98e55</v>
      </c>
      <c r="I295" s="4" t="str">
        <f>IFERROR(__xludf.DUMMYFUNCTION("""COMPUTED_VALUE"""),"42510510-abbe-4a6c-bb0e-e70f1ad98e55")</f>
        <v>42510510-abbe-4a6c-bb0e-e70f1ad98e55</v>
      </c>
    </row>
    <row r="296">
      <c r="A296" s="4" t="str">
        <f>IFERROR(__xludf.DUMMYFUNCTION("""COMPUTED_VALUE"""),"Evolution through courageous choices")</f>
        <v>Evolution through courageous choices</v>
      </c>
      <c r="B296" s="4" t="str">
        <f>IFERROR(__xludf.DUMMYFUNCTION("""COMPUTED_VALUE"""),"Jeroen Tas, Chief Innovation &amp; Strategy Officer at Philips, will discuss the transformation of Philips into a focused health technology company aimed to improve the lives of 3 billion people by 2030. Jeroen will outline the strategies that will make the w"&amp;"orld more healthy &amp; sustainable.")</f>
        <v>Jeroen Tas, Chief Innovation &amp; Strategy Officer at Philips, will discuss the transformation of Philips into a focused health technology company aimed to improve the lives of 3 billion people by 2030. Jeroen will outline the strategies that will make the world more healthy &amp; sustainable.</v>
      </c>
      <c r="C296" s="4" t="str">
        <f>IFERROR(__xludf.DUMMYFUNCTION("""COMPUTED_VALUE"""),"Corporate Innovation Summit")</f>
        <v>Corporate Innovation Summit</v>
      </c>
      <c r="D296" s="4" t="str">
        <f>IFERROR(__xludf.DUMMYFUNCTION("""COMPUTED_VALUE"""),"Jeroen Tas")</f>
        <v>Jeroen Tas</v>
      </c>
      <c r="E296" s="4" t="str">
        <f>IFERROR(__xludf.DUMMYFUNCTION("""COMPUTED_VALUE"""),"Jeroen Tas")</f>
        <v>Jeroen Tas</v>
      </c>
      <c r="F296" s="4" t="str">
        <f>IFERROR(__xludf.DUMMYFUNCTION("""COMPUTED_VALUE"""),"2019/11/07 15:20:00")</f>
        <v>2019/11/07 15:20:00</v>
      </c>
      <c r="G296" s="4" t="str">
        <f>IFERROR(__xludf.DUMMYFUNCTION("""COMPUTED_VALUE"""),"2019/11/07 15:35:00")</f>
        <v>2019/11/07 15:35:00</v>
      </c>
      <c r="H296" s="4" t="str">
        <f>IFERROR(__xludf.DUMMYFUNCTION("""COMPUTED_VALUE"""),"2d0c7b07-11fc-414f-a6b6-65f15b697eb4")</f>
        <v>2d0c7b07-11fc-414f-a6b6-65f15b697eb4</v>
      </c>
      <c r="I296" s="4" t="str">
        <f>IFERROR(__xludf.DUMMYFUNCTION("""COMPUTED_VALUE"""),"2d0c7b07-11fc-414f-a6b6-65f15b697eb4")</f>
        <v>2d0c7b07-11fc-414f-a6b6-65f15b697eb4</v>
      </c>
    </row>
    <row r="297">
      <c r="A297" s="4" t="str">
        <f>IFERROR(__xludf.DUMMYFUNCTION("""COMPUTED_VALUE"""),"Advancing privacy for users at Google and across the industry")</f>
        <v>Advancing privacy for users at Google and across the industry</v>
      </c>
      <c r="B297" s="4" t="str">
        <f>IFERROR(__xludf.DUMMYFUNCTION("""COMPUTED_VALUE"""),"In this talk, discover some of Google’s privacy-enhancing engineering efforts and what we learned along the way. This session will explore how recent technological advancements have advanced the state of the art and open new possibilities for privacy by d"&amp;"esign. Learn how to think outside the box and hear about best practices for your industry with privacy by default built-in.")</f>
        <v>In this talk, discover some of Google’s privacy-enhancing engineering efforts and what we learned along the way. This session will explore how recent technological advancements have advanced the state of the art and open new possibilities for privacy by design. Learn how to think outside the box and hear about best practices for your industry with privacy by default built-in.</v>
      </c>
      <c r="C297" s="4" t="str">
        <f>IFERROR(__xludf.DUMMYFUNCTION("""COMPUTED_VALUE"""),"FullSTK")</f>
        <v>FullSTK</v>
      </c>
      <c r="D297" s="4" t="str">
        <f>IFERROR(__xludf.DUMMYFUNCTION("""COMPUTED_VALUE"""),"Stephan Micklitz")</f>
        <v>Stephan Micklitz</v>
      </c>
      <c r="E297" s="4" t="str">
        <f>IFERROR(__xludf.DUMMYFUNCTION("""COMPUTED_VALUE"""),"Stephan Micklitz")</f>
        <v>Stephan Micklitz</v>
      </c>
      <c r="F297" s="4" t="str">
        <f>IFERROR(__xludf.DUMMYFUNCTION("""COMPUTED_VALUE"""),"2019/11/07 13:15:00")</f>
        <v>2019/11/07 13:15:00</v>
      </c>
      <c r="G297" s="4" t="str">
        <f>IFERROR(__xludf.DUMMYFUNCTION("""COMPUTED_VALUE"""),"2019/11/07 13:35:00")</f>
        <v>2019/11/07 13:35:00</v>
      </c>
      <c r="H297" s="4" t="str">
        <f>IFERROR(__xludf.DUMMYFUNCTION("""COMPUTED_VALUE"""),"e528c4a9-0d87-4472-b5c2-3de9c887a823")</f>
        <v>e528c4a9-0d87-4472-b5c2-3de9c887a823</v>
      </c>
      <c r="I297" s="4" t="str">
        <f>IFERROR(__xludf.DUMMYFUNCTION("""COMPUTED_VALUE"""),"e528c4a9-0d87-4472-b5c2-3de9c887a823")</f>
        <v>e528c4a9-0d87-4472-b5c2-3de9c887a823</v>
      </c>
    </row>
    <row r="298">
      <c r="A298" s="4" t="str">
        <f>IFERROR(__xludf.DUMMYFUNCTION("""COMPUTED_VALUE"""),"Trust as a driver for growth: How to use a disaster in your favour")</f>
        <v>Trust as a driver for growth: How to use a disaster in your favour</v>
      </c>
      <c r="B298" s="4" t="str">
        <f>IFERROR(__xludf.DUMMYFUNCTION("""COMPUTED_VALUE"""),"Co-founder of Bitwala, Benjamin will discuss how version one was forced offline when two partners fell through. Rather than giving up, he'll explain how they handled the situation in a way that acted as a springboard for the launch of Bitwala 2.0.")</f>
        <v>Co-founder of Bitwala, Benjamin will discuss how version one was forced offline when two partners fell through. Rather than giving up, he'll explain how they handled the situation in a way that acted as a springboard for the launch of Bitwala 2.0.</v>
      </c>
      <c r="C298" s="4" t="str">
        <f>IFERROR(__xludf.DUMMYFUNCTION("""COMPUTED_VALUE"""),"Growth Summit")</f>
        <v>Growth Summit</v>
      </c>
      <c r="D298" s="4" t="str">
        <f>IFERROR(__xludf.DUMMYFUNCTION("""COMPUTED_VALUE"""),"Ben Jones")</f>
        <v>Ben Jones</v>
      </c>
      <c r="E298" s="4" t="str">
        <f>IFERROR(__xludf.DUMMYFUNCTION("""COMPUTED_VALUE"""),"Ben Jones")</f>
        <v>Ben Jones</v>
      </c>
      <c r="F298" s="4" t="str">
        <f>IFERROR(__xludf.DUMMYFUNCTION("""COMPUTED_VALUE"""),"2019/11/05 10:46:00")</f>
        <v>2019/11/05 10:46:00</v>
      </c>
      <c r="G298" s="4" t="str">
        <f>IFERROR(__xludf.DUMMYFUNCTION("""COMPUTED_VALUE"""),"2019/11/05 10:50:00")</f>
        <v>2019/11/05 10:50:00</v>
      </c>
      <c r="H298" s="4" t="str">
        <f>IFERROR(__xludf.DUMMYFUNCTION("""COMPUTED_VALUE"""),"aa39d378-3d01-4b2a-be7b-cde7bfa84f91")</f>
        <v>aa39d378-3d01-4b2a-be7b-cde7bfa84f91</v>
      </c>
      <c r="I298" s="4" t="str">
        <f>IFERROR(__xludf.DUMMYFUNCTION("""COMPUTED_VALUE"""),"aa39d378-3d01-4b2a-be7b-cde7bfa84f91")</f>
        <v>aa39d378-3d01-4b2a-be7b-cde7bfa84f91</v>
      </c>
    </row>
    <row r="299">
      <c r="A299" s="4" t="str">
        <f>IFERROR(__xludf.DUMMYFUNCTION("""COMPUTED_VALUE"""),"Strategy and soul: Creating MuleSoft ")</f>
        <v>Strategy and soul: Creating MuleSoft </v>
      </c>
      <c r="B299" s="4" t="str">
        <f>IFERROR(__xludf.DUMMYFUNCTION("""COMPUTED_VALUE"""),"We talk to one of tech's leading founders about the state of the industry, investment trends, how to build an inspiring culture and more.")</f>
        <v>We talk to one of tech's leading founders about the state of the industry, investment trends, how to build an inspiring culture and more.</v>
      </c>
      <c r="C299" s="4" t="str">
        <f>IFERROR(__xludf.DUMMYFUNCTION("""COMPUTED_VALUE"""),"Startup University")</f>
        <v>Startup University</v>
      </c>
      <c r="D299" s="4" t="str">
        <f>IFERROR(__xludf.DUMMYFUNCTION("""COMPUTED_VALUE"""),"Ross Mason and Rosie Kropp")</f>
        <v>Ross Mason and Rosie Kropp</v>
      </c>
      <c r="E299" s="4" t="str">
        <f>IFERROR(__xludf.DUMMYFUNCTION("""COMPUTED_VALUE"""),"Ross Mason,Rosie Kropp")</f>
        <v>Ross Mason,Rosie Kropp</v>
      </c>
      <c r="F299" s="4" t="str">
        <f>IFERROR(__xludf.DUMMYFUNCTION("""COMPUTED_VALUE"""),"2019/11/05 15:05:00")</f>
        <v>2019/11/05 15:05:00</v>
      </c>
      <c r="G299" s="4" t="str">
        <f>IFERROR(__xludf.DUMMYFUNCTION("""COMPUTED_VALUE"""),"2019/11/05 15:25:00")</f>
        <v>2019/11/05 15:25:00</v>
      </c>
      <c r="H299" s="4" t="str">
        <f>IFERROR(__xludf.DUMMYFUNCTION("""COMPUTED_VALUE"""),"4db2908f-6445-4549-9a3c-d872c15a2c68")</f>
        <v>4db2908f-6445-4549-9a3c-d872c15a2c68</v>
      </c>
      <c r="I299" s="4" t="str">
        <f>IFERROR(__xludf.DUMMYFUNCTION("""COMPUTED_VALUE"""),"4db2908f-6445-4549-9a3c-d872c15a2c68")</f>
        <v>4db2908f-6445-4549-9a3c-d872c15a2c68</v>
      </c>
    </row>
    <row r="300">
      <c r="A300" s="4" t="str">
        <f>IFERROR(__xludf.DUMMYFUNCTION("""COMPUTED_VALUE"""),"Changing the world 1% at a time")</f>
        <v>Changing the world 1% at a time</v>
      </c>
      <c r="B300" s="4" t="str">
        <f>IFERROR(__xludf.DUMMYFUNCTION("""COMPUTED_VALUE"""),"")</f>
        <v/>
      </c>
      <c r="C300" s="4" t="str">
        <f>IFERROR(__xludf.DUMMYFUNCTION("""COMPUTED_VALUE"""),"Centre Stage")</f>
        <v>Centre Stage</v>
      </c>
      <c r="D300" s="4" t="str">
        <f>IFERROR(__xludf.DUMMYFUNCTION("""COMPUTED_VALUE"""),"Eric Cantona and Jürgen Griesbeck")</f>
        <v>Eric Cantona and Jürgen Griesbeck</v>
      </c>
      <c r="E300" s="4" t="str">
        <f>IFERROR(__xludf.DUMMYFUNCTION("""COMPUTED_VALUE"""),"Eric Cantona,Jürgen Griesbeck")</f>
        <v>Eric Cantona,Jürgen Griesbeck</v>
      </c>
      <c r="F300" s="4" t="str">
        <f>IFERROR(__xludf.DUMMYFUNCTION("""COMPUTED_VALUE"""),"2019/11/05 16:25:00")</f>
        <v>2019/11/05 16:25:00</v>
      </c>
      <c r="G300" s="4" t="str">
        <f>IFERROR(__xludf.DUMMYFUNCTION("""COMPUTED_VALUE"""),"2019/11/05 16:40:00")</f>
        <v>2019/11/05 16:40:00</v>
      </c>
      <c r="H300" s="4" t="str">
        <f>IFERROR(__xludf.DUMMYFUNCTION("""COMPUTED_VALUE"""),"6b0de29c-adf7-41cc-bacf-9d6c24de379b")</f>
        <v>6b0de29c-adf7-41cc-bacf-9d6c24de379b</v>
      </c>
      <c r="I300" s="4" t="str">
        <f>IFERROR(__xludf.DUMMYFUNCTION("""COMPUTED_VALUE"""),"6b0de29c-adf7-41cc-bacf-9d6c24de379b")</f>
        <v>6b0de29c-adf7-41cc-bacf-9d6c24de379b</v>
      </c>
    </row>
    <row r="301">
      <c r="A301" s="4" t="str">
        <f>IFERROR(__xludf.DUMMYFUNCTION("""COMPUTED_VALUE"""),"View from the kingdom")</f>
        <v>View from the kingdom</v>
      </c>
      <c r="B301" s="4" t="str">
        <f>IFERROR(__xludf.DUMMYFUNCTION("""COMPUTED_VALUE"""),"In this talk, hear from the new president of King on mobile gaming and what's next for the Candy Crush creators. ")</f>
        <v>In this talk, hear from the new president of King on mobile gaming and what's next for the Candy Crush creators. </v>
      </c>
      <c r="C301" s="4" t="str">
        <f>IFERROR(__xludf.DUMMYFUNCTION("""COMPUTED_VALUE"""),"ContentMakers")</f>
        <v>ContentMakers</v>
      </c>
      <c r="D301" s="4" t="str">
        <f>IFERROR(__xludf.DUMMYFUNCTION("""COMPUTED_VALUE"""),"Humam Sakhnini and Dave Thier")</f>
        <v>Humam Sakhnini and Dave Thier</v>
      </c>
      <c r="E301" s="4" t="str">
        <f>IFERROR(__xludf.DUMMYFUNCTION("""COMPUTED_VALUE"""),"Humam Sakhnini,Dave Thier")</f>
        <v>Humam Sakhnini,Dave Thier</v>
      </c>
      <c r="F301" s="4" t="str">
        <f>IFERROR(__xludf.DUMMYFUNCTION("""COMPUTED_VALUE"""),"2019/11/06 12:10:00")</f>
        <v>2019/11/06 12:10:00</v>
      </c>
      <c r="G301" s="4" t="str">
        <f>IFERROR(__xludf.DUMMYFUNCTION("""COMPUTED_VALUE"""),"2019/11/06 12:30:00")</f>
        <v>2019/11/06 12:30:00</v>
      </c>
      <c r="H301" s="4" t="str">
        <f>IFERROR(__xludf.DUMMYFUNCTION("""COMPUTED_VALUE"""),"9d8d1d98-d621-4eea-8268-0415b6905e5b")</f>
        <v>9d8d1d98-d621-4eea-8268-0415b6905e5b</v>
      </c>
      <c r="I301" s="4" t="str">
        <f>IFERROR(__xludf.DUMMYFUNCTION("""COMPUTED_VALUE"""),"9d8d1d98-d621-4eea-8268-0415b6905e5b")</f>
        <v>9d8d1d98-d621-4eea-8268-0415b6905e5b</v>
      </c>
    </row>
    <row r="302">
      <c r="A302" s="4" t="str">
        <f>IFERROR(__xludf.DUMMYFUNCTION("""COMPUTED_VALUE"""),"Building an empire from your garage")</f>
        <v>Building an empire from your garage</v>
      </c>
      <c r="B302" s="4" t="str">
        <f>IFERROR(__xludf.DUMMYFUNCTION("""COMPUTED_VALUE"""),"A lot of startups claim to have been started in a garage, but Christian and Halldora von Koenigsegg built a supercar empire from theirs. What lessons did they learn along the way?")</f>
        <v>A lot of startups claim to have been started in a garage, but Christian and Halldora von Koenigsegg built a supercar empire from theirs. What lessons did they learn along the way?</v>
      </c>
      <c r="C302" s="4" t="str">
        <f>IFERROR(__xludf.DUMMYFUNCTION("""COMPUTED_VALUE"""),"Auto/Tech &amp; TalkRobot")</f>
        <v>Auto/Tech &amp; TalkRobot</v>
      </c>
      <c r="D302" s="4" t="str">
        <f>IFERROR(__xludf.DUMMYFUNCTION("""COMPUTED_VALUE"""),"Halldora von Koenigsegg")</f>
        <v>Halldora von Koenigsegg</v>
      </c>
      <c r="E302" s="4" t="str">
        <f>IFERROR(__xludf.DUMMYFUNCTION("""COMPUTED_VALUE"""),"Halldora von Koenigsegg")</f>
        <v>Halldora von Koenigsegg</v>
      </c>
      <c r="F302" s="4" t="str">
        <f>IFERROR(__xludf.DUMMYFUNCTION("""COMPUTED_VALUE"""),"2019/11/05 15:05:00")</f>
        <v>2019/11/05 15:05:00</v>
      </c>
      <c r="G302" s="4" t="str">
        <f>IFERROR(__xludf.DUMMYFUNCTION("""COMPUTED_VALUE"""),"2019/11/05 15:25:00")</f>
        <v>2019/11/05 15:25:00</v>
      </c>
      <c r="H302" s="4" t="str">
        <f>IFERROR(__xludf.DUMMYFUNCTION("""COMPUTED_VALUE"""),"64ef74ee-7a05-48e7-b330-5edc2a0f563f")</f>
        <v>64ef74ee-7a05-48e7-b330-5edc2a0f563f</v>
      </c>
      <c r="I302" s="4" t="str">
        <f>IFERROR(__xludf.DUMMYFUNCTION("""COMPUTED_VALUE"""),"64ef74ee-7a05-48e7-b330-5edc2a0f563f")</f>
        <v>64ef74ee-7a05-48e7-b330-5edc2a0f563f</v>
      </c>
    </row>
    <row r="303">
      <c r="A303" s="4" t="str">
        <f>IFERROR(__xludf.DUMMYFUNCTION("""COMPUTED_VALUE"""),"Investing in mobility. Are we over the hype? ")</f>
        <v>Investing in mobility. Are we over the hype? </v>
      </c>
      <c r="B303" s="4" t="str">
        <f>IFERROR(__xludf.DUMMYFUNCTION("""COMPUTED_VALUE"""),"Investing in Mobility has been hot over the last few years with the market commitment to deploy autonomous vehicles this decade. But with a slow down in the market with the realisation that autonomous is not as close as anticipated; are we over the hype? "&amp;"And if so, how does this affect the mobility startup ecosystem and how can we as investors manage risk in this space and support our companies. ")</f>
        <v>Investing in Mobility has been hot over the last few years with the market commitment to deploy autonomous vehicles this decade. But with a slow down in the market with the realisation that autonomous is not as close as anticipated; are we over the hype? And if so, how does this affect the mobility startup ecosystem and how can we as investors manage risk in this space and support our companies. </v>
      </c>
      <c r="C303" s="4" t="str">
        <f>IFERROR(__xludf.DUMMYFUNCTION("""COMPUTED_VALUE"""),"Venture stage")</f>
        <v>Venture stage</v>
      </c>
      <c r="D303" s="4" t="str">
        <f>IFERROR(__xludf.DUMMYFUNCTION("""COMPUTED_VALUE"""),"Olaf Sakkers, Laly David, Philipp von Hagen and Alison Griswold")</f>
        <v>Olaf Sakkers, Laly David, Philipp von Hagen and Alison Griswold</v>
      </c>
      <c r="E303" s="4" t="str">
        <f>IFERROR(__xludf.DUMMYFUNCTION("""COMPUTED_VALUE"""),"Olaf Sakkers,Laly David,Philipp von Hagen,Alison Griswold")</f>
        <v>Olaf Sakkers,Laly David,Philipp von Hagen,Alison Griswold</v>
      </c>
      <c r="F303" s="4" t="str">
        <f>IFERROR(__xludf.DUMMYFUNCTION("""COMPUTED_VALUE"""),"2019/11/06 15:35:00")</f>
        <v>2019/11/06 15:35:00</v>
      </c>
      <c r="G303" s="4" t="str">
        <f>IFERROR(__xludf.DUMMYFUNCTION("""COMPUTED_VALUE"""),"2019/11/06 16:00:00")</f>
        <v>2019/11/06 16:00:00</v>
      </c>
      <c r="H303" s="4" t="str">
        <f>IFERROR(__xludf.DUMMYFUNCTION("""COMPUTED_VALUE"""),"06701bcf-f18e-43b0-a03a-d05f9d3c065f")</f>
        <v>06701bcf-f18e-43b0-a03a-d05f9d3c065f</v>
      </c>
      <c r="I303" s="4" t="str">
        <f>IFERROR(__xludf.DUMMYFUNCTION("""COMPUTED_VALUE"""),"06701bcf-f18e-43b0-a03a-d05f9d3c065f")</f>
        <v>06701bcf-f18e-43b0-a03a-d05f9d3c065f</v>
      </c>
    </row>
    <row r="304">
      <c r="A304" s="4" t="str">
        <f>IFERROR(__xludf.DUMMYFUNCTION("""COMPUTED_VALUE"""),"Health, home and happiness")</f>
        <v>Health, home and happiness</v>
      </c>
      <c r="B304" s="4" t="str">
        <f>IFERROR(__xludf.DUMMYFUNCTION("""COMPUTED_VALUE"""),"Happy brain, happy body. Happy heart, happy home. Right? The more we chase progress,  social media ideals and always-on engagement, the further it seems to take us from the one thing we all desperately want – a little peace of mind. This session gathers w"&amp;"orld experts in wellness to ask: is there a definitive path to wellbeing, and is tech the right road there?")</f>
        <v>Happy brain, happy body. Happy heart, happy home. Right? The more we chase progress,  social media ideals and always-on engagement, the further it seems to take us from the one thing we all desperately want – a little peace of mind. This session gathers world experts in wellness to ask: is there a definitive path to wellbeing, and is tech the right road there?</v>
      </c>
      <c r="C304" s="4" t="str">
        <f>IFERROR(__xludf.DUMMYFUNCTION("""COMPUTED_VALUE"""),"HealthConf")</f>
        <v>HealthConf</v>
      </c>
      <c r="D304" s="4" t="str">
        <f>IFERROR(__xludf.DUMMYFUNCTION("""COMPUTED_VALUE"""),"Dame Til Wykes, Daniel Sobhani, Alexandra Zatarain and Alyssa Newcomb")</f>
        <v>Dame Til Wykes, Daniel Sobhani, Alexandra Zatarain and Alyssa Newcomb</v>
      </c>
      <c r="E304" s="4" t="str">
        <f>IFERROR(__xludf.DUMMYFUNCTION("""COMPUTED_VALUE"""),"Dame Til Wykes,Daniel Sobhani,Alexandra Zatarain,Alyssa Newcomb")</f>
        <v>Dame Til Wykes,Daniel Sobhani,Alexandra Zatarain,Alyssa Newcomb</v>
      </c>
      <c r="F304" s="4" t="str">
        <f>IFERROR(__xludf.DUMMYFUNCTION("""COMPUTED_VALUE"""),"2019/11/07 13:40:00")</f>
        <v>2019/11/07 13:40:00</v>
      </c>
      <c r="G304" s="4" t="str">
        <f>IFERROR(__xludf.DUMMYFUNCTION("""COMPUTED_VALUE"""),"2019/11/07 14:05:00")</f>
        <v>2019/11/07 14:05:00</v>
      </c>
      <c r="H304" s="4" t="str">
        <f>IFERROR(__xludf.DUMMYFUNCTION("""COMPUTED_VALUE"""),"143137ca-e514-4797-bd61-753f1a693c08")</f>
        <v>143137ca-e514-4797-bd61-753f1a693c08</v>
      </c>
      <c r="I304" s="4" t="str">
        <f>IFERROR(__xludf.DUMMYFUNCTION("""COMPUTED_VALUE"""),"143137ca-e514-4797-bd61-753f1a693c08")</f>
        <v>143137ca-e514-4797-bd61-753f1a693c08</v>
      </c>
    </row>
    <row r="305">
      <c r="A305" s="4" t="str">
        <f>IFERROR(__xludf.DUMMYFUNCTION("""COMPUTED_VALUE"""),"The promise and peril of the digital age")</f>
        <v>The promise and peril of the digital age</v>
      </c>
      <c r="B305" s="4" t="str">
        <f>IFERROR(__xludf.DUMMYFUNCTION("""COMPUTED_VALUE"""),"The world has reached an inflection point in which digital technology is being used as both a powerful tool and formidable weapon. Brad will discuss new approaches to manage this era and the steps that companies of all sizes can take to accept greater res"&amp;"ponsibility and partner with governments to shape the future.  ")</f>
        <v>The world has reached an inflection point in which digital technology is being used as both a powerful tool and formidable weapon. Brad will discuss new approaches to manage this era and the steps that companies of all sizes can take to accept greater responsibility and partner with governments to shape the future.  </v>
      </c>
      <c r="C305" s="4" t="str">
        <f>IFERROR(__xludf.DUMMYFUNCTION("""COMPUTED_VALUE"""),"Centre Stage")</f>
        <v>Centre Stage</v>
      </c>
      <c r="D305" s="4" t="str">
        <f>IFERROR(__xludf.DUMMYFUNCTION("""COMPUTED_VALUE"""),"Brad Smith")</f>
        <v>Brad Smith</v>
      </c>
      <c r="E305" s="4" t="str">
        <f>IFERROR(__xludf.DUMMYFUNCTION("""COMPUTED_VALUE"""),"Brad Smith")</f>
        <v>Brad Smith</v>
      </c>
      <c r="F305" s="4" t="str">
        <f>IFERROR(__xludf.DUMMYFUNCTION("""COMPUTED_VALUE"""),"2019/11/06 10:30:00")</f>
        <v>2019/11/06 10:30:00</v>
      </c>
      <c r="G305" s="4" t="str">
        <f>IFERROR(__xludf.DUMMYFUNCTION("""COMPUTED_VALUE"""),"2019/11/06 10:55:00")</f>
        <v>2019/11/06 10:55:00</v>
      </c>
      <c r="H305" s="4" t="str">
        <f>IFERROR(__xludf.DUMMYFUNCTION("""COMPUTED_VALUE"""),"3899947d-2af3-4f5d-a770-f358abce0435")</f>
        <v>3899947d-2af3-4f5d-a770-f358abce0435</v>
      </c>
      <c r="I305" s="4" t="str">
        <f>IFERROR(__xludf.DUMMYFUNCTION("""COMPUTED_VALUE"""),"3899947d-2af3-4f5d-a770-f358abce0435")</f>
        <v>3899947d-2af3-4f5d-a770-f358abce0435</v>
      </c>
    </row>
    <row r="306">
      <c r="A306" s="4" t="str">
        <f>IFERROR(__xludf.DUMMYFUNCTION("""COMPUTED_VALUE"""),"The secrets behind the largest funding in conversational AI")</f>
        <v>The secrets behind the largest funding in conversational AI</v>
      </c>
      <c r="B306" s="4" t="str">
        <f>IFERROR(__xludf.DUMMYFUNCTION("""COMPUTED_VALUE"""),"Clinc co-founder and COO, Dr. Lingjia will share how Clinc took its revolutionary conversational AI technology and built a production-grade platform that is live in front of over 30m users at some of the world’s largest financial institutions.  It led to "&amp;"the largest series B ever raised in the history of conversational AI startups.")</f>
        <v>Clinc co-founder and COO, Dr. Lingjia will share how Clinc took its revolutionary conversational AI technology and built a production-grade platform that is live in front of over 30m users at some of the world’s largest financial institutions.  It led to the largest series B ever raised in the history of conversational AI startups.</v>
      </c>
      <c r="C306" s="4" t="str">
        <f>IFERROR(__xludf.DUMMYFUNCTION("""COMPUTED_VALUE"""),"Growth Summit")</f>
        <v>Growth Summit</v>
      </c>
      <c r="D306" s="4" t="str">
        <f>IFERROR(__xludf.DUMMYFUNCTION("""COMPUTED_VALUE"""),"Lingjia Tang")</f>
        <v>Lingjia Tang</v>
      </c>
      <c r="E306" s="4" t="str">
        <f>IFERROR(__xludf.DUMMYFUNCTION("""COMPUTED_VALUE"""),"Lingjia Tang")</f>
        <v>Lingjia Tang</v>
      </c>
      <c r="F306" s="4" t="str">
        <f>IFERROR(__xludf.DUMMYFUNCTION("""COMPUTED_VALUE"""),"2019/11/07 12:41:00")</f>
        <v>2019/11/07 12:41:00</v>
      </c>
      <c r="G306" s="4" t="str">
        <f>IFERROR(__xludf.DUMMYFUNCTION("""COMPUTED_VALUE"""),"2019/11/07 12:52:00")</f>
        <v>2019/11/07 12:52:00</v>
      </c>
      <c r="H306" s="4" t="str">
        <f>IFERROR(__xludf.DUMMYFUNCTION("""COMPUTED_VALUE"""),"e8048b16-527a-4d38-83f6-987494350d07")</f>
        <v>e8048b16-527a-4d38-83f6-987494350d07</v>
      </c>
      <c r="I306" s="4" t="str">
        <f>IFERROR(__xludf.DUMMYFUNCTION("""COMPUTED_VALUE"""),"e8048b16-527a-4d38-83f6-987494350d07")</f>
        <v>e8048b16-527a-4d38-83f6-987494350d07</v>
      </c>
    </row>
    <row r="307">
      <c r="A307" s="4" t="str">
        <f>IFERROR(__xludf.DUMMYFUNCTION("""COMPUTED_VALUE"""),"Machine Demo Round 3")</f>
        <v>Machine Demo Round 3</v>
      </c>
      <c r="B307" s="4" t="str">
        <f>IFERROR(__xludf.DUMMYFUNCTION("""COMPUTED_VALUE"""),"Machine Demo showcases the top products created by startups in the hardware &amp; IoT, AI &amp; machine learning, gaming, augmented reality, and virtual reality industries. For each group round, the audience will vote to decide the winner. The winners from each g"&amp;"roup progress to the Machine Demo final.")</f>
        <v>Machine Demo showcases the top products created by startups in the hardware &amp; IoT, AI &amp; machine learning, gaming, augmented reality, and virtual reality industries. For each group round, the audience will vote to decide the winner. The winners from each group progress to the Machine Demo final.</v>
      </c>
      <c r="C307" s="4" t="str">
        <f>IFERROR(__xludf.DUMMYFUNCTION("""COMPUTED_VALUE"""),"Machine Demo")</f>
        <v>Machine Demo</v>
      </c>
      <c r="D307" s="4" t="str">
        <f>IFERROR(__xludf.DUMMYFUNCTION("""COMPUTED_VALUE"""),"Ilya Velder, eunkyeong kwon, Lucas Malanda, Dennis Poon, Clemens Kirner and Michael Schöggl")</f>
        <v>Ilya Velder, eunkyeong kwon, Lucas Malanda, Dennis Poon, Clemens Kirner and Michael Schöggl</v>
      </c>
      <c r="E307" s="4" t="str">
        <f>IFERROR(__xludf.DUMMYFUNCTION("""COMPUTED_VALUE"""),"Ilya Velder,eunkyeong kwon,Lucas Malanda,Dennis Poon,Clemens Kirner,Michael Schöggl")</f>
        <v>Ilya Velder,eunkyeong kwon,Lucas Malanda,Dennis Poon,Clemens Kirner,Michael Schöggl</v>
      </c>
      <c r="F307" s="4" t="str">
        <f>IFERROR(__xludf.DUMMYFUNCTION("""COMPUTED_VALUE"""),"2019/11/07 11:15:00")</f>
        <v>2019/11/07 11:15:00</v>
      </c>
      <c r="G307" s="4" t="str">
        <f>IFERROR(__xludf.DUMMYFUNCTION("""COMPUTED_VALUE"""),"2019/11/07 12:15:00")</f>
        <v>2019/11/07 12:15:00</v>
      </c>
      <c r="H307" s="4" t="str">
        <f>IFERROR(__xludf.DUMMYFUNCTION("""COMPUTED_VALUE"""),"05c3d842-a499-4581-b7ba-daf158df47a0")</f>
        <v>05c3d842-a499-4581-b7ba-daf158df47a0</v>
      </c>
      <c r="I307" s="4" t="str">
        <f>IFERROR(__xludf.DUMMYFUNCTION("""COMPUTED_VALUE"""),"05c3d842-a499-4581-b7ba-daf158df47a0")</f>
        <v>05c3d842-a499-4581-b7ba-daf158df47a0</v>
      </c>
    </row>
    <row r="308">
      <c r="A308" s="4" t="str">
        <f>IFERROR(__xludf.DUMMYFUNCTION("""COMPUTED_VALUE"""),"Lunch break")</f>
        <v>Lunch break</v>
      </c>
      <c r="B308" s="4" t="str">
        <f>IFERROR(__xludf.DUMMYFUNCTION("""COMPUTED_VALUE"""),"")</f>
        <v/>
      </c>
      <c r="C308" s="4" t="str">
        <f>IFERROR(__xludf.DUMMYFUNCTION("""COMPUTED_VALUE"""),"SaaS Monster")</f>
        <v>SaaS Monster</v>
      </c>
      <c r="D308" s="4" t="str">
        <f>IFERROR(__xludf.DUMMYFUNCTION("""COMPUTED_VALUE"""),"")</f>
        <v/>
      </c>
      <c r="E308" s="4" t="str">
        <f>IFERROR(__xludf.DUMMYFUNCTION("""COMPUTED_VALUE"""),"")</f>
        <v/>
      </c>
      <c r="F308" s="4" t="str">
        <f>IFERROR(__xludf.DUMMYFUNCTION("""COMPUTED_VALUE"""),"2019/11/06 12:45:00")</f>
        <v>2019/11/06 12:45:00</v>
      </c>
      <c r="G308" s="4" t="str">
        <f>IFERROR(__xludf.DUMMYFUNCTION("""COMPUTED_VALUE"""),"2019/11/06 13:30:00")</f>
        <v>2019/11/06 13:30:00</v>
      </c>
      <c r="H308" s="4" t="str">
        <f>IFERROR(__xludf.DUMMYFUNCTION("""COMPUTED_VALUE"""),"37351a59-e19e-47dc-9537-3f9a33efef30")</f>
        <v>37351a59-e19e-47dc-9537-3f9a33efef30</v>
      </c>
      <c r="I308" s="4" t="str">
        <f>IFERROR(__xludf.DUMMYFUNCTION("""COMPUTED_VALUE"""),"37351a59-e19e-47dc-9537-3f9a33efef30")</f>
        <v>37351a59-e19e-47dc-9537-3f9a33efef30</v>
      </c>
    </row>
    <row r="309">
      <c r="A309" s="4" t="str">
        <f>IFERROR(__xludf.DUMMYFUNCTION("""COMPUTED_VALUE"""),"How to win over a developer")</f>
        <v>How to win over a developer</v>
      </c>
      <c r="B309" s="4" t="str">
        <f>IFERROR(__xludf.DUMMYFUNCTION("""COMPUTED_VALUE"""),"The first step for many technology startups is to build a product with the right fit in the market. But what happens when your target customers are developers? Christina Saas, the co-founder of Andela, in conversation with Rob Pegoraro of Yahoo! Finance, "&amp;"discusses why developers need a lot more than just a great product and how to get them on board.")</f>
        <v>The first step for many technology startups is to build a product with the right fit in the market. But what happens when your target customers are developers? Christina Saas, the co-founder of Andela, in conversation with Rob Pegoraro of Yahoo! Finance, discusses why developers need a lot more than just a great product and how to get them on board.</v>
      </c>
      <c r="C309" s="4" t="str">
        <f>IFERROR(__xludf.DUMMYFUNCTION("""COMPUTED_VALUE"""),"FullSTK")</f>
        <v>FullSTK</v>
      </c>
      <c r="D309" s="4" t="str">
        <f>IFERROR(__xludf.DUMMYFUNCTION("""COMPUTED_VALUE"""),"Christina Sass and Rob Pegoraro")</f>
        <v>Christina Sass and Rob Pegoraro</v>
      </c>
      <c r="E309" s="4" t="str">
        <f>IFERROR(__xludf.DUMMYFUNCTION("""COMPUTED_VALUE"""),"Christina Sass,Rob Pegoraro")</f>
        <v>Christina Sass,Rob Pegoraro</v>
      </c>
      <c r="F309" s="4" t="str">
        <f>IFERROR(__xludf.DUMMYFUNCTION("""COMPUTED_VALUE"""),"2019/11/07 11:55:00")</f>
        <v>2019/11/07 11:55:00</v>
      </c>
      <c r="G309" s="4" t="str">
        <f>IFERROR(__xludf.DUMMYFUNCTION("""COMPUTED_VALUE"""),"2019/11/07 12:15:00")</f>
        <v>2019/11/07 12:15:00</v>
      </c>
      <c r="H309" s="4" t="str">
        <f>IFERROR(__xludf.DUMMYFUNCTION("""COMPUTED_VALUE"""),"45c790df-7ce6-4e8e-b4cf-65dab2f74bac")</f>
        <v>45c790df-7ce6-4e8e-b4cf-65dab2f74bac</v>
      </c>
      <c r="I309" s="4" t="str">
        <f>IFERROR(__xludf.DUMMYFUNCTION("""COMPUTED_VALUE"""),"45c790df-7ce6-4e8e-b4cf-65dab2f74bac")</f>
        <v>45c790df-7ce6-4e8e-b4cf-65dab2f74bac</v>
      </c>
    </row>
    <row r="310">
      <c r="A310" s="4" t="str">
        <f>IFERROR(__xludf.DUMMYFUNCTION("""COMPUTED_VALUE"""),"Powering disruptive innovation")</f>
        <v>Powering disruptive innovation</v>
      </c>
      <c r="B310" s="4" t="str">
        <f>IFERROR(__xludf.DUMMYFUNCTION("""COMPUTED_VALUE"""),"By 2040, it is estimated there will be 80 billion connected devices. That’s driving disruption across every industry. The future requires us to move beyond disruption and beyond devices. We need new solutions – ones that connect data and devices in ways t"&amp;"hat improve our experience and the world at large.")</f>
        <v>By 2040, it is estimated there will be 80 billion connected devices. That’s driving disruption across every industry. The future requires us to move beyond disruption and beyond devices. We need new solutions – ones that connect data and devices in ways that improve our experience and the world at large.</v>
      </c>
      <c r="C310" s="4" t="str">
        <f>IFERROR(__xludf.DUMMYFUNCTION("""COMPUTED_VALUE"""),"Corporate Innovation Summit")</f>
        <v>Corporate Innovation Summit</v>
      </c>
      <c r="D310" s="4" t="str">
        <f>IFERROR(__xludf.DUMMYFUNCTION("""COMPUTED_VALUE"""),"Paul Walsh")</f>
        <v>Paul Walsh</v>
      </c>
      <c r="E310" s="4" t="str">
        <f>IFERROR(__xludf.DUMMYFUNCTION("""COMPUTED_VALUE"""),"Paul Walsh")</f>
        <v>Paul Walsh</v>
      </c>
      <c r="F310" s="4" t="str">
        <f>IFERROR(__xludf.DUMMYFUNCTION("""COMPUTED_VALUE"""),"2019/11/05 13:40:00")</f>
        <v>2019/11/05 13:40:00</v>
      </c>
      <c r="G310" s="4" t="str">
        <f>IFERROR(__xludf.DUMMYFUNCTION("""COMPUTED_VALUE"""),"2019/11/05 14:00:00")</f>
        <v>2019/11/05 14:00:00</v>
      </c>
      <c r="H310" s="4" t="str">
        <f>IFERROR(__xludf.DUMMYFUNCTION("""COMPUTED_VALUE"""),"8cb35e11-4183-4853-9d46-c1dca65a3b36")</f>
        <v>8cb35e11-4183-4853-9d46-c1dca65a3b36</v>
      </c>
      <c r="I310" s="4" t="str">
        <f>IFERROR(__xludf.DUMMYFUNCTION("""COMPUTED_VALUE"""),"8cb35e11-4183-4853-9d46-c1dca65a3b36")</f>
        <v>8cb35e11-4183-4853-9d46-c1dca65a3b36</v>
      </c>
    </row>
    <row r="311">
      <c r="A311" s="4" t="str">
        <f>IFERROR(__xludf.DUMMYFUNCTION("""COMPUTED_VALUE"""),"The Web Summit Innovation in Sport Award: Ronaldo, Real Valladolid")</f>
        <v>The Web Summit Innovation in Sport Award: Ronaldo, Real Valladolid</v>
      </c>
      <c r="B311" s="4" t="str">
        <f>IFERROR(__xludf.DUMMYFUNCTION("""COMPUTED_VALUE"""),"The Web Summit Innovation In Sport Award is the international mark of excellence in the sports business community, it recognises people and organisations that have successfully incorporated technology in the pursuit of excellence. 
This year we honour "&amp;"Brazil great Ronaldo and Real Valladolid, the two time World Cup winner, two time Ballon d’Or winner, four time FIFA World Player of the Year, three time World Soccer Player of the Year, former UEFA Club Footballer of the Year and Golden Ball winner will "&amp;"add to his trophy case when he is presented with the Web Summit Innovation in Sport Award for 2019 by Portugal's Minister of Economy Pedro Siza Vieira. 
")</f>
        <v>The Web Summit Innovation In Sport Award is the international mark of excellence in the sports business community, it recognises people and organisations that have successfully incorporated technology in the pursuit of excellence. 
This year we honour Brazil great Ronaldo and Real Valladolid, the two time World Cup winner, two time Ballon d’Or winner, four time FIFA World Player of the Year, three time World Soccer Player of the Year, former UEFA Club Footballer of the Year and Golden Ball winner will add to his trophy case when he is presented with the Web Summit Innovation in Sport Award for 2019 by Portugal's Minister of Economy Pedro Siza Vieira. 
</v>
      </c>
      <c r="C311" s="4" t="str">
        <f>IFERROR(__xludf.DUMMYFUNCTION("""COMPUTED_VALUE"""),"SportsTrade")</f>
        <v>SportsTrade</v>
      </c>
      <c r="D311" s="4" t="str">
        <f>IFERROR(__xludf.DUMMYFUNCTION("""COMPUTED_VALUE""")," , Pedro Siza Vieira and Ger Gilroy")</f>
        <v> , Pedro Siza Vieira and Ger Gilroy</v>
      </c>
      <c r="E311" s="4" t="str">
        <f>IFERROR(__xludf.DUMMYFUNCTION("""COMPUTED_VALUE""")," ,Pedro Siza Vieira,Ger Gilroy")</f>
        <v> ,Pedro Siza Vieira,Ger Gilroy</v>
      </c>
      <c r="F311" s="4" t="str">
        <f>IFERROR(__xludf.DUMMYFUNCTION("""COMPUTED_VALUE"""),"2019/11/05 16:15:00")</f>
        <v>2019/11/05 16:15:00</v>
      </c>
      <c r="G311" s="4" t="str">
        <f>IFERROR(__xludf.DUMMYFUNCTION("""COMPUTED_VALUE"""),"2019/11/05 16:35:00")</f>
        <v>2019/11/05 16:35:00</v>
      </c>
      <c r="H311" s="4" t="str">
        <f>IFERROR(__xludf.DUMMYFUNCTION("""COMPUTED_VALUE"""),"745c7dab-8868-4964-bd0f-65bb9ca8bbad")</f>
        <v>745c7dab-8868-4964-bd0f-65bb9ca8bbad</v>
      </c>
      <c r="I311" s="4" t="str">
        <f>IFERROR(__xludf.DUMMYFUNCTION("""COMPUTED_VALUE"""),"745c7dab-8868-4964-bd0f-65bb9ca8bbad")</f>
        <v>745c7dab-8868-4964-bd0f-65bb9ca8bbad</v>
      </c>
    </row>
    <row r="312">
      <c r="A312" s="4" t="str">
        <f>IFERROR(__xludf.DUMMYFUNCTION("""COMPUTED_VALUE"""),"Branding the East-West divide")</f>
        <v>Branding the East-West divide</v>
      </c>
      <c r="B312" s="4" t="str">
        <f>IFERROR(__xludf.DUMMYFUNCTION("""COMPUTED_VALUE"""),"The world has never been more connected. E-commerce, instant messaging and the free market mean we should all have access to the same goods and services. And yet, there remains a disconnect between what resonates in the East and West. How can a company ma"&amp;"ke it in both markets? What are the secrets to successfully bridging the divide?")</f>
        <v>The world has never been more connected. E-commerce, instant messaging and the free market mean we should all have access to the same goods and services. And yet, there remains a disconnect between what resonates in the East and West. How can a company make it in both markets? What are the secrets to successfully bridging the divide?</v>
      </c>
      <c r="C312" s="4" t="str">
        <f>IFERROR(__xludf.DUMMYFUNCTION("""COMPUTED_VALUE"""),"PandaConf")</f>
        <v>PandaConf</v>
      </c>
      <c r="D312" s="4" t="str">
        <f>IFERROR(__xludf.DUMMYFUNCTION("""COMPUTED_VALUE"""),"Martin Brandenburg, Holly Zheng and Paul Michelman")</f>
        <v>Martin Brandenburg, Holly Zheng and Paul Michelman</v>
      </c>
      <c r="E312" s="4" t="str">
        <f>IFERROR(__xludf.DUMMYFUNCTION("""COMPUTED_VALUE"""),"Martin Brandenburg,Holly Zheng,Paul Michelman")</f>
        <v>Martin Brandenburg,Holly Zheng,Paul Michelman</v>
      </c>
      <c r="F312" s="4" t="str">
        <f>IFERROR(__xludf.DUMMYFUNCTION("""COMPUTED_VALUE"""),"2019/11/07 12:10:00")</f>
        <v>2019/11/07 12:10:00</v>
      </c>
      <c r="G312" s="4" t="str">
        <f>IFERROR(__xludf.DUMMYFUNCTION("""COMPUTED_VALUE"""),"2019/11/07 12:30:00")</f>
        <v>2019/11/07 12:30:00</v>
      </c>
      <c r="H312" s="4" t="str">
        <f>IFERROR(__xludf.DUMMYFUNCTION("""COMPUTED_VALUE"""),"47fc4b43-6a30-4984-afff-844100881acf")</f>
        <v>47fc4b43-6a30-4984-afff-844100881acf</v>
      </c>
      <c r="I312" s="4" t="str">
        <f>IFERROR(__xludf.DUMMYFUNCTION("""COMPUTED_VALUE"""),"47fc4b43-6a30-4984-afff-844100881acf")</f>
        <v>47fc4b43-6a30-4984-afff-844100881acf</v>
      </c>
    </row>
    <row r="313">
      <c r="A313" s="4" t="str">
        <f>IFERROR(__xludf.DUMMYFUNCTION("""COMPUTED_VALUE"""),"From the underdog to the top dog")</f>
        <v>From the underdog to the top dog</v>
      </c>
      <c r="B313" s="4" t="str">
        <f>IFERROR(__xludf.DUMMYFUNCTION("""COMPUTED_VALUE"""),"The CEO of Datadog, Olivier Pomel, discusses the ins and outs of their success story with Shardul Shah from Index Ventures.")</f>
        <v>The CEO of Datadog, Olivier Pomel, discusses the ins and outs of their success story with Shardul Shah from Index Ventures.</v>
      </c>
      <c r="C313" s="8" t="str">
        <f>IFERROR(__xludf.DUMMYFUNCTION("""COMPUTED_VALUE"""),"binate.io")</f>
        <v>binate.io</v>
      </c>
      <c r="D313" s="4" t="str">
        <f>IFERROR(__xludf.DUMMYFUNCTION("""COMPUTED_VALUE"""),"Olivier Pomel and Shardul Shah")</f>
        <v>Olivier Pomel and Shardul Shah</v>
      </c>
      <c r="E313" s="4" t="str">
        <f>IFERROR(__xludf.DUMMYFUNCTION("""COMPUTED_VALUE"""),"Olivier Pomel,Shardul Shah")</f>
        <v>Olivier Pomel,Shardul Shah</v>
      </c>
      <c r="F313" s="4" t="str">
        <f>IFERROR(__xludf.DUMMYFUNCTION("""COMPUTED_VALUE"""),"2019/11/06 11:15:00")</f>
        <v>2019/11/06 11:15:00</v>
      </c>
      <c r="G313" s="4" t="str">
        <f>IFERROR(__xludf.DUMMYFUNCTION("""COMPUTED_VALUE"""),"2019/11/06 11:40:00")</f>
        <v>2019/11/06 11:40:00</v>
      </c>
      <c r="H313" s="4" t="str">
        <f>IFERROR(__xludf.DUMMYFUNCTION("""COMPUTED_VALUE"""),"3974faaa-ed12-41bb-b79a-d134ab9edfd7")</f>
        <v>3974faaa-ed12-41bb-b79a-d134ab9edfd7</v>
      </c>
      <c r="I313" s="4" t="str">
        <f>IFERROR(__xludf.DUMMYFUNCTION("""COMPUTED_VALUE"""),"3974faaa-ed12-41bb-b79a-d134ab9edfd7")</f>
        <v>3974faaa-ed12-41bb-b79a-d134ab9edfd7</v>
      </c>
    </row>
    <row r="314">
      <c r="A314" s="4" t="str">
        <f>IFERROR(__xludf.DUMMYFUNCTION("""COMPUTED_VALUE"""),"Joint operations: The new opportunity for mobile gaming growth, hosted by Huawei")</f>
        <v>Joint operations: The new opportunity for mobile gaming growth, hosted by Huawei</v>
      </c>
      <c r="B314" s="4" t="str">
        <f>IFERROR(__xludf.DUMMYFUNCTION("""COMPUTED_VALUE"""),"A deep-dive talk in mobile gaming trends, Huawei‘s joint operation strategies and successful stories that help game developers reach users and boost their revenue.")</f>
        <v>A deep-dive talk in mobile gaming trends, Huawei‘s joint operation strategies and successful stories that help game developers reach users and boost their revenue.</v>
      </c>
      <c r="C314" s="4" t="str">
        <f>IFERROR(__xludf.DUMMYFUNCTION("""COMPUTED_VALUE"""),"Workshop 1")</f>
        <v>Workshop 1</v>
      </c>
      <c r="D314" s="4" t="str">
        <f>IFERROR(__xludf.DUMMYFUNCTION("""COMPUTED_VALUE"""),"")</f>
        <v/>
      </c>
      <c r="E314" s="4" t="str">
        <f>IFERROR(__xludf.DUMMYFUNCTION("""COMPUTED_VALUE"""),"")</f>
        <v/>
      </c>
      <c r="F314" s="4" t="str">
        <f>IFERROR(__xludf.DUMMYFUNCTION("""COMPUTED_VALUE"""),"2019/11/05 16:15:00")</f>
        <v>2019/11/05 16:15:00</v>
      </c>
      <c r="G314" s="4" t="str">
        <f>IFERROR(__xludf.DUMMYFUNCTION("""COMPUTED_VALUE"""),"2019/11/05 16:40:00")</f>
        <v>2019/11/05 16:40:00</v>
      </c>
      <c r="H314" s="4" t="str">
        <f>IFERROR(__xludf.DUMMYFUNCTION("""COMPUTED_VALUE"""),"f0c9244c-df4f-4eaf-9c95-244e090c2bd3")</f>
        <v>f0c9244c-df4f-4eaf-9c95-244e090c2bd3</v>
      </c>
      <c r="I314" s="4" t="str">
        <f>IFERROR(__xludf.DUMMYFUNCTION("""COMPUTED_VALUE"""),"f0c9244c-df4f-4eaf-9c95-244e090c2bd3")</f>
        <v>f0c9244c-df4f-4eaf-9c95-244e090c2bd3</v>
      </c>
    </row>
    <row r="315">
      <c r="A315" s="4" t="str">
        <f>IFERROR(__xludf.DUMMYFUNCTION("""COMPUTED_VALUE"""),"Banking the next billion")</f>
        <v>Banking the next billion</v>
      </c>
      <c r="B315" s="4" t="str">
        <f>IFERROR(__xludf.DUMMYFUNCTION("""COMPUTED_VALUE"""),"SoftBank Vision Fund's investments are possibly the hardest hitting deals in the market. Their leading round in PolicyBazaar shows a level of certainty in the continued growth of insurtech. Come listen to SoftBank and PolicyBazaar break down the anatomy o"&amp;"f a winning investment deal. ")</f>
        <v>SoftBank Vision Fund's investments are possibly the hardest hitting deals in the market. Their leading round in PolicyBazaar shows a level of certainty in the continued growth of insurtech. Come listen to SoftBank and PolicyBazaar break down the anatomy of a winning investment deal. </v>
      </c>
      <c r="C315" s="4" t="str">
        <f>IFERROR(__xludf.DUMMYFUNCTION("""COMPUTED_VALUE"""),"MoneyConf")</f>
        <v>MoneyConf</v>
      </c>
      <c r="D315" s="4" t="str">
        <f>IFERROR(__xludf.DUMMYFUNCTION("""COMPUTED_VALUE"""),"Munish Varma, Yashish Dahiya and Tim Bradshaw")</f>
        <v>Munish Varma, Yashish Dahiya and Tim Bradshaw</v>
      </c>
      <c r="E315" s="4" t="str">
        <f>IFERROR(__xludf.DUMMYFUNCTION("""COMPUTED_VALUE"""),"Munish Varma,Yashish Dahiya,Tim Bradshaw")</f>
        <v>Munish Varma,Yashish Dahiya,Tim Bradshaw</v>
      </c>
      <c r="F315" s="4" t="str">
        <f>IFERROR(__xludf.DUMMYFUNCTION("""COMPUTED_VALUE"""),"2019/11/06 11:00:00")</f>
        <v>2019/11/06 11:00:00</v>
      </c>
      <c r="G315" s="4" t="str">
        <f>IFERROR(__xludf.DUMMYFUNCTION("""COMPUTED_VALUE"""),"2019/11/06 11:25:00")</f>
        <v>2019/11/06 11:25:00</v>
      </c>
      <c r="H315" s="4" t="str">
        <f>IFERROR(__xludf.DUMMYFUNCTION("""COMPUTED_VALUE"""),"aa84f9a9-f356-44e2-ae95-37f724fb136c")</f>
        <v>aa84f9a9-f356-44e2-ae95-37f724fb136c</v>
      </c>
      <c r="I315" s="4" t="str">
        <f>IFERROR(__xludf.DUMMYFUNCTION("""COMPUTED_VALUE"""),"aa84f9a9-f356-44e2-ae95-37f724fb136c")</f>
        <v>aa84f9a9-f356-44e2-ae95-37f724fb136c</v>
      </c>
    </row>
    <row r="316">
      <c r="A316" s="4" t="str">
        <f>IFERROR(__xludf.DUMMYFUNCTION("""COMPUTED_VALUE"""),"Tech startups &amp; the case for regulation")</f>
        <v>Tech startups &amp; the case for regulation</v>
      </c>
      <c r="B316" s="4" t="str">
        <f>IFERROR(__xludf.DUMMYFUNCTION("""COMPUTED_VALUE"""),"Typically, disruptive tech startups are scornful of rules but VOI favours regulation of this booming sector.  CEo of the company, Fredrik Hjelm, will outline why they believe e-scooter companies need to ""grow up"" fast and be responsible partners to citi"&amp;"es, working with them to achieve the highest standards of safety and service.")</f>
        <v>Typically, disruptive tech startups are scornful of rules but VOI favours regulation of this booming sector.  CEo of the company, Fredrik Hjelm, will outline why they believe e-scooter companies need to "grow up" fast and be responsible partners to cities, working with them to achieve the highest standards of safety and service.</v>
      </c>
      <c r="C316" s="4" t="str">
        <f>IFERROR(__xludf.DUMMYFUNCTION("""COMPUTED_VALUE"""),"Growth Summit")</f>
        <v>Growth Summit</v>
      </c>
      <c r="D316" s="4" t="str">
        <f>IFERROR(__xludf.DUMMYFUNCTION("""COMPUTED_VALUE"""),"Fredrik Hjelm")</f>
        <v>Fredrik Hjelm</v>
      </c>
      <c r="E316" s="4" t="str">
        <f>IFERROR(__xludf.DUMMYFUNCTION("""COMPUTED_VALUE"""),"Fredrik Hjelm")</f>
        <v>Fredrik Hjelm</v>
      </c>
      <c r="F316" s="4" t="str">
        <f>IFERROR(__xludf.DUMMYFUNCTION("""COMPUTED_VALUE"""),"2019/11/07 15:37:00")</f>
        <v>2019/11/07 15:37:00</v>
      </c>
      <c r="G316" s="4" t="str">
        <f>IFERROR(__xludf.DUMMYFUNCTION("""COMPUTED_VALUE"""),"2019/11/07 15:48:00")</f>
        <v>2019/11/07 15:48:00</v>
      </c>
      <c r="H316" s="4" t="str">
        <f>IFERROR(__xludf.DUMMYFUNCTION("""COMPUTED_VALUE"""),"40956abc-cd65-4df3-b9a0-499b89905732")</f>
        <v>40956abc-cd65-4df3-b9a0-499b89905732</v>
      </c>
      <c r="I316" s="4" t="str">
        <f>IFERROR(__xludf.DUMMYFUNCTION("""COMPUTED_VALUE"""),"40956abc-cd65-4df3-b9a0-499b89905732")</f>
        <v>40956abc-cd65-4df3-b9a0-499b89905732</v>
      </c>
    </row>
    <row r="317">
      <c r="A317" s="4" t="str">
        <f>IFERROR(__xludf.DUMMYFUNCTION("""COMPUTED_VALUE"""),"How we'll arrive in 2025")</f>
        <v>How we'll arrive in 2025</v>
      </c>
      <c r="B317" s="4" t="str">
        <f>IFERROR(__xludf.DUMMYFUNCTION("""COMPUTED_VALUE"""),"Trends unfolding in self-driving cars, ride-hailing, connectivity and micro-mobility have offered great promise, as well as many questions. To discuss where we are heading, and what mobility in 2025 could really look like we'll welcome four founders who a"&amp;"re leading the way in the space.")</f>
        <v>Trends unfolding in self-driving cars, ride-hailing, connectivity and micro-mobility have offered great promise, as well as many questions. To discuss where we are heading, and what mobility in 2025 could really look like we'll welcome four founders who are leading the way in the space.</v>
      </c>
      <c r="C317" s="4" t="str">
        <f>IFERROR(__xludf.DUMMYFUNCTION("""COMPUTED_VALUE"""),"Centre Stage")</f>
        <v>Centre Stage</v>
      </c>
      <c r="D317" s="4" t="str">
        <f>IFERROR(__xludf.DUMMYFUNCTION("""COMPUTED_VALUE"""),"Brad Bao, Sam Zaid, Corinne Vigreux, Xiaodi Hou and Tim Stevens")</f>
        <v>Brad Bao, Sam Zaid, Corinne Vigreux, Xiaodi Hou and Tim Stevens</v>
      </c>
      <c r="E317" s="4" t="str">
        <f>IFERROR(__xludf.DUMMYFUNCTION("""COMPUTED_VALUE"""),"Brad Bao,Sam Zaid,Corinne Vigreux,Xiaodi Hou,Tim Stevens")</f>
        <v>Brad Bao,Sam Zaid,Corinne Vigreux,Xiaodi Hou,Tim Stevens</v>
      </c>
      <c r="F317" s="4" t="str">
        <f>IFERROR(__xludf.DUMMYFUNCTION("""COMPUTED_VALUE"""),"2019/11/06 15:30:00")</f>
        <v>2019/11/06 15:30:00</v>
      </c>
      <c r="G317" s="4" t="str">
        <f>IFERROR(__xludf.DUMMYFUNCTION("""COMPUTED_VALUE"""),"2019/11/06 16:05:00")</f>
        <v>2019/11/06 16:05:00</v>
      </c>
      <c r="H317" s="4" t="str">
        <f>IFERROR(__xludf.DUMMYFUNCTION("""COMPUTED_VALUE"""),"1d8f4d46-9220-4474-918f-f79de1691911")</f>
        <v>1d8f4d46-9220-4474-918f-f79de1691911</v>
      </c>
      <c r="I317" s="4" t="str">
        <f>IFERROR(__xludf.DUMMYFUNCTION("""COMPUTED_VALUE"""),"1d8f4d46-9220-4474-918f-f79de1691911")</f>
        <v>1d8f4d46-9220-4474-918f-f79de1691911</v>
      </c>
    </row>
    <row r="318">
      <c r="A318" s="4" t="str">
        <f>IFERROR(__xludf.DUMMYFUNCTION("""COMPUTED_VALUE"""),"Negotiate your way to the top ")</f>
        <v>Negotiate your way to the top </v>
      </c>
      <c r="B318" s="4" t="str">
        <f>IFERROR(__xludf.DUMMYFUNCTION("""COMPUTED_VALUE"""),"Everything is negotiable. Emotion, conflict and tact are the tools along the way. A star YouTuber  and the cofounder of company with a $1bn valuation share some hard-earned and tested tips at talking your way to success.")</f>
        <v>Everything is negotiable. Emotion, conflict and tact are the tools along the way. A star YouTuber  and the cofounder of company with a $1bn valuation share some hard-earned and tested tips at talking your way to success.</v>
      </c>
      <c r="C318" s="4" t="str">
        <f>IFERROR(__xludf.DUMMYFUNCTION("""COMPUTED_VALUE"""),"Startup University")</f>
        <v>Startup University</v>
      </c>
      <c r="D318" s="4" t="str">
        <f>IFERROR(__xludf.DUMMYFUNCTION("""COMPUTED_VALUE"""),"Keaton Keller, Michelle Zatlyn and Jared Lindzon")</f>
        <v>Keaton Keller, Michelle Zatlyn and Jared Lindzon</v>
      </c>
      <c r="E318" s="4" t="str">
        <f>IFERROR(__xludf.DUMMYFUNCTION("""COMPUTED_VALUE"""),"Keaton Keller,Michelle Zatlyn,Jared Lindzon")</f>
        <v>Keaton Keller,Michelle Zatlyn,Jared Lindzon</v>
      </c>
      <c r="F318" s="4" t="str">
        <f>IFERROR(__xludf.DUMMYFUNCTION("""COMPUTED_VALUE"""),"2019/11/05 10:30:00")</f>
        <v>2019/11/05 10:30:00</v>
      </c>
      <c r="G318" s="4" t="str">
        <f>IFERROR(__xludf.DUMMYFUNCTION("""COMPUTED_VALUE"""),"2019/11/05 10:50:00")</f>
        <v>2019/11/05 10:50:00</v>
      </c>
      <c r="H318" s="4" t="str">
        <f>IFERROR(__xludf.DUMMYFUNCTION("""COMPUTED_VALUE"""),"6609422e-43c8-47a4-b67e-5d1f99a3ee06")</f>
        <v>6609422e-43c8-47a4-b67e-5d1f99a3ee06</v>
      </c>
      <c r="I318" s="4" t="str">
        <f>IFERROR(__xludf.DUMMYFUNCTION("""COMPUTED_VALUE"""),"6609422e-43c8-47a4-b67e-5d1f99a3ee06")</f>
        <v>6609422e-43c8-47a4-b67e-5d1f99a3ee06</v>
      </c>
    </row>
    <row r="319">
      <c r="A319" s="4" t="str">
        <f>IFERROR(__xludf.DUMMYFUNCTION("""COMPUTED_VALUE"""),"Growing pains: How to scale your team")</f>
        <v>Growing pains: How to scale your team</v>
      </c>
      <c r="B319" s="4" t="str">
        <f>IFERROR(__xludf.DUMMYFUNCTION("""COMPUTED_VALUE"""),"Scaling your business from one to 100 employees can seem relatively easy. But how strong are your foundations and can they weather the journey?")</f>
        <v>Scaling your business from one to 100 employees can seem relatively easy. But how strong are your foundations and can they weather the journey?</v>
      </c>
      <c r="C319" s="4" t="str">
        <f>IFERROR(__xludf.DUMMYFUNCTION("""COMPUTED_VALUE"""),"Venture stage")</f>
        <v>Venture stage</v>
      </c>
      <c r="D319" s="4" t="str">
        <f>IFERROR(__xludf.DUMMYFUNCTION("""COMPUTED_VALUE"""),"Jens Lapinski, Jon Soberg, Gerald Parloiu and Jordan French")</f>
        <v>Jens Lapinski, Jon Soberg, Gerald Parloiu and Jordan French</v>
      </c>
      <c r="E319" s="4" t="str">
        <f>IFERROR(__xludf.DUMMYFUNCTION("""COMPUTED_VALUE"""),"Jens Lapinski,Jon Soberg,Gerald Parloiu,Jordan French")</f>
        <v>Jens Lapinski,Jon Soberg,Gerald Parloiu,Jordan French</v>
      </c>
      <c r="F319" s="4" t="str">
        <f>IFERROR(__xludf.DUMMYFUNCTION("""COMPUTED_VALUE"""),"2019/11/06 11:45:00")</f>
        <v>2019/11/06 11:45:00</v>
      </c>
      <c r="G319" s="4" t="str">
        <f>IFERROR(__xludf.DUMMYFUNCTION("""COMPUTED_VALUE"""),"2019/11/06 12:10:00")</f>
        <v>2019/11/06 12:10:00</v>
      </c>
      <c r="H319" s="4" t="str">
        <f>IFERROR(__xludf.DUMMYFUNCTION("""COMPUTED_VALUE"""),"78db2eae-9679-4795-9105-0da38b83f2c6")</f>
        <v>78db2eae-9679-4795-9105-0da38b83f2c6</v>
      </c>
      <c r="I319" s="4" t="str">
        <f>IFERROR(__xludf.DUMMYFUNCTION("""COMPUTED_VALUE"""),"78db2eae-9679-4795-9105-0da38b83f2c6")</f>
        <v>78db2eae-9679-4795-9105-0da38b83f2c6</v>
      </c>
    </row>
    <row r="320">
      <c r="A320" s="4" t="str">
        <f>IFERROR(__xludf.DUMMYFUNCTION("""COMPUTED_VALUE"""),"Looking at the new face of hypercars")</f>
        <v>Looking at the new face of hypercars</v>
      </c>
      <c r="B320" s="4" t="str">
        <f>IFERROR(__xludf.DUMMYFUNCTION("""COMPUTED_VALUE"""),"Supercars are cool- hypercars are cooler. In this presentation, we'll be looking at Rimac's new cars, and their new partnership with Porsche.")</f>
        <v>Supercars are cool- hypercars are cooler. In this presentation, we'll be looking at Rimac's new cars, and their new partnership with Porsche.</v>
      </c>
      <c r="C320" s="4" t="str">
        <f>IFERROR(__xludf.DUMMYFUNCTION("""COMPUTED_VALUE"""),"Auto/Tech &amp; TalkRobot")</f>
        <v>Auto/Tech &amp; TalkRobot</v>
      </c>
      <c r="D320" s="4" t="str">
        <f>IFERROR(__xludf.DUMMYFUNCTION("""COMPUTED_VALUE"""),"Tim Richardson")</f>
        <v>Tim Richardson</v>
      </c>
      <c r="E320" s="4" t="str">
        <f>IFERROR(__xludf.DUMMYFUNCTION("""COMPUTED_VALUE"""),"Tim Richardson")</f>
        <v>Tim Richardson</v>
      </c>
      <c r="F320" s="4" t="str">
        <f>IFERROR(__xludf.DUMMYFUNCTION("""COMPUTED_VALUE"""),"2019/11/07 14:50:00")</f>
        <v>2019/11/07 14:50:00</v>
      </c>
      <c r="G320" s="4" t="str">
        <f>IFERROR(__xludf.DUMMYFUNCTION("""COMPUTED_VALUE"""),"2019/11/07 15:10:00")</f>
        <v>2019/11/07 15:10:00</v>
      </c>
      <c r="H320" s="4" t="str">
        <f>IFERROR(__xludf.DUMMYFUNCTION("""COMPUTED_VALUE"""),"4f6e9231-2160-4443-b7db-9933415ddd50")</f>
        <v>4f6e9231-2160-4443-b7db-9933415ddd50</v>
      </c>
      <c r="I320" s="4" t="str">
        <f>IFERROR(__xludf.DUMMYFUNCTION("""COMPUTED_VALUE"""),"4f6e9231-2160-4443-b7db-9933415ddd50")</f>
        <v>4f6e9231-2160-4443-b7db-9933415ddd50</v>
      </c>
    </row>
    <row r="321">
      <c r="A321" s="4" t="str">
        <f>IFERROR(__xludf.DUMMYFUNCTION("""COMPUTED_VALUE"""),"Building a billion dollar company beyond the Valley")</f>
        <v>Building a billion dollar company beyond the Valley</v>
      </c>
      <c r="B321" s="4" t="str">
        <f>IFERROR(__xludf.DUMMYFUNCTION("""COMPUTED_VALUE"""),"Hear from three founders who have built billion dollars companies in Hong Kong, Colombia and Estonia on why being where everyone else is does not define how successful your company can become.")</f>
        <v>Hear from three founders who have built billion dollars companies in Hong Kong, Colombia and Estonia on why being where everyone else is does not define how successful your company can become.</v>
      </c>
      <c r="C321" s="4" t="str">
        <f>IFERROR(__xludf.DUMMYFUNCTION("""COMPUTED_VALUE"""),"Centre Stage")</f>
        <v>Centre Stage</v>
      </c>
      <c r="D321" s="4" t="str">
        <f>IFERROR(__xludf.DUMMYFUNCTION("""COMPUTED_VALUE"""),"Lucy Liu, Juan Pablo Ortega, Markus Villig, Melanie Perkins and Adam Satariano")</f>
        <v>Lucy Liu, Juan Pablo Ortega, Markus Villig, Melanie Perkins and Adam Satariano</v>
      </c>
      <c r="E321" s="4" t="str">
        <f>IFERROR(__xludf.DUMMYFUNCTION("""COMPUTED_VALUE"""),"Lucy Liu,Juan Pablo Ortega,Markus Villig,Melanie Perkins,Adam Satariano")</f>
        <v>Lucy Liu,Juan Pablo Ortega,Markus Villig,Melanie Perkins,Adam Satariano</v>
      </c>
      <c r="F321" s="4" t="str">
        <f>IFERROR(__xludf.DUMMYFUNCTION("""COMPUTED_VALUE"""),"2019/11/05 15:10:00")</f>
        <v>2019/11/05 15:10:00</v>
      </c>
      <c r="G321" s="4" t="str">
        <f>IFERROR(__xludf.DUMMYFUNCTION("""COMPUTED_VALUE"""),"2019/11/05 15:30:00")</f>
        <v>2019/11/05 15:30:00</v>
      </c>
      <c r="H321" s="4" t="str">
        <f>IFERROR(__xludf.DUMMYFUNCTION("""COMPUTED_VALUE"""),"211f55b8-8f77-4f80-a749-bdff379377a9")</f>
        <v>211f55b8-8f77-4f80-a749-bdff379377a9</v>
      </c>
      <c r="I321" s="4" t="str">
        <f>IFERROR(__xludf.DUMMYFUNCTION("""COMPUTED_VALUE"""),"211f55b8-8f77-4f80-a749-bdff379377a9")</f>
        <v>211f55b8-8f77-4f80-a749-bdff379377a9</v>
      </c>
    </row>
    <row r="322">
      <c r="A322" s="4" t="str">
        <f>IFERROR(__xludf.DUMMYFUNCTION("""COMPUTED_VALUE"""),"Opportunities in Latin America: Will your business reach half a billion people?, hosted by Inter-American Development Bank")</f>
        <v>Opportunities in Latin America: Will your business reach half a billion people?, hosted by Inter-American Development Bank</v>
      </c>
      <c r="B322" s="4" t="str">
        <f>IFERROR(__xludf.DUMMYFUNCTION("""COMPUTED_VALUE"""),"For 60 years, the Inter-American Development Bank Group (IDB) has been financing, advising and helping public and private sector projects in Latin America and the Caribbean. The result? Hand-on knowledge of the obstacles, tactics and strategies needed to "&amp;"significantly improve the lives of more than 500 million people in 26 countries. We want to share this knowledge with startups and entrepreneurs. But all good conversations are two-way - we also want to share challenges presented by this region and hear w"&amp;"hat solutions your business could provide. We’re looking for new ideas, businesses and entrepreneurs to work with - will it be you?")</f>
        <v>For 60 years, the Inter-American Development Bank Group (IDB) has been financing, advising and helping public and private sector projects in Latin America and the Caribbean. The result? Hand-on knowledge of the obstacles, tactics and strategies needed to significantly improve the lives of more than 500 million people in 26 countries. We want to share this knowledge with startups and entrepreneurs. But all good conversations are two-way - we also want to share challenges presented by this region and hear what solutions your business could provide. We’re looking for new ideas, businesses and entrepreneurs to work with - will it be you?</v>
      </c>
      <c r="C322" s="4" t="str">
        <f>IFERROR(__xludf.DUMMYFUNCTION("""COMPUTED_VALUE"""),"Workshop 3")</f>
        <v>Workshop 3</v>
      </c>
      <c r="D322" s="4" t="str">
        <f>IFERROR(__xludf.DUMMYFUNCTION("""COMPUTED_VALUE"""),"")</f>
        <v/>
      </c>
      <c r="E322" s="4" t="str">
        <f>IFERROR(__xludf.DUMMYFUNCTION("""COMPUTED_VALUE"""),"")</f>
        <v/>
      </c>
      <c r="F322" s="4" t="str">
        <f>IFERROR(__xludf.DUMMYFUNCTION("""COMPUTED_VALUE"""),"2019/11/05 12:45:00")</f>
        <v>2019/11/05 12:45:00</v>
      </c>
      <c r="G322" s="4" t="str">
        <f>IFERROR(__xludf.DUMMYFUNCTION("""COMPUTED_VALUE"""),"2019/11/05 13:30:00")</f>
        <v>2019/11/05 13:30:00</v>
      </c>
      <c r="H322" s="4" t="str">
        <f>IFERROR(__xludf.DUMMYFUNCTION("""COMPUTED_VALUE"""),"74e3cb11-33f5-4de8-801c-3f47a557c9e0")</f>
        <v>74e3cb11-33f5-4de8-801c-3f47a557c9e0</v>
      </c>
      <c r="I322" s="4" t="str">
        <f>IFERROR(__xludf.DUMMYFUNCTION("""COMPUTED_VALUE"""),"74e3cb11-33f5-4de8-801c-3f47a557c9e0")</f>
        <v>74e3cb11-33f5-4de8-801c-3f47a557c9e0</v>
      </c>
    </row>
    <row r="323">
      <c r="A323" s="4" t="str">
        <f>IFERROR(__xludf.DUMMYFUNCTION("""COMPUTED_VALUE"""),"Building a Gen Z marketplace")</f>
        <v>Building a Gen Z marketplace</v>
      </c>
      <c r="B323" s="4" t="str">
        <f>IFERROR(__xludf.DUMMYFUNCTION("""COMPUTED_VALUE"""),"With ninety percent of Depop’s active users under the age of 26, CEO Maria Raga discusses how the London based fashion marketplace app has uniquely scaled their platform to meet the needs of one of today’s most disruptive consumer audiences, Generation Z."&amp;" ")</f>
        <v>With ninety percent of Depop’s active users under the age of 26, CEO Maria Raga discusses how the London based fashion marketplace app has uniquely scaled their platform to meet the needs of one of today’s most disruptive consumer audiences, Generation Z. </v>
      </c>
      <c r="C323" s="4" t="str">
        <f>IFERROR(__xludf.DUMMYFUNCTION("""COMPUTED_VALUE"""),"Growth Summit")</f>
        <v>Growth Summit</v>
      </c>
      <c r="D323" s="4" t="str">
        <f>IFERROR(__xludf.DUMMYFUNCTION("""COMPUTED_VALUE"""),"Maria Raga")</f>
        <v>Maria Raga</v>
      </c>
      <c r="E323" s="4" t="str">
        <f>IFERROR(__xludf.DUMMYFUNCTION("""COMPUTED_VALUE"""),"Maria Raga")</f>
        <v>Maria Raga</v>
      </c>
      <c r="F323" s="4" t="str">
        <f>IFERROR(__xludf.DUMMYFUNCTION("""COMPUTED_VALUE"""),"2019/11/07 14:42:00")</f>
        <v>2019/11/07 14:42:00</v>
      </c>
      <c r="G323" s="4" t="str">
        <f>IFERROR(__xludf.DUMMYFUNCTION("""COMPUTED_VALUE"""),"2019/11/07 14:53:00")</f>
        <v>2019/11/07 14:53:00</v>
      </c>
      <c r="H323" s="4" t="str">
        <f>IFERROR(__xludf.DUMMYFUNCTION("""COMPUTED_VALUE"""),"7409bcaa-3df1-498a-8d79-885b260aad51")</f>
        <v>7409bcaa-3df1-498a-8d79-885b260aad51</v>
      </c>
      <c r="I323" s="4" t="str">
        <f>IFERROR(__xludf.DUMMYFUNCTION("""COMPUTED_VALUE"""),"7409bcaa-3df1-498a-8d79-885b260aad51")</f>
        <v>7409bcaa-3df1-498a-8d79-885b260aad51</v>
      </c>
    </row>
    <row r="324">
      <c r="A324" s="4" t="str">
        <f>IFERROR(__xludf.DUMMYFUNCTION("""COMPUTED_VALUE"""),"Knowing your customers: Easy to say, so hard to do")</f>
        <v>Knowing your customers: Easy to say, so hard to do</v>
      </c>
      <c r="B324" s="4" t="str">
        <f>IFERROR(__xludf.DUMMYFUNCTION("""COMPUTED_VALUE"""),"Knowing your customers is harder thank you'd think. Today, technology is transforming the way brands can understand their customers. In this talk, you'll learn how to use data to get inside your customers' heads and give them what they really want. ")</f>
        <v>Knowing your customers is harder thank you'd think. Today, technology is transforming the way brands can understand their customers. In this talk, you'll learn how to use data to get inside your customers' heads and give them what they really want. </v>
      </c>
      <c r="C324" s="4" t="str">
        <f>IFERROR(__xludf.DUMMYFUNCTION("""COMPUTED_VALUE"""),"PandaConf")</f>
        <v>PandaConf</v>
      </c>
      <c r="D324" s="4" t="str">
        <f>IFERROR(__xludf.DUMMYFUNCTION("""COMPUTED_VALUE"""),"Edwina Dunn")</f>
        <v>Edwina Dunn</v>
      </c>
      <c r="E324" s="4" t="str">
        <f>IFERROR(__xludf.DUMMYFUNCTION("""COMPUTED_VALUE"""),"Edwina Dunn")</f>
        <v>Edwina Dunn</v>
      </c>
      <c r="F324" s="4" t="str">
        <f>IFERROR(__xludf.DUMMYFUNCTION("""COMPUTED_VALUE"""),"2019/11/05 11:05:00")</f>
        <v>2019/11/05 11:05:00</v>
      </c>
      <c r="G324" s="4" t="str">
        <f>IFERROR(__xludf.DUMMYFUNCTION("""COMPUTED_VALUE"""),"2019/11/05 11:25:00")</f>
        <v>2019/11/05 11:25:00</v>
      </c>
      <c r="H324" s="4" t="str">
        <f>IFERROR(__xludf.DUMMYFUNCTION("""COMPUTED_VALUE"""),"b5b06e8a-6056-4037-b0cc-90d74485c31d")</f>
        <v>b5b06e8a-6056-4037-b0cc-90d74485c31d</v>
      </c>
      <c r="I324" s="4" t="str">
        <f>IFERROR(__xludf.DUMMYFUNCTION("""COMPUTED_VALUE"""),"b5b06e8a-6056-4037-b0cc-90d74485c31d")</f>
        <v>b5b06e8a-6056-4037-b0cc-90d74485c31d</v>
      </c>
    </row>
    <row r="325">
      <c r="A325" s="4" t="str">
        <f>IFERROR(__xludf.DUMMYFUNCTION("""COMPUTED_VALUE"""),"eSports: Roadmapping the future")</f>
        <v>eSports: Roadmapping the future</v>
      </c>
      <c r="B325" s="4" t="str">
        <f>IFERROR(__xludf.DUMMYFUNCTION("""COMPUTED_VALUE"""),"eSports is not a fad, it is the future of gaming. This session will delve into the growth of the billion-dollar industry and answer the question everyone is asking – what’s next?")</f>
        <v>eSports is not a fad, it is the future of gaming. This session will delve into the growth of the billion-dollar industry and answer the question everyone is asking – what’s next?</v>
      </c>
      <c r="C325" s="4" t="str">
        <f>IFERROR(__xludf.DUMMYFUNCTION("""COMPUTED_VALUE"""),"SportsTrade")</f>
        <v>SportsTrade</v>
      </c>
      <c r="D325" s="4" t="str">
        <f>IFERROR(__xludf.DUMMYFUNCTION("""COMPUTED_VALUE"""),"Sergey Portnov, Bruce Stein and Rob Harris")</f>
        <v>Sergey Portnov, Bruce Stein and Rob Harris</v>
      </c>
      <c r="E325" s="4" t="str">
        <f>IFERROR(__xludf.DUMMYFUNCTION("""COMPUTED_VALUE"""),"Sergey Portnov,Bruce Stein,Rob Harris")</f>
        <v>Sergey Portnov,Bruce Stein,Rob Harris</v>
      </c>
      <c r="F325" s="4" t="str">
        <f>IFERROR(__xludf.DUMMYFUNCTION("""COMPUTED_VALUE"""),"2019/11/05 11:25:00")</f>
        <v>2019/11/05 11:25:00</v>
      </c>
      <c r="G325" s="4" t="str">
        <f>IFERROR(__xludf.DUMMYFUNCTION("""COMPUTED_VALUE"""),"2019/11/05 11:45:00")</f>
        <v>2019/11/05 11:45:00</v>
      </c>
      <c r="H325" s="4" t="str">
        <f>IFERROR(__xludf.DUMMYFUNCTION("""COMPUTED_VALUE"""),"d79d3ddd-1b99-4cb5-aa70-d337d3802bf3")</f>
        <v>d79d3ddd-1b99-4cb5-aa70-d337d3802bf3</v>
      </c>
      <c r="I325" s="4" t="str">
        <f>IFERROR(__xludf.DUMMYFUNCTION("""COMPUTED_VALUE"""),"d79d3ddd-1b99-4cb5-aa70-d337d3802bf3")</f>
        <v>d79d3ddd-1b99-4cb5-aa70-d337d3802bf3</v>
      </c>
    </row>
    <row r="326">
      <c r="A326" s="4" t="str">
        <f>IFERROR(__xludf.DUMMYFUNCTION("""COMPUTED_VALUE"""),"Creating trust in capital markets through disruptive collaboration")</f>
        <v>Creating trust in capital markets through disruptive collaboration</v>
      </c>
      <c r="B326" s="4" t="str">
        <f>IFERROR(__xludf.DUMMYFUNCTION("""COMPUTED_VALUE"""),"Sharegain's founder and CEO, Boaz joins us to talk about how to create trust, and how to partner with top-tier financial institutions.")</f>
        <v>Sharegain's founder and CEO, Boaz joins us to talk about how to create trust, and how to partner with top-tier financial institutions.</v>
      </c>
      <c r="C326" s="4" t="str">
        <f>IFERROR(__xludf.DUMMYFUNCTION("""COMPUTED_VALUE"""),"Growth Summit")</f>
        <v>Growth Summit</v>
      </c>
      <c r="D326" s="4" t="str">
        <f>IFERROR(__xludf.DUMMYFUNCTION("""COMPUTED_VALUE"""),"Boaz Yaari")</f>
        <v>Boaz Yaari</v>
      </c>
      <c r="E326" s="4" t="str">
        <f>IFERROR(__xludf.DUMMYFUNCTION("""COMPUTED_VALUE"""),"Boaz Yaari")</f>
        <v>Boaz Yaari</v>
      </c>
      <c r="F326" s="4" t="str">
        <f>IFERROR(__xludf.DUMMYFUNCTION("""COMPUTED_VALUE"""),"2019/11/06 11:18:00")</f>
        <v>2019/11/06 11:18:00</v>
      </c>
      <c r="G326" s="4" t="str">
        <f>IFERROR(__xludf.DUMMYFUNCTION("""COMPUTED_VALUE"""),"2019/11/06 11:22:00")</f>
        <v>2019/11/06 11:22:00</v>
      </c>
      <c r="H326" s="4" t="str">
        <f>IFERROR(__xludf.DUMMYFUNCTION("""COMPUTED_VALUE"""),"53bc3899-fa38-449c-9767-57c8beb089ae")</f>
        <v>53bc3899-fa38-449c-9767-57c8beb089ae</v>
      </c>
      <c r="I326" s="4" t="str">
        <f>IFERROR(__xludf.DUMMYFUNCTION("""COMPUTED_VALUE"""),"53bc3899-fa38-449c-9767-57c8beb089ae")</f>
        <v>53bc3899-fa38-449c-9767-57c8beb089ae</v>
      </c>
    </row>
    <row r="327">
      <c r="A327" s="4" t="str">
        <f>IFERROR(__xludf.DUMMYFUNCTION("""COMPUTED_VALUE"""),"Closing the digital divide: the power of tech to drive change in the world ")</f>
        <v>Closing the digital divide: the power of tech to drive change in the world </v>
      </c>
      <c r="B327" s="4" t="str">
        <f>IFERROR(__xludf.DUMMYFUNCTION("""COMPUTED_VALUE"""),"As millions of people access mobile and internet for the first time, there is an unprecedented opportunity to connect them to the information and services they need to thrive. Realising the potential of internet access is no easy feat, especially in devel"&amp;"oping economies. On this panel we hear from three innovators, across government, development and industry, on pioneering mobile technology that is driving change in the world.")</f>
        <v>As millions of people access mobile and internet for the first time, there is an unprecedented opportunity to connect them to the information and services they need to thrive. Realising the potential of internet access is no easy feat, especially in developing economies. On this panel we hear from three innovators, across government, development and industry, on pioneering mobile technology that is driving change in the world.</v>
      </c>
      <c r="C327" s="4" t="str">
        <f>IFERROR(__xludf.DUMMYFUNCTION("""COMPUTED_VALUE"""),"Future Societies")</f>
        <v>Future Societies</v>
      </c>
      <c r="D327" s="4" t="str">
        <f>IFERROR(__xludf.DUMMYFUNCTION("""COMPUTED_VALUE"""),"Maya Horgan Famodu, Jonathan McKay, Sebastien Codeville and Philip Crowther")</f>
        <v>Maya Horgan Famodu, Jonathan McKay, Sebastien Codeville and Philip Crowther</v>
      </c>
      <c r="E327" s="4" t="str">
        <f>IFERROR(__xludf.DUMMYFUNCTION("""COMPUTED_VALUE"""),"Maya Horgan Famodu,Jonathan McKay,Sebastien Codeville,Philip Crowther")</f>
        <v>Maya Horgan Famodu,Jonathan McKay,Sebastien Codeville,Philip Crowther</v>
      </c>
      <c r="F327" s="4" t="str">
        <f>IFERROR(__xludf.DUMMYFUNCTION("""COMPUTED_VALUE"""),"2019/11/07 14:20:00")</f>
        <v>2019/11/07 14:20:00</v>
      </c>
      <c r="G327" s="4" t="str">
        <f>IFERROR(__xludf.DUMMYFUNCTION("""COMPUTED_VALUE"""),"2019/11/07 14:40:00")</f>
        <v>2019/11/07 14:40:00</v>
      </c>
      <c r="H327" s="4" t="str">
        <f>IFERROR(__xludf.DUMMYFUNCTION("""COMPUTED_VALUE"""),"bcb5c8d9-14d9-42ad-b67c-7a92cee4d4d3")</f>
        <v>bcb5c8d9-14d9-42ad-b67c-7a92cee4d4d3</v>
      </c>
      <c r="I327" s="4" t="str">
        <f>IFERROR(__xludf.DUMMYFUNCTION("""COMPUTED_VALUE"""),"bcb5c8d9-14d9-42ad-b67c-7a92cee4d4d3")</f>
        <v>bcb5c8d9-14d9-42ad-b67c-7a92cee4d4d3</v>
      </c>
    </row>
    <row r="328">
      <c r="A328" s="4" t="str">
        <f>IFERROR(__xludf.DUMMYFUNCTION("""COMPUTED_VALUE"""),"The startup challenge of transforming traditional industries")</f>
        <v>The startup challenge of transforming traditional industries</v>
      </c>
      <c r="B328" s="4" t="str">
        <f>IFERROR(__xludf.DUMMYFUNCTION("""COMPUTED_VALUE"""),"As CEO of digital ecosystem company VAKT, Etienne reflects on the lessons the company has learned after two years of operations and on the challenges of disrupting the global commodities trading industry.")</f>
        <v>As CEO of digital ecosystem company VAKT, Etienne reflects on the lessons the company has learned after two years of operations and on the challenges of disrupting the global commodities trading industry.</v>
      </c>
      <c r="C328" s="4" t="str">
        <f>IFERROR(__xludf.DUMMYFUNCTION("""COMPUTED_VALUE"""),"Growth Summit")</f>
        <v>Growth Summit</v>
      </c>
      <c r="D328" s="4" t="str">
        <f>IFERROR(__xludf.DUMMYFUNCTION("""COMPUTED_VALUE"""),"Etienne Amic")</f>
        <v>Etienne Amic</v>
      </c>
      <c r="E328" s="4" t="str">
        <f>IFERROR(__xludf.DUMMYFUNCTION("""COMPUTED_VALUE"""),"Etienne Amic")</f>
        <v>Etienne Amic</v>
      </c>
      <c r="F328" s="4" t="str">
        <f>IFERROR(__xludf.DUMMYFUNCTION("""COMPUTED_VALUE"""),"2019/11/05 10:18:00")</f>
        <v>2019/11/05 10:18:00</v>
      </c>
      <c r="G328" s="4" t="str">
        <f>IFERROR(__xludf.DUMMYFUNCTION("""COMPUTED_VALUE"""),"2019/11/05 10:22:00")</f>
        <v>2019/11/05 10:22:00</v>
      </c>
      <c r="H328" s="4" t="str">
        <f>IFERROR(__xludf.DUMMYFUNCTION("""COMPUTED_VALUE"""),"ec2598bd-9c94-47e2-8eac-21d90e1c2716")</f>
        <v>ec2598bd-9c94-47e2-8eac-21d90e1c2716</v>
      </c>
      <c r="I328" s="4" t="str">
        <f>IFERROR(__xludf.DUMMYFUNCTION("""COMPUTED_VALUE"""),"ec2598bd-9c94-47e2-8eac-21d90e1c2716")</f>
        <v>ec2598bd-9c94-47e2-8eac-21d90e1c2716</v>
      </c>
    </row>
    <row r="329">
      <c r="A329" s="4" t="str">
        <f>IFERROR(__xludf.DUMMYFUNCTION("""COMPUTED_VALUE"""),"Cris Cyborg: Exclusive pre-Bellator debut press conference")</f>
        <v>Cris Cyborg: Exclusive pre-Bellator debut press conference</v>
      </c>
      <c r="B329" s="4" t="str">
        <f>IFERROR(__xludf.DUMMYFUNCTION("""COMPUTED_VALUE"""),"")</f>
        <v/>
      </c>
      <c r="C329" s="4" t="str">
        <f>IFERROR(__xludf.DUMMYFUNCTION("""COMPUTED_VALUE"""),"")</f>
        <v/>
      </c>
      <c r="D329" s="4" t="str">
        <f>IFERROR(__xludf.DUMMYFUNCTION("""COMPUTED_VALUE"""),"Cris Cyborg")</f>
        <v>Cris Cyborg</v>
      </c>
      <c r="E329" s="4" t="str">
        <f>IFERROR(__xludf.DUMMYFUNCTION("""COMPUTED_VALUE"""),"Cris Cyborg")</f>
        <v>Cris Cyborg</v>
      </c>
      <c r="F329" s="4" t="str">
        <f>IFERROR(__xludf.DUMMYFUNCTION("""COMPUTED_VALUE"""),"")</f>
        <v/>
      </c>
      <c r="G329" s="4" t="str">
        <f>IFERROR(__xludf.DUMMYFUNCTION("""COMPUTED_VALUE"""),"")</f>
        <v/>
      </c>
      <c r="H329" s="4" t="str">
        <f>IFERROR(__xludf.DUMMYFUNCTION("""COMPUTED_VALUE"""),"bc85a37f-25d2-5a23-a833-3c0fb3aac7fd")</f>
        <v>bc85a37f-25d2-5a23-a833-3c0fb3aac7fd</v>
      </c>
      <c r="I329" s="4" t="str">
        <f>IFERROR(__xludf.DUMMYFUNCTION("""COMPUTED_VALUE"""),"bc85a37f-25d2-5a23-a833-3c0fb3aac7fd")</f>
        <v>bc85a37f-25d2-5a23-a833-3c0fb3aac7fd</v>
      </c>
    </row>
    <row r="330">
      <c r="A330" s="4" t="str">
        <f>IFERROR(__xludf.DUMMYFUNCTION("""COMPUTED_VALUE"""),"Lunch break")</f>
        <v>Lunch break</v>
      </c>
      <c r="B330" s="4" t="str">
        <f>IFERROR(__xludf.DUMMYFUNCTION("""COMPUTED_VALUE"""),"")</f>
        <v/>
      </c>
      <c r="C330" s="4" t="str">
        <f>IFERROR(__xludf.DUMMYFUNCTION("""COMPUTED_VALUE"""),"Startup University")</f>
        <v>Startup University</v>
      </c>
      <c r="D330" s="4" t="str">
        <f>IFERROR(__xludf.DUMMYFUNCTION("""COMPUTED_VALUE"""),"")</f>
        <v/>
      </c>
      <c r="E330" s="4" t="str">
        <f>IFERROR(__xludf.DUMMYFUNCTION("""COMPUTED_VALUE"""),"")</f>
        <v/>
      </c>
      <c r="F330" s="4" t="str">
        <f>IFERROR(__xludf.DUMMYFUNCTION("""COMPUTED_VALUE"""),"2019/11/05 13:00:00")</f>
        <v>2019/11/05 13:00:00</v>
      </c>
      <c r="G330" s="4" t="str">
        <f>IFERROR(__xludf.DUMMYFUNCTION("""COMPUTED_VALUE"""),"2019/11/05 13:45:00")</f>
        <v>2019/11/05 13:45:00</v>
      </c>
      <c r="H330" s="4" t="str">
        <f>IFERROR(__xludf.DUMMYFUNCTION("""COMPUTED_VALUE"""),"b7b13b0c-cb93-4a28-92f2-c64579221f57")</f>
        <v>b7b13b0c-cb93-4a28-92f2-c64579221f57</v>
      </c>
      <c r="I330" s="4" t="str">
        <f>IFERROR(__xludf.DUMMYFUNCTION("""COMPUTED_VALUE"""),"b7b13b0c-cb93-4a28-92f2-c64579221f57")</f>
        <v>b7b13b0c-cb93-4a28-92f2-c64579221f57</v>
      </c>
    </row>
    <row r="331">
      <c r="A331" s="4" t="str">
        <f>IFERROR(__xludf.DUMMYFUNCTION("""COMPUTED_VALUE"""),"Immutable and distributed transactions: Your ledger databases and blockchain in the cloud")</f>
        <v>Immutable and distributed transactions: Your ledger databases and blockchain in the cloud</v>
      </c>
      <c r="B331" s="4" t="str">
        <f>IFERROR(__xludf.DUMMYFUNCTION("""COMPUTED_VALUE"""),"Enterprises around the world have very different needs when it comes to keep an immutable and verifiable trace of business transactions. Some require the transaction log to be centralised, while others need distribution across multiple actors.  In this se"&amp;"ssion we will explore the different use cases and services built around the concept of immutable and cryptographically verifiable ledger databases. We will cover centralised scenarios with Amazon QLDB and distributed ones with Amazon Managed blockchain.")</f>
        <v>Enterprises around the world have very different needs when it comes to keep an immutable and verifiable trace of business transactions. Some require the transaction log to be centralised, while others need distribution across multiple actors.  In this session we will explore the different use cases and services built around the concept of immutable and cryptographically verifiable ledger databases. We will cover centralised scenarios with Amazon QLDB and distributed ones with Amazon Managed blockchain.</v>
      </c>
      <c r="C331" s="4" t="str">
        <f>IFERROR(__xludf.DUMMYFUNCTION("""COMPUTED_VALUE"""),"AWS Developer Workshops")</f>
        <v>AWS Developer Workshops</v>
      </c>
      <c r="D331" s="4" t="str">
        <f>IFERROR(__xludf.DUMMYFUNCTION("""COMPUTED_VALUE"""),"")</f>
        <v/>
      </c>
      <c r="E331" s="4" t="str">
        <f>IFERROR(__xludf.DUMMYFUNCTION("""COMPUTED_VALUE"""),"")</f>
        <v/>
      </c>
      <c r="F331" s="4" t="str">
        <f>IFERROR(__xludf.DUMMYFUNCTION("""COMPUTED_VALUE"""),"2019/11/07 14:00:00")</f>
        <v>2019/11/07 14:00:00</v>
      </c>
      <c r="G331" s="4" t="str">
        <f>IFERROR(__xludf.DUMMYFUNCTION("""COMPUTED_VALUE"""),"2019/11/07 14:50:00")</f>
        <v>2019/11/07 14:50:00</v>
      </c>
      <c r="H331" s="4" t="str">
        <f>IFERROR(__xludf.DUMMYFUNCTION("""COMPUTED_VALUE"""),"dbd3b407-e531-4903-b851-40ae835cbef1")</f>
        <v>dbd3b407-e531-4903-b851-40ae835cbef1</v>
      </c>
      <c r="I331" s="4" t="str">
        <f>IFERROR(__xludf.DUMMYFUNCTION("""COMPUTED_VALUE"""),"dbd3b407-e531-4903-b851-40ae835cbef1")</f>
        <v>dbd3b407-e531-4903-b851-40ae835cbef1</v>
      </c>
    </row>
    <row r="332">
      <c r="A332" s="4" t="str">
        <f>IFERROR(__xludf.DUMMYFUNCTION("""COMPUTED_VALUE"""),"Keeping open source open")</f>
        <v>Keeping open source open</v>
      </c>
      <c r="B332" s="4" t="str">
        <f>IFERROR(__xludf.DUMMYFUNCTION("""COMPUTED_VALUE"""),"Should we keep open source open? The benefits of doing so far outweigh the cons. Allowing developers from all backgrounds and training practices to review and modify code means that it is constantly being improved. Consequently, this allows the entirety o"&amp;"f the industry to benefit from innovation, better security and healthy competition. It also gives developers greater mobility. ")</f>
        <v>Should we keep open source open? The benefits of doing so far outweigh the cons. Allowing developers from all backgrounds and training practices to review and modify code means that it is constantly being improved. Consequently, this allows the entirety of the industry to benefit from innovation, better security and healthy competition. It also gives developers greater mobility. </v>
      </c>
      <c r="C332" s="4" t="str">
        <f>IFERROR(__xludf.DUMMYFUNCTION("""COMPUTED_VALUE"""),"FullSTK")</f>
        <v>FullSTK</v>
      </c>
      <c r="D332" s="4" t="str">
        <f>IFERROR(__xludf.DUMMYFUNCTION("""COMPUTED_VALUE"""),"Katharina Borchert, Rashmi Gopinath and John Rampton")</f>
        <v>Katharina Borchert, Rashmi Gopinath and John Rampton</v>
      </c>
      <c r="E332" s="4" t="str">
        <f>IFERROR(__xludf.DUMMYFUNCTION("""COMPUTED_VALUE"""),"Katharina Borchert,Rashmi Gopinath,John Rampton")</f>
        <v>Katharina Borchert,Rashmi Gopinath,John Rampton</v>
      </c>
      <c r="F332" s="4" t="str">
        <f>IFERROR(__xludf.DUMMYFUNCTION("""COMPUTED_VALUE"""),"2019/11/07 12:15:00")</f>
        <v>2019/11/07 12:15:00</v>
      </c>
      <c r="G332" s="4" t="str">
        <f>IFERROR(__xludf.DUMMYFUNCTION("""COMPUTED_VALUE"""),"2019/11/07 12:35:00")</f>
        <v>2019/11/07 12:35:00</v>
      </c>
      <c r="H332" s="4" t="str">
        <f>IFERROR(__xludf.DUMMYFUNCTION("""COMPUTED_VALUE"""),"2e5449ec-46ea-4bff-aabe-76c77c5da660")</f>
        <v>2e5449ec-46ea-4bff-aabe-76c77c5da660</v>
      </c>
      <c r="I332" s="4" t="str">
        <f>IFERROR(__xludf.DUMMYFUNCTION("""COMPUTED_VALUE"""),"2e5449ec-46ea-4bff-aabe-76c77c5da660")</f>
        <v>2e5449ec-46ea-4bff-aabe-76c77c5da660</v>
      </c>
    </row>
    <row r="333">
      <c r="A333" s="4" t="str">
        <f>IFERROR(__xludf.DUMMYFUNCTION("""COMPUTED_VALUE"""),"The long walk to peace")</f>
        <v>The long walk to peace</v>
      </c>
      <c r="B333" s="4" t="str">
        <f>IFERROR(__xludf.DUMMYFUNCTION("""COMPUTED_VALUE"""),"The path to peace for any society after a period of conflict is fraught with danger. The majority of civil conflicts backslide within 10 years of finishing. Shortening the path from conflict to peace is what this panel - including Nelson Mandela's grandso"&amp;"n - will explore.")</f>
        <v>The path to peace for any society after a period of conflict is fraught with danger. The majority of civil conflicts backslide within 10 years of finishing. Shortening the path from conflict to peace is what this panel - including Nelson Mandela's grandson - will explore.</v>
      </c>
      <c r="C333" s="4" t="str">
        <f>IFERROR(__xludf.DUMMYFUNCTION("""COMPUTED_VALUE"""),"Future Societies")</f>
        <v>Future Societies</v>
      </c>
      <c r="D333" s="4" t="str">
        <f>IFERROR(__xludf.DUMMYFUNCTION("""COMPUTED_VALUE"""),"Siyabulela Mandela, Peter Tatchell, John Jaeger and Tom Finn")</f>
        <v>Siyabulela Mandela, Peter Tatchell, John Jaeger and Tom Finn</v>
      </c>
      <c r="E333" s="4" t="str">
        <f>IFERROR(__xludf.DUMMYFUNCTION("""COMPUTED_VALUE"""),"Siyabulela Mandela,Peter Tatchell,John Jaeger,Tom Finn")</f>
        <v>Siyabulela Mandela,Peter Tatchell,John Jaeger,Tom Finn</v>
      </c>
      <c r="F333" s="4" t="str">
        <f>IFERROR(__xludf.DUMMYFUNCTION("""COMPUTED_VALUE"""),"2019/11/06 10:50:00")</f>
        <v>2019/11/06 10:50:00</v>
      </c>
      <c r="G333" s="4" t="str">
        <f>IFERROR(__xludf.DUMMYFUNCTION("""COMPUTED_VALUE"""),"2019/11/06 11:10:00")</f>
        <v>2019/11/06 11:10:00</v>
      </c>
      <c r="H333" s="4" t="str">
        <f>IFERROR(__xludf.DUMMYFUNCTION("""COMPUTED_VALUE"""),"0481dbc5-00f8-4433-ae3e-9e59c676bb60")</f>
        <v>0481dbc5-00f8-4433-ae3e-9e59c676bb60</v>
      </c>
      <c r="I333" s="4" t="str">
        <f>IFERROR(__xludf.DUMMYFUNCTION("""COMPUTED_VALUE"""),"0481dbc5-00f8-4433-ae3e-9e59c676bb60")</f>
        <v>0481dbc5-00f8-4433-ae3e-9e59c676bb60</v>
      </c>
    </row>
    <row r="334">
      <c r="A334" s="4" t="str">
        <f>IFERROR(__xludf.DUMMYFUNCTION("""COMPUTED_VALUE"""),"Q&amp;A with Garrett McNamara
")</f>
        <v>Q&amp;A with Garrett McNamara
</v>
      </c>
      <c r="B334" s="4" t="str">
        <f>IFERROR(__xludf.DUMMYFUNCTION("""COMPUTED_VALUE"""),"")</f>
        <v/>
      </c>
      <c r="C334" s="4" t="str">
        <f>IFERROR(__xludf.DUMMYFUNCTION("""COMPUTED_VALUE"""),"")</f>
        <v/>
      </c>
      <c r="D334" s="4" t="str">
        <f>IFERROR(__xludf.DUMMYFUNCTION("""COMPUTED_VALUE"""),"Garrett McNamara")</f>
        <v>Garrett McNamara</v>
      </c>
      <c r="E334" s="4" t="str">
        <f>IFERROR(__xludf.DUMMYFUNCTION("""COMPUTED_VALUE"""),"Garrett McNamara")</f>
        <v>Garrett McNamara</v>
      </c>
      <c r="F334" s="4" t="str">
        <f>IFERROR(__xludf.DUMMYFUNCTION("""COMPUTED_VALUE"""),"")</f>
        <v/>
      </c>
      <c r="G334" s="4" t="str">
        <f>IFERROR(__xludf.DUMMYFUNCTION("""COMPUTED_VALUE"""),"")</f>
        <v/>
      </c>
      <c r="H334" s="4" t="str">
        <f>IFERROR(__xludf.DUMMYFUNCTION("""COMPUTED_VALUE"""),"3b967284-534a-5639-909d-69f9cc0c3dfe")</f>
        <v>3b967284-534a-5639-909d-69f9cc0c3dfe</v>
      </c>
      <c r="I334" s="4" t="str">
        <f>IFERROR(__xludf.DUMMYFUNCTION("""COMPUTED_VALUE"""),"3b967284-534a-5639-909d-69f9cc0c3dfe")</f>
        <v>3b967284-534a-5639-909d-69f9cc0c3dfe</v>
      </c>
    </row>
    <row r="335">
      <c r="A335" s="4" t="str">
        <f>IFERROR(__xludf.DUMMYFUNCTION("""COMPUTED_VALUE"""),"Is there a future for TV?")</f>
        <v>Is there a future for TV?</v>
      </c>
      <c r="B335" s="4" t="str">
        <f>IFERROR(__xludf.DUMMYFUNCTION("""COMPUTED_VALUE"""),"This panel discussion looks at the shifting television landscape and the challenges facing the medium in 2019. ")</f>
        <v>This panel discussion looks at the shifting television landscape and the challenges facing the medium in 2019. </v>
      </c>
      <c r="C335" s="4" t="str">
        <f>IFERROR(__xludf.DUMMYFUNCTION("""COMPUTED_VALUE"""),"ContentMakers")</f>
        <v>ContentMakers</v>
      </c>
      <c r="D335" s="4" t="str">
        <f>IFERROR(__xludf.DUMMYFUNCTION("""COMPUTED_VALUE"""),"Patrick Holland, Juliet Mann and Ania Poullain-Majchrzak")</f>
        <v>Patrick Holland, Juliet Mann and Ania Poullain-Majchrzak</v>
      </c>
      <c r="E335" s="4" t="str">
        <f>IFERROR(__xludf.DUMMYFUNCTION("""COMPUTED_VALUE"""),"Patrick Holland,Juliet Mann,Ania Poullain-Majchrzak")</f>
        <v>Patrick Holland,Juliet Mann,Ania Poullain-Majchrzak</v>
      </c>
      <c r="F335" s="4" t="str">
        <f>IFERROR(__xludf.DUMMYFUNCTION("""COMPUTED_VALUE"""),"2019/11/07 12:15:00")</f>
        <v>2019/11/07 12:15:00</v>
      </c>
      <c r="G335" s="4" t="str">
        <f>IFERROR(__xludf.DUMMYFUNCTION("""COMPUTED_VALUE"""),"2019/11/07 12:35:00")</f>
        <v>2019/11/07 12:35:00</v>
      </c>
      <c r="H335" s="4" t="str">
        <f>IFERROR(__xludf.DUMMYFUNCTION("""COMPUTED_VALUE"""),"e5d32825-cddf-4932-8ee1-67a20d5318a7")</f>
        <v>e5d32825-cddf-4932-8ee1-67a20d5318a7</v>
      </c>
      <c r="I335" s="4" t="str">
        <f>IFERROR(__xludf.DUMMYFUNCTION("""COMPUTED_VALUE"""),"e5d32825-cddf-4932-8ee1-67a20d5318a7")</f>
        <v>e5d32825-cddf-4932-8ee1-67a20d5318a7</v>
      </c>
    </row>
    <row r="336">
      <c r="A336" s="4" t="str">
        <f>IFERROR(__xludf.DUMMYFUNCTION("""COMPUTED_VALUE"""),"Opening remarks")</f>
        <v>Opening remarks</v>
      </c>
      <c r="B336" s="4" t="str">
        <f>IFERROR(__xludf.DUMMYFUNCTION("""COMPUTED_VALUE"""),"")</f>
        <v/>
      </c>
      <c r="C336" s="4" t="str">
        <f>IFERROR(__xludf.DUMMYFUNCTION("""COMPUTED_VALUE"""),"MoneyConf")</f>
        <v>MoneyConf</v>
      </c>
      <c r="D336" s="4" t="str">
        <f>IFERROR(__xludf.DUMMYFUNCTION("""COMPUTED_VALUE"""),"Anna Scally")</f>
        <v>Anna Scally</v>
      </c>
      <c r="E336" s="4" t="str">
        <f>IFERROR(__xludf.DUMMYFUNCTION("""COMPUTED_VALUE"""),"Anna Scally")</f>
        <v>Anna Scally</v>
      </c>
      <c r="F336" s="4" t="str">
        <f>IFERROR(__xludf.DUMMYFUNCTION("""COMPUTED_VALUE"""),"2019/11/07 10:45:00")</f>
        <v>2019/11/07 10:45:00</v>
      </c>
      <c r="G336" s="4" t="str">
        <f>IFERROR(__xludf.DUMMYFUNCTION("""COMPUTED_VALUE"""),"2019/11/07 11:00:00")</f>
        <v>2019/11/07 11:00:00</v>
      </c>
      <c r="H336" s="4" t="str">
        <f>IFERROR(__xludf.DUMMYFUNCTION("""COMPUTED_VALUE"""),"4c0432e1-70f0-4142-9405-efa53da6f706")</f>
        <v>4c0432e1-70f0-4142-9405-efa53da6f706</v>
      </c>
      <c r="I336" s="4" t="str">
        <f>IFERROR(__xludf.DUMMYFUNCTION("""COMPUTED_VALUE"""),"4c0432e1-70f0-4142-9405-efa53da6f706")</f>
        <v>4c0432e1-70f0-4142-9405-efa53da6f706</v>
      </c>
    </row>
    <row r="337">
      <c r="A337" s="4" t="str">
        <f>IFERROR(__xludf.DUMMYFUNCTION("""COMPUTED_VALUE"""),"Opening remarks")</f>
        <v>Opening remarks</v>
      </c>
      <c r="B337" s="4" t="str">
        <f>IFERROR(__xludf.DUMMYFUNCTION("""COMPUTED_VALUE"""),"")</f>
        <v/>
      </c>
      <c r="C337" s="4" t="str">
        <f>IFERROR(__xludf.DUMMYFUNCTION("""COMPUTED_VALUE"""),"SportsTrade")</f>
        <v>SportsTrade</v>
      </c>
      <c r="D337" s="4" t="str">
        <f>IFERROR(__xludf.DUMMYFUNCTION("""COMPUTED_VALUE"""),"Bernard Brogan")</f>
        <v>Bernard Brogan</v>
      </c>
      <c r="E337" s="4" t="str">
        <f>IFERROR(__xludf.DUMMYFUNCTION("""COMPUTED_VALUE"""),"Bernard Brogan")</f>
        <v>Bernard Brogan</v>
      </c>
      <c r="F337" s="4" t="str">
        <f>IFERROR(__xludf.DUMMYFUNCTION("""COMPUTED_VALUE"""),"2019/11/05 13:10:00")</f>
        <v>2019/11/05 13:10:00</v>
      </c>
      <c r="G337" s="4" t="str">
        <f>IFERROR(__xludf.DUMMYFUNCTION("""COMPUTED_VALUE"""),"2019/11/05 13:15:00")</f>
        <v>2019/11/05 13:15:00</v>
      </c>
      <c r="H337" s="4" t="str">
        <f>IFERROR(__xludf.DUMMYFUNCTION("""COMPUTED_VALUE"""),"b6b29815-62f1-4ce8-b773-c4198035b84b")</f>
        <v>b6b29815-62f1-4ce8-b773-c4198035b84b</v>
      </c>
      <c r="I337" s="4" t="str">
        <f>IFERROR(__xludf.DUMMYFUNCTION("""COMPUTED_VALUE"""),"b6b29815-62f1-4ce8-b773-c4198035b84b")</f>
        <v>b6b29815-62f1-4ce8-b773-c4198035b84b</v>
      </c>
    </row>
    <row r="338">
      <c r="A338" s="4" t="str">
        <f>IFERROR(__xludf.DUMMYFUNCTION("""COMPUTED_VALUE"""),"Chaos Engineering: Why breaking things should be practiced")</f>
        <v>Chaos Engineering: Why breaking things should be practiced</v>
      </c>
      <c r="B338" s="4" t="str">
        <f>IFERROR(__xludf.DUMMYFUNCTION("""COMPUTED_VALUE"""),"Ever wondered how companies delivering global services like Amazon or Netflix are architecting and testing their software systems? If so, this session is for you.
 With the rise of microservices and large-scale distributed architectures, software systems"&amp;" have grown increasingly complex and hard to understand. Adding to that complexity, the velocity of software delivery has also dramatically increased, resulting in failures being harder to predict and contain. While the cloud allows for high availability,"&amp;" redundancy and fault tolerance, no single component can guarantee 100% uptime. Therefore, we have to understand availability but especially learn how to design architectures with failure in mind. And since failures have become more and more chaotic in na"&amp;"ture, we must turn to chaos engineering in order to identify failures before they become outages. In this talk, we will look into availability, reliability and large-scale architectures and make an introduction to chaos engineering, a discipline that prom"&amp;"otes breaking things on purpose in order to learn how to build more resilient systems.")</f>
        <v>Ever wondered how companies delivering global services like Amazon or Netflix are architecting and testing their software systems? If so, this session is for you.
 With the rise of microservices and large-scale distributed architectures, software systems have grown increasingly complex and hard to understand. Adding to that complexity, the velocity of software delivery has also dramatically increased, resulting in failures being harder to predict and contain. While the cloud allows for high availability, redundancy and fault tolerance, no single component can guarantee 100% uptime. Therefore, we have to understand availability but especially learn how to design architectures with failure in mind. And since failures have become more and more chaotic in nature, we must turn to chaos engineering in order to identify failures before they become outages. In this talk, we will look into availability, reliability and large-scale architectures and make an introduction to chaos engineering, a discipline that promotes breaking things on purpose in order to learn how to build more resilient systems.</v>
      </c>
      <c r="C338" s="4" t="str">
        <f>IFERROR(__xludf.DUMMYFUNCTION("""COMPUTED_VALUE"""),"AWS Developer Workshops")</f>
        <v>AWS Developer Workshops</v>
      </c>
      <c r="D338" s="4" t="str">
        <f>IFERROR(__xludf.DUMMYFUNCTION("""COMPUTED_VALUE"""),"")</f>
        <v/>
      </c>
      <c r="E338" s="4" t="str">
        <f>IFERROR(__xludf.DUMMYFUNCTION("""COMPUTED_VALUE"""),"")</f>
        <v/>
      </c>
      <c r="F338" s="4" t="str">
        <f>IFERROR(__xludf.DUMMYFUNCTION("""COMPUTED_VALUE"""),"2019/11/06 11:00:00")</f>
        <v>2019/11/06 11:00:00</v>
      </c>
      <c r="G338" s="4" t="str">
        <f>IFERROR(__xludf.DUMMYFUNCTION("""COMPUTED_VALUE"""),"2019/11/06 11:50:00")</f>
        <v>2019/11/06 11:50:00</v>
      </c>
      <c r="H338" s="4" t="str">
        <f>IFERROR(__xludf.DUMMYFUNCTION("""COMPUTED_VALUE"""),"e01cbf29-befc-4447-a60c-4c61d0a9068b")</f>
        <v>e01cbf29-befc-4447-a60c-4c61d0a9068b</v>
      </c>
      <c r="I338" s="4" t="str">
        <f>IFERROR(__xludf.DUMMYFUNCTION("""COMPUTED_VALUE"""),"e01cbf29-befc-4447-a60c-4c61d0a9068b")</f>
        <v>e01cbf29-befc-4447-a60c-4c61d0a9068b</v>
      </c>
    </row>
    <row r="339">
      <c r="A339" s="4" t="str">
        <f>IFERROR(__xludf.DUMMYFUNCTION("""COMPUTED_VALUE"""),"Fairness in blockchain and distributed ledger technology, hosted by Hedera Hashgraph ")</f>
        <v>Fairness in blockchain and distributed ledger technology, hosted by Hedera Hashgraph </v>
      </c>
      <c r="B339" s="4" t="str">
        <f>IFERROR(__xludf.DUMMYFUNCTION("""COMPUTED_VALUE"""),"Blockchain and DLT systems build trust by distributing agreement among people who are less trusted individually. This lets you trust that everyone will agree on which transactions are executed, and in what order. But will that order be fair? Can you trust"&amp;" that no individual will have too much influence on that order? We will talk about how this can be important for applications from stock markets to games, and discuss ways to define and ensure fairness.")</f>
        <v>Blockchain and DLT systems build trust by distributing agreement among people who are less trusted individually. This lets you trust that everyone will agree on which transactions are executed, and in what order. But will that order be fair? Can you trust that no individual will have too much influence on that order? We will talk about how this can be important for applications from stock markets to games, and discuss ways to define and ensure fairness.</v>
      </c>
      <c r="C339" s="4" t="str">
        <f>IFERROR(__xludf.DUMMYFUNCTION("""COMPUTED_VALUE"""),"Workshop 3")</f>
        <v>Workshop 3</v>
      </c>
      <c r="D339" s="4" t="str">
        <f>IFERROR(__xludf.DUMMYFUNCTION("""COMPUTED_VALUE"""),"Leemon Baird")</f>
        <v>Leemon Baird</v>
      </c>
      <c r="E339" s="4" t="str">
        <f>IFERROR(__xludf.DUMMYFUNCTION("""COMPUTED_VALUE"""),"Leemon Baird")</f>
        <v>Leemon Baird</v>
      </c>
      <c r="F339" s="4" t="str">
        <f>IFERROR(__xludf.DUMMYFUNCTION("""COMPUTED_VALUE"""),"2019/11/05 14:00:00")</f>
        <v>2019/11/05 14:00:00</v>
      </c>
      <c r="G339" s="4" t="str">
        <f>IFERROR(__xludf.DUMMYFUNCTION("""COMPUTED_VALUE"""),"2019/11/05 15:30:00")</f>
        <v>2019/11/05 15:30:00</v>
      </c>
      <c r="H339" s="4" t="str">
        <f>IFERROR(__xludf.DUMMYFUNCTION("""COMPUTED_VALUE"""),"ff4d5224-dc4d-4120-a61a-d3dae839d17d")</f>
        <v>ff4d5224-dc4d-4120-a61a-d3dae839d17d</v>
      </c>
      <c r="I339" s="4" t="str">
        <f>IFERROR(__xludf.DUMMYFUNCTION("""COMPUTED_VALUE"""),"ff4d5224-dc4d-4120-a61a-d3dae839d17d")</f>
        <v>ff4d5224-dc4d-4120-a61a-d3dae839d17d</v>
      </c>
    </row>
    <row r="340">
      <c r="A340" s="4" t="str">
        <f>IFERROR(__xludf.DUMMYFUNCTION("""COMPUTED_VALUE"""),"Technical structure of HMS core: A deep-dive and guided tour, hosted by Huawei")</f>
        <v>Technical structure of HMS core: A deep-dive and guided tour, hosted by Huawei</v>
      </c>
      <c r="B340" s="4" t="str">
        <f>IFERROR(__xludf.DUMMYFUNCTION("""COMPUTED_VALUE"""),"Developing with HMS Core. Explore 14 HMS Core capabilities (including in-app payment, maps, account and more) to boost your business and accelerate your app development using Huawei's all-in-one solution.")</f>
        <v>Developing with HMS Core. Explore 14 HMS Core capabilities (including in-app payment, maps, account and more) to boost your business and accelerate your app development using Huawei's all-in-one solution.</v>
      </c>
      <c r="C340" s="4" t="str">
        <f>IFERROR(__xludf.DUMMYFUNCTION("""COMPUTED_VALUE"""),"Workshop 1")</f>
        <v>Workshop 1</v>
      </c>
      <c r="D340" s="4" t="str">
        <f>IFERROR(__xludf.DUMMYFUNCTION("""COMPUTED_VALUE"""),"Andreas Zimmer")</f>
        <v>Andreas Zimmer</v>
      </c>
      <c r="E340" s="4" t="str">
        <f>IFERROR(__xludf.DUMMYFUNCTION("""COMPUTED_VALUE"""),"Andreas Zimmer")</f>
        <v>Andreas Zimmer</v>
      </c>
      <c r="F340" s="4" t="str">
        <f>IFERROR(__xludf.DUMMYFUNCTION("""COMPUTED_VALUE"""),"2019/11/05 13:45:00")</f>
        <v>2019/11/05 13:45:00</v>
      </c>
      <c r="G340" s="4" t="str">
        <f>IFERROR(__xludf.DUMMYFUNCTION("""COMPUTED_VALUE"""),"2019/11/05 14:25:00")</f>
        <v>2019/11/05 14:25:00</v>
      </c>
      <c r="H340" s="4" t="str">
        <f>IFERROR(__xludf.DUMMYFUNCTION("""COMPUTED_VALUE"""),"b8c0e856-ff9a-44fe-b019-befdfc3c3714")</f>
        <v>b8c0e856-ff9a-44fe-b019-befdfc3c3714</v>
      </c>
      <c r="I340" s="4" t="str">
        <f>IFERROR(__xludf.DUMMYFUNCTION("""COMPUTED_VALUE"""),"b8c0e856-ff9a-44fe-b019-befdfc3c3714")</f>
        <v>b8c0e856-ff9a-44fe-b019-befdfc3c3714</v>
      </c>
    </row>
    <row r="341">
      <c r="A341" s="4" t="str">
        <f>IFERROR(__xludf.DUMMYFUNCTION("""COMPUTED_VALUE"""),"GenZ consumers: What do they want?")</f>
        <v>GenZ consumers: What do they want?</v>
      </c>
      <c r="B341" s="4" t="str">
        <f>IFERROR(__xludf.DUMMYFUNCTION("""COMPUTED_VALUE"""),"Some of the biggest IPOs in recent years have been from consumer tech companies like Spotify, Lyft, Uber, Pinterest, etc. What tech does Gen Z want and where are investors placing their bets?")</f>
        <v>Some of the biggest IPOs in recent years have been from consumer tech companies like Spotify, Lyft, Uber, Pinterest, etc. What tech does Gen Z want and where are investors placing their bets?</v>
      </c>
      <c r="C341" s="4" t="str">
        <f>IFERROR(__xludf.DUMMYFUNCTION("""COMPUTED_VALUE"""),"Venture stage")</f>
        <v>Venture stage</v>
      </c>
      <c r="D341" s="4" t="str">
        <f>IFERROR(__xludf.DUMMYFUNCTION("""COMPUTED_VALUE"""),"Karen McCormick, Tara Reeves, Rob Lowe, Avi Eyal and Eva Baczynska")</f>
        <v>Karen McCormick, Tara Reeves, Rob Lowe, Avi Eyal and Eva Baczynska</v>
      </c>
      <c r="E341" s="4" t="str">
        <f>IFERROR(__xludf.DUMMYFUNCTION("""COMPUTED_VALUE"""),"Karen McCormick,Tara Reeves,Rob Lowe,Avi Eyal,Eva Baczynska")</f>
        <v>Karen McCormick,Tara Reeves,Rob Lowe,Avi Eyal,Eva Baczynska</v>
      </c>
      <c r="F341" s="4" t="str">
        <f>IFERROR(__xludf.DUMMYFUNCTION("""COMPUTED_VALUE"""),"2019/11/05 11:10:00")</f>
        <v>2019/11/05 11:10:00</v>
      </c>
      <c r="G341" s="4" t="str">
        <f>IFERROR(__xludf.DUMMYFUNCTION("""COMPUTED_VALUE"""),"2019/11/05 11:35:00")</f>
        <v>2019/11/05 11:35:00</v>
      </c>
      <c r="H341" s="4" t="str">
        <f>IFERROR(__xludf.DUMMYFUNCTION("""COMPUTED_VALUE"""),"b467dd67-e44c-46cd-9c69-dfca7ac8d677")</f>
        <v>b467dd67-e44c-46cd-9c69-dfca7ac8d677</v>
      </c>
      <c r="I341" s="4" t="str">
        <f>IFERROR(__xludf.DUMMYFUNCTION("""COMPUTED_VALUE"""),"b467dd67-e44c-46cd-9c69-dfca7ac8d677")</f>
        <v>b467dd67-e44c-46cd-9c69-dfca7ac8d677</v>
      </c>
    </row>
    <row r="342">
      <c r="A342" s="4" t="str">
        <f>IFERROR(__xludf.DUMMYFUNCTION("""COMPUTED_VALUE"""),"Tools for building your MVP on AWS")</f>
        <v>Tools for building your MVP on AWS</v>
      </c>
      <c r="B342" s="4" t="str">
        <f>IFERROR(__xludf.DUMMYFUNCTION("""COMPUTED_VALUE"""),"Early stage startups are time and resource constrained, and need to quickly get to product market fit. This session is for startups who want to find out about the best ways to build their minimal viable product (MVP) on AWS. You’ll get an overview of how "&amp;"startups build MVPs using services like API Gateway, Amplify, Lambda, Managed Kubernetes on AWS, Lightsail, and Database options. After this session you’ll be able to pick the right technologies and use pre-configured architectures to speed up your develo"&amp;"pment.")</f>
        <v>Early stage startups are time and resource constrained, and need to quickly get to product market fit. This session is for startups who want to find out about the best ways to build their minimal viable product (MVP) on AWS. You’ll get an overview of how startups build MVPs using services like API Gateway, Amplify, Lambda, Managed Kubernetes on AWS, Lightsail, and Database options. After this session you’ll be able to pick the right technologies and use pre-configured architectures to speed up your development.</v>
      </c>
      <c r="C342" s="4" t="str">
        <f>IFERROR(__xludf.DUMMYFUNCTION("""COMPUTED_VALUE"""),"AWS Developer Workshops")</f>
        <v>AWS Developer Workshops</v>
      </c>
      <c r="D342" s="4" t="str">
        <f>IFERROR(__xludf.DUMMYFUNCTION("""COMPUTED_VALUE"""),"")</f>
        <v/>
      </c>
      <c r="E342" s="4" t="str">
        <f>IFERROR(__xludf.DUMMYFUNCTION("""COMPUTED_VALUE"""),"")</f>
        <v/>
      </c>
      <c r="F342" s="4" t="str">
        <f>IFERROR(__xludf.DUMMYFUNCTION("""COMPUTED_VALUE"""),"2019/11/06 14:00:00")</f>
        <v>2019/11/06 14:00:00</v>
      </c>
      <c r="G342" s="4" t="str">
        <f>IFERROR(__xludf.DUMMYFUNCTION("""COMPUTED_VALUE"""),"2019/11/06 14:50:00")</f>
        <v>2019/11/06 14:50:00</v>
      </c>
      <c r="H342" s="4" t="str">
        <f>IFERROR(__xludf.DUMMYFUNCTION("""COMPUTED_VALUE"""),"d731a6ef-dd24-4d43-b4f9-f7209d784913")</f>
        <v>d731a6ef-dd24-4d43-b4f9-f7209d784913</v>
      </c>
      <c r="I342" s="4" t="str">
        <f>IFERROR(__xludf.DUMMYFUNCTION("""COMPUTED_VALUE"""),"d731a6ef-dd24-4d43-b4f9-f7209d784913")</f>
        <v>d731a6ef-dd24-4d43-b4f9-f7209d784913</v>
      </c>
    </row>
    <row r="343">
      <c r="A343" s="4" t="str">
        <f>IFERROR(__xludf.DUMMYFUNCTION("""COMPUTED_VALUE"""),"Apex.AI: Taking software from open source to products")</f>
        <v>Apex.AI: Taking software from open source to products</v>
      </c>
      <c r="B343" s="4" t="str">
        <f>IFERROR(__xludf.DUMMYFUNCTION("""COMPUTED_VALUE"""),"Jan, the CEO and co-founder of Apex.AI, will outline how the company brings open source software to products in the mobility space. He'll discuss the challenges they've faced along the way, as well as their business model and long term vision.")</f>
        <v>Jan, the CEO and co-founder of Apex.AI, will outline how the company brings open source software to products in the mobility space. He'll discuss the challenges they've faced along the way, as well as their business model and long term vision.</v>
      </c>
      <c r="C343" s="4" t="str">
        <f>IFERROR(__xludf.DUMMYFUNCTION("""COMPUTED_VALUE"""),"Growth Summit")</f>
        <v>Growth Summit</v>
      </c>
      <c r="D343" s="4" t="str">
        <f>IFERROR(__xludf.DUMMYFUNCTION("""COMPUTED_VALUE"""),"Jan Becker")</f>
        <v>Jan Becker</v>
      </c>
      <c r="E343" s="4" t="str">
        <f>IFERROR(__xludf.DUMMYFUNCTION("""COMPUTED_VALUE"""),"Jan Becker")</f>
        <v>Jan Becker</v>
      </c>
      <c r="F343" s="4" t="str">
        <f>IFERROR(__xludf.DUMMYFUNCTION("""COMPUTED_VALUE"""),"2019/11/05 12:52:00")</f>
        <v>2019/11/05 12:52:00</v>
      </c>
      <c r="G343" s="4" t="str">
        <f>IFERROR(__xludf.DUMMYFUNCTION("""COMPUTED_VALUE"""),"2019/11/05 13:03:00")</f>
        <v>2019/11/05 13:03:00</v>
      </c>
      <c r="H343" s="4" t="str">
        <f>IFERROR(__xludf.DUMMYFUNCTION("""COMPUTED_VALUE"""),"1010388a-88e1-4a97-9b9b-f212ca8b351c")</f>
        <v>1010388a-88e1-4a97-9b9b-f212ca8b351c</v>
      </c>
      <c r="I343" s="4" t="str">
        <f>IFERROR(__xludf.DUMMYFUNCTION("""COMPUTED_VALUE"""),"1010388a-88e1-4a97-9b9b-f212ca8b351c")</f>
        <v>1010388a-88e1-4a97-9b9b-f212ca8b351c</v>
      </c>
    </row>
    <row r="344">
      <c r="A344" s="4" t="str">
        <f>IFERROR(__xludf.DUMMYFUNCTION("""COMPUTED_VALUE"""),"Reaching for the Sky")</f>
        <v>Reaching for the Sky</v>
      </c>
      <c r="B344" s="4" t="str">
        <f>IFERROR(__xludf.DUMMYFUNCTION("""COMPUTED_VALUE"""),"We've never had so much content available to watch as we do today. Rising above the rest requires innovation and quality in production and distribution. Sky managed it this year with Chernobyl. Let's hear how they made recent history into must-see tv.")</f>
        <v>We've never had so much content available to watch as we do today. Rising above the rest requires innovation and quality in production and distribution. Sky managed it this year with Chernobyl. Let's hear how they made recent history into must-see tv.</v>
      </c>
      <c r="C344" s="4" t="str">
        <f>IFERROR(__xludf.DUMMYFUNCTION("""COMPUTED_VALUE"""),"PandaConf")</f>
        <v>PandaConf</v>
      </c>
      <c r="D344" s="4" t="str">
        <f>IFERROR(__xludf.DUMMYFUNCTION("""COMPUTED_VALUE"""),"Jeremy Darroch and Karen Tso")</f>
        <v>Jeremy Darroch and Karen Tso</v>
      </c>
      <c r="E344" s="4" t="str">
        <f>IFERROR(__xludf.DUMMYFUNCTION("""COMPUTED_VALUE"""),"Jeremy Darroch,Karen Tso")</f>
        <v>Jeremy Darroch,Karen Tso</v>
      </c>
      <c r="F344" s="4" t="str">
        <f>IFERROR(__xludf.DUMMYFUNCTION("""COMPUTED_VALUE"""),"2019/11/05 11:45:00")</f>
        <v>2019/11/05 11:45:00</v>
      </c>
      <c r="G344" s="4" t="str">
        <f>IFERROR(__xludf.DUMMYFUNCTION("""COMPUTED_VALUE"""),"2019/11/05 12:10:00")</f>
        <v>2019/11/05 12:10:00</v>
      </c>
      <c r="H344" s="4" t="str">
        <f>IFERROR(__xludf.DUMMYFUNCTION("""COMPUTED_VALUE"""),"6ccc45ad-1415-4f0e-9fa0-a50b2bcc87ec")</f>
        <v>6ccc45ad-1415-4f0e-9fa0-a50b2bcc87ec</v>
      </c>
      <c r="I344" s="4" t="str">
        <f>IFERROR(__xludf.DUMMYFUNCTION("""COMPUTED_VALUE"""),"6ccc45ad-1415-4f0e-9fa0-a50b2bcc87ec")</f>
        <v>6ccc45ad-1415-4f0e-9fa0-a50b2bcc87ec</v>
      </c>
    </row>
    <row r="345">
      <c r="A345" s="4" t="str">
        <f>IFERROR(__xludf.DUMMYFUNCTION("""COMPUTED_VALUE"""),"The king of capital")</f>
        <v>The king of capital</v>
      </c>
      <c r="B345" s="4" t="str">
        <f>IFERROR(__xludf.DUMMYFUNCTION("""COMPUTED_VALUE"""),"In this session, Stephen uses the lessons he's learned as the co-founder and CEO of the largest alternative investment firm in the world, an advisor to world leaders and a global education philanthropist to tell us what it takes in the pursuit of excellen"&amp;"ce.")</f>
        <v>In this session, Stephen uses the lessons he's learned as the co-founder and CEO of the largest alternative investment firm in the world, an advisor to world leaders and a global education philanthropist to tell us what it takes in the pursuit of excellence.</v>
      </c>
      <c r="C345" s="4" t="str">
        <f>IFERROR(__xludf.DUMMYFUNCTION("""COMPUTED_VALUE"""),"Centre Stage")</f>
        <v>Centre Stage</v>
      </c>
      <c r="D345" s="4" t="str">
        <f>IFERROR(__xludf.DUMMYFUNCTION("""COMPUTED_VALUE"""),"Stephen Schwarzman and Thorold Barker")</f>
        <v>Stephen Schwarzman and Thorold Barker</v>
      </c>
      <c r="E345" s="4" t="str">
        <f>IFERROR(__xludf.DUMMYFUNCTION("""COMPUTED_VALUE"""),"Stephen Schwarzman,Thorold Barker")</f>
        <v>Stephen Schwarzman,Thorold Barker</v>
      </c>
      <c r="F345" s="4" t="str">
        <f>IFERROR(__xludf.DUMMYFUNCTION("""COMPUTED_VALUE"""),"2019/11/05 14:50:00")</f>
        <v>2019/11/05 14:50:00</v>
      </c>
      <c r="G345" s="4" t="str">
        <f>IFERROR(__xludf.DUMMYFUNCTION("""COMPUTED_VALUE"""),"2019/11/05 15:10:00")</f>
        <v>2019/11/05 15:10:00</v>
      </c>
      <c r="H345" s="4" t="str">
        <f>IFERROR(__xludf.DUMMYFUNCTION("""COMPUTED_VALUE"""),"0bcc2520-c55a-4ac6-be76-43340bbf64c7")</f>
        <v>0bcc2520-c55a-4ac6-be76-43340bbf64c7</v>
      </c>
      <c r="I345" s="4" t="str">
        <f>IFERROR(__xludf.DUMMYFUNCTION("""COMPUTED_VALUE"""),"0bcc2520-c55a-4ac6-be76-43340bbf64c7")</f>
        <v>0bcc2520-c55a-4ac6-be76-43340bbf64c7</v>
      </c>
    </row>
    <row r="346">
      <c r="A346" s="4" t="str">
        <f>IFERROR(__xludf.DUMMYFUNCTION("""COMPUTED_VALUE"""),"Marketing in 2020")</f>
        <v>Marketing in 2020</v>
      </c>
      <c r="B346" s="4" t="str">
        <f>IFERROR(__xludf.DUMMYFUNCTION("""COMPUTED_VALUE"""),"Globally acclaimed and award-winning marketers reveal definitive trends and stories from the frontlines of marketing in a time of unprecedented disruption.")</f>
        <v>Globally acclaimed and award-winning marketers reveal definitive trends and stories from the frontlines of marketing in a time of unprecedented disruption.</v>
      </c>
      <c r="C346" s="4" t="str">
        <f>IFERROR(__xludf.DUMMYFUNCTION("""COMPUTED_VALUE"""),"Centre Stage")</f>
        <v>Centre Stage</v>
      </c>
      <c r="D346" s="4" t="str">
        <f>IFERROR(__xludf.DUMMYFUNCTION("""COMPUTED_VALUE"""),"Fernando Machado, Gail Heimann, Katia Bassi and Marty Swant")</f>
        <v>Fernando Machado, Gail Heimann, Katia Bassi and Marty Swant</v>
      </c>
      <c r="E346" s="4" t="str">
        <f>IFERROR(__xludf.DUMMYFUNCTION("""COMPUTED_VALUE"""),"Fernando Machado,Gail Heimann,Katia Bassi,Marty Swant")</f>
        <v>Fernando Machado,Gail Heimann,Katia Bassi,Marty Swant</v>
      </c>
      <c r="F346" s="4" t="str">
        <f>IFERROR(__xludf.DUMMYFUNCTION("""COMPUTED_VALUE"""),"2019/11/06 15:10:00")</f>
        <v>2019/11/06 15:10:00</v>
      </c>
      <c r="G346" s="4" t="str">
        <f>IFERROR(__xludf.DUMMYFUNCTION("""COMPUTED_VALUE"""),"2019/11/06 15:30:00")</f>
        <v>2019/11/06 15:30:00</v>
      </c>
      <c r="H346" s="4" t="str">
        <f>IFERROR(__xludf.DUMMYFUNCTION("""COMPUTED_VALUE"""),"49a0f370-3a9c-4823-a6c3-a5d98f482287")</f>
        <v>49a0f370-3a9c-4823-a6c3-a5d98f482287</v>
      </c>
      <c r="I346" s="4" t="str">
        <f>IFERROR(__xludf.DUMMYFUNCTION("""COMPUTED_VALUE"""),"49a0f370-3a9c-4823-a6c3-a5d98f482287")</f>
        <v>49a0f370-3a9c-4823-a6c3-a5d98f482287</v>
      </c>
    </row>
    <row r="347">
      <c r="A347" s="4" t="str">
        <f>IFERROR(__xludf.DUMMYFUNCTION("""COMPUTED_VALUE"""),"Designing your brand to disrupt")</f>
        <v>Designing your brand to disrupt</v>
      </c>
      <c r="B347" s="4" t="str">
        <f>IFERROR(__xludf.DUMMYFUNCTION("""COMPUTED_VALUE"""),"Meet the leader of one of the worlds leading brands as he provides unique insights into designing a brand that disrupts in 2019.")</f>
        <v>Meet the leader of one of the worlds leading brands as he provides unique insights into designing a brand that disrupts in 2019.</v>
      </c>
      <c r="C347" s="4" t="str">
        <f>IFERROR(__xludf.DUMMYFUNCTION("""COMPUTED_VALUE"""),"Centre Stage")</f>
        <v>Centre Stage</v>
      </c>
      <c r="D347" s="4" t="str">
        <f>IFERROR(__xludf.DUMMYFUNCTION("""COMPUTED_VALUE"""),"Daniel Grieder and Mark Russell")</f>
        <v>Daniel Grieder and Mark Russell</v>
      </c>
      <c r="E347" s="4" t="str">
        <f>IFERROR(__xludf.DUMMYFUNCTION("""COMPUTED_VALUE"""),"Daniel Grieder,Mark Russell")</f>
        <v>Daniel Grieder,Mark Russell</v>
      </c>
      <c r="F347" s="4" t="str">
        <f>IFERROR(__xludf.DUMMYFUNCTION("""COMPUTED_VALUE"""),"2019/11/07 11:15:00")</f>
        <v>2019/11/07 11:15:00</v>
      </c>
      <c r="G347" s="4" t="str">
        <f>IFERROR(__xludf.DUMMYFUNCTION("""COMPUTED_VALUE"""),"2019/11/07 11:30:00")</f>
        <v>2019/11/07 11:30:00</v>
      </c>
      <c r="H347" s="4" t="str">
        <f>IFERROR(__xludf.DUMMYFUNCTION("""COMPUTED_VALUE"""),"36549270-5f20-4a49-915f-aea0b4ff5e37")</f>
        <v>36549270-5f20-4a49-915f-aea0b4ff5e37</v>
      </c>
      <c r="I347" s="4" t="str">
        <f>IFERROR(__xludf.DUMMYFUNCTION("""COMPUTED_VALUE"""),"36549270-5f20-4a49-915f-aea0b4ff5e37")</f>
        <v>36549270-5f20-4a49-915f-aea0b4ff5e37</v>
      </c>
    </row>
    <row r="348">
      <c r="A348" s="4" t="str">
        <f>IFERROR(__xludf.DUMMYFUNCTION("""COMPUTED_VALUE"""),"What Plaid said: Fintech's next frontier ")</f>
        <v>What Plaid said: Fintech's next frontier </v>
      </c>
      <c r="B348" s="4" t="str">
        <f>IFERROR(__xludf.DUMMYFUNCTION("""COMPUTED_VALUE"""),"Plaid made headlines this year following leading investments from Mastercard and Visa. Join founder Zach as he shares his vision for a more inclusive, comprehensive fintech ecosystem, fuelled by a global data network. ")</f>
        <v>Plaid made headlines this year following leading investments from Mastercard and Visa. Join founder Zach as he shares his vision for a more inclusive, comprehensive fintech ecosystem, fuelled by a global data network. </v>
      </c>
      <c r="C348" s="4" t="str">
        <f>IFERROR(__xludf.DUMMYFUNCTION("""COMPUTED_VALUE"""),"MoneyConf")</f>
        <v>MoneyConf</v>
      </c>
      <c r="D348" s="4" t="str">
        <f>IFERROR(__xludf.DUMMYFUNCTION("""COMPUTED_VALUE"""),"Zach Perret and John Detrixhe")</f>
        <v>Zach Perret and John Detrixhe</v>
      </c>
      <c r="E348" s="4" t="str">
        <f>IFERROR(__xludf.DUMMYFUNCTION("""COMPUTED_VALUE"""),"Zach Perret,John Detrixhe")</f>
        <v>Zach Perret,John Detrixhe</v>
      </c>
      <c r="F348" s="4" t="str">
        <f>IFERROR(__xludf.DUMMYFUNCTION("""COMPUTED_VALUE"""),"2019/11/06 11:55:00")</f>
        <v>2019/11/06 11:55:00</v>
      </c>
      <c r="G348" s="4" t="str">
        <f>IFERROR(__xludf.DUMMYFUNCTION("""COMPUTED_VALUE"""),"2019/11/06 12:15:00")</f>
        <v>2019/11/06 12:15:00</v>
      </c>
      <c r="H348" s="4" t="str">
        <f>IFERROR(__xludf.DUMMYFUNCTION("""COMPUTED_VALUE"""),"98334037-9ce5-4ca0-a9ce-189be82bb314")</f>
        <v>98334037-9ce5-4ca0-a9ce-189be82bb314</v>
      </c>
      <c r="I348" s="4" t="str">
        <f>IFERROR(__xludf.DUMMYFUNCTION("""COMPUTED_VALUE"""),"98334037-9ce5-4ca0-a9ce-189be82bb314")</f>
        <v>98334037-9ce5-4ca0-a9ce-189be82bb314</v>
      </c>
    </row>
    <row r="349">
      <c r="A349" s="4" t="str">
        <f>IFERROR(__xludf.DUMMYFUNCTION("""COMPUTED_VALUE"""),"Robosexual: The future of human-robot relations")</f>
        <v>Robosexual: The future of human-robot relations</v>
      </c>
      <c r="B349" s="4" t="str">
        <f>IFERROR(__xludf.DUMMYFUNCTION("""COMPUTED_VALUE"""),"As the evolution of human-robot relations continues, we discuss whether we'll ever take our relationship to the next level. ")</f>
        <v>As the evolution of human-robot relations continues, we discuss whether we'll ever take our relationship to the next level. </v>
      </c>
      <c r="C349" s="4" t="str">
        <f>IFERROR(__xludf.DUMMYFUNCTION("""COMPUTED_VALUE"""),"DeepTech")</f>
        <v>DeepTech</v>
      </c>
      <c r="D349" s="4" t="str">
        <f>IFERROR(__xludf.DUMMYFUNCTION("""COMPUTED_VALUE"""),"Stephanie Alys, Marianne Brandon and Esther Paniagua")</f>
        <v>Stephanie Alys, Marianne Brandon and Esther Paniagua</v>
      </c>
      <c r="E349" s="4" t="str">
        <f>IFERROR(__xludf.DUMMYFUNCTION("""COMPUTED_VALUE"""),"Stephanie Alys,Marianne Brandon,Esther Paniagua")</f>
        <v>Stephanie Alys,Marianne Brandon,Esther Paniagua</v>
      </c>
      <c r="F349" s="4" t="str">
        <f>IFERROR(__xludf.DUMMYFUNCTION("""COMPUTED_VALUE"""),"2019/11/06 12:55:00")</f>
        <v>2019/11/06 12:55:00</v>
      </c>
      <c r="G349" s="4" t="str">
        <f>IFERROR(__xludf.DUMMYFUNCTION("""COMPUTED_VALUE"""),"2019/11/06 13:15:00")</f>
        <v>2019/11/06 13:15:00</v>
      </c>
      <c r="H349" s="4" t="str">
        <f>IFERROR(__xludf.DUMMYFUNCTION("""COMPUTED_VALUE"""),"e2859cde-d7fd-465c-a7c5-ca36e88fda84")</f>
        <v>e2859cde-d7fd-465c-a7c5-ca36e88fda84</v>
      </c>
      <c r="I349" s="4" t="str">
        <f>IFERROR(__xludf.DUMMYFUNCTION("""COMPUTED_VALUE"""),"e2859cde-d7fd-465c-a7c5-ca36e88fda84")</f>
        <v>e2859cde-d7fd-465c-a7c5-ca36e88fda84</v>
      </c>
    </row>
    <row r="350">
      <c r="A350" s="4" t="str">
        <f>IFERROR(__xludf.DUMMYFUNCTION("""COMPUTED_VALUE"""),"Featured venue: Collect - Food. Radio. Records")</f>
        <v>Featured venue: Collect - Food. Radio. Records</v>
      </c>
      <c r="B350" s="4" t="str">
        <f>IFERROR(__xludf.DUMMYFUNCTION("""COMPUTED_VALUE"""),"This electronic music venue is one for the cool kids. With an online radio and vinyl store, there will be a live DJ performance on the night. They will also be live streaming the whole event, so this is your chance to make the rest of the world jealous of"&amp;" the party! Food will also be served until 1am. 
Night Summit deals: 
20% discount on Portuguese liquors, red or white port wine, Amarguinha, Licor beirão, Ginja de Óbidos, or Moscatel de Setúbal")</f>
        <v>This electronic music venue is one for the cool kids. With an online radio and vinyl store, there will be a live DJ performance on the night. They will also be live streaming the whole event, so this is your chance to make the rest of the world jealous of the party! Food will also be served until 1am. 
Night Summit deals: 
20% discount on Portuguese liquors, red or white port wine, Amarguinha, Licor beirão, Ginja de Óbidos, or Moscatel de Setúbal</v>
      </c>
      <c r="C350" s="4" t="str">
        <f>IFERROR(__xludf.DUMMYFUNCTION("""COMPUTED_VALUE"""),"Collect - Food. Radio. Records")</f>
        <v>Collect - Food. Radio. Records</v>
      </c>
      <c r="D350" s="4" t="str">
        <f>IFERROR(__xludf.DUMMYFUNCTION("""COMPUTED_VALUE"""),"")</f>
        <v/>
      </c>
      <c r="E350" s="4" t="str">
        <f>IFERROR(__xludf.DUMMYFUNCTION("""COMPUTED_VALUE"""),"")</f>
        <v/>
      </c>
      <c r="F350" s="4" t="str">
        <f>IFERROR(__xludf.DUMMYFUNCTION("""COMPUTED_VALUE"""),"2019/11/05 20:00:00")</f>
        <v>2019/11/05 20:00:00</v>
      </c>
      <c r="G350" s="4" t="str">
        <f>IFERROR(__xludf.DUMMYFUNCTION("""COMPUTED_VALUE"""),"2019/11/06 00:00:00")</f>
        <v>2019/11/06 00:00:00</v>
      </c>
      <c r="H350" s="4" t="str">
        <f>IFERROR(__xludf.DUMMYFUNCTION("""COMPUTED_VALUE"""),"5b0e02f7-1995-458b-a9ea-aebbf7f5ba73")</f>
        <v>5b0e02f7-1995-458b-a9ea-aebbf7f5ba73</v>
      </c>
      <c r="I350" s="4" t="str">
        <f>IFERROR(__xludf.DUMMYFUNCTION("""COMPUTED_VALUE"""),"5b0e02f7-1995-458b-a9ea-aebbf7f5ba73")</f>
        <v>5b0e02f7-1995-458b-a9ea-aebbf7f5ba73</v>
      </c>
    </row>
    <row r="351">
      <c r="A351" s="4" t="str">
        <f>IFERROR(__xludf.DUMMYFUNCTION("""COMPUTED_VALUE"""),"Building modern APIs with GraphQL")</f>
        <v>Building modern APIs with GraphQL</v>
      </c>
      <c r="B351" s="4" t="str">
        <f>IFERROR(__xludf.DUMMYFUNCTION("""COMPUTED_VALUE""")," This session will provide an introduction to GraphQL, a declarative API query language that delivers great performance, type-safety, documentation, and more. It was created at Facebook and open sourced in 2015. It is now used at many other companies, inc"&amp;"luding Amazon, Microsoft, New York Times, Intuit, Coursera, Pinterest, and Twitter.")</f>
        <v> This session will provide an introduction to GraphQL, a declarative API query language that delivers great performance, type-safety, documentation, and more. It was created at Facebook and open sourced in 2015. It is now used at many other companies, including Amazon, Microsoft, New York Times, Intuit, Coursera, Pinterest, and Twitter.</v>
      </c>
      <c r="C351" s="4" t="str">
        <f>IFERROR(__xludf.DUMMYFUNCTION("""COMPUTED_VALUE"""),"AWS Developer Workshops")</f>
        <v>AWS Developer Workshops</v>
      </c>
      <c r="D351" s="4" t="str">
        <f>IFERROR(__xludf.DUMMYFUNCTION("""COMPUTED_VALUE"""),"")</f>
        <v/>
      </c>
      <c r="E351" s="4" t="str">
        <f>IFERROR(__xludf.DUMMYFUNCTION("""COMPUTED_VALUE"""),"")</f>
        <v/>
      </c>
      <c r="F351" s="4" t="str">
        <f>IFERROR(__xludf.DUMMYFUNCTION("""COMPUTED_VALUE"""),"2019/11/07 12:00:00")</f>
        <v>2019/11/07 12:00:00</v>
      </c>
      <c r="G351" s="4" t="str">
        <f>IFERROR(__xludf.DUMMYFUNCTION("""COMPUTED_VALUE"""),"2019/11/07 12:50:00")</f>
        <v>2019/11/07 12:50:00</v>
      </c>
      <c r="H351" s="4" t="str">
        <f>IFERROR(__xludf.DUMMYFUNCTION("""COMPUTED_VALUE"""),"77559b2c-793d-446e-9549-cb90c46bcd7e")</f>
        <v>77559b2c-793d-446e-9549-cb90c46bcd7e</v>
      </c>
      <c r="I351" s="4" t="str">
        <f>IFERROR(__xludf.DUMMYFUNCTION("""COMPUTED_VALUE"""),"77559b2c-793d-446e-9549-cb90c46bcd7e")</f>
        <v>77559b2c-793d-446e-9549-cb90c46bcd7e</v>
      </c>
    </row>
    <row r="352">
      <c r="A352" s="4" t="str">
        <f>IFERROR(__xludf.DUMMYFUNCTION("""COMPUTED_VALUE"""),"Hybrid cloud to rule them all")</f>
        <v>Hybrid cloud to rule them all</v>
      </c>
      <c r="B352" s="4" t="str">
        <f>IFERROR(__xludf.DUMMYFUNCTION("""COMPUTED_VALUE"""),"John Granger, IBM's SVP of Cloud Application discusses the advantages of shifting mission-critical business applications and workloads to hybrid cloud.")</f>
        <v>John Granger, IBM's SVP of Cloud Application discusses the advantages of shifting mission-critical business applications and workloads to hybrid cloud.</v>
      </c>
      <c r="C352" s="4" t="str">
        <f>IFERROR(__xludf.DUMMYFUNCTION("""COMPUTED_VALUE"""),"SaaS Monster")</f>
        <v>SaaS Monster</v>
      </c>
      <c r="D352" s="4" t="str">
        <f>IFERROR(__xludf.DUMMYFUNCTION("""COMPUTED_VALUE"""),"John Granger and John Rampton")</f>
        <v>John Granger and John Rampton</v>
      </c>
      <c r="E352" s="4" t="str">
        <f>IFERROR(__xludf.DUMMYFUNCTION("""COMPUTED_VALUE"""),"John Granger,John Rampton")</f>
        <v>John Granger,John Rampton</v>
      </c>
      <c r="F352" s="4" t="str">
        <f>IFERROR(__xludf.DUMMYFUNCTION("""COMPUTED_VALUE"""),"2019/11/06 15:25:00")</f>
        <v>2019/11/06 15:25:00</v>
      </c>
      <c r="G352" s="4" t="str">
        <f>IFERROR(__xludf.DUMMYFUNCTION("""COMPUTED_VALUE"""),"2019/11/06 15:45:00")</f>
        <v>2019/11/06 15:45:00</v>
      </c>
      <c r="H352" s="4" t="str">
        <f>IFERROR(__xludf.DUMMYFUNCTION("""COMPUTED_VALUE"""),"d6c9a225-360d-49ee-9130-92b024745e88")</f>
        <v>d6c9a225-360d-49ee-9130-92b024745e88</v>
      </c>
      <c r="I352" s="4" t="str">
        <f>IFERROR(__xludf.DUMMYFUNCTION("""COMPUTED_VALUE"""),"d6c9a225-360d-49ee-9130-92b024745e88")</f>
        <v>d6c9a225-360d-49ee-9130-92b024745e88</v>
      </c>
    </row>
    <row r="353">
      <c r="A353" s="4" t="str">
        <f>IFERROR(__xludf.DUMMYFUNCTION("""COMPUTED_VALUE"""),"Building a community of creators (at scale)")</f>
        <v>Building a community of creators (at scale)</v>
      </c>
      <c r="B353" s="4" t="str">
        <f>IFERROR(__xludf.DUMMYFUNCTION("""COMPUTED_VALUE"""),"In the last few years Roblox has grown into a massive online platform with over 100m users and a diverse global community of creators. In this talk, learn about some key principles that help the company create and nurture this thriving community and econo"&amp;"my at scale, and empower anyone to chase their dreams of creating and sharing games with the world. ")</f>
        <v>In the last few years Roblox has grown into a massive online platform with over 100m users and a diverse global community of creators. In this talk, learn about some key principles that help the company create and nurture this thriving community and economy at scale, and empower anyone to chase their dreams of creating and sharing games with the world. </v>
      </c>
      <c r="C353" s="4" t="str">
        <f>IFERROR(__xludf.DUMMYFUNCTION("""COMPUTED_VALUE"""),"ContentMakers")</f>
        <v>ContentMakers</v>
      </c>
      <c r="D353" s="4" t="str">
        <f>IFERROR(__xludf.DUMMYFUNCTION("""COMPUTED_VALUE"""),"Craig Donato")</f>
        <v>Craig Donato</v>
      </c>
      <c r="E353" s="4" t="str">
        <f>IFERROR(__xludf.DUMMYFUNCTION("""COMPUTED_VALUE"""),"Craig Donato")</f>
        <v>Craig Donato</v>
      </c>
      <c r="F353" s="4" t="str">
        <f>IFERROR(__xludf.DUMMYFUNCTION("""COMPUTED_VALUE"""),"2019/11/06 14:55:00")</f>
        <v>2019/11/06 14:55:00</v>
      </c>
      <c r="G353" s="4" t="str">
        <f>IFERROR(__xludf.DUMMYFUNCTION("""COMPUTED_VALUE"""),"2019/11/06 15:15:00")</f>
        <v>2019/11/06 15:15:00</v>
      </c>
      <c r="H353" s="4" t="str">
        <f>IFERROR(__xludf.DUMMYFUNCTION("""COMPUTED_VALUE"""),"db4c4448-5611-49c8-b8be-e621294585f3")</f>
        <v>db4c4448-5611-49c8-b8be-e621294585f3</v>
      </c>
      <c r="I353" s="4" t="str">
        <f>IFERROR(__xludf.DUMMYFUNCTION("""COMPUTED_VALUE"""),"db4c4448-5611-49c8-b8be-e621294585f3")</f>
        <v>db4c4448-5611-49c8-b8be-e621294585f3</v>
      </c>
    </row>
    <row r="354">
      <c r="A354" s="4" t="str">
        <f>IFERROR(__xludf.DUMMYFUNCTION("""COMPUTED_VALUE"""),"Using technology to push boundaries")</f>
        <v>Using technology to push boundaries</v>
      </c>
      <c r="B354" s="4" t="str">
        <f>IFERROR(__xludf.DUMMYFUNCTION("""COMPUTED_VALUE"""),"Aba, CEO of Dorae, will talk about using technology to push boundaries and improve the world")</f>
        <v>Aba, CEO of Dorae, will talk about using technology to push boundaries and improve the world</v>
      </c>
      <c r="C354" s="4" t="str">
        <f>IFERROR(__xludf.DUMMYFUNCTION("""COMPUTED_VALUE"""),"Growth Summit")</f>
        <v>Growth Summit</v>
      </c>
      <c r="D354" s="4" t="str">
        <f>IFERROR(__xludf.DUMMYFUNCTION("""COMPUTED_VALUE"""),"Aba Schubert")</f>
        <v>Aba Schubert</v>
      </c>
      <c r="E354" s="4" t="str">
        <f>IFERROR(__xludf.DUMMYFUNCTION("""COMPUTED_VALUE"""),"Aba Schubert")</f>
        <v>Aba Schubert</v>
      </c>
      <c r="F354" s="4" t="str">
        <f>IFERROR(__xludf.DUMMYFUNCTION("""COMPUTED_VALUE"""),"2019/11/06 14:20:00")</f>
        <v>2019/11/06 14:20:00</v>
      </c>
      <c r="G354" s="4" t="str">
        <f>IFERROR(__xludf.DUMMYFUNCTION("""COMPUTED_VALUE"""),"2019/11/06 14:31:00")</f>
        <v>2019/11/06 14:31:00</v>
      </c>
      <c r="H354" s="4" t="str">
        <f>IFERROR(__xludf.DUMMYFUNCTION("""COMPUTED_VALUE"""),"89c451fb-c4ed-4680-9547-f61fad20ca6d")</f>
        <v>89c451fb-c4ed-4680-9547-f61fad20ca6d</v>
      </c>
      <c r="I354" s="4" t="str">
        <f>IFERROR(__xludf.DUMMYFUNCTION("""COMPUTED_VALUE"""),"89c451fb-c4ed-4680-9547-f61fad20ca6d")</f>
        <v>89c451fb-c4ed-4680-9547-f61fad20ca6d</v>
      </c>
    </row>
    <row r="355">
      <c r="A355" s="4" t="str">
        <f>IFERROR(__xludf.DUMMYFUNCTION("""COMPUTED_VALUE"""),"Opening remarks")</f>
        <v>Opening remarks</v>
      </c>
      <c r="B355" s="4" t="str">
        <f>IFERROR(__xludf.DUMMYFUNCTION("""COMPUTED_VALUE"""),"")</f>
        <v/>
      </c>
      <c r="C355" s="4" t="str">
        <f>IFERROR(__xludf.DUMMYFUNCTION("""COMPUTED_VALUE"""),"Growth Summit")</f>
        <v>Growth Summit</v>
      </c>
      <c r="D355" s="4" t="str">
        <f>IFERROR(__xludf.DUMMYFUNCTION("""COMPUTED_VALUE"""),"Fatima Zaidi")</f>
        <v>Fatima Zaidi</v>
      </c>
      <c r="E355" s="4" t="str">
        <f>IFERROR(__xludf.DUMMYFUNCTION("""COMPUTED_VALUE"""),"Fatima Zaidi")</f>
        <v>Fatima Zaidi</v>
      </c>
      <c r="F355" s="4" t="str">
        <f>IFERROR(__xludf.DUMMYFUNCTION("""COMPUTED_VALUE"""),"2019/11/05 10:00:00")</f>
        <v>2019/11/05 10:00:00</v>
      </c>
      <c r="G355" s="4" t="str">
        <f>IFERROR(__xludf.DUMMYFUNCTION("""COMPUTED_VALUE"""),"2019/11/05 10:02:00")</f>
        <v>2019/11/05 10:02:00</v>
      </c>
      <c r="H355" s="4" t="str">
        <f>IFERROR(__xludf.DUMMYFUNCTION("""COMPUTED_VALUE"""),"8e97beed-8cde-4f3d-9019-3e346185de2c")</f>
        <v>8e97beed-8cde-4f3d-9019-3e346185de2c</v>
      </c>
      <c r="I355" s="4" t="str">
        <f>IFERROR(__xludf.DUMMYFUNCTION("""COMPUTED_VALUE"""),"8e97beed-8cde-4f3d-9019-3e346185de2c")</f>
        <v>8e97beed-8cde-4f3d-9019-3e346185de2c</v>
      </c>
    </row>
    <row r="356">
      <c r="A356" s="4" t="str">
        <f>IFERROR(__xludf.DUMMYFUNCTION("""COMPUTED_VALUE"""),"Opening remarks")</f>
        <v>Opening remarks</v>
      </c>
      <c r="B356" s="4" t="str">
        <f>IFERROR(__xludf.DUMMYFUNCTION("""COMPUTED_VALUE"""),"")</f>
        <v/>
      </c>
      <c r="C356" s="4" t="str">
        <f>IFERROR(__xludf.DUMMYFUNCTION("""COMPUTED_VALUE"""),"Future Societies")</f>
        <v>Future Societies</v>
      </c>
      <c r="D356" s="4" t="str">
        <f>IFERROR(__xludf.DUMMYFUNCTION("""COMPUTED_VALUE"""),"Chris Yiu")</f>
        <v>Chris Yiu</v>
      </c>
      <c r="E356" s="4" t="str">
        <f>IFERROR(__xludf.DUMMYFUNCTION("""COMPUTED_VALUE"""),"Chris Yiu")</f>
        <v>Chris Yiu</v>
      </c>
      <c r="F356" s="4" t="str">
        <f>IFERROR(__xludf.DUMMYFUNCTION("""COMPUTED_VALUE"""),"2019/11/06 13:25:00")</f>
        <v>2019/11/06 13:25:00</v>
      </c>
      <c r="G356" s="4" t="str">
        <f>IFERROR(__xludf.DUMMYFUNCTION("""COMPUTED_VALUE"""),"2019/11/06 13:35:00")</f>
        <v>2019/11/06 13:35:00</v>
      </c>
      <c r="H356" s="4" t="str">
        <f>IFERROR(__xludf.DUMMYFUNCTION("""COMPUTED_VALUE"""),"0219bff6-577b-4392-9faa-63a93b2a024b")</f>
        <v>0219bff6-577b-4392-9faa-63a93b2a024b</v>
      </c>
      <c r="I356" s="4" t="str">
        <f>IFERROR(__xludf.DUMMYFUNCTION("""COMPUTED_VALUE"""),"0219bff6-577b-4392-9faa-63a93b2a024b")</f>
        <v>0219bff6-577b-4392-9faa-63a93b2a024b</v>
      </c>
    </row>
    <row r="357">
      <c r="A357" s="4" t="str">
        <f>IFERROR(__xludf.DUMMYFUNCTION("""COMPUTED_VALUE"""),"Unlocking the true potential of AI")</f>
        <v>Unlocking the true potential of AI</v>
      </c>
      <c r="B357" s="4" t="str">
        <f>IFERROR(__xludf.DUMMYFUNCTION("""COMPUTED_VALUE"""),"The phenomenal potential of artificial intelligence is unfolding, but a rather quaint reality has emerged - we arent as far along as we think. With much more to do, we'll ask the tech leaders of three of the worlds largest companies what they're using AI "&amp;"for today, what they plan to use it for tomorrow, and what they need to do to get there. ")</f>
        <v>The phenomenal potential of artificial intelligence is unfolding, but a rather quaint reality has emerged - we arent as far along as we think. With much more to do, we'll ask the tech leaders of three of the worlds largest companies what they're using AI for today, what they plan to use it for tomorrow, and what they need to do to get there. </v>
      </c>
      <c r="C357" s="4" t="str">
        <f>IFERROR(__xludf.DUMMYFUNCTION("""COMPUTED_VALUE"""),"Corporate Innovation Summit")</f>
        <v>Corporate Innovation Summit</v>
      </c>
      <c r="D357" s="4" t="str">
        <f>IFERROR(__xludf.DUMMYFUNCTION("""COMPUTED_VALUE"""),"Ulli Waltinger, Ursula Soritsch-Renier, Ian Massingham and Philippe Bournhonesque")</f>
        <v>Ulli Waltinger, Ursula Soritsch-Renier, Ian Massingham and Philippe Bournhonesque</v>
      </c>
      <c r="E357" s="4" t="str">
        <f>IFERROR(__xludf.DUMMYFUNCTION("""COMPUTED_VALUE"""),"Ulli Waltinger,Ursula Soritsch-Renier,Ian Massingham,Philippe Bournhonesque")</f>
        <v>Ulli Waltinger,Ursula Soritsch-Renier,Ian Massingham,Philippe Bournhonesque</v>
      </c>
      <c r="F357" s="4" t="str">
        <f>IFERROR(__xludf.DUMMYFUNCTION("""COMPUTED_VALUE"""),"2019/11/06 15:00:00")</f>
        <v>2019/11/06 15:00:00</v>
      </c>
      <c r="G357" s="4" t="str">
        <f>IFERROR(__xludf.DUMMYFUNCTION("""COMPUTED_VALUE"""),"2019/11/06 15:25:00")</f>
        <v>2019/11/06 15:25:00</v>
      </c>
      <c r="H357" s="4" t="str">
        <f>IFERROR(__xludf.DUMMYFUNCTION("""COMPUTED_VALUE"""),"b537042e-852a-4cf8-9eea-a7b970a253ca")</f>
        <v>b537042e-852a-4cf8-9eea-a7b970a253ca</v>
      </c>
      <c r="I357" s="4" t="str">
        <f>IFERROR(__xludf.DUMMYFUNCTION("""COMPUTED_VALUE"""),"b537042e-852a-4cf8-9eea-a7b970a253ca")</f>
        <v>b537042e-852a-4cf8-9eea-a7b970a253ca</v>
      </c>
    </row>
    <row r="358">
      <c r="A358" s="4" t="str">
        <f>IFERROR(__xludf.DUMMYFUNCTION("""COMPUTED_VALUE"""),"Lunch break")</f>
        <v>Lunch break</v>
      </c>
      <c r="B358" s="4" t="str">
        <f>IFERROR(__xludf.DUMMYFUNCTION("""COMPUTED_VALUE"""),"")</f>
        <v/>
      </c>
      <c r="C358" s="4" t="str">
        <f>IFERROR(__xludf.DUMMYFUNCTION("""COMPUTED_VALUE"""),"creatiff")</f>
        <v>creatiff</v>
      </c>
      <c r="D358" s="4" t="str">
        <f>IFERROR(__xludf.DUMMYFUNCTION("""COMPUTED_VALUE"""),"")</f>
        <v/>
      </c>
      <c r="E358" s="4" t="str">
        <f>IFERROR(__xludf.DUMMYFUNCTION("""COMPUTED_VALUE"""),"")</f>
        <v/>
      </c>
      <c r="F358" s="4" t="str">
        <f>IFERROR(__xludf.DUMMYFUNCTION("""COMPUTED_VALUE"""),"2019/11/05 13:25:00")</f>
        <v>2019/11/05 13:25:00</v>
      </c>
      <c r="G358" s="4" t="str">
        <f>IFERROR(__xludf.DUMMYFUNCTION("""COMPUTED_VALUE"""),"2019/11/05 14:20:00")</f>
        <v>2019/11/05 14:20:00</v>
      </c>
      <c r="H358" s="4" t="str">
        <f>IFERROR(__xludf.DUMMYFUNCTION("""COMPUTED_VALUE"""),"1a0b0cbf-027d-4c1d-a142-ce4ec843bf64")</f>
        <v>1a0b0cbf-027d-4c1d-a142-ce4ec843bf64</v>
      </c>
      <c r="I358" s="4" t="str">
        <f>IFERROR(__xludf.DUMMYFUNCTION("""COMPUTED_VALUE"""),"1a0b0cbf-027d-4c1d-a142-ce4ec843bf64")</f>
        <v>1a0b0cbf-027d-4c1d-a142-ce4ec843bf64</v>
      </c>
    </row>
    <row r="359">
      <c r="A359" s="4" t="str">
        <f>IFERROR(__xludf.DUMMYFUNCTION("""COMPUTED_VALUE"""),"Opening remarks")</f>
        <v>Opening remarks</v>
      </c>
      <c r="B359" s="4" t="str">
        <f>IFERROR(__xludf.DUMMYFUNCTION("""COMPUTED_VALUE"""),"")</f>
        <v/>
      </c>
      <c r="C359" s="4" t="str">
        <f>IFERROR(__xludf.DUMMYFUNCTION("""COMPUTED_VALUE"""),"Growth Summit")</f>
        <v>Growth Summit</v>
      </c>
      <c r="D359" s="4" t="str">
        <f>IFERROR(__xludf.DUMMYFUNCTION("""COMPUTED_VALUE"""),"Brendan Yell")</f>
        <v>Brendan Yell</v>
      </c>
      <c r="E359" s="4" t="str">
        <f>IFERROR(__xludf.DUMMYFUNCTION("""COMPUTED_VALUE"""),"Brendan Yell")</f>
        <v>Brendan Yell</v>
      </c>
      <c r="F359" s="4" t="str">
        <f>IFERROR(__xludf.DUMMYFUNCTION("""COMPUTED_VALUE"""),"2019/11/06 10:00:00")</f>
        <v>2019/11/06 10:00:00</v>
      </c>
      <c r="G359" s="4" t="str">
        <f>IFERROR(__xludf.DUMMYFUNCTION("""COMPUTED_VALUE"""),"2019/11/06 10:02:00")</f>
        <v>2019/11/06 10:02:00</v>
      </c>
      <c r="H359" s="4" t="str">
        <f>IFERROR(__xludf.DUMMYFUNCTION("""COMPUTED_VALUE"""),"4930ed09-80e7-4ba5-8d3d-ddf2e9d7f812")</f>
        <v>4930ed09-80e7-4ba5-8d3d-ddf2e9d7f812</v>
      </c>
      <c r="I359" s="4" t="str">
        <f>IFERROR(__xludf.DUMMYFUNCTION("""COMPUTED_VALUE"""),"4930ed09-80e7-4ba5-8d3d-ddf2e9d7f812")</f>
        <v>4930ed09-80e7-4ba5-8d3d-ddf2e9d7f812</v>
      </c>
    </row>
    <row r="360">
      <c r="A360" s="4" t="str">
        <f>IFERROR(__xludf.DUMMYFUNCTION("""COMPUTED_VALUE"""),"No driver, no problem ")</f>
        <v>No driver, no problem </v>
      </c>
      <c r="B360" s="4" t="str">
        <f>IFERROR(__xludf.DUMMYFUNCTION("""COMPUTED_VALUE"""),"Self-driving cars aren't just going to revolutionise the consumer market — they're going to redefine how we commute... and race! In this panel, we'll discuss the self-driving future as we speed into it.")</f>
        <v>Self-driving cars aren't just going to revolutionise the consumer market — they're going to redefine how we commute... and race! In this panel, we'll discuss the self-driving future as we speed into it.</v>
      </c>
      <c r="C360" s="4" t="str">
        <f>IFERROR(__xludf.DUMMYFUNCTION("""COMPUTED_VALUE"""),"Auto/Tech &amp; TalkRobot")</f>
        <v>Auto/Tech &amp; TalkRobot</v>
      </c>
      <c r="D360" s="4" t="str">
        <f>IFERROR(__xludf.DUMMYFUNCTION("""COMPUTED_VALUE"""),"Lucas Di Grassi, Bryn Balcombe, Avinash Rugoobur and Jim Motavalli")</f>
        <v>Lucas Di Grassi, Bryn Balcombe, Avinash Rugoobur and Jim Motavalli</v>
      </c>
      <c r="E360" s="4" t="str">
        <f>IFERROR(__xludf.DUMMYFUNCTION("""COMPUTED_VALUE"""),"Lucas Di Grassi,Bryn Balcombe,Avinash Rugoobur,Jim Motavalli")</f>
        <v>Lucas Di Grassi,Bryn Balcombe,Avinash Rugoobur,Jim Motavalli</v>
      </c>
      <c r="F360" s="4" t="str">
        <f>IFERROR(__xludf.DUMMYFUNCTION("""COMPUTED_VALUE"""),"2019/11/07 12:35:00")</f>
        <v>2019/11/07 12:35:00</v>
      </c>
      <c r="G360" s="4" t="str">
        <f>IFERROR(__xludf.DUMMYFUNCTION("""COMPUTED_VALUE"""),"2019/11/07 12:55:00")</f>
        <v>2019/11/07 12:55:00</v>
      </c>
      <c r="H360" s="4" t="str">
        <f>IFERROR(__xludf.DUMMYFUNCTION("""COMPUTED_VALUE"""),"58dd8772-6df4-47bd-892c-ea741579c005")</f>
        <v>58dd8772-6df4-47bd-892c-ea741579c005</v>
      </c>
      <c r="I360" s="4" t="str">
        <f>IFERROR(__xludf.DUMMYFUNCTION("""COMPUTED_VALUE"""),"58dd8772-6df4-47bd-892c-ea741579c005")</f>
        <v>58dd8772-6df4-47bd-892c-ea741579c005</v>
      </c>
    </row>
    <row r="361">
      <c r="A361" s="4" t="str">
        <f>IFERROR(__xludf.DUMMYFUNCTION("""COMPUTED_VALUE"""),"A job in 24 hours: The reinvention of blue collar hiring")</f>
        <v>A job in 24 hours: The reinvention of blue collar hiring</v>
      </c>
      <c r="B361" s="4" t="str">
        <f>IFERROR(__xludf.DUMMYFUNCTION("""COMPUTED_VALUE"""),"CEO of JobToday, Polina will cover the revolution that is currently happening on the blue labour market, as well as key elements of successful growth for mobile solutions such as her own company.")</f>
        <v>CEO of JobToday, Polina will cover the revolution that is currently happening on the blue labour market, as well as key elements of successful growth for mobile solutions such as her own company.</v>
      </c>
      <c r="C361" s="4" t="str">
        <f>IFERROR(__xludf.DUMMYFUNCTION("""COMPUTED_VALUE"""),"Growth Summit")</f>
        <v>Growth Summit</v>
      </c>
      <c r="D361" s="4" t="str">
        <f>IFERROR(__xludf.DUMMYFUNCTION("""COMPUTED_VALUE"""),"Polina Montano")</f>
        <v>Polina Montano</v>
      </c>
      <c r="E361" s="4" t="str">
        <f>IFERROR(__xludf.DUMMYFUNCTION("""COMPUTED_VALUE"""),"Polina Montano")</f>
        <v>Polina Montano</v>
      </c>
      <c r="F361" s="4" t="str">
        <f>IFERROR(__xludf.DUMMYFUNCTION("""COMPUTED_VALUE"""),"2019/11/05 15:37:00")</f>
        <v>2019/11/05 15:37:00</v>
      </c>
      <c r="G361" s="4" t="str">
        <f>IFERROR(__xludf.DUMMYFUNCTION("""COMPUTED_VALUE"""),"2019/11/05 15:48:00")</f>
        <v>2019/11/05 15:48:00</v>
      </c>
      <c r="H361" s="4" t="str">
        <f>IFERROR(__xludf.DUMMYFUNCTION("""COMPUTED_VALUE"""),"366dfa7a-9cc6-48ac-8004-d054096b2b51")</f>
        <v>366dfa7a-9cc6-48ac-8004-d054096b2b51</v>
      </c>
      <c r="I361" s="4" t="str">
        <f>IFERROR(__xludf.DUMMYFUNCTION("""COMPUTED_VALUE"""),"366dfa7a-9cc6-48ac-8004-d054096b2b51")</f>
        <v>366dfa7a-9cc6-48ac-8004-d054096b2b51</v>
      </c>
    </row>
    <row r="362">
      <c r="A362" s="4" t="str">
        <f>IFERROR(__xludf.DUMMYFUNCTION("""COMPUTED_VALUE"""),"Opening remarks")</f>
        <v>Opening remarks</v>
      </c>
      <c r="B362" s="4" t="str">
        <f>IFERROR(__xludf.DUMMYFUNCTION("""COMPUTED_VALUE"""),"")</f>
        <v/>
      </c>
      <c r="C362" s="4" t="str">
        <f>IFERROR(__xludf.DUMMYFUNCTION("""COMPUTED_VALUE"""),"Venture stage")</f>
        <v>Venture stage</v>
      </c>
      <c r="D362" s="4" t="str">
        <f>IFERROR(__xludf.DUMMYFUNCTION("""COMPUTED_VALUE"""),"Hugo Augusto")</f>
        <v>Hugo Augusto</v>
      </c>
      <c r="E362" s="4" t="str">
        <f>IFERROR(__xludf.DUMMYFUNCTION("""COMPUTED_VALUE"""),"Hugo Augusto")</f>
        <v>Hugo Augusto</v>
      </c>
      <c r="F362" s="4" t="str">
        <f>IFERROR(__xludf.DUMMYFUNCTION("""COMPUTED_VALUE"""),"2019/11/06 10:30:00")</f>
        <v>2019/11/06 10:30:00</v>
      </c>
      <c r="G362" s="4" t="str">
        <f>IFERROR(__xludf.DUMMYFUNCTION("""COMPUTED_VALUE"""),"2019/11/06 10:45:00")</f>
        <v>2019/11/06 10:45:00</v>
      </c>
      <c r="H362" s="4" t="str">
        <f>IFERROR(__xludf.DUMMYFUNCTION("""COMPUTED_VALUE"""),"35e59c51-246e-4008-bbf5-1cffdb271cd0")</f>
        <v>35e59c51-246e-4008-bbf5-1cffdb271cd0</v>
      </c>
      <c r="I362" s="4" t="str">
        <f>IFERROR(__xludf.DUMMYFUNCTION("""COMPUTED_VALUE"""),"35e59c51-246e-4008-bbf5-1cffdb271cd0")</f>
        <v>35e59c51-246e-4008-bbf5-1cffdb271cd0</v>
      </c>
    </row>
    <row r="363">
      <c r="A363" s="4" t="str">
        <f>IFERROR(__xludf.DUMMYFUNCTION("""COMPUTED_VALUE"""),"Majority world report 2019")</f>
        <v>Majority world report 2019</v>
      </c>
      <c r="B363" s="4" t="str">
        <f>IFERROR(__xludf.DUMMYFUNCTION("""COMPUTED_VALUE"""),"Tune in as Seedcamp founder Saul Klein shares his annual report on where the majority of the world's opportunities lie for the year ahead.")</f>
        <v>Tune in as Seedcamp founder Saul Klein shares his annual report on where the majority of the world's opportunities lie for the year ahead.</v>
      </c>
      <c r="C363" s="4" t="str">
        <f>IFERROR(__xludf.DUMMYFUNCTION("""COMPUTED_VALUE"""),"Startup University")</f>
        <v>Startup University</v>
      </c>
      <c r="D363" s="4" t="str">
        <f>IFERROR(__xludf.DUMMYFUNCTION("""COMPUTED_VALUE"""),"Saul Klein")</f>
        <v>Saul Klein</v>
      </c>
      <c r="E363" s="4" t="str">
        <f>IFERROR(__xludf.DUMMYFUNCTION("""COMPUTED_VALUE"""),"Saul Klein")</f>
        <v>Saul Klein</v>
      </c>
      <c r="F363" s="4" t="str">
        <f>IFERROR(__xludf.DUMMYFUNCTION("""COMPUTED_VALUE"""),"2019/11/05 12:20:00")</f>
        <v>2019/11/05 12:20:00</v>
      </c>
      <c r="G363" s="4" t="str">
        <f>IFERROR(__xludf.DUMMYFUNCTION("""COMPUTED_VALUE"""),"2019/11/05 12:40:00")</f>
        <v>2019/11/05 12:40:00</v>
      </c>
      <c r="H363" s="4" t="str">
        <f>IFERROR(__xludf.DUMMYFUNCTION("""COMPUTED_VALUE"""),"6461ef29-06a4-405c-adf8-7a4c5dd298f4")</f>
        <v>6461ef29-06a4-405c-adf8-7a4c5dd298f4</v>
      </c>
      <c r="I363" s="4" t="str">
        <f>IFERROR(__xludf.DUMMYFUNCTION("""COMPUTED_VALUE"""),"6461ef29-06a4-405c-adf8-7a4c5dd298f4")</f>
        <v>6461ef29-06a4-405c-adf8-7a4c5dd298f4</v>
      </c>
    </row>
    <row r="364">
      <c r="A364" s="4" t="str">
        <f>IFERROR(__xludf.DUMMYFUNCTION("""COMPUTED_VALUE"""),"Airport registration")</f>
        <v>Airport registration</v>
      </c>
      <c r="B364" s="4" t="str">
        <f>IFERROR(__xludf.DUMMYFUNCTION("""COMPUTED_VALUE"""),"Beat the queues and register at the airport. You can register from 7am to 11pm. All you need to do is head out of the terminal and follow the signs to our registration marquee. You’ll be done in a few minutes. 
If you need more information about regist"&amp;"ration go to websummit.com/essentials/registration. ")</f>
        <v>Beat the queues and register at the airport. You can register from 7am to 11pm. All you need to do is head out of the terminal and follow the signs to our registration marquee. You’ll be done in a few minutes. 
If you need more information about registration go to websummit.com/essentials/registration. </v>
      </c>
      <c r="C364" s="4" t="str">
        <f>IFERROR(__xludf.DUMMYFUNCTION("""COMPUTED_VALUE"""),"Airport registration")</f>
        <v>Airport registration</v>
      </c>
      <c r="D364" s="4" t="str">
        <f>IFERROR(__xludf.DUMMYFUNCTION("""COMPUTED_VALUE"""),"")</f>
        <v/>
      </c>
      <c r="E364" s="4" t="str">
        <f>IFERROR(__xludf.DUMMYFUNCTION("""COMPUTED_VALUE"""),"")</f>
        <v/>
      </c>
      <c r="F364" s="4" t="str">
        <f>IFERROR(__xludf.DUMMYFUNCTION("""COMPUTED_VALUE"""),"2019/11/04 07:00:00")</f>
        <v>2019/11/04 07:00:00</v>
      </c>
      <c r="G364" s="4" t="str">
        <f>IFERROR(__xludf.DUMMYFUNCTION("""COMPUTED_VALUE"""),"2019/11/04 23:00:00")</f>
        <v>2019/11/04 23:00:00</v>
      </c>
      <c r="H364" s="4" t="str">
        <f>IFERROR(__xludf.DUMMYFUNCTION("""COMPUTED_VALUE"""),"eb8bbdea-1406-440e-bb86-81a788432166")</f>
        <v>eb8bbdea-1406-440e-bb86-81a788432166</v>
      </c>
      <c r="I364" s="4" t="str">
        <f>IFERROR(__xludf.DUMMYFUNCTION("""COMPUTED_VALUE"""),"eb8bbdea-1406-440e-bb86-81a788432166")</f>
        <v>eb8bbdea-1406-440e-bb86-81a788432166</v>
      </c>
    </row>
    <row r="365">
      <c r="A365" s="4" t="str">
        <f>IFERROR(__xludf.DUMMYFUNCTION("""COMPUTED_VALUE"""),"Startup Showcase")</f>
        <v>Startup Showcase</v>
      </c>
      <c r="B365" s="4" t="str">
        <f>IFERROR(__xludf.DUMMYFUNCTION("""COMPUTED_VALUE"""),"On this brand new stage, expect quickfire presentations where startups will showcase their solutions to the future's biggest challenges. This hour focuses on mobility, covering topics like transport, autotech, logistics, and delivery solutions.
")</f>
        <v>On this brand new stage, expect quickfire presentations where startups will showcase their solutions to the future's biggest challenges. This hour focuses on mobility, covering topics like transport, autotech, logistics, and delivery solutions.
</v>
      </c>
      <c r="C365" s="4" t="str">
        <f>IFERROR(__xludf.DUMMYFUNCTION("""COMPUTED_VALUE"""),"Startup Showcase 2")</f>
        <v>Startup Showcase 2</v>
      </c>
      <c r="D365" s="4" t="str">
        <f>IFERROR(__xludf.DUMMYFUNCTION("""COMPUTED_VALUE"""),"Brendan Yell, Pawel Opozda, Tarek Martínez, Kamornwan Srikullayakorn, Laszlo Török, Jony Jung, AlterMobili Marketing, Walid Nagy, Dollie Sahertian, Maciej Węgrzynek, Carma Khatib, JEONGYOON JANG, Tolga Varol, Katharina Mueller, Katharina Mueller, Ciprian "&amp;"Paltineanu, SLAWEK POTASZ, JINYOUNG CHAE, IL Suk Park, Dorina Páll, Ammar Akhtar, Ádám Dohár, José Xavier, Ilsan Mohamed, Hendrik Kramer, Juan Eduardo Herrera, Jean-Michael Georg, Stella Setyiadi, Pawel Postupalski, Adam Kutyłowski, Jarosław Gawroński, Do"&amp;"eun Kim, Insik Baek, Rosa Lee, José Valente, Octavian Iosif, Rafał Budweil, Marko Nugraha, Roman Prytkov, Zhang Andy, Sittisak Wongsomnuk, Katharina Mueller, Rui Gomes, SEONGCHEOL SHIN, Stefan Toma, Maximilian Fisser, Saad Selim, Shivan Ramachandran, MICH"&amp;"AEL JASCHKE and Tauseef Ahmed Qadri")</f>
        <v>Brendan Yell, Pawel Opozda, Tarek Martínez, Kamornwan Srikullayakorn, Laszlo Török, Jony Jung, AlterMobili Marketing, Walid Nagy, Dollie Sahertian, Maciej Węgrzynek, Carma Khatib, JEONGYOON JANG, Tolga Varol, Katharina Mueller, Katharina Mueller, Ciprian Paltineanu, SLAWEK POTASZ, JINYOUNG CHAE, IL Suk Park, Dorina Páll, Ammar Akhtar, Ádám Dohár, José Xavier, Ilsan Mohamed, Hendrik Kramer, Juan Eduardo Herrera, Jean-Michael Georg, Stella Setyiadi, Pawel Postupalski, Adam Kutyłowski, Jarosław Gawroński, Doeun Kim, Insik Baek, Rosa Lee, José Valente, Octavian Iosif, Rafał Budweil, Marko Nugraha, Roman Prytkov, Zhang Andy, Sittisak Wongsomnuk, Katharina Mueller, Rui Gomes, SEONGCHEOL SHIN, Stefan Toma, Maximilian Fisser, Saad Selim, Shivan Ramachandran, MICHAEL JASCHKE and Tauseef Ahmed Qadri</v>
      </c>
      <c r="E365" s="4" t="str">
        <f>IFERROR(__xludf.DUMMYFUNCTION("""COMPUTED_VALUE"""),"Brendan Yell,Pawel Opozda,Tarek Martínez,Kamornwan Srikullayakorn,Laszlo Török,Jony Jung,AlterMobili Marketing,Walid Nagy,Dollie Sahertian,Maciej Węgrzynek,Carma Khatib,JEONGYOON JANG,Tolga Varol,Katharina Mueller,Katharina Mueller,Ciprian Paltineanu,SLAW"&amp;"EK POTASZ,JINYOUNG CHAE,IL Suk Park,Dorina Páll,Ammar Akhtar,Ádám Dohár,José Xavier,Ilsan Mohamed,Hendrik Kramer,Juan Eduardo Herrera,Jean-Michael Georg,Stella Setyiadi,Pawel Postupalski,Adam Kutyłowski,Jarosław Gawroński,Doeun Kim,Insik Baek,Rosa Lee,Jos"&amp;"é Valente,Octavian Iosif,Rafał Budweil,Marko Nugraha,Roman Prytkov,Zhang Andy,Sittisak Wongsomnuk,Katharina Mueller,Rui Gomes,SEONGCHEOL SHIN,Stefan Toma,Maximilian Fisser,Saad Selim,Shivan Ramachandran,MICHAEL JASCHKE,Tauseef Ahmed Qadri")</f>
        <v>Brendan Yell,Pawel Opozda,Tarek Martínez,Kamornwan Srikullayakorn,Laszlo Török,Jony Jung,AlterMobili Marketing,Walid Nagy,Dollie Sahertian,Maciej Węgrzynek,Carma Khatib,JEONGYOON JANG,Tolga Varol,Katharina Mueller,Katharina Mueller,Ciprian Paltineanu,SLAWEK POTASZ,JINYOUNG CHAE,IL Suk Park,Dorina Páll,Ammar Akhtar,Ádám Dohár,José Xavier,Ilsan Mohamed,Hendrik Kramer,Juan Eduardo Herrera,Jean-Michael Georg,Stella Setyiadi,Pawel Postupalski,Adam Kutyłowski,Jarosław Gawroński,Doeun Kim,Insik Baek,Rosa Lee,José Valente,Octavian Iosif,Rafał Budweil,Marko Nugraha,Roman Prytkov,Zhang Andy,Sittisak Wongsomnuk,Katharina Mueller,Rui Gomes,SEONGCHEOL SHIN,Stefan Toma,Maximilian Fisser,Saad Selim,Shivan Ramachandran,MICHAEL JASCHKE,Tauseef Ahmed Qadri</v>
      </c>
      <c r="F365" s="4" t="str">
        <f>IFERROR(__xludf.DUMMYFUNCTION("""COMPUTED_VALUE"""),"2019/11/07 14:15:00")</f>
        <v>2019/11/07 14:15:00</v>
      </c>
      <c r="G365" s="4" t="str">
        <f>IFERROR(__xludf.DUMMYFUNCTION("""COMPUTED_VALUE"""),"2019/11/07 15:15:00")</f>
        <v>2019/11/07 15:15:00</v>
      </c>
      <c r="H365" s="4" t="str">
        <f>IFERROR(__xludf.DUMMYFUNCTION("""COMPUTED_VALUE"""),"64ad82e1-e9a1-450c-94d5-fe9621ac60b1")</f>
        <v>64ad82e1-e9a1-450c-94d5-fe9621ac60b1</v>
      </c>
      <c r="I365" s="4" t="str">
        <f>IFERROR(__xludf.DUMMYFUNCTION("""COMPUTED_VALUE"""),"64ad82e1-e9a1-450c-94d5-fe9621ac60b1")</f>
        <v>64ad82e1-e9a1-450c-94d5-fe9621ac60b1</v>
      </c>
    </row>
    <row r="366">
      <c r="A366" s="4" t="str">
        <f>IFERROR(__xludf.DUMMYFUNCTION("""COMPUTED_VALUE"""),"Life as the fourth major")</f>
        <v>Life as the fourth major</v>
      </c>
      <c r="B366" s="4" t="str">
        <f>IFERROR(__xludf.DUMMYFUNCTION("""COMPUTED_VALUE"""),"Industry heavyweight Hartwig  talks about the last 10 years and how BMG have developed and thrived in a new digital landscape. Digital transformation, publishing, streaming, acquisitions and diversification will all be covered in this wide ranging firesid"&amp;"e.")</f>
        <v>Industry heavyweight Hartwig  talks about the last 10 years and how BMG have developed and thrived in a new digital landscape. Digital transformation, publishing, streaming, acquisitions and diversification will all be covered in this wide ranging fireside.</v>
      </c>
      <c r="C366" s="4" t="str">
        <f>IFERROR(__xludf.DUMMYFUNCTION("""COMPUTED_VALUE"""),"MusicNotes")</f>
        <v>MusicNotes</v>
      </c>
      <c r="D366" s="4" t="str">
        <f>IFERROR(__xludf.DUMMYFUNCTION("""COMPUTED_VALUE"""),"Hartwig Masuch and Mark Savage")</f>
        <v>Hartwig Masuch and Mark Savage</v>
      </c>
      <c r="E366" s="4" t="str">
        <f>IFERROR(__xludf.DUMMYFUNCTION("""COMPUTED_VALUE"""),"Hartwig Masuch,Mark Savage")</f>
        <v>Hartwig Masuch,Mark Savage</v>
      </c>
      <c r="F366" s="4" t="str">
        <f>IFERROR(__xludf.DUMMYFUNCTION("""COMPUTED_VALUE"""),"2019/11/07 12:15:00")</f>
        <v>2019/11/07 12:15:00</v>
      </c>
      <c r="G366" s="4" t="str">
        <f>IFERROR(__xludf.DUMMYFUNCTION("""COMPUTED_VALUE"""),"2019/11/07 12:35:00")</f>
        <v>2019/11/07 12:35:00</v>
      </c>
      <c r="H366" s="4" t="str">
        <f>IFERROR(__xludf.DUMMYFUNCTION("""COMPUTED_VALUE"""),"146a3ec7-5517-4d81-b735-78a9239e71fc")</f>
        <v>146a3ec7-5517-4d81-b735-78a9239e71fc</v>
      </c>
      <c r="I366" s="4" t="str">
        <f>IFERROR(__xludf.DUMMYFUNCTION("""COMPUTED_VALUE"""),"146a3ec7-5517-4d81-b735-78a9239e71fc")</f>
        <v>146a3ec7-5517-4d81-b735-78a9239e71fc</v>
      </c>
    </row>
    <row r="367">
      <c r="A367" s="4" t="str">
        <f>IFERROR(__xludf.DUMMYFUNCTION("""COMPUTED_VALUE"""),"Microservices and containers")</f>
        <v>Microservices and containers</v>
      </c>
      <c r="B367" s="4" t="str">
        <f>IFERROR(__xludf.DUMMYFUNCTION("""COMPUTED_VALUE"""),"Simply starting your microservices in a Docker container is not enough for a robust architecture! This session starts with microservices and container basics and explains how to do it right. We'll look at why you should run your containers in the cloud, h"&amp;"ow you do so, and what options you have. There will be a demonstration of the AWS container services you can choose from, such as Amazon EKS and ECS, with advice and guidance on which one you should use. There will also be a discussion on best practices a"&amp;"nd useful open source tools. If you care about container workloads, then this session is for you.")</f>
        <v>Simply starting your microservices in a Docker container is not enough for a robust architecture! This session starts with microservices and container basics and explains how to do it right. We'll look at why you should run your containers in the cloud, how you do so, and what options you have. There will be a demonstration of the AWS container services you can choose from, such as Amazon EKS and ECS, with advice and guidance on which one you should use. There will also be a discussion on best practices and useful open source tools. If you care about container workloads, then this session is for you.</v>
      </c>
      <c r="C367" s="4" t="str">
        <f>IFERROR(__xludf.DUMMYFUNCTION("""COMPUTED_VALUE"""),"AWS Developer Workshops")</f>
        <v>AWS Developer Workshops</v>
      </c>
      <c r="D367" s="4" t="str">
        <f>IFERROR(__xludf.DUMMYFUNCTION("""COMPUTED_VALUE"""),"")</f>
        <v/>
      </c>
      <c r="E367" s="4" t="str">
        <f>IFERROR(__xludf.DUMMYFUNCTION("""COMPUTED_VALUE"""),"")</f>
        <v/>
      </c>
      <c r="F367" s="4" t="str">
        <f>IFERROR(__xludf.DUMMYFUNCTION("""COMPUTED_VALUE"""),"2019/11/07 11:00:00")</f>
        <v>2019/11/07 11:00:00</v>
      </c>
      <c r="G367" s="4" t="str">
        <f>IFERROR(__xludf.DUMMYFUNCTION("""COMPUTED_VALUE"""),"2019/11/07 11:50:00")</f>
        <v>2019/11/07 11:50:00</v>
      </c>
      <c r="H367" s="4" t="str">
        <f>IFERROR(__xludf.DUMMYFUNCTION("""COMPUTED_VALUE"""),"a2d5f81d-177d-4a25-87d3-529d7e276c07")</f>
        <v>a2d5f81d-177d-4a25-87d3-529d7e276c07</v>
      </c>
      <c r="I367" s="4" t="str">
        <f>IFERROR(__xludf.DUMMYFUNCTION("""COMPUTED_VALUE"""),"a2d5f81d-177d-4a25-87d3-529d7e276c07")</f>
        <v>a2d5f81d-177d-4a25-87d3-529d7e276c07</v>
      </c>
    </row>
    <row r="368">
      <c r="A368" s="4" t="str">
        <f>IFERROR(__xludf.DUMMYFUNCTION("""COMPUTED_VALUE"""),"The upside of obsession")</f>
        <v>The upside of obsession</v>
      </c>
      <c r="B368" s="4" t="str">
        <f>IFERROR(__xludf.DUMMYFUNCTION("""COMPUTED_VALUE"""),"In modern society obsession can be often viewed as a negative thing. But what does obsession mean to those who have reached the peak, and what role did it play in them getting to where they are now?")</f>
        <v>In modern society obsession can be often viewed as a negative thing. But what does obsession mean to those who have reached the peak, and what role did it play in them getting to where they are now?</v>
      </c>
      <c r="C368" s="4" t="str">
        <f>IFERROR(__xludf.DUMMYFUNCTION("""COMPUTED_VALUE"""),"Centre Stage")</f>
        <v>Centre Stage</v>
      </c>
      <c r="D368" s="4" t="str">
        <f>IFERROR(__xludf.DUMMYFUNCTION("""COMPUTED_VALUE"""),"Des Traynor,  , Paige VanZant,   and David Rowan")</f>
        <v>Des Traynor,  , Paige VanZant,   and David Rowan</v>
      </c>
      <c r="E368" s="4" t="str">
        <f>IFERROR(__xludf.DUMMYFUNCTION("""COMPUTED_VALUE"""),"Des Traynor, ,Paige VanZant, ,David Rowan")</f>
        <v>Des Traynor, ,Paige VanZant, ,David Rowan</v>
      </c>
      <c r="F368" s="4" t="str">
        <f>IFERROR(__xludf.DUMMYFUNCTION("""COMPUTED_VALUE"""),"2019/11/06 16:15:00")</f>
        <v>2019/11/06 16:15:00</v>
      </c>
      <c r="G368" s="4" t="str">
        <f>IFERROR(__xludf.DUMMYFUNCTION("""COMPUTED_VALUE"""),"2019/11/06 16:40:00")</f>
        <v>2019/11/06 16:40:00</v>
      </c>
      <c r="H368" s="4" t="str">
        <f>IFERROR(__xludf.DUMMYFUNCTION("""COMPUTED_VALUE"""),"5cec1916-6d6d-44ba-8b45-d12c9fb4212a")</f>
        <v>5cec1916-6d6d-44ba-8b45-d12c9fb4212a</v>
      </c>
      <c r="I368" s="4" t="str">
        <f>IFERROR(__xludf.DUMMYFUNCTION("""COMPUTED_VALUE"""),"5cec1916-6d6d-44ba-8b45-d12c9fb4212a")</f>
        <v>5cec1916-6d6d-44ba-8b45-d12c9fb4212a</v>
      </c>
    </row>
    <row r="369">
      <c r="A369" s="4" t="str">
        <f>IFERROR(__xludf.DUMMYFUNCTION("""COMPUTED_VALUE"""),"Data lakes and analytics in the cloud for developers and founders")</f>
        <v>Data lakes and analytics in the cloud for developers and founders</v>
      </c>
      <c r="B369" s="4" t="str">
        <f>IFERROR(__xludf.DUMMYFUNCTION("""COMPUTED_VALUE"""),"A typical application generates large amounts of data in different shapes at different speeds. Making sense of that data has its own sets of challenges and pitfalls. In this session we will explore the problem of data engineering and data lakes in general"&amp;", and learn how to use the cloud to get insights from your data in a powerful, flexible, and scalable way.")</f>
        <v>A typical application generates large amounts of data in different shapes at different speeds. Making sense of that data has its own sets of challenges and pitfalls. In this session we will explore the problem of data engineering and data lakes in general, and learn how to use the cloud to get insights from your data in a powerful, flexible, and scalable way.</v>
      </c>
      <c r="C369" s="4" t="str">
        <f>IFERROR(__xludf.DUMMYFUNCTION("""COMPUTED_VALUE"""),"AWS Developer Workshops")</f>
        <v>AWS Developer Workshops</v>
      </c>
      <c r="D369" s="4" t="str">
        <f>IFERROR(__xludf.DUMMYFUNCTION("""COMPUTED_VALUE"""),"")</f>
        <v/>
      </c>
      <c r="E369" s="4" t="str">
        <f>IFERROR(__xludf.DUMMYFUNCTION("""COMPUTED_VALUE"""),"")</f>
        <v/>
      </c>
      <c r="F369" s="4" t="str">
        <f>IFERROR(__xludf.DUMMYFUNCTION("""COMPUTED_VALUE"""),"2019/11/06 12:00:00")</f>
        <v>2019/11/06 12:00:00</v>
      </c>
      <c r="G369" s="4" t="str">
        <f>IFERROR(__xludf.DUMMYFUNCTION("""COMPUTED_VALUE"""),"2019/11/06 12:50:00")</f>
        <v>2019/11/06 12:50:00</v>
      </c>
      <c r="H369" s="4" t="str">
        <f>IFERROR(__xludf.DUMMYFUNCTION("""COMPUTED_VALUE"""),"865b6204-7d5a-4e88-9a71-ce3f4e969f79")</f>
        <v>865b6204-7d5a-4e88-9a71-ce3f4e969f79</v>
      </c>
      <c r="I369" s="4" t="str">
        <f>IFERROR(__xludf.DUMMYFUNCTION("""COMPUTED_VALUE"""),"865b6204-7d5a-4e88-9a71-ce3f4e969f79")</f>
        <v>865b6204-7d5a-4e88-9a71-ce3f4e969f79</v>
      </c>
    </row>
    <row r="370">
      <c r="A370" s="4" t="str">
        <f>IFERROR(__xludf.DUMMYFUNCTION("""COMPUTED_VALUE"""),"A formula for customer experience")</f>
        <v>A formula for customer experience</v>
      </c>
      <c r="B370" s="4" t="str">
        <f>IFERROR(__xludf.DUMMYFUNCTION("""COMPUTED_VALUE"""),"Customers have never had it so good. With revolutions in marketing analytics and how we use data, the customer experience is now a seamless personalised process. However, this presents a new issue - sameness. In this interview, SAPs CMO will explain to us"&amp;" what strategies she is employing to ensure that her brand is doing things a little differently.")</f>
        <v>Customers have never had it so good. With revolutions in marketing analytics and how we use data, the customer experience is now a seamless personalised process. However, this presents a new issue - sameness. In this interview, SAPs CMO will explain to us what strategies she is employing to ensure that her brand is doing things a little differently.</v>
      </c>
      <c r="C370" s="4" t="str">
        <f>IFERROR(__xludf.DUMMYFUNCTION("""COMPUTED_VALUE"""),"Corporate Innovation Summit")</f>
        <v>Corporate Innovation Summit</v>
      </c>
      <c r="D370" s="4" t="str">
        <f>IFERROR(__xludf.DUMMYFUNCTION("""COMPUTED_VALUE"""),"Alicia Tillman and Xavier Oliver")</f>
        <v>Alicia Tillman and Xavier Oliver</v>
      </c>
      <c r="E370" s="4" t="str">
        <f>IFERROR(__xludf.DUMMYFUNCTION("""COMPUTED_VALUE"""),"Alicia Tillman,Xavier Oliver")</f>
        <v>Alicia Tillman,Xavier Oliver</v>
      </c>
      <c r="F370" s="4" t="str">
        <f>IFERROR(__xludf.DUMMYFUNCTION("""COMPUTED_VALUE"""),"2019/11/06 16:05:00")</f>
        <v>2019/11/06 16:05:00</v>
      </c>
      <c r="G370" s="4" t="str">
        <f>IFERROR(__xludf.DUMMYFUNCTION("""COMPUTED_VALUE"""),"2019/11/06 16:25:00")</f>
        <v>2019/11/06 16:25:00</v>
      </c>
      <c r="H370" s="4" t="str">
        <f>IFERROR(__xludf.DUMMYFUNCTION("""COMPUTED_VALUE"""),"3c213a4c-f1a9-4840-bd25-76f333eb7641")</f>
        <v>3c213a4c-f1a9-4840-bd25-76f333eb7641</v>
      </c>
      <c r="I370" s="4" t="str">
        <f>IFERROR(__xludf.DUMMYFUNCTION("""COMPUTED_VALUE"""),"3c213a4c-f1a9-4840-bd25-76f333eb7641")</f>
        <v>3c213a4c-f1a9-4840-bd25-76f333eb7641</v>
      </c>
    </row>
    <row r="371">
      <c r="A371" s="4" t="str">
        <f>IFERROR(__xludf.DUMMYFUNCTION("""COMPUTED_VALUE"""),"Preventing crashes by predicting the future")</f>
        <v>Preventing crashes by predicting the future</v>
      </c>
      <c r="B371" s="4" t="str">
        <f>IFERROR(__xludf.DUMMYFUNCTION("""COMPUTED_VALUE"""),"Nobody wants to crash. What if we had software that would make it an impossibility?")</f>
        <v>Nobody wants to crash. What if we had software that would make it an impossibility?</v>
      </c>
      <c r="C371" s="4" t="str">
        <f>IFERROR(__xludf.DUMMYFUNCTION("""COMPUTED_VALUE"""),"Auto/Tech &amp; TalkRobot")</f>
        <v>Auto/Tech &amp; TalkRobot</v>
      </c>
      <c r="D371" s="4" t="str">
        <f>IFERROR(__xludf.DUMMYFUNCTION("""COMPUTED_VALUE"""),"Jennifer Haroon, Stefan Heck and Jim Motavalli")</f>
        <v>Jennifer Haroon, Stefan Heck and Jim Motavalli</v>
      </c>
      <c r="E371" s="4" t="str">
        <f>IFERROR(__xludf.DUMMYFUNCTION("""COMPUTED_VALUE"""),"Jennifer Haroon,Stefan Heck,Jim Motavalli")</f>
        <v>Jennifer Haroon,Stefan Heck,Jim Motavalli</v>
      </c>
      <c r="F371" s="4" t="str">
        <f>IFERROR(__xludf.DUMMYFUNCTION("""COMPUTED_VALUE"""),"2019/11/06 16:00:00")</f>
        <v>2019/11/06 16:00:00</v>
      </c>
      <c r="G371" s="4" t="str">
        <f>IFERROR(__xludf.DUMMYFUNCTION("""COMPUTED_VALUE"""),"2019/11/06 16:20:00")</f>
        <v>2019/11/06 16:20:00</v>
      </c>
      <c r="H371" s="4" t="str">
        <f>IFERROR(__xludf.DUMMYFUNCTION("""COMPUTED_VALUE"""),"c71dc235-d1c7-4e31-8fbb-69a91eceb87a")</f>
        <v>c71dc235-d1c7-4e31-8fbb-69a91eceb87a</v>
      </c>
      <c r="I371" s="4" t="str">
        <f>IFERROR(__xludf.DUMMYFUNCTION("""COMPUTED_VALUE"""),"c71dc235-d1c7-4e31-8fbb-69a91eceb87a")</f>
        <v>c71dc235-d1c7-4e31-8fbb-69a91eceb87a</v>
      </c>
    </row>
    <row r="372">
      <c r="A372" s="4" t="str">
        <f>IFERROR(__xludf.DUMMYFUNCTION("""COMPUTED_VALUE"""),"Live music: Getting fans out more")</f>
        <v>Live music: Getting fans out more</v>
      </c>
      <c r="B372" s="4" t="str">
        <f>IFERROR(__xludf.DUMMYFUNCTION("""COMPUTED_VALUE"""),"With the advent of streaming and its impact on record sales, live music has never been more important. In this session we take a look at the live music scene and ask what the future could look like. Come find out about the next generation of live music sh"&amp;"ows and learn how a combination of tout-beating digital tech and smart event recommendation is making the live music industry fairer for all.")</f>
        <v>With the advent of streaming and its impact on record sales, live music has never been more important. In this session we take a look at the live music scene and ask what the future could look like. Come find out about the next generation of live music shows and learn how a combination of tout-beating digital tech and smart event recommendation is making the live music industry fairer for all.</v>
      </c>
      <c r="C372" s="4" t="str">
        <f>IFERROR(__xludf.DUMMYFUNCTION("""COMPUTED_VALUE"""),"MusicNotes")</f>
        <v>MusicNotes</v>
      </c>
      <c r="D372" s="4" t="str">
        <f>IFERROR(__xludf.DUMMYFUNCTION("""COMPUTED_VALUE"""),"Phil Hutcheon, Gabrielle Jenks and Kieran Yates")</f>
        <v>Phil Hutcheon, Gabrielle Jenks and Kieran Yates</v>
      </c>
      <c r="E372" s="4" t="str">
        <f>IFERROR(__xludf.DUMMYFUNCTION("""COMPUTED_VALUE"""),"Phil Hutcheon,Gabrielle Jenks,Kieran Yates")</f>
        <v>Phil Hutcheon,Gabrielle Jenks,Kieran Yates</v>
      </c>
      <c r="F372" s="4" t="str">
        <f>IFERROR(__xludf.DUMMYFUNCTION("""COMPUTED_VALUE"""),"2019/11/07 11:55:00")</f>
        <v>2019/11/07 11:55:00</v>
      </c>
      <c r="G372" s="4" t="str">
        <f>IFERROR(__xludf.DUMMYFUNCTION("""COMPUTED_VALUE"""),"2019/11/07 12:15:00")</f>
        <v>2019/11/07 12:15:00</v>
      </c>
      <c r="H372" s="4" t="str">
        <f>IFERROR(__xludf.DUMMYFUNCTION("""COMPUTED_VALUE"""),"46662c4d-efc2-4bc7-965b-96faa2abbe9b")</f>
        <v>46662c4d-efc2-4bc7-965b-96faa2abbe9b</v>
      </c>
      <c r="I372" s="4" t="str">
        <f>IFERROR(__xludf.DUMMYFUNCTION("""COMPUTED_VALUE"""),"46662c4d-efc2-4bc7-965b-96faa2abbe9b")</f>
        <v>46662c4d-efc2-4bc7-965b-96faa2abbe9b</v>
      </c>
    </row>
    <row r="373">
      <c r="A373" s="4" t="str">
        <f>IFERROR(__xludf.DUMMYFUNCTION("""COMPUTED_VALUE"""),"Is it too late to save the world?")</f>
        <v>Is it too late to save the world?</v>
      </c>
      <c r="B373" s="4" t="str">
        <f>IFERROR(__xludf.DUMMYFUNCTION("""COMPUTED_VALUE"""),"With America pulling out of the Paris climate accord and climate scientists issuing increasingly pessimistic forecasts about the climate crisis, we ask whether it is now too late to change course. If we can avoid a catastrophe, how are we going to do it?")</f>
        <v>With America pulling out of the Paris climate accord and climate scientists issuing increasingly pessimistic forecasts about the climate crisis, we ask whether it is now too late to change course. If we can avoid a catastrophe, how are we going to do it?</v>
      </c>
      <c r="C373" s="4" t="str">
        <f>IFERROR(__xludf.DUMMYFUNCTION("""COMPUTED_VALUE"""),"Centre Stage")</f>
        <v>Centre Stage</v>
      </c>
      <c r="D373" s="4" t="str">
        <f>IFERROR(__xludf.DUMMYFUNCTION("""COMPUTED_VALUE"""),"Christiana Figueres, Kate Brandt and Cheng Lei")</f>
        <v>Christiana Figueres, Kate Brandt and Cheng Lei</v>
      </c>
      <c r="E373" s="4" t="str">
        <f>IFERROR(__xludf.DUMMYFUNCTION("""COMPUTED_VALUE"""),"Christiana Figueres,Kate Brandt,Cheng Lei")</f>
        <v>Christiana Figueres,Kate Brandt,Cheng Lei</v>
      </c>
      <c r="F373" s="4" t="str">
        <f>IFERROR(__xludf.DUMMYFUNCTION("""COMPUTED_VALUE"""),"2019/11/06 14:45:00")</f>
        <v>2019/11/06 14:45:00</v>
      </c>
      <c r="G373" s="4" t="str">
        <f>IFERROR(__xludf.DUMMYFUNCTION("""COMPUTED_VALUE"""),"2019/11/06 15:10:00")</f>
        <v>2019/11/06 15:10:00</v>
      </c>
      <c r="H373" s="4" t="str">
        <f>IFERROR(__xludf.DUMMYFUNCTION("""COMPUTED_VALUE"""),"a5516898-7b73-4be8-b22e-289dd02334f1")</f>
        <v>a5516898-7b73-4be8-b22e-289dd02334f1</v>
      </c>
      <c r="I373" s="4" t="str">
        <f>IFERROR(__xludf.DUMMYFUNCTION("""COMPUTED_VALUE"""),"a5516898-7b73-4be8-b22e-289dd02334f1")</f>
        <v>a5516898-7b73-4be8-b22e-289dd02334f1</v>
      </c>
    </row>
    <row r="374">
      <c r="A374" s="4" t="str">
        <f>IFERROR(__xludf.DUMMYFUNCTION("""COMPUTED_VALUE"""),"The Appier story: Making business impact with AI")</f>
        <v>The Appier story: Making business impact with AI</v>
      </c>
      <c r="B374" s="4" t="str">
        <f>IFERROR(__xludf.DUMMYFUNCTION("""COMPUTED_VALUE"""),"Winnie Lee, COO of Appier, will share Appier's growth story. From its origins in a small apartment as an artificial intelligence engine for online games, to an AI powerhouse, helping its global clients solve some of their most challenging business problem"&amp;"s through effective implementation of AI.")</f>
        <v>Winnie Lee, COO of Appier, will share Appier's growth story. From its origins in a small apartment as an artificial intelligence engine for online games, to an AI powerhouse, helping its global clients solve some of their most challenging business problems through effective implementation of AI.</v>
      </c>
      <c r="C374" s="4" t="str">
        <f>IFERROR(__xludf.DUMMYFUNCTION("""COMPUTED_VALUE"""),"Growth Summit")</f>
        <v>Growth Summit</v>
      </c>
      <c r="D374" s="4" t="str">
        <f>IFERROR(__xludf.DUMMYFUNCTION("""COMPUTED_VALUE"""),"Winnie Lee")</f>
        <v>Winnie Lee</v>
      </c>
      <c r="E374" s="4" t="str">
        <f>IFERROR(__xludf.DUMMYFUNCTION("""COMPUTED_VALUE"""),"Winnie Lee")</f>
        <v>Winnie Lee</v>
      </c>
      <c r="F374" s="4" t="str">
        <f>IFERROR(__xludf.DUMMYFUNCTION("""COMPUTED_VALUE"""),"2019/11/06 13:14:00")</f>
        <v>2019/11/06 13:14:00</v>
      </c>
      <c r="G374" s="4" t="str">
        <f>IFERROR(__xludf.DUMMYFUNCTION("""COMPUTED_VALUE"""),"2019/11/06 13:25:00")</f>
        <v>2019/11/06 13:25:00</v>
      </c>
      <c r="H374" s="4" t="str">
        <f>IFERROR(__xludf.DUMMYFUNCTION("""COMPUTED_VALUE"""),"5d494c27-fbd2-4e99-b5e5-c6b46d5aa076")</f>
        <v>5d494c27-fbd2-4e99-b5e5-c6b46d5aa076</v>
      </c>
      <c r="I374" s="4" t="str">
        <f>IFERROR(__xludf.DUMMYFUNCTION("""COMPUTED_VALUE"""),"5d494c27-fbd2-4e99-b5e5-c6b46d5aa076")</f>
        <v>5d494c27-fbd2-4e99-b5e5-c6b46d5aa076</v>
      </c>
    </row>
    <row r="375">
      <c r="A375" s="4" t="str">
        <f>IFERROR(__xludf.DUMMYFUNCTION("""COMPUTED_VALUE"""),"Lessons from 3000 days of struggle")</f>
        <v>Lessons from 3000 days of struggle</v>
      </c>
      <c r="B375" s="4" t="str">
        <f>IFERROR(__xludf.DUMMYFUNCTION("""COMPUTED_VALUE"""),"In 2010, Augusto Marietti and Marco Palladino moved from Milan to San Francisco with a few hundred bucks of cash and a dream to make it big in tech. Through grit, determination, dumb luck and the relentless ability to pivot when necessary,  they succeeded"&amp;", and sold their first company (Mashape) and founded their second (Kong Inc.). Marco will share lessons learned, how the early struggles as an entrepreneur fueled his future success and advice for other entrepreneurs.")</f>
        <v>In 2010, Augusto Marietti and Marco Palladino moved from Milan to San Francisco with a few hundred bucks of cash and a dream to make it big in tech. Through grit, determination, dumb luck and the relentless ability to pivot when necessary,  they succeeded, and sold their first company (Mashape) and founded their second (Kong Inc.). Marco will share lessons learned, how the early struggles as an entrepreneur fueled his future success and advice for other entrepreneurs.</v>
      </c>
      <c r="C375" s="4" t="str">
        <f>IFERROR(__xludf.DUMMYFUNCTION("""COMPUTED_VALUE"""),"Growth Summit")</f>
        <v>Growth Summit</v>
      </c>
      <c r="D375" s="4" t="str">
        <f>IFERROR(__xludf.DUMMYFUNCTION("""COMPUTED_VALUE"""),"Marco Palladino")</f>
        <v>Marco Palladino</v>
      </c>
      <c r="E375" s="4" t="str">
        <f>IFERROR(__xludf.DUMMYFUNCTION("""COMPUTED_VALUE"""),"Marco Palladino")</f>
        <v>Marco Palladino</v>
      </c>
      <c r="F375" s="4" t="str">
        <f>IFERROR(__xludf.DUMMYFUNCTION("""COMPUTED_VALUE"""),"2019/11/07 15:59:00")</f>
        <v>2019/11/07 15:59:00</v>
      </c>
      <c r="G375" s="4" t="str">
        <f>IFERROR(__xludf.DUMMYFUNCTION("""COMPUTED_VALUE"""),"2019/11/07 16:10:00")</f>
        <v>2019/11/07 16:10:00</v>
      </c>
      <c r="H375" s="4" t="str">
        <f>IFERROR(__xludf.DUMMYFUNCTION("""COMPUTED_VALUE"""),"97fb1a87-6575-4dd8-9f7c-e0193c799658")</f>
        <v>97fb1a87-6575-4dd8-9f7c-e0193c799658</v>
      </c>
      <c r="I375" s="4" t="str">
        <f>IFERROR(__xludf.DUMMYFUNCTION("""COMPUTED_VALUE"""),"97fb1a87-6575-4dd8-9f7c-e0193c799658")</f>
        <v>97fb1a87-6575-4dd8-9f7c-e0193c799658</v>
      </c>
    </row>
    <row r="376">
      <c r="A376" s="4" t="str">
        <f>IFERROR(__xludf.DUMMYFUNCTION("""COMPUTED_VALUE"""),"The good, the bad and the future of big data")</f>
        <v>The good, the bad and the future of big data</v>
      </c>
      <c r="B376" s="4" t="str">
        <f>IFERROR(__xludf.DUMMYFUNCTION("""COMPUTED_VALUE"""),"As we enter the age of artificial intelligence and micro-marketing, how corporations use data has never been closer to the forefront of our thinking. In this session, the data leaders of WalllGreen Boots Alliance, JC Decaux and Xandr will guide us on wher"&amp;"e we go from here.")</f>
        <v>As we enter the age of artificial intelligence and micro-marketing, how corporations use data has never been closer to the forefront of our thinking. In this session, the data leaders of WalllGreen Boots Alliance, JC Decaux and Xandr will guide us on where we go from here.</v>
      </c>
      <c r="C376" s="4" t="str">
        <f>IFERROR(__xludf.DUMMYFUNCTION("""COMPUTED_VALUE"""),"Corporate Innovation Summit")</f>
        <v>Corporate Innovation Summit</v>
      </c>
      <c r="D376" s="4" t="str">
        <f>IFERROR(__xludf.DUMMYFUNCTION("""COMPUTED_VALUE"""),"François-Xavier Pierrel, Steve Rempel, Lori Fink and Joaquim Bretcha Boix")</f>
        <v>François-Xavier Pierrel, Steve Rempel, Lori Fink and Joaquim Bretcha Boix</v>
      </c>
      <c r="E376" s="4" t="str">
        <f>IFERROR(__xludf.DUMMYFUNCTION("""COMPUTED_VALUE"""),"François-Xavier Pierrel,Steve Rempel,Lori Fink,Joaquim Bretcha Boix")</f>
        <v>François-Xavier Pierrel,Steve Rempel,Lori Fink,Joaquim Bretcha Boix</v>
      </c>
      <c r="F376" s="4" t="str">
        <f>IFERROR(__xludf.DUMMYFUNCTION("""COMPUTED_VALUE"""),"2019/11/05 11:15:00")</f>
        <v>2019/11/05 11:15:00</v>
      </c>
      <c r="G376" s="4" t="str">
        <f>IFERROR(__xludf.DUMMYFUNCTION("""COMPUTED_VALUE"""),"2019/11/05 11:40:00")</f>
        <v>2019/11/05 11:40:00</v>
      </c>
      <c r="H376" s="4" t="str">
        <f>IFERROR(__xludf.DUMMYFUNCTION("""COMPUTED_VALUE"""),"a73787b3-c882-46bc-a562-93cc0e79cec7")</f>
        <v>a73787b3-c882-46bc-a562-93cc0e79cec7</v>
      </c>
      <c r="I376" s="4" t="str">
        <f>IFERROR(__xludf.DUMMYFUNCTION("""COMPUTED_VALUE"""),"a73787b3-c882-46bc-a562-93cc0e79cec7")</f>
        <v>a73787b3-c882-46bc-a562-93cc0e79cec7</v>
      </c>
    </row>
    <row r="377">
      <c r="A377" s="4" t="str">
        <f>IFERROR(__xludf.DUMMYFUNCTION("""COMPUTED_VALUE"""),"The truth behind the founder-VC relationship ")</f>
        <v>The truth behind the founder-VC relationship </v>
      </c>
      <c r="B377" s="4" t="str">
        <f>IFERROR(__xludf.DUMMYFUNCTION("""COMPUTED_VALUE"""),"Two heads are better than one, or too many cooks in the kitchen? A frank discussion about the delicate relationship between CEOs and their backing VCs. ")</f>
        <v>Two heads are better than one, or too many cooks in the kitchen? A frank discussion about the delicate relationship between CEOs and their backing VCs. </v>
      </c>
      <c r="C377" s="4" t="str">
        <f>IFERROR(__xludf.DUMMYFUNCTION("""COMPUTED_VALUE"""),"Startup University")</f>
        <v>Startup University</v>
      </c>
      <c r="D377" s="4" t="str">
        <f>IFERROR(__xludf.DUMMYFUNCTION("""COMPUTED_VALUE"""),"Nikki Lannen, Timo Soininen, Lars Jornow and Cynthia Johnson")</f>
        <v>Nikki Lannen, Timo Soininen, Lars Jornow and Cynthia Johnson</v>
      </c>
      <c r="E377" s="4" t="str">
        <f>IFERROR(__xludf.DUMMYFUNCTION("""COMPUTED_VALUE"""),"Nikki Lannen,Timo Soininen,Lars Jornow,Cynthia Johnson")</f>
        <v>Nikki Lannen,Timo Soininen,Lars Jornow,Cynthia Johnson</v>
      </c>
      <c r="F377" s="4" t="str">
        <f>IFERROR(__xludf.DUMMYFUNCTION("""COMPUTED_VALUE"""),"2019/11/06 12:10:00")</f>
        <v>2019/11/06 12:10:00</v>
      </c>
      <c r="G377" s="4" t="str">
        <f>IFERROR(__xludf.DUMMYFUNCTION("""COMPUTED_VALUE"""),"2019/11/06 12:35:00")</f>
        <v>2019/11/06 12:35:00</v>
      </c>
      <c r="H377" s="4" t="str">
        <f>IFERROR(__xludf.DUMMYFUNCTION("""COMPUTED_VALUE"""),"f0f2e556-3c47-44bc-8a2a-5bb5dd21a73a")</f>
        <v>f0f2e556-3c47-44bc-8a2a-5bb5dd21a73a</v>
      </c>
      <c r="I377" s="4" t="str">
        <f>IFERROR(__xludf.DUMMYFUNCTION("""COMPUTED_VALUE"""),"f0f2e556-3c47-44bc-8a2a-5bb5dd21a73a")</f>
        <v>f0f2e556-3c47-44bc-8a2a-5bb5dd21a73a</v>
      </c>
    </row>
    <row r="378">
      <c r="A378" s="4" t="str">
        <f>IFERROR(__xludf.DUMMYFUNCTION("""COMPUTED_VALUE"""),"Creating new worlds: Technology, innovation and storytelling")</f>
        <v>Creating new worlds: Technology, innovation and storytelling</v>
      </c>
      <c r="B378" s="4" t="str">
        <f>IFERROR(__xludf.DUMMYFUNCTION("""COMPUTED_VALUE"""),"Today’s unprecedented rate of technological development is opening new worlds in moviemaking. We can now bring far off galaxies to a soundstage near you, in real-time, leveraging technology to tell compelling stories in new and interesting ways. An Oscar®"&amp;" nominated content creator from Lucasfilm’s immersive entertainment studio will pull back the curtain on technology and techniques that are changing the way filmmakers tell their stories.")</f>
        <v>Today’s unprecedented rate of technological development is opening new worlds in moviemaking. We can now bring far off galaxies to a soundstage near you, in real-time, leveraging technology to tell compelling stories in new and interesting ways. An Oscar® nominated content creator from Lucasfilm’s immersive entertainment studio will pull back the curtain on technology and techniques that are changing the way filmmakers tell their stories.</v>
      </c>
      <c r="C378" s="4" t="str">
        <f>IFERROR(__xludf.DUMMYFUNCTION("""COMPUTED_VALUE"""),"ContentMakers")</f>
        <v>ContentMakers</v>
      </c>
      <c r="D378" s="4" t="str">
        <f>IFERROR(__xludf.DUMMYFUNCTION("""COMPUTED_VALUE"""),"Mohen Leo")</f>
        <v>Mohen Leo</v>
      </c>
      <c r="E378" s="4" t="str">
        <f>IFERROR(__xludf.DUMMYFUNCTION("""COMPUTED_VALUE"""),"Mohen Leo")</f>
        <v>Mohen Leo</v>
      </c>
      <c r="F378" s="4" t="str">
        <f>IFERROR(__xludf.DUMMYFUNCTION("""COMPUTED_VALUE"""),"2019/11/07 15:55:00")</f>
        <v>2019/11/07 15:55:00</v>
      </c>
      <c r="G378" s="4" t="str">
        <f>IFERROR(__xludf.DUMMYFUNCTION("""COMPUTED_VALUE"""),"2019/11/07 16:20:00")</f>
        <v>2019/11/07 16:20:00</v>
      </c>
      <c r="H378" s="4" t="str">
        <f>IFERROR(__xludf.DUMMYFUNCTION("""COMPUTED_VALUE"""),"5be544cf-3d3b-44bc-93a7-45ab95f353a7")</f>
        <v>5be544cf-3d3b-44bc-93a7-45ab95f353a7</v>
      </c>
      <c r="I378" s="4" t="str">
        <f>IFERROR(__xludf.DUMMYFUNCTION("""COMPUTED_VALUE"""),"5be544cf-3d3b-44bc-93a7-45ab95f353a7")</f>
        <v>5be544cf-3d3b-44bc-93a7-45ab95f353a7</v>
      </c>
    </row>
    <row r="379">
      <c r="A379" s="4" t="str">
        <f>IFERROR(__xludf.DUMMYFUNCTION("""COMPUTED_VALUE"""),"Powering your branded content on Instagram workshop, hosted by Shutterstock")</f>
        <v>Powering your branded content on Instagram workshop, hosted by Shutterstock</v>
      </c>
      <c r="B379" s="4" t="str">
        <f>IFERROR(__xludf.DUMMYFUNCTION("""COMPUTED_VALUE"""),"The rise of photo and video sharing platforms, coupled with decreasing attention spans and budgets, means brands and agencies have struggled to keep up with the production of visual content. How have leading brands, with new technology, streamlined and sc"&amp;"aled their branded visual content production? Join this workshop to learn how to drastically simplify the creative briefing process, while also increasing speed of delivery and reducing costs.
*Please bring a laptop for this workshop")</f>
        <v>The rise of photo and video sharing platforms, coupled with decreasing attention spans and budgets, means brands and agencies have struggled to keep up with the production of visual content. How have leading brands, with new technology, streamlined and scaled their branded visual content production? Join this workshop to learn how to drastically simplify the creative briefing process, while also increasing speed of delivery and reducing costs.
*Please bring a laptop for this workshop</v>
      </c>
      <c r="C379" s="4" t="str">
        <f>IFERROR(__xludf.DUMMYFUNCTION("""COMPUTED_VALUE"""),"Workshop 3")</f>
        <v>Workshop 3</v>
      </c>
      <c r="D379" s="4" t="str">
        <f>IFERROR(__xludf.DUMMYFUNCTION("""COMPUTED_VALUE"""),"Luc Berlin")</f>
        <v>Luc Berlin</v>
      </c>
      <c r="E379" s="4" t="str">
        <f>IFERROR(__xludf.DUMMYFUNCTION("""COMPUTED_VALUE"""),"Luc Berlin")</f>
        <v>Luc Berlin</v>
      </c>
      <c r="F379" s="4" t="str">
        <f>IFERROR(__xludf.DUMMYFUNCTION("""COMPUTED_VALUE"""),"2019/11/05 10:00:00")</f>
        <v>2019/11/05 10:00:00</v>
      </c>
      <c r="G379" s="4" t="str">
        <f>IFERROR(__xludf.DUMMYFUNCTION("""COMPUTED_VALUE"""),"2019/11/05 10:45:00")</f>
        <v>2019/11/05 10:45:00</v>
      </c>
      <c r="H379" s="4" t="str">
        <f>IFERROR(__xludf.DUMMYFUNCTION("""COMPUTED_VALUE"""),"e604b28f-cefe-4ecd-8026-64d5a5dcbdd1")</f>
        <v>e604b28f-cefe-4ecd-8026-64d5a5dcbdd1</v>
      </c>
      <c r="I379" s="4" t="str">
        <f>IFERROR(__xludf.DUMMYFUNCTION("""COMPUTED_VALUE"""),"e604b28f-cefe-4ecd-8026-64d5a5dcbdd1")</f>
        <v>e604b28f-cefe-4ecd-8026-64d5a5dcbdd1</v>
      </c>
    </row>
    <row r="380">
      <c r="A380" s="4" t="str">
        <f>IFERROR(__xludf.DUMMYFUNCTION("""COMPUTED_VALUE"""),"Startup Showcase")</f>
        <v>Startup Showcase</v>
      </c>
      <c r="B380" s="4" t="str">
        <f>IFERROR(__xludf.DUMMYFUNCTION("""COMPUTED_VALUE"""),"On this brand new stage, expect quickfire presentations where startups will showcase their solutions to the future's biggest challenges. This hour focuses on the future of content, covering topics like VR/AR, front-end infrastructure, content creators, st"&amp;"reaming services, and video.
")</f>
        <v>On this brand new stage, expect quickfire presentations where startups will showcase their solutions to the future's biggest challenges. This hour focuses on the future of content, covering topics like VR/AR, front-end infrastructure, content creators, streaming services, and video.
</v>
      </c>
      <c r="C380" s="4" t="str">
        <f>IFERROR(__xludf.DUMMYFUNCTION("""COMPUTED_VALUE"""),"Startup Showcase 1")</f>
        <v>Startup Showcase 1</v>
      </c>
      <c r="D380" s="4" t="str">
        <f>IFERROR(__xludf.DUMMYFUNCTION("""COMPUTED_VALUE"""),"Susana Chaves, Bilall Memedi, Guillaume Pineau-Valencienne, Christof Wallner, Raymond Calis, Nurlan Tlegenov, Mattia Fosci, Mehmet Nisanci, Dmytro Baklan, Olga Troian, Mellat Shegre, Eric van Hall, Maciej Sawicki, Barbara Molendijk, Murphy Chang, Enno Bas"&amp;"sen, Hirbod Bigvand, Matthew Kempa, Wiktoria Wojcik, Michael Pallotto, Slawomir Olszynski, Jeroen Mol, Ariel Lin, Jill Beytin, Allison Gorecki, Antonio Puleo, Dawid Cichy, Samuel Haertl, Rahinee Ratnagobal, Tobias Kehrein, Ekaterina Bakhova, Muriel Kuan, "&amp;"Adam Jastrzebski, Mara Kuesters, Rhiannon Ross, Daniel Teuschl, Melanie Hartl, Szymon Kubiak, Vinh Ngu, Anastasiia Horban, Alessandro La Rosa, ERSIN GENCER, Pierre ADDOUM, Alexander Lachinger, Wilco Verdoold, Igor Menshchykov, Suzanne Robbe, Sebastian Zac"&amp;"h, Federico Tudisco and Alison Costa")</f>
        <v>Susana Chaves, Bilall Memedi, Guillaume Pineau-Valencienne, Christof Wallner, Raymond Calis, Nurlan Tlegenov, Mattia Fosci, Mehmet Nisanci, Dmytro Baklan, Olga Troian, Mellat Shegre, Eric van Hall, Maciej Sawicki, Barbara Molendijk, Murphy Chang, Enno Bassen, Hirbod Bigvand, Matthew Kempa, Wiktoria Wojcik, Michael Pallotto, Slawomir Olszynski, Jeroen Mol, Ariel Lin, Jill Beytin, Allison Gorecki, Antonio Puleo, Dawid Cichy, Samuel Haertl, Rahinee Ratnagobal, Tobias Kehrein, Ekaterina Bakhova, Muriel Kuan, Adam Jastrzebski, Mara Kuesters, Rhiannon Ross, Daniel Teuschl, Melanie Hartl, Szymon Kubiak, Vinh Ngu, Anastasiia Horban, Alessandro La Rosa, ERSIN GENCER, Pierre ADDOUM, Alexander Lachinger, Wilco Verdoold, Igor Menshchykov, Suzanne Robbe, Sebastian Zach, Federico Tudisco and Alison Costa</v>
      </c>
      <c r="E380" s="4" t="str">
        <f>IFERROR(__xludf.DUMMYFUNCTION("""COMPUTED_VALUE"""),"Susana Chaves,Bilall Memedi,Guillaume Pineau-Valencienne,Christof Wallner,Raymond Calis,Nurlan Tlegenov,Mattia Fosci,Mehmet Nisanci,Dmytro Baklan,Olga Troian,Mellat Shegre,Eric van Hall,Maciej Sawicki,Barbara Molendijk,Murphy Chang,Enno Bassen,Hirbod Bigv"&amp;"and,Matthew Kempa,Wiktoria Wojcik,Michael Pallotto,Slawomir Olszynski,Jeroen Mol,Ariel Lin,Jill Beytin,Allison Gorecki,Antonio Puleo,Dawid Cichy,Samuel Haertl,Rahinee Ratnagobal,Tobias Kehrein,Ekaterina Bakhova,Muriel Kuan,Adam Jastrzebski,Mara Kuesters,R"&amp;"hiannon Ross,Daniel Teuschl,Melanie Hartl,Szymon Kubiak,Vinh Ngu,Anastasiia Horban,Alessandro La Rosa,ERSIN GENCER,Pierre ADDOUM,Alexander Lachinger,Wilco Verdoold,Igor Menshchykov,Suzanne Robbe,Sebastian Zach,Federico Tudisco,Alison Costa")</f>
        <v>Susana Chaves,Bilall Memedi,Guillaume Pineau-Valencienne,Christof Wallner,Raymond Calis,Nurlan Tlegenov,Mattia Fosci,Mehmet Nisanci,Dmytro Baklan,Olga Troian,Mellat Shegre,Eric van Hall,Maciej Sawicki,Barbara Molendijk,Murphy Chang,Enno Bassen,Hirbod Bigvand,Matthew Kempa,Wiktoria Wojcik,Michael Pallotto,Slawomir Olszynski,Jeroen Mol,Ariel Lin,Jill Beytin,Allison Gorecki,Antonio Puleo,Dawid Cichy,Samuel Haertl,Rahinee Ratnagobal,Tobias Kehrein,Ekaterina Bakhova,Muriel Kuan,Adam Jastrzebski,Mara Kuesters,Rhiannon Ross,Daniel Teuschl,Melanie Hartl,Szymon Kubiak,Vinh Ngu,Anastasiia Horban,Alessandro La Rosa,ERSIN GENCER,Pierre ADDOUM,Alexander Lachinger,Wilco Verdoold,Igor Menshchykov,Suzanne Robbe,Sebastian Zach,Federico Tudisco,Alison Costa</v>
      </c>
      <c r="F380" s="4" t="str">
        <f>IFERROR(__xludf.DUMMYFUNCTION("""COMPUTED_VALUE"""),"2019/11/06 11:15:00")</f>
        <v>2019/11/06 11:15:00</v>
      </c>
      <c r="G380" s="4" t="str">
        <f>IFERROR(__xludf.DUMMYFUNCTION("""COMPUTED_VALUE"""),"2019/11/06 12:15:00")</f>
        <v>2019/11/06 12:15:00</v>
      </c>
      <c r="H380" s="4" t="str">
        <f>IFERROR(__xludf.DUMMYFUNCTION("""COMPUTED_VALUE"""),"29eb5ec6-b0f4-4315-8b8a-96ed710a9256")</f>
        <v>29eb5ec6-b0f4-4315-8b8a-96ed710a9256</v>
      </c>
      <c r="I380" s="4" t="str">
        <f>IFERROR(__xludf.DUMMYFUNCTION("""COMPUTED_VALUE"""),"29eb5ec6-b0f4-4315-8b8a-96ed710a9256")</f>
        <v>29eb5ec6-b0f4-4315-8b8a-96ed710a9256</v>
      </c>
    </row>
    <row r="381">
      <c r="A381" s="4" t="str">
        <f>IFERROR(__xludf.DUMMYFUNCTION("""COMPUTED_VALUE"""),"Microsoft’s vision for transforming the web for businesses")</f>
        <v>Microsoft’s vision for transforming the web for businesses</v>
      </c>
      <c r="B381" s="4" t="str">
        <f>IFERROR(__xludf.DUMMYFUNCTION("""COMPUTED_VALUE"""),"Liat Ben-Zur, Corporate Vice President of Modern Life, Search &amp; Devices at Microsoft, will share how the company is renewing its investment in the web to deliver the best browser and search experiences for business.")</f>
        <v>Liat Ben-Zur, Corporate Vice President of Modern Life, Search &amp; Devices at Microsoft, will share how the company is renewing its investment in the web to deliver the best browser and search experiences for business.</v>
      </c>
      <c r="C381" s="4" t="str">
        <f>IFERROR(__xludf.DUMMYFUNCTION("""COMPUTED_VALUE"""),"PandaConf")</f>
        <v>PandaConf</v>
      </c>
      <c r="D381" s="4" t="str">
        <f>IFERROR(__xludf.DUMMYFUNCTION("""COMPUTED_VALUE"""),"Liat Ben Zur")</f>
        <v>Liat Ben Zur</v>
      </c>
      <c r="E381" s="4" t="str">
        <f>IFERROR(__xludf.DUMMYFUNCTION("""COMPUTED_VALUE"""),"Liat Ben Zur")</f>
        <v>Liat Ben Zur</v>
      </c>
      <c r="F381" s="4" t="str">
        <f>IFERROR(__xludf.DUMMYFUNCTION("""COMPUTED_VALUE"""),"2019/11/05 13:50:00")</f>
        <v>2019/11/05 13:50:00</v>
      </c>
      <c r="G381" s="4" t="str">
        <f>IFERROR(__xludf.DUMMYFUNCTION("""COMPUTED_VALUE"""),"2019/11/05 14:10:00")</f>
        <v>2019/11/05 14:10:00</v>
      </c>
      <c r="H381" s="4" t="str">
        <f>IFERROR(__xludf.DUMMYFUNCTION("""COMPUTED_VALUE"""),"7c7842c9-3e52-4ef8-bfde-6c626eee847e")</f>
        <v>7c7842c9-3e52-4ef8-bfde-6c626eee847e</v>
      </c>
      <c r="I381" s="4" t="str">
        <f>IFERROR(__xludf.DUMMYFUNCTION("""COMPUTED_VALUE"""),"7c7842c9-3e52-4ef8-bfde-6c626eee847e")</f>
        <v>7c7842c9-3e52-4ef8-bfde-6c626eee847e</v>
      </c>
    </row>
    <row r="382">
      <c r="A382" s="4" t="str">
        <f>IFERROR(__xludf.DUMMYFUNCTION("""COMPUTED_VALUE"""),"Starting and scaling in Europe")</f>
        <v>Starting and scaling in Europe</v>
      </c>
      <c r="B382" s="4" t="str">
        <f>IFERROR(__xludf.DUMMYFUNCTION("""COMPUTED_VALUE"""),"Doing business in Europe? Our panel of investors, incubators and founders shed light on the most decisive trends spanning the EU.")</f>
        <v>Doing business in Europe? Our panel of investors, incubators and founders shed light on the most decisive trends spanning the EU.</v>
      </c>
      <c r="C382" s="4" t="str">
        <f>IFERROR(__xludf.DUMMYFUNCTION("""COMPUTED_VALUE"""),"Startup University")</f>
        <v>Startup University</v>
      </c>
      <c r="D382" s="4" t="str">
        <f>IFERROR(__xludf.DUMMYFUNCTION("""COMPUTED_VALUE"""),"Roxanne Varza, Nico Gramenz, Philippe Botteri, Peter Mühlmann and Alex Deane")</f>
        <v>Roxanne Varza, Nico Gramenz, Philippe Botteri, Peter Mühlmann and Alex Deane</v>
      </c>
      <c r="E382" s="4" t="str">
        <f>IFERROR(__xludf.DUMMYFUNCTION("""COMPUTED_VALUE"""),"Roxanne Varza,Nico Gramenz,Philippe Botteri,Peter Mühlmann,Alex Deane")</f>
        <v>Roxanne Varza,Nico Gramenz,Philippe Botteri,Peter Mühlmann,Alex Deane</v>
      </c>
      <c r="F382" s="4" t="str">
        <f>IFERROR(__xludf.DUMMYFUNCTION("""COMPUTED_VALUE"""),"2019/11/06 15:35:00")</f>
        <v>2019/11/06 15:35:00</v>
      </c>
      <c r="G382" s="4" t="str">
        <f>IFERROR(__xludf.DUMMYFUNCTION("""COMPUTED_VALUE"""),"2019/11/06 16:00:00")</f>
        <v>2019/11/06 16:00:00</v>
      </c>
      <c r="H382" s="4" t="str">
        <f>IFERROR(__xludf.DUMMYFUNCTION("""COMPUTED_VALUE"""),"5d890594-4e28-423d-98e8-cd4397228c08")</f>
        <v>5d890594-4e28-423d-98e8-cd4397228c08</v>
      </c>
      <c r="I382" s="4" t="str">
        <f>IFERROR(__xludf.DUMMYFUNCTION("""COMPUTED_VALUE"""),"5d890594-4e28-423d-98e8-cd4397228c08")</f>
        <v>5d890594-4e28-423d-98e8-cd4397228c08</v>
      </c>
    </row>
    <row r="383">
      <c r="A383" s="4" t="str">
        <f>IFERROR(__xludf.DUMMYFUNCTION("""COMPUTED_VALUE"""),"Lunch break")</f>
        <v>Lunch break</v>
      </c>
      <c r="B383" s="4" t="str">
        <f>IFERROR(__xludf.DUMMYFUNCTION("""COMPUTED_VALUE"""),"")</f>
        <v/>
      </c>
      <c r="C383" s="4" t="str">
        <f>IFERROR(__xludf.DUMMYFUNCTION("""COMPUTED_VALUE"""),"Corporate Innovation Summit")</f>
        <v>Corporate Innovation Summit</v>
      </c>
      <c r="D383" s="4" t="str">
        <f>IFERROR(__xludf.DUMMYFUNCTION("""COMPUTED_VALUE"""),"")</f>
        <v/>
      </c>
      <c r="E383" s="4" t="str">
        <f>IFERROR(__xludf.DUMMYFUNCTION("""COMPUTED_VALUE"""),"")</f>
        <v/>
      </c>
      <c r="F383" s="4" t="str">
        <f>IFERROR(__xludf.DUMMYFUNCTION("""COMPUTED_VALUE"""),"2019/11/05 12:20:00")</f>
        <v>2019/11/05 12:20:00</v>
      </c>
      <c r="G383" s="4" t="str">
        <f>IFERROR(__xludf.DUMMYFUNCTION("""COMPUTED_VALUE"""),"2019/11/05 13:05:00")</f>
        <v>2019/11/05 13:05:00</v>
      </c>
      <c r="H383" s="4" t="str">
        <f>IFERROR(__xludf.DUMMYFUNCTION("""COMPUTED_VALUE"""),"7d8ded41-38a2-46b6-aa76-5860532c8e53")</f>
        <v>7d8ded41-38a2-46b6-aa76-5860532c8e53</v>
      </c>
      <c r="I383" s="4" t="str">
        <f>IFERROR(__xludf.DUMMYFUNCTION("""COMPUTED_VALUE"""),"7d8ded41-38a2-46b6-aa76-5860532c8e53")</f>
        <v>7d8ded41-38a2-46b6-aa76-5860532c8e53</v>
      </c>
    </row>
    <row r="384">
      <c r="A384" s="4" t="str">
        <f>IFERROR(__xludf.DUMMYFUNCTION("""COMPUTED_VALUE"""),"Porsche's vision for mobility")</f>
        <v>Porsche's vision for mobility</v>
      </c>
      <c r="B384" s="4" t="str">
        <f>IFERROR(__xludf.DUMMYFUNCTION("""COMPUTED_VALUE"""),"In-car entertainment systems? How do we develop different modes for mobility? In this panel, we'll discuss all this and more as we discuss the future of mobility.")</f>
        <v>In-car entertainment systems? How do we develop different modes for mobility? In this panel, we'll discuss all this and more as we discuss the future of mobility.</v>
      </c>
      <c r="C384" s="4" t="str">
        <f>IFERROR(__xludf.DUMMYFUNCTION("""COMPUTED_VALUE"""),"Auto/Tech &amp; TalkRobot")</f>
        <v>Auto/Tech &amp; TalkRobot</v>
      </c>
      <c r="D384" s="4" t="str">
        <f>IFERROR(__xludf.DUMMYFUNCTION("""COMPUTED_VALUE"""),"Nils Wollny, Christian Knörle, Laurens Laudowicz and Alison Griswold")</f>
        <v>Nils Wollny, Christian Knörle, Laurens Laudowicz and Alison Griswold</v>
      </c>
      <c r="E384" s="4" t="str">
        <f>IFERROR(__xludf.DUMMYFUNCTION("""COMPUTED_VALUE"""),"Nils Wollny,Christian Knörle,Laurens Laudowicz,Alison Griswold")</f>
        <v>Nils Wollny,Christian Knörle,Laurens Laudowicz,Alison Griswold</v>
      </c>
      <c r="F384" s="4" t="str">
        <f>IFERROR(__xludf.DUMMYFUNCTION("""COMPUTED_VALUE"""),"2019/11/05 13:00:00")</f>
        <v>2019/11/05 13:00:00</v>
      </c>
      <c r="G384" s="4" t="str">
        <f>IFERROR(__xludf.DUMMYFUNCTION("""COMPUTED_VALUE"""),"2019/11/05 13:20:00")</f>
        <v>2019/11/05 13:20:00</v>
      </c>
      <c r="H384" s="4" t="str">
        <f>IFERROR(__xludf.DUMMYFUNCTION("""COMPUTED_VALUE"""),"0d4c2baf-2227-4339-9e95-89fb976d3579")</f>
        <v>0d4c2baf-2227-4339-9e95-89fb976d3579</v>
      </c>
      <c r="I384" s="4" t="str">
        <f>IFERROR(__xludf.DUMMYFUNCTION("""COMPUTED_VALUE"""),"0d4c2baf-2227-4339-9e95-89fb976d3579")</f>
        <v>0d4c2baf-2227-4339-9e95-89fb976d3579</v>
      </c>
    </row>
    <row r="385">
      <c r="A385" s="4" t="str">
        <f>IFERROR(__xludf.DUMMYFUNCTION("""COMPUTED_VALUE"""),"Science as a catalyst for growth")</f>
        <v>Science as a catalyst for growth</v>
      </c>
      <c r="B385" s="4" t="str">
        <f>IFERROR(__xludf.DUMMYFUNCTION("""COMPUTED_VALUE"""),"GenePlanet founder Marko Bitenc will present how a company became an important biotech player through innovative solutions and unique sales channels.")</f>
        <v>GenePlanet founder Marko Bitenc will present how a company became an important biotech player through innovative solutions and unique sales channels.</v>
      </c>
      <c r="C385" s="4" t="str">
        <f>IFERROR(__xludf.DUMMYFUNCTION("""COMPUTED_VALUE"""),"Growth Summit")</f>
        <v>Growth Summit</v>
      </c>
      <c r="D385" s="4" t="str">
        <f>IFERROR(__xludf.DUMMYFUNCTION("""COMPUTED_VALUE"""),"Marko Bitenc")</f>
        <v>Marko Bitenc</v>
      </c>
      <c r="E385" s="4" t="str">
        <f>IFERROR(__xludf.DUMMYFUNCTION("""COMPUTED_VALUE"""),"Marko Bitenc")</f>
        <v>Marko Bitenc</v>
      </c>
      <c r="F385" s="4" t="str">
        <f>IFERROR(__xludf.DUMMYFUNCTION("""COMPUTED_VALUE"""),"2019/11/05 10:54:00")</f>
        <v>2019/11/05 10:54:00</v>
      </c>
      <c r="G385" s="4" t="str">
        <f>IFERROR(__xludf.DUMMYFUNCTION("""COMPUTED_VALUE"""),"2019/11/05 10:58:00")</f>
        <v>2019/11/05 10:58:00</v>
      </c>
      <c r="H385" s="4" t="str">
        <f>IFERROR(__xludf.DUMMYFUNCTION("""COMPUTED_VALUE"""),"71933006-4db8-4414-8c46-051cc4d0e225")</f>
        <v>71933006-4db8-4414-8c46-051cc4d0e225</v>
      </c>
      <c r="I385" s="4" t="str">
        <f>IFERROR(__xludf.DUMMYFUNCTION("""COMPUTED_VALUE"""),"71933006-4db8-4414-8c46-051cc4d0e225")</f>
        <v>71933006-4db8-4414-8c46-051cc4d0e225</v>
      </c>
    </row>
    <row r="386">
      <c r="A386" s="4" t="str">
        <f>IFERROR(__xludf.DUMMYFUNCTION("""COMPUTED_VALUE"""),"Are data rights human rights?")</f>
        <v>Are data rights human rights?</v>
      </c>
      <c r="B386" s="4" t="str">
        <f>IFERROR(__xludf.DUMMYFUNCTION("""COMPUTED_VALUE"""),"Human rights are a key component of our modern international order. However, the world has changed dramatically since the Universal Declaration of Human Rights was adopted in 1948. Our personal data has never been more vulnerable. In this session we will "&amp;"discuss whether the human rights regime needs to be updated to account for these changes and to better protect our data.")</f>
        <v>Human rights are a key component of our modern international order. However, the world has changed dramatically since the Universal Declaration of Human Rights was adopted in 1948. Our personal data has never been more vulnerable. In this session we will discuss whether the human rights regime needs to be updated to account for these changes and to better protect our data.</v>
      </c>
      <c r="C386" s="4" t="str">
        <f>IFERROR(__xludf.DUMMYFUNCTION("""COMPUTED_VALUE"""),"Future Societies")</f>
        <v>Future Societies</v>
      </c>
      <c r="D386" s="4" t="str">
        <f>IFERROR(__xludf.DUMMYFUNCTION("""COMPUTED_VALUE"""),"Regan Ralph, Michael O'Flaherty, Arthur Hu and Rani Molla")</f>
        <v>Regan Ralph, Michael O'Flaherty, Arthur Hu and Rani Molla</v>
      </c>
      <c r="E386" s="4" t="str">
        <f>IFERROR(__xludf.DUMMYFUNCTION("""COMPUTED_VALUE"""),"Regan Ralph,Michael O'Flaherty,Arthur Hu,Rani Molla")</f>
        <v>Regan Ralph,Michael O'Flaherty,Arthur Hu,Rani Molla</v>
      </c>
      <c r="F386" s="4" t="str">
        <f>IFERROR(__xludf.DUMMYFUNCTION("""COMPUTED_VALUE"""),"2019/11/07 13:40:00")</f>
        <v>2019/11/07 13:40:00</v>
      </c>
      <c r="G386" s="4" t="str">
        <f>IFERROR(__xludf.DUMMYFUNCTION("""COMPUTED_VALUE"""),"2019/11/07 14:00:00")</f>
        <v>2019/11/07 14:00:00</v>
      </c>
      <c r="H386" s="4" t="str">
        <f>IFERROR(__xludf.DUMMYFUNCTION("""COMPUTED_VALUE"""),"1ce1a88d-c78a-4f9d-9276-85a0d8e1d3c7")</f>
        <v>1ce1a88d-c78a-4f9d-9276-85a0d8e1d3c7</v>
      </c>
      <c r="I386" s="4" t="str">
        <f>IFERROR(__xludf.DUMMYFUNCTION("""COMPUTED_VALUE"""),"1ce1a88d-c78a-4f9d-9276-85a0d8e1d3c7")</f>
        <v>1ce1a88d-c78a-4f9d-9276-85a0d8e1d3c7</v>
      </c>
    </row>
    <row r="387">
      <c r="A387" s="4" t="str">
        <f>IFERROR(__xludf.DUMMYFUNCTION("""COMPUTED_VALUE"""),"Beyond diversity: Making tech truly inclusive")</f>
        <v>Beyond diversity: Making tech truly inclusive</v>
      </c>
      <c r="B387" s="4" t="str">
        <f>IFERROR(__xludf.DUMMYFUNCTION("""COMPUTED_VALUE"""),"It's a well known fact that the tech industry has problems with diversity. For a long time this was understood to mean getting more women involved. Good work has been done in addressing this but is it time to broaden our understanding of what we mean by d"&amp;"iversity? ")</f>
        <v>It's a well known fact that the tech industry has problems with diversity. For a long time this was understood to mean getting more women involved. Good work has been done in addressing this but is it time to broaden our understanding of what we mean by diversity? </v>
      </c>
      <c r="C387" s="4" t="str">
        <f>IFERROR(__xludf.DUMMYFUNCTION("""COMPUTED_VALUE"""),"PandaConf")</f>
        <v>PandaConf</v>
      </c>
      <c r="D387" s="4" t="str">
        <f>IFERROR(__xludf.DUMMYFUNCTION("""COMPUTED_VALUE"""),"Andrew O' Dell, Belinda Smith and Leisha Santorelli")</f>
        <v>Andrew O' Dell, Belinda Smith and Leisha Santorelli</v>
      </c>
      <c r="E387" s="4" t="str">
        <f>IFERROR(__xludf.DUMMYFUNCTION("""COMPUTED_VALUE"""),"Andrew O' Dell,Belinda Smith,Leisha Santorelli")</f>
        <v>Andrew O' Dell,Belinda Smith,Leisha Santorelli</v>
      </c>
      <c r="F387" s="4" t="str">
        <f>IFERROR(__xludf.DUMMYFUNCTION("""COMPUTED_VALUE"""),"2019/11/07 14:35:00")</f>
        <v>2019/11/07 14:35:00</v>
      </c>
      <c r="G387" s="4" t="str">
        <f>IFERROR(__xludf.DUMMYFUNCTION("""COMPUTED_VALUE"""),"2019/11/07 14:55:00")</f>
        <v>2019/11/07 14:55:00</v>
      </c>
      <c r="H387" s="4" t="str">
        <f>IFERROR(__xludf.DUMMYFUNCTION("""COMPUTED_VALUE"""),"be97d141-7fd0-4ad9-be6d-853a7f54934d")</f>
        <v>be97d141-7fd0-4ad9-be6d-853a7f54934d</v>
      </c>
      <c r="I387" s="4" t="str">
        <f>IFERROR(__xludf.DUMMYFUNCTION("""COMPUTED_VALUE"""),"be97d141-7fd0-4ad9-be6d-853a7f54934d")</f>
        <v>be97d141-7fd0-4ad9-be6d-853a7f54934d</v>
      </c>
    </row>
    <row r="388">
      <c r="A388" s="4" t="str">
        <f>IFERROR(__xludf.DUMMYFUNCTION("""COMPUTED_VALUE"""),"Why startups need corporate VC to thrive")</f>
        <v>Why startups need corporate VC to thrive</v>
      </c>
      <c r="B388" s="4" t="str">
        <f>IFERROR(__xludf.DUMMYFUNCTION("""COMPUTED_VALUE"""),"Entrepreneurs and startup executives have many options when raising capital for their fast moving companies so they can stay ahead of innovations in 5G, mobility and AI. This session's speakers come from the world's largest corporations and will make the "&amp;"case for corporate venture capital, discuss what entrepreneurs should know before accepting it, and what CVCs can offer besides money.")</f>
        <v>Entrepreneurs and startup executives have many options when raising capital for their fast moving companies so they can stay ahead of innovations in 5G, mobility and AI. This session's speakers come from the world's largest corporations and will make the case for corporate venture capital, discuss what entrepreneurs should know before accepting it, and what CVCs can offer besides money.</v>
      </c>
      <c r="C388" s="4" t="str">
        <f>IFERROR(__xludf.DUMMYFUNCTION("""COMPUTED_VALUE"""),"Venture stage")</f>
        <v>Venture stage</v>
      </c>
      <c r="D388" s="4" t="str">
        <f>IFERROR(__xludf.DUMMYFUNCTION("""COMPUTED_VALUE"""),"Gen Tsuchikawa, Deborah Magid, Colleen Cunniffe and Alex Irwin-Hunt")</f>
        <v>Gen Tsuchikawa, Deborah Magid, Colleen Cunniffe and Alex Irwin-Hunt</v>
      </c>
      <c r="E388" s="4" t="str">
        <f>IFERROR(__xludf.DUMMYFUNCTION("""COMPUTED_VALUE"""),"Gen Tsuchikawa,Deborah Magid,Colleen Cunniffe,Alex Irwin-Hunt")</f>
        <v>Gen Tsuchikawa,Deborah Magid,Colleen Cunniffe,Alex Irwin-Hunt</v>
      </c>
      <c r="F388" s="4" t="str">
        <f>IFERROR(__xludf.DUMMYFUNCTION("""COMPUTED_VALUE"""),"2019/11/05 14:25:00")</f>
        <v>2019/11/05 14:25:00</v>
      </c>
      <c r="G388" s="4" t="str">
        <f>IFERROR(__xludf.DUMMYFUNCTION("""COMPUTED_VALUE"""),"2019/11/05 14:45:00")</f>
        <v>2019/11/05 14:45:00</v>
      </c>
      <c r="H388" s="4" t="str">
        <f>IFERROR(__xludf.DUMMYFUNCTION("""COMPUTED_VALUE"""),"573fd2e9-29bc-4dc8-93f9-847fb54ce7a1")</f>
        <v>573fd2e9-29bc-4dc8-93f9-847fb54ce7a1</v>
      </c>
      <c r="I388" s="4" t="str">
        <f>IFERROR(__xludf.DUMMYFUNCTION("""COMPUTED_VALUE"""),"573fd2e9-29bc-4dc8-93f9-847fb54ce7a1")</f>
        <v>573fd2e9-29bc-4dc8-93f9-847fb54ce7a1</v>
      </c>
    </row>
    <row r="389">
      <c r="A389" s="4" t="str">
        <f>IFERROR(__xludf.DUMMYFUNCTION("""COMPUTED_VALUE"""),"How to build on AWS without knowing much about AWS")</f>
        <v>How to build on AWS without knowing much about AWS</v>
      </c>
      <c r="B389" s="4" t="str">
        <f>IFERROR(__xludf.DUMMYFUNCTION("""COMPUTED_VALUE"""),"Building a new startup? Which cloud provider do you pick and why? If you are brand new to AWS or cloud computing and interested in learning about how to leverage the cloud to build your next app or startup, then this is the session for you! Join us to lea"&amp;"rn about how to get started with application development, deployment, and operations on AWS. You will also learn about why AWS is the most popular platform for technology startups, and how you can use AWS to serve your customers while you scale them.
")</f>
        <v>Building a new startup? Which cloud provider do you pick and why? If you are brand new to AWS or cloud computing and interested in learning about how to leverage the cloud to build your next app or startup, then this is the session for you! Join us to learn about how to get started with application development, deployment, and operations on AWS. You will also learn about why AWS is the most popular platform for technology startups, and how you can use AWS to serve your customers while you scale them.
</v>
      </c>
      <c r="C389" s="4" t="str">
        <f>IFERROR(__xludf.DUMMYFUNCTION("""COMPUTED_VALUE"""),"AWS Developer Workshops")</f>
        <v>AWS Developer Workshops</v>
      </c>
      <c r="D389" s="4" t="str">
        <f>IFERROR(__xludf.DUMMYFUNCTION("""COMPUTED_VALUE"""),"")</f>
        <v/>
      </c>
      <c r="E389" s="4" t="str">
        <f>IFERROR(__xludf.DUMMYFUNCTION("""COMPUTED_VALUE"""),"")</f>
        <v/>
      </c>
      <c r="F389" s="4" t="str">
        <f>IFERROR(__xludf.DUMMYFUNCTION("""COMPUTED_VALUE"""),"2019/11/05 10:00:00")</f>
        <v>2019/11/05 10:00:00</v>
      </c>
      <c r="G389" s="4" t="str">
        <f>IFERROR(__xludf.DUMMYFUNCTION("""COMPUTED_VALUE"""),"2019/11/05 10:50:00")</f>
        <v>2019/11/05 10:50:00</v>
      </c>
      <c r="H389" s="4" t="str">
        <f>IFERROR(__xludf.DUMMYFUNCTION("""COMPUTED_VALUE"""),"bd2c9ca3-d8ec-4717-b701-f72a443cd892")</f>
        <v>bd2c9ca3-d8ec-4717-b701-f72a443cd892</v>
      </c>
      <c r="I389" s="4" t="str">
        <f>IFERROR(__xludf.DUMMYFUNCTION("""COMPUTED_VALUE"""),"bd2c9ca3-d8ec-4717-b701-f72a443cd892")</f>
        <v>bd2c9ca3-d8ec-4717-b701-f72a443cd892</v>
      </c>
    </row>
    <row r="390">
      <c r="A390" s="4" t="str">
        <f>IFERROR(__xludf.DUMMYFUNCTION("""COMPUTED_VALUE"""),"Go global or die trying: The changing reality of fintech startups")</f>
        <v>Go global or die trying: The changing reality of fintech startups</v>
      </c>
      <c r="B390" s="4" t="str">
        <f>IFERROR(__xludf.DUMMYFUNCTION("""COMPUTED_VALUE"""),"Taking a business global is not what it used to be. In an era of worldwide opportunities, startups cannot spend years in reaching out to new markets. How do companies go global from day one? What are the challenges involved? And what's the impact of block"&amp;"chain technology in this process?")</f>
        <v>Taking a business global is not what it used to be. In an era of worldwide opportunities, startups cannot spend years in reaching out to new markets. How do companies go global from day one? What are the challenges involved? And what's the impact of blockchain technology in this process?</v>
      </c>
      <c r="C390" s="4" t="str">
        <f>IFERROR(__xludf.DUMMYFUNCTION("""COMPUTED_VALUE"""),"Growth Summit")</f>
        <v>Growth Summit</v>
      </c>
      <c r="D390" s="4" t="str">
        <f>IFERROR(__xludf.DUMMYFUNCTION("""COMPUTED_VALUE"""),"Austin Kimm")</f>
        <v>Austin Kimm</v>
      </c>
      <c r="E390" s="4" t="str">
        <f>IFERROR(__xludf.DUMMYFUNCTION("""COMPUTED_VALUE"""),"Austin Kimm")</f>
        <v>Austin Kimm</v>
      </c>
      <c r="F390" s="4" t="str">
        <f>IFERROR(__xludf.DUMMYFUNCTION("""COMPUTED_VALUE"""),"2019/11/06 15:37:00")</f>
        <v>2019/11/06 15:37:00</v>
      </c>
      <c r="G390" s="4" t="str">
        <f>IFERROR(__xludf.DUMMYFUNCTION("""COMPUTED_VALUE"""),"2019/11/06 15:48:00")</f>
        <v>2019/11/06 15:48:00</v>
      </c>
      <c r="H390" s="4" t="str">
        <f>IFERROR(__xludf.DUMMYFUNCTION("""COMPUTED_VALUE"""),"bb7146b2-21a5-4834-9e0f-0eab92c628c9")</f>
        <v>bb7146b2-21a5-4834-9e0f-0eab92c628c9</v>
      </c>
      <c r="I390" s="4" t="str">
        <f>IFERROR(__xludf.DUMMYFUNCTION("""COMPUTED_VALUE"""),"bb7146b2-21a5-4834-9e0f-0eab92c628c9")</f>
        <v>bb7146b2-21a5-4834-9e0f-0eab92c628c9</v>
      </c>
    </row>
    <row r="391">
      <c r="A391" s="4" t="str">
        <f>IFERROR(__xludf.DUMMYFUNCTION("""COMPUTED_VALUE"""),"Trade wars: A new world order?")</f>
        <v>Trade wars: A new world order?</v>
      </c>
      <c r="B391" s="4" t="str">
        <f>IFERROR(__xludf.DUMMYFUNCTION("""COMPUTED_VALUE"""),"Trade is the lifeblood of the world economy. Free trade, it is argued, brings peace, prosperity, and economic growth. However, we have seen a proliferation of tariffs and trade wars in recent years. Has the global economic structure shifted or is this mer"&amp;"ely a mercantilist blip in an otherwise unfettered era of free trade? Come to this session to find out.")</f>
        <v>Trade is the lifeblood of the world economy. Free trade, it is argued, brings peace, prosperity, and economic growth. However, we have seen a proliferation of tariffs and trade wars in recent years. Has the global economic structure shifted or is this merely a mercantilist blip in an otherwise unfettered era of free trade? Come to this session to find out.</v>
      </c>
      <c r="C391" s="4" t="str">
        <f>IFERROR(__xludf.DUMMYFUNCTION("""COMPUTED_VALUE"""),"Centre Stage")</f>
        <v>Centre Stage</v>
      </c>
      <c r="D391" s="4" t="str">
        <f>IFERROR(__xludf.DUMMYFUNCTION("""COMPUTED_VALUE"""),"Michael Pillsbury, Juan Branco and David Rowan")</f>
        <v>Michael Pillsbury, Juan Branco and David Rowan</v>
      </c>
      <c r="E391" s="4" t="str">
        <f>IFERROR(__xludf.DUMMYFUNCTION("""COMPUTED_VALUE"""),"Michael Pillsbury,Juan Branco,David Rowan")</f>
        <v>Michael Pillsbury,Juan Branco,David Rowan</v>
      </c>
      <c r="F391" s="4" t="str">
        <f>IFERROR(__xludf.DUMMYFUNCTION("""COMPUTED_VALUE"""),"2019/11/06 14:25:00")</f>
        <v>2019/11/06 14:25:00</v>
      </c>
      <c r="G391" s="4" t="str">
        <f>IFERROR(__xludf.DUMMYFUNCTION("""COMPUTED_VALUE"""),"2019/11/06 14:45:00")</f>
        <v>2019/11/06 14:45:00</v>
      </c>
      <c r="H391" s="4" t="str">
        <f>IFERROR(__xludf.DUMMYFUNCTION("""COMPUTED_VALUE"""),"8810b318-8638-4e54-ae92-d10c473d1741")</f>
        <v>8810b318-8638-4e54-ae92-d10c473d1741</v>
      </c>
      <c r="I391" s="4" t="str">
        <f>IFERROR(__xludf.DUMMYFUNCTION("""COMPUTED_VALUE"""),"8810b318-8638-4e54-ae92-d10c473d1741")</f>
        <v>8810b318-8638-4e54-ae92-d10c473d1741</v>
      </c>
    </row>
    <row r="392">
      <c r="A392" s="4" t="str">
        <f>IFERROR(__xludf.DUMMYFUNCTION("""COMPUTED_VALUE"""),"The auto industry's diversity problem")</f>
        <v>The auto industry's diversity problem</v>
      </c>
      <c r="B392" s="4" t="str">
        <f>IFERROR(__xludf.DUMMYFUNCTION("""COMPUTED_VALUE"""),"Every executive board in the auto industry is dominated by men. Why hasn't that changed yet?")</f>
        <v>Every executive board in the auto industry is dominated by men. Why hasn't that changed yet?</v>
      </c>
      <c r="C392" s="4" t="str">
        <f>IFERROR(__xludf.DUMMYFUNCTION("""COMPUTED_VALUE"""),"Auto/Tech &amp; TalkRobot")</f>
        <v>Auto/Tech &amp; TalkRobot</v>
      </c>
      <c r="D392" s="4" t="str">
        <f>IFERROR(__xludf.DUMMYFUNCTION("""COMPUTED_VALUE"""),"Michelle Fang and Jared Lindzon")</f>
        <v>Michelle Fang and Jared Lindzon</v>
      </c>
      <c r="E392" s="4" t="str">
        <f>IFERROR(__xludf.DUMMYFUNCTION("""COMPUTED_VALUE"""),"Michelle Fang,Jared Lindzon")</f>
        <v>Michelle Fang,Jared Lindzon</v>
      </c>
      <c r="F392" s="4" t="str">
        <f>IFERROR(__xludf.DUMMYFUNCTION("""COMPUTED_VALUE"""),"2019/11/07 15:30:00")</f>
        <v>2019/11/07 15:30:00</v>
      </c>
      <c r="G392" s="4" t="str">
        <f>IFERROR(__xludf.DUMMYFUNCTION("""COMPUTED_VALUE"""),"2019/11/07 15:50:00")</f>
        <v>2019/11/07 15:50:00</v>
      </c>
      <c r="H392" s="4" t="str">
        <f>IFERROR(__xludf.DUMMYFUNCTION("""COMPUTED_VALUE"""),"9c700166-004f-4324-ae90-fd1e121b58f0")</f>
        <v>9c700166-004f-4324-ae90-fd1e121b58f0</v>
      </c>
      <c r="I392" s="4" t="str">
        <f>IFERROR(__xludf.DUMMYFUNCTION("""COMPUTED_VALUE"""),"9c700166-004f-4324-ae90-fd1e121b58f0")</f>
        <v>9c700166-004f-4324-ae90-fd1e121b58f0</v>
      </c>
    </row>
    <row r="393">
      <c r="A393" s="4" t="str">
        <f>IFERROR(__xludf.DUMMYFUNCTION("""COMPUTED_VALUE"""),"Improving UX through observability")</f>
        <v>Improving UX through observability</v>
      </c>
      <c r="B393" s="4" t="str">
        <f>IFERROR(__xludf.DUMMYFUNCTION("""COMPUTED_VALUE"""),"Performance matters when it comes to user experience. Startup websites and apps need to provide a great experience to attract end users and to maintain them, engaged. In this session we will dive into why performance matters and the importance of observab"&amp;"ility in measuring performance through tools like Amazon Cloudwatch or AWS X-Ray. We'll also examine how developers can improve last mile performance using edge caching and processing with Amazon CloudFront and Lambda@Edge to reduce requests, transferred "&amp;"bytes and expedite processing.")</f>
        <v>Performance matters when it comes to user experience. Startup websites and apps need to provide a great experience to attract end users and to maintain them, engaged. In this session we will dive into why performance matters and the importance of observability in measuring performance through tools like Amazon Cloudwatch or AWS X-Ray. We'll also examine how developers can improve last mile performance using edge caching and processing with Amazon CloudFront and Lambda@Edge to reduce requests, transferred bytes and expedite processing.</v>
      </c>
      <c r="C393" s="4" t="str">
        <f>IFERROR(__xludf.DUMMYFUNCTION("""COMPUTED_VALUE"""),"AWS Developer Workshops")</f>
        <v>AWS Developer Workshops</v>
      </c>
      <c r="D393" s="4" t="str">
        <f>IFERROR(__xludf.DUMMYFUNCTION("""COMPUTED_VALUE"""),"")</f>
        <v/>
      </c>
      <c r="E393" s="4" t="str">
        <f>IFERROR(__xludf.DUMMYFUNCTION("""COMPUTED_VALUE"""),"")</f>
        <v/>
      </c>
      <c r="F393" s="4" t="str">
        <f>IFERROR(__xludf.DUMMYFUNCTION("""COMPUTED_VALUE"""),"2019/11/07 15:00:00")</f>
        <v>2019/11/07 15:00:00</v>
      </c>
      <c r="G393" s="4" t="str">
        <f>IFERROR(__xludf.DUMMYFUNCTION("""COMPUTED_VALUE"""),"2019/11/07 15:50:00")</f>
        <v>2019/11/07 15:50:00</v>
      </c>
      <c r="H393" s="4" t="str">
        <f>IFERROR(__xludf.DUMMYFUNCTION("""COMPUTED_VALUE"""),"d4f4f338-947f-480c-998a-5a584e646fd0")</f>
        <v>d4f4f338-947f-480c-998a-5a584e646fd0</v>
      </c>
      <c r="I393" s="4" t="str">
        <f>IFERROR(__xludf.DUMMYFUNCTION("""COMPUTED_VALUE"""),"d4f4f338-947f-480c-998a-5a584e646fd0")</f>
        <v>d4f4f338-947f-480c-998a-5a584e646fd0</v>
      </c>
    </row>
    <row r="394">
      <c r="A394" s="4" t="str">
        <f>IFERROR(__xludf.DUMMYFUNCTION("""COMPUTED_VALUE"""),"The future of mobility is bigger than cars: disruption is coming to city transport")</f>
        <v>The future of mobility is bigger than cars: disruption is coming to city transport</v>
      </c>
      <c r="B394" s="4" t="str">
        <f>IFERROR(__xludf.DUMMYFUNCTION("""COMPUTED_VALUE"""),"The IoT will revolutionize urban transport and enable cities to reconfigure their transport networks to prioritize personal mobility. Autonomous cars will be one of many choices in a smart, integrated multi-modal system.")</f>
        <v>The IoT will revolutionize urban transport and enable cities to reconfigure their transport networks to prioritize personal mobility. Autonomous cars will be one of many choices in a smart, integrated multi-modal system.</v>
      </c>
      <c r="C394" s="4" t="str">
        <f>IFERROR(__xludf.DUMMYFUNCTION("""COMPUTED_VALUE"""),"Auto/Tech &amp; TalkRobot")</f>
        <v>Auto/Tech &amp; TalkRobot</v>
      </c>
      <c r="D394" s="4" t="str">
        <f>IFERROR(__xludf.DUMMYFUNCTION("""COMPUTED_VALUE"""),"Sabrina Soussan")</f>
        <v>Sabrina Soussan</v>
      </c>
      <c r="E394" s="4" t="str">
        <f>IFERROR(__xludf.DUMMYFUNCTION("""COMPUTED_VALUE"""),"Sabrina Soussan")</f>
        <v>Sabrina Soussan</v>
      </c>
      <c r="F394" s="4" t="str">
        <f>IFERROR(__xludf.DUMMYFUNCTION("""COMPUTED_VALUE"""),"2019/11/07 11:35:00")</f>
        <v>2019/11/07 11:35:00</v>
      </c>
      <c r="G394" s="4" t="str">
        <f>IFERROR(__xludf.DUMMYFUNCTION("""COMPUTED_VALUE"""),"2019/11/07 11:55:00")</f>
        <v>2019/11/07 11:55:00</v>
      </c>
      <c r="H394" s="4" t="str">
        <f>IFERROR(__xludf.DUMMYFUNCTION("""COMPUTED_VALUE"""),"8ebf9bd5-877b-4433-a33a-0c84c37d997b")</f>
        <v>8ebf9bd5-877b-4433-a33a-0c84c37d997b</v>
      </c>
      <c r="I394" s="4" t="str">
        <f>IFERROR(__xludf.DUMMYFUNCTION("""COMPUTED_VALUE"""),"8ebf9bd5-877b-4433-a33a-0c84c37d997b")</f>
        <v>8ebf9bd5-877b-4433-a33a-0c84c37d997b</v>
      </c>
    </row>
    <row r="395">
      <c r="A395" s="4" t="str">
        <f>IFERROR(__xludf.DUMMYFUNCTION("""COMPUTED_VALUE"""),"Chasing clouds: An immigrant story")</f>
        <v>Chasing clouds: An immigrant story</v>
      </c>
      <c r="B395" s="4" t="str">
        <f>IFERROR(__xludf.DUMMYFUNCTION("""COMPUTED_VALUE"""),"Are you interested in hearing about how smaller industry players can compete against cloud giants? Join this session to hear the story of relentless passion of two brothers and their love for cloud infrastructure.")</f>
        <v>Are you interested in hearing about how smaller industry players can compete against cloud giants? Join this session to hear the story of relentless passion of two brothers and their love for cloud infrastructure.</v>
      </c>
      <c r="C395" s="4" t="str">
        <f>IFERROR(__xludf.DUMMYFUNCTION("""COMPUTED_VALUE"""),"FullSTK")</f>
        <v>FullSTK</v>
      </c>
      <c r="D395" s="4" t="str">
        <f>IFERROR(__xludf.DUMMYFUNCTION("""COMPUTED_VALUE"""),"Ben Uretsky, Moisey Uretskey and Andrei Brasoveanu")</f>
        <v>Ben Uretsky, Moisey Uretskey and Andrei Brasoveanu</v>
      </c>
      <c r="E395" s="4" t="str">
        <f>IFERROR(__xludf.DUMMYFUNCTION("""COMPUTED_VALUE"""),"Ben Uretsky,Moisey Uretskey,Andrei Brasoveanu")</f>
        <v>Ben Uretsky,Moisey Uretskey,Andrei Brasoveanu</v>
      </c>
      <c r="F395" s="4" t="str">
        <f>IFERROR(__xludf.DUMMYFUNCTION("""COMPUTED_VALUE"""),"2019/11/07 11:15:00")</f>
        <v>2019/11/07 11:15:00</v>
      </c>
      <c r="G395" s="4" t="str">
        <f>IFERROR(__xludf.DUMMYFUNCTION("""COMPUTED_VALUE"""),"2019/11/07 11:35:00")</f>
        <v>2019/11/07 11:35:00</v>
      </c>
      <c r="H395" s="4" t="str">
        <f>IFERROR(__xludf.DUMMYFUNCTION("""COMPUTED_VALUE"""),"0fc71f65-2642-45ac-9106-20a2f5d16075")</f>
        <v>0fc71f65-2642-45ac-9106-20a2f5d16075</v>
      </c>
      <c r="I395" s="4" t="str">
        <f>IFERROR(__xludf.DUMMYFUNCTION("""COMPUTED_VALUE"""),"0fc71f65-2642-45ac-9106-20a2f5d16075")</f>
        <v>0fc71f65-2642-45ac-9106-20a2f5d16075</v>
      </c>
    </row>
    <row r="396">
      <c r="A396" s="4" t="str">
        <f>IFERROR(__xludf.DUMMYFUNCTION("""COMPUTED_VALUE"""),"Leveraging innovation, at pace")</f>
        <v>Leveraging innovation, at pace</v>
      </c>
      <c r="B396" s="4" t="str">
        <f>IFERROR(__xludf.DUMMYFUNCTION("""COMPUTED_VALUE"""),"Utilities are facing a disruption, and the challenge is to find the best route towards a moving target. António Vidigal, CEO of EDP Innovation part of EDP, one of the worlds largest global energy companies will outline the challenges of rapidly leveraging"&amp;" innovation and aligning it with objectives that tackle the global challenges we face today.")</f>
        <v>Utilities are facing a disruption, and the challenge is to find the best route towards a moving target. António Vidigal, CEO of EDP Innovation part of EDP, one of the worlds largest global energy companies will outline the challenges of rapidly leveraging innovation and aligning it with objectives that tackle the global challenges we face today.</v>
      </c>
      <c r="C396" s="4" t="str">
        <f>IFERROR(__xludf.DUMMYFUNCTION("""COMPUTED_VALUE"""),"Corporate Innovation Summit")</f>
        <v>Corporate Innovation Summit</v>
      </c>
      <c r="D396" s="4" t="str">
        <f>IFERROR(__xludf.DUMMYFUNCTION("""COMPUTED_VALUE"""),"António Vidigal")</f>
        <v>António Vidigal</v>
      </c>
      <c r="E396" s="4" t="str">
        <f>IFERROR(__xludf.DUMMYFUNCTION("""COMPUTED_VALUE"""),"António Vidigal")</f>
        <v>António Vidigal</v>
      </c>
      <c r="F396" s="4" t="str">
        <f>IFERROR(__xludf.DUMMYFUNCTION("""COMPUTED_VALUE"""),"2019/11/07 12:35:00")</f>
        <v>2019/11/07 12:35:00</v>
      </c>
      <c r="G396" s="4" t="str">
        <f>IFERROR(__xludf.DUMMYFUNCTION("""COMPUTED_VALUE"""),"2019/11/07 12:55:00")</f>
        <v>2019/11/07 12:55:00</v>
      </c>
      <c r="H396" s="4" t="str">
        <f>IFERROR(__xludf.DUMMYFUNCTION("""COMPUTED_VALUE"""),"e55e8213-044f-4b1e-8cc4-7b3ae67c2b4a")</f>
        <v>e55e8213-044f-4b1e-8cc4-7b3ae67c2b4a</v>
      </c>
      <c r="I396" s="4" t="str">
        <f>IFERROR(__xludf.DUMMYFUNCTION("""COMPUTED_VALUE"""),"e55e8213-044f-4b1e-8cc4-7b3ae67c2b4a")</f>
        <v>e55e8213-044f-4b1e-8cc4-7b3ae67c2b4a</v>
      </c>
    </row>
    <row r="397">
      <c r="A397" s="4" t="str">
        <f>IFERROR(__xludf.DUMMYFUNCTION("""COMPUTED_VALUE"""),"Content moderation: A Google perspective")</f>
        <v>Content moderation: A Google perspective</v>
      </c>
      <c r="B397" s="4" t="str">
        <f>IFERROR(__xludf.DUMMYFUNCTION("""COMPUTED_VALUE"""),"Hear from Google’s global head of product policy and content moderation about the policies governing the types of content that can be shared or hosted on Google’s various platforms. This includes content creators, advertisers, publishers, and developers. ")</f>
        <v>Hear from Google’s global head of product policy and content moderation about the policies governing the types of content that can be shared or hosted on Google’s various platforms. This includes content creators, advertisers, publishers, and developers. </v>
      </c>
      <c r="C397" s="4" t="str">
        <f>IFERROR(__xludf.DUMMYFUNCTION("""COMPUTED_VALUE"""),"ContentMakers")</f>
        <v>ContentMakers</v>
      </c>
      <c r="D397" s="4" t="str">
        <f>IFERROR(__xludf.DUMMYFUNCTION("""COMPUTED_VALUE"""),"David Graff and Jonathan Weber")</f>
        <v>David Graff and Jonathan Weber</v>
      </c>
      <c r="E397" s="4" t="str">
        <f>IFERROR(__xludf.DUMMYFUNCTION("""COMPUTED_VALUE"""),"David Graff,Jonathan Weber")</f>
        <v>David Graff,Jonathan Weber</v>
      </c>
      <c r="F397" s="4" t="str">
        <f>IFERROR(__xludf.DUMMYFUNCTION("""COMPUTED_VALUE"""),"2019/11/07 11:30:00")</f>
        <v>2019/11/07 11:30:00</v>
      </c>
      <c r="G397" s="4" t="str">
        <f>IFERROR(__xludf.DUMMYFUNCTION("""COMPUTED_VALUE"""),"2019/11/07 11:55:00")</f>
        <v>2019/11/07 11:55:00</v>
      </c>
      <c r="H397" s="4" t="str">
        <f>IFERROR(__xludf.DUMMYFUNCTION("""COMPUTED_VALUE"""),"4af1f8e7-3944-4d28-b50f-964448412570")</f>
        <v>4af1f8e7-3944-4d28-b50f-964448412570</v>
      </c>
      <c r="I397" s="4" t="str">
        <f>IFERROR(__xludf.DUMMYFUNCTION("""COMPUTED_VALUE"""),"4af1f8e7-3944-4d28-b50f-964448412570")</f>
        <v>4af1f8e7-3944-4d28-b50f-964448412570</v>
      </c>
    </row>
    <row r="398">
      <c r="A398" s="4" t="str">
        <f>IFERROR(__xludf.DUMMYFUNCTION("""COMPUTED_VALUE"""),"Uncomfortable growth: be bold &amp; open to failure")</f>
        <v>Uncomfortable growth: be bold &amp; open to failure</v>
      </c>
      <c r="B398" s="4" t="str">
        <f>IFERROR(__xludf.DUMMYFUNCTION("""COMPUTED_VALUE"""),"Growth needs to be uncomfortable in order to successfully build a global company, believes Rodolphe Ardant, co-founder and CEO of Spendesk. He decentralized control across the business and made everyone in the team an owner. At Web Summit Rodolphe will sh"&amp;"are his vision of a modern company and discuss the main drivers and challenges on this journey.")</f>
        <v>Growth needs to be uncomfortable in order to successfully build a global company, believes Rodolphe Ardant, co-founder and CEO of Spendesk. He decentralized control across the business and made everyone in the team an owner. At Web Summit Rodolphe will share his vision of a modern company and discuss the main drivers and challenges on this journey.</v>
      </c>
      <c r="C398" s="4" t="str">
        <f>IFERROR(__xludf.DUMMYFUNCTION("""COMPUTED_VALUE"""),"Growth Summit")</f>
        <v>Growth Summit</v>
      </c>
      <c r="D398" s="4" t="str">
        <f>IFERROR(__xludf.DUMMYFUNCTION("""COMPUTED_VALUE"""),"Rodolphe Ardant")</f>
        <v>Rodolphe Ardant</v>
      </c>
      <c r="E398" s="4" t="str">
        <f>IFERROR(__xludf.DUMMYFUNCTION("""COMPUTED_VALUE"""),"Rodolphe Ardant")</f>
        <v>Rodolphe Ardant</v>
      </c>
      <c r="F398" s="4" t="str">
        <f>IFERROR(__xludf.DUMMYFUNCTION("""COMPUTED_VALUE"""),"2019/11/06 17:05:00")</f>
        <v>2019/11/06 17:05:00</v>
      </c>
      <c r="G398" s="4" t="str">
        <f>IFERROR(__xludf.DUMMYFUNCTION("""COMPUTED_VALUE"""),"2019/11/06 17:16:00")</f>
        <v>2019/11/06 17:16:00</v>
      </c>
      <c r="H398" s="4" t="str">
        <f>IFERROR(__xludf.DUMMYFUNCTION("""COMPUTED_VALUE"""),"d1c23f05-a6f5-4968-afa3-9c06be68267b")</f>
        <v>d1c23f05-a6f5-4968-afa3-9c06be68267b</v>
      </c>
      <c r="I398" s="4" t="str">
        <f>IFERROR(__xludf.DUMMYFUNCTION("""COMPUTED_VALUE"""),"d1c23f05-a6f5-4968-afa3-9c06be68267b")</f>
        <v>d1c23f05-a6f5-4968-afa3-9c06be68267b</v>
      </c>
    </row>
    <row r="399">
      <c r="A399" s="4" t="str">
        <f>IFERROR(__xludf.DUMMYFUNCTION("""COMPUTED_VALUE"""),"Getting your analytics right from day one")</f>
        <v>Getting your analytics right from day one</v>
      </c>
      <c r="B399" s="4" t="str">
        <f>IFERROR(__xludf.DUMMYFUNCTION("""COMPUTED_VALUE"""),"The founder of data infrastructure unicorn Segment talks about sifting through the wealth of data in the early stages of scaling, and what he's learned from his own, and his clients journeys.")</f>
        <v>The founder of data infrastructure unicorn Segment talks about sifting through the wealth of data in the early stages of scaling, and what he's learned from his own, and his clients journeys.</v>
      </c>
      <c r="C399" s="4" t="str">
        <f>IFERROR(__xludf.DUMMYFUNCTION("""COMPUTED_VALUE"""),"Startup University")</f>
        <v>Startup University</v>
      </c>
      <c r="D399" s="4" t="str">
        <f>IFERROR(__xludf.DUMMYFUNCTION("""COMPUTED_VALUE"""),"Ilya Volodarsky")</f>
        <v>Ilya Volodarsky</v>
      </c>
      <c r="E399" s="4" t="str">
        <f>IFERROR(__xludf.DUMMYFUNCTION("""COMPUTED_VALUE"""),"Ilya Volodarsky")</f>
        <v>Ilya Volodarsky</v>
      </c>
      <c r="F399" s="4" t="str">
        <f>IFERROR(__xludf.DUMMYFUNCTION("""COMPUTED_VALUE"""),"2019/11/06 15:15:00")</f>
        <v>2019/11/06 15:15:00</v>
      </c>
      <c r="G399" s="4" t="str">
        <f>IFERROR(__xludf.DUMMYFUNCTION("""COMPUTED_VALUE"""),"2019/11/06 15:35:00")</f>
        <v>2019/11/06 15:35:00</v>
      </c>
      <c r="H399" s="4" t="str">
        <f>IFERROR(__xludf.DUMMYFUNCTION("""COMPUTED_VALUE"""),"5578fd61-f636-4643-a82e-ddc99a0f5a20")</f>
        <v>5578fd61-f636-4643-a82e-ddc99a0f5a20</v>
      </c>
      <c r="I399" s="4" t="str">
        <f>IFERROR(__xludf.DUMMYFUNCTION("""COMPUTED_VALUE"""),"5578fd61-f636-4643-a82e-ddc99a0f5a20")</f>
        <v>5578fd61-f636-4643-a82e-ddc99a0f5a20</v>
      </c>
    </row>
    <row r="400">
      <c r="A400" s="4" t="str">
        <f>IFERROR(__xludf.DUMMYFUNCTION("""COMPUTED_VALUE"""),"Opening remarks ")</f>
        <v>Opening remarks </v>
      </c>
      <c r="B400" s="4" t="str">
        <f>IFERROR(__xludf.DUMMYFUNCTION("""COMPUTED_VALUE"""),"Welcome back to Corporate Innovation Summit. We hope you enjoyed your lunch. ")</f>
        <v>Welcome back to Corporate Innovation Summit. We hope you enjoyed your lunch. </v>
      </c>
      <c r="C400" s="4" t="str">
        <f>IFERROR(__xludf.DUMMYFUNCTION("""COMPUTED_VALUE"""),"Corporate Innovation Summit")</f>
        <v>Corporate Innovation Summit</v>
      </c>
      <c r="D400" s="4" t="str">
        <f>IFERROR(__xludf.DUMMYFUNCTION("""COMPUTED_VALUE"""),"Mmantsetsa Marope")</f>
        <v>Mmantsetsa Marope</v>
      </c>
      <c r="E400" s="4" t="str">
        <f>IFERROR(__xludf.DUMMYFUNCTION("""COMPUTED_VALUE"""),"Mmantsetsa Marope")</f>
        <v>Mmantsetsa Marope</v>
      </c>
      <c r="F400" s="4" t="str">
        <f>IFERROR(__xludf.DUMMYFUNCTION("""COMPUTED_VALUE"""),"2019/11/06 13:45:00")</f>
        <v>2019/11/06 13:45:00</v>
      </c>
      <c r="G400" s="4" t="str">
        <f>IFERROR(__xludf.DUMMYFUNCTION("""COMPUTED_VALUE"""),"2019/11/06 14:00:00")</f>
        <v>2019/11/06 14:00:00</v>
      </c>
      <c r="H400" s="4" t="str">
        <f>IFERROR(__xludf.DUMMYFUNCTION("""COMPUTED_VALUE"""),"f0b27e37-4284-471d-815e-3c0ed00e58ce")</f>
        <v>f0b27e37-4284-471d-815e-3c0ed00e58ce</v>
      </c>
      <c r="I400" s="4" t="str">
        <f>IFERROR(__xludf.DUMMYFUNCTION("""COMPUTED_VALUE"""),"f0b27e37-4284-471d-815e-3c0ed00e58ce")</f>
        <v>f0b27e37-4284-471d-815e-3c0ed00e58ce</v>
      </c>
    </row>
    <row r="401">
      <c r="A401" s="4" t="str">
        <f>IFERROR(__xludf.DUMMYFUNCTION("""COMPUTED_VALUE"""),"Scaling globally while retaining brand integrity")</f>
        <v>Scaling globally while retaining brand integrity</v>
      </c>
      <c r="B401" s="4" t="str">
        <f>IFERROR(__xludf.DUMMYFUNCTION("""COMPUTED_VALUE"""),"Founder and CEO, Ray shares his experience scaling mobile pickup app Ritual, which has expanded from North America into its first new language markets across Europe and Asia.")</f>
        <v>Founder and CEO, Ray shares his experience scaling mobile pickup app Ritual, which has expanded from North America into its first new language markets across Europe and Asia.</v>
      </c>
      <c r="C401" s="4" t="str">
        <f>IFERROR(__xludf.DUMMYFUNCTION("""COMPUTED_VALUE"""),"Growth Summit")</f>
        <v>Growth Summit</v>
      </c>
      <c r="D401" s="4" t="str">
        <f>IFERROR(__xludf.DUMMYFUNCTION("""COMPUTED_VALUE"""),"Ray Reddy")</f>
        <v>Ray Reddy</v>
      </c>
      <c r="E401" s="4" t="str">
        <f>IFERROR(__xludf.DUMMYFUNCTION("""COMPUTED_VALUE"""),"Ray Reddy")</f>
        <v>Ray Reddy</v>
      </c>
      <c r="F401" s="4" t="str">
        <f>IFERROR(__xludf.DUMMYFUNCTION("""COMPUTED_VALUE"""),"2019/11/06 15:15:00")</f>
        <v>2019/11/06 15:15:00</v>
      </c>
      <c r="G401" s="4" t="str">
        <f>IFERROR(__xludf.DUMMYFUNCTION("""COMPUTED_VALUE"""),"2019/11/06 15:26:00")</f>
        <v>2019/11/06 15:26:00</v>
      </c>
      <c r="H401" s="4" t="str">
        <f>IFERROR(__xludf.DUMMYFUNCTION("""COMPUTED_VALUE"""),"92fddecb-1225-487b-8a71-f53d852334c6")</f>
        <v>92fddecb-1225-487b-8a71-f53d852334c6</v>
      </c>
      <c r="I401" s="4" t="str">
        <f>IFERROR(__xludf.DUMMYFUNCTION("""COMPUTED_VALUE"""),"92fddecb-1225-487b-8a71-f53d852334c6")</f>
        <v>92fddecb-1225-487b-8a71-f53d852334c6</v>
      </c>
    </row>
    <row r="402">
      <c r="A402" s="4" t="str">
        <f>IFERROR(__xludf.DUMMYFUNCTION("""COMPUTED_VALUE"""),"Choosing the right database for your applications")</f>
        <v>Choosing the right database for your applications</v>
      </c>
      <c r="B402" s="4" t="str">
        <f>IFERROR(__xludf.DUMMYFUNCTION("""COMPUTED_VALUE"""),"It’s 2019 and there are 329 different databases being tracked by db-engines.com - how are we supposed to know which one to use for which problems? This talk walks through the basics of the common database types and specific implementations by showing real"&amp;" world use cases.")</f>
        <v>It’s 2019 and there are 329 different databases being tracked by db-engines.com - how are we supposed to know which one to use for which problems? This talk walks through the basics of the common database types and specific implementations by showing real world use cases.</v>
      </c>
      <c r="C402" s="4" t="str">
        <f>IFERROR(__xludf.DUMMYFUNCTION("""COMPUTED_VALUE"""),"AWS Developer Workshops")</f>
        <v>AWS Developer Workshops</v>
      </c>
      <c r="D402" s="4" t="str">
        <f>IFERROR(__xludf.DUMMYFUNCTION("""COMPUTED_VALUE"""),"")</f>
        <v/>
      </c>
      <c r="E402" s="4" t="str">
        <f>IFERROR(__xludf.DUMMYFUNCTION("""COMPUTED_VALUE"""),"")</f>
        <v/>
      </c>
      <c r="F402" s="4" t="str">
        <f>IFERROR(__xludf.DUMMYFUNCTION("""COMPUTED_VALUE"""),"2019/11/05 14:00:00")</f>
        <v>2019/11/05 14:00:00</v>
      </c>
      <c r="G402" s="4" t="str">
        <f>IFERROR(__xludf.DUMMYFUNCTION("""COMPUTED_VALUE"""),"2019/11/05 14:50:00")</f>
        <v>2019/11/05 14:50:00</v>
      </c>
      <c r="H402" s="4" t="str">
        <f>IFERROR(__xludf.DUMMYFUNCTION("""COMPUTED_VALUE"""),"05b8ea59-c094-490b-afec-76c3540ea357")</f>
        <v>05b8ea59-c094-490b-afec-76c3540ea357</v>
      </c>
      <c r="I402" s="4" t="str">
        <f>IFERROR(__xludf.DUMMYFUNCTION("""COMPUTED_VALUE"""),"05b8ea59-c094-490b-afec-76c3540ea357")</f>
        <v>05b8ea59-c094-490b-afec-76c3540ea357</v>
      </c>
    </row>
    <row r="403">
      <c r="A403" s="4" t="str">
        <f>IFERROR(__xludf.DUMMYFUNCTION("""COMPUTED_VALUE"""),"CX growth hacking (part 1), hosted by ZETA")</f>
        <v>CX growth hacking (part 1), hosted by ZETA</v>
      </c>
      <c r="B403" s="4" t="str">
        <f>IFERROR(__xludf.DUMMYFUNCTION("""COMPUTED_VALUE"""),"We are on the verge of a new commerce engagement with the consumer.
Gen Z utilizes the mobile phone for all aspects of commerce making OMO central for all commerce players and solution vendors. The influence of OMO is far-reaching; not only to marketing,"&amp;" but logistics, payment, shop design and shop staff behavior. The growth of the pop up store shows how CX is evolving by OMO. This workshop will show what UX design and functions are appropriate for the customer in this new era of CX.")</f>
        <v>We are on the verge of a new commerce engagement with the consumer.
Gen Z utilizes the mobile phone for all aspects of commerce making OMO central for all commerce players and solution vendors. The influence of OMO is far-reaching; not only to marketing, but logistics, payment, shop design and shop staff behavior. The growth of the pop up store shows how CX is evolving by OMO. This workshop will show what UX design and functions are appropriate for the customer in this new era of CX.</v>
      </c>
      <c r="C403" s="4" t="str">
        <f>IFERROR(__xludf.DUMMYFUNCTION("""COMPUTED_VALUE"""),"Workshop 4")</f>
        <v>Workshop 4</v>
      </c>
      <c r="D403" s="4" t="str">
        <f>IFERROR(__xludf.DUMMYFUNCTION("""COMPUTED_VALUE"""),"Noriyuki Yamazaki")</f>
        <v>Noriyuki Yamazaki</v>
      </c>
      <c r="E403" s="4" t="str">
        <f>IFERROR(__xludf.DUMMYFUNCTION("""COMPUTED_VALUE"""),"Noriyuki Yamazaki")</f>
        <v>Noriyuki Yamazaki</v>
      </c>
      <c r="F403" s="4" t="str">
        <f>IFERROR(__xludf.DUMMYFUNCTION("""COMPUTED_VALUE"""),"2019/11/05 12:00:00")</f>
        <v>2019/11/05 12:00:00</v>
      </c>
      <c r="G403" s="4" t="str">
        <f>IFERROR(__xludf.DUMMYFUNCTION("""COMPUTED_VALUE"""),"2019/11/05 12:40:00")</f>
        <v>2019/11/05 12:40:00</v>
      </c>
      <c r="H403" s="4" t="str">
        <f>IFERROR(__xludf.DUMMYFUNCTION("""COMPUTED_VALUE"""),"c715ff03-b4bd-4086-868f-8491fad2bc8f")</f>
        <v>c715ff03-b4bd-4086-868f-8491fad2bc8f</v>
      </c>
      <c r="I403" s="4" t="str">
        <f>IFERROR(__xludf.DUMMYFUNCTION("""COMPUTED_VALUE"""),"c715ff03-b4bd-4086-868f-8491fad2bc8f")</f>
        <v>c715ff03-b4bd-4086-868f-8491fad2bc8f</v>
      </c>
    </row>
    <row r="404">
      <c r="A404" s="4" t="str">
        <f>IFERROR(__xludf.DUMMYFUNCTION("""COMPUTED_VALUE"""),"Feeling the pain: How rage &amp; pain are the key to growth")</f>
        <v>Feeling the pain: How rage &amp; pain are the key to growth</v>
      </c>
      <c r="B404" s="4" t="str">
        <f>IFERROR(__xludf.DUMMYFUNCTION("""COMPUTED_VALUE"""),"CEO of WEEL, Simcha will outline how to leverage the pain and rage of mundane experiences of your users to create, align and grow your company.")</f>
        <v>CEO of WEEL, Simcha will outline how to leverage the pain and rage of mundane experiences of your users to create, align and grow your company.</v>
      </c>
      <c r="C404" s="4" t="str">
        <f>IFERROR(__xludf.DUMMYFUNCTION("""COMPUTED_VALUE"""),"Growth Summit")</f>
        <v>Growth Summit</v>
      </c>
      <c r="D404" s="4" t="str">
        <f>IFERROR(__xludf.DUMMYFUNCTION("""COMPUTED_VALUE"""),"Simcha Neumark")</f>
        <v>Simcha Neumark</v>
      </c>
      <c r="E404" s="4" t="str">
        <f>IFERROR(__xludf.DUMMYFUNCTION("""COMPUTED_VALUE"""),"Simcha Neumark")</f>
        <v>Simcha Neumark</v>
      </c>
      <c r="F404" s="4" t="str">
        <f>IFERROR(__xludf.DUMMYFUNCTION("""COMPUTED_VALUE"""),"2019/11/06 14:42:00")</f>
        <v>2019/11/06 14:42:00</v>
      </c>
      <c r="G404" s="4" t="str">
        <f>IFERROR(__xludf.DUMMYFUNCTION("""COMPUTED_VALUE"""),"2019/11/06 14:53:00")</f>
        <v>2019/11/06 14:53:00</v>
      </c>
      <c r="H404" s="4" t="str">
        <f>IFERROR(__xludf.DUMMYFUNCTION("""COMPUTED_VALUE"""),"7c0af6de-78d5-4f6b-b2d9-1d3b94cf0974")</f>
        <v>7c0af6de-78d5-4f6b-b2d9-1d3b94cf0974</v>
      </c>
      <c r="I404" s="4" t="str">
        <f>IFERROR(__xludf.DUMMYFUNCTION("""COMPUTED_VALUE"""),"7c0af6de-78d5-4f6b-b2d9-1d3b94cf0974")</f>
        <v>7c0af6de-78d5-4f6b-b2d9-1d3b94cf0974</v>
      </c>
    </row>
    <row r="405">
      <c r="A405" s="4" t="str">
        <f>IFERROR(__xludf.DUMMYFUNCTION("""COMPUTED_VALUE"""),"The promise of personal robots is closer than you think")</f>
        <v>The promise of personal robots is closer than you think</v>
      </c>
      <c r="B405" s="4" t="str">
        <f>IFERROR(__xludf.DUMMYFUNCTION("""COMPUTED_VALUE"""),"Personal robots promise to bring utility, affording time for more meaningful activities as well as companionship. Over the next ten years, we’ll see robots transform both our business and home, as they take on useful tasks. In this fireside chat, Misty Ro"&amp;"botics Founder and former Sphero Co-Founder Ian Bernstein will explore how multipurpose robots will become an integral part of our daily lives and what it will take to get there.")</f>
        <v>Personal robots promise to bring utility, affording time for more meaningful activities as well as companionship. Over the next ten years, we’ll see robots transform both our business and home, as they take on useful tasks. In this fireside chat, Misty Robotics Founder and former Sphero Co-Founder Ian Bernstein will explore how multipurpose robots will become an integral part of our daily lives and what it will take to get there.</v>
      </c>
      <c r="C405" s="4" t="str">
        <f>IFERROR(__xludf.DUMMYFUNCTION("""COMPUTED_VALUE"""),"Auto/Tech &amp; TalkRobot")</f>
        <v>Auto/Tech &amp; TalkRobot</v>
      </c>
      <c r="D405" s="4" t="str">
        <f>IFERROR(__xludf.DUMMYFUNCTION("""COMPUTED_VALUE"""),"Ian Bernstein and Tim Bradshaw")</f>
        <v>Ian Bernstein and Tim Bradshaw</v>
      </c>
      <c r="E405" s="4" t="str">
        <f>IFERROR(__xludf.DUMMYFUNCTION("""COMPUTED_VALUE"""),"Ian Bernstein,Tim Bradshaw")</f>
        <v>Ian Bernstein,Tim Bradshaw</v>
      </c>
      <c r="F405" s="4" t="str">
        <f>IFERROR(__xludf.DUMMYFUNCTION("""COMPUTED_VALUE"""),"2019/11/07 11:55:00")</f>
        <v>2019/11/07 11:55:00</v>
      </c>
      <c r="G405" s="4" t="str">
        <f>IFERROR(__xludf.DUMMYFUNCTION("""COMPUTED_VALUE"""),"2019/11/07 12:15:00")</f>
        <v>2019/11/07 12:15:00</v>
      </c>
      <c r="H405" s="4" t="str">
        <f>IFERROR(__xludf.DUMMYFUNCTION("""COMPUTED_VALUE"""),"706d18d3-daa5-49c3-a497-62acce51c3da")</f>
        <v>706d18d3-daa5-49c3-a497-62acce51c3da</v>
      </c>
      <c r="I405" s="4" t="str">
        <f>IFERROR(__xludf.DUMMYFUNCTION("""COMPUTED_VALUE"""),"706d18d3-daa5-49c3-a497-62acce51c3da")</f>
        <v>706d18d3-daa5-49c3-a497-62acce51c3da</v>
      </c>
    </row>
    <row r="406">
      <c r="A406" s="4" t="str">
        <f>IFERROR(__xludf.DUMMYFUNCTION("""COMPUTED_VALUE"""),"Night Summit info point")</f>
        <v>Night Summit info point</v>
      </c>
      <c r="B406" s="4" t="str">
        <f>IFERROR(__xludf.DUMMYFUNCTION("""COMPUTED_VALUE"""),"")</f>
        <v/>
      </c>
      <c r="C406" s="4" t="str">
        <f>IFERROR(__xludf.DUMMYFUNCTION("""COMPUTED_VALUE"""),"Night Summit Info Point")</f>
        <v>Night Summit Info Point</v>
      </c>
      <c r="D406" s="4" t="str">
        <f>IFERROR(__xludf.DUMMYFUNCTION("""COMPUTED_VALUE"""),"")</f>
        <v/>
      </c>
      <c r="E406" s="4" t="str">
        <f>IFERROR(__xludf.DUMMYFUNCTION("""COMPUTED_VALUE"""),"")</f>
        <v/>
      </c>
      <c r="F406" s="4" t="str">
        <f>IFERROR(__xludf.DUMMYFUNCTION("""COMPUTED_VALUE"""),"2019/11/06 20:01:00")</f>
        <v>2019/11/06 20:01:00</v>
      </c>
      <c r="G406" s="4" t="str">
        <f>IFERROR(__xludf.DUMMYFUNCTION("""COMPUTED_VALUE"""),"2019/11/07 01:59:00")</f>
        <v>2019/11/07 01:59:00</v>
      </c>
      <c r="H406" s="4" t="str">
        <f>IFERROR(__xludf.DUMMYFUNCTION("""COMPUTED_VALUE"""),"aa44cbc5-0c8f-4433-8471-ddbffbb0d503")</f>
        <v>aa44cbc5-0c8f-4433-8471-ddbffbb0d503</v>
      </c>
      <c r="I406" s="4" t="str">
        <f>IFERROR(__xludf.DUMMYFUNCTION("""COMPUTED_VALUE"""),"aa44cbc5-0c8f-4433-8471-ddbffbb0d503")</f>
        <v>aa44cbc5-0c8f-4433-8471-ddbffbb0d503</v>
      </c>
    </row>
    <row r="407">
      <c r="A407" s="4" t="str">
        <f>IFERROR(__xludf.DUMMYFUNCTION("""COMPUTED_VALUE""")," Changes are afoot: The death of traditional retail")</f>
        <v> Changes are afoot: The death of traditional retail</v>
      </c>
      <c r="B407" s="4" t="str">
        <f>IFERROR(__xludf.DUMMYFUNCTION("""COMPUTED_VALUE"""),"Shops are closing but consumption is increasing. Now that data is changing the way we buy, what lies in store for the retail industry?")</f>
        <v>Shops are closing but consumption is increasing. Now that data is changing the way we buy, what lies in store for the retail industry?</v>
      </c>
      <c r="C407" s="4" t="str">
        <f>IFERROR(__xludf.DUMMYFUNCTION("""COMPUTED_VALUE"""),"PandaConf")</f>
        <v>PandaConf</v>
      </c>
      <c r="D407" s="4" t="str">
        <f>IFERROR(__xludf.DUMMYFUNCTION("""COMPUTED_VALUE"""),"Josh Luber and Rebecca Stewart")</f>
        <v>Josh Luber and Rebecca Stewart</v>
      </c>
      <c r="E407" s="4" t="str">
        <f>IFERROR(__xludf.DUMMYFUNCTION("""COMPUTED_VALUE"""),"Josh Luber,Rebecca Stewart")</f>
        <v>Josh Luber,Rebecca Stewart</v>
      </c>
      <c r="F407" s="4" t="str">
        <f>IFERROR(__xludf.DUMMYFUNCTION("""COMPUTED_VALUE"""),"2019/11/06 11:30:00")</f>
        <v>2019/11/06 11:30:00</v>
      </c>
      <c r="G407" s="4" t="str">
        <f>IFERROR(__xludf.DUMMYFUNCTION("""COMPUTED_VALUE"""),"2019/11/06 11:50:00")</f>
        <v>2019/11/06 11:50:00</v>
      </c>
      <c r="H407" s="4" t="str">
        <f>IFERROR(__xludf.DUMMYFUNCTION("""COMPUTED_VALUE"""),"476f37c9-89b4-4016-a979-7dc647616266")</f>
        <v>476f37c9-89b4-4016-a979-7dc647616266</v>
      </c>
      <c r="I407" s="4" t="str">
        <f>IFERROR(__xludf.DUMMYFUNCTION("""COMPUTED_VALUE"""),"476f37c9-89b4-4016-a979-7dc647616266")</f>
        <v>476f37c9-89b4-4016-a979-7dc647616266</v>
      </c>
    </row>
    <row r="408">
      <c r="A408" s="4" t="str">
        <f>IFERROR(__xludf.DUMMYFUNCTION("""COMPUTED_VALUE"""),"The future of healthcare")</f>
        <v>The future of healthcare</v>
      </c>
      <c r="B408" s="4" t="str">
        <f>IFERROR(__xludf.DUMMYFUNCTION("""COMPUTED_VALUE"""),"Genome-informed medicine offers tremendous promise for improved health and wellness. Journey into the future of medicine and learn how genetics and genomics are impacting patient care today for earlier diagnosis, more personalised treatment and population"&amp;" health management.")</f>
        <v>Genome-informed medicine offers tremendous promise for improved health and wellness. Journey into the future of medicine and learn how genetics and genomics are impacting patient care today for earlier diagnosis, more personalised treatment and population health management.</v>
      </c>
      <c r="C408" s="4" t="str">
        <f>IFERROR(__xludf.DUMMYFUNCTION("""COMPUTED_VALUE"""),"Growth Summit")</f>
        <v>Growth Summit</v>
      </c>
      <c r="D408" s="4" t="str">
        <f>IFERROR(__xludf.DUMMYFUNCTION("""COMPUTED_VALUE"""),"Lisa Alderson")</f>
        <v>Lisa Alderson</v>
      </c>
      <c r="E408" s="4" t="str">
        <f>IFERROR(__xludf.DUMMYFUNCTION("""COMPUTED_VALUE"""),"Lisa Alderson")</f>
        <v>Lisa Alderson</v>
      </c>
      <c r="F408" s="4" t="str">
        <f>IFERROR(__xludf.DUMMYFUNCTION("""COMPUTED_VALUE"""),"2019/11/06 16:10:00")</f>
        <v>2019/11/06 16:10:00</v>
      </c>
      <c r="G408" s="4" t="str">
        <f>IFERROR(__xludf.DUMMYFUNCTION("""COMPUTED_VALUE"""),"2019/11/06 16:21:00")</f>
        <v>2019/11/06 16:21:00</v>
      </c>
      <c r="H408" s="4" t="str">
        <f>IFERROR(__xludf.DUMMYFUNCTION("""COMPUTED_VALUE"""),"1bdfa8ad-26d5-4ecc-816f-535f05a18a9f")</f>
        <v>1bdfa8ad-26d5-4ecc-816f-535f05a18a9f</v>
      </c>
      <c r="I408" s="4" t="str">
        <f>IFERROR(__xludf.DUMMYFUNCTION("""COMPUTED_VALUE"""),"1bdfa8ad-26d5-4ecc-816f-535f05a18a9f")</f>
        <v>1bdfa8ad-26d5-4ecc-816f-535f05a18a9f</v>
      </c>
    </row>
    <row r="409">
      <c r="A409" s="4" t="str">
        <f>IFERROR(__xludf.DUMMYFUNCTION("""COMPUTED_VALUE"""),"Featured venue: 4 Caravelas Cocktail Bar")</f>
        <v>Featured venue: 4 Caravelas Cocktail Bar</v>
      </c>
      <c r="B409" s="4" t="str">
        <f>IFERROR(__xludf.DUMMYFUNCTION("""COMPUTED_VALUE"""),"We know Winnie the Pooh loved honey, but we wonder what he'd make of the world famous Honey Pot cocktail? Made with vanilla vodka, ginger bread syrup, lemon juice, apple cider, honey, and roasted peanuts, this is your chance to try it for yourself. 
Ni"&amp;"ght Summit deals:
Discounted cocktails")</f>
        <v>We know Winnie the Pooh loved honey, but we wonder what he'd make of the world famous Honey Pot cocktail? Made with vanilla vodka, ginger bread syrup, lemon juice, apple cider, honey, and roasted peanuts, this is your chance to try it for yourself. 
Night Summit deals:
Discounted cocktails</v>
      </c>
      <c r="C409" s="4" t="str">
        <f>IFERROR(__xludf.DUMMYFUNCTION("""COMPUTED_VALUE"""),"4 Caravelas Cocktail Bar")</f>
        <v>4 Caravelas Cocktail Bar</v>
      </c>
      <c r="D409" s="4" t="str">
        <f>IFERROR(__xludf.DUMMYFUNCTION("""COMPUTED_VALUE"""),"")</f>
        <v/>
      </c>
      <c r="E409" s="4" t="str">
        <f>IFERROR(__xludf.DUMMYFUNCTION("""COMPUTED_VALUE"""),"")</f>
        <v/>
      </c>
      <c r="F409" s="4" t="str">
        <f>IFERROR(__xludf.DUMMYFUNCTION("""COMPUTED_VALUE"""),"2019/11/05 20:00:00")</f>
        <v>2019/11/05 20:00:00</v>
      </c>
      <c r="G409" s="4" t="str">
        <f>IFERROR(__xludf.DUMMYFUNCTION("""COMPUTED_VALUE"""),"2019/11/06 00:00:00")</f>
        <v>2019/11/06 00:00:00</v>
      </c>
      <c r="H409" s="4" t="str">
        <f>IFERROR(__xludf.DUMMYFUNCTION("""COMPUTED_VALUE"""),"a10965c3-a616-4d8c-9ae9-6c2bf7561127")</f>
        <v>a10965c3-a616-4d8c-9ae9-6c2bf7561127</v>
      </c>
      <c r="I409" s="4" t="str">
        <f>IFERROR(__xludf.DUMMYFUNCTION("""COMPUTED_VALUE"""),"a10965c3-a616-4d8c-9ae9-6c2bf7561127")</f>
        <v>a10965c3-a616-4d8c-9ae9-6c2bf7561127</v>
      </c>
    </row>
    <row r="410">
      <c r="A410" s="4" t="str">
        <f>IFERROR(__xludf.DUMMYFUNCTION("""COMPUTED_VALUE"""),"Is Britain better out of Europe?")</f>
        <v>Is Britain better out of Europe?</v>
      </c>
      <c r="B410" s="4" t="str">
        <f>IFERROR(__xludf.DUMMYFUNCTION("""COMPUTED_VALUE"""),"Brexit is the drama that never ends. It is the defining political event in modern British, and arguably European, politics. It is the biggest change in the European political order since the formation of the European Union. In this session we will hear an"&amp;" ardent Brexiteer and an arch-Remainer argue out the pros and cons. Is Brexit a good thing? We’ll unravel it and find out.")</f>
        <v>Brexit is the drama that never ends. It is the defining political event in modern British, and arguably European, politics. It is the biggest change in the European political order since the formation of the European Union. In this session we will hear an ardent Brexiteer and an arch-Remainer argue out the pros and cons. Is Brexit a good thing? We’ll unravel it and find out.</v>
      </c>
      <c r="C410" s="4" t="str">
        <f>IFERROR(__xludf.DUMMYFUNCTION("""COMPUTED_VALUE"""),"Future Societies")</f>
        <v>Future Societies</v>
      </c>
      <c r="D410" s="4" t="str">
        <f>IFERROR(__xludf.DUMMYFUNCTION("""COMPUTED_VALUE"""),"Alex Deane, James Ball and Donie O'Sullivan")</f>
        <v>Alex Deane, James Ball and Donie O'Sullivan</v>
      </c>
      <c r="E410" s="4" t="str">
        <f>IFERROR(__xludf.DUMMYFUNCTION("""COMPUTED_VALUE"""),"Alex Deane,James Ball,Donie O'Sullivan")</f>
        <v>Alex Deane,James Ball,Donie O'Sullivan</v>
      </c>
      <c r="F410" s="4" t="str">
        <f>IFERROR(__xludf.DUMMYFUNCTION("""COMPUTED_VALUE"""),"2019/11/05 10:45:00")</f>
        <v>2019/11/05 10:45:00</v>
      </c>
      <c r="G410" s="4" t="str">
        <f>IFERROR(__xludf.DUMMYFUNCTION("""COMPUTED_VALUE"""),"2019/11/05 11:10:00")</f>
        <v>2019/11/05 11:10:00</v>
      </c>
      <c r="H410" s="4" t="str">
        <f>IFERROR(__xludf.DUMMYFUNCTION("""COMPUTED_VALUE"""),"bb0a318b-4e65-4f17-b2b5-06c616776ad9")</f>
        <v>bb0a318b-4e65-4f17-b2b5-06c616776ad9</v>
      </c>
      <c r="I410" s="4" t="str">
        <f>IFERROR(__xludf.DUMMYFUNCTION("""COMPUTED_VALUE"""),"bb0a318b-4e65-4f17-b2b5-06c616776ad9")</f>
        <v>bb0a318b-4e65-4f17-b2b5-06c616776ad9</v>
      </c>
    </row>
    <row r="411">
      <c r="A411" s="4" t="str">
        <f>IFERROR(__xludf.DUMMYFUNCTION("""COMPUTED_VALUE"""),"Pivoting your business model to generate growth")</f>
        <v>Pivoting your business model to generate growth</v>
      </c>
      <c r="B411" s="4" t="str">
        <f>IFERROR(__xludf.DUMMYFUNCTION("""COMPUTED_VALUE"""),"The startup dynamics is very challenging as any company needs to identify and validate the core product/marketing fit before it can start to grow. Now, what if the original business model is no longer viable, profitable, or competitive and needs to be sub"&amp;"stantially changed to generate growth?")</f>
        <v>The startup dynamics is very challenging as any company needs to identify and validate the core product/marketing fit before it can start to grow. Now, what if the original business model is no longer viable, profitable, or competitive and needs to be substantially changed to generate growth?</v>
      </c>
      <c r="C411" s="4" t="str">
        <f>IFERROR(__xludf.DUMMYFUNCTION("""COMPUTED_VALUE"""),"Growth Summit")</f>
        <v>Growth Summit</v>
      </c>
      <c r="D411" s="4" t="str">
        <f>IFERROR(__xludf.DUMMYFUNCTION("""COMPUTED_VALUE"""),"Petr Stransky")</f>
        <v>Petr Stransky</v>
      </c>
      <c r="E411" s="4" t="str">
        <f>IFERROR(__xludf.DUMMYFUNCTION("""COMPUTED_VALUE"""),"Petr Stransky")</f>
        <v>Petr Stransky</v>
      </c>
      <c r="F411" s="4" t="str">
        <f>IFERROR(__xludf.DUMMYFUNCTION("""COMPUTED_VALUE"""),"2019/11/06 11:46:00")</f>
        <v>2019/11/06 11:46:00</v>
      </c>
      <c r="G411" s="4" t="str">
        <f>IFERROR(__xludf.DUMMYFUNCTION("""COMPUTED_VALUE"""),"2019/11/06 11:50:00")</f>
        <v>2019/11/06 11:50:00</v>
      </c>
      <c r="H411" s="4" t="str">
        <f>IFERROR(__xludf.DUMMYFUNCTION("""COMPUTED_VALUE"""),"89533609-89a7-4989-b1af-96b33fd00050")</f>
        <v>89533609-89a7-4989-b1af-96b33fd00050</v>
      </c>
      <c r="I411" s="4" t="str">
        <f>IFERROR(__xludf.DUMMYFUNCTION("""COMPUTED_VALUE"""),"89533609-89a7-4989-b1af-96b33fd00050")</f>
        <v>89533609-89a7-4989-b1af-96b33fd00050</v>
      </c>
    </row>
    <row r="412">
      <c r="A412" s="4" t="str">
        <f>IFERROR(__xludf.DUMMYFUNCTION("""COMPUTED_VALUE"""),"Opening remarks")</f>
        <v>Opening remarks</v>
      </c>
      <c r="B412" s="4" t="str">
        <f>IFERROR(__xludf.DUMMYFUNCTION("""COMPUTED_VALUE"""),"")</f>
        <v/>
      </c>
      <c r="C412" s="4" t="str">
        <f>IFERROR(__xludf.DUMMYFUNCTION("""COMPUTED_VALUE"""),"MoneyConf")</f>
        <v>MoneyConf</v>
      </c>
      <c r="D412" s="4" t="str">
        <f>IFERROR(__xludf.DUMMYFUNCTION("""COMPUTED_VALUE"""),"Margarida Ruela")</f>
        <v>Margarida Ruela</v>
      </c>
      <c r="E412" s="4" t="str">
        <f>IFERROR(__xludf.DUMMYFUNCTION("""COMPUTED_VALUE"""),"Margarida Ruela")</f>
        <v>Margarida Ruela</v>
      </c>
      <c r="F412" s="4" t="str">
        <f>IFERROR(__xludf.DUMMYFUNCTION("""COMPUTED_VALUE"""),"2019/11/06 13:45:00")</f>
        <v>2019/11/06 13:45:00</v>
      </c>
      <c r="G412" s="4" t="str">
        <f>IFERROR(__xludf.DUMMYFUNCTION("""COMPUTED_VALUE"""),"2019/11/06 14:00:00")</f>
        <v>2019/11/06 14:00:00</v>
      </c>
      <c r="H412" s="4" t="str">
        <f>IFERROR(__xludf.DUMMYFUNCTION("""COMPUTED_VALUE"""),"b6e6bb17-35ea-41fc-94ac-adde65256009")</f>
        <v>b6e6bb17-35ea-41fc-94ac-adde65256009</v>
      </c>
      <c r="I412" s="4" t="str">
        <f>IFERROR(__xludf.DUMMYFUNCTION("""COMPUTED_VALUE"""),"b6e6bb17-35ea-41fc-94ac-adde65256009")</f>
        <v>b6e6bb17-35ea-41fc-94ac-adde65256009</v>
      </c>
    </row>
    <row r="413">
      <c r="A413" s="4" t="str">
        <f>IFERROR(__xludf.DUMMYFUNCTION("""COMPUTED_VALUE"""),"The art of the pivot: From agency to SaaS social listening to MLaaS ")</f>
        <v>The art of the pivot: From agency to SaaS social listening to MLaaS </v>
      </c>
      <c r="B413" s="4" t="str">
        <f>IFERROR(__xludf.DUMMYFUNCTION("""COMPUTED_VALUE"""),"Navigating a pivot intact requires a lot of navigation and unforeseen challenges. But how does one survive two pivots and flourish? This session will take the audience through the journey of Converseon from an agency, to a listening platform, to MLaaS for"&amp;" natural language processing, and the art and science of reinvention it has learned along the way.")</f>
        <v>Navigating a pivot intact requires a lot of navigation and unforeseen challenges. But how does one survive two pivots and flourish? This session will take the audience through the journey of Converseon from an agency, to a listening platform, to MLaaS for natural language processing, and the art and science of reinvention it has learned along the way.</v>
      </c>
      <c r="C413" s="4" t="str">
        <f>IFERROR(__xludf.DUMMYFUNCTION("""COMPUTED_VALUE"""),"Growth Summit")</f>
        <v>Growth Summit</v>
      </c>
      <c r="D413" s="4" t="str">
        <f>IFERROR(__xludf.DUMMYFUNCTION("""COMPUTED_VALUE"""),"Rob Key")</f>
        <v>Rob Key</v>
      </c>
      <c r="E413" s="4" t="str">
        <f>IFERROR(__xludf.DUMMYFUNCTION("""COMPUTED_VALUE"""),"Rob Key")</f>
        <v>Rob Key</v>
      </c>
      <c r="F413" s="4" t="str">
        <f>IFERROR(__xludf.DUMMYFUNCTION("""COMPUTED_VALUE"""),"2019/11/05 10:30:00")</f>
        <v>2019/11/05 10:30:00</v>
      </c>
      <c r="G413" s="4" t="str">
        <f>IFERROR(__xludf.DUMMYFUNCTION("""COMPUTED_VALUE"""),"2019/11/05 10:34:00")</f>
        <v>2019/11/05 10:34:00</v>
      </c>
      <c r="H413" s="4" t="str">
        <f>IFERROR(__xludf.DUMMYFUNCTION("""COMPUTED_VALUE"""),"9f2cfe2e-084f-4c23-be43-711a539881b1")</f>
        <v>9f2cfe2e-084f-4c23-be43-711a539881b1</v>
      </c>
      <c r="I413" s="4" t="str">
        <f>IFERROR(__xludf.DUMMYFUNCTION("""COMPUTED_VALUE"""),"9f2cfe2e-084f-4c23-be43-711a539881b1")</f>
        <v>9f2cfe2e-084f-4c23-be43-711a539881b1</v>
      </c>
    </row>
    <row r="414">
      <c r="A414" s="4" t="str">
        <f>IFERROR(__xludf.DUMMYFUNCTION("""COMPUTED_VALUE"""),"It's lonely at the top")</f>
        <v>It's lonely at the top</v>
      </c>
      <c r="B414" s="4" t="str">
        <f>IFERROR(__xludf.DUMMYFUNCTION("""COMPUTED_VALUE"""),"Get Transfer founder, Arie discusses setting up a business alone versus having co-founders.")</f>
        <v>Get Transfer founder, Arie discusses setting up a business alone versus having co-founders.</v>
      </c>
      <c r="C414" s="4" t="str">
        <f>IFERROR(__xludf.DUMMYFUNCTION("""COMPUTED_VALUE"""),"Growth Summit")</f>
        <v>Growth Summit</v>
      </c>
      <c r="D414" s="4" t="str">
        <f>IFERROR(__xludf.DUMMYFUNCTION("""COMPUTED_VALUE"""),"Arie Kravtchin")</f>
        <v>Arie Kravtchin</v>
      </c>
      <c r="E414" s="4" t="str">
        <f>IFERROR(__xludf.DUMMYFUNCTION("""COMPUTED_VALUE"""),"Arie Kravtchin")</f>
        <v>Arie Kravtchin</v>
      </c>
      <c r="F414" s="4" t="str">
        <f>IFERROR(__xludf.DUMMYFUNCTION("""COMPUTED_VALUE"""),"2019/11/06 11:30:00")</f>
        <v>2019/11/06 11:30:00</v>
      </c>
      <c r="G414" s="4" t="str">
        <f>IFERROR(__xludf.DUMMYFUNCTION("""COMPUTED_VALUE"""),"2019/11/06 11:34:00")</f>
        <v>2019/11/06 11:34:00</v>
      </c>
      <c r="H414" s="4" t="str">
        <f>IFERROR(__xludf.DUMMYFUNCTION("""COMPUTED_VALUE"""),"b3a49c84-add4-4210-8e47-bf6e20618a30")</f>
        <v>b3a49c84-add4-4210-8e47-bf6e20618a30</v>
      </c>
      <c r="I414" s="4" t="str">
        <f>IFERROR(__xludf.DUMMYFUNCTION("""COMPUTED_VALUE"""),"b3a49c84-add4-4210-8e47-bf6e20618a30")</f>
        <v>b3a49c84-add4-4210-8e47-bf6e20618a30</v>
      </c>
    </row>
    <row r="415">
      <c r="A415" s="4" t="str">
        <f>IFERROR(__xludf.DUMMYFUNCTION("""COMPUTED_VALUE"""),"How to build an invincible company")</f>
        <v>How to build an invincible company</v>
      </c>
      <c r="B415" s="4" t="str">
        <f>IFERROR(__xludf.DUMMYFUNCTION("""COMPUTED_VALUE"""),"Join the creator of the business-model canvas, Alex Osterwalder, to learn the secrets of how to build an invincible company.")</f>
        <v>Join the creator of the business-model canvas, Alex Osterwalder, to learn the secrets of how to build an invincible company.</v>
      </c>
      <c r="C415" s="4" t="str">
        <f>IFERROR(__xludf.DUMMYFUNCTION("""COMPUTED_VALUE"""),"Corporate Innovation Summit")</f>
        <v>Corporate Innovation Summit</v>
      </c>
      <c r="D415" s="4" t="str">
        <f>IFERROR(__xludf.DUMMYFUNCTION("""COMPUTED_VALUE"""),"Alex Osterwalder")</f>
        <v>Alex Osterwalder</v>
      </c>
      <c r="E415" s="4" t="str">
        <f>IFERROR(__xludf.DUMMYFUNCTION("""COMPUTED_VALUE"""),"Alex Osterwalder")</f>
        <v>Alex Osterwalder</v>
      </c>
      <c r="F415" s="4" t="str">
        <f>IFERROR(__xludf.DUMMYFUNCTION("""COMPUTED_VALUE"""),"2019/11/07 14:00:00")</f>
        <v>2019/11/07 14:00:00</v>
      </c>
      <c r="G415" s="4" t="str">
        <f>IFERROR(__xludf.DUMMYFUNCTION("""COMPUTED_VALUE"""),"2019/11/07 14:20:00")</f>
        <v>2019/11/07 14:20:00</v>
      </c>
      <c r="H415" s="4" t="str">
        <f>IFERROR(__xludf.DUMMYFUNCTION("""COMPUTED_VALUE"""),"f72b995c-5b25-443d-b7e6-9c255da1688c")</f>
        <v>f72b995c-5b25-443d-b7e6-9c255da1688c</v>
      </c>
      <c r="I415" s="4" t="str">
        <f>IFERROR(__xludf.DUMMYFUNCTION("""COMPUTED_VALUE"""),"f72b995c-5b25-443d-b7e6-9c255da1688c")</f>
        <v>f72b995c-5b25-443d-b7e6-9c255da1688c</v>
      </c>
    </row>
    <row r="416">
      <c r="A416" s="4" t="str">
        <f>IFERROR(__xludf.DUMMYFUNCTION("""COMPUTED_VALUE"""),"PITCH group round 4")</f>
        <v>PITCH group round 4</v>
      </c>
      <c r="B416" s="4" t="str">
        <f>IFERROR(__xludf.DUMMYFUNCTION("""COMPUTED_VALUE"""),"")</f>
        <v/>
      </c>
      <c r="C416" s="4" t="str">
        <f>IFERROR(__xludf.DUMMYFUNCTION("""COMPUTED_VALUE"""),"")</f>
        <v/>
      </c>
      <c r="D416" s="4" t="str">
        <f>IFERROR(__xludf.DUMMYFUNCTION("""COMPUTED_VALUE"""),"Rashmi Gopinath
Ramin Behzadi
Lais de Oliveira
Tanja Koch
Mário Guerreiro
Rui Barros
Alexey Kistenev
Mitchell Buhling
Sarah Merrick
Arif Abed
Karl Naim
Tanel Orro")</f>
        <v>Rashmi Gopinath
Ramin Behzadi
Lais de Oliveira
Tanja Koch
Mário Guerreiro
Rui Barros
Alexey Kistenev
Mitchell Buhling
Sarah Merrick
Arif Abed
Karl Naim
Tanel Orro</v>
      </c>
      <c r="E416" s="4" t="str">
        <f>IFERROR(__xludf.DUMMYFUNCTION("""COMPUTED_VALUE"""),"Rashmi Gopinath
Ramin Behzadi
Lais de Oliveira
Tanja Koch
Mário Guerreiro
Rui Barros
Alexey Kistenev
Mitchell Buhling
Sarah Merrick
Arif Abed
Karl Naim
Tanel Orro")</f>
        <v>Rashmi Gopinath
Ramin Behzadi
Lais de Oliveira
Tanja Koch
Mário Guerreiro
Rui Barros
Alexey Kistenev
Mitchell Buhling
Sarah Merrick
Arif Abed
Karl Naim
Tanel Orro</v>
      </c>
      <c r="F416" s="4" t="str">
        <f>IFERROR(__xludf.DUMMYFUNCTION("""COMPUTED_VALUE"""),"")</f>
        <v/>
      </c>
      <c r="G416" s="4" t="str">
        <f>IFERROR(__xludf.DUMMYFUNCTION("""COMPUTED_VALUE"""),"")</f>
        <v/>
      </c>
      <c r="H416" s="4" t="str">
        <f>IFERROR(__xludf.DUMMYFUNCTION("""COMPUTED_VALUE"""),"a3e482f3-d849-5ddd-8018-22e53f23e89b")</f>
        <v>a3e482f3-d849-5ddd-8018-22e53f23e89b</v>
      </c>
      <c r="I416" s="4" t="str">
        <f>IFERROR(__xludf.DUMMYFUNCTION("""COMPUTED_VALUE"""),"a3e482f3-d849-5ddd-8018-22e53f23e89b")</f>
        <v>a3e482f3-d849-5ddd-8018-22e53f23e89b</v>
      </c>
    </row>
    <row r="417">
      <c r="A417" s="4" t="str">
        <f>IFERROR(__xludf.DUMMYFUNCTION("""COMPUTED_VALUE"""),"The power of influence")</f>
        <v>The power of influence</v>
      </c>
      <c r="B417" s="4" t="str">
        <f>IFERROR(__xludf.DUMMYFUNCTION("""COMPUTED_VALUE"""),"Is the era of the influencer coming to an end or are we more in thrall with the lives of social media stars than ever before? In this talk find out from two people on the front line of online media content what the future looks like for social. ")</f>
        <v>Is the era of the influencer coming to an end or are we more in thrall with the lives of social media stars than ever before? In this talk find out from two people on the front line of online media content what the future looks like for social. </v>
      </c>
      <c r="C417" s="4" t="str">
        <f>IFERROR(__xludf.DUMMYFUNCTION("""COMPUTED_VALUE"""),"ContentMakers")</f>
        <v>ContentMakers</v>
      </c>
      <c r="D417" s="4" t="str">
        <f>IFERROR(__xludf.DUMMYFUNCTION("""COMPUTED_VALUE"""),"Caspar Lee, Ben Jeffries and Ali Aydin")</f>
        <v>Caspar Lee, Ben Jeffries and Ali Aydin</v>
      </c>
      <c r="E417" s="4" t="str">
        <f>IFERROR(__xludf.DUMMYFUNCTION("""COMPUTED_VALUE"""),"Caspar Lee,Ben Jeffries,Ali Aydin")</f>
        <v>Caspar Lee,Ben Jeffries,Ali Aydin</v>
      </c>
      <c r="F417" s="4" t="str">
        <f>IFERROR(__xludf.DUMMYFUNCTION("""COMPUTED_VALUE"""),"2019/11/07 12:35:00")</f>
        <v>2019/11/07 12:35:00</v>
      </c>
      <c r="G417" s="4" t="str">
        <f>IFERROR(__xludf.DUMMYFUNCTION("""COMPUTED_VALUE"""),"2019/11/07 13:00:00")</f>
        <v>2019/11/07 13:00:00</v>
      </c>
      <c r="H417" s="4" t="str">
        <f>IFERROR(__xludf.DUMMYFUNCTION("""COMPUTED_VALUE"""),"ec27f57b-666c-4cb9-88a8-d6660ef1cf70")</f>
        <v>ec27f57b-666c-4cb9-88a8-d6660ef1cf70</v>
      </c>
      <c r="I417" s="4" t="str">
        <f>IFERROR(__xludf.DUMMYFUNCTION("""COMPUTED_VALUE"""),"ec27f57b-666c-4cb9-88a8-d6660ef1cf70")</f>
        <v>ec27f57b-666c-4cb9-88a8-d6660ef1cf70</v>
      </c>
    </row>
    <row r="418">
      <c r="A418" s="4" t="str">
        <f>IFERROR(__xludf.DUMMYFUNCTION("""COMPUTED_VALUE"""),"Leadership lessons from sport")</f>
        <v>Leadership lessons from sport</v>
      </c>
      <c r="B418" s="4" t="str">
        <f>IFERROR(__xludf.DUMMYFUNCTION("""COMPUTED_VALUE"""),"Respect is earned not given, leadership is learned through hard work, sacrifice and dedication. Some of the most influential people in their field share what sport has thought them about leading.")</f>
        <v>Respect is earned not given, leadership is learned through hard work, sacrifice and dedication. Some of the most influential people in their field share what sport has thought them about leading.</v>
      </c>
      <c r="C418" s="4" t="str">
        <f>IFERROR(__xludf.DUMMYFUNCTION("""COMPUTED_VALUE"""),"SportsTrade")</f>
        <v>SportsTrade</v>
      </c>
      <c r="D418" s="4" t="str">
        <f>IFERROR(__xludf.DUMMYFUNCTION("""COMPUTED_VALUE"""),"Alejandro Agag, Antonina Shevchenko, Liv Boeree, Valentina Shevchenko and Miguel Delaney")</f>
        <v>Alejandro Agag, Antonina Shevchenko, Liv Boeree, Valentina Shevchenko and Miguel Delaney</v>
      </c>
      <c r="E418" s="4" t="str">
        <f>IFERROR(__xludf.DUMMYFUNCTION("""COMPUTED_VALUE"""),"Alejandro Agag,Antonina Shevchenko,Liv Boeree,Valentina Shevchenko,Miguel Delaney")</f>
        <v>Alejandro Agag,Antonina Shevchenko,Liv Boeree,Valentina Shevchenko,Miguel Delaney</v>
      </c>
      <c r="F418" s="4" t="str">
        <f>IFERROR(__xludf.DUMMYFUNCTION("""COMPUTED_VALUE"""),"2019/11/05 14:05:00")</f>
        <v>2019/11/05 14:05:00</v>
      </c>
      <c r="G418" s="4" t="str">
        <f>IFERROR(__xludf.DUMMYFUNCTION("""COMPUTED_VALUE"""),"2019/11/05 14:25:00")</f>
        <v>2019/11/05 14:25:00</v>
      </c>
      <c r="H418" s="4" t="str">
        <f>IFERROR(__xludf.DUMMYFUNCTION("""COMPUTED_VALUE"""),"5cf5a864-bfdb-4980-be07-0ce909a15f4c")</f>
        <v>5cf5a864-bfdb-4980-be07-0ce909a15f4c</v>
      </c>
      <c r="I418" s="4" t="str">
        <f>IFERROR(__xludf.DUMMYFUNCTION("""COMPUTED_VALUE"""),"5cf5a864-bfdb-4980-be07-0ce909a15f4c")</f>
        <v>5cf5a864-bfdb-4980-be07-0ce909a15f4c</v>
      </c>
    </row>
    <row r="419">
      <c r="A419" s="4" t="str">
        <f>IFERROR(__xludf.DUMMYFUNCTION("""COMPUTED_VALUE"""),"(Lab-grown) diamonds are a brand's best friend")</f>
        <v>(Lab-grown) diamonds are a brand's best friend</v>
      </c>
      <c r="B419" s="4" t="str">
        <f>IFERROR(__xludf.DUMMYFUNCTION("""COMPUTED_VALUE"""),"The development of lab-grown diamonds has been transformative for the jewelry industry. In this panel, Sally Morrison, CMO of Lightbox Jewelry and Rosemarie Ryan, Co-CEO of Co: Collective will discuss how a disruptive product can serve as a jumping off po"&amp;"int to build not only a disruptive brand but an entirely new market. ")</f>
        <v>The development of lab-grown diamonds has been transformative for the jewelry industry. In this panel, Sally Morrison, CMO of Lightbox Jewelry and Rosemarie Ryan, Co-CEO of Co: Collective will discuss how a disruptive product can serve as a jumping off point to build not only a disruptive brand but an entirely new market. </v>
      </c>
      <c r="C419" s="4" t="str">
        <f>IFERROR(__xludf.DUMMYFUNCTION("""COMPUTED_VALUE"""),"Modum")</f>
        <v>Modum</v>
      </c>
      <c r="D419" s="4" t="str">
        <f>IFERROR(__xludf.DUMMYFUNCTION("""COMPUTED_VALUE"""),"Rosemarie Ryan, Sally Morrison and Joana Petiz")</f>
        <v>Rosemarie Ryan, Sally Morrison and Joana Petiz</v>
      </c>
      <c r="E419" s="4" t="str">
        <f>IFERROR(__xludf.DUMMYFUNCTION("""COMPUTED_VALUE"""),"Rosemarie Ryan,Sally Morrison,Joana Petiz")</f>
        <v>Rosemarie Ryan,Sally Morrison,Joana Petiz</v>
      </c>
      <c r="F419" s="4" t="str">
        <f>IFERROR(__xludf.DUMMYFUNCTION("""COMPUTED_VALUE"""),"2019/11/07 15:25:00")</f>
        <v>2019/11/07 15:25:00</v>
      </c>
      <c r="G419" s="4" t="str">
        <f>IFERROR(__xludf.DUMMYFUNCTION("""COMPUTED_VALUE"""),"2019/11/07 15:45:00")</f>
        <v>2019/11/07 15:45:00</v>
      </c>
      <c r="H419" s="4" t="str">
        <f>IFERROR(__xludf.DUMMYFUNCTION("""COMPUTED_VALUE"""),"03f6221f-cfdc-4252-9d31-2b978d683588")</f>
        <v>03f6221f-cfdc-4252-9d31-2b978d683588</v>
      </c>
      <c r="I419" s="4" t="str">
        <f>IFERROR(__xludf.DUMMYFUNCTION("""COMPUTED_VALUE"""),"03f6221f-cfdc-4252-9d31-2b978d683588")</f>
        <v>03f6221f-cfdc-4252-9d31-2b978d683588</v>
      </c>
    </row>
    <row r="420">
      <c r="A420" s="4" t="str">
        <f>IFERROR(__xludf.DUMMYFUNCTION("""COMPUTED_VALUE"""),"Opening remarks")</f>
        <v>Opening remarks</v>
      </c>
      <c r="B420" s="4" t="str">
        <f>IFERROR(__xludf.DUMMYFUNCTION("""COMPUTED_VALUE"""),"")</f>
        <v/>
      </c>
      <c r="C420" s="4" t="str">
        <f>IFERROR(__xludf.DUMMYFUNCTION("""COMPUTED_VALUE"""),"PandaConf")</f>
        <v>PandaConf</v>
      </c>
      <c r="D420" s="4" t="str">
        <f>IFERROR(__xludf.DUMMYFUNCTION("""COMPUTED_VALUE"""),"Cynthia Johnson")</f>
        <v>Cynthia Johnson</v>
      </c>
      <c r="E420" s="4" t="str">
        <f>IFERROR(__xludf.DUMMYFUNCTION("""COMPUTED_VALUE"""),"Cynthia Johnson")</f>
        <v>Cynthia Johnson</v>
      </c>
      <c r="F420" s="4" t="str">
        <f>IFERROR(__xludf.DUMMYFUNCTION("""COMPUTED_VALUE"""),"2019/11/07 10:45:00")</f>
        <v>2019/11/07 10:45:00</v>
      </c>
      <c r="G420" s="4" t="str">
        <f>IFERROR(__xludf.DUMMYFUNCTION("""COMPUTED_VALUE"""),"2019/11/07 11:00:00")</f>
        <v>2019/11/07 11:00:00</v>
      </c>
      <c r="H420" s="4" t="str">
        <f>IFERROR(__xludf.DUMMYFUNCTION("""COMPUTED_VALUE"""),"3265e843-4d4c-4cb5-9d4f-a7379991b0db")</f>
        <v>3265e843-4d4c-4cb5-9d4f-a7379991b0db</v>
      </c>
      <c r="I420" s="4" t="str">
        <f>IFERROR(__xludf.DUMMYFUNCTION("""COMPUTED_VALUE"""),"3265e843-4d4c-4cb5-9d4f-a7379991b0db")</f>
        <v>3265e843-4d4c-4cb5-9d4f-a7379991b0db</v>
      </c>
    </row>
    <row r="421">
      <c r="A421" s="4" t="str">
        <f>IFERROR(__xludf.DUMMYFUNCTION("""COMPUTED_VALUE"""),"Join Samsung NEXT to learn how to build, grow, and scale your business")</f>
        <v>Join Samsung NEXT to learn how to build, grow, and scale your business</v>
      </c>
      <c r="B421" s="4" t="str">
        <f>IFERROR(__xludf.DUMMYFUNCTION("""COMPUTED_VALUE"""),"Samsung NEXT is introducing its first series of ClassroomX startup educational sessions at Web Summit 2019 in Lisbon from November 4 - 7. Join us in the Samsung NEXT booth, just steps away from Centre Stage in FIL 1, booth E130, for hands-on instruction a"&amp;"nd training from startup product, marketing, recruiting, and sales experts. https://www.classroomx.com/websummit")</f>
        <v>Samsung NEXT is introducing its first series of ClassroomX startup educational sessions at Web Summit 2019 in Lisbon from November 4 - 7. Join us in the Samsung NEXT booth, just steps away from Centre Stage in FIL 1, booth E130, for hands-on instruction and training from startup product, marketing, recruiting, and sales experts. https://www.classroomx.com/websummit</v>
      </c>
      <c r="C421" s="4" t="str">
        <f>IFERROR(__xludf.DUMMYFUNCTION("""COMPUTED_VALUE"""),"Samsung NEXT, E130, FIL 1")</f>
        <v>Samsung NEXT, E130, FIL 1</v>
      </c>
      <c r="D421" s="4" t="str">
        <f>IFERROR(__xludf.DUMMYFUNCTION("""COMPUTED_VALUE"""),"")</f>
        <v/>
      </c>
      <c r="E421" s="4" t="str">
        <f>IFERROR(__xludf.DUMMYFUNCTION("""COMPUTED_VALUE"""),"")</f>
        <v/>
      </c>
      <c r="F421" s="4" t="str">
        <f>IFERROR(__xludf.DUMMYFUNCTION("""COMPUTED_VALUE"""),"2019/11/07 10:15:00")</f>
        <v>2019/11/07 10:15:00</v>
      </c>
      <c r="G421" s="4" t="str">
        <f>IFERROR(__xludf.DUMMYFUNCTION("""COMPUTED_VALUE"""),"2019/11/07 16:00:00")</f>
        <v>2019/11/07 16:00:00</v>
      </c>
      <c r="H421" s="4" t="str">
        <f>IFERROR(__xludf.DUMMYFUNCTION("""COMPUTED_VALUE"""),"be166a9e-6c6c-445c-b7f1-92e8e79933d3")</f>
        <v>be166a9e-6c6c-445c-b7f1-92e8e79933d3</v>
      </c>
      <c r="I421" s="4" t="str">
        <f>IFERROR(__xludf.DUMMYFUNCTION("""COMPUTED_VALUE"""),"be166a9e-6c6c-445c-b7f1-92e8e79933d3")</f>
        <v>be166a9e-6c6c-445c-b7f1-92e8e79933d3</v>
      </c>
    </row>
    <row r="422">
      <c r="A422" s="4" t="str">
        <f>IFERROR(__xludf.DUMMYFUNCTION("""COMPUTED_VALUE"""),"Europe's next tech titan")</f>
        <v>Europe's next tech titan</v>
      </c>
      <c r="B422" s="4" t="str">
        <f>IFERROR(__xludf.DUMMYFUNCTION("""COMPUTED_VALUE"""),"Access to capital has improved hugely in Europe, combined with continued ambition, a constant reinvention of the product and a willingness to embrace risk, is it enough to take the Spotifys, Farfetchs and Adyens of Europe to a scale that can rival the Ube"&amp;"rs and Facebooks of Silicon Valley?")</f>
        <v>Access to capital has improved hugely in Europe, combined with continued ambition, a constant reinvention of the product and a willingness to embrace risk, is it enough to take the Spotifys, Farfetchs and Adyens of Europe to a scale that can rival the Ubers and Facebooks of Silicon Valley?</v>
      </c>
      <c r="C422" s="4" t="str">
        <f>IFERROR(__xludf.DUMMYFUNCTION("""COMPUTED_VALUE"""),"Venture stage")</f>
        <v>Venture stage</v>
      </c>
      <c r="D422" s="4" t="str">
        <f>IFERROR(__xludf.DUMMYFUNCTION("""COMPUTED_VALUE"""),"Manish Madhvani")</f>
        <v>Manish Madhvani</v>
      </c>
      <c r="E422" s="4" t="str">
        <f>IFERROR(__xludf.DUMMYFUNCTION("""COMPUTED_VALUE"""),"Manish Madhvani")</f>
        <v>Manish Madhvani</v>
      </c>
      <c r="F422" s="4" t="str">
        <f>IFERROR(__xludf.DUMMYFUNCTION("""COMPUTED_VALUE"""),"2019/11/07 11:35:00")</f>
        <v>2019/11/07 11:35:00</v>
      </c>
      <c r="G422" s="4" t="str">
        <f>IFERROR(__xludf.DUMMYFUNCTION("""COMPUTED_VALUE"""),"2019/11/07 11:55:00")</f>
        <v>2019/11/07 11:55:00</v>
      </c>
      <c r="H422" s="4" t="str">
        <f>IFERROR(__xludf.DUMMYFUNCTION("""COMPUTED_VALUE"""),"203e4603-9cbb-4f30-9291-0c3e5e63df4e")</f>
        <v>203e4603-9cbb-4f30-9291-0c3e5e63df4e</v>
      </c>
      <c r="I422" s="4" t="str">
        <f>IFERROR(__xludf.DUMMYFUNCTION("""COMPUTED_VALUE"""),"203e4603-9cbb-4f30-9291-0c3e5e63df4e")</f>
        <v>203e4603-9cbb-4f30-9291-0c3e5e63df4e</v>
      </c>
    </row>
    <row r="423">
      <c r="A423" s="4" t="str">
        <f>IFERROR(__xludf.DUMMYFUNCTION("""COMPUTED_VALUE"""),"Reimagining healthcare: Why incentives matter")</f>
        <v>Reimagining healthcare: Why incentives matter</v>
      </c>
      <c r="B423" s="4" t="str">
        <f>IFERROR(__xludf.DUMMYFUNCTION("""COMPUTED_VALUE"""),"Joe is the CEO of Karuna Health, a startup giving every patient a guide in the healthcare system. Why work in healthcare? Why now? What role will regulation and incentives play in shaping your success or failure? Want your work to make a difference? This "&amp;"is the conversation to join.")</f>
        <v>Joe is the CEO of Karuna Health, a startup giving every patient a guide in the healthcare system. Why work in healthcare? Why now? What role will regulation and incentives play in shaping your success or failure? Want your work to make a difference? This is the conversation to join.</v>
      </c>
      <c r="C423" s="4" t="str">
        <f>IFERROR(__xludf.DUMMYFUNCTION("""COMPUTED_VALUE"""),"Growth Summit")</f>
        <v>Growth Summit</v>
      </c>
      <c r="D423" s="4" t="str">
        <f>IFERROR(__xludf.DUMMYFUNCTION("""COMPUTED_VALUE"""),"Joe Kahn")</f>
        <v>Joe Kahn</v>
      </c>
      <c r="E423" s="4" t="str">
        <f>IFERROR(__xludf.DUMMYFUNCTION("""COMPUTED_VALUE"""),"Joe Kahn")</f>
        <v>Joe Kahn</v>
      </c>
      <c r="F423" s="4" t="str">
        <f>IFERROR(__xludf.DUMMYFUNCTION("""COMPUTED_VALUE"""),"2019/11/05 10:42:00")</f>
        <v>2019/11/05 10:42:00</v>
      </c>
      <c r="G423" s="4" t="str">
        <f>IFERROR(__xludf.DUMMYFUNCTION("""COMPUTED_VALUE"""),"2019/11/05 10:46:00")</f>
        <v>2019/11/05 10:46:00</v>
      </c>
      <c r="H423" s="4" t="str">
        <f>IFERROR(__xludf.DUMMYFUNCTION("""COMPUTED_VALUE"""),"e7c4b4fe-1c4f-42ed-9a4e-d2e4b31edbaf")</f>
        <v>e7c4b4fe-1c4f-42ed-9a4e-d2e4b31edbaf</v>
      </c>
      <c r="I423" s="4" t="str">
        <f>IFERROR(__xludf.DUMMYFUNCTION("""COMPUTED_VALUE"""),"e7c4b4fe-1c4f-42ed-9a4e-d2e4b31edbaf")</f>
        <v>e7c4b4fe-1c4f-42ed-9a4e-d2e4b31edbaf</v>
      </c>
    </row>
    <row r="424">
      <c r="A424" s="4" t="str">
        <f>IFERROR(__xludf.DUMMYFUNCTION("""COMPUTED_VALUE"""),"Hello digital, goodbye friction: How an iconic American retailer has “gone tech”")</f>
        <v>Hello digital, goodbye friction: How an iconic American retailer has “gone tech”</v>
      </c>
      <c r="B424" s="4" t="str">
        <f>IFERROR(__xludf.DUMMYFUNCTION("""COMPUTED_VALUE"""),"Sam's Club, the membership warehouse arm of retail giant Walmart, is undergoing the greatest transformation in its history. As technology continues to change the way consumers interact with retailers, we delve into the journey of one of the industry’s mos"&amp;"t talked about evolutions")</f>
        <v>Sam's Club, the membership warehouse arm of retail giant Walmart, is undergoing the greatest transformation in its history. As technology continues to change the way consumers interact with retailers, we delve into the journey of one of the industry’s most talked about evolutions</v>
      </c>
      <c r="C424" s="4" t="str">
        <f>IFERROR(__xludf.DUMMYFUNCTION("""COMPUTED_VALUE"""),"Corporate Innovation Summit")</f>
        <v>Corporate Innovation Summit</v>
      </c>
      <c r="D424" s="4" t="str">
        <f>IFERROR(__xludf.DUMMYFUNCTION("""COMPUTED_VALUE"""),"Jamie Iannone and Alyssa Newcomb")</f>
        <v>Jamie Iannone and Alyssa Newcomb</v>
      </c>
      <c r="E424" s="4" t="str">
        <f>IFERROR(__xludf.DUMMYFUNCTION("""COMPUTED_VALUE"""),"Jamie Iannone,Alyssa Newcomb")</f>
        <v>Jamie Iannone,Alyssa Newcomb</v>
      </c>
      <c r="F424" s="4" t="str">
        <f>IFERROR(__xludf.DUMMYFUNCTION("""COMPUTED_VALUE"""),"2019/11/06 10:30:00")</f>
        <v>2019/11/06 10:30:00</v>
      </c>
      <c r="G424" s="4" t="str">
        <f>IFERROR(__xludf.DUMMYFUNCTION("""COMPUTED_VALUE"""),"2019/11/06 10:45:00")</f>
        <v>2019/11/06 10:45:00</v>
      </c>
      <c r="H424" s="4" t="str">
        <f>IFERROR(__xludf.DUMMYFUNCTION("""COMPUTED_VALUE"""),"d2214fc6-73d6-4763-a9b6-9af196749714")</f>
        <v>d2214fc6-73d6-4763-a9b6-9af196749714</v>
      </c>
      <c r="I424" s="4" t="str">
        <f>IFERROR(__xludf.DUMMYFUNCTION("""COMPUTED_VALUE"""),"d2214fc6-73d6-4763-a9b6-9af196749714")</f>
        <v>d2214fc6-73d6-4763-a9b6-9af196749714</v>
      </c>
    </row>
    <row r="425">
      <c r="A425" s="4" t="str">
        <f>IFERROR(__xludf.DUMMYFUNCTION("""COMPUTED_VALUE"""),"Bootstrapping creativity: Leading a creative team ")</f>
        <v>Bootstrapping creativity: Leading a creative team </v>
      </c>
      <c r="B425" s="4" t="str">
        <f>IFERROR(__xludf.DUMMYFUNCTION("""COMPUTED_VALUE"""),"In a world where content is king: The company behind viral sensation Baby Shark, an award winning studio, and theleading creative tools provider talk about how to toe the line between creative freedom, and paying the bills.")</f>
        <v>In a world where content is king: The company behind viral sensation Baby Shark, an award winning studio, and theleading creative tools provider talk about how to toe the line between creative freedom, and paying the bills.</v>
      </c>
      <c r="C425" s="4" t="str">
        <f>IFERROR(__xludf.DUMMYFUNCTION("""COMPUTED_VALUE"""),"Startup University")</f>
        <v>Startup University</v>
      </c>
      <c r="D425" s="4" t="str">
        <f>IFERROR(__xludf.DUMMYFUNCTION("""COMPUTED_VALUE"""),"Ryan Lee, Margaret Molloy, Georg Petschnigg and Stewart Rogers")</f>
        <v>Ryan Lee, Margaret Molloy, Georg Petschnigg and Stewart Rogers</v>
      </c>
      <c r="E425" s="4" t="str">
        <f>IFERROR(__xludf.DUMMYFUNCTION("""COMPUTED_VALUE"""),"Ryan Lee,Margaret Molloy,Georg Petschnigg,Stewart Rogers")</f>
        <v>Ryan Lee,Margaret Molloy,Georg Petschnigg,Stewart Rogers</v>
      </c>
      <c r="F425" s="4" t="str">
        <f>IFERROR(__xludf.DUMMYFUNCTION("""COMPUTED_VALUE"""),"2019/11/05 14:40:00")</f>
        <v>2019/11/05 14:40:00</v>
      </c>
      <c r="G425" s="4" t="str">
        <f>IFERROR(__xludf.DUMMYFUNCTION("""COMPUTED_VALUE"""),"2019/11/05 15:05:00")</f>
        <v>2019/11/05 15:05:00</v>
      </c>
      <c r="H425" s="4" t="str">
        <f>IFERROR(__xludf.DUMMYFUNCTION("""COMPUTED_VALUE"""),"c69a7e17-e921-4bac-99f6-4982eb059f6b")</f>
        <v>c69a7e17-e921-4bac-99f6-4982eb059f6b</v>
      </c>
      <c r="I425" s="4" t="str">
        <f>IFERROR(__xludf.DUMMYFUNCTION("""COMPUTED_VALUE"""),"c69a7e17-e921-4bac-99f6-4982eb059f6b")</f>
        <v>c69a7e17-e921-4bac-99f6-4982eb059f6b</v>
      </c>
    </row>
    <row r="426">
      <c r="A426" s="4" t="str">
        <f>IFERROR(__xludf.DUMMYFUNCTION("""COMPUTED_VALUE"""),"Inside Facebook’s SaaS company")</f>
        <v>Inside Facebook’s SaaS company</v>
      </c>
      <c r="B426" s="4" t="str">
        <f>IFERROR(__xludf.DUMMYFUNCTION("""COMPUTED_VALUE"""),"Enterprise collaboration, communication and laying the groundwork for the future world of work is becoming increasingly important to businesses of all sizes. Facebook's Workplace Global Head, Julien Codorniou, discusses why Facebook is moving into the ent"&amp;"erprise SaaS industry ")</f>
        <v>Enterprise collaboration, communication and laying the groundwork for the future world of work is becoming increasingly important to businesses of all sizes. Facebook's Workplace Global Head, Julien Codorniou, discusses why Facebook is moving into the enterprise SaaS industry </v>
      </c>
      <c r="C426" s="4" t="str">
        <f>IFERROR(__xludf.DUMMYFUNCTION("""COMPUTED_VALUE"""),"SaaS Monster")</f>
        <v>SaaS Monster</v>
      </c>
      <c r="D426" s="4" t="str">
        <f>IFERROR(__xludf.DUMMYFUNCTION("""COMPUTED_VALUE"""),"Julien Codorniou and Elizabeth Schulze")</f>
        <v>Julien Codorniou and Elizabeth Schulze</v>
      </c>
      <c r="E426" s="4" t="str">
        <f>IFERROR(__xludf.DUMMYFUNCTION("""COMPUTED_VALUE"""),"Julien Codorniou,Elizabeth Schulze")</f>
        <v>Julien Codorniou,Elizabeth Schulze</v>
      </c>
      <c r="F426" s="4" t="str">
        <f>IFERROR(__xludf.DUMMYFUNCTION("""COMPUTED_VALUE"""),"2019/11/05 10:50:00")</f>
        <v>2019/11/05 10:50:00</v>
      </c>
      <c r="G426" s="4" t="str">
        <f>IFERROR(__xludf.DUMMYFUNCTION("""COMPUTED_VALUE"""),"2019/11/05 11:10:00")</f>
        <v>2019/11/05 11:10:00</v>
      </c>
      <c r="H426" s="4" t="str">
        <f>IFERROR(__xludf.DUMMYFUNCTION("""COMPUTED_VALUE"""),"39212513-fefc-4de6-8644-66f905489c46")</f>
        <v>39212513-fefc-4de6-8644-66f905489c46</v>
      </c>
      <c r="I426" s="4" t="str">
        <f>IFERROR(__xludf.DUMMYFUNCTION("""COMPUTED_VALUE"""),"39212513-fefc-4de6-8644-66f905489c46")</f>
        <v>39212513-fefc-4de6-8644-66f905489c46</v>
      </c>
    </row>
    <row r="427">
      <c r="A427" s="4" t="str">
        <f>IFERROR(__xludf.DUMMYFUNCTION("""COMPUTED_VALUE"""),"How to be a leader in the autotech space")</f>
        <v>How to be a leader in the autotech space</v>
      </c>
      <c r="B427" s="4" t="str">
        <f>IFERROR(__xludf.DUMMYFUNCTION("""COMPUTED_VALUE"""),"What does it take to get a billion dollar auto company off the ground in Europe? Let's find out.")</f>
        <v>What does it take to get a billion dollar auto company off the ground in Europe? Let's find out.</v>
      </c>
      <c r="C427" s="4" t="str">
        <f>IFERROR(__xludf.DUMMYFUNCTION("""COMPUTED_VALUE"""),"Auto/Tech &amp; TalkRobot")</f>
        <v>Auto/Tech &amp; TalkRobot</v>
      </c>
      <c r="D427" s="4" t="str">
        <f>IFERROR(__xludf.DUMMYFUNCTION("""COMPUTED_VALUE"""),"Corinne Vigreux, Nicolas Brusson and Jonathan Weber")</f>
        <v>Corinne Vigreux, Nicolas Brusson and Jonathan Weber</v>
      </c>
      <c r="E427" s="4" t="str">
        <f>IFERROR(__xludf.DUMMYFUNCTION("""COMPUTED_VALUE"""),"Corinne Vigreux,Nicolas Brusson,Jonathan Weber")</f>
        <v>Corinne Vigreux,Nicolas Brusson,Jonathan Weber</v>
      </c>
      <c r="F427" s="4" t="str">
        <f>IFERROR(__xludf.DUMMYFUNCTION("""COMPUTED_VALUE"""),"2019/11/05 15:45:00")</f>
        <v>2019/11/05 15:45:00</v>
      </c>
      <c r="G427" s="4" t="str">
        <f>IFERROR(__xludf.DUMMYFUNCTION("""COMPUTED_VALUE"""),"2019/11/05 16:05:00")</f>
        <v>2019/11/05 16:05:00</v>
      </c>
      <c r="H427" s="4" t="str">
        <f>IFERROR(__xludf.DUMMYFUNCTION("""COMPUTED_VALUE"""),"cfe33ce2-e349-4ac0-bee4-a1132de86dd3")</f>
        <v>cfe33ce2-e349-4ac0-bee4-a1132de86dd3</v>
      </c>
      <c r="I427" s="4" t="str">
        <f>IFERROR(__xludf.DUMMYFUNCTION("""COMPUTED_VALUE"""),"cfe33ce2-e349-4ac0-bee4-a1132de86dd3")</f>
        <v>cfe33ce2-e349-4ac0-bee4-a1132de86dd3</v>
      </c>
    </row>
    <row r="428">
      <c r="A428" s="4" t="str">
        <f>IFERROR(__xludf.DUMMYFUNCTION("""COMPUTED_VALUE"""),"The age of AI: Promises and challenges")</f>
        <v>The age of AI: Promises and challenges</v>
      </c>
      <c r="B428" s="4" t="str">
        <f>IFERROR(__xludf.DUMMYFUNCTION("""COMPUTED_VALUE"""),"Over the next 20 years, AI will enable unprecedented advancement in areas like healthcare, agriculture, education and transportation. But how do we ensure that AI is designed and used responsibly, establishing ethical principles to protect people? How sho"&amp;"uld we govern its use? And how will AI impact employment and jobs?")</f>
        <v>Over the next 20 years, AI will enable unprecedented advancement in areas like healthcare, agriculture, education and transportation. But how do we ensure that AI is designed and used responsibly, establishing ethical principles to protect people? How should we govern its use? And how will AI impact employment and jobs?</v>
      </c>
      <c r="C428" s="4" t="str">
        <f>IFERROR(__xludf.DUMMYFUNCTION("""COMPUTED_VALUE"""),"SaaS Monster")</f>
        <v>SaaS Monster</v>
      </c>
      <c r="D428" s="4" t="str">
        <f>IFERROR(__xludf.DUMMYFUNCTION("""COMPUTED_VALUE"""),"Brad Smith and Sara Fischer")</f>
        <v>Brad Smith and Sara Fischer</v>
      </c>
      <c r="E428" s="4" t="str">
        <f>IFERROR(__xludf.DUMMYFUNCTION("""COMPUTED_VALUE"""),"Brad Smith,Sara Fischer")</f>
        <v>Brad Smith,Sara Fischer</v>
      </c>
      <c r="F428" s="4" t="str">
        <f>IFERROR(__xludf.DUMMYFUNCTION("""COMPUTED_VALUE"""),"2019/11/05 15:25:00")</f>
        <v>2019/11/05 15:25:00</v>
      </c>
      <c r="G428" s="4" t="str">
        <f>IFERROR(__xludf.DUMMYFUNCTION("""COMPUTED_VALUE"""),"2019/11/05 15:45:00")</f>
        <v>2019/11/05 15:45:00</v>
      </c>
      <c r="H428" s="4" t="str">
        <f>IFERROR(__xludf.DUMMYFUNCTION("""COMPUTED_VALUE"""),"e7124751-1822-4351-9321-5e8fc558b281")</f>
        <v>e7124751-1822-4351-9321-5e8fc558b281</v>
      </c>
      <c r="I428" s="4" t="str">
        <f>IFERROR(__xludf.DUMMYFUNCTION("""COMPUTED_VALUE"""),"e7124751-1822-4351-9321-5e8fc558b281")</f>
        <v>e7124751-1822-4351-9321-5e8fc558b281</v>
      </c>
    </row>
    <row r="429">
      <c r="A429" s="4" t="str">
        <f>IFERROR(__xludf.DUMMYFUNCTION("""COMPUTED_VALUE"""),"How do we overcome the gender gap?")</f>
        <v>How do we overcome the gender gap?</v>
      </c>
      <c r="B429" s="4" t="str">
        <f>IFERROR(__xludf.DUMMYFUNCTION("""COMPUTED_VALUE"""),"In spite of the progress made in recent years, the gender gap remains an unacceptably large chasm. Women are still paid less, they are promoted less, and there are fewer women in management roles across industries. In this session three incredibly influen"&amp;"tial women will discuss how they view what needs to be done in order to eradicate the gender gap once and for all.")</f>
        <v>In spite of the progress made in recent years, the gender gap remains an unacceptably large chasm. Women are still paid less, they are promoted less, and there are fewer women in management roles across industries. In this session three incredibly influential women will discuss how they view what needs to be done in order to eradicate the gender gap once and for all.</v>
      </c>
      <c r="C429" s="4" t="str">
        <f>IFERROR(__xludf.DUMMYFUNCTION("""COMPUTED_VALUE"""),"Future Societies")</f>
        <v>Future Societies</v>
      </c>
      <c r="D429" s="4" t="str">
        <f>IFERROR(__xludf.DUMMYFUNCTION("""COMPUTED_VALUE"""),"Sue Allchurch, Paige VanZant, Michelle Fang and Dima Khatib")</f>
        <v>Sue Allchurch, Paige VanZant, Michelle Fang and Dima Khatib</v>
      </c>
      <c r="E429" s="4" t="str">
        <f>IFERROR(__xludf.DUMMYFUNCTION("""COMPUTED_VALUE"""),"Sue Allchurch,Paige VanZant,Michelle Fang,Dima Khatib")</f>
        <v>Sue Allchurch,Paige VanZant,Michelle Fang,Dima Khatib</v>
      </c>
      <c r="F429" s="4" t="str">
        <f>IFERROR(__xludf.DUMMYFUNCTION("""COMPUTED_VALUE"""),"2019/11/06 10:30:00")</f>
        <v>2019/11/06 10:30:00</v>
      </c>
      <c r="G429" s="4" t="str">
        <f>IFERROR(__xludf.DUMMYFUNCTION("""COMPUTED_VALUE"""),"2019/11/06 10:50:00")</f>
        <v>2019/11/06 10:50:00</v>
      </c>
      <c r="H429" s="4" t="str">
        <f>IFERROR(__xludf.DUMMYFUNCTION("""COMPUTED_VALUE"""),"2a62e204-02e7-446f-9c76-73cb7961cb2b")</f>
        <v>2a62e204-02e7-446f-9c76-73cb7961cb2b</v>
      </c>
      <c r="I429" s="4" t="str">
        <f>IFERROR(__xludf.DUMMYFUNCTION("""COMPUTED_VALUE"""),"2a62e204-02e7-446f-9c76-73cb7961cb2b")</f>
        <v>2a62e204-02e7-446f-9c76-73cb7961cb2b</v>
      </c>
    </row>
    <row r="430">
      <c r="A430" s="4" t="str">
        <f>IFERROR(__xludf.DUMMYFUNCTION("""COMPUTED_VALUE"""),"How to spend money and save people")</f>
        <v>How to spend money and save people</v>
      </c>
      <c r="B430" s="4" t="str">
        <f>IFERROR(__xludf.DUMMYFUNCTION("""COMPUTED_VALUE"""),"Giving money to charity is all well and good, but ensuring that money has a positive impact is another. In this session we will learn about how to best position your philanthropic donations to maximise their impact. Make sure you get maximum bang for your"&amp;" buck.")</f>
        <v>Giving money to charity is all well and good, but ensuring that money has a positive impact is another. In this session we will learn about how to best position your philanthropic donations to maximise their impact. Make sure you get maximum bang for your buck.</v>
      </c>
      <c r="C430" s="4" t="str">
        <f>IFERROR(__xludf.DUMMYFUNCTION("""COMPUTED_VALUE"""),"Future Societies")</f>
        <v>Future Societies</v>
      </c>
      <c r="D430" s="4" t="str">
        <f>IFERROR(__xludf.DUMMYFUNCTION("""COMPUTED_VALUE"""),"Natalie Cargill, Liv Boeree, Danielle Gram and Joon Ian Wong")</f>
        <v>Natalie Cargill, Liv Boeree, Danielle Gram and Joon Ian Wong</v>
      </c>
      <c r="E430" s="4" t="str">
        <f>IFERROR(__xludf.DUMMYFUNCTION("""COMPUTED_VALUE"""),"Natalie Cargill,Liv Boeree,Danielle Gram,Joon Ian Wong")</f>
        <v>Natalie Cargill,Liv Boeree,Danielle Gram,Joon Ian Wong</v>
      </c>
      <c r="F430" s="4" t="str">
        <f>IFERROR(__xludf.DUMMYFUNCTION("""COMPUTED_VALUE"""),"2019/11/06 14:15:00")</f>
        <v>2019/11/06 14:15:00</v>
      </c>
      <c r="G430" s="4" t="str">
        <f>IFERROR(__xludf.DUMMYFUNCTION("""COMPUTED_VALUE"""),"2019/11/06 14:35:00")</f>
        <v>2019/11/06 14:35:00</v>
      </c>
      <c r="H430" s="4" t="str">
        <f>IFERROR(__xludf.DUMMYFUNCTION("""COMPUTED_VALUE"""),"1aadbb27-922d-4b4a-87b9-ae65a8abc066")</f>
        <v>1aadbb27-922d-4b4a-87b9-ae65a8abc066</v>
      </c>
      <c r="I430" s="4" t="str">
        <f>IFERROR(__xludf.DUMMYFUNCTION("""COMPUTED_VALUE"""),"1aadbb27-922d-4b4a-87b9-ae65a8abc066")</f>
        <v>1aadbb27-922d-4b4a-87b9-ae65a8abc066</v>
      </c>
    </row>
    <row r="431">
      <c r="A431" s="4" t="str">
        <f>IFERROR(__xludf.DUMMYFUNCTION("""COMPUTED_VALUE"""),"Opening remarks ")</f>
        <v>Opening remarks </v>
      </c>
      <c r="B431" s="4" t="str">
        <f>IFERROR(__xludf.DUMMYFUNCTION("""COMPUTED_VALUE"""),"")</f>
        <v/>
      </c>
      <c r="C431" s="4" t="str">
        <f>IFERROR(__xludf.DUMMYFUNCTION("""COMPUTED_VALUE"""),"Startup University")</f>
        <v>Startup University</v>
      </c>
      <c r="D431" s="4" t="str">
        <f>IFERROR(__xludf.DUMMYFUNCTION("""COMPUTED_VALUE"""),"Natalie Monbiot")</f>
        <v>Natalie Monbiot</v>
      </c>
      <c r="E431" s="4" t="str">
        <f>IFERROR(__xludf.DUMMYFUNCTION("""COMPUTED_VALUE"""),"Natalie Monbiot")</f>
        <v>Natalie Monbiot</v>
      </c>
      <c r="F431" s="4" t="str">
        <f>IFERROR(__xludf.DUMMYFUNCTION("""COMPUTED_VALUE"""),"2019/11/05 13:45:00")</f>
        <v>2019/11/05 13:45:00</v>
      </c>
      <c r="G431" s="4" t="str">
        <f>IFERROR(__xludf.DUMMYFUNCTION("""COMPUTED_VALUE"""),"2019/11/05 14:00:00")</f>
        <v>2019/11/05 14:00:00</v>
      </c>
      <c r="H431" s="4" t="str">
        <f>IFERROR(__xludf.DUMMYFUNCTION("""COMPUTED_VALUE"""),"4652c0b0-9b47-49fd-b0a6-fc1b237b7b09")</f>
        <v>4652c0b0-9b47-49fd-b0a6-fc1b237b7b09</v>
      </c>
      <c r="I431" s="4" t="str">
        <f>IFERROR(__xludf.DUMMYFUNCTION("""COMPUTED_VALUE"""),"4652c0b0-9b47-49fd-b0a6-fc1b237b7b09")</f>
        <v>4652c0b0-9b47-49fd-b0a6-fc1b237b7b09</v>
      </c>
    </row>
    <row r="432">
      <c r="A432" s="4" t="str">
        <f>IFERROR(__xludf.DUMMYFUNCTION("""COMPUTED_VALUE"""),"Why do we need money?")</f>
        <v>Why do we need money?</v>
      </c>
      <c r="B432" s="4" t="str">
        <f>IFERROR(__xludf.DUMMYFUNCTION("""COMPUTED_VALUE"""),"With the world's underbanked under the global spotlight, there's never been a better time to back fintech. Add to that the emerging possibility of a tech-led world without currency. What's the future of money? Or is there one?")</f>
        <v>With the world's underbanked under the global spotlight, there's never been a better time to back fintech. Add to that the emerging possibility of a tech-led world without currency. What's the future of money? Or is there one?</v>
      </c>
      <c r="C432" s="4" t="str">
        <f>IFERROR(__xludf.DUMMYFUNCTION("""COMPUTED_VALUE"""),"Venture stage")</f>
        <v>Venture stage</v>
      </c>
      <c r="D432" s="4" t="str">
        <f>IFERROR(__xludf.DUMMYFUNCTION("""COMPUTED_VALUE"""),"Simon Schmincke, Tara Reeves, Tim Levene and Joon Ian Wong")</f>
        <v>Simon Schmincke, Tara Reeves, Tim Levene and Joon Ian Wong</v>
      </c>
      <c r="E432" s="4" t="str">
        <f>IFERROR(__xludf.DUMMYFUNCTION("""COMPUTED_VALUE"""),"Simon Schmincke,Tara Reeves,Tim Levene,Joon Ian Wong")</f>
        <v>Simon Schmincke,Tara Reeves,Tim Levene,Joon Ian Wong</v>
      </c>
      <c r="F432" s="4" t="str">
        <f>IFERROR(__xludf.DUMMYFUNCTION("""COMPUTED_VALUE"""),"2019/11/07 15:00:00")</f>
        <v>2019/11/07 15:00:00</v>
      </c>
      <c r="G432" s="4" t="str">
        <f>IFERROR(__xludf.DUMMYFUNCTION("""COMPUTED_VALUE"""),"2019/11/07 15:20:00")</f>
        <v>2019/11/07 15:20:00</v>
      </c>
      <c r="H432" s="4" t="str">
        <f>IFERROR(__xludf.DUMMYFUNCTION("""COMPUTED_VALUE"""),"65397b2d-34eb-419a-8b4f-bc5ad34ae362")</f>
        <v>65397b2d-34eb-419a-8b4f-bc5ad34ae362</v>
      </c>
      <c r="I432" s="4" t="str">
        <f>IFERROR(__xludf.DUMMYFUNCTION("""COMPUTED_VALUE"""),"65397b2d-34eb-419a-8b4f-bc5ad34ae362")</f>
        <v>65397b2d-34eb-419a-8b4f-bc5ad34ae362</v>
      </c>
    </row>
    <row r="433">
      <c r="A433" s="4" t="str">
        <f>IFERROR(__xludf.DUMMYFUNCTION("""COMPUTED_VALUE"""),"Making it better: Good disruptions")</f>
        <v>Making it better: Good disruptions</v>
      </c>
      <c r="B433" s="4" t="str">
        <f>IFERROR(__xludf.DUMMYFUNCTION("""COMPUTED_VALUE"""),"Whoever holds the gold makes the rules. Cash rich investors decide what opportunities and ideas get the green light and which go to idea heaven. This session explores the heavy burden to make the right choices for our collective future.")</f>
        <v>Whoever holds the gold makes the rules. Cash rich investors decide what opportunities and ideas get the green light and which go to idea heaven. This session explores the heavy burden to make the right choices for our collective future.</v>
      </c>
      <c r="C433" s="4" t="str">
        <f>IFERROR(__xludf.DUMMYFUNCTION("""COMPUTED_VALUE"""),"Venture stage")</f>
        <v>Venture stage</v>
      </c>
      <c r="D433" s="4" t="str">
        <f>IFERROR(__xludf.DUMMYFUNCTION("""COMPUTED_VALUE"""),"Saul Klein, Christian Nagel, Jalak Jobanputra, Marcelo de Andrade and Caleb Silver")</f>
        <v>Saul Klein, Christian Nagel, Jalak Jobanputra, Marcelo de Andrade and Caleb Silver</v>
      </c>
      <c r="E433" s="4" t="str">
        <f>IFERROR(__xludf.DUMMYFUNCTION("""COMPUTED_VALUE"""),"Saul Klein,Christian Nagel,Jalak Jobanputra,Marcelo de Andrade,Caleb Silver")</f>
        <v>Saul Klein,Christian Nagel,Jalak Jobanputra,Marcelo de Andrade,Caleb Silver</v>
      </c>
      <c r="F433" s="4" t="str">
        <f>IFERROR(__xludf.DUMMYFUNCTION("""COMPUTED_VALUE"""),"2019/11/05 15:05:00")</f>
        <v>2019/11/05 15:05:00</v>
      </c>
      <c r="G433" s="4" t="str">
        <f>IFERROR(__xludf.DUMMYFUNCTION("""COMPUTED_VALUE"""),"2019/11/05 15:30:00")</f>
        <v>2019/11/05 15:30:00</v>
      </c>
      <c r="H433" s="4" t="str">
        <f>IFERROR(__xludf.DUMMYFUNCTION("""COMPUTED_VALUE"""),"072c453e-222b-4754-bf9a-7acbfc6777da")</f>
        <v>072c453e-222b-4754-bf9a-7acbfc6777da</v>
      </c>
      <c r="I433" s="4" t="str">
        <f>IFERROR(__xludf.DUMMYFUNCTION("""COMPUTED_VALUE"""),"072c453e-222b-4754-bf9a-7acbfc6777da")</f>
        <v>072c453e-222b-4754-bf9a-7acbfc6777da</v>
      </c>
    </row>
    <row r="434">
      <c r="A434" s="4" t="str">
        <f>IFERROR(__xludf.DUMMYFUNCTION("""COMPUTED_VALUE"""),"Beyond the Hype: Getting in flow after CryptoKitties")</f>
        <v>Beyond the Hype: Getting in flow after CryptoKitties</v>
      </c>
      <c r="B434" s="4" t="str">
        <f>IFERROR(__xludf.DUMMYFUNCTION("""COMPUTED_VALUE"""),"Blockchain is one of the most misunderstood waves of emerging technology. Roham discusses Dapper Labs' business-building approach on this new platform and the opportunities developers and entrepreneurs can unlock in the next year.")</f>
        <v>Blockchain is one of the most misunderstood waves of emerging technology. Roham discusses Dapper Labs' business-building approach on this new platform and the opportunities developers and entrepreneurs can unlock in the next year.</v>
      </c>
      <c r="C434" s="4" t="str">
        <f>IFERROR(__xludf.DUMMYFUNCTION("""COMPUTED_VALUE"""),"Growth Summit")</f>
        <v>Growth Summit</v>
      </c>
      <c r="D434" s="4" t="str">
        <f>IFERROR(__xludf.DUMMYFUNCTION("""COMPUTED_VALUE"""),"Roham Gharegozlou")</f>
        <v>Roham Gharegozlou</v>
      </c>
      <c r="E434" s="4" t="str">
        <f>IFERROR(__xludf.DUMMYFUNCTION("""COMPUTED_VALUE"""),"Roham Gharegozlou")</f>
        <v>Roham Gharegozlou</v>
      </c>
      <c r="F434" s="4" t="str">
        <f>IFERROR(__xludf.DUMMYFUNCTION("""COMPUTED_VALUE"""),"2019/11/06 13:58:00")</f>
        <v>2019/11/06 13:58:00</v>
      </c>
      <c r="G434" s="4" t="str">
        <f>IFERROR(__xludf.DUMMYFUNCTION("""COMPUTED_VALUE"""),"2019/11/06 14:09:00")</f>
        <v>2019/11/06 14:09:00</v>
      </c>
      <c r="H434" s="4" t="str">
        <f>IFERROR(__xludf.DUMMYFUNCTION("""COMPUTED_VALUE"""),"30ca1ec0-026d-4add-9299-721bfb182a97")</f>
        <v>30ca1ec0-026d-4add-9299-721bfb182a97</v>
      </c>
      <c r="I434" s="4" t="str">
        <f>IFERROR(__xludf.DUMMYFUNCTION("""COMPUTED_VALUE"""),"30ca1ec0-026d-4add-9299-721bfb182a97")</f>
        <v>30ca1ec0-026d-4add-9299-721bfb182a97</v>
      </c>
    </row>
    <row r="435">
      <c r="A435" s="4" t="str">
        <f>IFERROR(__xludf.DUMMYFUNCTION("""COMPUTED_VALUE"""),"How to build digital relationships with your customers")</f>
        <v>How to build digital relationships with your customers</v>
      </c>
      <c r="B435" s="4" t="str">
        <f>IFERROR(__xludf.DUMMYFUNCTION("""COMPUTED_VALUE"""),"The way your business engages with customers sets it apart. Increasingly people want lasting, digital relationships with brands that work both ways. But for businesses, choosing the right channels to have conversations and grow digital communities is a ch"&amp;"allenge. Twilio and Branch talk with Don Clark about how to cultivate and maintain genuine digital relationships with customers.")</f>
        <v>The way your business engages with customers sets it apart. Increasingly people want lasting, digital relationships with brands that work both ways. But for businesses, choosing the right channels to have conversations and grow digital communities is a challenge. Twilio and Branch talk with Don Clark about how to cultivate and maintain genuine digital relationships with customers.</v>
      </c>
      <c r="C435" s="4" t="str">
        <f>IFERROR(__xludf.DUMMYFUNCTION("""COMPUTED_VALUE"""),"SaaS Monster")</f>
        <v>SaaS Monster</v>
      </c>
      <c r="D435" s="4" t="str">
        <f>IFERROR(__xludf.DUMMYFUNCTION("""COMPUTED_VALUE"""),"Sara Varni, Mada Seghete and Don Clark")</f>
        <v>Sara Varni, Mada Seghete and Don Clark</v>
      </c>
      <c r="E435" s="4" t="str">
        <f>IFERROR(__xludf.DUMMYFUNCTION("""COMPUTED_VALUE"""),"Sara Varni,Mada Seghete,Don Clark")</f>
        <v>Sara Varni,Mada Seghete,Don Clark</v>
      </c>
      <c r="F435" s="4" t="str">
        <f>IFERROR(__xludf.DUMMYFUNCTION("""COMPUTED_VALUE"""),"2019/11/06 12:25:00")</f>
        <v>2019/11/06 12:25:00</v>
      </c>
      <c r="G435" s="4" t="str">
        <f>IFERROR(__xludf.DUMMYFUNCTION("""COMPUTED_VALUE"""),"2019/11/06 12:45:00")</f>
        <v>2019/11/06 12:45:00</v>
      </c>
      <c r="H435" s="4" t="str">
        <f>IFERROR(__xludf.DUMMYFUNCTION("""COMPUTED_VALUE"""),"205f40c5-452b-41fd-aaef-c7f7f299720e")</f>
        <v>205f40c5-452b-41fd-aaef-c7f7f299720e</v>
      </c>
      <c r="I435" s="4" t="str">
        <f>IFERROR(__xludf.DUMMYFUNCTION("""COMPUTED_VALUE"""),"205f40c5-452b-41fd-aaef-c7f7f299720e")</f>
        <v>205f40c5-452b-41fd-aaef-c7f7f299720e</v>
      </c>
    </row>
    <row r="436">
      <c r="A436" s="4" t="str">
        <f>IFERROR(__xludf.DUMMYFUNCTION("""COMPUTED_VALUE"""),"Opening remarks")</f>
        <v>Opening remarks</v>
      </c>
      <c r="B436" s="4" t="str">
        <f>IFERROR(__xludf.DUMMYFUNCTION("""COMPUTED_VALUE"""),"")</f>
        <v/>
      </c>
      <c r="C436" s="4" t="str">
        <f>IFERROR(__xludf.DUMMYFUNCTION("""COMPUTED_VALUE"""),"SaaS Monster")</f>
        <v>SaaS Monster</v>
      </c>
      <c r="D436" s="4" t="str">
        <f>IFERROR(__xludf.DUMMYFUNCTION("""COMPUTED_VALUE"""),"Josh Holmes")</f>
        <v>Josh Holmes</v>
      </c>
      <c r="E436" s="4" t="str">
        <f>IFERROR(__xludf.DUMMYFUNCTION("""COMPUTED_VALUE"""),"Josh Holmes")</f>
        <v>Josh Holmes</v>
      </c>
      <c r="F436" s="4" t="str">
        <f>IFERROR(__xludf.DUMMYFUNCTION("""COMPUTED_VALUE"""),"2019/11/05 13:20:00")</f>
        <v>2019/11/05 13:20:00</v>
      </c>
      <c r="G436" s="4" t="str">
        <f>IFERROR(__xludf.DUMMYFUNCTION("""COMPUTED_VALUE"""),"2019/11/05 13:25:00")</f>
        <v>2019/11/05 13:25:00</v>
      </c>
      <c r="H436" s="4" t="str">
        <f>IFERROR(__xludf.DUMMYFUNCTION("""COMPUTED_VALUE"""),"9cc0570c-29d4-4b56-8620-8432dfc0cd5d")</f>
        <v>9cc0570c-29d4-4b56-8620-8432dfc0cd5d</v>
      </c>
      <c r="I436" s="4" t="str">
        <f>IFERROR(__xludf.DUMMYFUNCTION("""COMPUTED_VALUE"""),"9cc0570c-29d4-4b56-8620-8432dfc0cd5d")</f>
        <v>9cc0570c-29d4-4b56-8620-8432dfc0cd5d</v>
      </c>
    </row>
    <row r="437">
      <c r="A437" s="4" t="str">
        <f>IFERROR(__xludf.DUMMYFUNCTION("""COMPUTED_VALUE"""),"The bumpy journey to customer love")</f>
        <v>The bumpy journey to customer love</v>
      </c>
      <c r="B437" s="4" t="str">
        <f>IFERROR(__xludf.DUMMYFUNCTION("""COMPUTED_VALUE"""),"The linear path to customer growth is a lie. An honest look at the twists and turns it takes to build an award-winning product, from a company that’s raised $40m in venture capital backing.")</f>
        <v>The linear path to customer growth is a lie. An honest look at the twists and turns it takes to build an award-winning product, from a company that’s raised $40m in venture capital backing.</v>
      </c>
      <c r="C437" s="4" t="str">
        <f>IFERROR(__xludf.DUMMYFUNCTION("""COMPUTED_VALUE"""),"Growth Summit")</f>
        <v>Growth Summit</v>
      </c>
      <c r="D437" s="4" t="str">
        <f>IFERROR(__xludf.DUMMYFUNCTION("""COMPUTED_VALUE"""),"")</f>
        <v/>
      </c>
      <c r="E437" s="4" t="str">
        <f>IFERROR(__xludf.DUMMYFUNCTION("""COMPUTED_VALUE"""),"")</f>
        <v/>
      </c>
      <c r="F437" s="4" t="str">
        <f>IFERROR(__xludf.DUMMYFUNCTION("""COMPUTED_VALUE"""),"2019/11/07 12:30:00")</f>
        <v>2019/11/07 12:30:00</v>
      </c>
      <c r="G437" s="4" t="str">
        <f>IFERROR(__xludf.DUMMYFUNCTION("""COMPUTED_VALUE"""),"2019/11/07 12:41:00")</f>
        <v>2019/11/07 12:41:00</v>
      </c>
      <c r="H437" s="4" t="str">
        <f>IFERROR(__xludf.DUMMYFUNCTION("""COMPUTED_VALUE"""),"920af7c1-bb34-41bd-bd38-162683af9fd0")</f>
        <v>920af7c1-bb34-41bd-bd38-162683af9fd0</v>
      </c>
      <c r="I437" s="4" t="str">
        <f>IFERROR(__xludf.DUMMYFUNCTION("""COMPUTED_VALUE"""),"920af7c1-bb34-41bd-bd38-162683af9fd0")</f>
        <v>920af7c1-bb34-41bd-bd38-162683af9fd0</v>
      </c>
    </row>
    <row r="438">
      <c r="A438" s="4" t="str">
        <f>IFERROR(__xludf.DUMMYFUNCTION("""COMPUTED_VALUE"""),"Time to target a different audience?")</f>
        <v>Time to target a different audience?</v>
      </c>
      <c r="B438" s="4" t="str">
        <f>IFERROR(__xludf.DUMMYFUNCTION("""COMPUTED_VALUE"""),"Over 50s are one of the largest and wealthiest audiences, however very few tech companies choose to target them.  The co-founders of Lumen, the dating app for over 50s, talk about the realities of targeting an audience which neither of them are a part of,"&amp;" and the lessons they have learned.")</f>
        <v>Over 50s are one of the largest and wealthiest audiences, however very few tech companies choose to target them.  The co-founders of Lumen, the dating app for over 50s, talk about the realities of targeting an audience which neither of them are a part of, and the lessons they have learned.</v>
      </c>
      <c r="C438" s="4" t="str">
        <f>IFERROR(__xludf.DUMMYFUNCTION("""COMPUTED_VALUE"""),"Growth Summit")</f>
        <v>Growth Summit</v>
      </c>
      <c r="D438" s="4" t="str">
        <f>IFERROR(__xludf.DUMMYFUNCTION("""COMPUTED_VALUE"""),"Charly Lester and Antoine Argouges")</f>
        <v>Charly Lester and Antoine Argouges</v>
      </c>
      <c r="E438" s="4" t="str">
        <f>IFERROR(__xludf.DUMMYFUNCTION("""COMPUTED_VALUE"""),"Charly Lester,Antoine Argouges")</f>
        <v>Charly Lester,Antoine Argouges</v>
      </c>
      <c r="F438" s="4" t="str">
        <f>IFERROR(__xludf.DUMMYFUNCTION("""COMPUTED_VALUE"""),"2019/11/05 11:34:00")</f>
        <v>2019/11/05 11:34:00</v>
      </c>
      <c r="G438" s="4" t="str">
        <f>IFERROR(__xludf.DUMMYFUNCTION("""COMPUTED_VALUE"""),"2019/11/05 11:38:00")</f>
        <v>2019/11/05 11:38:00</v>
      </c>
      <c r="H438" s="4" t="str">
        <f>IFERROR(__xludf.DUMMYFUNCTION("""COMPUTED_VALUE"""),"90777261-6980-4f08-9728-d964e699ec1c")</f>
        <v>90777261-6980-4f08-9728-d964e699ec1c</v>
      </c>
      <c r="I438" s="4" t="str">
        <f>IFERROR(__xludf.DUMMYFUNCTION("""COMPUTED_VALUE"""),"90777261-6980-4f08-9728-d964e699ec1c")</f>
        <v>90777261-6980-4f08-9728-d964e699ec1c</v>
      </c>
    </row>
    <row r="439">
      <c r="A439" s="4" t="str">
        <f>IFERROR(__xludf.DUMMYFUNCTION("""COMPUTED_VALUE"""),"Breakout startups")</f>
        <v>Breakout startups</v>
      </c>
      <c r="B439" s="4" t="str">
        <f>IFERROR(__xludf.DUMMYFUNCTION("""COMPUTED_VALUE"""),"")</f>
        <v/>
      </c>
      <c r="C439" s="4" t="str">
        <f>IFERROR(__xludf.DUMMYFUNCTION("""COMPUTED_VALUE"""),"Centre Stage")</f>
        <v>Centre Stage</v>
      </c>
      <c r="D439" s="4" t="str">
        <f>IFERROR(__xludf.DUMMYFUNCTION("""COMPUTED_VALUE"""),"Spenser Skates, Ray Reddy, David Yovanno, Lupina Iturriaga, Sarah Nahm, Linn Tagesson and Polina Montano")</f>
        <v>Spenser Skates, Ray Reddy, David Yovanno, Lupina Iturriaga, Sarah Nahm, Linn Tagesson and Polina Montano</v>
      </c>
      <c r="E439" s="4" t="str">
        <f>IFERROR(__xludf.DUMMYFUNCTION("""COMPUTED_VALUE"""),"Spenser Skates,Ray Reddy,David Yovanno,Lupina Iturriaga,Sarah Nahm,Linn Tagesson,Polina Montano")</f>
        <v>Spenser Skates,Ray Reddy,David Yovanno,Lupina Iturriaga,Sarah Nahm,Linn Tagesson,Polina Montano</v>
      </c>
      <c r="F439" s="4" t="str">
        <f>IFERROR(__xludf.DUMMYFUNCTION("""COMPUTED_VALUE"""),"2019/11/06 13:10:00")</f>
        <v>2019/11/06 13:10:00</v>
      </c>
      <c r="G439" s="4" t="str">
        <f>IFERROR(__xludf.DUMMYFUNCTION("""COMPUTED_VALUE"""),"2019/11/06 13:45:00")</f>
        <v>2019/11/06 13:45:00</v>
      </c>
      <c r="H439" s="4" t="str">
        <f>IFERROR(__xludf.DUMMYFUNCTION("""COMPUTED_VALUE"""),"d514f782-9271-46f4-b677-86c60e79a5c2")</f>
        <v>d514f782-9271-46f4-b677-86c60e79a5c2</v>
      </c>
      <c r="I439" s="4" t="str">
        <f>IFERROR(__xludf.DUMMYFUNCTION("""COMPUTED_VALUE"""),"d514f782-9271-46f4-b677-86c60e79a5c2")</f>
        <v>d514f782-9271-46f4-b677-86c60e79a5c2</v>
      </c>
    </row>
    <row r="440">
      <c r="A440" s="4" t="str">
        <f>IFERROR(__xludf.DUMMYFUNCTION("""COMPUTED_VALUE"""),"Registration")</f>
        <v>Registration</v>
      </c>
      <c r="B440" s="4" t="str">
        <f>IFERROR(__xludf.DUMMYFUNCTION("""COMPUTED_VALUE"""),"Beat the queues and register at the airport. You can register from 7am to 3pm. All you need to do is head out of the terminal and follow the signs to our registration marquee. You’ll be done in a few minutes. 
Alternatively, you can register at the Alt"&amp;"ice Arena &amp; FIL in the main registration area from 8.30am to 5pm.
If you need more information about registration go to websummit.com/essentials/registration. ")</f>
        <v>Beat the queues and register at the airport. You can register from 7am to 3pm. All you need to do is head out of the terminal and follow the signs to our registration marquee. You’ll be done in a few minutes. 
Alternatively, you can register at the Altice Arena &amp; FIL in the main registration area from 8.30am to 5pm.
If you need more information about registration go to websummit.com/essentials/registration. </v>
      </c>
      <c r="C440" s="4" t="str">
        <f>IFERROR(__xludf.DUMMYFUNCTION("""COMPUTED_VALUE"""),"Registration")</f>
        <v>Registration</v>
      </c>
      <c r="D440" s="4" t="str">
        <f>IFERROR(__xludf.DUMMYFUNCTION("""COMPUTED_VALUE"""),"")</f>
        <v/>
      </c>
      <c r="E440" s="4" t="str">
        <f>IFERROR(__xludf.DUMMYFUNCTION("""COMPUTED_VALUE"""),"")</f>
        <v/>
      </c>
      <c r="F440" s="4" t="str">
        <f>IFERROR(__xludf.DUMMYFUNCTION("""COMPUTED_VALUE"""),"2019/11/05 07:00:00")</f>
        <v>2019/11/05 07:00:00</v>
      </c>
      <c r="G440" s="4" t="str">
        <f>IFERROR(__xludf.DUMMYFUNCTION("""COMPUTED_VALUE"""),"2019/11/05 17:00:00")</f>
        <v>2019/11/05 17:00:00</v>
      </c>
      <c r="H440" s="4" t="str">
        <f>IFERROR(__xludf.DUMMYFUNCTION("""COMPUTED_VALUE"""),"aff0b2b8-4019-4a1a-a6a5-9a5541f3ce5b")</f>
        <v>aff0b2b8-4019-4a1a-a6a5-9a5541f3ce5b</v>
      </c>
      <c r="I440" s="4" t="str">
        <f>IFERROR(__xludf.DUMMYFUNCTION("""COMPUTED_VALUE"""),"aff0b2b8-4019-4a1a-a6a5-9a5541f3ce5b")</f>
        <v>aff0b2b8-4019-4a1a-a6a5-9a5541f3ce5b</v>
      </c>
    </row>
    <row r="441">
      <c r="A441" s="4" t="str">
        <f>IFERROR(__xludf.DUMMYFUNCTION("""COMPUTED_VALUE"""),"Chat with Sophia the Robot and David Hanson from Hanson Robotics")</f>
        <v>Chat with Sophia the Robot and David Hanson from Hanson Robotics</v>
      </c>
      <c r="B441" s="4" t="str">
        <f>IFERROR(__xludf.DUMMYFUNCTION("""COMPUTED_VALUE"""),"")</f>
        <v/>
      </c>
      <c r="C441" s="4" t="str">
        <f>IFERROR(__xludf.DUMMYFUNCTION("""COMPUTED_VALUE"""),"")</f>
        <v/>
      </c>
      <c r="D441" s="4" t="str">
        <f>IFERROR(__xludf.DUMMYFUNCTION("""COMPUTED_VALUE"""),"David Hanson and  Sophia The Robot
")</f>
        <v>David Hanson and  Sophia The Robot
</v>
      </c>
      <c r="E441" s="4" t="str">
        <f>IFERROR(__xludf.DUMMYFUNCTION("""COMPUTED_VALUE"""),"David Hanson, Sophia The Robot
")</f>
        <v>David Hanson, Sophia The Robot
</v>
      </c>
      <c r="F441" s="4" t="str">
        <f>IFERROR(__xludf.DUMMYFUNCTION("""COMPUTED_VALUE"""),"")</f>
        <v/>
      </c>
      <c r="G441" s="4" t="str">
        <f>IFERROR(__xludf.DUMMYFUNCTION("""COMPUTED_VALUE"""),"")</f>
        <v/>
      </c>
      <c r="H441" s="4" t="str">
        <f>IFERROR(__xludf.DUMMYFUNCTION("""COMPUTED_VALUE"""),"8c7a5c58-c763-5660-98f9-587be4b5f170")</f>
        <v>8c7a5c58-c763-5660-98f9-587be4b5f170</v>
      </c>
      <c r="I441" s="4" t="str">
        <f>IFERROR(__xludf.DUMMYFUNCTION("""COMPUTED_VALUE"""),"8c7a5c58-c763-5660-98f9-587be4b5f170")</f>
        <v>8c7a5c58-c763-5660-98f9-587be4b5f170</v>
      </c>
    </row>
    <row r="442">
      <c r="A442" s="4" t="str">
        <f>IFERROR(__xludf.DUMMYFUNCTION("""COMPUTED_VALUE"""),"Governments' role in the fourth Industrial Revolution")</f>
        <v>Governments' role in the fourth Industrial Revolution</v>
      </c>
      <c r="B442" s="4" t="str">
        <f>IFERROR(__xludf.DUMMYFUNCTION("""COMPUTED_VALUE"""),"Technology is shortening the life cycle of the Fortune 500. Government regulation plays a key role in helping industry stay ahead of the technology curve. In this session, we hear from top policy makers from around the globe on governments’ role in drivin"&amp;"g competitiveness.
")</f>
        <v>Technology is shortening the life cycle of the Fortune 500. Government regulation plays a key role in helping industry stay ahead of the technology curve. In this session, we hear from top policy makers from around the globe on governments’ role in driving competitiveness.
</v>
      </c>
      <c r="C442" s="4" t="str">
        <f>IFERROR(__xludf.DUMMYFUNCTION("""COMPUTED_VALUE"""),"Corporate Innovation Summit")</f>
        <v>Corporate Innovation Summit</v>
      </c>
      <c r="D442" s="4" t="str">
        <f>IFERROR(__xludf.DUMMYFUNCTION("""COMPUTED_VALUE"""),"Andrej Kiska, Paula Ingabire and Nicholas Vinocur")</f>
        <v>Andrej Kiska, Paula Ingabire and Nicholas Vinocur</v>
      </c>
      <c r="E442" s="4" t="str">
        <f>IFERROR(__xludf.DUMMYFUNCTION("""COMPUTED_VALUE"""),"Andrej Kiska,Paula Ingabire,Nicholas Vinocur")</f>
        <v>Andrej Kiska,Paula Ingabire,Nicholas Vinocur</v>
      </c>
      <c r="F442" s="4" t="str">
        <f>IFERROR(__xludf.DUMMYFUNCTION("""COMPUTED_VALUE"""),"2019/11/05 10:35:00")</f>
        <v>2019/11/05 10:35:00</v>
      </c>
      <c r="G442" s="4" t="str">
        <f>IFERROR(__xludf.DUMMYFUNCTION("""COMPUTED_VALUE"""),"2019/11/05 10:55:00")</f>
        <v>2019/11/05 10:55:00</v>
      </c>
      <c r="H442" s="4" t="str">
        <f>IFERROR(__xludf.DUMMYFUNCTION("""COMPUTED_VALUE"""),"e0abd19e-f2e5-4ed4-a1e3-3370df139a42")</f>
        <v>e0abd19e-f2e5-4ed4-a1e3-3370df139a42</v>
      </c>
      <c r="I442" s="4" t="str">
        <f>IFERROR(__xludf.DUMMYFUNCTION("""COMPUTED_VALUE"""),"e0abd19e-f2e5-4ed4-a1e3-3370df139a42")</f>
        <v>e0abd19e-f2e5-4ed4-a1e3-3370df139a42</v>
      </c>
    </row>
    <row r="443">
      <c r="A443" s="4" t="str">
        <f>IFERROR(__xludf.DUMMYFUNCTION("""COMPUTED_VALUE"""),"PITCH group round 1")</f>
        <v>PITCH group round 1</v>
      </c>
      <c r="B443" s="4" t="str">
        <f>IFERROR(__xludf.DUMMYFUNCTION("""COMPUTED_VALUE"""),"")</f>
        <v/>
      </c>
      <c r="C443" s="4" t="str">
        <f>IFERROR(__xludf.DUMMYFUNCTION("""COMPUTED_VALUE"""),"PITCH 1")</f>
        <v>PITCH 1</v>
      </c>
      <c r="D443" s="4" t="str">
        <f>IFERROR(__xludf.DUMMYFUNCTION("""COMPUTED_VALUE"""),"Mada Seghete, Sophia Tran, Ekaterina Holt, Marcus Fehling, Ilya Gelfenbeyn, Miguel Santo (UNIPLACES), Pedro Pestana, Christoph Weigl, Roman Prytkov, Alan Hickey, Evgeny Grankin and Bernd Oostrum")</f>
        <v>Mada Seghete, Sophia Tran, Ekaterina Holt, Marcus Fehling, Ilya Gelfenbeyn, Miguel Santo (UNIPLACES), Pedro Pestana, Christoph Weigl, Roman Prytkov, Alan Hickey, Evgeny Grankin and Bernd Oostrum</v>
      </c>
      <c r="E443" s="4" t="str">
        <f>IFERROR(__xludf.DUMMYFUNCTION("""COMPUTED_VALUE"""),"Mada Seghete,Sophia Tran,Ekaterina Holt,Marcus Fehling,Ilya Gelfenbeyn,Miguel Santo (UNIPLACES),Pedro Pestana,Christoph Weigl,Roman Prytkov,Alan Hickey,Evgeny Grankin,Bernd Oostrum")</f>
        <v>Mada Seghete,Sophia Tran,Ekaterina Holt,Marcus Fehling,Ilya Gelfenbeyn,Miguel Santo (UNIPLACES),Pedro Pestana,Christoph Weigl,Roman Prytkov,Alan Hickey,Evgeny Grankin,Bernd Oostrum</v>
      </c>
      <c r="F443" s="4" t="str">
        <f>IFERROR(__xludf.DUMMYFUNCTION("""COMPUTED_VALUE"""),"2019/11/05 09:15:00")</f>
        <v>2019/11/05 09:15:00</v>
      </c>
      <c r="G443" s="4" t="str">
        <f>IFERROR(__xludf.DUMMYFUNCTION("""COMPUTED_VALUE"""),"2019/11/05 10:15:00")</f>
        <v>2019/11/05 10:15:00</v>
      </c>
      <c r="H443" s="4" t="str">
        <f>IFERROR(__xludf.DUMMYFUNCTION("""COMPUTED_VALUE"""),"6db0f67b-dd4f-462b-b8d6-a25a0394542b")</f>
        <v>6db0f67b-dd4f-462b-b8d6-a25a0394542b</v>
      </c>
      <c r="I443" s="4" t="str">
        <f>IFERROR(__xludf.DUMMYFUNCTION("""COMPUTED_VALUE"""),"6db0f67b-dd4f-462b-b8d6-a25a0394542b")</f>
        <v>6db0f67b-dd4f-462b-b8d6-a25a0394542b</v>
      </c>
    </row>
    <row r="444">
      <c r="A444" s="4" t="str">
        <f>IFERROR(__xludf.DUMMYFUNCTION("""COMPUTED_VALUE"""),"Lunch break")</f>
        <v>Lunch break</v>
      </c>
      <c r="B444" s="4" t="str">
        <f>IFERROR(__xludf.DUMMYFUNCTION("""COMPUTED_VALUE"""),"")</f>
        <v/>
      </c>
      <c r="C444" s="4" t="str">
        <f>IFERROR(__xludf.DUMMYFUNCTION("""COMPUTED_VALUE"""),"Venture stage")</f>
        <v>Venture stage</v>
      </c>
      <c r="D444" s="4" t="str">
        <f>IFERROR(__xludf.DUMMYFUNCTION("""COMPUTED_VALUE"""),"")</f>
        <v/>
      </c>
      <c r="E444" s="4" t="str">
        <f>IFERROR(__xludf.DUMMYFUNCTION("""COMPUTED_VALUE"""),"")</f>
        <v/>
      </c>
      <c r="F444" s="4" t="str">
        <f>IFERROR(__xludf.DUMMYFUNCTION("""COMPUTED_VALUE"""),"2019/11/06 12:50:00")</f>
        <v>2019/11/06 12:50:00</v>
      </c>
      <c r="G444" s="4" t="str">
        <f>IFERROR(__xludf.DUMMYFUNCTION("""COMPUTED_VALUE"""),"2019/11/06 13:35:00")</f>
        <v>2019/11/06 13:35:00</v>
      </c>
      <c r="H444" s="4" t="str">
        <f>IFERROR(__xludf.DUMMYFUNCTION("""COMPUTED_VALUE"""),"a730444c-ce1e-47d8-8335-ab2458f25d2e")</f>
        <v>a730444c-ce1e-47d8-8335-ab2458f25d2e</v>
      </c>
      <c r="I444" s="4" t="str">
        <f>IFERROR(__xludf.DUMMYFUNCTION("""COMPUTED_VALUE"""),"a730444c-ce1e-47d8-8335-ab2458f25d2e")</f>
        <v>a730444c-ce1e-47d8-8335-ab2458f25d2e</v>
      </c>
    </row>
    <row r="445">
      <c r="A445" s="4" t="str">
        <f>IFERROR(__xludf.DUMMYFUNCTION("""COMPUTED_VALUE"""),"PITCH group round 3
")</f>
        <v>PITCH group round 3
</v>
      </c>
      <c r="B445" s="4" t="str">
        <f>IFERROR(__xludf.DUMMYFUNCTION("""COMPUTED_VALUE"""),"")</f>
        <v/>
      </c>
      <c r="C445" s="4" t="str">
        <f>IFERROR(__xludf.DUMMYFUNCTION("""COMPUTED_VALUE"""),"")</f>
        <v/>
      </c>
      <c r="D445" s="4" t="str">
        <f>IFERROR(__xludf.DUMMYFUNCTION("""COMPUTED_VALUE"""),"Brian Collins,  Ana Lobo Xavier,  Pedro Vasconcellos,  Jordi Vidal,  Edel Coen,  Russ Heddleston,  Javier Gutiérrez,  Nathan Harris,  Abbas Bertina,  Aroa Fernandez Alvarez and  Gabriel Menegatti
")</f>
        <v>Brian Collins,  Ana Lobo Xavier,  Pedro Vasconcellos,  Jordi Vidal,  Edel Coen,  Russ Heddleston,  Javier Gutiérrez,  Nathan Harris,  Abbas Bertina,  Aroa Fernandez Alvarez and  Gabriel Menegatti
</v>
      </c>
      <c r="E445" s="4" t="str">
        <f>IFERROR(__xludf.DUMMYFUNCTION("""COMPUTED_VALUE"""),"Brian Collins, Ana Lobo Xavier, Pedro Vasconcellos, Jordi Vidal, Edel Coen, Russ Heddleston, Javier Gutiérrez, Nathan Harris, Abbas Bertina, Aroa Fernandez Alvarez, Gabriel Menegatti
")</f>
        <v>Brian Collins, Ana Lobo Xavier, Pedro Vasconcellos, Jordi Vidal, Edel Coen, Russ Heddleston, Javier Gutiérrez, Nathan Harris, Abbas Bertina, Aroa Fernandez Alvarez, Gabriel Menegatti
</v>
      </c>
      <c r="F445" s="4" t="str">
        <f>IFERROR(__xludf.DUMMYFUNCTION("""COMPUTED_VALUE"""),"")</f>
        <v/>
      </c>
      <c r="G445" s="4" t="str">
        <f>IFERROR(__xludf.DUMMYFUNCTION("""COMPUTED_VALUE"""),"")</f>
        <v/>
      </c>
      <c r="H445" s="4" t="str">
        <f>IFERROR(__xludf.DUMMYFUNCTION("""COMPUTED_VALUE"""),"520e68b9-6a12-5501-8a8e-5a128c759e14")</f>
        <v>520e68b9-6a12-5501-8a8e-5a128c759e14</v>
      </c>
      <c r="I445" s="4" t="str">
        <f>IFERROR(__xludf.DUMMYFUNCTION("""COMPUTED_VALUE"""),"520e68b9-6a12-5501-8a8e-5a128c759e14")</f>
        <v>520e68b9-6a12-5501-8a8e-5a128c759e14</v>
      </c>
    </row>
    <row r="446">
      <c r="A446" s="4" t="str">
        <f>IFERROR(__xludf.DUMMYFUNCTION("""COMPUTED_VALUE"""),"Lunch break")</f>
        <v>Lunch break</v>
      </c>
      <c r="B446" s="4" t="str">
        <f>IFERROR(__xludf.DUMMYFUNCTION("""COMPUTED_VALUE"""),"")</f>
        <v/>
      </c>
      <c r="C446" s="4" t="str">
        <f>IFERROR(__xludf.DUMMYFUNCTION("""COMPUTED_VALUE"""),"ContentMakers")</f>
        <v>ContentMakers</v>
      </c>
      <c r="D446" s="4" t="str">
        <f>IFERROR(__xludf.DUMMYFUNCTION("""COMPUTED_VALUE"""),"")</f>
        <v/>
      </c>
      <c r="E446" s="4" t="str">
        <f>IFERROR(__xludf.DUMMYFUNCTION("""COMPUTED_VALUE"""),"")</f>
        <v/>
      </c>
      <c r="F446" s="4" t="str">
        <f>IFERROR(__xludf.DUMMYFUNCTION("""COMPUTED_VALUE"""),"2019/11/07 13:20:00")</f>
        <v>2019/11/07 13:20:00</v>
      </c>
      <c r="G446" s="4" t="str">
        <f>IFERROR(__xludf.DUMMYFUNCTION("""COMPUTED_VALUE"""),"2019/11/07 14:10:00")</f>
        <v>2019/11/07 14:10:00</v>
      </c>
      <c r="H446" s="4" t="str">
        <f>IFERROR(__xludf.DUMMYFUNCTION("""COMPUTED_VALUE"""),"d8868840-1b16-450d-900f-73724cb0ce90")</f>
        <v>d8868840-1b16-450d-900f-73724cb0ce90</v>
      </c>
      <c r="I446" s="4" t="str">
        <f>IFERROR(__xludf.DUMMYFUNCTION("""COMPUTED_VALUE"""),"d8868840-1b16-450d-900f-73724cb0ce90")</f>
        <v>d8868840-1b16-450d-900f-73724cb0ce90</v>
      </c>
    </row>
    <row r="447">
      <c r="A447" s="4" t="str">
        <f>IFERROR(__xludf.DUMMYFUNCTION("""COMPUTED_VALUE"""),"Huawei Ability Gallery: Evolution of content and services distribution, hosted by Huawei")</f>
        <v>Huawei Ability Gallery: Evolution of content and services distribution, hosted by Huawei</v>
      </c>
      <c r="B447" s="4" t="str">
        <f>IFERROR(__xludf.DUMMYFUNCTION("""COMPUTED_VALUE"""),"Huawei Ability Gallery helps content and services reach Huawei’s devices in a newer and smarter way, allowing partners to achieve their own growth goals at a lower integration cost.")</f>
        <v>Huawei Ability Gallery helps content and services reach Huawei’s devices in a newer and smarter way, allowing partners to achieve their own growth goals at a lower integration cost.</v>
      </c>
      <c r="C447" s="4" t="str">
        <f>IFERROR(__xludf.DUMMYFUNCTION("""COMPUTED_VALUE"""),"Workshop 1")</f>
        <v>Workshop 1</v>
      </c>
      <c r="D447" s="4" t="str">
        <f>IFERROR(__xludf.DUMMYFUNCTION("""COMPUTED_VALUE"""),"Tabaka Witold")</f>
        <v>Tabaka Witold</v>
      </c>
      <c r="E447" s="4" t="str">
        <f>IFERROR(__xludf.DUMMYFUNCTION("""COMPUTED_VALUE"""),"Tabaka Witold")</f>
        <v>Tabaka Witold</v>
      </c>
      <c r="F447" s="4" t="str">
        <f>IFERROR(__xludf.DUMMYFUNCTION("""COMPUTED_VALUE"""),"2019/11/05 14:45:00")</f>
        <v>2019/11/05 14:45:00</v>
      </c>
      <c r="G447" s="4" t="str">
        <f>IFERROR(__xludf.DUMMYFUNCTION("""COMPUTED_VALUE"""),"2019/11/05 15:10:00")</f>
        <v>2019/11/05 15:10:00</v>
      </c>
      <c r="H447" s="4" t="str">
        <f>IFERROR(__xludf.DUMMYFUNCTION("""COMPUTED_VALUE"""),"553fd771-45ef-4d1b-8a6c-4de398e26f59")</f>
        <v>553fd771-45ef-4d1b-8a6c-4de398e26f59</v>
      </c>
      <c r="I447" s="4" t="str">
        <f>IFERROR(__xludf.DUMMYFUNCTION("""COMPUTED_VALUE"""),"553fd771-45ef-4d1b-8a6c-4de398e26f59")</f>
        <v>553fd771-45ef-4d1b-8a6c-4de398e26f59</v>
      </c>
    </row>
    <row r="448">
      <c r="A448" s="4" t="str">
        <f>IFERROR(__xludf.DUMMYFUNCTION("""COMPUTED_VALUE"""),"Q&amp;A Session with Chris Leacock")</f>
        <v>Q&amp;A Session with Chris Leacock</v>
      </c>
      <c r="B448" s="4" t="str">
        <f>IFERROR(__xludf.DUMMYFUNCTION("""COMPUTED_VALUE"""),"")</f>
        <v/>
      </c>
      <c r="C448" s="4" t="str">
        <f>IFERROR(__xludf.DUMMYFUNCTION("""COMPUTED_VALUE"""),"Q + A")</f>
        <v>Q + A</v>
      </c>
      <c r="D448" s="4" t="str">
        <f>IFERROR(__xludf.DUMMYFUNCTION("""COMPUTED_VALUE"""),"Christopher Leacock")</f>
        <v>Christopher Leacock</v>
      </c>
      <c r="E448" s="4" t="str">
        <f>IFERROR(__xludf.DUMMYFUNCTION("""COMPUTED_VALUE"""),"Christopher Leacock")</f>
        <v>Christopher Leacock</v>
      </c>
      <c r="F448" s="4" t="str">
        <f>IFERROR(__xludf.DUMMYFUNCTION("""COMPUTED_VALUE"""),"2019/11/05 12:30:00")</f>
        <v>2019/11/05 12:30:00</v>
      </c>
      <c r="G448" s="4" t="str">
        <f>IFERROR(__xludf.DUMMYFUNCTION("""COMPUTED_VALUE"""),"2019/11/05 12:45:00")</f>
        <v>2019/11/05 12:45:00</v>
      </c>
      <c r="H448" s="4" t="str">
        <f>IFERROR(__xludf.DUMMYFUNCTION("""COMPUTED_VALUE"""),"400a7bd5-bc1e-425b-a395-e77e92d42878")</f>
        <v>400a7bd5-bc1e-425b-a395-e77e92d42878</v>
      </c>
      <c r="I448" s="4" t="str">
        <f>IFERROR(__xludf.DUMMYFUNCTION("""COMPUTED_VALUE"""),"400a7bd5-bc1e-425b-a395-e77e92d42878")</f>
        <v>400a7bd5-bc1e-425b-a395-e77e92d42878</v>
      </c>
    </row>
    <row r="449">
      <c r="A449" s="4" t="str">
        <f>IFERROR(__xludf.DUMMYFUNCTION("""COMPUTED_VALUE"""),"PITCH group round 5")</f>
        <v>PITCH group round 5</v>
      </c>
      <c r="B449" s="4" t="str">
        <f>IFERROR(__xludf.DUMMYFUNCTION("""COMPUTED_VALUE"""),"")</f>
        <v/>
      </c>
      <c r="C449" s="4" t="str">
        <f>IFERROR(__xludf.DUMMYFUNCTION("""COMPUTED_VALUE"""),"PITCH 2")</f>
        <v>PITCH 2</v>
      </c>
      <c r="D449" s="4" t="str">
        <f>IFERROR(__xludf.DUMMYFUNCTION("""COMPUTED_VALUE"""),"Juan Pablo Ortega, Harry Briggs, Paddy Dillon, Jordan Fliegel, Daniel Reis, Miguel Teixeira, Jony Jung, Michal Kiezik, Paulo Ferreira dos Santos, Peter Horvath, JuanMiguel Perez Rosas and Brennan Basnicki")</f>
        <v>Juan Pablo Ortega, Harry Briggs, Paddy Dillon, Jordan Fliegel, Daniel Reis, Miguel Teixeira, Jony Jung, Michal Kiezik, Paulo Ferreira dos Santos, Peter Horvath, JuanMiguel Perez Rosas and Brennan Basnicki</v>
      </c>
      <c r="E449" s="4" t="str">
        <f>IFERROR(__xludf.DUMMYFUNCTION("""COMPUTED_VALUE"""),"Juan Pablo Ortega,Harry Briggs,Paddy Dillon,Jordan Fliegel,Daniel Reis,Miguel Teixeira,Jony Jung,Michal Kiezik,Paulo Ferreira dos Santos,Peter Horvath,JuanMiguel Perez Rosas,Brennan Basnicki")</f>
        <v>Juan Pablo Ortega,Harry Briggs,Paddy Dillon,Jordan Fliegel,Daniel Reis,Miguel Teixeira,Jony Jung,Michal Kiezik,Paulo Ferreira dos Santos,Peter Horvath,JuanMiguel Perez Rosas,Brennan Basnicki</v>
      </c>
      <c r="F449" s="4" t="str">
        <f>IFERROR(__xludf.DUMMYFUNCTION("""COMPUTED_VALUE"""),"2019/11/05 10:15:00")</f>
        <v>2019/11/05 10:15:00</v>
      </c>
      <c r="G449" s="4" t="str">
        <f>IFERROR(__xludf.DUMMYFUNCTION("""COMPUTED_VALUE"""),"2019/11/05 11:15:00")</f>
        <v>2019/11/05 11:15:00</v>
      </c>
      <c r="H449" s="4" t="str">
        <f>IFERROR(__xludf.DUMMYFUNCTION("""COMPUTED_VALUE"""),"25040c2a-0eab-45a3-a291-341c4bc5d09a")</f>
        <v>25040c2a-0eab-45a3-a291-341c4bc5d09a</v>
      </c>
      <c r="I449" s="4" t="str">
        <f>IFERROR(__xludf.DUMMYFUNCTION("""COMPUTED_VALUE"""),"25040c2a-0eab-45a3-a291-341c4bc5d09a")</f>
        <v>25040c2a-0eab-45a3-a291-341c4bc5d09a</v>
      </c>
    </row>
    <row r="450">
      <c r="A450" s="4" t="str">
        <f>IFERROR(__xludf.DUMMYFUNCTION("""COMPUTED_VALUE"""),"Tracking ownership as your startup grows: Why digitising equity is crucial")</f>
        <v>Tracking ownership as your startup grows: Why digitising equity is crucial</v>
      </c>
      <c r="B450" s="4" t="str">
        <f>IFERROR(__xludf.DUMMYFUNCTION("""COMPUTED_VALUE"""),"With fewer and fewer companies reaching IPO, Capdesk CEO, Christian explains why managing equity in spreadsheets can mean losing track of what you own, and not getting to cash out in time. This is why the future of equity is digital.")</f>
        <v>With fewer and fewer companies reaching IPO, Capdesk CEO, Christian explains why managing equity in spreadsheets can mean losing track of what you own, and not getting to cash out in time. This is why the future of equity is digital.</v>
      </c>
      <c r="C450" s="4" t="str">
        <f>IFERROR(__xludf.DUMMYFUNCTION("""COMPUTED_VALUE"""),"Growth Summit")</f>
        <v>Growth Summit</v>
      </c>
      <c r="D450" s="4" t="str">
        <f>IFERROR(__xludf.DUMMYFUNCTION("""COMPUTED_VALUE"""),"Christian Gabriel")</f>
        <v>Christian Gabriel</v>
      </c>
      <c r="E450" s="4" t="str">
        <f>IFERROR(__xludf.DUMMYFUNCTION("""COMPUTED_VALUE"""),"Christian Gabriel")</f>
        <v>Christian Gabriel</v>
      </c>
      <c r="F450" s="4" t="str">
        <f>IFERROR(__xludf.DUMMYFUNCTION("""COMPUTED_VALUE"""),"2019/11/05 10:50:00")</f>
        <v>2019/11/05 10:50:00</v>
      </c>
      <c r="G450" s="4" t="str">
        <f>IFERROR(__xludf.DUMMYFUNCTION("""COMPUTED_VALUE"""),"2019/11/05 10:54:00")</f>
        <v>2019/11/05 10:54:00</v>
      </c>
      <c r="H450" s="4" t="str">
        <f>IFERROR(__xludf.DUMMYFUNCTION("""COMPUTED_VALUE"""),"f51c2b20-2832-4d30-a163-b66e224b1a52")</f>
        <v>f51c2b20-2832-4d30-a163-b66e224b1a52</v>
      </c>
      <c r="I450" s="4" t="str">
        <f>IFERROR(__xludf.DUMMYFUNCTION("""COMPUTED_VALUE"""),"f51c2b20-2832-4d30-a163-b66e224b1a52")</f>
        <v>f51c2b20-2832-4d30-a163-b66e224b1a52</v>
      </c>
    </row>
    <row r="451">
      <c r="A451" s="4" t="str">
        <f>IFERROR(__xludf.DUMMYFUNCTION("""COMPUTED_VALUE"""),"Potential to exponential: The secret to hyper-growth")</f>
        <v>Potential to exponential: The secret to hyper-growth</v>
      </c>
      <c r="B451" s="4" t="str">
        <f>IFERROR(__xludf.DUMMYFUNCTION("""COMPUTED_VALUE"""),"Scaling up is not only about revenue. Team growth, lead generation and product releases may end up being the drivers of hyper-growth your startup needs.")</f>
        <v>Scaling up is not only about revenue. Team growth, lead generation and product releases may end up being the drivers of hyper-growth your startup needs.</v>
      </c>
      <c r="C451" s="4" t="str">
        <f>IFERROR(__xludf.DUMMYFUNCTION("""COMPUTED_VALUE"""),"Growth Summit")</f>
        <v>Growth Summit</v>
      </c>
      <c r="D451" s="4" t="str">
        <f>IFERROR(__xludf.DUMMYFUNCTION("""COMPUTED_VALUE"""),"Luis Roque")</f>
        <v>Luis Roque</v>
      </c>
      <c r="E451" s="4" t="str">
        <f>IFERROR(__xludf.DUMMYFUNCTION("""COMPUTED_VALUE"""),"Luis Roque")</f>
        <v>Luis Roque</v>
      </c>
      <c r="F451" s="4" t="str">
        <f>IFERROR(__xludf.DUMMYFUNCTION("""COMPUTED_VALUE"""),"2019/11/07 10:14:00")</f>
        <v>2019/11/07 10:14:00</v>
      </c>
      <c r="G451" s="4" t="str">
        <f>IFERROR(__xludf.DUMMYFUNCTION("""COMPUTED_VALUE"""),"2019/11/07 10:18:00")</f>
        <v>2019/11/07 10:18:00</v>
      </c>
      <c r="H451" s="4" t="str">
        <f>IFERROR(__xludf.DUMMYFUNCTION("""COMPUTED_VALUE"""),"cbf63279-db91-4e5e-8090-8d29237582e1")</f>
        <v>cbf63279-db91-4e5e-8090-8d29237582e1</v>
      </c>
      <c r="I451" s="4" t="str">
        <f>IFERROR(__xludf.DUMMYFUNCTION("""COMPUTED_VALUE"""),"cbf63279-db91-4e5e-8090-8d29237582e1")</f>
        <v>cbf63279-db91-4e5e-8090-8d29237582e1</v>
      </c>
    </row>
    <row r="452">
      <c r="A452" s="4" t="str">
        <f>IFERROR(__xludf.DUMMYFUNCTION("""COMPUTED_VALUE"""),"Startup Showcase")</f>
        <v>Startup Showcase</v>
      </c>
      <c r="B452" s="4" t="str">
        <f>IFERROR(__xludf.DUMMYFUNCTION("""COMPUTED_VALUE"""),"On this brand new stage, expect quickfire presentations where startups will showcase their solutions to the future's biggest challenges. This hour focuses on the future of work, covering topics like remote working, productivity apps, office management, en"&amp;"terprise software, SaaS, and business automation.
")</f>
        <v>On this brand new stage, expect quickfire presentations where startups will showcase their solutions to the future's biggest challenges. This hour focuses on the future of work, covering topics like remote working, productivity apps, office management, enterprise software, SaaS, and business automation.
</v>
      </c>
      <c r="C452" s="4" t="str">
        <f>IFERROR(__xludf.DUMMYFUNCTION("""COMPUTED_VALUE"""),"Startup Showcase 1")</f>
        <v>Startup Showcase 1</v>
      </c>
      <c r="D452" s="4" t="str">
        <f>IFERROR(__xludf.DUMMYFUNCTION("""COMPUTED_VALUE"""),"Frances Schwiep, VItor Seabra, Marcin Waluś, Cai Von Igel, Arnau Abadal, Vladislav Turiashvili, Piotr Gąsiorowski, Peter Sodermans, Anna Gąsiorowska, Patrik Pasko, Samir Kaila, Aycim Likos, Pawel Kwiatkowski, Gabriel Fumagalli, Francisca Borges, Komal Pat"&amp;"el, Vijay Rayudu, Jamar Smith, Matthias Vanhoutteghem, Manuela Sayin, Cheryl Ingram, Tigran Vardanyan, Michal Ukropec, Vanessa Marques, Tomasz Florczak, Kamila Piasecka, Bernardo Gándara, Jenny Bertling, James Dryden, Larissa Purim, Mirka Gálová, Peter Ju"&amp;"ndin, Sam Davies, Ara Gemilyan, Nikoloz Mgebrishvili, Diogo Ferreira Pinto, Cagdas (Charly) Sayin, Nilton Constantino, Julien Yee, João Fernandes, Suresh Kondapureddy, Mario Alves, ali akil, Elia Morling, Hamzah ibn El-Amin, Laura Simas, Daniel Krijgsman,"&amp;" Thiago Lima, KRISTINA VARDANYAN and Nevander Holland")</f>
        <v>Frances Schwiep, VItor Seabra, Marcin Waluś, Cai Von Igel, Arnau Abadal, Vladislav Turiashvili, Piotr Gąsiorowski, Peter Sodermans, Anna Gąsiorowska, Patrik Pasko, Samir Kaila, Aycim Likos, Pawel Kwiatkowski, Gabriel Fumagalli, Francisca Borges, Komal Patel, Vijay Rayudu, Jamar Smith, Matthias Vanhoutteghem, Manuela Sayin, Cheryl Ingram, Tigran Vardanyan, Michal Ukropec, Vanessa Marques, Tomasz Florczak, Kamila Piasecka, Bernardo Gándara, Jenny Bertling, James Dryden, Larissa Purim, Mirka Gálová, Peter Jundin, Sam Davies, Ara Gemilyan, Nikoloz Mgebrishvili, Diogo Ferreira Pinto, Cagdas (Charly) Sayin, Nilton Constantino, Julien Yee, João Fernandes, Suresh Kondapureddy, Mario Alves, ali akil, Elia Morling, Hamzah ibn El-Amin, Laura Simas, Daniel Krijgsman, Thiago Lima, KRISTINA VARDANYAN and Nevander Holland</v>
      </c>
      <c r="E452" s="4" t="str">
        <f>IFERROR(__xludf.DUMMYFUNCTION("""COMPUTED_VALUE"""),"Frances Schwiep,VItor Seabra,Marcin Waluś,Cai Von Igel,Arnau Abadal,Vladislav Turiashvili,Piotr Gąsiorowski,Peter Sodermans,Anna Gąsiorowska,Patrik Pasko,Samir Kaila,Aycim Likos,Pawel Kwiatkowski,Gabriel Fumagalli,Francisca Borges,Komal Patel,Vijay Rayudu"&amp;",Jamar Smith,Matthias Vanhoutteghem,Manuela Sayin,Cheryl Ingram,Tigran Vardanyan,Michal Ukropec,Vanessa Marques,Tomasz Florczak,Kamila Piasecka,Bernardo Gándara,Jenny Bertling,James Dryden,Larissa Purim,Mirka Gálová,Peter Jundin,Sam Davies,Ara Gemilyan,Ni"&amp;"koloz Mgebrishvili,Diogo Ferreira Pinto,Cagdas (Charly) Sayin,Nilton Constantino,Julien Yee,João Fernandes,Suresh Kondapureddy,Mario Alves,ali akil,Elia Morling,Hamzah ibn El-Amin,Laura Simas,Daniel Krijgsman,Thiago Lima,KRISTINA VARDANYAN,Nevander Hollan"&amp;"d")</f>
        <v>Frances Schwiep,VItor Seabra,Marcin Waluś,Cai Von Igel,Arnau Abadal,Vladislav Turiashvili,Piotr Gąsiorowski,Peter Sodermans,Anna Gąsiorowska,Patrik Pasko,Samir Kaila,Aycim Likos,Pawel Kwiatkowski,Gabriel Fumagalli,Francisca Borges,Komal Patel,Vijay Rayudu,Jamar Smith,Matthias Vanhoutteghem,Manuela Sayin,Cheryl Ingram,Tigran Vardanyan,Michal Ukropec,Vanessa Marques,Tomasz Florczak,Kamila Piasecka,Bernardo Gándara,Jenny Bertling,James Dryden,Larissa Purim,Mirka Gálová,Peter Jundin,Sam Davies,Ara Gemilyan,Nikoloz Mgebrishvili,Diogo Ferreira Pinto,Cagdas (Charly) Sayin,Nilton Constantino,Julien Yee,João Fernandes,Suresh Kondapureddy,Mario Alves,ali akil,Elia Morling,Hamzah ibn El-Amin,Laura Simas,Daniel Krijgsman,Thiago Lima,KRISTINA VARDANYAN,Nevander Holland</v>
      </c>
      <c r="F452" s="4" t="str">
        <f>IFERROR(__xludf.DUMMYFUNCTION("""COMPUTED_VALUE"""),"2019/11/06 14:15:00")</f>
        <v>2019/11/06 14:15:00</v>
      </c>
      <c r="G452" s="4" t="str">
        <f>IFERROR(__xludf.DUMMYFUNCTION("""COMPUTED_VALUE"""),"2019/11/06 15:15:00")</f>
        <v>2019/11/06 15:15:00</v>
      </c>
      <c r="H452" s="4" t="str">
        <f>IFERROR(__xludf.DUMMYFUNCTION("""COMPUTED_VALUE"""),"278cb337-40ad-4208-ac8f-157557bf9625")</f>
        <v>278cb337-40ad-4208-ac8f-157557bf9625</v>
      </c>
      <c r="I452" s="4" t="str">
        <f>IFERROR(__xludf.DUMMYFUNCTION("""COMPUTED_VALUE"""),"278cb337-40ad-4208-ac8f-157557bf9625")</f>
        <v>278cb337-40ad-4208-ac8f-157557bf9625</v>
      </c>
    </row>
    <row r="453">
      <c r="A453" s="4" t="str">
        <f>IFERROR(__xludf.DUMMYFUNCTION("""COMPUTED_VALUE"""),"Opening remarks")</f>
        <v>Opening remarks</v>
      </c>
      <c r="B453" s="4" t="str">
        <f>IFERROR(__xludf.DUMMYFUNCTION("""COMPUTED_VALUE"""),"")</f>
        <v/>
      </c>
      <c r="C453" s="4" t="str">
        <f>IFERROR(__xludf.DUMMYFUNCTION("""COMPUTED_VALUE"""),"PandaConf")</f>
        <v>PandaConf</v>
      </c>
      <c r="D453" s="4" t="str">
        <f>IFERROR(__xludf.DUMMYFUNCTION("""COMPUTED_VALUE"""),"Noel Toolan")</f>
        <v>Noel Toolan</v>
      </c>
      <c r="E453" s="4" t="str">
        <f>IFERROR(__xludf.DUMMYFUNCTION("""COMPUTED_VALUE"""),"Noel Toolan")</f>
        <v>Noel Toolan</v>
      </c>
      <c r="F453" s="4" t="str">
        <f>IFERROR(__xludf.DUMMYFUNCTION("""COMPUTED_VALUE"""),"2019/11/05 13:40:00")</f>
        <v>2019/11/05 13:40:00</v>
      </c>
      <c r="G453" s="4" t="str">
        <f>IFERROR(__xludf.DUMMYFUNCTION("""COMPUTED_VALUE"""),"2019/11/05 13:50:00")</f>
        <v>2019/11/05 13:50:00</v>
      </c>
      <c r="H453" s="4" t="str">
        <f>IFERROR(__xludf.DUMMYFUNCTION("""COMPUTED_VALUE"""),"0e730870-de40-4c0e-8436-f6883aa647f3")</f>
        <v>0e730870-de40-4c0e-8436-f6883aa647f3</v>
      </c>
      <c r="I453" s="4" t="str">
        <f>IFERROR(__xludf.DUMMYFUNCTION("""COMPUTED_VALUE"""),"0e730870-de40-4c0e-8436-f6883aa647f3")</f>
        <v>0e730870-de40-4c0e-8436-f6883aa647f3</v>
      </c>
    </row>
    <row r="454">
      <c r="A454" s="4" t="str">
        <f>IFERROR(__xludf.DUMMYFUNCTION("""COMPUTED_VALUE"""),"Secrecy is outdated, co-operation is key")</f>
        <v>Secrecy is outdated, co-operation is key</v>
      </c>
      <c r="B454" s="4" t="str">
        <f>IFERROR(__xludf.DUMMYFUNCTION("""COMPUTED_VALUE"""),"Partnerships are the new normal in business, according to the CEO of one of the biggest energy companies on the planet. In this unmissable fireside chat, António Mexia explains why he believes companies sharing responsibility, project ownership and tech k"&amp;"now-how are the keys to  progress, in energy development and beyond.")</f>
        <v>Partnerships are the new normal in business, according to the CEO of one of the biggest energy companies on the planet. In this unmissable fireside chat, António Mexia explains why he believes companies sharing responsibility, project ownership and tech know-how are the keys to  progress, in energy development and beyond.</v>
      </c>
      <c r="C454" s="4" t="str">
        <f>IFERROR(__xludf.DUMMYFUNCTION("""COMPUTED_VALUE"""),"planet:tech ")</f>
        <v>planet:tech </v>
      </c>
      <c r="D454" s="4" t="str">
        <f>IFERROR(__xludf.DUMMYFUNCTION("""COMPUTED_VALUE"""),"António Mexia and Neanda Salvaterra")</f>
        <v>António Mexia and Neanda Salvaterra</v>
      </c>
      <c r="E454" s="4" t="str">
        <f>IFERROR(__xludf.DUMMYFUNCTION("""COMPUTED_VALUE"""),"António Mexia,Neanda Salvaterra")</f>
        <v>António Mexia,Neanda Salvaterra</v>
      </c>
      <c r="F454" s="4" t="str">
        <f>IFERROR(__xludf.DUMMYFUNCTION("""COMPUTED_VALUE"""),"2019/11/05 12:00:00")</f>
        <v>2019/11/05 12:00:00</v>
      </c>
      <c r="G454" s="4" t="str">
        <f>IFERROR(__xludf.DUMMYFUNCTION("""COMPUTED_VALUE"""),"2019/11/05 12:20:00")</f>
        <v>2019/11/05 12:20:00</v>
      </c>
      <c r="H454" s="4" t="str">
        <f>IFERROR(__xludf.DUMMYFUNCTION("""COMPUTED_VALUE"""),"d86e7814-758d-42f3-a2c6-c4ac9fe0d2c4")</f>
        <v>d86e7814-758d-42f3-a2c6-c4ac9fe0d2c4</v>
      </c>
      <c r="I454" s="4" t="str">
        <f>IFERROR(__xludf.DUMMYFUNCTION("""COMPUTED_VALUE"""),"d86e7814-758d-42f3-a2c6-c4ac9fe0d2c4")</f>
        <v>d86e7814-758d-42f3-a2c6-c4ac9fe0d2c4</v>
      </c>
    </row>
    <row r="455">
      <c r="A455" s="4" t="str">
        <f>IFERROR(__xludf.DUMMYFUNCTION("""COMPUTED_VALUE"""),"Your Brain 2.0: Unlocking machines with your mind")</f>
        <v>Your Brain 2.0: Unlocking machines with your mind</v>
      </c>
      <c r="B455" s="4" t="str">
        <f>IFERROR(__xludf.DUMMYFUNCTION("""COMPUTED_VALUE"""),"Ctrl-labs is developing a device capable of translating electrical muscle impulses into digital signals. Does this herald the merging of man and machine? ")</f>
        <v>Ctrl-labs is developing a device capable of translating electrical muscle impulses into digital signals. Does this herald the merging of man and machine? </v>
      </c>
      <c r="C455" s="4" t="str">
        <f>IFERROR(__xludf.DUMMYFUNCTION("""COMPUTED_VALUE"""),"DeepTech")</f>
        <v>DeepTech</v>
      </c>
      <c r="D455" s="4" t="str">
        <f>IFERROR(__xludf.DUMMYFUNCTION("""COMPUTED_VALUE"""),"Thomas Reardon")</f>
        <v>Thomas Reardon</v>
      </c>
      <c r="E455" s="4" t="str">
        <f>IFERROR(__xludf.DUMMYFUNCTION("""COMPUTED_VALUE"""),"Thomas Reardon")</f>
        <v>Thomas Reardon</v>
      </c>
      <c r="F455" s="4" t="str">
        <f>IFERROR(__xludf.DUMMYFUNCTION("""COMPUTED_VALUE"""),"2019/11/06 14:15:00")</f>
        <v>2019/11/06 14:15:00</v>
      </c>
      <c r="G455" s="4" t="str">
        <f>IFERROR(__xludf.DUMMYFUNCTION("""COMPUTED_VALUE"""),"2019/11/06 14:30:00")</f>
        <v>2019/11/06 14:30:00</v>
      </c>
      <c r="H455" s="4" t="str">
        <f>IFERROR(__xludf.DUMMYFUNCTION("""COMPUTED_VALUE"""),"df0a2710-99b3-48fe-93b7-e754edb86be8")</f>
        <v>df0a2710-99b3-48fe-93b7-e754edb86be8</v>
      </c>
      <c r="I455" s="4" t="str">
        <f>IFERROR(__xludf.DUMMYFUNCTION("""COMPUTED_VALUE"""),"df0a2710-99b3-48fe-93b7-e754edb86be8")</f>
        <v>df0a2710-99b3-48fe-93b7-e754edb86be8</v>
      </c>
    </row>
    <row r="456">
      <c r="A456" s="4" t="str">
        <f>IFERROR(__xludf.DUMMYFUNCTION("""COMPUTED_VALUE"""),"Reinvent the wheel: Scale fast &amp; please customers")</f>
        <v>Reinvent the wheel: Scale fast &amp; please customers</v>
      </c>
      <c r="B456" s="4" t="str">
        <f>IFERROR(__xludf.DUMMYFUNCTION("""COMPUTED_VALUE"""),"How Tylko reinvented the process of designing, manufacturing and buying furniture to become one of the fastest growing next-generation furniture companies.")</f>
        <v>How Tylko reinvented the process of designing, manufacturing and buying furniture to become one of the fastest growing next-generation furniture companies.</v>
      </c>
      <c r="C456" s="4" t="str">
        <f>IFERROR(__xludf.DUMMYFUNCTION("""COMPUTED_VALUE"""),"Growth Summit")</f>
        <v>Growth Summit</v>
      </c>
      <c r="D456" s="4" t="str">
        <f>IFERROR(__xludf.DUMMYFUNCTION("""COMPUTED_VALUE"""),"Benjamin Kuna")</f>
        <v>Benjamin Kuna</v>
      </c>
      <c r="E456" s="4" t="str">
        <f>IFERROR(__xludf.DUMMYFUNCTION("""COMPUTED_VALUE"""),"Benjamin Kuna")</f>
        <v>Benjamin Kuna</v>
      </c>
      <c r="F456" s="4" t="str">
        <f>IFERROR(__xludf.DUMMYFUNCTION("""COMPUTED_VALUE"""),"2019/11/05 11:18:00")</f>
        <v>2019/11/05 11:18:00</v>
      </c>
      <c r="G456" s="4" t="str">
        <f>IFERROR(__xludf.DUMMYFUNCTION("""COMPUTED_VALUE"""),"2019/11/05 11:22:00")</f>
        <v>2019/11/05 11:22:00</v>
      </c>
      <c r="H456" s="4" t="str">
        <f>IFERROR(__xludf.DUMMYFUNCTION("""COMPUTED_VALUE"""),"e682c1bb-fa68-42db-9b03-4016d52457a7")</f>
        <v>e682c1bb-fa68-42db-9b03-4016d52457a7</v>
      </c>
      <c r="I456" s="4" t="str">
        <f>IFERROR(__xludf.DUMMYFUNCTION("""COMPUTED_VALUE"""),"e682c1bb-fa68-42db-9b03-4016d52457a7")</f>
        <v>e682c1bb-fa68-42db-9b03-4016d52457a7</v>
      </c>
    </row>
    <row r="457">
      <c r="A457" s="4" t="str">
        <f>IFERROR(__xludf.DUMMYFUNCTION("""COMPUTED_VALUE"""),"Bridging Africa’s power gap: The disruptive power of clean energy tech")</f>
        <v>Bridging Africa’s power gap: The disruptive power of clean energy tech</v>
      </c>
      <c r="B457" s="4" t="str">
        <f>IFERROR(__xludf.DUMMYFUNCTION("""COMPUTED_VALUE"""),"Expensive and unreliable power represent a heavy burden for Africa’s businesses, impeding their growth and development. In two years, Daystar Power has built an ecosystem to provide power to over 100 locations in West Africa. CEO of the company, Olaedo, w"&amp;"ill outline Daystar Power’s growth trajectory in bridging Africa’s power gap with clean and reliable power.")</f>
        <v>Expensive and unreliable power represent a heavy burden for Africa’s businesses, impeding their growth and development. In two years, Daystar Power has built an ecosystem to provide power to over 100 locations in West Africa. CEO of the company, Olaedo, will outline Daystar Power’s growth trajectory in bridging Africa’s power gap with clean and reliable power.</v>
      </c>
      <c r="C457" s="4" t="str">
        <f>IFERROR(__xludf.DUMMYFUNCTION("""COMPUTED_VALUE"""),"Growth Summit")</f>
        <v>Growth Summit</v>
      </c>
      <c r="D457" s="4" t="str">
        <f>IFERROR(__xludf.DUMMYFUNCTION("""COMPUTED_VALUE"""),"Olaedo Osoka")</f>
        <v>Olaedo Osoka</v>
      </c>
      <c r="E457" s="4" t="str">
        <f>IFERROR(__xludf.DUMMYFUNCTION("""COMPUTED_VALUE"""),"Olaedo Osoka")</f>
        <v>Olaedo Osoka</v>
      </c>
      <c r="F457" s="4" t="str">
        <f>IFERROR(__xludf.DUMMYFUNCTION("""COMPUTED_VALUE"""),"2019/11/06 13:03:00")</f>
        <v>2019/11/06 13:03:00</v>
      </c>
      <c r="G457" s="4" t="str">
        <f>IFERROR(__xludf.DUMMYFUNCTION("""COMPUTED_VALUE"""),"2019/11/06 13:14:00")</f>
        <v>2019/11/06 13:14:00</v>
      </c>
      <c r="H457" s="4" t="str">
        <f>IFERROR(__xludf.DUMMYFUNCTION("""COMPUTED_VALUE"""),"04eba973-7a52-4779-8ba0-e3a83a9b3198")</f>
        <v>04eba973-7a52-4779-8ba0-e3a83a9b3198</v>
      </c>
      <c r="I457" s="4" t="str">
        <f>IFERROR(__xludf.DUMMYFUNCTION("""COMPUTED_VALUE"""),"04eba973-7a52-4779-8ba0-e3a83a9b3198")</f>
        <v>04eba973-7a52-4779-8ba0-e3a83a9b3198</v>
      </c>
    </row>
    <row r="458">
      <c r="A458" s="4" t="str">
        <f>IFERROR(__xludf.DUMMYFUNCTION("""COMPUTED_VALUE"""),"To scale or not to scale?")</f>
        <v>To scale or not to scale?</v>
      </c>
      <c r="B458" s="4" t="str">
        <f>IFERROR(__xludf.DUMMYFUNCTION("""COMPUTED_VALUE"""),"The startup world is a fast-growing, responsive one. The majority of founders will face a dilemma of whether or not to scale their businesses. Join the founders of Crossbeam, Sisense and TripActions who will share their experiences.")</f>
        <v>The startup world is a fast-growing, responsive one. The majority of founders will face a dilemma of whether or not to scale their businesses. Join the founders of Crossbeam, Sisense and TripActions who will share their experiences.</v>
      </c>
      <c r="C458" s="4" t="str">
        <f>IFERROR(__xludf.DUMMYFUNCTION("""COMPUTED_VALUE"""),"SaaS Monster")</f>
        <v>SaaS Monster</v>
      </c>
      <c r="D458" s="4" t="str">
        <f>IFERROR(__xludf.DUMMYFUNCTION("""COMPUTED_VALUE"""),"Ariel Cohen, Bob Moore, Lingjia Tang and Kimberly Weisul")</f>
        <v>Ariel Cohen, Bob Moore, Lingjia Tang and Kimberly Weisul</v>
      </c>
      <c r="E458" s="4" t="str">
        <f>IFERROR(__xludf.DUMMYFUNCTION("""COMPUTED_VALUE"""),"Ariel Cohen,Bob Moore,Lingjia Tang,Kimberly Weisul")</f>
        <v>Ariel Cohen,Bob Moore,Lingjia Tang,Kimberly Weisul</v>
      </c>
      <c r="F458" s="4" t="str">
        <f>IFERROR(__xludf.DUMMYFUNCTION("""COMPUTED_VALUE"""),"2019/11/05 11:30:00")</f>
        <v>2019/11/05 11:30:00</v>
      </c>
      <c r="G458" s="4" t="str">
        <f>IFERROR(__xludf.DUMMYFUNCTION("""COMPUTED_VALUE"""),"2019/11/05 11:50:00")</f>
        <v>2019/11/05 11:50:00</v>
      </c>
      <c r="H458" s="4" t="str">
        <f>IFERROR(__xludf.DUMMYFUNCTION("""COMPUTED_VALUE"""),"6a495aed-ecdf-47ec-8c0a-e6f37e1afeb2")</f>
        <v>6a495aed-ecdf-47ec-8c0a-e6f37e1afeb2</v>
      </c>
      <c r="I458" s="4" t="str">
        <f>IFERROR(__xludf.DUMMYFUNCTION("""COMPUTED_VALUE"""),"6a495aed-ecdf-47ec-8c0a-e6f37e1afeb2")</f>
        <v>6a495aed-ecdf-47ec-8c0a-e6f37e1afeb2</v>
      </c>
    </row>
    <row r="459">
      <c r="A459" s="4" t="str">
        <f>IFERROR(__xludf.DUMMYFUNCTION("""COMPUTED_VALUE"""),"The future of human existence: Proximity, productivity and the pursuit of happiness")</f>
        <v>The future of human existence: Proximity, productivity and the pursuit of happiness</v>
      </c>
      <c r="B459" s="4" t="str">
        <f>IFERROR(__xludf.DUMMYFUNCTION("""COMPUTED_VALUE"""),"The physical reality and close proximity that has defined humans for tens of thousands of years has been disrupted over the last century as mass movements of people have disconnected them from their cultures and values. Digital networks and platforms have"&amp;" attempted to solve this conundrum by allowing people to form virtual communities. Marcus Weldon will describe how the technologies of the future will allow humanity to create a new global-local reality, one that allows an augmented human to achieve the i"&amp;"mpossible in the most challenging of environments.")</f>
        <v>The physical reality and close proximity that has defined humans for tens of thousands of years has been disrupted over the last century as mass movements of people have disconnected them from their cultures and values. Digital networks and platforms have attempted to solve this conundrum by allowing people to form virtual communities. Marcus Weldon will describe how the technologies of the future will allow humanity to create a new global-local reality, one that allows an augmented human to achieve the impossible in the most challenging of environments.</v>
      </c>
      <c r="C459" s="4" t="str">
        <f>IFERROR(__xludf.DUMMYFUNCTION("""COMPUTED_VALUE"""),"Future Societies")</f>
        <v>Future Societies</v>
      </c>
      <c r="D459" s="4" t="str">
        <f>IFERROR(__xludf.DUMMYFUNCTION("""COMPUTED_VALUE"""),"Marcus Weldon")</f>
        <v>Marcus Weldon</v>
      </c>
      <c r="E459" s="4" t="str">
        <f>IFERROR(__xludf.DUMMYFUNCTION("""COMPUTED_VALUE"""),"Marcus Weldon")</f>
        <v>Marcus Weldon</v>
      </c>
      <c r="F459" s="4" t="str">
        <f>IFERROR(__xludf.DUMMYFUNCTION("""COMPUTED_VALUE"""),"2019/11/05 10:20:00")</f>
        <v>2019/11/05 10:20:00</v>
      </c>
      <c r="G459" s="4" t="str">
        <f>IFERROR(__xludf.DUMMYFUNCTION("""COMPUTED_VALUE"""),"2019/11/05 10:45:00")</f>
        <v>2019/11/05 10:45:00</v>
      </c>
      <c r="H459" s="4" t="str">
        <f>IFERROR(__xludf.DUMMYFUNCTION("""COMPUTED_VALUE"""),"9c19b48a-35b6-4a36-967d-67127fe4da6c")</f>
        <v>9c19b48a-35b6-4a36-967d-67127fe4da6c</v>
      </c>
      <c r="I459" s="4" t="str">
        <f>IFERROR(__xludf.DUMMYFUNCTION("""COMPUTED_VALUE"""),"9c19b48a-35b6-4a36-967d-67127fe4da6c")</f>
        <v>9c19b48a-35b6-4a36-967d-67127fe4da6c</v>
      </c>
    </row>
    <row r="460">
      <c r="A460" s="4" t="str">
        <f>IFERROR(__xludf.DUMMYFUNCTION("""COMPUTED_VALUE"""),"PITCH group round 6")</f>
        <v>PITCH group round 6</v>
      </c>
      <c r="B460" s="4" t="str">
        <f>IFERROR(__xludf.DUMMYFUNCTION("""COMPUTED_VALUE"""),"")</f>
        <v/>
      </c>
      <c r="C460" s="4" t="str">
        <f>IFERROR(__xludf.DUMMYFUNCTION("""COMPUTED_VALUE"""),"PITCH 3")</f>
        <v>PITCH 3</v>
      </c>
      <c r="D460" s="4" t="str">
        <f>IFERROR(__xludf.DUMMYFUNCTION("""COMPUTED_VALUE"""),"Dennis Smith, Miles Kirby, Yancey Spruill, Brendan Yell, Paulo Pinho, Tomasz Florczak, Nuno Brito Jorge, Jihye Roh, Etienne Koo, Hana Sutch and Manuel Milliery")</f>
        <v>Dennis Smith, Miles Kirby, Yancey Spruill, Brendan Yell, Paulo Pinho, Tomasz Florczak, Nuno Brito Jorge, Jihye Roh, Etienne Koo, Hana Sutch and Manuel Milliery</v>
      </c>
      <c r="E460" s="4" t="str">
        <f>IFERROR(__xludf.DUMMYFUNCTION("""COMPUTED_VALUE"""),"Dennis Smith,Miles Kirby,Yancey Spruill,Brendan Yell,Paulo Pinho,Tomasz Florczak,Nuno Brito Jorge,Jihye Roh,Etienne Koo,Hana Sutch,Manuel Milliery")</f>
        <v>Dennis Smith,Miles Kirby,Yancey Spruill,Brendan Yell,Paulo Pinho,Tomasz Florczak,Nuno Brito Jorge,Jihye Roh,Etienne Koo,Hana Sutch,Manuel Milliery</v>
      </c>
      <c r="F460" s="4" t="str">
        <f>IFERROR(__xludf.DUMMYFUNCTION("""COMPUTED_VALUE"""),"2019/11/05 10:15:00")</f>
        <v>2019/11/05 10:15:00</v>
      </c>
      <c r="G460" s="4" t="str">
        <f>IFERROR(__xludf.DUMMYFUNCTION("""COMPUTED_VALUE"""),"2019/11/05 11:15:00")</f>
        <v>2019/11/05 11:15:00</v>
      </c>
      <c r="H460" s="4" t="str">
        <f>IFERROR(__xludf.DUMMYFUNCTION("""COMPUTED_VALUE"""),"956995f2-54dd-423d-84cb-61dc1aaac201")</f>
        <v>956995f2-54dd-423d-84cb-61dc1aaac201</v>
      </c>
      <c r="I460" s="4" t="str">
        <f>IFERROR(__xludf.DUMMYFUNCTION("""COMPUTED_VALUE"""),"956995f2-54dd-423d-84cb-61dc1aaac201")</f>
        <v>956995f2-54dd-423d-84cb-61dc1aaac201</v>
      </c>
    </row>
    <row r="461">
      <c r="A461" s="4" t="str">
        <f>IFERROR(__xludf.DUMMYFUNCTION("""COMPUTED_VALUE"""),"The code: Business secrets from Silicon Valley")</f>
        <v>The code: Business secrets from Silicon Valley</v>
      </c>
      <c r="B461" s="4" t="str">
        <f>IFERROR(__xludf.DUMMYFUNCTION("""COMPUTED_VALUE"""),"What’s the secret of Silicon Valley’s success? How has one place produced so many generations of market-defining companies? Author Margaret O’Mara discusses the lessons for global business found in the true, behind-the-scenes history of the people who bui"&amp;"lt Silicon Valley and shaped Big Tech in the USA.")</f>
        <v>What’s the secret of Silicon Valley’s success? How has one place produced so many generations of market-defining companies? Author Margaret O’Mara discusses the lessons for global business found in the true, behind-the-scenes history of the people who built Silicon Valley and shaped Big Tech in the USA.</v>
      </c>
      <c r="C461" s="4" t="str">
        <f>IFERROR(__xludf.DUMMYFUNCTION("""COMPUTED_VALUE"""),"Corporate Innovation Summit")</f>
        <v>Corporate Innovation Summit</v>
      </c>
      <c r="D461" s="4" t="str">
        <f>IFERROR(__xludf.DUMMYFUNCTION("""COMPUTED_VALUE"""),"Margaret O'Mara")</f>
        <v>Margaret O'Mara</v>
      </c>
      <c r="E461" s="4" t="str">
        <f>IFERROR(__xludf.DUMMYFUNCTION("""COMPUTED_VALUE"""),"Margaret O'Mara")</f>
        <v>Margaret O'Mara</v>
      </c>
      <c r="F461" s="4" t="str">
        <f>IFERROR(__xludf.DUMMYFUNCTION("""COMPUTED_VALUE"""),"2019/11/05 10:15:00")</f>
        <v>2019/11/05 10:15:00</v>
      </c>
      <c r="G461" s="4" t="str">
        <f>IFERROR(__xludf.DUMMYFUNCTION("""COMPUTED_VALUE"""),"2019/11/05 10:35:00")</f>
        <v>2019/11/05 10:35:00</v>
      </c>
      <c r="H461" s="4" t="str">
        <f>IFERROR(__xludf.DUMMYFUNCTION("""COMPUTED_VALUE"""),"399de8d4-96aa-442c-a383-c8d98cbc61f6")</f>
        <v>399de8d4-96aa-442c-a383-c8d98cbc61f6</v>
      </c>
      <c r="I461" s="4" t="str">
        <f>IFERROR(__xludf.DUMMYFUNCTION("""COMPUTED_VALUE"""),"399de8d4-96aa-442c-a383-c8d98cbc61f6")</f>
        <v>399de8d4-96aa-442c-a383-c8d98cbc61f6</v>
      </c>
    </row>
    <row r="462">
      <c r="A462" s="4" t="str">
        <f>IFERROR(__xludf.DUMMYFUNCTION("""COMPUTED_VALUE"""),"Opening remarks ")</f>
        <v>Opening remarks </v>
      </c>
      <c r="B462" s="4" t="str">
        <f>IFERROR(__xludf.DUMMYFUNCTION("""COMPUTED_VALUE"""),"")</f>
        <v/>
      </c>
      <c r="C462" s="4" t="str">
        <f>IFERROR(__xludf.DUMMYFUNCTION("""COMPUTED_VALUE"""),"MoneyConf")</f>
        <v>MoneyConf</v>
      </c>
      <c r="D462" s="4" t="str">
        <f>IFERROR(__xludf.DUMMYFUNCTION("""COMPUTED_VALUE"""),"Muneeb Ali")</f>
        <v>Muneeb Ali</v>
      </c>
      <c r="E462" s="4" t="str">
        <f>IFERROR(__xludf.DUMMYFUNCTION("""COMPUTED_VALUE"""),"Muneeb Ali")</f>
        <v>Muneeb Ali</v>
      </c>
      <c r="F462" s="4" t="str">
        <f>IFERROR(__xludf.DUMMYFUNCTION("""COMPUTED_VALUE"""),"2019/11/06 10:45:00")</f>
        <v>2019/11/06 10:45:00</v>
      </c>
      <c r="G462" s="4" t="str">
        <f>IFERROR(__xludf.DUMMYFUNCTION("""COMPUTED_VALUE"""),"2019/11/06 11:00:00")</f>
        <v>2019/11/06 11:00:00</v>
      </c>
      <c r="H462" s="4" t="str">
        <f>IFERROR(__xludf.DUMMYFUNCTION("""COMPUTED_VALUE"""),"1b66f317-c871-47ad-a39d-5385bcaccee1")</f>
        <v>1b66f317-c871-47ad-a39d-5385bcaccee1</v>
      </c>
      <c r="I462" s="4" t="str">
        <f>IFERROR(__xludf.DUMMYFUNCTION("""COMPUTED_VALUE"""),"1b66f317-c871-47ad-a39d-5385bcaccee1")</f>
        <v>1b66f317-c871-47ad-a39d-5385bcaccee1</v>
      </c>
    </row>
    <row r="463">
      <c r="A463" s="4" t="str">
        <f>IFERROR(__xludf.DUMMYFUNCTION("""COMPUTED_VALUE"""),"How to build an impossible unicorn")</f>
        <v>How to build an impossible unicorn</v>
      </c>
      <c r="B463" s="4" t="str">
        <f>IFERROR(__xludf.DUMMYFUNCTION("""COMPUTED_VALUE"""),"Early on, Jean-Stéphane got told that Talentsoft would never grow at scale. Today Talentsoft counts 700 employees in 15 countries and is identified as one of the Next 40 Tech Giants by the French Government. Jean-Stéphane will share the important growth m"&amp;"ilestones that have made Talentsoft an international success.")</f>
        <v>Early on, Jean-Stéphane got told that Talentsoft would never grow at scale. Today Talentsoft counts 700 employees in 15 countries and is identified as one of the Next 40 Tech Giants by the French Government. Jean-Stéphane will share the important growth milestones that have made Talentsoft an international success.</v>
      </c>
      <c r="C463" s="4" t="str">
        <f>IFERROR(__xludf.DUMMYFUNCTION("""COMPUTED_VALUE"""),"Growth Summit")</f>
        <v>Growth Summit</v>
      </c>
      <c r="D463" s="4" t="str">
        <f>IFERROR(__xludf.DUMMYFUNCTION("""COMPUTED_VALUE"""),"Jean-Stéphane Arcis")</f>
        <v>Jean-Stéphane Arcis</v>
      </c>
      <c r="E463" s="4" t="str">
        <f>IFERROR(__xludf.DUMMYFUNCTION("""COMPUTED_VALUE"""),"Jean-Stéphane Arcis")</f>
        <v>Jean-Stéphane Arcis</v>
      </c>
      <c r="F463" s="4" t="str">
        <f>IFERROR(__xludf.DUMMYFUNCTION("""COMPUTED_VALUE"""),"2019/11/06 15:26:00")</f>
        <v>2019/11/06 15:26:00</v>
      </c>
      <c r="G463" s="4" t="str">
        <f>IFERROR(__xludf.DUMMYFUNCTION("""COMPUTED_VALUE"""),"2019/11/06 15:37:00")</f>
        <v>2019/11/06 15:37:00</v>
      </c>
      <c r="H463" s="4" t="str">
        <f>IFERROR(__xludf.DUMMYFUNCTION("""COMPUTED_VALUE"""),"c10e2b75-eaa6-4191-9b04-66834451c9ff")</f>
        <v>c10e2b75-eaa6-4191-9b04-66834451c9ff</v>
      </c>
      <c r="I463" s="4" t="str">
        <f>IFERROR(__xludf.DUMMYFUNCTION("""COMPUTED_VALUE"""),"c10e2b75-eaa6-4191-9b04-66834451c9ff")</f>
        <v>c10e2b75-eaa6-4191-9b04-66834451c9ff</v>
      </c>
    </row>
    <row r="464">
      <c r="A464" s="4" t="str">
        <f>IFERROR(__xludf.DUMMYFUNCTION("""COMPUTED_VALUE"""),"Opening remarks")</f>
        <v>Opening remarks</v>
      </c>
      <c r="B464" s="4" t="str">
        <f>IFERROR(__xludf.DUMMYFUNCTION("""COMPUTED_VALUE"""),"")</f>
        <v/>
      </c>
      <c r="C464" s="4" t="str">
        <f>IFERROR(__xludf.DUMMYFUNCTION("""COMPUTED_VALUE"""),"Growth Summit")</f>
        <v>Growth Summit</v>
      </c>
      <c r="D464" s="4" t="str">
        <f>IFERROR(__xludf.DUMMYFUNCTION("""COMPUTED_VALUE"""),"Francisco Alves da Silva")</f>
        <v>Francisco Alves da Silva</v>
      </c>
      <c r="E464" s="4" t="str">
        <f>IFERROR(__xludf.DUMMYFUNCTION("""COMPUTED_VALUE"""),"Francisco Alves da Silva")</f>
        <v>Francisco Alves da Silva</v>
      </c>
      <c r="F464" s="4" t="str">
        <f>IFERROR(__xludf.DUMMYFUNCTION("""COMPUTED_VALUE"""),"2019/11/07 12:28:00")</f>
        <v>2019/11/07 12:28:00</v>
      </c>
      <c r="G464" s="4" t="str">
        <f>IFERROR(__xludf.DUMMYFUNCTION("""COMPUTED_VALUE"""),"2019/11/07 12:30:00")</f>
        <v>2019/11/07 12:30:00</v>
      </c>
      <c r="H464" s="4" t="str">
        <f>IFERROR(__xludf.DUMMYFUNCTION("""COMPUTED_VALUE"""),"0e597982-da41-4399-b130-a7ce488655ba")</f>
        <v>0e597982-da41-4399-b130-a7ce488655ba</v>
      </c>
      <c r="I464" s="4" t="str">
        <f>IFERROR(__xludf.DUMMYFUNCTION("""COMPUTED_VALUE"""),"0e597982-da41-4399-b130-a7ce488655ba")</f>
        <v>0e597982-da41-4399-b130-a7ce488655ba</v>
      </c>
    </row>
    <row r="465">
      <c r="A465" s="4" t="str">
        <f>IFERROR(__xludf.DUMMYFUNCTION("""COMPUTED_VALUE"""),"Purpose as an accelerator for transformation")</f>
        <v>Purpose as an accelerator for transformation</v>
      </c>
      <c r="B465" s="4" t="str">
        <f>IFERROR(__xludf.DUMMYFUNCTION("""COMPUTED_VALUE"""),"“Purpose” can certainly be elected marketing buzzword of 2019 which inevitably comes with heated debates, and infamous counterexamples of brands trying to own a truthful role in society. Beyond idealism, an authentic purpose can allow an organisation to a"&amp;"chieve common goals, connecting a brand with culture and transforming how a company works.
")</f>
        <v>“Purpose” can certainly be elected marketing buzzword of 2019 which inevitably comes with heated debates, and infamous counterexamples of brands trying to own a truthful role in society. Beyond idealism, an authentic purpose can allow an organisation to achieve common goals, connecting a brand with culture and transforming how a company works.
</v>
      </c>
      <c r="C465" s="4" t="str">
        <f>IFERROR(__xludf.DUMMYFUNCTION("""COMPUTED_VALUE"""),"Corporate Innovation Summit")</f>
        <v>Corporate Innovation Summit</v>
      </c>
      <c r="D465" s="4" t="str">
        <f>IFERROR(__xludf.DUMMYFUNCTION("""COMPUTED_VALUE"""),"Andre Le Masurier, George Aivazoglou and Marty Swant")</f>
        <v>Andre Le Masurier, George Aivazoglou and Marty Swant</v>
      </c>
      <c r="E465" s="4" t="str">
        <f>IFERROR(__xludf.DUMMYFUNCTION("""COMPUTED_VALUE"""),"Andre Le Masurier,George Aivazoglou,Marty Swant")</f>
        <v>Andre Le Masurier,George Aivazoglou,Marty Swant</v>
      </c>
      <c r="F465" s="4" t="str">
        <f>IFERROR(__xludf.DUMMYFUNCTION("""COMPUTED_VALUE"""),"2019/11/07 11:00:00")</f>
        <v>2019/11/07 11:00:00</v>
      </c>
      <c r="G465" s="4" t="str">
        <f>IFERROR(__xludf.DUMMYFUNCTION("""COMPUTED_VALUE"""),"2019/11/07 11:20:00")</f>
        <v>2019/11/07 11:20:00</v>
      </c>
      <c r="H465" s="4" t="str">
        <f>IFERROR(__xludf.DUMMYFUNCTION("""COMPUTED_VALUE"""),"a8ae5789-78e4-4970-8dce-451e54bd8ac5")</f>
        <v>a8ae5789-78e4-4970-8dce-451e54bd8ac5</v>
      </c>
      <c r="I465" s="4" t="str">
        <f>IFERROR(__xludf.DUMMYFUNCTION("""COMPUTED_VALUE"""),"a8ae5789-78e4-4970-8dce-451e54bd8ac5")</f>
        <v>a8ae5789-78e4-4970-8dce-451e54bd8ac5</v>
      </c>
    </row>
    <row r="466">
      <c r="A466" s="4" t="str">
        <f>IFERROR(__xludf.DUMMYFUNCTION("""COMPUTED_VALUE"""),"Machine Demo Round 1")</f>
        <v>Machine Demo Round 1</v>
      </c>
      <c r="B466" s="4" t="str">
        <f>IFERROR(__xludf.DUMMYFUNCTION("""COMPUTED_VALUE"""),"Machine Demo showcases the top products created by startups in the hardware &amp; IoT, AI &amp; machine learning, gaming, augmented reality, and virtual reality industries. For each group round, the audience will vote to decide the winner. The winners from each g"&amp;"roup progress to the Machine Demo final.")</f>
        <v>Machine Demo showcases the top products created by startups in the hardware &amp; IoT, AI &amp; machine learning, gaming, augmented reality, and virtual reality industries. For each group round, the audience will vote to decide the winner. The winners from each group progress to the Machine Demo final.</v>
      </c>
      <c r="C466" s="4" t="str">
        <f>IFERROR(__xludf.DUMMYFUNCTION("""COMPUTED_VALUE"""),"Machine Demo")</f>
        <v>Machine Demo</v>
      </c>
      <c r="D466" s="4" t="str">
        <f>IFERROR(__xludf.DUMMYFUNCTION("""COMPUTED_VALUE"""),"Yamilette Cano, Olivier Zitvogel, Leo Scott Smith, Siva Chennupati, Daniel Sozonov and Egor Pchelnikov")</f>
        <v>Yamilette Cano, Olivier Zitvogel, Leo Scott Smith, Siva Chennupati, Daniel Sozonov and Egor Pchelnikov</v>
      </c>
      <c r="E466" s="4" t="str">
        <f>IFERROR(__xludf.DUMMYFUNCTION("""COMPUTED_VALUE"""),"Yamilette Cano,Olivier Zitvogel,Leo Scott Smith,Siva Chennupati,Daniel Sozonov,Egor Pchelnikov")</f>
        <v>Yamilette Cano,Olivier Zitvogel,Leo Scott Smith,Siva Chennupati,Daniel Sozonov,Egor Pchelnikov</v>
      </c>
      <c r="F466" s="4" t="str">
        <f>IFERROR(__xludf.DUMMYFUNCTION("""COMPUTED_VALUE"""),"2019/11/07 09:15:00")</f>
        <v>2019/11/07 09:15:00</v>
      </c>
      <c r="G466" s="4" t="str">
        <f>IFERROR(__xludf.DUMMYFUNCTION("""COMPUTED_VALUE"""),"2019/11/07 10:15:00")</f>
        <v>2019/11/07 10:15:00</v>
      </c>
      <c r="H466" s="4" t="str">
        <f>IFERROR(__xludf.DUMMYFUNCTION("""COMPUTED_VALUE"""),"0df02c2b-2564-48dd-bd12-11d2393f31eb")</f>
        <v>0df02c2b-2564-48dd-bd12-11d2393f31eb</v>
      </c>
      <c r="I466" s="4" t="str">
        <f>IFERROR(__xludf.DUMMYFUNCTION("""COMPUTED_VALUE"""),"0df02c2b-2564-48dd-bd12-11d2393f31eb")</f>
        <v>0df02c2b-2564-48dd-bd12-11d2393f31eb</v>
      </c>
    </row>
    <row r="467">
      <c r="A467" s="4" t="str">
        <f>IFERROR(__xludf.DUMMYFUNCTION("""COMPUTED_VALUE"""),"ATM 2")</f>
        <v>ATM 2</v>
      </c>
      <c r="B467" s="4" t="str">
        <f>IFERROR(__xludf.DUMMYFUNCTION("""COMPUTED_VALUE"""),"")</f>
        <v/>
      </c>
      <c r="C467" s="4" t="str">
        <f>IFERROR(__xludf.DUMMYFUNCTION("""COMPUTED_VALUE"""),"ATM - 2 - Nov 6")</f>
        <v>ATM - 2 - Nov 6</v>
      </c>
      <c r="D467" s="4" t="str">
        <f>IFERROR(__xludf.DUMMYFUNCTION("""COMPUTED_VALUE"""),"")</f>
        <v/>
      </c>
      <c r="E467" s="4" t="str">
        <f>IFERROR(__xludf.DUMMYFUNCTION("""COMPUTED_VALUE"""),"")</f>
        <v/>
      </c>
      <c r="F467" s="4" t="str">
        <f>IFERROR(__xludf.DUMMYFUNCTION("""COMPUTED_VALUE"""),"2019/11/06 20:01:00")</f>
        <v>2019/11/06 20:01:00</v>
      </c>
      <c r="G467" s="4" t="str">
        <f>IFERROR(__xludf.DUMMYFUNCTION("""COMPUTED_VALUE"""),"2019/11/07 02:00:00")</f>
        <v>2019/11/07 02:00:00</v>
      </c>
      <c r="H467" s="4" t="str">
        <f>IFERROR(__xludf.DUMMYFUNCTION("""COMPUTED_VALUE"""),"2798ce0a-13b4-4df5-9d57-fd9ee08c2af8")</f>
        <v>2798ce0a-13b4-4df5-9d57-fd9ee08c2af8</v>
      </c>
      <c r="I467" s="4" t="str">
        <f>IFERROR(__xludf.DUMMYFUNCTION("""COMPUTED_VALUE"""),"2798ce0a-13b4-4df5-9d57-fd9ee08c2af8")</f>
        <v>2798ce0a-13b4-4df5-9d57-fd9ee08c2af8</v>
      </c>
    </row>
    <row r="468">
      <c r="A468" s="8" t="str">
        <f>IFERROR(__xludf.DUMMYFUNCTION("""COMPUTED_VALUE"""),"Amazon.ai")</f>
        <v>Amazon.ai</v>
      </c>
      <c r="B468" s="4" t="str">
        <f>IFERROR(__xludf.DUMMYFUNCTION("""COMPUTED_VALUE"""),"Machine learning is fundamentally changing the world around us. Amazon has been one of the powerhouses of applied ML almost from its start 25 years ago. It operates hundreds of ML driven services, from counterfeit good detection to consumer review quality"&amp;" management. In this presentation Dr. Vogels details how Amazon has been successful in the application of ML and how AWS is democratising machine learning and putting it in the hands of every developer.")</f>
        <v>Machine learning is fundamentally changing the world around us. Amazon has been one of the powerhouses of applied ML almost from its start 25 years ago. It operates hundreds of ML driven services, from counterfeit good detection to consumer review quality management. In this presentation Dr. Vogels details how Amazon has been successful in the application of ML and how AWS is democratising machine learning and putting it in the hands of every developer.</v>
      </c>
      <c r="C468" s="4" t="str">
        <f>IFERROR(__xludf.DUMMYFUNCTION("""COMPUTED_VALUE"""),"Centre Stage")</f>
        <v>Centre Stage</v>
      </c>
      <c r="D468" s="4" t="str">
        <f>IFERROR(__xludf.DUMMYFUNCTION("""COMPUTED_VALUE"""),"Werner Vogels")</f>
        <v>Werner Vogels</v>
      </c>
      <c r="E468" s="4" t="str">
        <f>IFERROR(__xludf.DUMMYFUNCTION("""COMPUTED_VALUE"""),"Werner Vogels")</f>
        <v>Werner Vogels</v>
      </c>
      <c r="F468" s="4" t="str">
        <f>IFERROR(__xludf.DUMMYFUNCTION("""COMPUTED_VALUE"""),"2019/11/06 16:40:00")</f>
        <v>2019/11/06 16:40:00</v>
      </c>
      <c r="G468" s="4" t="str">
        <f>IFERROR(__xludf.DUMMYFUNCTION("""COMPUTED_VALUE"""),"2019/11/06 17:00:00")</f>
        <v>2019/11/06 17:00:00</v>
      </c>
      <c r="H468" s="4" t="str">
        <f>IFERROR(__xludf.DUMMYFUNCTION("""COMPUTED_VALUE"""),"9197b5fd-4b13-4003-9582-e68c131c44f3")</f>
        <v>9197b5fd-4b13-4003-9582-e68c131c44f3</v>
      </c>
      <c r="I468" s="4" t="str">
        <f>IFERROR(__xludf.DUMMYFUNCTION("""COMPUTED_VALUE"""),"9197b5fd-4b13-4003-9582-e68c131c44f3")</f>
        <v>9197b5fd-4b13-4003-9582-e68c131c44f3</v>
      </c>
    </row>
    <row r="469">
      <c r="A469" s="4" t="str">
        <f>IFERROR(__xludf.DUMMYFUNCTION("""COMPUTED_VALUE"""),"The DNA of a great invention is a great unmet need")</f>
        <v>The DNA of a great invention is a great unmet need</v>
      </c>
      <c r="B469" s="4" t="str">
        <f>IFERROR(__xludf.DUMMYFUNCTION("""COMPUTED_VALUE"""),"Founder of Cala Health, Kate will outline how a relentless focus on customer's needs can lead to breakthrough innovation that transcends traditional industry boundaries. By reimagining electricity as a medicine, she'll explain how her company is changing "&amp;"both the way we treat the body and the way patients access their healthcare.")</f>
        <v>Founder of Cala Health, Kate will outline how a relentless focus on customer's needs can lead to breakthrough innovation that transcends traditional industry boundaries. By reimagining electricity as a medicine, she'll explain how her company is changing both the way we treat the body and the way patients access their healthcare.</v>
      </c>
      <c r="C469" s="4" t="str">
        <f>IFERROR(__xludf.DUMMYFUNCTION("""COMPUTED_VALUE"""),"Growth Summit")</f>
        <v>Growth Summit</v>
      </c>
      <c r="D469" s="4" t="str">
        <f>IFERROR(__xludf.DUMMYFUNCTION("""COMPUTED_VALUE"""),"Kate Rosenbluth")</f>
        <v>Kate Rosenbluth</v>
      </c>
      <c r="E469" s="4" t="str">
        <f>IFERROR(__xludf.DUMMYFUNCTION("""COMPUTED_VALUE"""),"Kate Rosenbluth")</f>
        <v>Kate Rosenbluth</v>
      </c>
      <c r="F469" s="4" t="str">
        <f>IFERROR(__xludf.DUMMYFUNCTION("""COMPUTED_VALUE"""),"2019/11/05 15:59:00")</f>
        <v>2019/11/05 15:59:00</v>
      </c>
      <c r="G469" s="4" t="str">
        <f>IFERROR(__xludf.DUMMYFUNCTION("""COMPUTED_VALUE"""),"2019/11/05 16:10:00")</f>
        <v>2019/11/05 16:10:00</v>
      </c>
      <c r="H469" s="4" t="str">
        <f>IFERROR(__xludf.DUMMYFUNCTION("""COMPUTED_VALUE"""),"8f1fb494-18df-473f-8594-3f5388e5f785")</f>
        <v>8f1fb494-18df-473f-8594-3f5388e5f785</v>
      </c>
      <c r="I469" s="4" t="str">
        <f>IFERROR(__xludf.DUMMYFUNCTION("""COMPUTED_VALUE"""),"8f1fb494-18df-473f-8594-3f5388e5f785")</f>
        <v>8f1fb494-18df-473f-8594-3f5388e5f785</v>
      </c>
    </row>
    <row r="470">
      <c r="A470" s="4" t="str">
        <f>IFERROR(__xludf.DUMMYFUNCTION("""COMPUTED_VALUE"""),"ShopAdvizor: Building collaborative ecosystems")</f>
        <v>ShopAdvizor: Building collaborative ecosystems</v>
      </c>
      <c r="B470" s="4" t="str">
        <f>IFERROR(__xludf.DUMMYFUNCTION("""COMPUTED_VALUE"""),"The CEO of ShopAdvizor, Diego will share how without fundraising, they have been able to onboard 1,000+ companies to participate in a collaborative ecosystem that turned into the biggest community of consumer goods reviews in France.")</f>
        <v>The CEO of ShopAdvizor, Diego will share how without fundraising, they have been able to onboard 1,000+ companies to participate in a collaborative ecosystem that turned into the biggest community of consumer goods reviews in France.</v>
      </c>
      <c r="C470" s="4" t="str">
        <f>IFERROR(__xludf.DUMMYFUNCTION("""COMPUTED_VALUE"""),"Growth Summit")</f>
        <v>Growth Summit</v>
      </c>
      <c r="D470" s="4" t="str">
        <f>IFERROR(__xludf.DUMMYFUNCTION("""COMPUTED_VALUE"""),"Diego Chorny")</f>
        <v>Diego Chorny</v>
      </c>
      <c r="E470" s="4" t="str">
        <f>IFERROR(__xludf.DUMMYFUNCTION("""COMPUTED_VALUE"""),"Diego Chorny")</f>
        <v>Diego Chorny</v>
      </c>
      <c r="F470" s="4" t="str">
        <f>IFERROR(__xludf.DUMMYFUNCTION("""COMPUTED_VALUE"""),"2019/11/06 10:14:00")</f>
        <v>2019/11/06 10:14:00</v>
      </c>
      <c r="G470" s="4" t="str">
        <f>IFERROR(__xludf.DUMMYFUNCTION("""COMPUTED_VALUE"""),"2019/11/06 10:18:00")</f>
        <v>2019/11/06 10:18:00</v>
      </c>
      <c r="H470" s="4" t="str">
        <f>IFERROR(__xludf.DUMMYFUNCTION("""COMPUTED_VALUE"""),"617644be-ed2a-4d1d-81a2-7d2a002112e1")</f>
        <v>617644be-ed2a-4d1d-81a2-7d2a002112e1</v>
      </c>
      <c r="I470" s="4" t="str">
        <f>IFERROR(__xludf.DUMMYFUNCTION("""COMPUTED_VALUE"""),"617644be-ed2a-4d1d-81a2-7d2a002112e1")</f>
        <v>617644be-ed2a-4d1d-81a2-7d2a002112e1</v>
      </c>
    </row>
    <row r="471">
      <c r="A471" s="4" t="str">
        <f>IFERROR(__xludf.DUMMYFUNCTION("""COMPUTED_VALUE"""),"The next generation of CRISPR")</f>
        <v>The next generation of CRISPR</v>
      </c>
      <c r="B471" s="4" t="str">
        <f>IFERROR(__xludf.DUMMYFUNCTION("""COMPUTED_VALUE"""),"Most people associate CRISPR with editing the genome, but Mammoth are building the next generation CRISPR platform with new enzymes that enable novel functions, including a brand new type of CRISPR based diagnostics. 
")</f>
        <v>Most people associate CRISPR with editing the genome, but Mammoth are building the next generation CRISPR platform with new enzymes that enable novel functions, including a brand new type of CRISPR based diagnostics. 
</v>
      </c>
      <c r="C471" s="4" t="str">
        <f>IFERROR(__xludf.DUMMYFUNCTION("""COMPUTED_VALUE"""),"Growth Summit")</f>
        <v>Growth Summit</v>
      </c>
      <c r="D471" s="4" t="str">
        <f>IFERROR(__xludf.DUMMYFUNCTION("""COMPUTED_VALUE"""),"Trevor Martin")</f>
        <v>Trevor Martin</v>
      </c>
      <c r="E471" s="4" t="str">
        <f>IFERROR(__xludf.DUMMYFUNCTION("""COMPUTED_VALUE"""),"Trevor Martin")</f>
        <v>Trevor Martin</v>
      </c>
      <c r="F471" s="4" t="str">
        <f>IFERROR(__xludf.DUMMYFUNCTION("""COMPUTED_VALUE"""),"2019/11/07 13:58:00")</f>
        <v>2019/11/07 13:58:00</v>
      </c>
      <c r="G471" s="4" t="str">
        <f>IFERROR(__xludf.DUMMYFUNCTION("""COMPUTED_VALUE"""),"2019/11/07 14:09:00")</f>
        <v>2019/11/07 14:09:00</v>
      </c>
      <c r="H471" s="4" t="str">
        <f>IFERROR(__xludf.DUMMYFUNCTION("""COMPUTED_VALUE"""),"0f8b290c-0329-4873-b798-cf319141eafd")</f>
        <v>0f8b290c-0329-4873-b798-cf319141eafd</v>
      </c>
      <c r="I471" s="4" t="str">
        <f>IFERROR(__xludf.DUMMYFUNCTION("""COMPUTED_VALUE"""),"0f8b290c-0329-4873-b798-cf319141eafd")</f>
        <v>0f8b290c-0329-4873-b798-cf319141eafd</v>
      </c>
    </row>
    <row r="472">
      <c r="A472" s="4" t="str">
        <f>IFERROR(__xludf.DUMMYFUNCTION("""COMPUTED_VALUE"""),"What is the role of a leader? ")</f>
        <v>What is the role of a leader? </v>
      </c>
      <c r="B472" s="4" t="str">
        <f>IFERROR(__xludf.DUMMYFUNCTION("""COMPUTED_VALUE"""),"Leading imaging unicorn Light talks about the pressure of leading a robust in-house R&amp;D department with the relentless pressure to go to market.
")</f>
        <v>Leading imaging unicorn Light talks about the pressure of leading a robust in-house R&amp;D department with the relentless pressure to go to market.
</v>
      </c>
      <c r="C472" s="4" t="str">
        <f>IFERROR(__xludf.DUMMYFUNCTION("""COMPUTED_VALUE"""),"Startup University")</f>
        <v>Startup University</v>
      </c>
      <c r="D472" s="4" t="str">
        <f>IFERROR(__xludf.DUMMYFUNCTION("""COMPUTED_VALUE"""),"Dave Grannan")</f>
        <v>Dave Grannan</v>
      </c>
      <c r="E472" s="4" t="str">
        <f>IFERROR(__xludf.DUMMYFUNCTION("""COMPUTED_VALUE"""),"Dave Grannan")</f>
        <v>Dave Grannan</v>
      </c>
      <c r="F472" s="4" t="str">
        <f>IFERROR(__xludf.DUMMYFUNCTION("""COMPUTED_VALUE"""),"2019/11/05 15:45:00")</f>
        <v>2019/11/05 15:45:00</v>
      </c>
      <c r="G472" s="4" t="str">
        <f>IFERROR(__xludf.DUMMYFUNCTION("""COMPUTED_VALUE"""),"2019/11/05 16:05:00")</f>
        <v>2019/11/05 16:05:00</v>
      </c>
      <c r="H472" s="4" t="str">
        <f>IFERROR(__xludf.DUMMYFUNCTION("""COMPUTED_VALUE"""),"c30ac702-fbcb-4f44-a5f8-5232947804fc")</f>
        <v>c30ac702-fbcb-4f44-a5f8-5232947804fc</v>
      </c>
      <c r="I472" s="4" t="str">
        <f>IFERROR(__xludf.DUMMYFUNCTION("""COMPUTED_VALUE"""),"c30ac702-fbcb-4f44-a5f8-5232947804fc")</f>
        <v>c30ac702-fbcb-4f44-a5f8-5232947804fc</v>
      </c>
    </row>
    <row r="473">
      <c r="A473" s="4" t="str">
        <f>IFERROR(__xludf.DUMMYFUNCTION("""COMPUTED_VALUE"""),"The three things every leader should know")</f>
        <v>The three things every leader should know</v>
      </c>
      <c r="B473" s="4" t="str">
        <f>IFERROR(__xludf.DUMMYFUNCTION("""COMPUTED_VALUE"""),"How can we inspire the next generation and create a new form of leadership in the digital age? What are the greatest challenges to a modern day leader? The leaders of eToro, Andela , Walmart and Mozilla share their insights.")</f>
        <v>How can we inspire the next generation and create a new form of leadership in the digital age? What are the greatest challenges to a modern day leader? The leaders of eToro, Andela , Walmart and Mozilla share their insights.</v>
      </c>
      <c r="C473" s="4" t="str">
        <f>IFERROR(__xludf.DUMMYFUNCTION("""COMPUTED_VALUE"""),"Centre Stage")</f>
        <v>Centre Stage</v>
      </c>
      <c r="D473" s="4" t="str">
        <f>IFERROR(__xludf.DUMMYFUNCTION("""COMPUTED_VALUE"""),"Yoni Assia, Mitchell Baker, Christina Sass, Jamie Iannone and Mike Butcher")</f>
        <v>Yoni Assia, Mitchell Baker, Christina Sass, Jamie Iannone and Mike Butcher</v>
      </c>
      <c r="E473" s="4" t="str">
        <f>IFERROR(__xludf.DUMMYFUNCTION("""COMPUTED_VALUE"""),"Yoni Assia,Mitchell Baker,Christina Sass,Jamie Iannone,Mike Butcher")</f>
        <v>Yoni Assia,Mitchell Baker,Christina Sass,Jamie Iannone,Mike Butcher</v>
      </c>
      <c r="F473" s="4" t="str">
        <f>IFERROR(__xludf.DUMMYFUNCTION("""COMPUTED_VALUE"""),"2019/11/07 10:50:00")</f>
        <v>2019/11/07 10:50:00</v>
      </c>
      <c r="G473" s="4" t="str">
        <f>IFERROR(__xludf.DUMMYFUNCTION("""COMPUTED_VALUE"""),"2019/11/07 11:15:00")</f>
        <v>2019/11/07 11:15:00</v>
      </c>
      <c r="H473" s="4" t="str">
        <f>IFERROR(__xludf.DUMMYFUNCTION("""COMPUTED_VALUE"""),"c37ddbc8-871a-4362-af76-1732220ef09a")</f>
        <v>c37ddbc8-871a-4362-af76-1732220ef09a</v>
      </c>
      <c r="I473" s="4" t="str">
        <f>IFERROR(__xludf.DUMMYFUNCTION("""COMPUTED_VALUE"""),"c37ddbc8-871a-4362-af76-1732220ef09a")</f>
        <v>c37ddbc8-871a-4362-af76-1732220ef09a</v>
      </c>
    </row>
    <row r="474">
      <c r="A474" s="4" t="str">
        <f>IFERROR(__xludf.DUMMYFUNCTION("""COMPUTED_VALUE"""),"Startup, then scale up.")</f>
        <v>Startup, then scale up.</v>
      </c>
      <c r="B474" s="4" t="str">
        <f>IFERROR(__xludf.DUMMYFUNCTION("""COMPUTED_VALUE"""),"Serial entrepreneurs talk about starting up on your own terms, and the formula to scaling without compromise. ")</f>
        <v>Serial entrepreneurs talk about starting up on your own terms, and the formula to scaling without compromise. </v>
      </c>
      <c r="C474" s="4" t="str">
        <f>IFERROR(__xludf.DUMMYFUNCTION("""COMPUTED_VALUE"""),"Startup University")</f>
        <v>Startup University</v>
      </c>
      <c r="D474" s="4" t="str">
        <f>IFERROR(__xludf.DUMMYFUNCTION("""COMPUTED_VALUE"""),"Francis Davidson and Shalini Khemka")</f>
        <v>Francis Davidson and Shalini Khemka</v>
      </c>
      <c r="E474" s="4" t="str">
        <f>IFERROR(__xludf.DUMMYFUNCTION("""COMPUTED_VALUE"""),"Francis Davidson,Shalini Khemka")</f>
        <v>Francis Davidson,Shalini Khemka</v>
      </c>
      <c r="F474" s="4" t="str">
        <f>IFERROR(__xludf.DUMMYFUNCTION("""COMPUTED_VALUE"""),"2019/11/06 14:35:00")</f>
        <v>2019/11/06 14:35:00</v>
      </c>
      <c r="G474" s="4" t="str">
        <f>IFERROR(__xludf.DUMMYFUNCTION("""COMPUTED_VALUE"""),"2019/11/06 14:55:00")</f>
        <v>2019/11/06 14:55:00</v>
      </c>
      <c r="H474" s="4" t="str">
        <f>IFERROR(__xludf.DUMMYFUNCTION("""COMPUTED_VALUE"""),"bd19905f-30c5-4192-87af-a121c85a5c37")</f>
        <v>bd19905f-30c5-4192-87af-a121c85a5c37</v>
      </c>
      <c r="I474" s="4" t="str">
        <f>IFERROR(__xludf.DUMMYFUNCTION("""COMPUTED_VALUE"""),"bd19905f-30c5-4192-87af-a121c85a5c37")</f>
        <v>bd19905f-30c5-4192-87af-a121c85a5c37</v>
      </c>
    </row>
    <row r="475">
      <c r="A475" s="4" t="str">
        <f>IFERROR(__xludf.DUMMYFUNCTION("""COMPUTED_VALUE"""),"Growing a celebrity brand in the digital age")</f>
        <v>Growing a celebrity brand in the digital age</v>
      </c>
      <c r="B475" s="4" t="str">
        <f>IFERROR(__xludf.DUMMYFUNCTION("""COMPUTED_VALUE"""),"How do you turn a sporting talent into a brand?  Sports stars have the platform but not always the know how to convert their status into success. Let's hear from the stars and the agents to the stars on how it's done.")</f>
        <v>How do you turn a sporting talent into a brand?  Sports stars have the platform but not always the know how to convert their status into success. Let's hear from the stars and the agents to the stars on how it's done.</v>
      </c>
      <c r="C475" s="4" t="str">
        <f>IFERROR(__xludf.DUMMYFUNCTION("""COMPUTED_VALUE"""),"PandaConf")</f>
        <v>PandaConf</v>
      </c>
      <c r="D475" s="4" t="str">
        <f>IFERROR(__xludf.DUMMYFUNCTION("""COMPUTED_VALUE"""),"Louis Saha, Simon Oliveira, Paige VanZant and Miguel Delaney")</f>
        <v>Louis Saha, Simon Oliveira, Paige VanZant and Miguel Delaney</v>
      </c>
      <c r="E475" s="4" t="str">
        <f>IFERROR(__xludf.DUMMYFUNCTION("""COMPUTED_VALUE"""),"Louis Saha,Simon Oliveira,Paige VanZant,Miguel Delaney")</f>
        <v>Louis Saha,Simon Oliveira,Paige VanZant,Miguel Delaney</v>
      </c>
      <c r="F475" s="4" t="str">
        <f>IFERROR(__xludf.DUMMYFUNCTION("""COMPUTED_VALUE"""),"2019/11/06 14:20:00")</f>
        <v>2019/11/06 14:20:00</v>
      </c>
      <c r="G475" s="4" t="str">
        <f>IFERROR(__xludf.DUMMYFUNCTION("""COMPUTED_VALUE"""),"2019/11/06 14:45:00")</f>
        <v>2019/11/06 14:45:00</v>
      </c>
      <c r="H475" s="4" t="str">
        <f>IFERROR(__xludf.DUMMYFUNCTION("""COMPUTED_VALUE"""),"390ba761-c981-4b58-94f6-84489df157bb")</f>
        <v>390ba761-c981-4b58-94f6-84489df157bb</v>
      </c>
      <c r="I475" s="4" t="str">
        <f>IFERROR(__xludf.DUMMYFUNCTION("""COMPUTED_VALUE"""),"390ba761-c981-4b58-94f6-84489df157bb")</f>
        <v>390ba761-c981-4b58-94f6-84489df157bb</v>
      </c>
    </row>
    <row r="476">
      <c r="A476" s="4" t="str">
        <f>IFERROR(__xludf.DUMMYFUNCTION("""COMPUTED_VALUE"""),"How to rise above digital noise and achieve hypergrowth")</f>
        <v>How to rise above digital noise and achieve hypergrowth</v>
      </c>
      <c r="B476" s="4" t="str">
        <f>IFERROR(__xludf.DUMMYFUNCTION("""COMPUTED_VALUE"""),"Learn how Sendoso got on people’s desks, instead of their inboxes, and saw triple-digit YoY customer growth and 893% user growth since the beginning of 2018.")</f>
        <v>Learn how Sendoso got on people’s desks, instead of their inboxes, and saw triple-digit YoY customer growth and 893% user growth since the beginning of 2018.</v>
      </c>
      <c r="C476" s="4" t="str">
        <f>IFERROR(__xludf.DUMMYFUNCTION("""COMPUTED_VALUE"""),"Growth Summit")</f>
        <v>Growth Summit</v>
      </c>
      <c r="D476" s="4" t="str">
        <f>IFERROR(__xludf.DUMMYFUNCTION("""COMPUTED_VALUE"""),"Kris Rudeegraap")</f>
        <v>Kris Rudeegraap</v>
      </c>
      <c r="E476" s="4" t="str">
        <f>IFERROR(__xludf.DUMMYFUNCTION("""COMPUTED_VALUE"""),"Kris Rudeegraap")</f>
        <v>Kris Rudeegraap</v>
      </c>
      <c r="F476" s="4" t="str">
        <f>IFERROR(__xludf.DUMMYFUNCTION("""COMPUTED_VALUE"""),"2019/11/06 10:30:00")</f>
        <v>2019/11/06 10:30:00</v>
      </c>
      <c r="G476" s="4" t="str">
        <f>IFERROR(__xludf.DUMMYFUNCTION("""COMPUTED_VALUE"""),"2019/11/06 10:34:00")</f>
        <v>2019/11/06 10:34:00</v>
      </c>
      <c r="H476" s="4" t="str">
        <f>IFERROR(__xludf.DUMMYFUNCTION("""COMPUTED_VALUE"""),"ea6b06e5-9ca9-4e4b-92e8-bcfdb371ddcf")</f>
        <v>ea6b06e5-9ca9-4e4b-92e8-bcfdb371ddcf</v>
      </c>
      <c r="I476" s="4" t="str">
        <f>IFERROR(__xludf.DUMMYFUNCTION("""COMPUTED_VALUE"""),"ea6b06e5-9ca9-4e4b-92e8-bcfdb371ddcf")</f>
        <v>ea6b06e5-9ca9-4e4b-92e8-bcfdb371ddcf</v>
      </c>
    </row>
    <row r="477">
      <c r="A477" s="4" t="str">
        <f>IFERROR(__xludf.DUMMYFUNCTION("""COMPUTED_VALUE"""),"Smart exits: How can we help?")</f>
        <v>Smart exits: How can we help?</v>
      </c>
      <c r="B477" s="4" t="str">
        <f>IFERROR(__xludf.DUMMYFUNCTION("""COMPUTED_VALUE"""),"Investors work together to help founders grow their companies and eventually reach the exit scenario. Join this panel to find out what role investors play in supporting their founders.
")</f>
        <v>Investors work together to help founders grow their companies and eventually reach the exit scenario. Join this panel to find out what role investors play in supporting their founders.
</v>
      </c>
      <c r="C477" s="4" t="str">
        <f>IFERROR(__xludf.DUMMYFUNCTION("""COMPUTED_VALUE"""),"Venture stage")</f>
        <v>Venture stage</v>
      </c>
      <c r="D477" s="4" t="str">
        <f>IFERROR(__xludf.DUMMYFUNCTION("""COMPUTED_VALUE"""),"Younghoon Park, Jean-Marc Patouillaud, Asaf Horesh and Mike Hollinger")</f>
        <v>Younghoon Park, Jean-Marc Patouillaud, Asaf Horesh and Mike Hollinger</v>
      </c>
      <c r="E477" s="4" t="str">
        <f>IFERROR(__xludf.DUMMYFUNCTION("""COMPUTED_VALUE"""),"Younghoon Park,Jean-Marc Patouillaud,Asaf Horesh,Mike Hollinger")</f>
        <v>Younghoon Park,Jean-Marc Patouillaud,Asaf Horesh,Mike Hollinger</v>
      </c>
      <c r="F477" s="4" t="str">
        <f>IFERROR(__xludf.DUMMYFUNCTION("""COMPUTED_VALUE"""),"2019/11/05 11:35:00")</f>
        <v>2019/11/05 11:35:00</v>
      </c>
      <c r="G477" s="4" t="str">
        <f>IFERROR(__xludf.DUMMYFUNCTION("""COMPUTED_VALUE"""),"2019/11/05 12:00:00")</f>
        <v>2019/11/05 12:00:00</v>
      </c>
      <c r="H477" s="4" t="str">
        <f>IFERROR(__xludf.DUMMYFUNCTION("""COMPUTED_VALUE"""),"a86f6d35-9ddf-4888-a2da-8c6f010e86fe")</f>
        <v>a86f6d35-9ddf-4888-a2da-8c6f010e86fe</v>
      </c>
      <c r="I477" s="4" t="str">
        <f>IFERROR(__xludf.DUMMYFUNCTION("""COMPUTED_VALUE"""),"a86f6d35-9ddf-4888-a2da-8c6f010e86fe")</f>
        <v>a86f6d35-9ddf-4888-a2da-8c6f010e86fe</v>
      </c>
    </row>
    <row r="478">
      <c r="A478" s="4" t="str">
        <f>IFERROR(__xludf.DUMMYFUNCTION("""COMPUTED_VALUE"""),"Improving your security posture with the AWS cloud")</f>
        <v>Improving your security posture with the AWS cloud</v>
      </c>
      <c r="B478" s="4" t="str">
        <f>IFERROR(__xludf.DUMMYFUNCTION("""COMPUTED_VALUE"""),"Security is priority number one for both AWS and our customers. In this session, learn how moving to the cloud can provide a higher degree of security compliant for your workload and understand how in the cloud, security scales as your business does. We w"&amp;"ill cover concepts such as the “shared responsibility model” and share real world examples of how customers have improved their security posture in the cloud, instead of with traditional approaches.")</f>
        <v>Security is priority number one for both AWS and our customers. In this session, learn how moving to the cloud can provide a higher degree of security compliant for your workload and understand how in the cloud, security scales as your business does. We will cover concepts such as the “shared responsibility model” and share real world examples of how customers have improved their security posture in the cloud, instead of with traditional approaches.</v>
      </c>
      <c r="C478" s="4" t="str">
        <f>IFERROR(__xludf.DUMMYFUNCTION("""COMPUTED_VALUE"""),"AWS Developer Workshops")</f>
        <v>AWS Developer Workshops</v>
      </c>
      <c r="D478" s="4" t="str">
        <f>IFERROR(__xludf.DUMMYFUNCTION("""COMPUTED_VALUE"""),"")</f>
        <v/>
      </c>
      <c r="E478" s="4" t="str">
        <f>IFERROR(__xludf.DUMMYFUNCTION("""COMPUTED_VALUE"""),"")</f>
        <v/>
      </c>
      <c r="F478" s="4" t="str">
        <f>IFERROR(__xludf.DUMMYFUNCTION("""COMPUTED_VALUE"""),"2019/11/06 15:00:00")</f>
        <v>2019/11/06 15:00:00</v>
      </c>
      <c r="G478" s="4" t="str">
        <f>IFERROR(__xludf.DUMMYFUNCTION("""COMPUTED_VALUE"""),"2019/11/06 15:50:00")</f>
        <v>2019/11/06 15:50:00</v>
      </c>
      <c r="H478" s="4" t="str">
        <f>IFERROR(__xludf.DUMMYFUNCTION("""COMPUTED_VALUE"""),"c7270c62-c100-4560-8cc1-0ba3c8fe3ff7")</f>
        <v>c7270c62-c100-4560-8cc1-0ba3c8fe3ff7</v>
      </c>
      <c r="I478" s="4" t="str">
        <f>IFERROR(__xludf.DUMMYFUNCTION("""COMPUTED_VALUE"""),"c7270c62-c100-4560-8cc1-0ba3c8fe3ff7")</f>
        <v>c7270c62-c100-4560-8cc1-0ba3c8fe3ff7</v>
      </c>
    </row>
    <row r="479">
      <c r="A479" s="4" t="str">
        <f>IFERROR(__xludf.DUMMYFUNCTION("""COMPUTED_VALUE"""),"Creating the Android of WiFi networks")</f>
        <v>Creating the Android of WiFi networks</v>
      </c>
      <c r="B479" s="4" t="str">
        <f>IFERROR(__xludf.DUMMYFUNCTION("""COMPUTED_VALUE"""),"Sebastiano, CEO of Tanaza, will explain how Tanaza is replicating Android’s approach of creating a horizontal market in the wireless networking sector.")</f>
        <v>Sebastiano, CEO of Tanaza, will explain how Tanaza is replicating Android’s approach of creating a horizontal market in the wireless networking sector.</v>
      </c>
      <c r="C479" s="4" t="str">
        <f>IFERROR(__xludf.DUMMYFUNCTION("""COMPUTED_VALUE"""),"Growth Summit")</f>
        <v>Growth Summit</v>
      </c>
      <c r="D479" s="4" t="str">
        <f>IFERROR(__xludf.DUMMYFUNCTION("""COMPUTED_VALUE"""),"Sebastiano Bertani")</f>
        <v>Sebastiano Bertani</v>
      </c>
      <c r="E479" s="4" t="str">
        <f>IFERROR(__xludf.DUMMYFUNCTION("""COMPUTED_VALUE"""),"Sebastiano Bertani")</f>
        <v>Sebastiano Bertani</v>
      </c>
      <c r="F479" s="4" t="str">
        <f>IFERROR(__xludf.DUMMYFUNCTION("""COMPUTED_VALUE"""),"2019/11/06 10:58:00")</f>
        <v>2019/11/06 10:58:00</v>
      </c>
      <c r="G479" s="4" t="str">
        <f>IFERROR(__xludf.DUMMYFUNCTION("""COMPUTED_VALUE"""),"2019/11/06 11:02:00")</f>
        <v>2019/11/06 11:02:00</v>
      </c>
      <c r="H479" s="4" t="str">
        <f>IFERROR(__xludf.DUMMYFUNCTION("""COMPUTED_VALUE"""),"18d984ca-d851-4f55-b503-6f10cbe565bd")</f>
        <v>18d984ca-d851-4f55-b503-6f10cbe565bd</v>
      </c>
      <c r="I479" s="4" t="str">
        <f>IFERROR(__xludf.DUMMYFUNCTION("""COMPUTED_VALUE"""),"18d984ca-d851-4f55-b503-6f10cbe565bd")</f>
        <v>18d984ca-d851-4f55-b503-6f10cbe565bd</v>
      </c>
    </row>
    <row r="480">
      <c r="A480" s="4" t="str">
        <f>IFERROR(__xludf.DUMMYFUNCTION("""COMPUTED_VALUE"""),"Digging deep and beating burnout ")</f>
        <v>Digging deep and beating burnout </v>
      </c>
      <c r="B480" s="4" t="str">
        <f>IFERROR(__xludf.DUMMYFUNCTION("""COMPUTED_VALUE"""),"We ask veteran creative thinkers in business and the arts how to keep the well of creativity and longevity flowing.  ")</f>
        <v>We ask veteran creative thinkers in business and the arts how to keep the well of creativity and longevity flowing.  </v>
      </c>
      <c r="C480" s="4" t="str">
        <f>IFERROR(__xludf.DUMMYFUNCTION("""COMPUTED_VALUE"""),"Startup University")</f>
        <v>Startup University</v>
      </c>
      <c r="D480" s="4" t="str">
        <f>IFERROR(__xludf.DUMMYFUNCTION("""COMPUTED_VALUE"""),"Mitchell Baker, Paige VanZant and Steve Clemons")</f>
        <v>Mitchell Baker, Paige VanZant and Steve Clemons</v>
      </c>
      <c r="E480" s="4" t="str">
        <f>IFERROR(__xludf.DUMMYFUNCTION("""COMPUTED_VALUE"""),"Mitchell Baker,Paige VanZant,Steve Clemons")</f>
        <v>Mitchell Baker,Paige VanZant,Steve Clemons</v>
      </c>
      <c r="F480" s="4" t="str">
        <f>IFERROR(__xludf.DUMMYFUNCTION("""COMPUTED_VALUE"""),"2019/11/06 13:15:00")</f>
        <v>2019/11/06 13:15:00</v>
      </c>
      <c r="G480" s="4" t="str">
        <f>IFERROR(__xludf.DUMMYFUNCTION("""COMPUTED_VALUE"""),"2019/11/06 13:35:00")</f>
        <v>2019/11/06 13:35:00</v>
      </c>
      <c r="H480" s="4" t="str">
        <f>IFERROR(__xludf.DUMMYFUNCTION("""COMPUTED_VALUE"""),"1edf5f99-3d0a-4aea-972e-90a156a6a41e")</f>
        <v>1edf5f99-3d0a-4aea-972e-90a156a6a41e</v>
      </c>
      <c r="I480" s="4" t="str">
        <f>IFERROR(__xludf.DUMMYFUNCTION("""COMPUTED_VALUE"""),"1edf5f99-3d0a-4aea-972e-90a156a6a41e")</f>
        <v>1edf5f99-3d0a-4aea-972e-90a156a6a41e</v>
      </c>
    </row>
    <row r="481">
      <c r="A481" s="4" t="str">
        <f>IFERROR(__xludf.DUMMYFUNCTION("""COMPUTED_VALUE"""),"Fuelling the esports phenomenon ")</f>
        <v>Fuelling the esports phenomenon </v>
      </c>
      <c r="B481" s="4" t="str">
        <f>IFERROR(__xludf.DUMMYFUNCTION("""COMPUTED_VALUE"""),"From Seoul to the USA, esports have taken over the world. From international live competitions, training camps, and in-game advertising, the business opportunity expands far beyond those who work in gaming. Whether you work in music, marketing, or social "&amp;"media, you should be paying attention to esports. Find out how to tap this new channel and connect with a global audience. ")</f>
        <v>From Seoul to the USA, esports have taken over the world. From international live competitions, training camps, and in-game advertising, the business opportunity expands far beyond those who work in gaming. Whether you work in music, marketing, or social media, you should be paying attention to esports. Find out how to tap this new channel and connect with a global audience. </v>
      </c>
      <c r="C481" s="4" t="str">
        <f>IFERROR(__xludf.DUMMYFUNCTION("""COMPUTED_VALUE"""),"ContentMakers")</f>
        <v>ContentMakers</v>
      </c>
      <c r="D481" s="4" t="str">
        <f>IFERROR(__xludf.DUMMYFUNCTION("""COMPUTED_VALUE"""),"Bono Huis, Gavin Poole, Rachel Gowers and Dave Thier")</f>
        <v>Bono Huis, Gavin Poole, Rachel Gowers and Dave Thier</v>
      </c>
      <c r="E481" s="4" t="str">
        <f>IFERROR(__xludf.DUMMYFUNCTION("""COMPUTED_VALUE"""),"Bono Huis,Gavin Poole,Rachel Gowers,Dave Thier")</f>
        <v>Bono Huis,Gavin Poole,Rachel Gowers,Dave Thier</v>
      </c>
      <c r="F481" s="4" t="str">
        <f>IFERROR(__xludf.DUMMYFUNCTION("""COMPUTED_VALUE"""),"2019/11/07 15:00:00")</f>
        <v>2019/11/07 15:00:00</v>
      </c>
      <c r="G481" s="4" t="str">
        <f>IFERROR(__xludf.DUMMYFUNCTION("""COMPUTED_VALUE"""),"2019/11/07 15:20:00")</f>
        <v>2019/11/07 15:20:00</v>
      </c>
      <c r="H481" s="4" t="str">
        <f>IFERROR(__xludf.DUMMYFUNCTION("""COMPUTED_VALUE"""),"d9e939e7-e53b-4e77-a39d-c5a98fb80471")</f>
        <v>d9e939e7-e53b-4e77-a39d-c5a98fb80471</v>
      </c>
      <c r="I481" s="4" t="str">
        <f>IFERROR(__xludf.DUMMYFUNCTION("""COMPUTED_VALUE"""),"d9e939e7-e53b-4e77-a39d-c5a98fb80471")</f>
        <v>d9e939e7-e53b-4e77-a39d-c5a98fb80471</v>
      </c>
    </row>
    <row r="482">
      <c r="A482" s="4" t="str">
        <f>IFERROR(__xludf.DUMMYFUNCTION("""COMPUTED_VALUE"""),"Lunch break")</f>
        <v>Lunch break</v>
      </c>
      <c r="B482" s="4" t="str">
        <f>IFERROR(__xludf.DUMMYFUNCTION("""COMPUTED_VALUE"""),"")</f>
        <v/>
      </c>
      <c r="C482" s="4" t="str">
        <f>IFERROR(__xludf.DUMMYFUNCTION("""COMPUTED_VALUE"""),"Venture stage")</f>
        <v>Venture stage</v>
      </c>
      <c r="D482" s="4" t="str">
        <f>IFERROR(__xludf.DUMMYFUNCTION("""COMPUTED_VALUE"""),"")</f>
        <v/>
      </c>
      <c r="E482" s="4" t="str">
        <f>IFERROR(__xludf.DUMMYFUNCTION("""COMPUTED_VALUE"""),"")</f>
        <v/>
      </c>
      <c r="F482" s="4" t="str">
        <f>IFERROR(__xludf.DUMMYFUNCTION("""COMPUTED_VALUE"""),"2019/11/05 12:45:00")</f>
        <v>2019/11/05 12:45:00</v>
      </c>
      <c r="G482" s="4" t="str">
        <f>IFERROR(__xludf.DUMMYFUNCTION("""COMPUTED_VALUE"""),"2019/11/05 13:30:00")</f>
        <v>2019/11/05 13:30:00</v>
      </c>
      <c r="H482" s="4" t="str">
        <f>IFERROR(__xludf.DUMMYFUNCTION("""COMPUTED_VALUE"""),"a8a30424-4365-4a89-89c7-95d1c9c7d96c")</f>
        <v>a8a30424-4365-4a89-89c7-95d1c9c7d96c</v>
      </c>
      <c r="I482" s="4" t="str">
        <f>IFERROR(__xludf.DUMMYFUNCTION("""COMPUTED_VALUE"""),"a8a30424-4365-4a89-89c7-95d1c9c7d96c")</f>
        <v>a8a30424-4365-4a89-89c7-95d1c9c7d96c</v>
      </c>
    </row>
    <row r="483">
      <c r="A483" s="4" t="str">
        <f>IFERROR(__xludf.DUMMYFUNCTION("""COMPUTED_VALUE"""),"Opening remarks")</f>
        <v>Opening remarks</v>
      </c>
      <c r="B483" s="4" t="str">
        <f>IFERROR(__xludf.DUMMYFUNCTION("""COMPUTED_VALUE"""),"Welcome to Corporate Innovation Summit, where we unfold the secrets of the worlds largest firms.")</f>
        <v>Welcome to Corporate Innovation Summit, where we unfold the secrets of the worlds largest firms.</v>
      </c>
      <c r="C483" s="4" t="str">
        <f>IFERROR(__xludf.DUMMYFUNCTION("""COMPUTED_VALUE"""),"Corporate Innovation Summit")</f>
        <v>Corporate Innovation Summit</v>
      </c>
      <c r="D483" s="4" t="str">
        <f>IFERROR(__xludf.DUMMYFUNCTION("""COMPUTED_VALUE"""),"Shivani Sopory")</f>
        <v>Shivani Sopory</v>
      </c>
      <c r="E483" s="4" t="str">
        <f>IFERROR(__xludf.DUMMYFUNCTION("""COMPUTED_VALUE"""),"Shivani Sopory")</f>
        <v>Shivani Sopory</v>
      </c>
      <c r="F483" s="4" t="str">
        <f>IFERROR(__xludf.DUMMYFUNCTION("""COMPUTED_VALUE"""),"2019/11/07 10:45:00")</f>
        <v>2019/11/07 10:45:00</v>
      </c>
      <c r="G483" s="4" t="str">
        <f>IFERROR(__xludf.DUMMYFUNCTION("""COMPUTED_VALUE"""),"2019/11/07 11:00:00")</f>
        <v>2019/11/07 11:00:00</v>
      </c>
      <c r="H483" s="4" t="str">
        <f>IFERROR(__xludf.DUMMYFUNCTION("""COMPUTED_VALUE"""),"febf04c1-e73e-46f0-a6b9-173ce6c5fc2d")</f>
        <v>febf04c1-e73e-46f0-a6b9-173ce6c5fc2d</v>
      </c>
      <c r="I483" s="4" t="str">
        <f>IFERROR(__xludf.DUMMYFUNCTION("""COMPUTED_VALUE"""),"febf04c1-e73e-46f0-a6b9-173ce6c5fc2d")</f>
        <v>febf04c1-e73e-46f0-a6b9-173ce6c5fc2d</v>
      </c>
    </row>
    <row r="484">
      <c r="A484" s="4" t="str">
        <f>IFERROR(__xludf.DUMMYFUNCTION("""COMPUTED_VALUE"""),"Balancing product and go-to-market: Going from $0 to $100m ARR in 4 Years")</f>
        <v>Balancing product and go-to-market: Going from $0 to $100m ARR in 4 Years</v>
      </c>
      <c r="B484" s="4" t="str">
        <f>IFERROR(__xludf.DUMMYFUNCTION("""COMPUTED_VALUE"""),"While there are many notable product leaders as well as prolific go-to-market examples in tech, there is one thing that all of the fastest hypergrowth companies have in common - striking a healthy balance and tension between the two. Podium co-founder Den"&amp;"nis Steele will share the most potent secrets to achieving this balance and show the strategies that have allowed Podium to be one of the fastest growth companies ever in SaaS, going from $1m-$100m in ARR in just over four years.")</f>
        <v>While there are many notable product leaders as well as prolific go-to-market examples in tech, there is one thing that all of the fastest hypergrowth companies have in common - striking a healthy balance and tension between the two. Podium co-founder Dennis Steele will share the most potent secrets to achieving this balance and show the strategies that have allowed Podium to be one of the fastest growth companies ever in SaaS, going from $1m-$100m in ARR in just over four years.</v>
      </c>
      <c r="C484" s="4" t="str">
        <f>IFERROR(__xludf.DUMMYFUNCTION("""COMPUTED_VALUE"""),"Growth Summit")</f>
        <v>Growth Summit</v>
      </c>
      <c r="D484" s="4" t="str">
        <f>IFERROR(__xludf.DUMMYFUNCTION("""COMPUTED_VALUE"""),"Dennis Steele")</f>
        <v>Dennis Steele</v>
      </c>
      <c r="E484" s="4" t="str">
        <f>IFERROR(__xludf.DUMMYFUNCTION("""COMPUTED_VALUE"""),"Dennis Steele")</f>
        <v>Dennis Steele</v>
      </c>
      <c r="F484" s="4" t="str">
        <f>IFERROR(__xludf.DUMMYFUNCTION("""COMPUTED_VALUE"""),"2019/11/07 12:30:00")</f>
        <v>2019/11/07 12:30:00</v>
      </c>
      <c r="G484" s="4" t="str">
        <f>IFERROR(__xludf.DUMMYFUNCTION("""COMPUTED_VALUE"""),"2019/11/07 12:41:00")</f>
        <v>2019/11/07 12:41:00</v>
      </c>
      <c r="H484" s="4" t="str">
        <f>IFERROR(__xludf.DUMMYFUNCTION("""COMPUTED_VALUE"""),"833691c4-5059-463a-8069-d0fbfc726325")</f>
        <v>833691c4-5059-463a-8069-d0fbfc726325</v>
      </c>
      <c r="I484" s="4" t="str">
        <f>IFERROR(__xludf.DUMMYFUNCTION("""COMPUTED_VALUE"""),"833691c4-5059-463a-8069-d0fbfc726325")</f>
        <v>833691c4-5059-463a-8069-d0fbfc726325</v>
      </c>
    </row>
    <row r="485">
      <c r="A485" s="4" t="str">
        <f>IFERROR(__xludf.DUMMYFUNCTION("""COMPUTED_VALUE"""),"Breakout startups")</f>
        <v>Breakout startups</v>
      </c>
      <c r="B485" s="4" t="str">
        <f>IFERROR(__xludf.DUMMYFUNCTION("""COMPUTED_VALUE"""),"Are these the companies everyone will be talking about in 2020? Dozens of the world’s leading investors think so. Each morning and lunchtime on Centre Stage you’ll get an introduction to some of the world’s most exciting early and growth stage startups. E"&amp;"ach of the startups have been hand-selected by some of the world’s most successful investors. You’re in for a treat.")</f>
        <v>Are these the companies everyone will be talking about in 2020? Dozens of the world’s leading investors think so. Each morning and lunchtime on Centre Stage you’ll get an introduction to some of the world’s most exciting early and growth stage startups. Each of the startups have been hand-selected by some of the world’s most successful investors. You’re in for a treat.</v>
      </c>
      <c r="C485" s="4" t="str">
        <f>IFERROR(__xludf.DUMMYFUNCTION("""COMPUTED_VALUE"""),"Centre Stage")</f>
        <v>Centre Stage</v>
      </c>
      <c r="D485" s="4" t="str">
        <f>IFERROR(__xludf.DUMMYFUNCTION("""COMPUTED_VALUE"""),"Daniela Seixas, Elissa Shevinsky, Alexey Moiseenkov, Chetan Venkatesh, Curran McKay, Dave McGibbon, Kate Boyle, Mariano Kostelec, Sarah Sandnes, Dario Galbiati Alborghetti and Hugh Geiger")</f>
        <v>Daniela Seixas, Elissa Shevinsky, Alexey Moiseenkov, Chetan Venkatesh, Curran McKay, Dave McGibbon, Kate Boyle, Mariano Kostelec, Sarah Sandnes, Dario Galbiati Alborghetti and Hugh Geiger</v>
      </c>
      <c r="E485" s="4" t="str">
        <f>IFERROR(__xludf.DUMMYFUNCTION("""COMPUTED_VALUE"""),"Daniela Seixas,Elissa Shevinsky,Alexey Moiseenkov,Chetan Venkatesh,Curran McKay,Dave McGibbon,Kate Boyle,Mariano Kostelec,Sarah Sandnes,Dario Galbiati Alborghetti,Hugh Geiger")</f>
        <v>Daniela Seixas,Elissa Shevinsky,Alexey Moiseenkov,Chetan Venkatesh,Curran McKay,Dave McGibbon,Kate Boyle,Mariano Kostelec,Sarah Sandnes,Dario Galbiati Alborghetti,Hugh Geiger</v>
      </c>
      <c r="F485" s="4" t="str">
        <f>IFERROR(__xludf.DUMMYFUNCTION("""COMPUTED_VALUE"""),"2019/11/07 09:30:00")</f>
        <v>2019/11/07 09:30:00</v>
      </c>
      <c r="G485" s="4" t="str">
        <f>IFERROR(__xludf.DUMMYFUNCTION("""COMPUTED_VALUE"""),"2019/11/07 10:15:00")</f>
        <v>2019/11/07 10:15:00</v>
      </c>
      <c r="H485" s="4" t="str">
        <f>IFERROR(__xludf.DUMMYFUNCTION("""COMPUTED_VALUE"""),"270664fa-82ed-43e6-b5dc-82f0ebec2ebd")</f>
        <v>270664fa-82ed-43e6-b5dc-82f0ebec2ebd</v>
      </c>
      <c r="I485" s="4" t="str">
        <f>IFERROR(__xludf.DUMMYFUNCTION("""COMPUTED_VALUE"""),"270664fa-82ed-43e6-b5dc-82f0ebec2ebd")</f>
        <v>270664fa-82ed-43e6-b5dc-82f0ebec2ebd</v>
      </c>
    </row>
    <row r="486">
      <c r="A486" s="4" t="str">
        <f>IFERROR(__xludf.DUMMYFUNCTION("""COMPUTED_VALUE"""),"Baby shark: Creating a multi-billion dollar monster")</f>
        <v>Baby shark: Creating a multi-billion dollar monster</v>
      </c>
      <c r="B486" s="4" t="str">
        <f>IFERROR(__xludf.DUMMYFUNCTION("""COMPUTED_VALUE"""),"Love it or hate it, you can't deny the success of Pinkfong's Baby Shark. Hear from the man behind the fish on how to create a worldwide viral sensation. ")</f>
        <v>Love it or hate it, you can't deny the success of Pinkfong's Baby Shark. Hear from the man behind the fish on how to create a worldwide viral sensation. </v>
      </c>
      <c r="C486" s="4" t="str">
        <f>IFERROR(__xludf.DUMMYFUNCTION("""COMPUTED_VALUE"""),"ContentMakers")</f>
        <v>ContentMakers</v>
      </c>
      <c r="D486" s="4" t="str">
        <f>IFERROR(__xludf.DUMMYFUNCTION("""COMPUTED_VALUE"""),"Ryan Lee")</f>
        <v>Ryan Lee</v>
      </c>
      <c r="E486" s="4" t="str">
        <f>IFERROR(__xludf.DUMMYFUNCTION("""COMPUTED_VALUE"""),"Ryan Lee")</f>
        <v>Ryan Lee</v>
      </c>
      <c r="F486" s="4" t="str">
        <f>IFERROR(__xludf.DUMMYFUNCTION("""COMPUTED_VALUE"""),"2019/11/06 15:15:00")</f>
        <v>2019/11/06 15:15:00</v>
      </c>
      <c r="G486" s="4" t="str">
        <f>IFERROR(__xludf.DUMMYFUNCTION("""COMPUTED_VALUE"""),"2019/11/06 15:35:00")</f>
        <v>2019/11/06 15:35:00</v>
      </c>
      <c r="H486" s="4" t="str">
        <f>IFERROR(__xludf.DUMMYFUNCTION("""COMPUTED_VALUE"""),"70f7e88e-19cc-4fb0-b821-3bbe460a531a")</f>
        <v>70f7e88e-19cc-4fb0-b821-3bbe460a531a</v>
      </c>
      <c r="I486" s="4" t="str">
        <f>IFERROR(__xludf.DUMMYFUNCTION("""COMPUTED_VALUE"""),"70f7e88e-19cc-4fb0-b821-3bbe460a531a")</f>
        <v>70f7e88e-19cc-4fb0-b821-3bbe460a531a</v>
      </c>
    </row>
    <row r="487">
      <c r="A487" s="4" t="str">
        <f>IFERROR(__xludf.DUMMYFUNCTION("""COMPUTED_VALUE"""),"Emerging tech sectors in Saudi Arabia: What’s next? hosted by Invest Saudi ")</f>
        <v>Emerging tech sectors in Saudi Arabia: What’s next? hosted by Invest Saudi </v>
      </c>
      <c r="B487" s="4" t="str">
        <f>IFERROR(__xludf.DUMMYFUNCTION("""COMPUTED_VALUE"""),"As Saudi Arabia opens its doors and looks to accelerate its digital transformation journey, specific sectors are drawing significant capital; essential services like fintech, foodtech and proptech, as well as transformational technologies like AI and auto"&amp;"nomous vehicles. We’ll provide an overview of what sectors are viewed to be highly strategic, and what that means for the market as the country looks to fuel innovation and jumpstart the regional ecosystem.")</f>
        <v>As Saudi Arabia opens its doors and looks to accelerate its digital transformation journey, specific sectors are drawing significant capital; essential services like fintech, foodtech and proptech, as well as transformational technologies like AI and autonomous vehicles. We’ll provide an overview of what sectors are viewed to be highly strategic, and what that means for the market as the country looks to fuel innovation and jumpstart the regional ecosystem.</v>
      </c>
      <c r="C487" s="4" t="str">
        <f>IFERROR(__xludf.DUMMYFUNCTION("""COMPUTED_VALUE"""),"Workshop 4")</f>
        <v>Workshop 4</v>
      </c>
      <c r="D487" s="4" t="str">
        <f>IFERROR(__xludf.DUMMYFUNCTION("""COMPUTED_VALUE"""),"")</f>
        <v/>
      </c>
      <c r="E487" s="4" t="str">
        <f>IFERROR(__xludf.DUMMYFUNCTION("""COMPUTED_VALUE"""),"")</f>
        <v/>
      </c>
      <c r="F487" s="4" t="str">
        <f>IFERROR(__xludf.DUMMYFUNCTION("""COMPUTED_VALUE"""),"2019/11/06 14:00:00")</f>
        <v>2019/11/06 14:00:00</v>
      </c>
      <c r="G487" s="4" t="str">
        <f>IFERROR(__xludf.DUMMYFUNCTION("""COMPUTED_VALUE"""),"2019/11/06 15:00:00")</f>
        <v>2019/11/06 15:00:00</v>
      </c>
      <c r="H487" s="4" t="str">
        <f>IFERROR(__xludf.DUMMYFUNCTION("""COMPUTED_VALUE"""),"8f185201-8382-4e4f-9245-034895283da4")</f>
        <v>8f185201-8382-4e4f-9245-034895283da4</v>
      </c>
      <c r="I487" s="4" t="str">
        <f>IFERROR(__xludf.DUMMYFUNCTION("""COMPUTED_VALUE"""),"8f185201-8382-4e4f-9245-034895283da4")</f>
        <v>8f185201-8382-4e4f-9245-034895283da4</v>
      </c>
    </row>
    <row r="488">
      <c r="A488" s="4" t="str">
        <f>IFERROR(__xludf.DUMMYFUNCTION("""COMPUTED_VALUE"""),"Join SAP at Web Summit: The future of business has feelings")</f>
        <v>Join SAP at Web Summit: The future of business has feelings</v>
      </c>
      <c r="B488" s="4" t="str">
        <f>IFERROR(__xludf.DUMMYFUNCTION("""COMPUTED_VALUE"""),"Does the future of business have feelings? Find out yourself at the SAP stand, located at E350, Hall 3. Successful companies in the experience economy combine operational and experiential data to produce meaningful business information. This information h"&amp;"elps executives win the hearts of customers and employees by generating positive feelings around product offerings and interactions . Visit the SAP stand to experience showcases, listen to a selection of sessions, and meet SAP experts, start-ups, and part"&amp;"ners. Here you can learn and discuss how to become an intelligent business in the experience economy. The full agenda is available at https://events.sap.com/websummit/en/sessions")</f>
        <v>Does the future of business have feelings? Find out yourself at the SAP stand, located at E350, Hall 3. Successful companies in the experience economy combine operational and experiential data to produce meaningful business information. This information helps executives win the hearts of customers and employees by generating positive feelings around product offerings and interactions . Visit the SAP stand to experience showcases, listen to a selection of sessions, and meet SAP experts, start-ups, and partners. Here you can learn and discuss how to become an intelligent business in the experience economy. The full agenda is available at https://events.sap.com/websummit/en/sessions</v>
      </c>
      <c r="C488" s="4" t="str">
        <f>IFERROR(__xludf.DUMMYFUNCTION("""COMPUTED_VALUE"""),"SAP, E350, FIL 3")</f>
        <v>SAP, E350, FIL 3</v>
      </c>
      <c r="D488" s="4" t="str">
        <f>IFERROR(__xludf.DUMMYFUNCTION("""COMPUTED_VALUE"""),"")</f>
        <v/>
      </c>
      <c r="E488" s="4" t="str">
        <f>IFERROR(__xludf.DUMMYFUNCTION("""COMPUTED_VALUE"""),"")</f>
        <v/>
      </c>
      <c r="F488" s="4" t="str">
        <f>IFERROR(__xludf.DUMMYFUNCTION("""COMPUTED_VALUE"""),"2019/11/06 10:00:00")</f>
        <v>2019/11/06 10:00:00</v>
      </c>
      <c r="G488" s="4" t="str">
        <f>IFERROR(__xludf.DUMMYFUNCTION("""COMPUTED_VALUE"""),"2019/11/06 17:00:00")</f>
        <v>2019/11/06 17:00:00</v>
      </c>
      <c r="H488" s="4" t="str">
        <f>IFERROR(__xludf.DUMMYFUNCTION("""COMPUTED_VALUE"""),"008a03e2-f83a-4af3-b1a3-4a56a06b6f47")</f>
        <v>008a03e2-f83a-4af3-b1a3-4a56a06b6f47</v>
      </c>
      <c r="I488" s="4" t="str">
        <f>IFERROR(__xludf.DUMMYFUNCTION("""COMPUTED_VALUE"""),"008a03e2-f83a-4af3-b1a3-4a56a06b6f47")</f>
        <v>008a03e2-f83a-4af3-b1a3-4a56a06b6f47</v>
      </c>
    </row>
    <row r="489">
      <c r="A489" s="4" t="str">
        <f>IFERROR(__xludf.DUMMYFUNCTION("""COMPUTED_VALUE"""),"Being a brand disruptor and proud")</f>
        <v>Being a brand disruptor and proud</v>
      </c>
      <c r="B489" s="4" t="str">
        <f>IFERROR(__xludf.DUMMYFUNCTION("""COMPUTED_VALUE"""),"To be a disruptor is to be either a troublemaker or an agent of change and renewal. It all depends on your perspective. Let's take a look at what it takes to ruffle the feathers of the advertising establishment.")</f>
        <v>To be a disruptor is to be either a troublemaker or an agent of change and renewal. It all depends on your perspective. Let's take a look at what it takes to ruffle the feathers of the advertising establishment.</v>
      </c>
      <c r="C489" s="4" t="str">
        <f>IFERROR(__xludf.DUMMYFUNCTION("""COMPUTED_VALUE"""),"PandaConf")</f>
        <v>PandaConf</v>
      </c>
      <c r="D489" s="4" t="str">
        <f>IFERROR(__xludf.DUMMYFUNCTION("""COMPUTED_VALUE"""),"Anthemos Georgiades, Rafael Museri and Katie Deighton")</f>
        <v>Anthemos Georgiades, Rafael Museri and Katie Deighton</v>
      </c>
      <c r="E489" s="4" t="str">
        <f>IFERROR(__xludf.DUMMYFUNCTION("""COMPUTED_VALUE"""),"Anthemos Georgiades,Rafael Museri,Katie Deighton")</f>
        <v>Anthemos Georgiades,Rafael Museri,Katie Deighton</v>
      </c>
      <c r="F489" s="4" t="str">
        <f>IFERROR(__xludf.DUMMYFUNCTION("""COMPUTED_VALUE"""),"2019/11/07 14:55:00")</f>
        <v>2019/11/07 14:55:00</v>
      </c>
      <c r="G489" s="4" t="str">
        <f>IFERROR(__xludf.DUMMYFUNCTION("""COMPUTED_VALUE"""),"2019/11/07 15:15:00")</f>
        <v>2019/11/07 15:15:00</v>
      </c>
      <c r="H489" s="4" t="str">
        <f>IFERROR(__xludf.DUMMYFUNCTION("""COMPUTED_VALUE"""),"f56a8a31-db97-4b6d-8821-caa5e70a2744")</f>
        <v>f56a8a31-db97-4b6d-8821-caa5e70a2744</v>
      </c>
      <c r="I489" s="4" t="str">
        <f>IFERROR(__xludf.DUMMYFUNCTION("""COMPUTED_VALUE"""),"f56a8a31-db97-4b6d-8821-caa5e70a2744")</f>
        <v>f56a8a31-db97-4b6d-8821-caa5e70a2744</v>
      </c>
    </row>
    <row r="490">
      <c r="A490" s="4" t="str">
        <f>IFERROR(__xludf.DUMMYFUNCTION("""COMPUTED_VALUE"""),"Exponential growth in traditional markets ")</f>
        <v>Exponential growth in traditional markets </v>
      </c>
      <c r="B490" s="4" t="str">
        <f>IFERROR(__xludf.DUMMYFUNCTION("""COMPUTED_VALUE"""),"How do you balance the pace of innovation and potential new services within slowly transforming industrial markets? CTO and co-founder of Augury, Gal will share how fast moving startups can drive a faster rate of change and growth in traditional markets.")</f>
        <v>How do you balance the pace of innovation and potential new services within slowly transforming industrial markets? CTO and co-founder of Augury, Gal will share how fast moving startups can drive a faster rate of change and growth in traditional markets.</v>
      </c>
      <c r="C490" s="4" t="str">
        <f>IFERROR(__xludf.DUMMYFUNCTION("""COMPUTED_VALUE"""),"Growth Summit")</f>
        <v>Growth Summit</v>
      </c>
      <c r="D490" s="4" t="str">
        <f>IFERROR(__xludf.DUMMYFUNCTION("""COMPUTED_VALUE"""),"Gal Shaul")</f>
        <v>Gal Shaul</v>
      </c>
      <c r="E490" s="4" t="str">
        <f>IFERROR(__xludf.DUMMYFUNCTION("""COMPUTED_VALUE"""),"Gal Shaul")</f>
        <v>Gal Shaul</v>
      </c>
      <c r="F490" s="4" t="str">
        <f>IFERROR(__xludf.DUMMYFUNCTION("""COMPUTED_VALUE"""),"2019/11/07 14:20:00")</f>
        <v>2019/11/07 14:20:00</v>
      </c>
      <c r="G490" s="4" t="str">
        <f>IFERROR(__xludf.DUMMYFUNCTION("""COMPUTED_VALUE"""),"2019/11/07 14:31:00")</f>
        <v>2019/11/07 14:31:00</v>
      </c>
      <c r="H490" s="4" t="str">
        <f>IFERROR(__xludf.DUMMYFUNCTION("""COMPUTED_VALUE"""),"1c4c7be2-0143-4568-ad7c-441ae6753d71")</f>
        <v>1c4c7be2-0143-4568-ad7c-441ae6753d71</v>
      </c>
      <c r="I490" s="4" t="str">
        <f>IFERROR(__xludf.DUMMYFUNCTION("""COMPUTED_VALUE"""),"1c4c7be2-0143-4568-ad7c-441ae6753d71")</f>
        <v>1c4c7be2-0143-4568-ad7c-441ae6753d71</v>
      </c>
    </row>
    <row r="491">
      <c r="A491" s="4" t="str">
        <f>IFERROR(__xludf.DUMMYFUNCTION("""COMPUTED_VALUE"""),"Keynote with Roland Lamb")</f>
        <v>Keynote with Roland Lamb</v>
      </c>
      <c r="B491" s="4" t="str">
        <f>IFERROR(__xludf.DUMMYFUNCTION("""COMPUTED_VALUE"""),"")</f>
        <v/>
      </c>
      <c r="C491" s="4" t="str">
        <f>IFERROR(__xludf.DUMMYFUNCTION("""COMPUTED_VALUE"""),"MusicNotes")</f>
        <v>MusicNotes</v>
      </c>
      <c r="D491" s="4" t="str">
        <f>IFERROR(__xludf.DUMMYFUNCTION("""COMPUTED_VALUE"""),"Roland Lamb")</f>
        <v>Roland Lamb</v>
      </c>
      <c r="E491" s="4" t="str">
        <f>IFERROR(__xludf.DUMMYFUNCTION("""COMPUTED_VALUE"""),"Roland Lamb")</f>
        <v>Roland Lamb</v>
      </c>
      <c r="F491" s="4" t="str">
        <f>IFERROR(__xludf.DUMMYFUNCTION("""COMPUTED_VALUE"""),"2019/11/07 11:35:00")</f>
        <v>2019/11/07 11:35:00</v>
      </c>
      <c r="G491" s="4" t="str">
        <f>IFERROR(__xludf.DUMMYFUNCTION("""COMPUTED_VALUE"""),"2019/11/07 11:55:00")</f>
        <v>2019/11/07 11:55:00</v>
      </c>
      <c r="H491" s="4" t="str">
        <f>IFERROR(__xludf.DUMMYFUNCTION("""COMPUTED_VALUE"""),"d202a93f-3a50-42cb-9180-fc0a048c905f")</f>
        <v>d202a93f-3a50-42cb-9180-fc0a048c905f</v>
      </c>
      <c r="I491" s="4" t="str">
        <f>IFERROR(__xludf.DUMMYFUNCTION("""COMPUTED_VALUE"""),"d202a93f-3a50-42cb-9180-fc0a048c905f")</f>
        <v>d202a93f-3a50-42cb-9180-fc0a048c905f</v>
      </c>
    </row>
    <row r="492">
      <c r="A492" s="4" t="str">
        <f>IFERROR(__xludf.DUMMYFUNCTION("""COMPUTED_VALUE"""),"FutureProofing Golf ")</f>
        <v>FutureProofing Golf </v>
      </c>
      <c r="B492" s="4" t="str">
        <f>IFERROR(__xludf.DUMMYFUNCTION("""COMPUTED_VALUE"""),"Tracing its origins back to 15th century Scotland, the ancient game of golf is fighting to stay at the forefront of innovation. Hear from people helping them do that in this session featuring the President of the Golf Channel and the CEO of the European T"&amp;"our.
")</f>
        <v>Tracing its origins back to 15th century Scotland, the ancient game of golf is fighting to stay at the forefront of innovation. Hear from people helping them do that in this session featuring the President of the Golf Channel and the CEO of the European Tour.
</v>
      </c>
      <c r="C492" s="4" t="str">
        <f>IFERROR(__xludf.DUMMYFUNCTION("""COMPUTED_VALUE"""),"SportsTrade")</f>
        <v>SportsTrade</v>
      </c>
      <c r="D492" s="4" t="str">
        <f>IFERROR(__xludf.DUMMYFUNCTION("""COMPUTED_VALUE"""),"Mike McCarley, Keith Pelley and Rob Harris")</f>
        <v>Mike McCarley, Keith Pelley and Rob Harris</v>
      </c>
      <c r="E492" s="4" t="str">
        <f>IFERROR(__xludf.DUMMYFUNCTION("""COMPUTED_VALUE"""),"Mike McCarley,Keith Pelley,Rob Harris")</f>
        <v>Mike McCarley,Keith Pelley,Rob Harris</v>
      </c>
      <c r="F492" s="4" t="str">
        <f>IFERROR(__xludf.DUMMYFUNCTION("""COMPUTED_VALUE"""),"2019/11/05 12:20:00")</f>
        <v>2019/11/05 12:20:00</v>
      </c>
      <c r="G492" s="4" t="str">
        <f>IFERROR(__xludf.DUMMYFUNCTION("""COMPUTED_VALUE"""),"2019/11/05 12:40:00")</f>
        <v>2019/11/05 12:40:00</v>
      </c>
      <c r="H492" s="4" t="str">
        <f>IFERROR(__xludf.DUMMYFUNCTION("""COMPUTED_VALUE"""),"0708fd2b-82b4-403f-84b0-8bacd6d1cf2e")</f>
        <v>0708fd2b-82b4-403f-84b0-8bacd6d1cf2e</v>
      </c>
      <c r="I492" s="4" t="str">
        <f>IFERROR(__xludf.DUMMYFUNCTION("""COMPUTED_VALUE"""),"0708fd2b-82b4-403f-84b0-8bacd6d1cf2e")</f>
        <v>0708fd2b-82b4-403f-84b0-8bacd6d1cf2e</v>
      </c>
    </row>
    <row r="493">
      <c r="A493" s="4" t="str">
        <f>IFERROR(__xludf.DUMMYFUNCTION("""COMPUTED_VALUE"""),"PITCH group round 8")</f>
        <v>PITCH group round 8</v>
      </c>
      <c r="B493" s="4" t="str">
        <f>IFERROR(__xludf.DUMMYFUNCTION("""COMPUTED_VALUE"""),"")</f>
        <v/>
      </c>
      <c r="C493" s="4" t="str">
        <f>IFERROR(__xludf.DUMMYFUNCTION("""COMPUTED_VALUE"""),"PITCH 2")</f>
        <v>PITCH 2</v>
      </c>
      <c r="D493" s="4" t="str">
        <f>IFERROR(__xludf.DUMMYFUNCTION("""COMPUTED_VALUE"""),"Adrian Lloyd, Werner Vogels, James Stewart, Jag Singh, Ahmed Habib, Amali de Alwis, Naor Amir, Oliver Werneyer, Will Ben Sims, Gabriel Fumagalli and Lucas Nygaard")</f>
        <v>Adrian Lloyd, Werner Vogels, James Stewart, Jag Singh, Ahmed Habib, Amali de Alwis, Naor Amir, Oliver Werneyer, Will Ben Sims, Gabriel Fumagalli and Lucas Nygaard</v>
      </c>
      <c r="E493" s="4" t="str">
        <f>IFERROR(__xludf.DUMMYFUNCTION("""COMPUTED_VALUE"""),"Adrian Lloyd,Werner Vogels,James Stewart,Jag Singh,Ahmed Habib,Amali de Alwis,Naor Amir,Oliver Werneyer,Will Ben Sims,Gabriel Fumagalli,Lucas Nygaard")</f>
        <v>Adrian Lloyd,Werner Vogels,James Stewart,Jag Singh,Ahmed Habib,Amali de Alwis,Naor Amir,Oliver Werneyer,Will Ben Sims,Gabriel Fumagalli,Lucas Nygaard</v>
      </c>
      <c r="F493" s="4" t="str">
        <f>IFERROR(__xludf.DUMMYFUNCTION("""COMPUTED_VALUE"""),"2019/11/05 11:15:00")</f>
        <v>2019/11/05 11:15:00</v>
      </c>
      <c r="G493" s="4" t="str">
        <f>IFERROR(__xludf.DUMMYFUNCTION("""COMPUTED_VALUE"""),"2019/11/05 12:15:00")</f>
        <v>2019/11/05 12:15:00</v>
      </c>
      <c r="H493" s="4" t="str">
        <f>IFERROR(__xludf.DUMMYFUNCTION("""COMPUTED_VALUE"""),"de7faddb-ccd2-4045-9922-e81e5c42fef9")</f>
        <v>de7faddb-ccd2-4045-9922-e81e5c42fef9</v>
      </c>
      <c r="I493" s="4" t="str">
        <f>IFERROR(__xludf.DUMMYFUNCTION("""COMPUTED_VALUE"""),"de7faddb-ccd2-4045-9922-e81e5c42fef9")</f>
        <v>de7faddb-ccd2-4045-9922-e81e5c42fef9</v>
      </c>
    </row>
    <row r="494">
      <c r="A494" s="4" t="str">
        <f>IFERROR(__xludf.DUMMYFUNCTION("""COMPUTED_VALUE"""),"ATM 2")</f>
        <v>ATM 2</v>
      </c>
      <c r="B494" s="4" t="str">
        <f>IFERROR(__xludf.DUMMYFUNCTION("""COMPUTED_VALUE"""),"")</f>
        <v/>
      </c>
      <c r="C494" s="4" t="str">
        <f>IFERROR(__xludf.DUMMYFUNCTION("""COMPUTED_VALUE"""),"ATM - 2 - Nov 5")</f>
        <v>ATM - 2 - Nov 5</v>
      </c>
      <c r="D494" s="4" t="str">
        <f>IFERROR(__xludf.DUMMYFUNCTION("""COMPUTED_VALUE"""),"")</f>
        <v/>
      </c>
      <c r="E494" s="4" t="str">
        <f>IFERROR(__xludf.DUMMYFUNCTION("""COMPUTED_VALUE"""),"")</f>
        <v/>
      </c>
      <c r="F494" s="4" t="str">
        <f>IFERROR(__xludf.DUMMYFUNCTION("""COMPUTED_VALUE"""),"2019/11/05 20:01:00")</f>
        <v>2019/11/05 20:01:00</v>
      </c>
      <c r="G494" s="4" t="str">
        <f>IFERROR(__xludf.DUMMYFUNCTION("""COMPUTED_VALUE"""),"2019/11/06 00:00:00")</f>
        <v>2019/11/06 00:00:00</v>
      </c>
      <c r="H494" s="4" t="str">
        <f>IFERROR(__xludf.DUMMYFUNCTION("""COMPUTED_VALUE"""),"d10999f3-ba51-46b4-b5bd-c23b37708367")</f>
        <v>d10999f3-ba51-46b4-b5bd-c23b37708367</v>
      </c>
      <c r="I494" s="4" t="str">
        <f>IFERROR(__xludf.DUMMYFUNCTION("""COMPUTED_VALUE"""),"d10999f3-ba51-46b4-b5bd-c23b37708367")</f>
        <v>d10999f3-ba51-46b4-b5bd-c23b37708367</v>
      </c>
    </row>
    <row r="495">
      <c r="A495" s="4" t="str">
        <f>IFERROR(__xludf.DUMMYFUNCTION("""COMPUTED_VALUE"""),"Startup Showcase")</f>
        <v>Startup Showcase</v>
      </c>
      <c r="B495" s="4" t="str">
        <f>IFERROR(__xludf.DUMMYFUNCTION("""COMPUTED_VALUE"""),"On this brand new stage, expect quickfire presentations where startups will showcase their solutions to the future's biggest challenges. This hour focuses on the consumer, covering topics like lifestyle, B2C And C2C, entertainment and social apps
")</f>
        <v>On this brand new stage, expect quickfire presentations where startups will showcase their solutions to the future's biggest challenges. This hour focuses on the consumer, covering topics like lifestyle, B2C And C2C, entertainment and social apps
</v>
      </c>
      <c r="C495" s="4" t="str">
        <f>IFERROR(__xludf.DUMMYFUNCTION("""COMPUTED_VALUE"""),"Startup Showcase 3")</f>
        <v>Startup Showcase 3</v>
      </c>
      <c r="D495" s="4" t="str">
        <f>IFERROR(__xludf.DUMMYFUNCTION("""COMPUTED_VALUE"""),"Chris McClelland, Thiago de Souza Nascimento, Shahin Lauritzen, Emile Milot, Chris Campbell, Justin Frischmuth, Andrea Concas, Andrea Concas, Hannah Todd, Alfie Payne, Samet Arabacıoğlu, Michael Kirsanov, aline matulja, Tsz Ying Yu, Ivandro Ribeiro, Dimit"&amp;"rios Tsioutsiopoulos, Emmanuel Tei-Tetteh, Olivier Zitvogel, marina matulja, Timofey Moskalev, Alessia Cuccu, Douglas Mochrie, Vasyl Hukalyuk, Klaudia Magierowska, Vitalii Polishchuk, Michael Schöggl, İsmail Kerim Sabunis, Luke Hogan, Bojana Knezevic , Eg"&amp;"emen Aksungur, Andy Pavletich, Jacob Waern, Caio Graco, Eliza Lopes, Vadim Yakovliev, Biagio Bartoli, Mads Klokkerholm, Sri Yuliyanti, Paweł Konikiewicz, Tolga Emre Aslan, Yulia Sedova, Deivid Alves, Benjamin Gareis, Sener Abanozoglu, Daiki Nishiyama, Jos"&amp;"elito Coutinho, Felipe Kraskoff Esteves, Gaurav Goel, Blake Evertsen and Juraj Masar")</f>
        <v>Chris McClelland, Thiago de Souza Nascimento, Shahin Lauritzen, Emile Milot, Chris Campbell, Justin Frischmuth, Andrea Concas, Andrea Concas, Hannah Todd, Alfie Payne, Samet Arabacıoğlu, Michael Kirsanov, aline matulja, Tsz Ying Yu, Ivandro Ribeiro, Dimitrios Tsioutsiopoulos, Emmanuel Tei-Tetteh, Olivier Zitvogel, marina matulja, Timofey Moskalev, Alessia Cuccu, Douglas Mochrie, Vasyl Hukalyuk, Klaudia Magierowska, Vitalii Polishchuk, Michael Schöggl, İsmail Kerim Sabunis, Luke Hogan, Bojana Knezevic , Egemen Aksungur, Andy Pavletich, Jacob Waern, Caio Graco, Eliza Lopes, Vadim Yakovliev, Biagio Bartoli, Mads Klokkerholm, Sri Yuliyanti, Paweł Konikiewicz, Tolga Emre Aslan, Yulia Sedova, Deivid Alves, Benjamin Gareis, Sener Abanozoglu, Daiki Nishiyama, Joselito Coutinho, Felipe Kraskoff Esteves, Gaurav Goel, Blake Evertsen and Juraj Masar</v>
      </c>
      <c r="E495" s="4" t="str">
        <f>IFERROR(__xludf.DUMMYFUNCTION("""COMPUTED_VALUE"""),"Chris McClelland,Thiago de Souza Nascimento,Shahin Lauritzen,Emile Milot,Chris Campbell,Justin Frischmuth,Andrea Concas,Andrea Concas,Hannah Todd,Alfie Payne,Samet Arabacıoğlu,Michael Kirsanov,aline matulja,Tsz Ying Yu,Ivandro Ribeiro,Dimitrios Tsioutsiop"&amp;"oulos,Emmanuel Tei-Tetteh,Olivier Zitvogel,marina matulja,Timofey Moskalev,Alessia Cuccu,Douglas Mochrie,Vasyl Hukalyuk,Klaudia Magierowska,Vitalii Polishchuk,Michael Schöggl,İsmail Kerim Sabunis,Luke Hogan,Bojana Knezevic ,Egemen Aksungur,Andy Pavletich,"&amp;"Jacob Waern,Caio Graco,Eliza Lopes,Vadim Yakovliev,Biagio Bartoli,Mads Klokkerholm,Sri Yuliyanti,Paweł Konikiewicz,Tolga Emre Aslan,Yulia Sedova,Deivid Alves,Benjamin Gareis,Sener Abanozoglu,Daiki Nishiyama,Joselito Coutinho,Felipe Kraskoff Esteves,Gaurav"&amp;" Goel,Blake Evertsen,Juraj Masar")</f>
        <v>Chris McClelland,Thiago de Souza Nascimento,Shahin Lauritzen,Emile Milot,Chris Campbell,Justin Frischmuth,Andrea Concas,Andrea Concas,Hannah Todd,Alfie Payne,Samet Arabacıoğlu,Michael Kirsanov,aline matulja,Tsz Ying Yu,Ivandro Ribeiro,Dimitrios Tsioutsiopoulos,Emmanuel Tei-Tetteh,Olivier Zitvogel,marina matulja,Timofey Moskalev,Alessia Cuccu,Douglas Mochrie,Vasyl Hukalyuk,Klaudia Magierowska,Vitalii Polishchuk,Michael Schöggl,İsmail Kerim Sabunis,Luke Hogan,Bojana Knezevic ,Egemen Aksungur,Andy Pavletich,Jacob Waern,Caio Graco,Eliza Lopes,Vadim Yakovliev,Biagio Bartoli,Mads Klokkerholm,Sri Yuliyanti,Paweł Konikiewicz,Tolga Emre Aslan,Yulia Sedova,Deivid Alves,Benjamin Gareis,Sener Abanozoglu,Daiki Nishiyama,Joselito Coutinho,Felipe Kraskoff Esteves,Gaurav Goel,Blake Evertsen,Juraj Masar</v>
      </c>
      <c r="F495" s="4" t="str">
        <f>IFERROR(__xludf.DUMMYFUNCTION("""COMPUTED_VALUE"""),"2019/11/07 12:15:00")</f>
        <v>2019/11/07 12:15:00</v>
      </c>
      <c r="G495" s="4" t="str">
        <f>IFERROR(__xludf.DUMMYFUNCTION("""COMPUTED_VALUE"""),"2019/11/07 13:15:00")</f>
        <v>2019/11/07 13:15:00</v>
      </c>
      <c r="H495" s="4" t="str">
        <f>IFERROR(__xludf.DUMMYFUNCTION("""COMPUTED_VALUE"""),"42de2f20-2451-4cb7-97b3-57f9daac93e5")</f>
        <v>42de2f20-2451-4cb7-97b3-57f9daac93e5</v>
      </c>
      <c r="I495" s="4" t="str">
        <f>IFERROR(__xludf.DUMMYFUNCTION("""COMPUTED_VALUE"""),"42de2f20-2451-4cb7-97b3-57f9daac93e5")</f>
        <v>42de2f20-2451-4cb7-97b3-57f9daac93e5</v>
      </c>
    </row>
    <row r="496">
      <c r="A496" s="4" t="str">
        <f>IFERROR(__xludf.DUMMYFUNCTION("""COMPUTED_VALUE"""),"Food truck 3")</f>
        <v>Food truck 3</v>
      </c>
      <c r="B496" s="4" t="str">
        <f>IFERROR(__xludf.DUMMYFUNCTION("""COMPUTED_VALUE"""),"")</f>
        <v/>
      </c>
      <c r="C496" s="4" t="str">
        <f>IFERROR(__xludf.DUMMYFUNCTION("""COMPUTED_VALUE"""),"Food truck 3 - Nov 5")</f>
        <v>Food truck 3 - Nov 5</v>
      </c>
      <c r="D496" s="4" t="str">
        <f>IFERROR(__xludf.DUMMYFUNCTION("""COMPUTED_VALUE"""),"")</f>
        <v/>
      </c>
      <c r="E496" s="4" t="str">
        <f>IFERROR(__xludf.DUMMYFUNCTION("""COMPUTED_VALUE"""),"")</f>
        <v/>
      </c>
      <c r="F496" s="4" t="str">
        <f>IFERROR(__xludf.DUMMYFUNCTION("""COMPUTED_VALUE"""),"2019/11/05 20:01:00")</f>
        <v>2019/11/05 20:01:00</v>
      </c>
      <c r="G496" s="4" t="str">
        <f>IFERROR(__xludf.DUMMYFUNCTION("""COMPUTED_VALUE"""),"2019/11/05 23:59:00")</f>
        <v>2019/11/05 23:59:00</v>
      </c>
      <c r="H496" s="4" t="str">
        <f>IFERROR(__xludf.DUMMYFUNCTION("""COMPUTED_VALUE"""),"d71888d3-619b-4801-aece-71fce5c3a3dc")</f>
        <v>d71888d3-619b-4801-aece-71fce5c3a3dc</v>
      </c>
      <c r="I496" s="4" t="str">
        <f>IFERROR(__xludf.DUMMYFUNCTION("""COMPUTED_VALUE"""),"d71888d3-619b-4801-aece-71fce5c3a3dc")</f>
        <v>d71888d3-619b-4801-aece-71fce5c3a3dc</v>
      </c>
    </row>
    <row r="497">
      <c r="A497" s="4" t="str">
        <f>IFERROR(__xludf.DUMMYFUNCTION("""COMPUTED_VALUE"""),"Opening remarks")</f>
        <v>Opening remarks</v>
      </c>
      <c r="B497" s="4" t="str">
        <f>IFERROR(__xludf.DUMMYFUNCTION("""COMPUTED_VALUE"""),"Next year 40% of consumers will be Gen Z. But do you know how to engage them? Anastasia gives an overview and shares practical tips, using music merch as an example of how artists and creators can reinvent their online strategy and income.")</f>
        <v>Next year 40% of consumers will be Gen Z. But do you know how to engage them? Anastasia gives an overview and shares practical tips, using music merch as an example of how artists and creators can reinvent their online strategy and income.</v>
      </c>
      <c r="C497" s="4" t="str">
        <f>IFERROR(__xludf.DUMMYFUNCTION("""COMPUTED_VALUE"""),"MusicNotes")</f>
        <v>MusicNotes</v>
      </c>
      <c r="D497" s="4" t="str">
        <f>IFERROR(__xludf.DUMMYFUNCTION("""COMPUTED_VALUE"""),"Anastasia Markova")</f>
        <v>Anastasia Markova</v>
      </c>
      <c r="E497" s="4" t="str">
        <f>IFERROR(__xludf.DUMMYFUNCTION("""COMPUTED_VALUE"""),"Anastasia Markova")</f>
        <v>Anastasia Markova</v>
      </c>
      <c r="F497" s="4" t="str">
        <f>IFERROR(__xludf.DUMMYFUNCTION("""COMPUTED_VALUE"""),"2019/11/07 10:45:00")</f>
        <v>2019/11/07 10:45:00</v>
      </c>
      <c r="G497" s="4" t="str">
        <f>IFERROR(__xludf.DUMMYFUNCTION("""COMPUTED_VALUE"""),"2019/11/07 11:00:00")</f>
        <v>2019/11/07 11:00:00</v>
      </c>
      <c r="H497" s="4" t="str">
        <f>IFERROR(__xludf.DUMMYFUNCTION("""COMPUTED_VALUE"""),"15f8a1a9-677a-465c-8c5d-e9d61399bccd")</f>
        <v>15f8a1a9-677a-465c-8c5d-e9d61399bccd</v>
      </c>
      <c r="I497" s="4" t="str">
        <f>IFERROR(__xludf.DUMMYFUNCTION("""COMPUTED_VALUE"""),"15f8a1a9-677a-465c-8c5d-e9d61399bccd")</f>
        <v>15f8a1a9-677a-465c-8c5d-e9d61399bccd</v>
      </c>
    </row>
    <row r="498">
      <c r="A498" s="4" t="str">
        <f>IFERROR(__xludf.DUMMYFUNCTION("""COMPUTED_VALUE"""),"Opening remarks")</f>
        <v>Opening remarks</v>
      </c>
      <c r="B498" s="4" t="str">
        <f>IFERROR(__xludf.DUMMYFUNCTION("""COMPUTED_VALUE"""),"")</f>
        <v/>
      </c>
      <c r="C498" s="4" t="str">
        <f>IFERROR(__xludf.DUMMYFUNCTION("""COMPUTED_VALUE"""),"DeepTech")</f>
        <v>DeepTech</v>
      </c>
      <c r="D498" s="4" t="str">
        <f>IFERROR(__xludf.DUMMYFUNCTION("""COMPUTED_VALUE"""),"Vikram Ahuja")</f>
        <v>Vikram Ahuja</v>
      </c>
      <c r="E498" s="4" t="str">
        <f>IFERROR(__xludf.DUMMYFUNCTION("""COMPUTED_VALUE"""),"Vikram Ahuja")</f>
        <v>Vikram Ahuja</v>
      </c>
      <c r="F498" s="4" t="str">
        <f>IFERROR(__xludf.DUMMYFUNCTION("""COMPUTED_VALUE"""),"2019/11/06 11:00:00")</f>
        <v>2019/11/06 11:00:00</v>
      </c>
      <c r="G498" s="4" t="str">
        <f>IFERROR(__xludf.DUMMYFUNCTION("""COMPUTED_VALUE"""),"2019/11/06 11:05:00")</f>
        <v>2019/11/06 11:05:00</v>
      </c>
      <c r="H498" s="4" t="str">
        <f>IFERROR(__xludf.DUMMYFUNCTION("""COMPUTED_VALUE"""),"a6f78178-23f5-492b-96f7-1ebbf8969876")</f>
        <v>a6f78178-23f5-492b-96f7-1ebbf8969876</v>
      </c>
      <c r="I498" s="4" t="str">
        <f>IFERROR(__xludf.DUMMYFUNCTION("""COMPUTED_VALUE"""),"a6f78178-23f5-492b-96f7-1ebbf8969876")</f>
        <v>a6f78178-23f5-492b-96f7-1ebbf8969876</v>
      </c>
    </row>
    <row r="499">
      <c r="A499" s="4" t="str">
        <f>IFERROR(__xludf.DUMMYFUNCTION("""COMPUTED_VALUE"""),"Mawdoo3.com: How quality content and AI made them the world's most visited Arabic website")</f>
        <v>Mawdoo3.com: How quality content and AI made them the world's most visited Arabic website</v>
      </c>
      <c r="B499" s="4" t="str">
        <f>IFERROR(__xludf.DUMMYFUNCTION("""COMPUTED_VALUE"""),"The founders of Mawdoo3 explain how they identified the need for high-quality Arabic online content, and decided to build a digital platform to address this gap. They'll outline how they made use of technology, artificial intelligence and scalability to b"&amp;"ecome the leading company in the region.")</f>
        <v>The founders of Mawdoo3 explain how they identified the need for high-quality Arabic online content, and decided to build a digital platform to address this gap. They'll outline how they made use of technology, artificial intelligence and scalability to become the leading company in the region.</v>
      </c>
      <c r="C499" s="4" t="str">
        <f>IFERROR(__xludf.DUMMYFUNCTION("""COMPUTED_VALUE"""),"Growth Summit")</f>
        <v>Growth Summit</v>
      </c>
      <c r="D499" s="4" t="str">
        <f>IFERROR(__xludf.DUMMYFUNCTION("""COMPUTED_VALUE"""),"Rami Al-Qawasmi")</f>
        <v>Rami Al-Qawasmi</v>
      </c>
      <c r="E499" s="4" t="str">
        <f>IFERROR(__xludf.DUMMYFUNCTION("""COMPUTED_VALUE"""),"Rami Al-Qawasmi")</f>
        <v>Rami Al-Qawasmi</v>
      </c>
      <c r="F499" s="4" t="str">
        <f>IFERROR(__xludf.DUMMYFUNCTION("""COMPUTED_VALUE"""),"2019/11/07 13:47:00")</f>
        <v>2019/11/07 13:47:00</v>
      </c>
      <c r="G499" s="4" t="str">
        <f>IFERROR(__xludf.DUMMYFUNCTION("""COMPUTED_VALUE"""),"2019/11/07 13:58:00")</f>
        <v>2019/11/07 13:58:00</v>
      </c>
      <c r="H499" s="4" t="str">
        <f>IFERROR(__xludf.DUMMYFUNCTION("""COMPUTED_VALUE"""),"6882af20-c700-49db-96d4-f7b53cbbac7e")</f>
        <v>6882af20-c700-49db-96d4-f7b53cbbac7e</v>
      </c>
      <c r="I499" s="4" t="str">
        <f>IFERROR(__xludf.DUMMYFUNCTION("""COMPUTED_VALUE"""),"6882af20-c700-49db-96d4-f7b53cbbac7e")</f>
        <v>6882af20-c700-49db-96d4-f7b53cbbac7e</v>
      </c>
    </row>
    <row r="500">
      <c r="A500" s="4" t="str">
        <f>IFERROR(__xludf.DUMMYFUNCTION("""COMPUTED_VALUE"""),"Startup Showcase")</f>
        <v>Startup Showcase</v>
      </c>
      <c r="B500" s="4" t="str">
        <f>IFERROR(__xludf.DUMMYFUNCTION("""COMPUTED_VALUE"""),"On this brand new stage, expect quickfire presentations where startups will showcase their solutions to the future's biggest challenges. This hour focuses on media &amp; communication, covering topics like ad tech, marketing products, and journalism platforms"&amp;"; as well as communication-related areas, such as chatbots, messaging platforms, and conversational AI.
")</f>
        <v>On this brand new stage, expect quickfire presentations where startups will showcase their solutions to the future's biggest challenges. This hour focuses on media &amp; communication, covering topics like ad tech, marketing products, and journalism platforms; as well as communication-related areas, such as chatbots, messaging platforms, and conversational AI.
</v>
      </c>
      <c r="C500" s="4" t="str">
        <f>IFERROR(__xludf.DUMMYFUNCTION("""COMPUTED_VALUE"""),"Startup Showcase 1")</f>
        <v>Startup Showcase 1</v>
      </c>
      <c r="D500" s="4" t="str">
        <f>IFERROR(__xludf.DUMMYFUNCTION("""COMPUTED_VALUE"""),"Angus Davis, Francesco Ambrosiano, Joseph Hyosub Lee, Laura Siltala, Jeremie Olivier, JUAN HERNANDEZ, Elina Scorey, Wilber Colmerauër, Raphael Allstadt, Anouar El-Mourabit, Kim Murashov, Amin El Husseini, Alexey Obraztsov, Fadel Zahreddine, Mariella Goebl"&amp;", Gerry McNicol, Carlos Alzate, Maciej Ciołek, Christian Sundgaard, Yunji Won, Matt Robbins, Sasha Schriber, Jere Seppala, PH Zabisky, Maxime Bétas, Johannes Knierzinger, Jacques Sirot, Kacper Wójcik, Alexander Kondrashkin, Francesco Bettinzana, Susan Pou"&amp;"lsen, Jeff Linihan, Anna Downes, Brian Handrigan, Povilas Goberis, David Böhm, Toms Panders, Wonhee Lee, LEONARDO MARTINEZ LUNA, Sewon Yoon, Danilo Ohtani, Assem Chammah, Tero Seppala, Andrew Downes, Arif Abed, Amy Bobchek, Jeongpyo Hong, Andrei Netto, Ma"&amp;"ja Schefer and Linda Kolontaja")</f>
        <v>Angus Davis, Francesco Ambrosiano, Joseph Hyosub Lee, Laura Siltala, Jeremie Olivier, JUAN HERNANDEZ, Elina Scorey, Wilber Colmerauër, Raphael Allstadt, Anouar El-Mourabit, Kim Murashov, Amin El Husseini, Alexey Obraztsov, Fadel Zahreddine, Mariella Goebl, Gerry McNicol, Carlos Alzate, Maciej Ciołek, Christian Sundgaard, Yunji Won, Matt Robbins, Sasha Schriber, Jere Seppala, PH Zabisky, Maxime Bétas, Johannes Knierzinger, Jacques Sirot, Kacper Wójcik, Alexander Kondrashkin, Francesco Bettinzana, Susan Poulsen, Jeff Linihan, Anna Downes, Brian Handrigan, Povilas Goberis, David Böhm, Toms Panders, Wonhee Lee, LEONARDO MARTINEZ LUNA, Sewon Yoon, Danilo Ohtani, Assem Chammah, Tero Seppala, Andrew Downes, Arif Abed, Amy Bobchek, Jeongpyo Hong, Andrei Netto, Maja Schefer and Linda Kolontaja</v>
      </c>
      <c r="E500" s="4" t="str">
        <f>IFERROR(__xludf.DUMMYFUNCTION("""COMPUTED_VALUE"""),"Angus Davis,Francesco Ambrosiano,Joseph Hyosub Lee,Laura Siltala,Jeremie Olivier,JUAN HERNANDEZ,Elina Scorey,Wilber Colmerauër,Raphael Allstadt,Anouar El-Mourabit,Kim Murashov,Amin El Husseini,Alexey Obraztsov,Fadel Zahreddine,Mariella Goebl,Gerry McNicol"&amp;",Carlos Alzate,Maciej Ciołek,Christian Sundgaard,Yunji Won,Matt Robbins,Sasha Schriber,Jere Seppala,PH Zabisky,Maxime Bétas,Johannes Knierzinger,Jacques Sirot,Kacper Wójcik,Alexander Kondrashkin,Francesco Bettinzana,Susan Poulsen,Jeff Linihan,Anna Downes,"&amp;"Brian Handrigan,Povilas Goberis,David Böhm,Toms Panders,Wonhee Lee,LEONARDO MARTINEZ LUNA,Sewon Yoon,Danilo Ohtani,Assem Chammah,Tero Seppala,Andrew Downes,Arif Abed,Amy Bobchek,Jeongpyo Hong,Andrei Netto,Maja Schefer,Linda Kolontaja")</f>
        <v>Angus Davis,Francesco Ambrosiano,Joseph Hyosub Lee,Laura Siltala,Jeremie Olivier,JUAN HERNANDEZ,Elina Scorey,Wilber Colmerauër,Raphael Allstadt,Anouar El-Mourabit,Kim Murashov,Amin El Husseini,Alexey Obraztsov,Fadel Zahreddine,Mariella Goebl,Gerry McNicol,Carlos Alzate,Maciej Ciołek,Christian Sundgaard,Yunji Won,Matt Robbins,Sasha Schriber,Jere Seppala,PH Zabisky,Maxime Bétas,Johannes Knierzinger,Jacques Sirot,Kacper Wójcik,Alexander Kondrashkin,Francesco Bettinzana,Susan Poulsen,Jeff Linihan,Anna Downes,Brian Handrigan,Povilas Goberis,David Böhm,Toms Panders,Wonhee Lee,LEONARDO MARTINEZ LUNA,Sewon Yoon,Danilo Ohtani,Assem Chammah,Tero Seppala,Andrew Downes,Arif Abed,Amy Bobchek,Jeongpyo Hong,Andrei Netto,Maja Schefer,Linda Kolontaja</v>
      </c>
      <c r="F500" s="4" t="str">
        <f>IFERROR(__xludf.DUMMYFUNCTION("""COMPUTED_VALUE"""),"2019/11/06 10:15:00")</f>
        <v>2019/11/06 10:15:00</v>
      </c>
      <c r="G500" s="4" t="str">
        <f>IFERROR(__xludf.DUMMYFUNCTION("""COMPUTED_VALUE"""),"2019/11/06 11:15:00")</f>
        <v>2019/11/06 11:15:00</v>
      </c>
      <c r="H500" s="4" t="str">
        <f>IFERROR(__xludf.DUMMYFUNCTION("""COMPUTED_VALUE"""),"e42a0d7f-abd3-49a7-9064-beeffe476535")</f>
        <v>e42a0d7f-abd3-49a7-9064-beeffe476535</v>
      </c>
      <c r="I500" s="4" t="str">
        <f>IFERROR(__xludf.DUMMYFUNCTION("""COMPUTED_VALUE"""),"e42a0d7f-abd3-49a7-9064-beeffe476535")</f>
        <v>e42a0d7f-abd3-49a7-9064-beeffe476535</v>
      </c>
    </row>
    <row r="501">
      <c r="A501" s="4" t="str">
        <f>IFERROR(__xludf.DUMMYFUNCTION("""COMPUTED_VALUE"""),"Saving the planet, one drop at a time")</f>
        <v>Saving the planet, one drop at a time</v>
      </c>
      <c r="B501" s="4" t="str">
        <f>IFERROR(__xludf.DUMMYFUNCTION("""COMPUTED_VALUE"""),"Why is water attracting the next generation of high profile entrepreneurs? Join three of the stars of a new feature length documentary – Brave Blue World – to find out.
")</f>
        <v>Why is water attracting the next generation of high profile entrepreneurs? Join three of the stars of a new feature length documentary – Brave Blue World – to find out.
</v>
      </c>
      <c r="C501" s="4" t="str">
        <f>IFERROR(__xludf.DUMMYFUNCTION("""COMPUTED_VALUE"""),"Centre Stage")</f>
        <v>Centre Stage</v>
      </c>
      <c r="D501" s="4" t="str">
        <f>IFERROR(__xludf.DUMMYFUNCTION("""COMPUTED_VALUE"""),"Jaden Smith, Gary White, Paul O'Callaghan and Laurie Segall")</f>
        <v>Jaden Smith, Gary White, Paul O'Callaghan and Laurie Segall</v>
      </c>
      <c r="E501" s="4" t="str">
        <f>IFERROR(__xludf.DUMMYFUNCTION("""COMPUTED_VALUE"""),"Jaden Smith,Gary White,Paul O'Callaghan,Laurie Segall")</f>
        <v>Jaden Smith,Gary White,Paul O'Callaghan,Laurie Segall</v>
      </c>
      <c r="F501" s="4" t="str">
        <f>IFERROR(__xludf.DUMMYFUNCTION("""COMPUTED_VALUE"""),"2019/11/04 19:18:00")</f>
        <v>2019/11/04 19:18:00</v>
      </c>
      <c r="G501" s="4" t="str">
        <f>IFERROR(__xludf.DUMMYFUNCTION("""COMPUTED_VALUE"""),"2019/11/04 19:35:00")</f>
        <v>2019/11/04 19:35:00</v>
      </c>
      <c r="H501" s="4" t="str">
        <f>IFERROR(__xludf.DUMMYFUNCTION("""COMPUTED_VALUE"""),"9a152918-ff5d-49ed-869c-0df761510a22")</f>
        <v>9a152918-ff5d-49ed-869c-0df761510a22</v>
      </c>
      <c r="I501" s="4" t="str">
        <f>IFERROR(__xludf.DUMMYFUNCTION("""COMPUTED_VALUE"""),"9a152918-ff5d-49ed-869c-0df761510a22")</f>
        <v>9a152918-ff5d-49ed-869c-0df761510a22</v>
      </c>
    </row>
    <row r="502">
      <c r="A502" s="4" t="str">
        <f>IFERROR(__xludf.DUMMYFUNCTION("""COMPUTED_VALUE"""),"How can tech companies regain our trust?")</f>
        <v>How can tech companies regain our trust?</v>
      </c>
      <c r="B502" s="4" t="str">
        <f>IFERROR(__xludf.DUMMYFUNCTION("""COMPUTED_VALUE"""),"Trust in tech is wavering and companies must act now. Last year, the phrase “techlash” was runner-up for Oxford Dictionary’s word of the year. Why are the big tech companies failing to win us over and what can be done about it?")</f>
        <v>Trust in tech is wavering and companies must act now. Last year, the phrase “techlash” was runner-up for Oxford Dictionary’s word of the year. Why are the big tech companies failing to win us over and what can be done about it?</v>
      </c>
      <c r="C502" s="4" t="str">
        <f>IFERROR(__xludf.DUMMYFUNCTION("""COMPUTED_VALUE"""),"PandaConf")</f>
        <v>PandaConf</v>
      </c>
      <c r="D502" s="4" t="str">
        <f>IFERROR(__xludf.DUMMYFUNCTION("""COMPUTED_VALUE"""),"Richard Edelman and Sara Fischer")</f>
        <v>Richard Edelman and Sara Fischer</v>
      </c>
      <c r="E502" s="4" t="str">
        <f>IFERROR(__xludf.DUMMYFUNCTION("""COMPUTED_VALUE"""),"Richard Edelman,Sara Fischer")</f>
        <v>Richard Edelman,Sara Fischer</v>
      </c>
      <c r="F502" s="4" t="str">
        <f>IFERROR(__xludf.DUMMYFUNCTION("""COMPUTED_VALUE"""),"2019/11/06 12:30:00")</f>
        <v>2019/11/06 12:30:00</v>
      </c>
      <c r="G502" s="4" t="str">
        <f>IFERROR(__xludf.DUMMYFUNCTION("""COMPUTED_VALUE"""),"2019/11/06 12:50:00")</f>
        <v>2019/11/06 12:50:00</v>
      </c>
      <c r="H502" s="4" t="str">
        <f>IFERROR(__xludf.DUMMYFUNCTION("""COMPUTED_VALUE"""),"e5951b2b-a338-4770-ac0d-d01d3e50257f")</f>
        <v>e5951b2b-a338-4770-ac0d-d01d3e50257f</v>
      </c>
      <c r="I502" s="4" t="str">
        <f>IFERROR(__xludf.DUMMYFUNCTION("""COMPUTED_VALUE"""),"e5951b2b-a338-4770-ac0d-d01d3e50257f")</f>
        <v>e5951b2b-a338-4770-ac0d-d01d3e50257f</v>
      </c>
    </row>
    <row r="503">
      <c r="A503" s="4" t="str">
        <f>IFERROR(__xludf.DUMMYFUNCTION("""COMPUTED_VALUE"""),"Sustainability: A moment, or a movement?")</f>
        <v>Sustainability: A moment, or a movement?</v>
      </c>
      <c r="B503" s="4" t="str">
        <f>IFERROR(__xludf.DUMMYFUNCTION("""COMPUTED_VALUE"""),"Sure, we all love a tote bag, and sustainable sneakers have become celebrity must-haves. However, fashion and beauty remain some of the most wasteful industries in the world. How can brands use tech to move beyond the sustainability ""moment"" and make a "&amp;"real difference? ")</f>
        <v>Sure, we all love a tote bag, and sustainable sneakers have become celebrity must-haves. However, fashion and beauty remain some of the most wasteful industries in the world. How can brands use tech to move beyond the sustainability "moment" and make a real difference? </v>
      </c>
      <c r="C503" s="4" t="str">
        <f>IFERROR(__xludf.DUMMYFUNCTION("""COMPUTED_VALUE"""),"Modum")</f>
        <v>Modum</v>
      </c>
      <c r="D503" s="4" t="str">
        <f>IFERROR(__xludf.DUMMYFUNCTION("""COMPUTED_VALUE"""),"Katrin Ley, Charlotte Nisbet, Simon Beckerman and Mark Russell")</f>
        <v>Katrin Ley, Charlotte Nisbet, Simon Beckerman and Mark Russell</v>
      </c>
      <c r="E503" s="4" t="str">
        <f>IFERROR(__xludf.DUMMYFUNCTION("""COMPUTED_VALUE"""),"Katrin Ley,Charlotte Nisbet,Simon Beckerman,Mark Russell")</f>
        <v>Katrin Ley,Charlotte Nisbet,Simon Beckerman,Mark Russell</v>
      </c>
      <c r="F503" s="4" t="str">
        <f>IFERROR(__xludf.DUMMYFUNCTION("""COMPUTED_VALUE"""),"2019/11/07 15:00:00")</f>
        <v>2019/11/07 15:00:00</v>
      </c>
      <c r="G503" s="4" t="str">
        <f>IFERROR(__xludf.DUMMYFUNCTION("""COMPUTED_VALUE"""),"2019/11/07 15:25:00")</f>
        <v>2019/11/07 15:25:00</v>
      </c>
      <c r="H503" s="4" t="str">
        <f>IFERROR(__xludf.DUMMYFUNCTION("""COMPUTED_VALUE"""),"586a71c2-3585-4d55-9eb9-3505a177046a")</f>
        <v>586a71c2-3585-4d55-9eb9-3505a177046a</v>
      </c>
      <c r="I503" s="4" t="str">
        <f>IFERROR(__xludf.DUMMYFUNCTION("""COMPUTED_VALUE"""),"586a71c2-3585-4d55-9eb9-3505a177046a")</f>
        <v>586a71c2-3585-4d55-9eb9-3505a177046a</v>
      </c>
    </row>
    <row r="504">
      <c r="A504" s="4" t="str">
        <f>IFERROR(__xludf.DUMMYFUNCTION("""COMPUTED_VALUE"""),"What happens to teamwork when you rapidly increase your workforce in 18 months?")</f>
        <v>What happens to teamwork when you rapidly increase your workforce in 18 months?</v>
      </c>
      <c r="B504" s="4" t="str">
        <f>IFERROR(__xludf.DUMMYFUNCTION("""COMPUTED_VALUE"""),"Whether for its millions of users or internally, Klaxoon has always shaken up the way teams work. CEO, Matthieu, explains Klaxoon's journey and also how to preserve amazing teamwork when scaling and leading a ""meeting revolution"" into 120 countries.")</f>
        <v>Whether for its millions of users or internally, Klaxoon has always shaken up the way teams work. CEO, Matthieu, explains Klaxoon's journey and also how to preserve amazing teamwork when scaling and leading a "meeting revolution" into 120 countries.</v>
      </c>
      <c r="C504" s="4" t="str">
        <f>IFERROR(__xludf.DUMMYFUNCTION("""COMPUTED_VALUE"""),"Growth Summit")</f>
        <v>Growth Summit</v>
      </c>
      <c r="D504" s="4" t="str">
        <f>IFERROR(__xludf.DUMMYFUNCTION("""COMPUTED_VALUE"""),"")</f>
        <v/>
      </c>
      <c r="E504" s="4" t="str">
        <f>IFERROR(__xludf.DUMMYFUNCTION("""COMPUTED_VALUE"""),"")</f>
        <v/>
      </c>
      <c r="F504" s="4" t="str">
        <f>IFERROR(__xludf.DUMMYFUNCTION("""COMPUTED_VALUE"""),"2019/11/05 12:41:00")</f>
        <v>2019/11/05 12:41:00</v>
      </c>
      <c r="G504" s="4" t="str">
        <f>IFERROR(__xludf.DUMMYFUNCTION("""COMPUTED_VALUE"""),"2019/11/05 12:52:00")</f>
        <v>2019/11/05 12:52:00</v>
      </c>
      <c r="H504" s="4" t="str">
        <f>IFERROR(__xludf.DUMMYFUNCTION("""COMPUTED_VALUE"""),"54fec332-95c0-4240-9033-9baf09c9e7da")</f>
        <v>54fec332-95c0-4240-9033-9baf09c9e7da</v>
      </c>
      <c r="I504" s="4" t="str">
        <f>IFERROR(__xludf.DUMMYFUNCTION("""COMPUTED_VALUE"""),"54fec332-95c0-4240-9033-9baf09c9e7da")</f>
        <v>54fec332-95c0-4240-9033-9baf09c9e7da</v>
      </c>
    </row>
    <row r="505">
      <c r="A505" s="4" t="str">
        <f>IFERROR(__xludf.DUMMYFUNCTION("""COMPUTED_VALUE"""),"Autonomy and the future of transportation")</f>
        <v>Autonomy and the future of transportation</v>
      </c>
      <c r="B505" s="4" t="str">
        <f>IFERROR(__xludf.DUMMYFUNCTION("""COMPUTED_VALUE"""),"Hear from AEye co-founder, Ransom on autonomy and the future of transportation")</f>
        <v>Hear from AEye co-founder, Ransom on autonomy and the future of transportation</v>
      </c>
      <c r="C505" s="4" t="str">
        <f>IFERROR(__xludf.DUMMYFUNCTION("""COMPUTED_VALUE"""),"Growth Summit")</f>
        <v>Growth Summit</v>
      </c>
      <c r="D505" s="4" t="str">
        <f>IFERROR(__xludf.DUMMYFUNCTION("""COMPUTED_VALUE"""),"Ransom Wuller")</f>
        <v>Ransom Wuller</v>
      </c>
      <c r="E505" s="4" t="str">
        <f>IFERROR(__xludf.DUMMYFUNCTION("""COMPUTED_VALUE"""),"Ransom Wuller")</f>
        <v>Ransom Wuller</v>
      </c>
      <c r="F505" s="4" t="str">
        <f>IFERROR(__xludf.DUMMYFUNCTION("""COMPUTED_VALUE"""),"2019/11/05 14:09:00")</f>
        <v>2019/11/05 14:09:00</v>
      </c>
      <c r="G505" s="4" t="str">
        <f>IFERROR(__xludf.DUMMYFUNCTION("""COMPUTED_VALUE"""),"2019/11/05 14:20:00")</f>
        <v>2019/11/05 14:20:00</v>
      </c>
      <c r="H505" s="4" t="str">
        <f>IFERROR(__xludf.DUMMYFUNCTION("""COMPUTED_VALUE"""),"1a38029c-c419-4fd5-a55f-b8af322dcbf9")</f>
        <v>1a38029c-c419-4fd5-a55f-b8af322dcbf9</v>
      </c>
      <c r="I505" s="4" t="str">
        <f>IFERROR(__xludf.DUMMYFUNCTION("""COMPUTED_VALUE"""),"1a38029c-c419-4fd5-a55f-b8af322dcbf9")</f>
        <v>1a38029c-c419-4fd5-a55f-b8af322dcbf9</v>
      </c>
    </row>
    <row r="506">
      <c r="A506" s="4" t="str">
        <f>IFERROR(__xludf.DUMMYFUNCTION("""COMPUTED_VALUE"""),"Good in the Machine: Engineering Ethical AI")</f>
        <v>Good in the Machine: Engineering Ethical AI</v>
      </c>
      <c r="B506" s="4" t="str">
        <f>IFERROR(__xludf.DUMMYFUNCTION("""COMPUTED_VALUE"""),"It’s not too late to make sure AI is working for humanity rather than the other way around. What principles do we need to agree upon and who needs to be involved? Hear Carolyn Herzog of Arm discuss the big challenges we face in creating trustworthy machin"&amp;"es.")</f>
        <v>It’s not too late to make sure AI is working for humanity rather than the other way around. What principles do we need to agree upon and who needs to be involved? Hear Carolyn Herzog of Arm discuss the big challenges we face in creating trustworthy machines.</v>
      </c>
      <c r="C506" s="4" t="str">
        <f>IFERROR(__xludf.DUMMYFUNCTION("""COMPUTED_VALUE"""),"Auto/Tech &amp; TalkRobot")</f>
        <v>Auto/Tech &amp; TalkRobot</v>
      </c>
      <c r="D506" s="4" t="str">
        <f>IFERROR(__xludf.DUMMYFUNCTION("""COMPUTED_VALUE"""),"Carolyn Herzog")</f>
        <v>Carolyn Herzog</v>
      </c>
      <c r="E506" s="4" t="str">
        <f>IFERROR(__xludf.DUMMYFUNCTION("""COMPUTED_VALUE"""),"Carolyn Herzog")</f>
        <v>Carolyn Herzog</v>
      </c>
      <c r="F506" s="4" t="str">
        <f>IFERROR(__xludf.DUMMYFUNCTION("""COMPUTED_VALUE"""),"2019/11/06 16:20:00")</f>
        <v>2019/11/06 16:20:00</v>
      </c>
      <c r="G506" s="4" t="str">
        <f>IFERROR(__xludf.DUMMYFUNCTION("""COMPUTED_VALUE"""),"2019/11/06 16:40:00")</f>
        <v>2019/11/06 16:40:00</v>
      </c>
      <c r="H506" s="4" t="str">
        <f>IFERROR(__xludf.DUMMYFUNCTION("""COMPUTED_VALUE"""),"5c721e31-d86a-4ed5-95c4-6adf1c523ba2")</f>
        <v>5c721e31-d86a-4ed5-95c4-6adf1c523ba2</v>
      </c>
      <c r="I506" s="4" t="str">
        <f>IFERROR(__xludf.DUMMYFUNCTION("""COMPUTED_VALUE"""),"5c721e31-d86a-4ed5-95c4-6adf1c523ba2")</f>
        <v>5c721e31-d86a-4ed5-95c4-6adf1c523ba2</v>
      </c>
    </row>
    <row r="507">
      <c r="A507" s="4" t="str">
        <f>IFERROR(__xludf.DUMMYFUNCTION("""COMPUTED_VALUE"""),"How to build and scale products for and with users")</f>
        <v>How to build and scale products for and with users</v>
      </c>
      <c r="B507" s="4" t="str">
        <f>IFERROR(__xludf.DUMMYFUNCTION("""COMPUTED_VALUE"""),"In this talk, Reddit’s CTO and Founding Engineer, Chris Slowe, will share the process and philosophy of Reddit’s product development, reflect on the importance of community’s feedback and offer advice from designing hand-in-hand with arguably the internet"&amp;"’s most vocal, opinionated users.")</f>
        <v>In this talk, Reddit’s CTO and Founding Engineer, Chris Slowe, will share the process and philosophy of Reddit’s product development, reflect on the importance of community’s feedback and offer advice from designing hand-in-hand with arguably the internet’s most vocal, opinionated users.</v>
      </c>
      <c r="C507" s="4" t="str">
        <f>IFERROR(__xludf.DUMMYFUNCTION("""COMPUTED_VALUE"""),"FullSTK")</f>
        <v>FullSTK</v>
      </c>
      <c r="D507" s="4" t="str">
        <f>IFERROR(__xludf.DUMMYFUNCTION("""COMPUTED_VALUE"""),"Chris Slowe")</f>
        <v>Chris Slowe</v>
      </c>
      <c r="E507" s="4" t="str">
        <f>IFERROR(__xludf.DUMMYFUNCTION("""COMPUTED_VALUE"""),"Chris Slowe")</f>
        <v>Chris Slowe</v>
      </c>
      <c r="F507" s="4" t="str">
        <f>IFERROR(__xludf.DUMMYFUNCTION("""COMPUTED_VALUE"""),"2019/11/07 12:35:00")</f>
        <v>2019/11/07 12:35:00</v>
      </c>
      <c r="G507" s="4" t="str">
        <f>IFERROR(__xludf.DUMMYFUNCTION("""COMPUTED_VALUE"""),"2019/11/07 12:55:00")</f>
        <v>2019/11/07 12:55:00</v>
      </c>
      <c r="H507" s="4" t="str">
        <f>IFERROR(__xludf.DUMMYFUNCTION("""COMPUTED_VALUE"""),"8e629f04-926e-4248-8bc8-b9b92ff863b4")</f>
        <v>8e629f04-926e-4248-8bc8-b9b92ff863b4</v>
      </c>
      <c r="I507" s="4" t="str">
        <f>IFERROR(__xludf.DUMMYFUNCTION("""COMPUTED_VALUE"""),"8e629f04-926e-4248-8bc8-b9b92ff863b4")</f>
        <v>8e629f04-926e-4248-8bc8-b9b92ff863b4</v>
      </c>
    </row>
    <row r="508">
      <c r="A508" s="4" t="str">
        <f>IFERROR(__xludf.DUMMYFUNCTION("""COMPUTED_VALUE"""),"Breaking down doors with open source ")</f>
        <v>Breaking down doors with open source </v>
      </c>
      <c r="B508" s="4" t="str">
        <f>IFERROR(__xludf.DUMMYFUNCTION("""COMPUTED_VALUE"""),"The story of how Coder founders John and Kyle leveraged a community of hundreds of thousands of engineers to break into the enterprise market without sales people. ")</f>
        <v>The story of how Coder founders John and Kyle leveraged a community of hundreds of thousands of engineers to break into the enterprise market without sales people. </v>
      </c>
      <c r="C508" s="4" t="str">
        <f>IFERROR(__xludf.DUMMYFUNCTION("""COMPUTED_VALUE"""),"Growth Summit")</f>
        <v>Growth Summit</v>
      </c>
      <c r="D508" s="4" t="str">
        <f>IFERROR(__xludf.DUMMYFUNCTION("""COMPUTED_VALUE"""),"John A. Entwistle and Kyle Carberry")</f>
        <v>John A. Entwistle and Kyle Carberry</v>
      </c>
      <c r="E508" s="4" t="str">
        <f>IFERROR(__xludf.DUMMYFUNCTION("""COMPUTED_VALUE"""),"John A. Entwistle,Kyle Carberry")</f>
        <v>John A. Entwistle,Kyle Carberry</v>
      </c>
      <c r="F508" s="4" t="str">
        <f>IFERROR(__xludf.DUMMYFUNCTION("""COMPUTED_VALUE"""),"2019/11/06 10:38:00")</f>
        <v>2019/11/06 10:38:00</v>
      </c>
      <c r="G508" s="4" t="str">
        <f>IFERROR(__xludf.DUMMYFUNCTION("""COMPUTED_VALUE"""),"2019/11/06 10:42:00")</f>
        <v>2019/11/06 10:42:00</v>
      </c>
      <c r="H508" s="4" t="str">
        <f>IFERROR(__xludf.DUMMYFUNCTION("""COMPUTED_VALUE"""),"9292a315-9472-4fac-8eb8-60425a698d42")</f>
        <v>9292a315-9472-4fac-8eb8-60425a698d42</v>
      </c>
      <c r="I508" s="4" t="str">
        <f>IFERROR(__xludf.DUMMYFUNCTION("""COMPUTED_VALUE"""),"9292a315-9472-4fac-8eb8-60425a698d42")</f>
        <v>9292a315-9472-4fac-8eb8-60425a698d42</v>
      </c>
    </row>
    <row r="509">
      <c r="A509" s="4" t="str">
        <f>IFERROR(__xludf.DUMMYFUNCTION("""COMPUTED_VALUE"""),"Next-Generation Internet: Technology deep-dive, hosted by European Commission")</f>
        <v>Next-Generation Internet: Technology deep-dive, hosted by European Commission</v>
      </c>
      <c r="B509" s="4" t="str">
        <f>IFERROR(__xludf.DUMMYFUNCTION("""COMPUTED_VALUE"""),"Next-Generation Internet (NGI) is a forward-looking initiative launched in 2018 by the European Commission to fund top-level internet innovators in shaping the human-centric internet of the future.
Developers will present the most powerful and promising "&amp;"technologies developed in the first year of the programme, in the field of Privacy Enhancing Technologies, Search and Discovery, Decentralized Data Governance and Blockchain.
Current and future funding opportunities will also be presented.")</f>
        <v>Next-Generation Internet (NGI) is a forward-looking initiative launched in 2018 by the European Commission to fund top-level internet innovators in shaping the human-centric internet of the future.
Developers will present the most powerful and promising technologies developed in the first year of the programme, in the field of Privacy Enhancing Technologies, Search and Discovery, Decentralized Data Governance and Blockchain.
Current and future funding opportunities will also be presented.</v>
      </c>
      <c r="C509" s="4" t="str">
        <f>IFERROR(__xludf.DUMMYFUNCTION("""COMPUTED_VALUE"""),"Workshop 2")</f>
        <v>Workshop 2</v>
      </c>
      <c r="D509" s="4" t="str">
        <f>IFERROR(__xludf.DUMMYFUNCTION("""COMPUTED_VALUE"""),"Olivier Bringer, Stefano Foglietta, Aleksandar Jevremovic, Nuno Garcia, Dominik Beron and Daniel Kastl")</f>
        <v>Olivier Bringer, Stefano Foglietta, Aleksandar Jevremovic, Nuno Garcia, Dominik Beron and Daniel Kastl</v>
      </c>
      <c r="E509" s="4" t="str">
        <f>IFERROR(__xludf.DUMMYFUNCTION("""COMPUTED_VALUE"""),"Olivier Bringer,Stefano Foglietta,Aleksandar Jevremovic,Nuno Garcia,Dominik Beron,Daniel Kastl")</f>
        <v>Olivier Bringer,Stefano Foglietta,Aleksandar Jevremovic,Nuno Garcia,Dominik Beron,Daniel Kastl</v>
      </c>
      <c r="F509" s="4" t="str">
        <f>IFERROR(__xludf.DUMMYFUNCTION("""COMPUTED_VALUE"""),"2019/11/07 11:00:00")</f>
        <v>2019/11/07 11:00:00</v>
      </c>
      <c r="G509" s="4" t="str">
        <f>IFERROR(__xludf.DUMMYFUNCTION("""COMPUTED_VALUE"""),"2019/11/07 11:45:00")</f>
        <v>2019/11/07 11:45:00</v>
      </c>
      <c r="H509" s="4" t="str">
        <f>IFERROR(__xludf.DUMMYFUNCTION("""COMPUTED_VALUE"""),"c13aa693-f8ed-4c7b-9eea-d975579f350b")</f>
        <v>c13aa693-f8ed-4c7b-9eea-d975579f350b</v>
      </c>
      <c r="I509" s="4" t="str">
        <f>IFERROR(__xludf.DUMMYFUNCTION("""COMPUTED_VALUE"""),"c13aa693-f8ed-4c7b-9eea-d975579f350b")</f>
        <v>c13aa693-f8ed-4c7b-9eea-d975579f350b</v>
      </c>
    </row>
    <row r="510">
      <c r="A510" s="4" t="str">
        <f>IFERROR(__xludf.DUMMYFUNCTION("""COMPUTED_VALUE"""),"Nail it before you scale it")</f>
        <v>Nail it before you scale it</v>
      </c>
      <c r="B510" s="4" t="str">
        <f>IFERROR(__xludf.DUMMYFUNCTION("""COMPUTED_VALUE"""),"How to grow your platform without breaking the bank. What do investors want to see in terms of beta platforms, and how much is too much to spend on tech before revenues and customer numbers start to grow?")</f>
        <v>How to grow your platform without breaking the bank. What do investors want to see in terms of beta platforms, and how much is too much to spend on tech before revenues and customer numbers start to grow?</v>
      </c>
      <c r="C510" s="4" t="str">
        <f>IFERROR(__xludf.DUMMYFUNCTION("""COMPUTED_VALUE"""),"Venture stage")</f>
        <v>Venture stage</v>
      </c>
      <c r="D510" s="4" t="str">
        <f>IFERROR(__xludf.DUMMYFUNCTION("""COMPUTED_VALUE"""),"George Henry, Anton Waitz, Ricardo Sequerra and Karen McCormick")</f>
        <v>George Henry, Anton Waitz, Ricardo Sequerra and Karen McCormick</v>
      </c>
      <c r="E510" s="4" t="str">
        <f>IFERROR(__xludf.DUMMYFUNCTION("""COMPUTED_VALUE"""),"George Henry,Anton Waitz,Ricardo Sequerra,Karen McCormick")</f>
        <v>George Henry,Anton Waitz,Ricardo Sequerra,Karen McCormick</v>
      </c>
      <c r="F510" s="4" t="str">
        <f>IFERROR(__xludf.DUMMYFUNCTION("""COMPUTED_VALUE"""),"2019/11/06 10:45:00")</f>
        <v>2019/11/06 10:45:00</v>
      </c>
      <c r="G510" s="4" t="str">
        <f>IFERROR(__xludf.DUMMYFUNCTION("""COMPUTED_VALUE"""),"2019/11/06 11:05:00")</f>
        <v>2019/11/06 11:05:00</v>
      </c>
      <c r="H510" s="4" t="str">
        <f>IFERROR(__xludf.DUMMYFUNCTION("""COMPUTED_VALUE"""),"d28a2173-86b5-4962-9040-6b00522abdf3")</f>
        <v>d28a2173-86b5-4962-9040-6b00522abdf3</v>
      </c>
      <c r="I510" s="4" t="str">
        <f>IFERROR(__xludf.DUMMYFUNCTION("""COMPUTED_VALUE"""),"d28a2173-86b5-4962-9040-6b00522abdf3")</f>
        <v>d28a2173-86b5-4962-9040-6b00522abdf3</v>
      </c>
    </row>
    <row r="511">
      <c r="A511" s="4" t="str">
        <f>IFERROR(__xludf.DUMMYFUNCTION("""COMPUTED_VALUE"""),"Winning in round 1: Exciting the world's best seed investors")</f>
        <v>Winning in round 1: Exciting the world's best seed investors</v>
      </c>
      <c r="B511" s="4" t="str">
        <f>IFERROR(__xludf.DUMMYFUNCTION("""COMPUTED_VALUE"""),"The most influential seed stage investors in the world come together to discuss trends for the next 12 months, and what it takes to raise that first round.")</f>
        <v>The most influential seed stage investors in the world come together to discuss trends for the next 12 months, and what it takes to raise that first round.</v>
      </c>
      <c r="C511" s="4" t="str">
        <f>IFERROR(__xludf.DUMMYFUNCTION("""COMPUTED_VALUE"""),"Centre Stage")</f>
        <v>Centre Stage</v>
      </c>
      <c r="D511" s="4" t="str">
        <f>IFERROR(__xludf.DUMMYFUNCTION("""COMPUTED_VALUE"""),"Reshma Sohoni, Saul Klein, David Brown and Mike Butcher")</f>
        <v>Reshma Sohoni, Saul Klein, David Brown and Mike Butcher</v>
      </c>
      <c r="E511" s="4" t="str">
        <f>IFERROR(__xludf.DUMMYFUNCTION("""COMPUTED_VALUE"""),"Reshma Sohoni,Saul Klein,David Brown,Mike Butcher")</f>
        <v>Reshma Sohoni,Saul Klein,David Brown,Mike Butcher</v>
      </c>
      <c r="F511" s="4" t="str">
        <f>IFERROR(__xludf.DUMMYFUNCTION("""COMPUTED_VALUE"""),"2019/11/05 11:10:00")</f>
        <v>2019/11/05 11:10:00</v>
      </c>
      <c r="G511" s="4" t="str">
        <f>IFERROR(__xludf.DUMMYFUNCTION("""COMPUTED_VALUE"""),"2019/11/05 11:30:00")</f>
        <v>2019/11/05 11:30:00</v>
      </c>
      <c r="H511" s="4" t="str">
        <f>IFERROR(__xludf.DUMMYFUNCTION("""COMPUTED_VALUE"""),"a421dcf6-c709-47c8-9338-de768cfdb856")</f>
        <v>a421dcf6-c709-47c8-9338-de768cfdb856</v>
      </c>
      <c r="I511" s="4" t="str">
        <f>IFERROR(__xludf.DUMMYFUNCTION("""COMPUTED_VALUE"""),"a421dcf6-c709-47c8-9338-de768cfdb856")</f>
        <v>a421dcf6-c709-47c8-9338-de768cfdb856</v>
      </c>
    </row>
    <row r="512">
      <c r="A512" s="4" t="str">
        <f>IFERROR(__xludf.DUMMYFUNCTION("""COMPUTED_VALUE"""),"The democratisation of banking ")</f>
        <v>The democratisation of banking </v>
      </c>
      <c r="B512" s="4" t="str">
        <f>IFERROR(__xludf.DUMMYFUNCTION("""COMPUTED_VALUE"""),"Savings and investments have now become anyone's game. Raisin co-founder, Tamaz, will discuss how online marketplaces represent a new era of equal opportunity in finance. ")</f>
        <v>Savings and investments have now become anyone's game. Raisin co-founder, Tamaz, will discuss how online marketplaces represent a new era of equal opportunity in finance. </v>
      </c>
      <c r="C512" s="4" t="str">
        <f>IFERROR(__xludf.DUMMYFUNCTION("""COMPUTED_VALUE"""),"MoneyConf")</f>
        <v>MoneyConf</v>
      </c>
      <c r="D512" s="4" t="str">
        <f>IFERROR(__xludf.DUMMYFUNCTION("""COMPUTED_VALUE"""),"Tamaz Georgadze and Callum Burroughs")</f>
        <v>Tamaz Georgadze and Callum Burroughs</v>
      </c>
      <c r="E512" s="4" t="str">
        <f>IFERROR(__xludf.DUMMYFUNCTION("""COMPUTED_VALUE"""),"Tamaz Georgadze,Callum Burroughs")</f>
        <v>Tamaz Georgadze,Callum Burroughs</v>
      </c>
      <c r="F512" s="4" t="str">
        <f>IFERROR(__xludf.DUMMYFUNCTION("""COMPUTED_VALUE"""),"2019/11/07 13:00:00")</f>
        <v>2019/11/07 13:00:00</v>
      </c>
      <c r="G512" s="4" t="str">
        <f>IFERROR(__xludf.DUMMYFUNCTION("""COMPUTED_VALUE"""),"2019/11/07 13:20:00")</f>
        <v>2019/11/07 13:20:00</v>
      </c>
      <c r="H512" s="4" t="str">
        <f>IFERROR(__xludf.DUMMYFUNCTION("""COMPUTED_VALUE"""),"41166d01-eab0-4807-a8a3-d33e96da71fc")</f>
        <v>41166d01-eab0-4807-a8a3-d33e96da71fc</v>
      </c>
      <c r="I512" s="4" t="str">
        <f>IFERROR(__xludf.DUMMYFUNCTION("""COMPUTED_VALUE"""),"41166d01-eab0-4807-a8a3-d33e96da71fc")</f>
        <v>41166d01-eab0-4807-a8a3-d33e96da71fc</v>
      </c>
    </row>
    <row r="513">
      <c r="A513" s="4" t="str">
        <f>IFERROR(__xludf.DUMMYFUNCTION("""COMPUTED_VALUE"""),"Adapting crypto for the real world")</f>
        <v>Adapting crypto for the real world</v>
      </c>
      <c r="B513" s="4" t="str">
        <f>IFERROR(__xludf.DUMMYFUNCTION("""COMPUTED_VALUE"""),"The rapid mountain climb of crypto's value has reestablished trust in its longevity. However, the current atmosphere still remains - adapt or die. In this conversation, we ask four experts: how can real-world adaptations benefit cryptocurrency?  ")</f>
        <v>The rapid mountain climb of crypto's value has reestablished trust in its longevity. However, the current atmosphere still remains - adapt or die. In this conversation, we ask four experts: how can real-world adaptations benefit cryptocurrency?  </v>
      </c>
      <c r="C513" s="4" t="str">
        <f>IFERROR(__xludf.DUMMYFUNCTION("""COMPUTED_VALUE"""),"MoneyConf")</f>
        <v>MoneyConf</v>
      </c>
      <c r="D513" s="4" t="str">
        <f>IFERROR(__xludf.DUMMYFUNCTION("""COMPUTED_VALUE"""),"Olga Feldmeier, Gin Chao, Leemon Baird and Anne Gaviola")</f>
        <v>Olga Feldmeier, Gin Chao, Leemon Baird and Anne Gaviola</v>
      </c>
      <c r="E513" s="4" t="str">
        <f>IFERROR(__xludf.DUMMYFUNCTION("""COMPUTED_VALUE"""),"Olga Feldmeier,Gin Chao,Leemon Baird,Anne Gaviola")</f>
        <v>Olga Feldmeier,Gin Chao,Leemon Baird,Anne Gaviola</v>
      </c>
      <c r="F513" s="4" t="str">
        <f>IFERROR(__xludf.DUMMYFUNCTION("""COMPUTED_VALUE"""),"2019/11/07 15:10:00")</f>
        <v>2019/11/07 15:10:00</v>
      </c>
      <c r="G513" s="4" t="str">
        <f>IFERROR(__xludf.DUMMYFUNCTION("""COMPUTED_VALUE"""),"2019/11/07 15:35:00")</f>
        <v>2019/11/07 15:35:00</v>
      </c>
      <c r="H513" s="4" t="str">
        <f>IFERROR(__xludf.DUMMYFUNCTION("""COMPUTED_VALUE"""),"78a8c54f-0c56-49bb-8be2-4d1e7b810ef5")</f>
        <v>78a8c54f-0c56-49bb-8be2-4d1e7b810ef5</v>
      </c>
      <c r="I513" s="4" t="str">
        <f>IFERROR(__xludf.DUMMYFUNCTION("""COMPUTED_VALUE"""),"78a8c54f-0c56-49bb-8be2-4d1e7b810ef5")</f>
        <v>78a8c54f-0c56-49bb-8be2-4d1e7b810ef5</v>
      </c>
    </row>
    <row r="514">
      <c r="A514" s="4" t="str">
        <f>IFERROR(__xludf.DUMMYFUNCTION("""COMPUTED_VALUE"""),"Tech unicorns and Web Summit
")</f>
        <v>Tech unicorns and Web Summit
</v>
      </c>
      <c r="B514" s="4" t="str">
        <f>IFERROR(__xludf.DUMMYFUNCTION("""COMPUTED_VALUE"""),"")</f>
        <v/>
      </c>
      <c r="C514" s="4" t="str">
        <f>IFERROR(__xludf.DUMMYFUNCTION("""COMPUTED_VALUE"""),"")</f>
        <v/>
      </c>
      <c r="D514" s="4" t="str">
        <f>IFERROR(__xludf.DUMMYFUNCTION("""COMPUTED_VALUE"""),"Daniela Braga,  Sam Zaid,  Paddy Cosgrave and  Lucy Liu
")</f>
        <v>Daniela Braga,  Sam Zaid,  Paddy Cosgrave and  Lucy Liu
</v>
      </c>
      <c r="E514" s="4" t="str">
        <f>IFERROR(__xludf.DUMMYFUNCTION("""COMPUTED_VALUE"""),"Daniela Braga, Sam Zaid, Paddy Cosgrave, Lucy Liu
")</f>
        <v>Daniela Braga, Sam Zaid, Paddy Cosgrave, Lucy Liu
</v>
      </c>
      <c r="F514" s="4" t="str">
        <f>IFERROR(__xludf.DUMMYFUNCTION("""COMPUTED_VALUE"""),"")</f>
        <v/>
      </c>
      <c r="G514" s="4" t="str">
        <f>IFERROR(__xludf.DUMMYFUNCTION("""COMPUTED_VALUE"""),"")</f>
        <v/>
      </c>
      <c r="H514" s="4" t="str">
        <f>IFERROR(__xludf.DUMMYFUNCTION("""COMPUTED_VALUE"""),"a1c82281-3ec5-5a0b-9d15-21c78b6e7a37")</f>
        <v>a1c82281-3ec5-5a0b-9d15-21c78b6e7a37</v>
      </c>
      <c r="I514" s="4" t="str">
        <f>IFERROR(__xludf.DUMMYFUNCTION("""COMPUTED_VALUE"""),"a1c82281-3ec5-5a0b-9d15-21c78b6e7a37")</f>
        <v>a1c82281-3ec5-5a0b-9d15-21c78b6e7a37</v>
      </c>
    </row>
    <row r="515">
      <c r="A515" s="4" t="str">
        <f>IFERROR(__xludf.DUMMYFUNCTION("""COMPUTED_VALUE"""),"Machine Demo Round 2")</f>
        <v>Machine Demo Round 2</v>
      </c>
      <c r="B515" s="4" t="str">
        <f>IFERROR(__xludf.DUMMYFUNCTION("""COMPUTED_VALUE"""),"Machine Demo showcases the top products created by startups in the hardware &amp; IoT, AI &amp; machine learning, gaming, augmented reality, and virtual reality industries. For each group round, the audience will vote to decide the winner. The winners from each g"&amp;"roup progress to the Machine Demo final.")</f>
        <v>Machine Demo showcases the top products created by startups in the hardware &amp; IoT, AI &amp; machine learning, gaming, augmented reality, and virtual reality industries. For each group round, the audience will vote to decide the winner. The winners from each group progress to the Machine Demo final.</v>
      </c>
      <c r="C515" s="4" t="str">
        <f>IFERROR(__xludf.DUMMYFUNCTION("""COMPUTED_VALUE"""),"Machine Demo")</f>
        <v>Machine Demo</v>
      </c>
      <c r="D515" s="4" t="str">
        <f>IFERROR(__xludf.DUMMYFUNCTION("""COMPUTED_VALUE"""),"Jonathan Greene, Alexandre Santos, Andreas Botsch, Svitlana Malovana, Julien Yee and Achim Schneider")</f>
        <v>Jonathan Greene, Alexandre Santos, Andreas Botsch, Svitlana Malovana, Julien Yee and Achim Schneider</v>
      </c>
      <c r="E515" s="4" t="str">
        <f>IFERROR(__xludf.DUMMYFUNCTION("""COMPUTED_VALUE"""),"Jonathan Greene,Alexandre Santos,Andreas Botsch,Svitlana Malovana,Julien Yee,Achim Schneider")</f>
        <v>Jonathan Greene,Alexandre Santos,Andreas Botsch,Svitlana Malovana,Julien Yee,Achim Schneider</v>
      </c>
      <c r="F515" s="4" t="str">
        <f>IFERROR(__xludf.DUMMYFUNCTION("""COMPUTED_VALUE"""),"2019/11/07 10:15:00")</f>
        <v>2019/11/07 10:15:00</v>
      </c>
      <c r="G515" s="4" t="str">
        <f>IFERROR(__xludf.DUMMYFUNCTION("""COMPUTED_VALUE"""),"2019/11/07 11:15:00")</f>
        <v>2019/11/07 11:15:00</v>
      </c>
      <c r="H515" s="4" t="str">
        <f>IFERROR(__xludf.DUMMYFUNCTION("""COMPUTED_VALUE"""),"e3de49b2-8a9c-4848-a3a0-ddd679bbf03f")</f>
        <v>e3de49b2-8a9c-4848-a3a0-ddd679bbf03f</v>
      </c>
      <c r="I515" s="4" t="str">
        <f>IFERROR(__xludf.DUMMYFUNCTION("""COMPUTED_VALUE"""),"e3de49b2-8a9c-4848-a3a0-ddd679bbf03f")</f>
        <v>e3de49b2-8a9c-4848-a3a0-ddd679bbf03f</v>
      </c>
    </row>
    <row r="516">
      <c r="A516" s="4" t="str">
        <f>IFERROR(__xludf.DUMMYFUNCTION("""COMPUTED_VALUE"""),"No downside to the sharing economy")</f>
        <v>No downside to the sharing economy</v>
      </c>
      <c r="B516" s="4" t="str">
        <f>IFERROR(__xludf.DUMMYFUNCTION("""COMPUTED_VALUE"""),"A problem shared is a problem halved, so they say. In this panel, we're going to try and find the downside to the sharing economy (spoilers- there aren't any).")</f>
        <v>A problem shared is a problem halved, so they say. In this panel, we're going to try and find the downside to the sharing economy (spoilers- there aren't any).</v>
      </c>
      <c r="C516" s="4" t="str">
        <f>IFERROR(__xludf.DUMMYFUNCTION("""COMPUTED_VALUE"""),"Auto/Tech &amp; TalkRobot")</f>
        <v>Auto/Tech &amp; TalkRobot</v>
      </c>
      <c r="D516" s="4" t="str">
        <f>IFERROR(__xludf.DUMMYFUNCTION("""COMPUTED_VALUE"""),"Sam Zaid, Scott Painter and Alyssa Newcomb")</f>
        <v>Sam Zaid, Scott Painter and Alyssa Newcomb</v>
      </c>
      <c r="E516" s="4" t="str">
        <f>IFERROR(__xludf.DUMMYFUNCTION("""COMPUTED_VALUE"""),"Sam Zaid,Scott Painter,Alyssa Newcomb")</f>
        <v>Sam Zaid,Scott Painter,Alyssa Newcomb</v>
      </c>
      <c r="F516" s="4" t="str">
        <f>IFERROR(__xludf.DUMMYFUNCTION("""COMPUTED_VALUE"""),"2019/11/06 11:55:00")</f>
        <v>2019/11/06 11:55:00</v>
      </c>
      <c r="G516" s="4" t="str">
        <f>IFERROR(__xludf.DUMMYFUNCTION("""COMPUTED_VALUE"""),"2019/11/06 12:15:00")</f>
        <v>2019/11/06 12:15:00</v>
      </c>
      <c r="H516" s="4" t="str">
        <f>IFERROR(__xludf.DUMMYFUNCTION("""COMPUTED_VALUE"""),"bb57d8d9-330b-4704-bd3d-6983c7c0465f")</f>
        <v>bb57d8d9-330b-4704-bd3d-6983c7c0465f</v>
      </c>
      <c r="I516" s="4" t="str">
        <f>IFERROR(__xludf.DUMMYFUNCTION("""COMPUTED_VALUE"""),"bb57d8d9-330b-4704-bd3d-6983c7c0465f")</f>
        <v>bb57d8d9-330b-4704-bd3d-6983c7c0465f</v>
      </c>
    </row>
    <row r="517">
      <c r="A517" s="4" t="str">
        <f>IFERROR(__xludf.DUMMYFUNCTION("""COMPUTED_VALUE"""),"Friend or foe? Technology and the future of animation")</f>
        <v>Friend or foe? Technology and the future of animation</v>
      </c>
      <c r="B517" s="4" t="str">
        <f>IFERROR(__xludf.DUMMYFUNCTION("""COMPUTED_VALUE"""),"Technology has had a dramatic impact on the animation industry. These industry experts will discuss whether it has helped or hindered the birth of creativity in the art form. More importantly, what lies ahead for the industry as 2D animation continues to "&amp;"lose popularity?
")</f>
        <v>Technology has had a dramatic impact on the animation industry. These industry experts will discuss whether it has helped or hindered the birth of creativity in the art form. More importantly, what lies ahead for the industry as 2D animation continues to lose popularity?
</v>
      </c>
      <c r="C517" s="4" t="str">
        <f>IFERROR(__xludf.DUMMYFUNCTION("""COMPUTED_VALUE"""),"creatiff")</f>
        <v>creatiff</v>
      </c>
      <c r="D517" s="4" t="str">
        <f>IFERROR(__xludf.DUMMYFUNCTION("""COMPUTED_VALUE"""),"Darragh O'Connell, Sarah Fell, Mike McGee and Rob Schwartz")</f>
        <v>Darragh O'Connell, Sarah Fell, Mike McGee and Rob Schwartz</v>
      </c>
      <c r="E517" s="4" t="str">
        <f>IFERROR(__xludf.DUMMYFUNCTION("""COMPUTED_VALUE"""),"Darragh O'Connell,Sarah Fell,Mike McGee,Rob Schwartz")</f>
        <v>Darragh O'Connell,Sarah Fell,Mike McGee,Rob Schwartz</v>
      </c>
      <c r="F517" s="4" t="str">
        <f>IFERROR(__xludf.DUMMYFUNCTION("""COMPUTED_VALUE"""),"2019/11/05 14:50:00")</f>
        <v>2019/11/05 14:50:00</v>
      </c>
      <c r="G517" s="4" t="str">
        <f>IFERROR(__xludf.DUMMYFUNCTION("""COMPUTED_VALUE"""),"2019/11/05 15:15:00")</f>
        <v>2019/11/05 15:15:00</v>
      </c>
      <c r="H517" s="4" t="str">
        <f>IFERROR(__xludf.DUMMYFUNCTION("""COMPUTED_VALUE"""),"94dc0e43-42c9-4685-bcaf-fa1ed2cb29b8")</f>
        <v>94dc0e43-42c9-4685-bcaf-fa1ed2cb29b8</v>
      </c>
      <c r="I517" s="4" t="str">
        <f>IFERROR(__xludf.DUMMYFUNCTION("""COMPUTED_VALUE"""),"94dc0e43-42c9-4685-bcaf-fa1ed2cb29b8")</f>
        <v>94dc0e43-42c9-4685-bcaf-fa1ed2cb29b8</v>
      </c>
    </row>
    <row r="518">
      <c r="A518" s="4" t="str">
        <f>IFERROR(__xludf.DUMMYFUNCTION("""COMPUTED_VALUE"""),"With great AI comes great responsibility")</f>
        <v>With great AI comes great responsibility</v>
      </c>
      <c r="B518" s="4" t="str">
        <f>IFERROR(__xludf.DUMMYFUNCTION("""COMPUTED_VALUE"""),"One of the most crucial issues of our time, the ethical use of AI in medicine  tackled by two leading experts in the field of drug discovery and digital healthcare.")</f>
        <v>One of the most crucial issues of our time, the ethical use of AI in medicine  tackled by two leading experts in the field of drug discovery and digital healthcare.</v>
      </c>
      <c r="C518" s="4" t="str">
        <f>IFERROR(__xludf.DUMMYFUNCTION("""COMPUTED_VALUE"""),"HealthConf")</f>
        <v>HealthConf</v>
      </c>
      <c r="D518" s="4" t="str">
        <f>IFERROR(__xludf.DUMMYFUNCTION("""COMPUTED_VALUE"""),"Chris Gibson, Saskia Steinacker and Paul Nuki")</f>
        <v>Chris Gibson, Saskia Steinacker and Paul Nuki</v>
      </c>
      <c r="E518" s="4" t="str">
        <f>IFERROR(__xludf.DUMMYFUNCTION("""COMPUTED_VALUE"""),"Chris Gibson,Saskia Steinacker,Paul Nuki")</f>
        <v>Chris Gibson,Saskia Steinacker,Paul Nuki</v>
      </c>
      <c r="F518" s="4" t="str">
        <f>IFERROR(__xludf.DUMMYFUNCTION("""COMPUTED_VALUE"""),"2019/11/07 14:05:00")</f>
        <v>2019/11/07 14:05:00</v>
      </c>
      <c r="G518" s="4" t="str">
        <f>IFERROR(__xludf.DUMMYFUNCTION("""COMPUTED_VALUE"""),"2019/11/07 14:25:00")</f>
        <v>2019/11/07 14:25:00</v>
      </c>
      <c r="H518" s="4" t="str">
        <f>IFERROR(__xludf.DUMMYFUNCTION("""COMPUTED_VALUE"""),"d75ea3ca-707c-4021-b743-42b14c6071e2")</f>
        <v>d75ea3ca-707c-4021-b743-42b14c6071e2</v>
      </c>
      <c r="I518" s="4" t="str">
        <f>IFERROR(__xludf.DUMMYFUNCTION("""COMPUTED_VALUE"""),"d75ea3ca-707c-4021-b743-42b14c6071e2")</f>
        <v>d75ea3ca-707c-4021-b743-42b14c6071e2</v>
      </c>
    </row>
    <row r="519">
      <c r="A519" s="4" t="str">
        <f>IFERROR(__xludf.DUMMYFUNCTION("""COMPUTED_VALUE"""),"Meet the robot with the decentralised brain")</f>
        <v>Meet the robot with the decentralised brain</v>
      </c>
      <c r="B519" s="4" t="str">
        <f>IFERROR(__xludf.DUMMYFUNCTION("""COMPUTED_VALUE"""),"")</f>
        <v/>
      </c>
      <c r="C519" s="4" t="str">
        <f>IFERROR(__xludf.DUMMYFUNCTION("""COMPUTED_VALUE"""),"")</f>
        <v/>
      </c>
      <c r="D519" s="4" t="str">
        <f>IFERROR(__xludf.DUMMYFUNCTION("""COMPUTED_VALUE"""),"
Philip K. Dick (robot) and  Ben Goertzel")</f>
        <v>
Philip K. Dick (robot) and  Ben Goertzel</v>
      </c>
      <c r="E519" s="4" t="str">
        <f>IFERROR(__xludf.DUMMYFUNCTION("""COMPUTED_VALUE"""),"
Philip K. Dick (robot), Ben Goertzel")</f>
        <v>
Philip K. Dick (robot), Ben Goertzel</v>
      </c>
      <c r="F519" s="4" t="str">
        <f>IFERROR(__xludf.DUMMYFUNCTION("""COMPUTED_VALUE"""),"")</f>
        <v/>
      </c>
      <c r="G519" s="4" t="str">
        <f>IFERROR(__xludf.DUMMYFUNCTION("""COMPUTED_VALUE"""),"")</f>
        <v/>
      </c>
      <c r="H519" s="4" t="str">
        <f>IFERROR(__xludf.DUMMYFUNCTION("""COMPUTED_VALUE"""),"81db0202-15fa-5b95-bfc4-46a362f4a46e")</f>
        <v>81db0202-15fa-5b95-bfc4-46a362f4a46e</v>
      </c>
      <c r="I519" s="4" t="str">
        <f>IFERROR(__xludf.DUMMYFUNCTION("""COMPUTED_VALUE"""),"81db0202-15fa-5b95-bfc4-46a362f4a46e")</f>
        <v>81db0202-15fa-5b95-bfc4-46a362f4a46e</v>
      </c>
    </row>
    <row r="520">
      <c r="A520" s="4" t="str">
        <f>IFERROR(__xludf.DUMMYFUNCTION("""COMPUTED_VALUE"""),"Neurealms of brain tech")</f>
        <v>Neurealms of brain tech</v>
      </c>
      <c r="B520" s="4" t="str">
        <f>IFERROR(__xludf.DUMMYFUNCTION("""COMPUTED_VALUE"""),"With over 100 billion neurons firing, the brain is a powerful and mysterious tool.  Cutting edge science is only scratching the surface of this incredible organ. We're asking the experts what they're trying to uncover. ")</f>
        <v>With over 100 billion neurons firing, the brain is a powerful and mysterious tool.  Cutting edge science is only scratching the surface of this incredible organ. We're asking the experts what they're trying to uncover. </v>
      </c>
      <c r="C520" s="4" t="str">
        <f>IFERROR(__xludf.DUMMYFUNCTION("""COMPUTED_VALUE"""),"HealthConf")</f>
        <v>HealthConf</v>
      </c>
      <c r="D520" s="4" t="str">
        <f>IFERROR(__xludf.DUMMYFUNCTION("""COMPUTED_VALUE"""),"Ali Rezai, Thomas Reardon and Katie Collins")</f>
        <v>Ali Rezai, Thomas Reardon and Katie Collins</v>
      </c>
      <c r="E520" s="4" t="str">
        <f>IFERROR(__xludf.DUMMYFUNCTION("""COMPUTED_VALUE"""),"Ali Rezai,Thomas Reardon,Katie Collins")</f>
        <v>Ali Rezai,Thomas Reardon,Katie Collins</v>
      </c>
      <c r="F520" s="4" t="str">
        <f>IFERROR(__xludf.DUMMYFUNCTION("""COMPUTED_VALUE"""),"2019/11/07 14:25:00")</f>
        <v>2019/11/07 14:25:00</v>
      </c>
      <c r="G520" s="4" t="str">
        <f>IFERROR(__xludf.DUMMYFUNCTION("""COMPUTED_VALUE"""),"2019/11/07 14:45:00")</f>
        <v>2019/11/07 14:45:00</v>
      </c>
      <c r="H520" s="4" t="str">
        <f>IFERROR(__xludf.DUMMYFUNCTION("""COMPUTED_VALUE"""),"35fe50f5-b99d-4ca6-9d83-b32171501f9a")</f>
        <v>35fe50f5-b99d-4ca6-9d83-b32171501f9a</v>
      </c>
      <c r="I520" s="4" t="str">
        <f>IFERROR(__xludf.DUMMYFUNCTION("""COMPUTED_VALUE"""),"35fe50f5-b99d-4ca6-9d83-b32171501f9a")</f>
        <v>35fe50f5-b99d-4ca6-9d83-b32171501f9a</v>
      </c>
    </row>
    <row r="521">
      <c r="A521" s="4" t="str">
        <f>IFERROR(__xludf.DUMMYFUNCTION("""COMPUTED_VALUE"""),"Forget retail. Digitising the usage of fashion")</f>
        <v>Forget retail. Digitising the usage of fashion</v>
      </c>
      <c r="B521" s="4" t="str">
        <f>IFERROR(__xludf.DUMMYFUNCTION("""COMPUTED_VALUE"""),"We're at four million users but just getting started. Combyne's vision is to fully digitise the usage of fashion. Then use the resulting data points to stop the massive overproduction in the industry, which currently churns out 100bn pieces of clothing pe"&amp;"r year for 7bn people.")</f>
        <v>We're at four million users but just getting started. Combyne's vision is to fully digitise the usage of fashion. Then use the resulting data points to stop the massive overproduction in the industry, which currently churns out 100bn pieces of clothing per year for 7bn people.</v>
      </c>
      <c r="C521" s="4" t="str">
        <f>IFERROR(__xludf.DUMMYFUNCTION("""COMPUTED_VALUE"""),"Growth Summit")</f>
        <v>Growth Summit</v>
      </c>
      <c r="D521" s="4" t="str">
        <f>IFERROR(__xludf.DUMMYFUNCTION("""COMPUTED_VALUE"""),"Philipp Seybold")</f>
        <v>Philipp Seybold</v>
      </c>
      <c r="E521" s="4" t="str">
        <f>IFERROR(__xludf.DUMMYFUNCTION("""COMPUTED_VALUE"""),"Philipp Seybold")</f>
        <v>Philipp Seybold</v>
      </c>
      <c r="F521" s="4" t="str">
        <f>IFERROR(__xludf.DUMMYFUNCTION("""COMPUTED_VALUE"""),"2019/11/06 11:34:00")</f>
        <v>2019/11/06 11:34:00</v>
      </c>
      <c r="G521" s="4" t="str">
        <f>IFERROR(__xludf.DUMMYFUNCTION("""COMPUTED_VALUE"""),"2019/11/06 11:38:00")</f>
        <v>2019/11/06 11:38:00</v>
      </c>
      <c r="H521" s="4" t="str">
        <f>IFERROR(__xludf.DUMMYFUNCTION("""COMPUTED_VALUE"""),"6e57eb74-efd4-44cd-9f57-82186cc4b890")</f>
        <v>6e57eb74-efd4-44cd-9f57-82186cc4b890</v>
      </c>
      <c r="I521" s="4" t="str">
        <f>IFERROR(__xludf.DUMMYFUNCTION("""COMPUTED_VALUE"""),"6e57eb74-efd4-44cd-9f57-82186cc4b890")</f>
        <v>6e57eb74-efd4-44cd-9f57-82186cc4b890</v>
      </c>
    </row>
    <row r="522">
      <c r="A522" s="4" t="str">
        <f>IFERROR(__xludf.DUMMYFUNCTION("""COMPUTED_VALUE"""),"Inside Benfica: The standard setter in talent development")</f>
        <v>Inside Benfica: The standard setter in talent development</v>
      </c>
      <c r="B522" s="4" t="str">
        <f>IFERROR(__xludf.DUMMYFUNCTION("""COMPUTED_VALUE"""),"Benfica has established itself as one of the leaders in player development. This session offers an unrivaled insight into one of the most successful academies in the world from those who built it.")</f>
        <v>Benfica has established itself as one of the leaders in player development. This session offers an unrivaled insight into one of the most successful academies in the world from those who built it.</v>
      </c>
      <c r="C522" s="4" t="str">
        <f>IFERROR(__xludf.DUMMYFUNCTION("""COMPUTED_VALUE"""),"SportsTrade")</f>
        <v>SportsTrade</v>
      </c>
      <c r="D522" s="4" t="str">
        <f>IFERROR(__xludf.DUMMYFUNCTION("""COMPUTED_VALUE""")," , Pedro Marques and Pedro Pinto")</f>
        <v> , Pedro Marques and Pedro Pinto</v>
      </c>
      <c r="E522" s="4" t="str">
        <f>IFERROR(__xludf.DUMMYFUNCTION("""COMPUTED_VALUE""")," ,Pedro Marques,Pedro Pinto")</f>
        <v> ,Pedro Marques,Pedro Pinto</v>
      </c>
      <c r="F522" s="4" t="str">
        <f>IFERROR(__xludf.DUMMYFUNCTION("""COMPUTED_VALUE"""),"2019/11/05 10:30:00")</f>
        <v>2019/11/05 10:30:00</v>
      </c>
      <c r="G522" s="4" t="str">
        <f>IFERROR(__xludf.DUMMYFUNCTION("""COMPUTED_VALUE"""),"2019/11/05 10:50:00")</f>
        <v>2019/11/05 10:50:00</v>
      </c>
      <c r="H522" s="4" t="str">
        <f>IFERROR(__xludf.DUMMYFUNCTION("""COMPUTED_VALUE"""),"95532c47-2a3d-4fa5-a4d4-21cf50b965f2")</f>
        <v>95532c47-2a3d-4fa5-a4d4-21cf50b965f2</v>
      </c>
      <c r="I522" s="4" t="str">
        <f>IFERROR(__xludf.DUMMYFUNCTION("""COMPUTED_VALUE"""),"95532c47-2a3d-4fa5-a4d4-21cf50b965f2")</f>
        <v>95532c47-2a3d-4fa5-a4d4-21cf50b965f2</v>
      </c>
    </row>
    <row r="523">
      <c r="A523" s="4" t="str">
        <f>IFERROR(__xludf.DUMMYFUNCTION("""COMPUTED_VALUE"""),"Building the company we want to work for: Peakon and a values driven culture")</f>
        <v>Building the company we want to work for: Peakon and a values driven culture</v>
      </c>
      <c r="B523" s="4" t="str">
        <f>IFERROR(__xludf.DUMMYFUNCTION("""COMPUTED_VALUE"""),"CEO of the company, Phil Chambers will discuss how he helped grow Peakon, a platform for measuring and improving employee engagement.")</f>
        <v>CEO of the company, Phil Chambers will discuss how he helped grow Peakon, a platform for measuring and improving employee engagement.</v>
      </c>
      <c r="C523" s="4" t="str">
        <f>IFERROR(__xludf.DUMMYFUNCTION("""COMPUTED_VALUE"""),"Growth Summit")</f>
        <v>Growth Summit</v>
      </c>
      <c r="D523" s="4" t="str">
        <f>IFERROR(__xludf.DUMMYFUNCTION("""COMPUTED_VALUE"""),"Phil Chambers")</f>
        <v>Phil Chambers</v>
      </c>
      <c r="E523" s="4" t="str">
        <f>IFERROR(__xludf.DUMMYFUNCTION("""COMPUTED_VALUE"""),"Phil Chambers")</f>
        <v>Phil Chambers</v>
      </c>
      <c r="F523" s="4" t="str">
        <f>IFERROR(__xludf.DUMMYFUNCTION("""COMPUTED_VALUE"""),"2019/11/07 13:36:00")</f>
        <v>2019/11/07 13:36:00</v>
      </c>
      <c r="G523" s="4" t="str">
        <f>IFERROR(__xludf.DUMMYFUNCTION("""COMPUTED_VALUE"""),"2019/11/07 13:47:00")</f>
        <v>2019/11/07 13:47:00</v>
      </c>
      <c r="H523" s="4" t="str">
        <f>IFERROR(__xludf.DUMMYFUNCTION("""COMPUTED_VALUE"""),"2e070efe-0b5b-48de-a7cb-32e17e809d15")</f>
        <v>2e070efe-0b5b-48de-a7cb-32e17e809d15</v>
      </c>
      <c r="I523" s="4" t="str">
        <f>IFERROR(__xludf.DUMMYFUNCTION("""COMPUTED_VALUE"""),"2e070efe-0b5b-48de-a7cb-32e17e809d15")</f>
        <v>2e070efe-0b5b-48de-a7cb-32e17e809d15</v>
      </c>
    </row>
    <row r="524">
      <c r="A524" s="4" t="str">
        <f>IFERROR(__xludf.DUMMYFUNCTION("""COMPUTED_VALUE"""),"How to grow your presence on mobile from 10,000 to 10m users")</f>
        <v>How to grow your presence on mobile from 10,000 to 10m users</v>
      </c>
      <c r="B524" s="4" t="str">
        <f>IFERROR(__xludf.DUMMYFUNCTION("""COMPUTED_VALUE"""),"Micha Benoliel, co-founder and CEO of Nodle.io, and creator of the FireChat app, will share his experience and tips in growing your mobile presence. Micha will announce the launch of the Nodle Cash app, a new way for any smartphone user to earn cryptocurr"&amp;"ency by joining the global Citizen Network for IoT.")</f>
        <v>Micha Benoliel, co-founder and CEO of Nodle.io, and creator of the FireChat app, will share his experience and tips in growing your mobile presence. Micha will announce the launch of the Nodle Cash app, a new way for any smartphone user to earn cryptocurrency by joining the global Citizen Network for IoT.</v>
      </c>
      <c r="C524" s="4" t="str">
        <f>IFERROR(__xludf.DUMMYFUNCTION("""COMPUTED_VALUE"""),"Growth Summit")</f>
        <v>Growth Summit</v>
      </c>
      <c r="D524" s="4" t="str">
        <f>IFERROR(__xludf.DUMMYFUNCTION("""COMPUTED_VALUE"""),"Micha Benoliel")</f>
        <v>Micha Benoliel</v>
      </c>
      <c r="E524" s="4" t="str">
        <f>IFERROR(__xludf.DUMMYFUNCTION("""COMPUTED_VALUE"""),"Micha Benoliel")</f>
        <v>Micha Benoliel</v>
      </c>
      <c r="F524" s="4" t="str">
        <f>IFERROR(__xludf.DUMMYFUNCTION("""COMPUTED_VALUE"""),"2019/11/07 11:02:00")</f>
        <v>2019/11/07 11:02:00</v>
      </c>
      <c r="G524" s="4" t="str">
        <f>IFERROR(__xludf.DUMMYFUNCTION("""COMPUTED_VALUE"""),"2019/11/07 11:06:00")</f>
        <v>2019/11/07 11:06:00</v>
      </c>
      <c r="H524" s="4" t="str">
        <f>IFERROR(__xludf.DUMMYFUNCTION("""COMPUTED_VALUE"""),"243dfa18-bc62-4eb1-928f-6bdea7b9277b")</f>
        <v>243dfa18-bc62-4eb1-928f-6bdea7b9277b</v>
      </c>
      <c r="I524" s="4" t="str">
        <f>IFERROR(__xludf.DUMMYFUNCTION("""COMPUTED_VALUE"""),"243dfa18-bc62-4eb1-928f-6bdea7b9277b")</f>
        <v>243dfa18-bc62-4eb1-928f-6bdea7b9277b</v>
      </c>
    </row>
    <row r="525">
      <c r="A525" s="4" t="str">
        <f>IFERROR(__xludf.DUMMYFUNCTION("""COMPUTED_VALUE"""),"AI &amp; healthtech: Developing rare disease treatments at scale")</f>
        <v>AI &amp; healthtech: Developing rare disease treatments at scale</v>
      </c>
      <c r="B525" s="4" t="str">
        <f>IFERROR(__xludf.DUMMYFUNCTION("""COMPUTED_VALUE"""),"Co-founder of Healx, Tim discusses how the company has used AI to translate 100 rare disease treatments towards the clinic by 2025.")</f>
        <v>Co-founder of Healx, Tim discusses how the company has used AI to translate 100 rare disease treatments towards the clinic by 2025.</v>
      </c>
      <c r="C525" s="4" t="str">
        <f>IFERROR(__xludf.DUMMYFUNCTION("""COMPUTED_VALUE"""),"Growth Summit")</f>
        <v>Growth Summit</v>
      </c>
      <c r="D525" s="4" t="str">
        <f>IFERROR(__xludf.DUMMYFUNCTION("""COMPUTED_VALUE"""),"Tim Guilliams")</f>
        <v>Tim Guilliams</v>
      </c>
      <c r="E525" s="4" t="str">
        <f>IFERROR(__xludf.DUMMYFUNCTION("""COMPUTED_VALUE"""),"Tim Guilliams")</f>
        <v>Tim Guilliams</v>
      </c>
      <c r="F525" s="4" t="str">
        <f>IFERROR(__xludf.DUMMYFUNCTION("""COMPUTED_VALUE"""),"2019/11/05 11:14:00")</f>
        <v>2019/11/05 11:14:00</v>
      </c>
      <c r="G525" s="4" t="str">
        <f>IFERROR(__xludf.DUMMYFUNCTION("""COMPUTED_VALUE"""),"2019/11/05 11:18:00")</f>
        <v>2019/11/05 11:18:00</v>
      </c>
      <c r="H525" s="4" t="str">
        <f>IFERROR(__xludf.DUMMYFUNCTION("""COMPUTED_VALUE"""),"3837e75b-1c3d-4c91-bec7-dffbb7ac4d1c")</f>
        <v>3837e75b-1c3d-4c91-bec7-dffbb7ac4d1c</v>
      </c>
      <c r="I525" s="4" t="str">
        <f>IFERROR(__xludf.DUMMYFUNCTION("""COMPUTED_VALUE"""),"3837e75b-1c3d-4c91-bec7-dffbb7ac4d1c")</f>
        <v>3837e75b-1c3d-4c91-bec7-dffbb7ac4d1c</v>
      </c>
    </row>
    <row r="526">
      <c r="A526" s="4" t="str">
        <f>IFERROR(__xludf.DUMMYFUNCTION("""COMPUTED_VALUE"""),"The power of emotion on the (social) web: A journey of data scientists envisioning ""mindfulness"" for politics, hosted by European Commission")</f>
        <v>The power of emotion on the (social) web: A journey of data scientists envisioning "mindfulness" for politics, hosted by European Commission</v>
      </c>
      <c r="B526" s="4" t="str">
        <f>IFERROR(__xludf.DUMMYFUNCTION("""COMPUTED_VALUE"""),"Emotion is an integral part of our decision-making process. Emotion influences perception, values, goals, needs, memory, and ultimately, behaviour. As scientists working in media monitoring to support policy-makers in their decisions, our job is to look a"&amp;"t the facts, and also understand the emotion related to these facts. What are the citizen's concerns and what is important to them? We present a set of use cases that show the power emotions on the social web and their effects in policy-making.")</f>
        <v>Emotion is an integral part of our decision-making process. Emotion influences perception, values, goals, needs, memory, and ultimately, behaviour. As scientists working in media monitoring to support policy-makers in their decisions, our job is to look at the facts, and also understand the emotion related to these facts. What are the citizen's concerns and what is important to them? We present a set of use cases that show the power emotions on the social web and their effects in policy-making.</v>
      </c>
      <c r="C526" s="4" t="str">
        <f>IFERROR(__xludf.DUMMYFUNCTION("""COMPUTED_VALUE"""),"Workshop 2")</f>
        <v>Workshop 2</v>
      </c>
      <c r="D526" s="4" t="str">
        <f>IFERROR(__xludf.DUMMYFUNCTION("""COMPUTED_VALUE"""),"")</f>
        <v/>
      </c>
      <c r="E526" s="4" t="str">
        <f>IFERROR(__xludf.DUMMYFUNCTION("""COMPUTED_VALUE"""),"")</f>
        <v/>
      </c>
      <c r="F526" s="4" t="str">
        <f>IFERROR(__xludf.DUMMYFUNCTION("""COMPUTED_VALUE"""),"2019/11/05 14:00:00")</f>
        <v>2019/11/05 14:00:00</v>
      </c>
      <c r="G526" s="4" t="str">
        <f>IFERROR(__xludf.DUMMYFUNCTION("""COMPUTED_VALUE"""),"2019/11/05 14:45:00")</f>
        <v>2019/11/05 14:45:00</v>
      </c>
      <c r="H526" s="4" t="str">
        <f>IFERROR(__xludf.DUMMYFUNCTION("""COMPUTED_VALUE"""),"db1fc129-1f55-4fae-a8b2-7ca47c98ab7f")</f>
        <v>db1fc129-1f55-4fae-a8b2-7ca47c98ab7f</v>
      </c>
      <c r="I526" s="4" t="str">
        <f>IFERROR(__xludf.DUMMYFUNCTION("""COMPUTED_VALUE"""),"db1fc129-1f55-4fae-a8b2-7ca47c98ab7f")</f>
        <v>db1fc129-1f55-4fae-a8b2-7ca47c98ab7f</v>
      </c>
    </row>
    <row r="527">
      <c r="A527" s="4" t="str">
        <f>IFERROR(__xludf.DUMMYFUNCTION("""COMPUTED_VALUE"""),"How AI has opened up the world of data")</f>
        <v>How AI has opened up the world of data</v>
      </c>
      <c r="B527" s="4" t="str">
        <f>IFERROR(__xludf.DUMMYFUNCTION("""COMPUTED_VALUE"""),"For the majority of the digital age, data was not something the average worker thought about. It sat on servers, waiting to be accessed by data analysts and later presented by C-suite executives at board meetings. Then, in the early 2000s, data visualisat"&amp;"ion tools unlocked new ways for teams to create and present their own charts and graphs. Fast forward to today and the average worker in every industry is expected to make “data driven decisions” and be more “data literate.” Now, advances in artificial in"&amp;"telligence are making data insights better and more accessible, no data scientists required. It’s a remarkable evolution that is only just getting started. ")</f>
        <v>For the majority of the digital age, data was not something the average worker thought about. It sat on servers, waiting to be accessed by data analysts and later presented by C-suite executives at board meetings. Then, in the early 2000s, data visualisation tools unlocked new ways for teams to create and present their own charts and graphs. Fast forward to today and the average worker in every industry is expected to make “data driven decisions” and be more “data literate.” Now, advances in artificial intelligence are making data insights better and more accessible, no data scientists required. It’s a remarkable evolution that is only just getting started. </v>
      </c>
      <c r="C527" s="8" t="str">
        <f>IFERROR(__xludf.DUMMYFUNCTION("""COMPUTED_VALUE"""),"binate.io")</f>
        <v>binate.io</v>
      </c>
      <c r="D527" s="4" t="str">
        <f>IFERROR(__xludf.DUMMYFUNCTION("""COMPUTED_VALUE"""),"Sudheesh Nair")</f>
        <v>Sudheesh Nair</v>
      </c>
      <c r="E527" s="4" t="str">
        <f>IFERROR(__xludf.DUMMYFUNCTION("""COMPUTED_VALUE"""),"Sudheesh Nair")</f>
        <v>Sudheesh Nair</v>
      </c>
      <c r="F527" s="4" t="str">
        <f>IFERROR(__xludf.DUMMYFUNCTION("""COMPUTED_VALUE"""),"2019/11/06 12:05:00")</f>
        <v>2019/11/06 12:05:00</v>
      </c>
      <c r="G527" s="4" t="str">
        <f>IFERROR(__xludf.DUMMYFUNCTION("""COMPUTED_VALUE"""),"2019/11/06 12:25:00")</f>
        <v>2019/11/06 12:25:00</v>
      </c>
      <c r="H527" s="4" t="str">
        <f>IFERROR(__xludf.DUMMYFUNCTION("""COMPUTED_VALUE"""),"582f0ad8-e334-4559-916d-7039f21ac2e6")</f>
        <v>582f0ad8-e334-4559-916d-7039f21ac2e6</v>
      </c>
      <c r="I527" s="4" t="str">
        <f>IFERROR(__xludf.DUMMYFUNCTION("""COMPUTED_VALUE"""),"582f0ad8-e334-4559-916d-7039f21ac2e6")</f>
        <v>582f0ad8-e334-4559-916d-7039f21ac2e6</v>
      </c>
    </row>
    <row r="528">
      <c r="A528" s="4" t="str">
        <f>IFERROR(__xludf.DUMMYFUNCTION("""COMPUTED_VALUE"""),"She’s 'The Man': How superstar Becky Lynch came to dominate the WWE")</f>
        <v>She’s 'The Man': How superstar Becky Lynch came to dominate the WWE</v>
      </c>
      <c r="B528" s="4" t="str">
        <f>IFERROR(__xludf.DUMMYFUNCTION("""COMPUTED_VALUE"""),"Becky Lynch, the WWE superstar, talks about her route to the top of the wrestling world and the challenges she had to overcome.")</f>
        <v>Becky Lynch, the WWE superstar, talks about her route to the top of the wrestling world and the challenges she had to overcome.</v>
      </c>
      <c r="C528" s="4" t="str">
        <f>IFERROR(__xludf.DUMMYFUNCTION("""COMPUTED_VALUE"""),"Centre Stage")</f>
        <v>Centre Stage</v>
      </c>
      <c r="D528" s="4" t="str">
        <f>IFERROR(__xludf.DUMMYFUNCTION("""COMPUTED_VALUE"""),"Becky Lynch and Emma Paton")</f>
        <v>Becky Lynch and Emma Paton</v>
      </c>
      <c r="E528" s="4" t="str">
        <f>IFERROR(__xludf.DUMMYFUNCTION("""COMPUTED_VALUE"""),"Becky Lynch,Emma Paton")</f>
        <v>Becky Lynch,Emma Paton</v>
      </c>
      <c r="F528" s="4" t="str">
        <f>IFERROR(__xludf.DUMMYFUNCTION("""COMPUTED_VALUE"""),"2019/11/07 11:50:00")</f>
        <v>2019/11/07 11:50:00</v>
      </c>
      <c r="G528" s="4" t="str">
        <f>IFERROR(__xludf.DUMMYFUNCTION("""COMPUTED_VALUE"""),"2019/11/07 12:10:00")</f>
        <v>2019/11/07 12:10:00</v>
      </c>
      <c r="H528" s="4" t="str">
        <f>IFERROR(__xludf.DUMMYFUNCTION("""COMPUTED_VALUE"""),"b4367bce-dfa0-455f-8360-60159fbc99a8")</f>
        <v>b4367bce-dfa0-455f-8360-60159fbc99a8</v>
      </c>
      <c r="I528" s="4" t="str">
        <f>IFERROR(__xludf.DUMMYFUNCTION("""COMPUTED_VALUE"""),"b4367bce-dfa0-455f-8360-60159fbc99a8")</f>
        <v>b4367bce-dfa0-455f-8360-60159fbc99a8</v>
      </c>
    </row>
    <row r="529">
      <c r="A529" s="4" t="str">
        <f>IFERROR(__xludf.DUMMYFUNCTION("""COMPUTED_VALUE"""),"Ending corruption by exposing the truth")</f>
        <v>Ending corruption by exposing the truth</v>
      </c>
      <c r="B529" s="4" t="str">
        <f>IFERROR(__xludf.DUMMYFUNCTION("""COMPUTED_VALUE"""),"Corruption thrives only in darkness and shadows. Exposing corrupt actors to the cold light of day renders them powerless. This session will show how we can expose the truth and protect the vulnerable.")</f>
        <v>Corruption thrives only in darkness and shadows. Exposing corrupt actors to the cold light of day renders them powerless. This session will show how we can expose the truth and protect the vulnerable.</v>
      </c>
      <c r="C529" s="4" t="str">
        <f>IFERROR(__xludf.DUMMYFUNCTION("""COMPUTED_VALUE"""),"Future Societies")</f>
        <v>Future Societies</v>
      </c>
      <c r="D529" s="4" t="str">
        <f>IFERROR(__xludf.DUMMYFUNCTION("""COMPUTED_VALUE"""),"Juan Branco and Ryan Broderick")</f>
        <v>Juan Branco and Ryan Broderick</v>
      </c>
      <c r="E529" s="4" t="str">
        <f>IFERROR(__xludf.DUMMYFUNCTION("""COMPUTED_VALUE"""),"Juan Branco,Ryan Broderick")</f>
        <v>Juan Branco,Ryan Broderick</v>
      </c>
      <c r="F529" s="4" t="str">
        <f>IFERROR(__xludf.DUMMYFUNCTION("""COMPUTED_VALUE"""),"2019/11/07 10:30:00")</f>
        <v>2019/11/07 10:30:00</v>
      </c>
      <c r="G529" s="4" t="str">
        <f>IFERROR(__xludf.DUMMYFUNCTION("""COMPUTED_VALUE"""),"2019/11/07 10:50:00")</f>
        <v>2019/11/07 10:50:00</v>
      </c>
      <c r="H529" s="4" t="str">
        <f>IFERROR(__xludf.DUMMYFUNCTION("""COMPUTED_VALUE"""),"96f8e7fb-488e-4068-a7ea-0bae14301daa")</f>
        <v>96f8e7fb-488e-4068-a7ea-0bae14301daa</v>
      </c>
      <c r="I529" s="4" t="str">
        <f>IFERROR(__xludf.DUMMYFUNCTION("""COMPUTED_VALUE"""),"96f8e7fb-488e-4068-a7ea-0bae14301daa")</f>
        <v>96f8e7fb-488e-4068-a7ea-0bae14301daa</v>
      </c>
    </row>
    <row r="530">
      <c r="A530" s="4" t="str">
        <f>IFERROR(__xludf.DUMMYFUNCTION("""COMPUTED_VALUE"""),"Grin: The fastest growing company in the fastest growing industry ")</f>
        <v>Grin: The fastest growing company in the fastest growing industry </v>
      </c>
      <c r="B530" s="4" t="str">
        <f>IFERROR(__xludf.DUMMYFUNCTION("""COMPUTED_VALUE"""),"Co-founder of Grin Scooters, Jonathan will explain the challenges faced by his team while launching his micromobility company in Latin America.")</f>
        <v>Co-founder of Grin Scooters, Jonathan will explain the challenges faced by his team while launching his micromobility company in Latin America.</v>
      </c>
      <c r="C530" s="4" t="str">
        <f>IFERROR(__xludf.DUMMYFUNCTION("""COMPUTED_VALUE"""),"Growth Summit")</f>
        <v>Growth Summit</v>
      </c>
      <c r="D530" s="4" t="str">
        <f>IFERROR(__xludf.DUMMYFUNCTION("""COMPUTED_VALUE"""),"Jonathan Lewy")</f>
        <v>Jonathan Lewy</v>
      </c>
      <c r="E530" s="4" t="str">
        <f>IFERROR(__xludf.DUMMYFUNCTION("""COMPUTED_VALUE"""),"Jonathan Lewy")</f>
        <v>Jonathan Lewy</v>
      </c>
      <c r="F530" s="4" t="str">
        <f>IFERROR(__xludf.DUMMYFUNCTION("""COMPUTED_VALUE"""),"2019/11/07 12:52:00")</f>
        <v>2019/11/07 12:52:00</v>
      </c>
      <c r="G530" s="4" t="str">
        <f>IFERROR(__xludf.DUMMYFUNCTION("""COMPUTED_VALUE"""),"2019/11/07 13:03:00")</f>
        <v>2019/11/07 13:03:00</v>
      </c>
      <c r="H530" s="4" t="str">
        <f>IFERROR(__xludf.DUMMYFUNCTION("""COMPUTED_VALUE"""),"072a9b1f-9290-4549-9dc8-f25e97947463")</f>
        <v>072a9b1f-9290-4549-9dc8-f25e97947463</v>
      </c>
      <c r="I530" s="4" t="str">
        <f>IFERROR(__xludf.DUMMYFUNCTION("""COMPUTED_VALUE"""),"072a9b1f-9290-4549-9dc8-f25e97947463")</f>
        <v>072a9b1f-9290-4549-9dc8-f25e97947463</v>
      </c>
    </row>
    <row r="531">
      <c r="A531" s="4" t="str">
        <f>IFERROR(__xludf.DUMMYFUNCTION("""COMPUTED_VALUE"""),"PITCH group round 18")</f>
        <v>PITCH group round 18</v>
      </c>
      <c r="B531" s="4" t="str">
        <f>IFERROR(__xludf.DUMMYFUNCTION("""COMPUTED_VALUE"""),"")</f>
        <v/>
      </c>
      <c r="C531" s="4" t="str">
        <f>IFERROR(__xludf.DUMMYFUNCTION("""COMPUTED_VALUE"""),"PITCH 3")</f>
        <v>PITCH 3</v>
      </c>
      <c r="D531" s="4" t="str">
        <f>IFERROR(__xludf.DUMMYFUNCTION("""COMPUTED_VALUE"""),"Jens Lapinski, Sergio Raposo Frade, Saba Karim, Keshin Govender, Pakiza Abdulrahman, Christina Lock, Nick Nedelchuk, James Rees, Darina Momot, Maria Hahn, William Villalobos and Andrei Netto")</f>
        <v>Jens Lapinski, Sergio Raposo Frade, Saba Karim, Keshin Govender, Pakiza Abdulrahman, Christina Lock, Nick Nedelchuk, James Rees, Darina Momot, Maria Hahn, William Villalobos and Andrei Netto</v>
      </c>
      <c r="E531" s="4" t="str">
        <f>IFERROR(__xludf.DUMMYFUNCTION("""COMPUTED_VALUE"""),"Jens Lapinski,Sergio Raposo Frade,Saba Karim,Keshin Govender,Pakiza Abdulrahman,Christina Lock,Nick Nedelchuk,James Rees,Darina Momot,Maria Hahn,William Villalobos,Andrei Netto")</f>
        <v>Jens Lapinski,Sergio Raposo Frade,Saba Karim,Keshin Govender,Pakiza Abdulrahman,Christina Lock,Nick Nedelchuk,James Rees,Darina Momot,Maria Hahn,William Villalobos,Andrei Netto</v>
      </c>
      <c r="F531" s="4" t="str">
        <f>IFERROR(__xludf.DUMMYFUNCTION("""COMPUTED_VALUE"""),"2019/11/05 15:00:00")</f>
        <v>2019/11/05 15:00:00</v>
      </c>
      <c r="G531" s="4" t="str">
        <f>IFERROR(__xludf.DUMMYFUNCTION("""COMPUTED_VALUE"""),"2019/11/05 16:00:00")</f>
        <v>2019/11/05 16:00:00</v>
      </c>
      <c r="H531" s="4" t="str">
        <f>IFERROR(__xludf.DUMMYFUNCTION("""COMPUTED_VALUE"""),"3efb7bbd-4ab6-47e6-9b59-b76ddd34d459")</f>
        <v>3efb7bbd-4ab6-47e6-9b59-b76ddd34d459</v>
      </c>
      <c r="I531" s="4" t="str">
        <f>IFERROR(__xludf.DUMMYFUNCTION("""COMPUTED_VALUE"""),"3efb7bbd-4ab6-47e6-9b59-b76ddd34d459")</f>
        <v>3efb7bbd-4ab6-47e6-9b59-b76ddd34d459</v>
      </c>
    </row>
    <row r="532">
      <c r="A532" s="4" t="str">
        <f>IFERROR(__xludf.DUMMYFUNCTION("""COMPUTED_VALUE"""),"Inside the corporate/startup relationship")</f>
        <v>Inside the corporate/startup relationship</v>
      </c>
      <c r="B532" s="4" t="str">
        <f>IFERROR(__xludf.DUMMYFUNCTION("""COMPUTED_VALUE"""),"Big companies have realised they are never too strong to fail and need to get with the times or risk being left behind. This panel welcomes leaders and their insights on how startup innovation can thrive alongside corporate partners.")</f>
        <v>Big companies have realised they are never too strong to fail and need to get with the times or risk being left behind. This panel welcomes leaders and their insights on how startup innovation can thrive alongside corporate partners.</v>
      </c>
      <c r="C532" s="4" t="str">
        <f>IFERROR(__xludf.DUMMYFUNCTION("""COMPUTED_VALUE"""),"Corporate Innovation Summit")</f>
        <v>Corporate Innovation Summit</v>
      </c>
      <c r="D532" s="4" t="str">
        <f>IFERROR(__xludf.DUMMYFUNCTION("""COMPUTED_VALUE"""),"Mario Pieper, Emmanuel Lagarrigue, Bedy Yang and Matthias Meyer")</f>
        <v>Mario Pieper, Emmanuel Lagarrigue, Bedy Yang and Matthias Meyer</v>
      </c>
      <c r="E532" s="4" t="str">
        <f>IFERROR(__xludf.DUMMYFUNCTION("""COMPUTED_VALUE"""),"Mario Pieper,Emmanuel Lagarrigue,Bedy Yang,Matthias Meyer")</f>
        <v>Mario Pieper,Emmanuel Lagarrigue,Bedy Yang,Matthias Meyer</v>
      </c>
      <c r="F532" s="4" t="str">
        <f>IFERROR(__xludf.DUMMYFUNCTION("""COMPUTED_VALUE"""),"2019/11/07 14:20:00")</f>
        <v>2019/11/07 14:20:00</v>
      </c>
      <c r="G532" s="4" t="str">
        <f>IFERROR(__xludf.DUMMYFUNCTION("""COMPUTED_VALUE"""),"2019/11/07 14:40:00")</f>
        <v>2019/11/07 14:40:00</v>
      </c>
      <c r="H532" s="4" t="str">
        <f>IFERROR(__xludf.DUMMYFUNCTION("""COMPUTED_VALUE"""),"8ab58a18-3d4c-4d2b-8a8b-fe2983ab6113")</f>
        <v>8ab58a18-3d4c-4d2b-8a8b-fe2983ab6113</v>
      </c>
      <c r="I532" s="4" t="str">
        <f>IFERROR(__xludf.DUMMYFUNCTION("""COMPUTED_VALUE"""),"8ab58a18-3d4c-4d2b-8a8b-fe2983ab6113")</f>
        <v>8ab58a18-3d4c-4d2b-8a8b-fe2983ab6113</v>
      </c>
    </row>
    <row r="533">
      <c r="A533" s="4" t="str">
        <f>IFERROR(__xludf.DUMMYFUNCTION("""COMPUTED_VALUE"""),"How to be part of the solution")</f>
        <v>How to be part of the solution</v>
      </c>
      <c r="B533" s="4" t="str">
        <f>IFERROR(__xludf.DUMMYFUNCTION("""COMPUTED_VALUE"""),"Environmental issues don't always get the best framing in the public discourse. Rising temperatures, rising oceans, rising problems... but what about solutions? UNGC CEO Lise Kingo talks about global plans for a better tomorrow, and how businesses big and"&amp;" small can start sustainable journeys, today.")</f>
        <v>Environmental issues don't always get the best framing in the public discourse. Rising temperatures, rising oceans, rising problems... but what about solutions? UNGC CEO Lise Kingo talks about global plans for a better tomorrow, and how businesses big and small can start sustainable journeys, today.</v>
      </c>
      <c r="C533" s="4" t="str">
        <f>IFERROR(__xludf.DUMMYFUNCTION("""COMPUTED_VALUE"""),"planet:tech ")</f>
        <v>planet:tech </v>
      </c>
      <c r="D533" s="4" t="str">
        <f>IFERROR(__xludf.DUMMYFUNCTION("""COMPUTED_VALUE"""),"Lise Kingo and Thorold Barker")</f>
        <v>Lise Kingo and Thorold Barker</v>
      </c>
      <c r="E533" s="4" t="str">
        <f>IFERROR(__xludf.DUMMYFUNCTION("""COMPUTED_VALUE"""),"Lise Kingo,Thorold Barker")</f>
        <v>Lise Kingo,Thorold Barker</v>
      </c>
      <c r="F533" s="4" t="str">
        <f>IFERROR(__xludf.DUMMYFUNCTION("""COMPUTED_VALUE"""),"2019/11/05 15:35:00")</f>
        <v>2019/11/05 15:35:00</v>
      </c>
      <c r="G533" s="4" t="str">
        <f>IFERROR(__xludf.DUMMYFUNCTION("""COMPUTED_VALUE"""),"2019/11/05 15:55:00")</f>
        <v>2019/11/05 15:55:00</v>
      </c>
      <c r="H533" s="4" t="str">
        <f>IFERROR(__xludf.DUMMYFUNCTION("""COMPUTED_VALUE"""),"29cd3d42-7f4e-4a37-a49d-5f3ffd340ce2")</f>
        <v>29cd3d42-7f4e-4a37-a49d-5f3ffd340ce2</v>
      </c>
      <c r="I533" s="4" t="str">
        <f>IFERROR(__xludf.DUMMYFUNCTION("""COMPUTED_VALUE"""),"29cd3d42-7f4e-4a37-a49d-5f3ffd340ce2")</f>
        <v>29cd3d42-7f4e-4a37-a49d-5f3ffd340ce2</v>
      </c>
    </row>
    <row r="534">
      <c r="A534" s="4" t="str">
        <f>IFERROR(__xludf.DUMMYFUNCTION("""COMPUTED_VALUE"""),"Future of work")</f>
        <v>Future of work</v>
      </c>
      <c r="B534" s="4" t="str">
        <f>IFERROR(__xludf.DUMMYFUNCTION("""COMPUTED_VALUE"""),"The modern workforce is changing for every industry. The biggest threat to organisation is the distance between a company’s vision and their ability to hire and retain the right talent to get them there. Our panellists will provide tangible takeaways for "&amp;"the audience to employ within their own organisation.")</f>
        <v>The modern workforce is changing for every industry. The biggest threat to organisation is the distance between a company’s vision and their ability to hire and retain the right talent to get them there. Our panellists will provide tangible takeaways for the audience to employ within their own organisation.</v>
      </c>
      <c r="C534" s="4" t="str">
        <f>IFERROR(__xludf.DUMMYFUNCTION("""COMPUTED_VALUE"""),"SaaS Monster")</f>
        <v>SaaS Monster</v>
      </c>
      <c r="D534" s="4" t="str">
        <f>IFERROR(__xludf.DUMMYFUNCTION("""COMPUTED_VALUE"""),"Polina Montano, David Yang, Yancey Spruill, Sarah Nahm and Liam Proud")</f>
        <v>Polina Montano, David Yang, Yancey Spruill, Sarah Nahm and Liam Proud</v>
      </c>
      <c r="E534" s="4" t="str">
        <f>IFERROR(__xludf.DUMMYFUNCTION("""COMPUTED_VALUE"""),"Polina Montano,David Yang,Yancey Spruill,Sarah Nahm,Liam Proud")</f>
        <v>Polina Montano,David Yang,Yancey Spruill,Sarah Nahm,Liam Proud</v>
      </c>
      <c r="F534" s="4" t="str">
        <f>IFERROR(__xludf.DUMMYFUNCTION("""COMPUTED_VALUE"""),"2019/11/06 11:00:00")</f>
        <v>2019/11/06 11:00:00</v>
      </c>
      <c r="G534" s="4" t="str">
        <f>IFERROR(__xludf.DUMMYFUNCTION("""COMPUTED_VALUE"""),"2019/11/06 11:25:00")</f>
        <v>2019/11/06 11:25:00</v>
      </c>
      <c r="H534" s="4" t="str">
        <f>IFERROR(__xludf.DUMMYFUNCTION("""COMPUTED_VALUE"""),"686bb2e4-b91c-4c22-8a5e-f03c67fb0b25")</f>
        <v>686bb2e4-b91c-4c22-8a5e-f03c67fb0b25</v>
      </c>
      <c r="I534" s="4" t="str">
        <f>IFERROR(__xludf.DUMMYFUNCTION("""COMPUTED_VALUE"""),"686bb2e4-b91c-4c22-8a5e-f03c67fb0b25")</f>
        <v>686bb2e4-b91c-4c22-8a5e-f03c67fb0b25</v>
      </c>
    </row>
    <row r="535">
      <c r="A535" s="4" t="str">
        <f>IFERROR(__xludf.DUMMYFUNCTION("""COMPUTED_VALUE"""),"New EIB investment to drive developments of QEV technologies")</f>
        <v>New EIB investment to drive developments of QEV technologies</v>
      </c>
      <c r="B535" s="4" t="str">
        <f>IFERROR(__xludf.DUMMYFUNCTION("""COMPUTED_VALUE"""),"")</f>
        <v/>
      </c>
      <c r="C535" s="4" t="str">
        <f>IFERROR(__xludf.DUMMYFUNCTION("""COMPUTED_VALUE"""),"")</f>
        <v/>
      </c>
      <c r="D535" s="4" t="str">
        <f>IFERROR(__xludf.DUMMYFUNCTION("""COMPUTED_VALUE"""),"Emma Navarro")</f>
        <v>Emma Navarro</v>
      </c>
      <c r="E535" s="4" t="str">
        <f>IFERROR(__xludf.DUMMYFUNCTION("""COMPUTED_VALUE"""),"Emma Navarro")</f>
        <v>Emma Navarro</v>
      </c>
      <c r="F535" s="4" t="str">
        <f>IFERROR(__xludf.DUMMYFUNCTION("""COMPUTED_VALUE"""),"")</f>
        <v/>
      </c>
      <c r="G535" s="4" t="str">
        <f>IFERROR(__xludf.DUMMYFUNCTION("""COMPUTED_VALUE"""),"")</f>
        <v/>
      </c>
      <c r="H535" s="4" t="str">
        <f>IFERROR(__xludf.DUMMYFUNCTION("""COMPUTED_VALUE"""),"444e6f8e-5564-5120-bc53-69d1f5f8fc14")</f>
        <v>444e6f8e-5564-5120-bc53-69d1f5f8fc14</v>
      </c>
      <c r="I535" s="4" t="str">
        <f>IFERROR(__xludf.DUMMYFUNCTION("""COMPUTED_VALUE"""),"444e6f8e-5564-5120-bc53-69d1f5f8fc14")</f>
        <v>444e6f8e-5564-5120-bc53-69d1f5f8fc14</v>
      </c>
    </row>
    <row r="536">
      <c r="A536" s="4" t="str">
        <f>IFERROR(__xludf.DUMMYFUNCTION("""COMPUTED_VALUE"""),"Pocket power: The device revolution")</f>
        <v>Pocket power: The device revolution</v>
      </c>
      <c r="B536" s="4" t="str">
        <f>IFERROR(__xludf.DUMMYFUNCTION("""COMPUTED_VALUE"""),"Smaller in size and greater in capacity, AI-enabled devices are revolutionising healthcare. An MIT researcher turned healthtech founder showcases what hardware and software can do for wellbeing.")</f>
        <v>Smaller in size and greater in capacity, AI-enabled devices are revolutionising healthcare. An MIT researcher turned healthtech founder showcases what hardware and software can do for wellbeing.</v>
      </c>
      <c r="C536" s="4" t="str">
        <f>IFERROR(__xludf.DUMMYFUNCTION("""COMPUTED_VALUE"""),"HealthConf")</f>
        <v>HealthConf</v>
      </c>
      <c r="D536" s="4" t="str">
        <f>IFERROR(__xludf.DUMMYFUNCTION("""COMPUTED_VALUE"""),"Nevada Sanchez")</f>
        <v>Nevada Sanchez</v>
      </c>
      <c r="E536" s="4" t="str">
        <f>IFERROR(__xludf.DUMMYFUNCTION("""COMPUTED_VALUE"""),"Nevada Sanchez")</f>
        <v>Nevada Sanchez</v>
      </c>
      <c r="F536" s="4" t="str">
        <f>IFERROR(__xludf.DUMMYFUNCTION("""COMPUTED_VALUE"""),"2019/11/07 12:10:00")</f>
        <v>2019/11/07 12:10:00</v>
      </c>
      <c r="G536" s="4" t="str">
        <f>IFERROR(__xludf.DUMMYFUNCTION("""COMPUTED_VALUE"""),"2019/11/07 12:25:00")</f>
        <v>2019/11/07 12:25:00</v>
      </c>
      <c r="H536" s="4" t="str">
        <f>IFERROR(__xludf.DUMMYFUNCTION("""COMPUTED_VALUE"""),"cddce273-89db-4f2b-b3b2-de42d45f64f0")</f>
        <v>cddce273-89db-4f2b-b3b2-de42d45f64f0</v>
      </c>
      <c r="I536" s="4" t="str">
        <f>IFERROR(__xludf.DUMMYFUNCTION("""COMPUTED_VALUE"""),"cddce273-89db-4f2b-b3b2-de42d45f64f0")</f>
        <v>cddce273-89db-4f2b-b3b2-de42d45f64f0</v>
      </c>
    </row>
    <row r="537">
      <c r="A537" s="4" t="str">
        <f>IFERROR(__xludf.DUMMYFUNCTION("""COMPUTED_VALUE"""),"PITCH ground round 8")</f>
        <v>PITCH ground round 8</v>
      </c>
      <c r="B537" s="4" t="str">
        <f>IFERROR(__xludf.DUMMYFUNCTION("""COMPUTED_VALUE"""),"")</f>
        <v/>
      </c>
      <c r="C537" s="4" t="str">
        <f>IFERROR(__xludf.DUMMYFUNCTION("""COMPUTED_VALUE"""),"")</f>
        <v/>
      </c>
      <c r="D537" s="4" t="str">
        <f>IFERROR(__xludf.DUMMYFUNCTION("""COMPUTED_VALUE"""),"Adrian Lloyd,  Werner Vogels,  James Stewart,  Jag Singh,  Ahmed Habib,  Amali de Alwis,  Naor Amir,  Oliver Werneyer,  Will Ben Sims and  Gabriel Fumagalli and Lucas Nygaard")</f>
        <v>Adrian Lloyd,  Werner Vogels,  James Stewart,  Jag Singh,  Ahmed Habib,  Amali de Alwis,  Naor Amir,  Oliver Werneyer,  Will Ben Sims and  Gabriel Fumagalli and Lucas Nygaard</v>
      </c>
      <c r="E537" s="4" t="str">
        <f>IFERROR(__xludf.DUMMYFUNCTION("""COMPUTED_VALUE"""),"Adrian Lloyd, Werner Vogels, James Stewart, Jag Singh, Ahmed Habib, Amali de Alwis, Naor Amir, Oliver Werneyer, Will Ben Sims, Gabriel Fumagalli and Lucas Nygaard")</f>
        <v>Adrian Lloyd, Werner Vogels, James Stewart, Jag Singh, Ahmed Habib, Amali de Alwis, Naor Amir, Oliver Werneyer, Will Ben Sims, Gabriel Fumagalli and Lucas Nygaard</v>
      </c>
      <c r="F537" s="4" t="str">
        <f>IFERROR(__xludf.DUMMYFUNCTION("""COMPUTED_VALUE"""),"")</f>
        <v/>
      </c>
      <c r="G537" s="4" t="str">
        <f>IFERROR(__xludf.DUMMYFUNCTION("""COMPUTED_VALUE"""),"")</f>
        <v/>
      </c>
      <c r="H537" s="4" t="str">
        <f>IFERROR(__xludf.DUMMYFUNCTION("""COMPUTED_VALUE"""),"cfae26b7-70c8-53e4-9680-04f016e79292")</f>
        <v>cfae26b7-70c8-53e4-9680-04f016e79292</v>
      </c>
      <c r="I537" s="4" t="str">
        <f>IFERROR(__xludf.DUMMYFUNCTION("""COMPUTED_VALUE"""),"cfae26b7-70c8-53e4-9680-04f016e79292")</f>
        <v>cfae26b7-70c8-53e4-9680-04f016e79292</v>
      </c>
    </row>
    <row r="538">
      <c r="A538" s="4" t="str">
        <f>IFERROR(__xludf.DUMMYFUNCTION("""COMPUTED_VALUE"""),"The technology fallacy ")</f>
        <v>The technology fallacy </v>
      </c>
      <c r="B538" s="4" t="str">
        <f>IFERROR(__xludf.DUMMYFUNCTION("""COMPUTED_VALUE"""),"This session will discuss why an organization's response to digital disruption should focus on people and processes and not necessarily on technology.")</f>
        <v>This session will discuss why an organization's response to digital disruption should focus on people and processes and not necessarily on technology.</v>
      </c>
      <c r="C538" s="4" t="str">
        <f>IFERROR(__xludf.DUMMYFUNCTION("""COMPUTED_VALUE"""),"Corporate Innovation Summit")</f>
        <v>Corporate Innovation Summit</v>
      </c>
      <c r="D538" s="4" t="str">
        <f>IFERROR(__xludf.DUMMYFUNCTION("""COMPUTED_VALUE"""),"Jacqui Canney, Gerald Kane and Paul Michelman")</f>
        <v>Jacqui Canney, Gerald Kane and Paul Michelman</v>
      </c>
      <c r="E538" s="4" t="str">
        <f>IFERROR(__xludf.DUMMYFUNCTION("""COMPUTED_VALUE"""),"Jacqui Canney,Gerald Kane,Paul Michelman")</f>
        <v>Jacqui Canney,Gerald Kane,Paul Michelman</v>
      </c>
      <c r="F538" s="4" t="str">
        <f>IFERROR(__xludf.DUMMYFUNCTION("""COMPUTED_VALUE"""),"2019/11/07 15:00:00")</f>
        <v>2019/11/07 15:00:00</v>
      </c>
      <c r="G538" s="4" t="str">
        <f>IFERROR(__xludf.DUMMYFUNCTION("""COMPUTED_VALUE"""),"2019/11/07 15:20:00")</f>
        <v>2019/11/07 15:20:00</v>
      </c>
      <c r="H538" s="4" t="str">
        <f>IFERROR(__xludf.DUMMYFUNCTION("""COMPUTED_VALUE"""),"bdc9a14d-8e63-47fc-acc6-e7a82cf37070")</f>
        <v>bdc9a14d-8e63-47fc-acc6-e7a82cf37070</v>
      </c>
      <c r="I538" s="4" t="str">
        <f>IFERROR(__xludf.DUMMYFUNCTION("""COMPUTED_VALUE"""),"bdc9a14d-8e63-47fc-acc6-e7a82cf37070")</f>
        <v>bdc9a14d-8e63-47fc-acc6-e7a82cf37070</v>
      </c>
    </row>
    <row r="539">
      <c r="A539" s="4" t="str">
        <f>IFERROR(__xludf.DUMMYFUNCTION("""COMPUTED_VALUE"""),"Opening remarks")</f>
        <v>Opening remarks</v>
      </c>
      <c r="B539" s="4" t="str">
        <f>IFERROR(__xludf.DUMMYFUNCTION("""COMPUTED_VALUE"""),"")</f>
        <v/>
      </c>
      <c r="C539" s="4" t="str">
        <f>IFERROR(__xludf.DUMMYFUNCTION("""COMPUTED_VALUE"""),"Centre Stage")</f>
        <v>Centre Stage</v>
      </c>
      <c r="D539" s="4" t="str">
        <f>IFERROR(__xludf.DUMMYFUNCTION("""COMPUTED_VALUE"""),"Paddy Cosgrave")</f>
        <v>Paddy Cosgrave</v>
      </c>
      <c r="E539" s="4" t="str">
        <f>IFERROR(__xludf.DUMMYFUNCTION("""COMPUTED_VALUE"""),"Paddy Cosgrave")</f>
        <v>Paddy Cosgrave</v>
      </c>
      <c r="F539" s="4" t="str">
        <f>IFERROR(__xludf.DUMMYFUNCTION("""COMPUTED_VALUE"""),"2019/11/05 09:45:00")</f>
        <v>2019/11/05 09:45:00</v>
      </c>
      <c r="G539" s="4" t="str">
        <f>IFERROR(__xludf.DUMMYFUNCTION("""COMPUTED_VALUE"""),"2019/11/05 10:00:00")</f>
        <v>2019/11/05 10:00:00</v>
      </c>
      <c r="H539" s="4" t="str">
        <f>IFERROR(__xludf.DUMMYFUNCTION("""COMPUTED_VALUE"""),"7f1dd639-8f39-470b-bbeb-b20c8f9f7106")</f>
        <v>7f1dd639-8f39-470b-bbeb-b20c8f9f7106</v>
      </c>
      <c r="I539" s="4" t="str">
        <f>IFERROR(__xludf.DUMMYFUNCTION("""COMPUTED_VALUE"""),"7f1dd639-8f39-470b-bbeb-b20c8f9f7106")</f>
        <v>7f1dd639-8f39-470b-bbeb-b20c8f9f7106</v>
      </c>
    </row>
    <row r="540">
      <c r="A540" s="4" t="str">
        <f>IFERROR(__xludf.DUMMYFUNCTION("""COMPUTED_VALUE"""),"Dude, where's my flying car?")</f>
        <v>Dude, where's my flying car?</v>
      </c>
      <c r="B540" s="4" t="str">
        <f>IFERROR(__xludf.DUMMYFUNCTION("""COMPUTED_VALUE"""),"In May of this year, Lilium Aviation unveiled their five-seater air taxi prototype. Backed by Tencent, they are leading the race to put the first cars in the air. But is it really possible? And if so, how soon?")</f>
        <v>In May of this year, Lilium Aviation unveiled their five-seater air taxi prototype. Backed by Tencent, they are leading the race to put the first cars in the air. But is it really possible? And if so, how soon?</v>
      </c>
      <c r="C540" s="4" t="str">
        <f>IFERROR(__xludf.DUMMYFUNCTION("""COMPUTED_VALUE"""),"Centre Stage")</f>
        <v>Centre Stage</v>
      </c>
      <c r="D540" s="4" t="str">
        <f>IFERROR(__xludf.DUMMYFUNCTION("""COMPUTED_VALUE"""),"David Wallerstein and Daniel Wiegand")</f>
        <v>David Wallerstein and Daniel Wiegand</v>
      </c>
      <c r="E540" s="4" t="str">
        <f>IFERROR(__xludf.DUMMYFUNCTION("""COMPUTED_VALUE"""),"David Wallerstein,Daniel Wiegand")</f>
        <v>David Wallerstein,Daniel Wiegand</v>
      </c>
      <c r="F540" s="4" t="str">
        <f>IFERROR(__xludf.DUMMYFUNCTION("""COMPUTED_VALUE"""),"2019/11/06 12:35:00")</f>
        <v>2019/11/06 12:35:00</v>
      </c>
      <c r="G540" s="4" t="str">
        <f>IFERROR(__xludf.DUMMYFUNCTION("""COMPUTED_VALUE"""),"2019/11/06 13:00:00")</f>
        <v>2019/11/06 13:00:00</v>
      </c>
      <c r="H540" s="4" t="str">
        <f>IFERROR(__xludf.DUMMYFUNCTION("""COMPUTED_VALUE"""),"440a77b6-51a2-4941-afb6-162cc94f6ef9")</f>
        <v>440a77b6-51a2-4941-afb6-162cc94f6ef9</v>
      </c>
      <c r="I540" s="4" t="str">
        <f>IFERROR(__xludf.DUMMYFUNCTION("""COMPUTED_VALUE"""),"440a77b6-51a2-4941-afb6-162cc94f6ef9")</f>
        <v>440a77b6-51a2-4941-afb6-162cc94f6ef9</v>
      </c>
    </row>
    <row r="541">
      <c r="A541" s="4" t="str">
        <f>IFERROR(__xludf.DUMMYFUNCTION("""COMPUTED_VALUE"""),"PITCH ground round 2")</f>
        <v>PITCH ground round 2</v>
      </c>
      <c r="B541" s="4" t="str">
        <f>IFERROR(__xludf.DUMMYFUNCTION("""COMPUTED_VALUE"""),"")</f>
        <v/>
      </c>
      <c r="C541" s="4" t="str">
        <f>IFERROR(__xludf.DUMMYFUNCTION("""COMPUTED_VALUE"""),"")</f>
        <v/>
      </c>
      <c r="D541" s="4" t="str">
        <f>IFERROR(__xludf.DUMMYFUNCTION("""COMPUTED_VALUE"""),"Nic Brisbourne,  David Meltzer,  Myra Khanna,  Luis Shemtov,  Miguel Barbosa,  Jiazi Guo,  George Laliashvili,  Daniel Sozonov,  Sam Davies,  Pedro Humbert and  MICHAEL JASCHKE")</f>
        <v>Nic Brisbourne,  David Meltzer,  Myra Khanna,  Luis Shemtov,  Miguel Barbosa,  Jiazi Guo,  George Laliashvili,  Daniel Sozonov,  Sam Davies,  Pedro Humbert and  MICHAEL JASCHKE</v>
      </c>
      <c r="E541" s="4" t="str">
        <f>IFERROR(__xludf.DUMMYFUNCTION("""COMPUTED_VALUE"""),"Nic Brisbourne, David Meltzer, Myra Khanna, Luis Shemtov, Miguel Barbosa, Jiazi Guo, George Laliashvili, Daniel Sozonov, Sam Davies, Pedro Humbert, MICHAEL JASCHKE")</f>
        <v>Nic Brisbourne, David Meltzer, Myra Khanna, Luis Shemtov, Miguel Barbosa, Jiazi Guo, George Laliashvili, Daniel Sozonov, Sam Davies, Pedro Humbert, MICHAEL JASCHKE</v>
      </c>
      <c r="F541" s="4" t="str">
        <f>IFERROR(__xludf.DUMMYFUNCTION("""COMPUTED_VALUE"""),"")</f>
        <v/>
      </c>
      <c r="G541" s="4" t="str">
        <f>IFERROR(__xludf.DUMMYFUNCTION("""COMPUTED_VALUE"""),"")</f>
        <v/>
      </c>
      <c r="H541" s="4" t="str">
        <f>IFERROR(__xludf.DUMMYFUNCTION("""COMPUTED_VALUE"""),"37d218f1-eb38-5cee-a8ab-b8682a1778c4")</f>
        <v>37d218f1-eb38-5cee-a8ab-b8682a1778c4</v>
      </c>
      <c r="I541" s="4" t="str">
        <f>IFERROR(__xludf.DUMMYFUNCTION("""COMPUTED_VALUE"""),"37d218f1-eb38-5cee-a8ab-b8682a1778c4")</f>
        <v>37d218f1-eb38-5cee-a8ab-b8682a1778c4</v>
      </c>
    </row>
    <row r="542">
      <c r="A542" s="4" t="str">
        <f>IFERROR(__xludf.DUMMYFUNCTION("""COMPUTED_VALUE""")," Private messaging by design")</f>
        <v> Private messaging by design</v>
      </c>
      <c r="B542" s="4" t="str">
        <f>IFERROR(__xludf.DUMMYFUNCTION("""COMPUTED_VALUE"""),"A discussion with Facebook Messenger about privacy by design and safety in the messaging experience. ")</f>
        <v>A discussion with Facebook Messenger about privacy by design and safety in the messaging experience. </v>
      </c>
      <c r="C542" s="4" t="str">
        <f>IFERROR(__xludf.DUMMYFUNCTION("""COMPUTED_VALUE"""),"ContentMakers")</f>
        <v>ContentMakers</v>
      </c>
      <c r="D542" s="4" t="str">
        <f>IFERROR(__xludf.DUMMYFUNCTION("""COMPUTED_VALUE"""),"Jay Sullivan and Joseph Menn")</f>
        <v>Jay Sullivan and Joseph Menn</v>
      </c>
      <c r="E542" s="4" t="str">
        <f>IFERROR(__xludf.DUMMYFUNCTION("""COMPUTED_VALUE"""),"Jay Sullivan,Joseph Menn")</f>
        <v>Jay Sullivan,Joseph Menn</v>
      </c>
      <c r="F542" s="4" t="str">
        <f>IFERROR(__xludf.DUMMYFUNCTION("""COMPUTED_VALUE"""),"2019/11/06 11:30:00")</f>
        <v>2019/11/06 11:30:00</v>
      </c>
      <c r="G542" s="4" t="str">
        <f>IFERROR(__xludf.DUMMYFUNCTION("""COMPUTED_VALUE"""),"2019/11/06 11:50:00")</f>
        <v>2019/11/06 11:50:00</v>
      </c>
      <c r="H542" s="4" t="str">
        <f>IFERROR(__xludf.DUMMYFUNCTION("""COMPUTED_VALUE"""),"1071911b-1377-4a72-b5a9-ef5f83490fe2")</f>
        <v>1071911b-1377-4a72-b5a9-ef5f83490fe2</v>
      </c>
      <c r="I542" s="4" t="str">
        <f>IFERROR(__xludf.DUMMYFUNCTION("""COMPUTED_VALUE"""),"1071911b-1377-4a72-b5a9-ef5f83490fe2")</f>
        <v>1071911b-1377-4a72-b5a9-ef5f83490fe2</v>
      </c>
    </row>
    <row r="543">
      <c r="A543" s="4" t="str">
        <f>IFERROR(__xludf.DUMMYFUNCTION("""COMPUTED_VALUE"""),"Branding content: How to do it right")</f>
        <v>Branding content: How to do it right</v>
      </c>
      <c r="B543" s="4" t="str">
        <f>IFERROR(__xludf.DUMMYFUNCTION("""COMPUTED_VALUE"""),"Branding and content can be uneasy bedfellows. In this talk find out how to deliver effective branded content with humour, subtlety and finesse.")</f>
        <v>Branding and content can be uneasy bedfellows. In this talk find out how to deliver effective branded content with humour, subtlety and finesse.</v>
      </c>
      <c r="C543" s="4" t="str">
        <f>IFERROR(__xludf.DUMMYFUNCTION("""COMPUTED_VALUE"""),"ContentMakers")</f>
        <v>ContentMakers</v>
      </c>
      <c r="D543" s="4" t="str">
        <f>IFERROR(__xludf.DUMMYFUNCTION("""COMPUTED_VALUE"""),"Fernando Machado, Sairah Ashman, David Fischer and Lindsey Turrentine")</f>
        <v>Fernando Machado, Sairah Ashman, David Fischer and Lindsey Turrentine</v>
      </c>
      <c r="E543" s="4" t="str">
        <f>IFERROR(__xludf.DUMMYFUNCTION("""COMPUTED_VALUE"""),"Fernando Machado,Sairah Ashman,David Fischer,Lindsey Turrentine")</f>
        <v>Fernando Machado,Sairah Ashman,David Fischer,Lindsey Turrentine</v>
      </c>
      <c r="F543" s="4" t="str">
        <f>IFERROR(__xludf.DUMMYFUNCTION("""COMPUTED_VALUE"""),"2019/11/07 14:40:00")</f>
        <v>2019/11/07 14:40:00</v>
      </c>
      <c r="G543" s="4" t="str">
        <f>IFERROR(__xludf.DUMMYFUNCTION("""COMPUTED_VALUE"""),"2019/11/07 15:00:00")</f>
        <v>2019/11/07 15:00:00</v>
      </c>
      <c r="H543" s="4" t="str">
        <f>IFERROR(__xludf.DUMMYFUNCTION("""COMPUTED_VALUE"""),"263ae3b3-62ad-4a73-93c5-963bfc34956a")</f>
        <v>263ae3b3-62ad-4a73-93c5-963bfc34956a</v>
      </c>
      <c r="I543" s="4" t="str">
        <f>IFERROR(__xludf.DUMMYFUNCTION("""COMPUTED_VALUE"""),"263ae3b3-62ad-4a73-93c5-963bfc34956a")</f>
        <v>263ae3b3-62ad-4a73-93c5-963bfc34956a</v>
      </c>
    </row>
    <row r="544">
      <c r="A544" s="4" t="str">
        <f>IFERROR(__xludf.DUMMYFUNCTION("""COMPUTED_VALUE"""),"Featured venue: Bar Gelato Davvero")</f>
        <v>Featured venue: Bar Gelato Davvero</v>
      </c>
      <c r="B544" s="4" t="str">
        <f>IFERROR(__xludf.DUMMYFUNCTION("""COMPUTED_VALUE"""),"When Bar Gelato opened, a new chapter began in Lisbon.  Serving classic drinks and new cocktails with a twist. If you fancy the sound of alcoholic sorbet, gelato cocktails, or alcoholic affogati, this is the place for you. If you're concerned about sullyi"&amp;"ng your belved gelato with alcohol, never fear. Aside from these delicious cocktails, they are also a classic gelato shop where you can get the best ice cream in town. Gelato and cocktails, all with a live DJ soundtrack. A dangerous choice for the lactose"&amp;"-intolerant, but we're prepared to risk it.  
Night Summit deals: 
30% discount on beer, wine, alcoholic gelato cocktails, alcoholic gelato shots, Italian cocktails (Spritz, Negroni, Campari, etc)")</f>
        <v>When Bar Gelato opened, a new chapter began in Lisbon.  Serving classic drinks and new cocktails with a twist. If you fancy the sound of alcoholic sorbet, gelato cocktails, or alcoholic affogati, this is the place for you. If you're concerned about sullying your belved gelato with alcohol, never fear. Aside from these delicious cocktails, they are also a classic gelato shop where you can get the best ice cream in town. Gelato and cocktails, all with a live DJ soundtrack. A dangerous choice for the lactose-intolerant, but we're prepared to risk it.  
Night Summit deals: 
30% discount on beer, wine, alcoholic gelato cocktails, alcoholic gelato shots, Italian cocktails (Spritz, Negroni, Campari, etc)</v>
      </c>
      <c r="C544" s="4" t="str">
        <f>IFERROR(__xludf.DUMMYFUNCTION("""COMPUTED_VALUE"""),"Gelato Davvero")</f>
        <v>Gelato Davvero</v>
      </c>
      <c r="D544" s="4" t="str">
        <f>IFERROR(__xludf.DUMMYFUNCTION("""COMPUTED_VALUE"""),"")</f>
        <v/>
      </c>
      <c r="E544" s="4" t="str">
        <f>IFERROR(__xludf.DUMMYFUNCTION("""COMPUTED_VALUE"""),"")</f>
        <v/>
      </c>
      <c r="F544" s="4" t="str">
        <f>IFERROR(__xludf.DUMMYFUNCTION("""COMPUTED_VALUE"""),"2019/11/05 20:00:00")</f>
        <v>2019/11/05 20:00:00</v>
      </c>
      <c r="G544" s="4" t="str">
        <f>IFERROR(__xludf.DUMMYFUNCTION("""COMPUTED_VALUE"""),"2019/11/06 00:00:00")</f>
        <v>2019/11/06 00:00:00</v>
      </c>
      <c r="H544" s="4" t="str">
        <f>IFERROR(__xludf.DUMMYFUNCTION("""COMPUTED_VALUE"""),"e831c9ec-fe46-4b08-9409-599d1caec66a")</f>
        <v>e831c9ec-fe46-4b08-9409-599d1caec66a</v>
      </c>
      <c r="I544" s="4" t="str">
        <f>IFERROR(__xludf.DUMMYFUNCTION("""COMPUTED_VALUE"""),"e831c9ec-fe46-4b08-9409-599d1caec66a")</f>
        <v>e831c9ec-fe46-4b08-9409-599d1caec66a</v>
      </c>
    </row>
    <row r="545">
      <c r="A545" s="4" t="str">
        <f>IFERROR(__xludf.DUMMYFUNCTION("""COMPUTED_VALUE"""),"Jessica Ennis-Hill: A winner's guide to business")</f>
        <v>Jessica Ennis-Hill: A winner's guide to business</v>
      </c>
      <c r="B545" s="4" t="str">
        <f>IFERROR(__xludf.DUMMYFUNCTION("""COMPUTED_VALUE"""),"Olympic champion and three-time world champion, Jessica Ennis-Hill talks the transition from athlete to entrepreneur as she sets about replicating her sporting success with fitness app Jennis.")</f>
        <v>Olympic champion and three-time world champion, Jessica Ennis-Hill talks the transition from athlete to entrepreneur as she sets about replicating her sporting success with fitness app Jennis.</v>
      </c>
      <c r="C545" s="4" t="str">
        <f>IFERROR(__xludf.DUMMYFUNCTION("""COMPUTED_VALUE"""),"SportsTrade")</f>
        <v>SportsTrade</v>
      </c>
      <c r="D545" s="4" t="str">
        <f>IFERROR(__xludf.DUMMYFUNCTION("""COMPUTED_VALUE"""),"Jessica Ennis-Hill and Ger Gilroy")</f>
        <v>Jessica Ennis-Hill and Ger Gilroy</v>
      </c>
      <c r="E545" s="4" t="str">
        <f>IFERROR(__xludf.DUMMYFUNCTION("""COMPUTED_VALUE"""),"Jessica Ennis-Hill,Ger Gilroy")</f>
        <v>Jessica Ennis-Hill,Ger Gilroy</v>
      </c>
      <c r="F545" s="4" t="str">
        <f>IFERROR(__xludf.DUMMYFUNCTION("""COMPUTED_VALUE"""),"2019/11/05 12:05:00")</f>
        <v>2019/11/05 12:05:00</v>
      </c>
      <c r="G545" s="4" t="str">
        <f>IFERROR(__xludf.DUMMYFUNCTION("""COMPUTED_VALUE"""),"2019/11/05 12:20:00")</f>
        <v>2019/11/05 12:20:00</v>
      </c>
      <c r="H545" s="4" t="str">
        <f>IFERROR(__xludf.DUMMYFUNCTION("""COMPUTED_VALUE"""),"1a071c7c-02b4-40f5-897b-84aaabadacd2")</f>
        <v>1a071c7c-02b4-40f5-897b-84aaabadacd2</v>
      </c>
      <c r="I545" s="4" t="str">
        <f>IFERROR(__xludf.DUMMYFUNCTION("""COMPUTED_VALUE"""),"1a071c7c-02b4-40f5-897b-84aaabadacd2")</f>
        <v>1a071c7c-02b4-40f5-897b-84aaabadacd2</v>
      </c>
    </row>
    <row r="546">
      <c r="A546" s="4" t="str">
        <f>IFERROR(__xludf.DUMMYFUNCTION("""COMPUTED_VALUE"""),"Breakout startups group 2")</f>
        <v>Breakout startups group 2</v>
      </c>
      <c r="B546" s="4" t="str">
        <f>IFERROR(__xludf.DUMMYFUNCTION("""COMPUTED_VALUE"""),"Are these the startups everyone will be talking about in 2020? Dozens of the world’s leading investors think so. Get ready to see and hear from some of the world’s most exciting early-stage startups. ")</f>
        <v>Are these the startups everyone will be talking about in 2020? Dozens of the world’s leading investors think so. Get ready to see and hear from some of the world’s most exciting early-stage startups. </v>
      </c>
      <c r="C546" s="4" t="str">
        <f>IFERROR(__xludf.DUMMYFUNCTION("""COMPUTED_VALUE"""),"Centre Stage")</f>
        <v>Centre Stage</v>
      </c>
      <c r="D546" s="4" t="str">
        <f>IFERROR(__xludf.DUMMYFUNCTION("""COMPUTED_VALUE"""),"Rui Sales, Daniela Seixas, Louise Lindblad, Kate Boyle, Catriona Forrest, Els van der Helm, Hanna Marie Asmussen, Nikki Michelsen, Leah Remfry-Peploe, Casey Lau and Sunil Sharma")</f>
        <v>Rui Sales, Daniela Seixas, Louise Lindblad, Kate Boyle, Catriona Forrest, Els van der Helm, Hanna Marie Asmussen, Nikki Michelsen, Leah Remfry-Peploe, Casey Lau and Sunil Sharma</v>
      </c>
      <c r="E546" s="4" t="str">
        <f>IFERROR(__xludf.DUMMYFUNCTION("""COMPUTED_VALUE"""),"Rui Sales,Daniela Seixas,Louise Lindblad,Kate Boyle,Catriona Forrest,Els van der Helm,Hanna Marie Asmussen,Nikki Michelsen,Leah Remfry-Peploe,Casey Lau,Sunil Sharma")</f>
        <v>Rui Sales,Daniela Seixas,Louise Lindblad,Kate Boyle,Catriona Forrest,Els van der Helm,Hanna Marie Asmussen,Nikki Michelsen,Leah Remfry-Peploe,Casey Lau,Sunil Sharma</v>
      </c>
      <c r="F546" s="4" t="str">
        <f>IFERROR(__xludf.DUMMYFUNCTION("""COMPUTED_VALUE"""),"2019/11/04 17:50:00")</f>
        <v>2019/11/04 17:50:00</v>
      </c>
      <c r="G546" s="4" t="str">
        <f>IFERROR(__xludf.DUMMYFUNCTION("""COMPUTED_VALUE"""),"2019/11/04 18:15:00")</f>
        <v>2019/11/04 18:15:00</v>
      </c>
      <c r="H546" s="4" t="str">
        <f>IFERROR(__xludf.DUMMYFUNCTION("""COMPUTED_VALUE"""),"d431a181-8d31-4ba9-ac6a-b7b7ec5c7a3b")</f>
        <v>d431a181-8d31-4ba9-ac6a-b7b7ec5c7a3b</v>
      </c>
      <c r="I546" s="4" t="str">
        <f>IFERROR(__xludf.DUMMYFUNCTION("""COMPUTED_VALUE"""),"d431a181-8d31-4ba9-ac6a-b7b7ec5c7a3b")</f>
        <v>d431a181-8d31-4ba9-ac6a-b7b7ec5c7a3b</v>
      </c>
    </row>
    <row r="547">
      <c r="A547" s="4" t="str">
        <f>IFERROR(__xludf.DUMMYFUNCTION("""COMPUTED_VALUE"""),"Kickstarting innovation in your company:  The story of Wirecard´s corporate innovation lab, hosted by Wirecard")</f>
        <v>Kickstarting innovation in your company:  The story of Wirecard´s corporate innovation lab, hosted by Wirecard</v>
      </c>
      <c r="B547" s="4" t="str">
        <f>IFERROR(__xludf.DUMMYFUNCTION("""COMPUTED_VALUE"""),"Consumers are more connected than ever before. Pair that with the rising expectations of millennials, and it means leading companies need to innovate to stay ahead. Find out more about why Wirecard's built an innovation lab, which gave their employees a p"&amp;"latform to innovate, quickly validate future product concepts, and accelerate product innovation. The key topics which will be covered include: enablers of success; challenges of scaling; finding your 10% (internal champions); and storytelling innovation.")</f>
        <v>Consumers are more connected than ever before. Pair that with the rising expectations of millennials, and it means leading companies need to innovate to stay ahead. Find out more about why Wirecard's built an innovation lab, which gave their employees a platform to innovate, quickly validate future product concepts, and accelerate product innovation. The key topics which will be covered include: enablers of success; challenges of scaling; finding your 10% (internal champions); and storytelling innovation.</v>
      </c>
      <c r="C547" s="4" t="str">
        <f>IFERROR(__xludf.DUMMYFUNCTION("""COMPUTED_VALUE"""),"Workshop 4")</f>
        <v>Workshop 4</v>
      </c>
      <c r="D547" s="4" t="str">
        <f>IFERROR(__xludf.DUMMYFUNCTION("""COMPUTED_VALUE"""),"Sara Maki")</f>
        <v>Sara Maki</v>
      </c>
      <c r="E547" s="4" t="str">
        <f>IFERROR(__xludf.DUMMYFUNCTION("""COMPUTED_VALUE"""),"Sara Maki")</f>
        <v>Sara Maki</v>
      </c>
      <c r="F547" s="4" t="str">
        <f>IFERROR(__xludf.DUMMYFUNCTION("""COMPUTED_VALUE"""),"2019/11/05 10:45:00")</f>
        <v>2019/11/05 10:45:00</v>
      </c>
      <c r="G547" s="4" t="str">
        <f>IFERROR(__xludf.DUMMYFUNCTION("""COMPUTED_VALUE"""),"2019/11/05 11:30:00")</f>
        <v>2019/11/05 11:30:00</v>
      </c>
      <c r="H547" s="4" t="str">
        <f>IFERROR(__xludf.DUMMYFUNCTION("""COMPUTED_VALUE"""),"76da125c-767c-4bb6-92f7-be7d845eaf05")</f>
        <v>76da125c-767c-4bb6-92f7-be7d845eaf05</v>
      </c>
      <c r="I547" s="4" t="str">
        <f>IFERROR(__xludf.DUMMYFUNCTION("""COMPUTED_VALUE"""),"76da125c-767c-4bb6-92f7-be7d845eaf05")</f>
        <v>76da125c-767c-4bb6-92f7-be7d845eaf05</v>
      </c>
    </row>
    <row r="548">
      <c r="A548" s="4" t="str">
        <f>IFERROR(__xludf.DUMMYFUNCTION("""COMPUTED_VALUE"""),"Freeletics: The importance of continuous change in fitness")</f>
        <v>Freeletics: The importance of continuous change in fitness</v>
      </c>
      <c r="B548" s="4" t="str">
        <f>IFERROR(__xludf.DUMMYFUNCTION("""COMPUTED_VALUE"""),"Freeletics has seen exponential global growth by empowering people through continuous self-development. So why are new mindsets and constant change the key to success, both for consumers and companies alike?")</f>
        <v>Freeletics has seen exponential global growth by empowering people through continuous self-development. So why are new mindsets and constant change the key to success, both for consumers and companies alike?</v>
      </c>
      <c r="C548" s="4" t="str">
        <f>IFERROR(__xludf.DUMMYFUNCTION("""COMPUTED_VALUE"""),"Growth Summit")</f>
        <v>Growth Summit</v>
      </c>
      <c r="D548" s="4" t="str">
        <f>IFERROR(__xludf.DUMMYFUNCTION("""COMPUTED_VALUE"""),"Daniel Sobhani")</f>
        <v>Daniel Sobhani</v>
      </c>
      <c r="E548" s="4" t="str">
        <f>IFERROR(__xludf.DUMMYFUNCTION("""COMPUTED_VALUE"""),"Daniel Sobhani")</f>
        <v>Daniel Sobhani</v>
      </c>
      <c r="F548" s="4" t="str">
        <f>IFERROR(__xludf.DUMMYFUNCTION("""COMPUTED_VALUE"""),"2019/11/06 13:47:00")</f>
        <v>2019/11/06 13:47:00</v>
      </c>
      <c r="G548" s="4" t="str">
        <f>IFERROR(__xludf.DUMMYFUNCTION("""COMPUTED_VALUE"""),"2019/11/06 13:58:00")</f>
        <v>2019/11/06 13:58:00</v>
      </c>
      <c r="H548" s="4" t="str">
        <f>IFERROR(__xludf.DUMMYFUNCTION("""COMPUTED_VALUE"""),"f2716cba-f93a-4d74-9797-30c1b535c3d6")</f>
        <v>f2716cba-f93a-4d74-9797-30c1b535c3d6</v>
      </c>
      <c r="I548" s="4" t="str">
        <f>IFERROR(__xludf.DUMMYFUNCTION("""COMPUTED_VALUE"""),"f2716cba-f93a-4d74-9797-30c1b535c3d6")</f>
        <v>f2716cba-f93a-4d74-9797-30c1b535c3d6</v>
      </c>
    </row>
    <row r="549">
      <c r="A549" s="4" t="str">
        <f>IFERROR(__xludf.DUMMYFUNCTION("""COMPUTED_VALUE"""),"Creating a company genius zone")</f>
        <v>Creating a company genius zone</v>
      </c>
      <c r="B549" s="4" t="str">
        <f>IFERROR(__xludf.DUMMYFUNCTION("""COMPUTED_VALUE"""),"Hadean CEO, Craig Beddis will discuss the critical identification, alignment, and development of the right people at the right time in a startup's life cycle stage. ")</f>
        <v>Hadean CEO, Craig Beddis will discuss the critical identification, alignment, and development of the right people at the right time in a startup's life cycle stage. </v>
      </c>
      <c r="C549" s="4" t="str">
        <f>IFERROR(__xludf.DUMMYFUNCTION("""COMPUTED_VALUE"""),"Growth Summit")</f>
        <v>Growth Summit</v>
      </c>
      <c r="D549" s="4" t="str">
        <f>IFERROR(__xludf.DUMMYFUNCTION("""COMPUTED_VALUE"""),"Craig Beddis")</f>
        <v>Craig Beddis</v>
      </c>
      <c r="E549" s="4" t="str">
        <f>IFERROR(__xludf.DUMMYFUNCTION("""COMPUTED_VALUE"""),"Craig Beddis")</f>
        <v>Craig Beddis</v>
      </c>
      <c r="F549" s="4" t="str">
        <f>IFERROR(__xludf.DUMMYFUNCTION("""COMPUTED_VALUE"""),"2019/11/06 11:06:00")</f>
        <v>2019/11/06 11:06:00</v>
      </c>
      <c r="G549" s="4" t="str">
        <f>IFERROR(__xludf.DUMMYFUNCTION("""COMPUTED_VALUE"""),"2019/11/06 11:10:00")</f>
        <v>2019/11/06 11:10:00</v>
      </c>
      <c r="H549" s="4" t="str">
        <f>IFERROR(__xludf.DUMMYFUNCTION("""COMPUTED_VALUE"""),"7b057a68-4985-4ded-ad0e-2e1ad7ae6343")</f>
        <v>7b057a68-4985-4ded-ad0e-2e1ad7ae6343</v>
      </c>
      <c r="I549" s="4" t="str">
        <f>IFERROR(__xludf.DUMMYFUNCTION("""COMPUTED_VALUE"""),"7b057a68-4985-4ded-ad0e-2e1ad7ae6343")</f>
        <v>7b057a68-4985-4ded-ad0e-2e1ad7ae6343</v>
      </c>
    </row>
    <row r="550">
      <c r="A550" s="4" t="str">
        <f>IFERROR(__xludf.DUMMYFUNCTION("""COMPUTED_VALUE"""),"Fashion, way beyond next season")</f>
        <v>Fashion, way beyond next season</v>
      </c>
      <c r="B550" s="4" t="str">
        <f>IFERROR(__xludf.DUMMYFUNCTION("""COMPUTED_VALUE"""),"A sprawling consumer demographic and speedy output would normally set off alarm bells for eco-warriors everywhere. With H&amp;M, that's not the case. Join Anna Gedda, Chief Sustainability Officer, as she discusses the prioritisation of circularity and transpa"&amp;"rency during the most crucial environmental crisis of all time.")</f>
        <v>A sprawling consumer demographic and speedy output would normally set off alarm bells for eco-warriors everywhere. With H&amp;M, that's not the case. Join Anna Gedda, Chief Sustainability Officer, as she discusses the prioritisation of circularity and transparency during the most crucial environmental crisis of all time.</v>
      </c>
      <c r="C550" s="4" t="str">
        <f>IFERROR(__xludf.DUMMYFUNCTION("""COMPUTED_VALUE"""),"Modum")</f>
        <v>Modum</v>
      </c>
      <c r="D550" s="4" t="str">
        <f>IFERROR(__xludf.DUMMYFUNCTION("""COMPUTED_VALUE"""),"Anna Gedda")</f>
        <v>Anna Gedda</v>
      </c>
      <c r="E550" s="4" t="str">
        <f>IFERROR(__xludf.DUMMYFUNCTION("""COMPUTED_VALUE"""),"Anna Gedda")</f>
        <v>Anna Gedda</v>
      </c>
      <c r="F550" s="4" t="str">
        <f>IFERROR(__xludf.DUMMYFUNCTION("""COMPUTED_VALUE"""),"2019/11/07 14:40:00")</f>
        <v>2019/11/07 14:40:00</v>
      </c>
      <c r="G550" s="4" t="str">
        <f>IFERROR(__xludf.DUMMYFUNCTION("""COMPUTED_VALUE"""),"2019/11/07 15:00:00")</f>
        <v>2019/11/07 15:00:00</v>
      </c>
      <c r="H550" s="4" t="str">
        <f>IFERROR(__xludf.DUMMYFUNCTION("""COMPUTED_VALUE"""),"c95f7b19-5806-423c-81a8-adf6d0a4bc83")</f>
        <v>c95f7b19-5806-423c-81a8-adf6d0a4bc83</v>
      </c>
      <c r="I550" s="4" t="str">
        <f>IFERROR(__xludf.DUMMYFUNCTION("""COMPUTED_VALUE"""),"c95f7b19-5806-423c-81a8-adf6d0a4bc83")</f>
        <v>c95f7b19-5806-423c-81a8-adf6d0a4bc83</v>
      </c>
    </row>
    <row r="551">
      <c r="A551" s="4" t="str">
        <f>IFERROR(__xludf.DUMMYFUNCTION("""COMPUTED_VALUE"""),"The internet computer: Reinvent the internet using superpowered software")</f>
        <v>The internet computer: Reinvent the internet using superpowered software</v>
      </c>
      <c r="B551" s="4" t="str">
        <f>IFERROR(__xludf.DUMMYFUNCTION("""COMPUTED_VALUE"""),"In the near future, breakthroughs in distributed computing and cryptography will allow developers to reinvent the internet with a new breed of tamperproof open internet services. Promising to reverse Big Tech’s monopolisation of the internet, they will al"&amp;"so fundamentally accelerate the world's transition to Web 3.0. ")</f>
        <v>In the near future, breakthroughs in distributed computing and cryptography will allow developers to reinvent the internet with a new breed of tamperproof open internet services. Promising to reverse Big Tech’s monopolisation of the internet, they will also fundamentally accelerate the world's transition to Web 3.0. </v>
      </c>
      <c r="C551" s="4" t="str">
        <f>IFERROR(__xludf.DUMMYFUNCTION("""COMPUTED_VALUE"""),"FullSTK")</f>
        <v>FullSTK</v>
      </c>
      <c r="D551" s="4" t="str">
        <f>IFERROR(__xludf.DUMMYFUNCTION("""COMPUTED_VALUE"""),"Dominic Williams")</f>
        <v>Dominic Williams</v>
      </c>
      <c r="E551" s="4" t="str">
        <f>IFERROR(__xludf.DUMMYFUNCTION("""COMPUTED_VALUE"""),"Dominic Williams")</f>
        <v>Dominic Williams</v>
      </c>
      <c r="F551" s="4" t="str">
        <f>IFERROR(__xludf.DUMMYFUNCTION("""COMPUTED_VALUE"""),"2019/11/07 15:40:00")</f>
        <v>2019/11/07 15:40:00</v>
      </c>
      <c r="G551" s="4" t="str">
        <f>IFERROR(__xludf.DUMMYFUNCTION("""COMPUTED_VALUE"""),"2019/11/07 16:00:00")</f>
        <v>2019/11/07 16:00:00</v>
      </c>
      <c r="H551" s="4" t="str">
        <f>IFERROR(__xludf.DUMMYFUNCTION("""COMPUTED_VALUE"""),"9eb19daa-07f8-4c88-a5e9-38dda5e8b53d")</f>
        <v>9eb19daa-07f8-4c88-a5e9-38dda5e8b53d</v>
      </c>
      <c r="I551" s="4" t="str">
        <f>IFERROR(__xludf.DUMMYFUNCTION("""COMPUTED_VALUE"""),"9eb19daa-07f8-4c88-a5e9-38dda5e8b53d")</f>
        <v>9eb19daa-07f8-4c88-a5e9-38dda5e8b53d</v>
      </c>
    </row>
    <row r="552">
      <c r="A552" s="4" t="str">
        <f>IFERROR(__xludf.DUMMYFUNCTION("""COMPUTED_VALUE"""),"How to win on social")</f>
        <v>How to win on social</v>
      </c>
      <c r="B552" s="4" t="str">
        <f>IFERROR(__xludf.DUMMYFUNCTION("""COMPUTED_VALUE"""),"For better or worse, modern brands need social media to survive. What are the tactics that will win the hearts of consumers and keep you from getting #cancelled?")</f>
        <v>For better or worse, modern brands need social media to survive. What are the tactics that will win the hearts of consumers and keep you from getting #cancelled?</v>
      </c>
      <c r="C552" s="4" t="str">
        <f>IFERROR(__xludf.DUMMYFUNCTION("""COMPUTED_VALUE"""),"PandaConf")</f>
        <v>PandaConf</v>
      </c>
      <c r="D552" s="4" t="str">
        <f>IFERROR(__xludf.DUMMYFUNCTION("""COMPUTED_VALUE"""),"Dima Khatib, Margaret Molloy, Alex Chung and Mark Little")</f>
        <v>Dima Khatib, Margaret Molloy, Alex Chung and Mark Little</v>
      </c>
      <c r="E552" s="4" t="str">
        <f>IFERROR(__xludf.DUMMYFUNCTION("""COMPUTED_VALUE"""),"Dima Khatib,Margaret Molloy,Alex Chung,Mark Little")</f>
        <v>Dima Khatib,Margaret Molloy,Alex Chung,Mark Little</v>
      </c>
      <c r="F552" s="4" t="str">
        <f>IFERROR(__xludf.DUMMYFUNCTION("""COMPUTED_VALUE"""),"2019/11/06 11:50:00")</f>
        <v>2019/11/06 11:50:00</v>
      </c>
      <c r="G552" s="4" t="str">
        <f>IFERROR(__xludf.DUMMYFUNCTION("""COMPUTED_VALUE"""),"2019/11/06 12:10:00")</f>
        <v>2019/11/06 12:10:00</v>
      </c>
      <c r="H552" s="4" t="str">
        <f>IFERROR(__xludf.DUMMYFUNCTION("""COMPUTED_VALUE"""),"58ae0116-8289-4d43-aec1-d71e1c6e9d06")</f>
        <v>58ae0116-8289-4d43-aec1-d71e1c6e9d06</v>
      </c>
      <c r="I552" s="4" t="str">
        <f>IFERROR(__xludf.DUMMYFUNCTION("""COMPUTED_VALUE"""),"58ae0116-8289-4d43-aec1-d71e1c6e9d06")</f>
        <v>58ae0116-8289-4d43-aec1-d71e1c6e9d06</v>
      </c>
    </row>
    <row r="553">
      <c r="A553" s="4" t="str">
        <f>IFERROR(__xludf.DUMMYFUNCTION("""COMPUTED_VALUE"""),"Lunch break")</f>
        <v>Lunch break</v>
      </c>
      <c r="B553" s="4" t="str">
        <f>IFERROR(__xludf.DUMMYFUNCTION("""COMPUTED_VALUE"""),"")</f>
        <v/>
      </c>
      <c r="C553" s="4" t="str">
        <f>IFERROR(__xludf.DUMMYFUNCTION("""COMPUTED_VALUE"""),"DeepTech")</f>
        <v>DeepTech</v>
      </c>
      <c r="D553" s="4" t="str">
        <f>IFERROR(__xludf.DUMMYFUNCTION("""COMPUTED_VALUE"""),"")</f>
        <v/>
      </c>
      <c r="E553" s="4" t="str">
        <f>IFERROR(__xludf.DUMMYFUNCTION("""COMPUTED_VALUE"""),"")</f>
        <v/>
      </c>
      <c r="F553" s="4" t="str">
        <f>IFERROR(__xludf.DUMMYFUNCTION("""COMPUTED_VALUE"""),"2019/11/06 13:15:00")</f>
        <v>2019/11/06 13:15:00</v>
      </c>
      <c r="G553" s="4" t="str">
        <f>IFERROR(__xludf.DUMMYFUNCTION("""COMPUTED_VALUE"""),"2019/11/06 13:50:00")</f>
        <v>2019/11/06 13:50:00</v>
      </c>
      <c r="H553" s="4" t="str">
        <f>IFERROR(__xludf.DUMMYFUNCTION("""COMPUTED_VALUE"""),"3c08a900-4299-4ea4-b72a-9c13a1a1916e")</f>
        <v>3c08a900-4299-4ea4-b72a-9c13a1a1916e</v>
      </c>
      <c r="I553" s="4" t="str">
        <f>IFERROR(__xludf.DUMMYFUNCTION("""COMPUTED_VALUE"""),"3c08a900-4299-4ea4-b72a-9c13a1a1916e")</f>
        <v>3c08a900-4299-4ea4-b72a-9c13a1a1916e</v>
      </c>
    </row>
    <row r="554">
      <c r="A554" s="4" t="str">
        <f>IFERROR(__xludf.DUMMYFUNCTION("""COMPUTED_VALUE"""),"Lunch break")</f>
        <v>Lunch break</v>
      </c>
      <c r="B554" s="4" t="str">
        <f>IFERROR(__xludf.DUMMYFUNCTION("""COMPUTED_VALUE"""),"")</f>
        <v/>
      </c>
      <c r="C554" s="4" t="str">
        <f>IFERROR(__xludf.DUMMYFUNCTION("""COMPUTED_VALUE"""),"MusicNotes")</f>
        <v>MusicNotes</v>
      </c>
      <c r="D554" s="4" t="str">
        <f>IFERROR(__xludf.DUMMYFUNCTION("""COMPUTED_VALUE"""),"")</f>
        <v/>
      </c>
      <c r="E554" s="4" t="str">
        <f>IFERROR(__xludf.DUMMYFUNCTION("""COMPUTED_VALUE"""),"")</f>
        <v/>
      </c>
      <c r="F554" s="4" t="str">
        <f>IFERROR(__xludf.DUMMYFUNCTION("""COMPUTED_VALUE"""),"2019/11/07 13:05:00")</f>
        <v>2019/11/07 13:05:00</v>
      </c>
      <c r="G554" s="4" t="str">
        <f>IFERROR(__xludf.DUMMYFUNCTION("""COMPUTED_VALUE"""),"2019/11/07 13:45:00")</f>
        <v>2019/11/07 13:45:00</v>
      </c>
      <c r="H554" s="4" t="str">
        <f>IFERROR(__xludf.DUMMYFUNCTION("""COMPUTED_VALUE"""),"83cdffa9-6368-4b3f-be46-5801b15acb6f")</f>
        <v>83cdffa9-6368-4b3f-be46-5801b15acb6f</v>
      </c>
      <c r="I554" s="4" t="str">
        <f>IFERROR(__xludf.DUMMYFUNCTION("""COMPUTED_VALUE"""),"83cdffa9-6368-4b3f-be46-5801b15acb6f")</f>
        <v>83cdffa9-6368-4b3f-be46-5801b15acb6f</v>
      </c>
    </row>
    <row r="555">
      <c r="A555" s="4" t="str">
        <f>IFERROR(__xludf.DUMMYFUNCTION("""COMPUTED_VALUE"""),"Drones and food delivery: A marriage made in heaven")</f>
        <v>Drones and food delivery: A marriage made in heaven</v>
      </c>
      <c r="B555" s="4" t="str">
        <f>IFERROR(__xludf.DUMMYFUNCTION("""COMPUTED_VALUE"""),"There are so many food delivery unicorns at the moment, but could getting your food delivered by drone really be a feasible option — or is it pie in the sky?")</f>
        <v>There are so many food delivery unicorns at the moment, but could getting your food delivered by drone really be a feasible option — or is it pie in the sky?</v>
      </c>
      <c r="C555" s="4" t="str">
        <f>IFERROR(__xludf.DUMMYFUNCTION("""COMPUTED_VALUE"""),"Auto/Tech &amp; TalkRobot")</f>
        <v>Auto/Tech &amp; TalkRobot</v>
      </c>
      <c r="D555" s="4" t="str">
        <f>IFERROR(__xludf.DUMMYFUNCTION("""COMPUTED_VALUE"""),"Bobby Healy")</f>
        <v>Bobby Healy</v>
      </c>
      <c r="E555" s="4" t="str">
        <f>IFERROR(__xludf.DUMMYFUNCTION("""COMPUTED_VALUE"""),"Bobby Healy")</f>
        <v>Bobby Healy</v>
      </c>
      <c r="F555" s="4" t="str">
        <f>IFERROR(__xludf.DUMMYFUNCTION("""COMPUTED_VALUE"""),"2019/11/06 11:00:00")</f>
        <v>2019/11/06 11:00:00</v>
      </c>
      <c r="G555" s="4" t="str">
        <f>IFERROR(__xludf.DUMMYFUNCTION("""COMPUTED_VALUE"""),"2019/11/06 11:15:00")</f>
        <v>2019/11/06 11:15:00</v>
      </c>
      <c r="H555" s="4" t="str">
        <f>IFERROR(__xludf.DUMMYFUNCTION("""COMPUTED_VALUE"""),"2995ac8d-f975-4e2b-a3aa-cc39ebebe916")</f>
        <v>2995ac8d-f975-4e2b-a3aa-cc39ebebe916</v>
      </c>
      <c r="I555" s="4" t="str">
        <f>IFERROR(__xludf.DUMMYFUNCTION("""COMPUTED_VALUE"""),"2995ac8d-f975-4e2b-a3aa-cc39ebebe916")</f>
        <v>2995ac8d-f975-4e2b-a3aa-cc39ebebe916</v>
      </c>
    </row>
    <row r="556">
      <c r="A556" s="4" t="str">
        <f>IFERROR(__xludf.DUMMYFUNCTION("""COMPUTED_VALUE"""),"The real-time revolution")</f>
        <v>The real-time revolution</v>
      </c>
      <c r="B556" s="4" t="str">
        <f>IFERROR(__xludf.DUMMYFUNCTION("""COMPUTED_VALUE"""),"Today’s content is more visual, deeply immersive and connected. The power to create this type of content comes from real-time 3D (RT3D), a technology forged in gaming and currently changing other industries. Today, RT3D is fundamentally changing the proce"&amp;"ss of content creation and collaboration, and is poised to unlock new capabilities for everyone. Unity Technologies’ CMO, Clive, will discuss how all the content changes happening today have been in service to the real-time revolution.")</f>
        <v>Today’s content is more visual, deeply immersive and connected. The power to create this type of content comes from real-time 3D (RT3D), a technology forged in gaming and currently changing other industries. Today, RT3D is fundamentally changing the process of content creation and collaboration, and is poised to unlock new capabilities for everyone. Unity Technologies’ CMO, Clive, will discuss how all the content changes happening today have been in service to the real-time revolution.</v>
      </c>
      <c r="C556" s="4" t="str">
        <f>IFERROR(__xludf.DUMMYFUNCTION("""COMPUTED_VALUE"""),"ContentMakers")</f>
        <v>ContentMakers</v>
      </c>
      <c r="D556" s="4" t="str">
        <f>IFERROR(__xludf.DUMMYFUNCTION("""COMPUTED_VALUE"""),"Clive Downie")</f>
        <v>Clive Downie</v>
      </c>
      <c r="E556" s="4" t="str">
        <f>IFERROR(__xludf.DUMMYFUNCTION("""COMPUTED_VALUE"""),"Clive Downie")</f>
        <v>Clive Downie</v>
      </c>
      <c r="F556" s="4" t="str">
        <f>IFERROR(__xludf.DUMMYFUNCTION("""COMPUTED_VALUE"""),"2019/11/06 11:50:00")</f>
        <v>2019/11/06 11:50:00</v>
      </c>
      <c r="G556" s="4" t="str">
        <f>IFERROR(__xludf.DUMMYFUNCTION("""COMPUTED_VALUE"""),"2019/11/06 12:10:00")</f>
        <v>2019/11/06 12:10:00</v>
      </c>
      <c r="H556" s="4" t="str">
        <f>IFERROR(__xludf.DUMMYFUNCTION("""COMPUTED_VALUE"""),"051d4f15-693c-4dc3-b0e7-55af59077093")</f>
        <v>051d4f15-693c-4dc3-b0e7-55af59077093</v>
      </c>
      <c r="I556" s="4" t="str">
        <f>IFERROR(__xludf.DUMMYFUNCTION("""COMPUTED_VALUE"""),"051d4f15-693c-4dc3-b0e7-55af59077093")</f>
        <v>051d4f15-693c-4dc3-b0e7-55af59077093</v>
      </c>
    </row>
    <row r="557">
      <c r="A557" s="4" t="str">
        <f>IFERROR(__xludf.DUMMYFUNCTION("""COMPUTED_VALUE"""),"It takes a village to build a city")</f>
        <v>It takes a village to build a city</v>
      </c>
      <c r="B557" s="4" t="str">
        <f>IFERROR(__xludf.DUMMYFUNCTION("""COMPUTED_VALUE"""),"How are our cities going to adapt and evolve over the next few years to grow in tandem with technology? In this panel, we'll be looking at how we can develop smart cities across the globe.")</f>
        <v>How are our cities going to adapt and evolve over the next few years to grow in tandem with technology? In this panel, we'll be looking at how we can develop smart cities across the globe.</v>
      </c>
      <c r="C557" s="4" t="str">
        <f>IFERROR(__xludf.DUMMYFUNCTION("""COMPUTED_VALUE"""),"Auto/Tech &amp; TalkRobot")</f>
        <v>Auto/Tech &amp; TalkRobot</v>
      </c>
      <c r="D557" s="4" t="str">
        <f>IFERROR(__xludf.DUMMYFUNCTION("""COMPUTED_VALUE"""),"Micah Kotch, Pasquale Romano, Ro Gupta, Carrie Shuler and Jim Motavalli")</f>
        <v>Micah Kotch, Pasquale Romano, Ro Gupta, Carrie Shuler and Jim Motavalli</v>
      </c>
      <c r="E557" s="4" t="str">
        <f>IFERROR(__xludf.DUMMYFUNCTION("""COMPUTED_VALUE"""),"Micah Kotch,Pasquale Romano,Ro Gupta,Carrie Shuler,Jim Motavalli")</f>
        <v>Micah Kotch,Pasquale Romano,Ro Gupta,Carrie Shuler,Jim Motavalli</v>
      </c>
      <c r="F557" s="4" t="str">
        <f>IFERROR(__xludf.DUMMYFUNCTION("""COMPUTED_VALUE"""),"2019/11/05 14:45:00")</f>
        <v>2019/11/05 14:45:00</v>
      </c>
      <c r="G557" s="4" t="str">
        <f>IFERROR(__xludf.DUMMYFUNCTION("""COMPUTED_VALUE"""),"2019/11/05 15:05:00")</f>
        <v>2019/11/05 15:05:00</v>
      </c>
      <c r="H557" s="4" t="str">
        <f>IFERROR(__xludf.DUMMYFUNCTION("""COMPUTED_VALUE"""),"6b611ede-e5a2-4d94-bac4-6649abd4aaef")</f>
        <v>6b611ede-e5a2-4d94-bac4-6649abd4aaef</v>
      </c>
      <c r="I557" s="4" t="str">
        <f>IFERROR(__xludf.DUMMYFUNCTION("""COMPUTED_VALUE"""),"6b611ede-e5a2-4d94-bac4-6649abd4aaef")</f>
        <v>6b611ede-e5a2-4d94-bac4-6649abd4aaef</v>
      </c>
    </row>
    <row r="558">
      <c r="A558" s="4" t="str">
        <f>IFERROR(__xludf.DUMMYFUNCTION("""COMPUTED_VALUE"""),"Registration")</f>
        <v>Registration</v>
      </c>
      <c r="B558" s="4" t="str">
        <f>IFERROR(__xludf.DUMMYFUNCTION("""COMPUTED_VALUE"""),"Psst, just a heads up to complete your registration.
You can register while you’re at the airport from 7am to 11pm. All you need to do is head out of the terminal and follow the signs to our registration marquee. You’ll be done in a few minutes. 
Al"&amp;"ternatively, you can register at the Altice Arena &amp; FIL in the main registration area from 12pm to 8pm.
If you need more information about registration go to websummit.com/essentials/registration. ")</f>
        <v>Psst, just a heads up to complete your registration.
You can register while you’re at the airport from 7am to 11pm. All you need to do is head out of the terminal and follow the signs to our registration marquee. You’ll be done in a few minutes. 
Alternatively, you can register at the Altice Arena &amp; FIL in the main registration area from 12pm to 8pm.
If you need more information about registration go to websummit.com/essentials/registration. </v>
      </c>
      <c r="C558" s="4" t="str">
        <f>IFERROR(__xludf.DUMMYFUNCTION("""COMPUTED_VALUE"""),"Registration")</f>
        <v>Registration</v>
      </c>
      <c r="D558" s="4" t="str">
        <f>IFERROR(__xludf.DUMMYFUNCTION("""COMPUTED_VALUE"""),"")</f>
        <v/>
      </c>
      <c r="E558" s="4" t="str">
        <f>IFERROR(__xludf.DUMMYFUNCTION("""COMPUTED_VALUE"""),"")</f>
        <v/>
      </c>
      <c r="F558" s="4" t="str">
        <f>IFERROR(__xludf.DUMMYFUNCTION("""COMPUTED_VALUE"""),"2019/11/04 07:00:00")</f>
        <v>2019/11/04 07:00:00</v>
      </c>
      <c r="G558" s="4" t="str">
        <f>IFERROR(__xludf.DUMMYFUNCTION("""COMPUTED_VALUE"""),"2019/11/04 23:00:00")</f>
        <v>2019/11/04 23:00:00</v>
      </c>
      <c r="H558" s="4" t="str">
        <f>IFERROR(__xludf.DUMMYFUNCTION("""COMPUTED_VALUE"""),"3acc28ab-c65e-4fc0-b4bd-184422bef18a")</f>
        <v>3acc28ab-c65e-4fc0-b4bd-184422bef18a</v>
      </c>
      <c r="I558" s="4" t="str">
        <f>IFERROR(__xludf.DUMMYFUNCTION("""COMPUTED_VALUE"""),"3acc28ab-c65e-4fc0-b4bd-184422bef18a")</f>
        <v>3acc28ab-c65e-4fc0-b4bd-184422bef18a</v>
      </c>
    </row>
    <row r="559">
      <c r="A559" s="4" t="str">
        <f>IFERROR(__xludf.DUMMYFUNCTION("""COMPUTED_VALUE"""),"The hidden truth about European VC performance")</f>
        <v>The hidden truth about European VC performance</v>
      </c>
      <c r="B559" s="4" t="str">
        <f>IFERROR(__xludf.DUMMYFUNCTION("""COMPUTED_VALUE"""),"")</f>
        <v/>
      </c>
      <c r="C559" s="4" t="str">
        <f>IFERROR(__xludf.DUMMYFUNCTION("""COMPUTED_VALUE"""),"Venture stage")</f>
        <v>Venture stage</v>
      </c>
      <c r="D559" s="4" t="str">
        <f>IFERROR(__xludf.DUMMYFUNCTION("""COMPUTED_VALUE"""),"Bjorn Tremmerie")</f>
        <v>Bjorn Tremmerie</v>
      </c>
      <c r="E559" s="4" t="str">
        <f>IFERROR(__xludf.DUMMYFUNCTION("""COMPUTED_VALUE"""),"Bjorn Tremmerie")</f>
        <v>Bjorn Tremmerie</v>
      </c>
      <c r="F559" s="4" t="str">
        <f>IFERROR(__xludf.DUMMYFUNCTION("""COMPUTED_VALUE"""),"2019/11/05 15:50:00")</f>
        <v>2019/11/05 15:50:00</v>
      </c>
      <c r="G559" s="4" t="str">
        <f>IFERROR(__xludf.DUMMYFUNCTION("""COMPUTED_VALUE"""),"2019/11/05 16:05:00")</f>
        <v>2019/11/05 16:05:00</v>
      </c>
      <c r="H559" s="4" t="str">
        <f>IFERROR(__xludf.DUMMYFUNCTION("""COMPUTED_VALUE"""),"a4da4df1-0ae0-42b5-acd2-1a8caf8da7a3")</f>
        <v>a4da4df1-0ae0-42b5-acd2-1a8caf8da7a3</v>
      </c>
      <c r="I559" s="4" t="str">
        <f>IFERROR(__xludf.DUMMYFUNCTION("""COMPUTED_VALUE"""),"a4da4df1-0ae0-42b5-acd2-1a8caf8da7a3")</f>
        <v>a4da4df1-0ae0-42b5-acd2-1a8caf8da7a3</v>
      </c>
    </row>
    <row r="560">
      <c r="A560" s="4" t="str">
        <f>IFERROR(__xludf.DUMMYFUNCTION("""COMPUTED_VALUE"""),"Enabling a cultural movement to power your growth")</f>
        <v>Enabling a cultural movement to power your growth</v>
      </c>
      <c r="B560" s="4" t="str">
        <f>IFERROR(__xludf.DUMMYFUNCTION("""COMPUTED_VALUE"""),"Co-founder of Eight Sleep, Alexandra will outline the story behind the growth of the world's first sleep fitness company.")</f>
        <v>Co-founder of Eight Sleep, Alexandra will outline the story behind the growth of the world's first sleep fitness company.</v>
      </c>
      <c r="C560" s="4" t="str">
        <f>IFERROR(__xludf.DUMMYFUNCTION("""COMPUTED_VALUE"""),"Growth Summit")</f>
        <v>Growth Summit</v>
      </c>
      <c r="D560" s="4" t="str">
        <f>IFERROR(__xludf.DUMMYFUNCTION("""COMPUTED_VALUE"""),"Alexandra Zatarain")</f>
        <v>Alexandra Zatarain</v>
      </c>
      <c r="E560" s="4" t="str">
        <f>IFERROR(__xludf.DUMMYFUNCTION("""COMPUTED_VALUE"""),"Alexandra Zatarain")</f>
        <v>Alexandra Zatarain</v>
      </c>
      <c r="F560" s="4" t="str">
        <f>IFERROR(__xludf.DUMMYFUNCTION("""COMPUTED_VALUE"""),"2019/11/06 16:32:00")</f>
        <v>2019/11/06 16:32:00</v>
      </c>
      <c r="G560" s="4" t="str">
        <f>IFERROR(__xludf.DUMMYFUNCTION("""COMPUTED_VALUE"""),"2019/11/06 16:43:00")</f>
        <v>2019/11/06 16:43:00</v>
      </c>
      <c r="H560" s="4" t="str">
        <f>IFERROR(__xludf.DUMMYFUNCTION("""COMPUTED_VALUE"""),"d69b7afc-e3db-47cf-8c85-de0f7500cc4a")</f>
        <v>d69b7afc-e3db-47cf-8c85-de0f7500cc4a</v>
      </c>
      <c r="I560" s="4" t="str">
        <f>IFERROR(__xludf.DUMMYFUNCTION("""COMPUTED_VALUE"""),"d69b7afc-e3db-47cf-8c85-de0f7500cc4a")</f>
        <v>d69b7afc-e3db-47cf-8c85-de0f7500cc4a</v>
      </c>
    </row>
    <row r="561">
      <c r="A561" s="4" t="str">
        <f>IFERROR(__xludf.DUMMYFUNCTION("""COMPUTED_VALUE"""),"Opening remarks")</f>
        <v>Opening remarks</v>
      </c>
      <c r="B561" s="4" t="str">
        <f>IFERROR(__xludf.DUMMYFUNCTION("""COMPUTED_VALUE"""),"")</f>
        <v/>
      </c>
      <c r="C561" s="4" t="str">
        <f>IFERROR(__xludf.DUMMYFUNCTION("""COMPUTED_VALUE"""),"Venture stage")</f>
        <v>Venture stage</v>
      </c>
      <c r="D561" s="4" t="str">
        <f>IFERROR(__xludf.DUMMYFUNCTION("""COMPUTED_VALUE"""),"Connor Murphy")</f>
        <v>Connor Murphy</v>
      </c>
      <c r="E561" s="4" t="str">
        <f>IFERROR(__xludf.DUMMYFUNCTION("""COMPUTED_VALUE"""),"Connor Murphy")</f>
        <v>Connor Murphy</v>
      </c>
      <c r="F561" s="4" t="str">
        <f>IFERROR(__xludf.DUMMYFUNCTION("""COMPUTED_VALUE"""),"2019/11/05 10:15:00")</f>
        <v>2019/11/05 10:15:00</v>
      </c>
      <c r="G561" s="4" t="str">
        <f>IFERROR(__xludf.DUMMYFUNCTION("""COMPUTED_VALUE"""),"2019/11/05 10:30:00")</f>
        <v>2019/11/05 10:30:00</v>
      </c>
      <c r="H561" s="4" t="str">
        <f>IFERROR(__xludf.DUMMYFUNCTION("""COMPUTED_VALUE"""),"b376f113-d467-4247-9768-d31db92db587")</f>
        <v>b376f113-d467-4247-9768-d31db92db587</v>
      </c>
      <c r="I561" s="4" t="str">
        <f>IFERROR(__xludf.DUMMYFUNCTION("""COMPUTED_VALUE"""),"b376f113-d467-4247-9768-d31db92db587")</f>
        <v>b376f113-d467-4247-9768-d31db92db587</v>
      </c>
    </row>
    <row r="562">
      <c r="A562" s="4" t="str">
        <f>IFERROR(__xludf.DUMMYFUNCTION("""COMPUTED_VALUE"""),"From 'What if' to 'Shazam that' ")</f>
        <v>From 'What if' to 'Shazam that' </v>
      </c>
      <c r="B562" s="4" t="str">
        <f>IFERROR(__xludf.DUMMYFUNCTION("""COMPUTED_VALUE"""),"Hear from the co-founder of Shazam about how he built the app and algorithm they said could never be made. 
")</f>
        <v>Hear from the co-founder of Shazam about how he built the app and algorithm they said could never be made. 
</v>
      </c>
      <c r="C562" s="4" t="str">
        <f>IFERROR(__xludf.DUMMYFUNCTION("""COMPUTED_VALUE"""),"Startup University")</f>
        <v>Startup University</v>
      </c>
      <c r="D562" s="4" t="str">
        <f>IFERROR(__xludf.DUMMYFUNCTION("""COMPUTED_VALUE"""),"Chris Barton")</f>
        <v>Chris Barton</v>
      </c>
      <c r="E562" s="4" t="str">
        <f>IFERROR(__xludf.DUMMYFUNCTION("""COMPUTED_VALUE"""),"Chris Barton")</f>
        <v>Chris Barton</v>
      </c>
      <c r="F562" s="4" t="str">
        <f>IFERROR(__xludf.DUMMYFUNCTION("""COMPUTED_VALUE"""),"2019/11/05 11:10:00")</f>
        <v>2019/11/05 11:10:00</v>
      </c>
      <c r="G562" s="4" t="str">
        <f>IFERROR(__xludf.DUMMYFUNCTION("""COMPUTED_VALUE"""),"2019/11/05 11:30:00")</f>
        <v>2019/11/05 11:30:00</v>
      </c>
      <c r="H562" s="4" t="str">
        <f>IFERROR(__xludf.DUMMYFUNCTION("""COMPUTED_VALUE"""),"2e3242c8-2539-40af-8a57-8b977efe0695")</f>
        <v>2e3242c8-2539-40af-8a57-8b977efe0695</v>
      </c>
      <c r="I562" s="4" t="str">
        <f>IFERROR(__xludf.DUMMYFUNCTION("""COMPUTED_VALUE"""),"2e3242c8-2539-40af-8a57-8b977efe0695")</f>
        <v>2e3242c8-2539-40af-8a57-8b977efe0695</v>
      </c>
    </row>
    <row r="563">
      <c r="A563" s="4" t="str">
        <f>IFERROR(__xludf.DUMMYFUNCTION("""COMPUTED_VALUE"""),"Data addiction: AI and the future of design")</f>
        <v>Data addiction: AI and the future of design</v>
      </c>
      <c r="B563" s="4" t="str">
        <f>IFERROR(__xludf.DUMMYFUNCTION("""COMPUTED_VALUE"""),"A collection of industry leaders discuss the impact of AI for the industry, including whether they believe automation will replace the designers of today and tomorrow.  They'll also explore how data can improve the customer experience in an age of growing"&amp;" concerns over privacy.
")</f>
        <v>A collection of industry leaders discuss the impact of AI for the industry, including whether they believe automation will replace the designers of today and tomorrow.  They'll also explore how data can improve the customer experience in an age of growing concerns over privacy.
</v>
      </c>
      <c r="C563" s="4" t="str">
        <f>IFERROR(__xludf.DUMMYFUNCTION("""COMPUTED_VALUE"""),"creatiff")</f>
        <v>creatiff</v>
      </c>
      <c r="D563" s="4" t="str">
        <f>IFERROR(__xludf.DUMMYFUNCTION("""COMPUTED_VALUE"""),"Pete Stein, Yali Saar, Zak Normandin and Marcus Fairs")</f>
        <v>Pete Stein, Yali Saar, Zak Normandin and Marcus Fairs</v>
      </c>
      <c r="E563" s="4" t="str">
        <f>IFERROR(__xludf.DUMMYFUNCTION("""COMPUTED_VALUE"""),"Pete Stein,Yali Saar,Zak Normandin,Marcus Fairs")</f>
        <v>Pete Stein,Yali Saar,Zak Normandin,Marcus Fairs</v>
      </c>
      <c r="F563" s="4" t="str">
        <f>IFERROR(__xludf.DUMMYFUNCTION("""COMPUTED_VALUE"""),"2019/11/05 11:35:00")</f>
        <v>2019/11/05 11:35:00</v>
      </c>
      <c r="G563" s="4" t="str">
        <f>IFERROR(__xludf.DUMMYFUNCTION("""COMPUTED_VALUE"""),"2019/11/05 12:00:00")</f>
        <v>2019/11/05 12:00:00</v>
      </c>
      <c r="H563" s="4" t="str">
        <f>IFERROR(__xludf.DUMMYFUNCTION("""COMPUTED_VALUE"""),"ef858518-b75a-4a1d-8fd2-2ae1b889dc6a")</f>
        <v>ef858518-b75a-4a1d-8fd2-2ae1b889dc6a</v>
      </c>
      <c r="I563" s="4" t="str">
        <f>IFERROR(__xludf.DUMMYFUNCTION("""COMPUTED_VALUE"""),"ef858518-b75a-4a1d-8fd2-2ae1b889dc6a")</f>
        <v>ef858518-b75a-4a1d-8fd2-2ae1b889dc6a</v>
      </c>
    </row>
    <row r="564">
      <c r="A564" s="4" t="str">
        <f>IFERROR(__xludf.DUMMYFUNCTION("""COMPUTED_VALUE"""),"Plates and the planet: How to eco-feed the world")</f>
        <v>Plates and the planet: How to eco-feed the world</v>
      </c>
      <c r="B564" s="4" t="str">
        <f>IFERROR(__xludf.DUMMYFUNCTION("""COMPUTED_VALUE"""),"A growing population means more mouths to feed. And there are a shrinking number of solutions, especially sustainable ones. Where to next for those who fight world hunger? And can tech step in to save the spread?")</f>
        <v>A growing population means more mouths to feed. And there are a shrinking number of solutions, especially sustainable ones. Where to next for those who fight world hunger? And can tech step in to save the spread?</v>
      </c>
      <c r="C564" s="4" t="str">
        <f>IFERROR(__xludf.DUMMYFUNCTION("""COMPUTED_VALUE"""),"planet:tech ")</f>
        <v>planet:tech </v>
      </c>
      <c r="D564" s="4" t="str">
        <f>IFERROR(__xludf.DUMMYFUNCTION("""COMPUTED_VALUE"""),"Vandana Tilak, Antoine Hubert and Britta Muzyk-Tikovsky")</f>
        <v>Vandana Tilak, Antoine Hubert and Britta Muzyk-Tikovsky</v>
      </c>
      <c r="E564" s="4" t="str">
        <f>IFERROR(__xludf.DUMMYFUNCTION("""COMPUTED_VALUE"""),"Vandana Tilak,Antoine Hubert,Britta Muzyk-Tikovsky")</f>
        <v>Vandana Tilak,Antoine Hubert,Britta Muzyk-Tikovsky</v>
      </c>
      <c r="F564" s="4" t="str">
        <f>IFERROR(__xludf.DUMMYFUNCTION("""COMPUTED_VALUE"""),"2019/11/05 12:40:00")</f>
        <v>2019/11/05 12:40:00</v>
      </c>
      <c r="G564" s="4" t="str">
        <f>IFERROR(__xludf.DUMMYFUNCTION("""COMPUTED_VALUE"""),"2019/11/05 13:00:00")</f>
        <v>2019/11/05 13:00:00</v>
      </c>
      <c r="H564" s="4" t="str">
        <f>IFERROR(__xludf.DUMMYFUNCTION("""COMPUTED_VALUE"""),"b3fbc724-3198-4122-9152-6129bb60765e")</f>
        <v>b3fbc724-3198-4122-9152-6129bb60765e</v>
      </c>
      <c r="I564" s="4" t="str">
        <f>IFERROR(__xludf.DUMMYFUNCTION("""COMPUTED_VALUE"""),"b3fbc724-3198-4122-9152-6129bb60765e")</f>
        <v>b3fbc724-3198-4122-9152-6129bb60765e</v>
      </c>
    </row>
    <row r="565">
      <c r="A565" s="4" t="str">
        <f>IFERROR(__xludf.DUMMYFUNCTION("""COMPUTED_VALUE"""),"Opening remarks")</f>
        <v>Opening remarks</v>
      </c>
      <c r="B565" s="4" t="str">
        <f>IFERROR(__xludf.DUMMYFUNCTION("""COMPUTED_VALUE"""),"")</f>
        <v/>
      </c>
      <c r="C565" s="4" t="str">
        <f>IFERROR(__xludf.DUMMYFUNCTION("""COMPUTED_VALUE"""),"Centre Stage")</f>
        <v>Centre Stage</v>
      </c>
      <c r="D565" s="4" t="str">
        <f>IFERROR(__xludf.DUMMYFUNCTION("""COMPUTED_VALUE"""),"Paddy Cosgrave")</f>
        <v>Paddy Cosgrave</v>
      </c>
      <c r="E565" s="4" t="str">
        <f>IFERROR(__xludf.DUMMYFUNCTION("""COMPUTED_VALUE"""),"Paddy Cosgrave")</f>
        <v>Paddy Cosgrave</v>
      </c>
      <c r="F565" s="4" t="str">
        <f>IFERROR(__xludf.DUMMYFUNCTION("""COMPUTED_VALUE"""),"2019/11/07 13:45:00")</f>
        <v>2019/11/07 13:45:00</v>
      </c>
      <c r="G565" s="4" t="str">
        <f>IFERROR(__xludf.DUMMYFUNCTION("""COMPUTED_VALUE"""),"2019/11/07 14:00:00")</f>
        <v>2019/11/07 14:00:00</v>
      </c>
      <c r="H565" s="4" t="str">
        <f>IFERROR(__xludf.DUMMYFUNCTION("""COMPUTED_VALUE"""),"b0f35e5b-5938-4f05-89cc-5124038343be")</f>
        <v>b0f35e5b-5938-4f05-89cc-5124038343be</v>
      </c>
      <c r="I565" s="4" t="str">
        <f>IFERROR(__xludf.DUMMYFUNCTION("""COMPUTED_VALUE"""),"b0f35e5b-5938-4f05-89cc-5124038343be")</f>
        <v>b0f35e5b-5938-4f05-89cc-5124038343be</v>
      </c>
    </row>
    <row r="566">
      <c r="A566" s="4" t="str">
        <f>IFERROR(__xludf.DUMMYFUNCTION("""COMPUTED_VALUE"""),"Promoting democratic values online")</f>
        <v>Promoting democratic values online</v>
      </c>
      <c r="B566" s="4" t="str">
        <f>IFERROR(__xludf.DUMMYFUNCTION("""COMPUTED_VALUE"""),"Social media is often seen as a double edged sword - it can help to promote democratic values, giving everyone a voice, or it can undermine our democratic structures, unleashing the worst within our societies. In this session we will hear from Vera Jourov"&amp;"a, the incoming European Commissioner responsible for protecting democratic values across the entire continent.")</f>
        <v>Social media is often seen as a double edged sword - it can help to promote democratic values, giving everyone a voice, or it can undermine our democratic structures, unleashing the worst within our societies. In this session we will hear from Vera Jourova, the incoming European Commissioner responsible for protecting democratic values across the entire continent.</v>
      </c>
      <c r="C566" s="4" t="str">
        <f>IFERROR(__xludf.DUMMYFUNCTION("""COMPUTED_VALUE"""),"Future Societies")</f>
        <v>Future Societies</v>
      </c>
      <c r="D566" s="4" t="str">
        <f>IFERROR(__xludf.DUMMYFUNCTION("""COMPUTED_VALUE"""),"Věra Jourová and Sam Schechner")</f>
        <v>Věra Jourová and Sam Schechner</v>
      </c>
      <c r="E566" s="4" t="str">
        <f>IFERROR(__xludf.DUMMYFUNCTION("""COMPUTED_VALUE"""),"Věra Jourová,Sam Schechner")</f>
        <v>Věra Jourová,Sam Schechner</v>
      </c>
      <c r="F566" s="4" t="str">
        <f>IFERROR(__xludf.DUMMYFUNCTION("""COMPUTED_VALUE"""),"2019/11/07 15:25:00")</f>
        <v>2019/11/07 15:25:00</v>
      </c>
      <c r="G566" s="4" t="str">
        <f>IFERROR(__xludf.DUMMYFUNCTION("""COMPUTED_VALUE"""),"2019/11/07 15:45:00")</f>
        <v>2019/11/07 15:45:00</v>
      </c>
      <c r="H566" s="4" t="str">
        <f>IFERROR(__xludf.DUMMYFUNCTION("""COMPUTED_VALUE"""),"69aae012-f16e-4c57-878c-f87bedf64023")</f>
        <v>69aae012-f16e-4c57-878c-f87bedf64023</v>
      </c>
      <c r="I566" s="4" t="str">
        <f>IFERROR(__xludf.DUMMYFUNCTION("""COMPUTED_VALUE"""),"69aae012-f16e-4c57-878c-f87bedf64023")</f>
        <v>69aae012-f16e-4c57-878c-f87bedf64023</v>
      </c>
    </row>
    <row r="567">
      <c r="A567" s="4" t="str">
        <f>IFERROR(__xludf.DUMMYFUNCTION("""COMPUTED_VALUE"""),"Lunch break")</f>
        <v>Lunch break</v>
      </c>
      <c r="B567" s="4" t="str">
        <f>IFERROR(__xludf.DUMMYFUNCTION("""COMPUTED_VALUE"""),"")</f>
        <v/>
      </c>
      <c r="C567" s="4" t="str">
        <f>IFERROR(__xludf.DUMMYFUNCTION("""COMPUTED_VALUE"""),"SaaS Monster")</f>
        <v>SaaS Monster</v>
      </c>
      <c r="D567" s="4" t="str">
        <f>IFERROR(__xludf.DUMMYFUNCTION("""COMPUTED_VALUE"""),"")</f>
        <v/>
      </c>
      <c r="E567" s="4" t="str">
        <f>IFERROR(__xludf.DUMMYFUNCTION("""COMPUTED_VALUE"""),"")</f>
        <v/>
      </c>
      <c r="F567" s="4" t="str">
        <f>IFERROR(__xludf.DUMMYFUNCTION("""COMPUTED_VALUE"""),"2019/11/05 12:50:00")</f>
        <v>2019/11/05 12:50:00</v>
      </c>
      <c r="G567" s="4" t="str">
        <f>IFERROR(__xludf.DUMMYFUNCTION("""COMPUTED_VALUE"""),"2019/11/05 13:20:00")</f>
        <v>2019/11/05 13:20:00</v>
      </c>
      <c r="H567" s="4" t="str">
        <f>IFERROR(__xludf.DUMMYFUNCTION("""COMPUTED_VALUE"""),"ac332420-8830-4529-a87b-8a39999aca64")</f>
        <v>ac332420-8830-4529-a87b-8a39999aca64</v>
      </c>
      <c r="I567" s="4" t="str">
        <f>IFERROR(__xludf.DUMMYFUNCTION("""COMPUTED_VALUE"""),"ac332420-8830-4529-a87b-8a39999aca64")</f>
        <v>ac332420-8830-4529-a87b-8a39999aca64</v>
      </c>
    </row>
    <row r="568">
      <c r="A568" s="4" t="str">
        <f>IFERROR(__xludf.DUMMYFUNCTION("""COMPUTED_VALUE"""),"Breakout startups")</f>
        <v>Breakout startups</v>
      </c>
      <c r="B568" s="4" t="str">
        <f>IFERROR(__xludf.DUMMYFUNCTION("""COMPUTED_VALUE"""),"Are these the companies everyone will be talking about in 2020? Dozens of the world’s leading investors think so. Each morning and lunchtime on Centre Stage join us to get an introduction to some of the world’s most exciting early and growth stage startup"&amp;"s. Each of the startups have been hand-selected by some of the world’s most successful investors. You’re in for a treat.")</f>
        <v>Are these the companies everyone will be talking about in 2020? Dozens of the world’s leading investors think so. Each morning and lunchtime on Centre Stage join us to get an introduction to some of the world’s most exciting early and growth stage startups. Each of the startups have been hand-selected by some of the world’s most successful investors. You’re in for a treat.</v>
      </c>
      <c r="C568" s="4" t="str">
        <f>IFERROR(__xludf.DUMMYFUNCTION("""COMPUTED_VALUE"""),"Centre Stage")</f>
        <v>Centre Stage</v>
      </c>
      <c r="D568" s="4" t="str">
        <f>IFERROR(__xludf.DUMMYFUNCTION("""COMPUTED_VALUE"""),"Nuno Pinto, Andre Jordao, Nuno Fonseca, Josh Lowy, Nils Henning, Sam Al-Mukhtar, Shane Curran, Dev Amratia, Sid Khattri, Bob Moore, Jaleh Rezaei and Els van der Helm")</f>
        <v>Nuno Pinto, Andre Jordao, Nuno Fonseca, Josh Lowy, Nils Henning, Sam Al-Mukhtar, Shane Curran, Dev Amratia, Sid Khattri, Bob Moore, Jaleh Rezaei and Els van der Helm</v>
      </c>
      <c r="E568" s="4" t="str">
        <f>IFERROR(__xludf.DUMMYFUNCTION("""COMPUTED_VALUE"""),"Nuno Pinto,Andre Jordao,Nuno Fonseca,Josh Lowy,Nils Henning,Sam Al-Mukhtar,Shane Curran,Dev Amratia,Sid Khattri,Bob Moore,Jaleh Rezaei,Els van der Helm")</f>
        <v>Nuno Pinto,Andre Jordao,Nuno Fonseca,Josh Lowy,Nils Henning,Sam Al-Mukhtar,Shane Curran,Dev Amratia,Sid Khattri,Bob Moore,Jaleh Rezaei,Els van der Helm</v>
      </c>
      <c r="F568" s="4" t="str">
        <f>IFERROR(__xludf.DUMMYFUNCTION("""COMPUTED_VALUE"""),"2019/11/05 09:10:00")</f>
        <v>2019/11/05 09:10:00</v>
      </c>
      <c r="G568" s="4" t="str">
        <f>IFERROR(__xludf.DUMMYFUNCTION("""COMPUTED_VALUE"""),"2019/11/05 09:45:00")</f>
        <v>2019/11/05 09:45:00</v>
      </c>
      <c r="H568" s="4" t="str">
        <f>IFERROR(__xludf.DUMMYFUNCTION("""COMPUTED_VALUE"""),"aca07843-a28b-4f66-aa13-e16eb13ee5cf")</f>
        <v>aca07843-a28b-4f66-aa13-e16eb13ee5cf</v>
      </c>
      <c r="I568" s="4" t="str">
        <f>IFERROR(__xludf.DUMMYFUNCTION("""COMPUTED_VALUE"""),"aca07843-a28b-4f66-aa13-e16eb13ee5cf")</f>
        <v>aca07843-a28b-4f66-aa13-e16eb13ee5cf</v>
      </c>
    </row>
    <row r="569">
      <c r="A569" s="4" t="str">
        <f>IFERROR(__xludf.DUMMYFUNCTION("""COMPUTED_VALUE"""),"The user acquisition and engagement lifecycle of apps, hosted by Huawei")</f>
        <v>The user acquisition and engagement lifecycle of apps, hosted by Huawei</v>
      </c>
      <c r="B569" s="4" t="str">
        <f>IFERROR(__xludf.DUMMYFUNCTION("""COMPUTED_VALUE"""),"Huawei's official store, AppGallery, has been preloaded to all Huawei and Honor devices. It has already reached 390m+ monthly active users. How do we help our developers reach this market share and what we offer to support during the lifecycle of apps wil"&amp;"l be explained in this session.")</f>
        <v>Huawei's official store, AppGallery, has been preloaded to all Huawei and Honor devices. It has already reached 390m+ monthly active users. How do we help our developers reach this market share and what we offer to support during the lifecycle of apps will be explained in this session.</v>
      </c>
      <c r="C569" s="4" t="str">
        <f>IFERROR(__xludf.DUMMYFUNCTION("""COMPUTED_VALUE"""),"Workshop 1")</f>
        <v>Workshop 1</v>
      </c>
      <c r="D569" s="4" t="str">
        <f>IFERROR(__xludf.DUMMYFUNCTION("""COMPUTED_VALUE"""),"Ramiro Maria")</f>
        <v>Ramiro Maria</v>
      </c>
      <c r="E569" s="4" t="str">
        <f>IFERROR(__xludf.DUMMYFUNCTION("""COMPUTED_VALUE"""),"Ramiro Maria")</f>
        <v>Ramiro Maria</v>
      </c>
      <c r="F569" s="4" t="str">
        <f>IFERROR(__xludf.DUMMYFUNCTION("""COMPUTED_VALUE"""),"2019/11/05 15:45:00")</f>
        <v>2019/11/05 15:45:00</v>
      </c>
      <c r="G569" s="4" t="str">
        <f>IFERROR(__xludf.DUMMYFUNCTION("""COMPUTED_VALUE"""),"2019/11/05 16:15:00")</f>
        <v>2019/11/05 16:15:00</v>
      </c>
      <c r="H569" s="4" t="str">
        <f>IFERROR(__xludf.DUMMYFUNCTION("""COMPUTED_VALUE"""),"a6511a59-6444-43a2-887b-37d5e494d3fa")</f>
        <v>a6511a59-6444-43a2-887b-37d5e494d3fa</v>
      </c>
      <c r="I569" s="4" t="str">
        <f>IFERROR(__xludf.DUMMYFUNCTION("""COMPUTED_VALUE"""),"a6511a59-6444-43a2-887b-37d5e494d3fa")</f>
        <v>a6511a59-6444-43a2-887b-37d5e494d3fa</v>
      </c>
    </row>
    <row r="570">
      <c r="A570" s="4" t="str">
        <f>IFERROR(__xludf.DUMMYFUNCTION("""COMPUTED_VALUE"""),"Web Summit Closing Ceremony")</f>
        <v>Web Summit Closing Ceremony</v>
      </c>
      <c r="B570" s="4" t="str">
        <f>IFERROR(__xludf.DUMMYFUNCTION("""COMPUTED_VALUE"""),"The closing ceremony of Web Summit 2019")</f>
        <v>The closing ceremony of Web Summit 2019</v>
      </c>
      <c r="C570" s="4" t="str">
        <f>IFERROR(__xludf.DUMMYFUNCTION("""COMPUTED_VALUE"""),"Centre Stage")</f>
        <v>Centre Stage</v>
      </c>
      <c r="D570" s="4" t="str">
        <f>IFERROR(__xludf.DUMMYFUNCTION("""COMPUTED_VALUE"""),"Marcelo Rebelo de Sousa and Paddy Cosgrave")</f>
        <v>Marcelo Rebelo de Sousa and Paddy Cosgrave</v>
      </c>
      <c r="E570" s="4" t="str">
        <f>IFERROR(__xludf.DUMMYFUNCTION("""COMPUTED_VALUE"""),"Marcelo Rebelo de Sousa,Paddy Cosgrave")</f>
        <v>Marcelo Rebelo de Sousa,Paddy Cosgrave</v>
      </c>
      <c r="F570" s="4" t="str">
        <f>IFERROR(__xludf.DUMMYFUNCTION("""COMPUTED_VALUE"""),"2019/11/07 16:55:00")</f>
        <v>2019/11/07 16:55:00</v>
      </c>
      <c r="G570" s="4" t="str">
        <f>IFERROR(__xludf.DUMMYFUNCTION("""COMPUTED_VALUE"""),"2019/11/07 17:00:00")</f>
        <v>2019/11/07 17:00:00</v>
      </c>
      <c r="H570" s="4" t="str">
        <f>IFERROR(__xludf.DUMMYFUNCTION("""COMPUTED_VALUE"""),"aa094c33-196d-477b-a283-f05025de2dfb")</f>
        <v>aa094c33-196d-477b-a283-f05025de2dfb</v>
      </c>
      <c r="I570" s="4" t="str">
        <f>IFERROR(__xludf.DUMMYFUNCTION("""COMPUTED_VALUE"""),"aa094c33-196d-477b-a283-f05025de2dfb")</f>
        <v>aa094c33-196d-477b-a283-f05025de2dfb</v>
      </c>
    </row>
    <row r="571">
      <c r="A571" s="4" t="str">
        <f>IFERROR(__xludf.DUMMYFUNCTION("""COMPUTED_VALUE"""),"Startup Showcase")</f>
        <v>Startup Showcase</v>
      </c>
      <c r="B571" s="4" t="str">
        <f>IFERROR(__xludf.DUMMYFUNCTION("""COMPUTED_VALUE"""),"On this brand new stage, expect quickfire presentations where startups will showcase their solutions to the future's biggest challenges. This hour focuses on  AI and data, covering topics like analytics, big data, ML processing and AI, computer vision, as"&amp;" well as AI-based applications in other sectors.
")</f>
        <v>On this brand new stage, expect quickfire presentations where startups will showcase their solutions to the future's biggest challenges. This hour focuses on  AI and data, covering topics like analytics, big data, ML processing and AI, computer vision, as well as AI-based applications in other sectors.
</v>
      </c>
      <c r="C571" s="4" t="str">
        <f>IFERROR(__xludf.DUMMYFUNCTION("""COMPUTED_VALUE"""),"Startup Showcase 2")</f>
        <v>Startup Showcase 2</v>
      </c>
      <c r="D571" s="4" t="str">
        <f>IFERROR(__xludf.DUMMYFUNCTION("""COMPUTED_VALUE"""),"Longzhen Han, Viktoria Herukh, Lotta Lundin, Virginia Virino Jodar, Jon Adolfsson, Antonella Giuni, Raymond Jonkers, Thibaut Lucas, Marian Glaeser, Uli Erxleben, Anton van Daal, Willem Smith, Helena Martínez De Aspe, Mauro Viegas, Ronja Dornfeld, Anton Ch"&amp;"ristodoulou, Céline James, David Lahoz, Matthew Waite, Alessio Capitanelli, Stephen Mackintosh, Jurgis Bakanas, María Olarza Costa, Subbu Balakrishnan, Juan de Oliveira Rubinos, Yoshikatsu Martodihardjo, Teodora Suciu, Alex Zamotaiev, Mercedes García Mart"&amp;"ínez, Lal Chandran, Alexander Spark, Thomas Strottner, Erik Häggblom, Raymond Jonkers, Pierre-Nicolas Tiffreau, Leo Penning, Cem Dilmegani, Camilla Boyer, Timo Sepp 🇸🇪🇫🇮🇪🇪, Thomas Vanhove, Carola Motolese, Saulius Kaukenas, Guilherme Castela, Inês C"&amp;"osta, Florian Garibal, David Pedro, Alexandre Kitching, Simas Jokubauskas and Daphné De Troch")</f>
        <v>Longzhen Han, Viktoria Herukh, Lotta Lundin, Virginia Virino Jodar, Jon Adolfsson, Antonella Giuni, Raymond Jonkers, Thibaut Lucas, Marian Glaeser, Uli Erxleben, Anton van Daal, Willem Smith, Helena Martínez De Aspe, Mauro Viegas, Ronja Dornfeld, Anton Christodoulou, Céline James, David Lahoz, Matthew Waite, Alessio Capitanelli, Stephen Mackintosh, Jurgis Bakanas, María Olarza Costa, Subbu Balakrishnan, Juan de Oliveira Rubinos, Yoshikatsu Martodihardjo, Teodora Suciu, Alex Zamotaiev, Mercedes García Martínez, Lal Chandran, Alexander Spark, Thomas Strottner, Erik Häggblom, Raymond Jonkers, Pierre-Nicolas Tiffreau, Leo Penning, Cem Dilmegani, Camilla Boyer, Timo Sepp 🇸🇪🇫🇮🇪🇪, Thomas Vanhove, Carola Motolese, Saulius Kaukenas, Guilherme Castela, Inês Costa, Florian Garibal, David Pedro, Alexandre Kitching, Simas Jokubauskas and Daphné De Troch</v>
      </c>
      <c r="E571" s="4" t="str">
        <f>IFERROR(__xludf.DUMMYFUNCTION("""COMPUTED_VALUE"""),"Longzhen Han,Viktoria Herukh,Lotta Lundin,Virginia Virino Jodar,Jon Adolfsson,Antonella Giuni,Raymond Jonkers,Thibaut Lucas,Marian Glaeser,Uli Erxleben,Anton van Daal,Willem Smith,Helena Martínez De Aspe,Mauro Viegas,Ronja Dornfeld,Anton Christodoulou,Cél"&amp;"ine James,David Lahoz,Matthew Waite,Alessio Capitanelli,Stephen Mackintosh,Jurgis Bakanas,María Olarza Costa,Subbu Balakrishnan,Juan de Oliveira Rubinos,Yoshikatsu Martodihardjo,Teodora Suciu,Alex Zamotaiev,Mercedes García Martínez,Lal Chandran,Alexander "&amp;"Spark,Thomas Strottner,Erik Häggblom,Raymond Jonkers,Pierre-Nicolas Tiffreau,Leo Penning,Cem Dilmegani,Camilla Boyer,Timo Sepp 🇸🇪🇫🇮🇪🇪,Thomas Vanhove,Carola Motolese,Saulius Kaukenas,Guilherme Castela,Inês Costa,Florian Garibal,David Pedro,Alexandre "&amp;"Kitching,Simas Jokubauskas,Daphné De Troch")</f>
        <v>Longzhen Han,Viktoria Herukh,Lotta Lundin,Virginia Virino Jodar,Jon Adolfsson,Antonella Giuni,Raymond Jonkers,Thibaut Lucas,Marian Glaeser,Uli Erxleben,Anton van Daal,Willem Smith,Helena Martínez De Aspe,Mauro Viegas,Ronja Dornfeld,Anton Christodoulou,Céline James,David Lahoz,Matthew Waite,Alessio Capitanelli,Stephen Mackintosh,Jurgis Bakanas,María Olarza Costa,Subbu Balakrishnan,Juan de Oliveira Rubinos,Yoshikatsu Martodihardjo,Teodora Suciu,Alex Zamotaiev,Mercedes García Martínez,Lal Chandran,Alexander Spark,Thomas Strottner,Erik Häggblom,Raymond Jonkers,Pierre-Nicolas Tiffreau,Leo Penning,Cem Dilmegani,Camilla Boyer,Timo Sepp 🇸🇪🇫🇮🇪🇪,Thomas Vanhove,Carola Motolese,Saulius Kaukenas,Guilherme Castela,Inês Costa,Florian Garibal,David Pedro,Alexandre Kitching,Simas Jokubauskas,Daphné De Troch</v>
      </c>
      <c r="F571" s="4" t="str">
        <f>IFERROR(__xludf.DUMMYFUNCTION("""COMPUTED_VALUE"""),"2019/11/07 15:15:00")</f>
        <v>2019/11/07 15:15:00</v>
      </c>
      <c r="G571" s="4" t="str">
        <f>IFERROR(__xludf.DUMMYFUNCTION("""COMPUTED_VALUE"""),"2019/11/07 16:15:00")</f>
        <v>2019/11/07 16:15:00</v>
      </c>
      <c r="H571" s="4" t="str">
        <f>IFERROR(__xludf.DUMMYFUNCTION("""COMPUTED_VALUE"""),"c45d3389-d709-477e-9670-e733f6b68ee5")</f>
        <v>c45d3389-d709-477e-9670-e733f6b68ee5</v>
      </c>
      <c r="I571" s="4" t="str">
        <f>IFERROR(__xludf.DUMMYFUNCTION("""COMPUTED_VALUE"""),"c45d3389-d709-477e-9670-e733f6b68ee5")</f>
        <v>c45d3389-d709-477e-9670-e733f6b68ee5</v>
      </c>
    </row>
    <row r="572">
      <c r="A572" s="4" t="str">
        <f>IFERROR(__xludf.DUMMYFUNCTION("""COMPUTED_VALUE"""),"The mobile marketing trends you need to know about in 2020")</f>
        <v>The mobile marketing trends you need to know about in 2020</v>
      </c>
      <c r="B572" s="4" t="str">
        <f>IFERROR(__xludf.DUMMYFUNCTION("""COMPUTED_VALUE"""),"When it comes to mobile technology, you have to stay ahead of the curve. This talk explores the mobile marketing landscape and the key trends you need to know.")</f>
        <v>When it comes to mobile technology, you have to stay ahead of the curve. This talk explores the mobile marketing landscape and the key trends you need to know.</v>
      </c>
      <c r="C572" s="4" t="str">
        <f>IFERROR(__xludf.DUMMYFUNCTION("""COMPUTED_VALUE"""),"PandaConf")</f>
        <v>PandaConf</v>
      </c>
      <c r="D572" s="4" t="str">
        <f>IFERROR(__xludf.DUMMYFUNCTION("""COMPUTED_VALUE"""),"Mada Seghete")</f>
        <v>Mada Seghete</v>
      </c>
      <c r="E572" s="4" t="str">
        <f>IFERROR(__xludf.DUMMYFUNCTION("""COMPUTED_VALUE"""),"Mada Seghete")</f>
        <v>Mada Seghete</v>
      </c>
      <c r="F572" s="4" t="str">
        <f>IFERROR(__xludf.DUMMYFUNCTION("""COMPUTED_VALUE"""),"2019/11/07 13:50:00")</f>
        <v>2019/11/07 13:50:00</v>
      </c>
      <c r="G572" s="4" t="str">
        <f>IFERROR(__xludf.DUMMYFUNCTION("""COMPUTED_VALUE"""),"2019/11/07 14:10:00")</f>
        <v>2019/11/07 14:10:00</v>
      </c>
      <c r="H572" s="4" t="str">
        <f>IFERROR(__xludf.DUMMYFUNCTION("""COMPUTED_VALUE"""),"723e96c9-f196-4dde-abfb-632186b0f3cd")</f>
        <v>723e96c9-f196-4dde-abfb-632186b0f3cd</v>
      </c>
      <c r="I572" s="4" t="str">
        <f>IFERROR(__xludf.DUMMYFUNCTION("""COMPUTED_VALUE"""),"723e96c9-f196-4dde-abfb-632186b0f3cd")</f>
        <v>723e96c9-f196-4dde-abfb-632186b0f3cd</v>
      </c>
    </row>
    <row r="573">
      <c r="A573" s="4" t="str">
        <f>IFERROR(__xludf.DUMMYFUNCTION("""COMPUTED_VALUE"""),"Getting inside the brand marketing engine")</f>
        <v>Getting inside the brand marketing engine</v>
      </c>
      <c r="B573" s="4" t="str">
        <f>IFERROR(__xludf.DUMMYFUNCTION("""COMPUTED_VALUE"""),"Let's find out about the latest adtech and martech solutions that can help to build and strengthen real connections between brands and consumers.")</f>
        <v>Let's find out about the latest adtech and martech solutions that can help to build and strengthen real connections between brands and consumers.</v>
      </c>
      <c r="C573" s="4" t="str">
        <f>IFERROR(__xludf.DUMMYFUNCTION("""COMPUTED_VALUE"""),"PandaConf")</f>
        <v>PandaConf</v>
      </c>
      <c r="D573" s="4" t="str">
        <f>IFERROR(__xludf.DUMMYFUNCTION("""COMPUTED_VALUE"""),"Alan Boehme, Cynthia Johnson, Dominic Grounsell and Marty Swant")</f>
        <v>Alan Boehme, Cynthia Johnson, Dominic Grounsell and Marty Swant</v>
      </c>
      <c r="E573" s="4" t="str">
        <f>IFERROR(__xludf.DUMMYFUNCTION("""COMPUTED_VALUE"""),"Alan Boehme,Cynthia Johnson,Dominic Grounsell,Marty Swant")</f>
        <v>Alan Boehme,Cynthia Johnson,Dominic Grounsell,Marty Swant</v>
      </c>
      <c r="F573" s="4" t="str">
        <f>IFERROR(__xludf.DUMMYFUNCTION("""COMPUTED_VALUE"""),"2019/11/05 14:35:00")</f>
        <v>2019/11/05 14:35:00</v>
      </c>
      <c r="G573" s="4" t="str">
        <f>IFERROR(__xludf.DUMMYFUNCTION("""COMPUTED_VALUE"""),"2019/11/05 15:00:00")</f>
        <v>2019/11/05 15:00:00</v>
      </c>
      <c r="H573" s="4" t="str">
        <f>IFERROR(__xludf.DUMMYFUNCTION("""COMPUTED_VALUE"""),"1c578985-09b2-45c8-85ca-c88703258799")</f>
        <v>1c578985-09b2-45c8-85ca-c88703258799</v>
      </c>
      <c r="I573" s="4" t="str">
        <f>IFERROR(__xludf.DUMMYFUNCTION("""COMPUTED_VALUE"""),"1c578985-09b2-45c8-85ca-c88703258799")</f>
        <v>1c578985-09b2-45c8-85ca-c88703258799</v>
      </c>
    </row>
    <row r="574">
      <c r="A574" s="4" t="str">
        <f>IFERROR(__xludf.DUMMYFUNCTION("""COMPUTED_VALUE"""),"Patenting the future: The next big invention")</f>
        <v>Patenting the future: The next big invention</v>
      </c>
      <c r="B574" s="4" t="str">
        <f>IFERROR(__xludf.DUMMYFUNCTION("""COMPUTED_VALUE"""),"Intellectual property is a central part of the system that has allowed technology to advance. Without protection for our intellectual property it becomes significantly more difficult to securely pursue scientific advancement. This session brings together "&amp;"the President of the European Patent Office with two of the most prominent scientists of our time to discuss the future of the intellectual property system.")</f>
        <v>Intellectual property is a central part of the system that has allowed technology to advance. Without protection for our intellectual property it becomes significantly more difficult to securely pursue scientific advancement. This session brings together the President of the European Patent Office with two of the most prominent scientists of our time to discuss the future of the intellectual property system.</v>
      </c>
      <c r="C574" s="4" t="str">
        <f>IFERROR(__xludf.DUMMYFUNCTION("""COMPUTED_VALUE"""),"Future Societies")</f>
        <v>Future Societies</v>
      </c>
      <c r="D574" s="4" t="str">
        <f>IFERROR(__xludf.DUMMYFUNCTION("""COMPUTED_VALUE"""),"António Campinos, Kaigham Gabriel, Carmela Troncoso and Marcel Rosenbach")</f>
        <v>António Campinos, Kaigham Gabriel, Carmela Troncoso and Marcel Rosenbach</v>
      </c>
      <c r="E574" s="4" t="str">
        <f>IFERROR(__xludf.DUMMYFUNCTION("""COMPUTED_VALUE"""),"António Campinos,Kaigham Gabriel,Carmela Troncoso,Marcel Rosenbach")</f>
        <v>António Campinos,Kaigham Gabriel,Carmela Troncoso,Marcel Rosenbach</v>
      </c>
      <c r="F574" s="4" t="str">
        <f>IFERROR(__xludf.DUMMYFUNCTION("""COMPUTED_VALUE"""),"2019/11/06 15:35:00")</f>
        <v>2019/11/06 15:35:00</v>
      </c>
      <c r="G574" s="4" t="str">
        <f>IFERROR(__xludf.DUMMYFUNCTION("""COMPUTED_VALUE"""),"2019/11/06 15:55:00")</f>
        <v>2019/11/06 15:55:00</v>
      </c>
      <c r="H574" s="4" t="str">
        <f>IFERROR(__xludf.DUMMYFUNCTION("""COMPUTED_VALUE"""),"85facd9a-36f2-4b32-99d3-c78ef52d6680")</f>
        <v>85facd9a-36f2-4b32-99d3-c78ef52d6680</v>
      </c>
      <c r="I574" s="4" t="str">
        <f>IFERROR(__xludf.DUMMYFUNCTION("""COMPUTED_VALUE"""),"85facd9a-36f2-4b32-99d3-c78ef52d6680")</f>
        <v>85facd9a-36f2-4b32-99d3-c78ef52d6680</v>
      </c>
    </row>
    <row r="575">
      <c r="A575" s="4" t="str">
        <f>IFERROR(__xludf.DUMMYFUNCTION("""COMPUTED_VALUE"""),"Machine learning will make marketing more human")</f>
        <v>Machine learning will make marketing more human</v>
      </c>
      <c r="B575" s="4" t="str">
        <f>IFERROR(__xludf.DUMMYFUNCTION("""COMPUTED_VALUE"""),"AI-enabled everything is rapidly becoming the new normal. How can marketers use this explosion in machine learning to drive growth in their businesses?")</f>
        <v>AI-enabled everything is rapidly becoming the new normal. How can marketers use this explosion in machine learning to drive growth in their businesses?</v>
      </c>
      <c r="C575" s="4" t="str">
        <f>IFERROR(__xludf.DUMMYFUNCTION("""COMPUTED_VALUE"""),"PandaConf")</f>
        <v>PandaConf</v>
      </c>
      <c r="D575" s="4" t="str">
        <f>IFERROR(__xludf.DUMMYFUNCTION("""COMPUTED_VALUE"""),"Kristin Lemkau")</f>
        <v>Kristin Lemkau</v>
      </c>
      <c r="E575" s="4" t="str">
        <f>IFERROR(__xludf.DUMMYFUNCTION("""COMPUTED_VALUE"""),"Kristin Lemkau")</f>
        <v>Kristin Lemkau</v>
      </c>
      <c r="F575" s="4" t="str">
        <f>IFERROR(__xludf.DUMMYFUNCTION("""COMPUTED_VALUE"""),"2019/11/05 12:35:00")</f>
        <v>2019/11/05 12:35:00</v>
      </c>
      <c r="G575" s="4" t="str">
        <f>IFERROR(__xludf.DUMMYFUNCTION("""COMPUTED_VALUE"""),"2019/11/05 12:55:00")</f>
        <v>2019/11/05 12:55:00</v>
      </c>
      <c r="H575" s="4" t="str">
        <f>IFERROR(__xludf.DUMMYFUNCTION("""COMPUTED_VALUE"""),"86714f34-c053-4ef6-bbb3-fa559a80d1ca")</f>
        <v>86714f34-c053-4ef6-bbb3-fa559a80d1ca</v>
      </c>
      <c r="I575" s="4" t="str">
        <f>IFERROR(__xludf.DUMMYFUNCTION("""COMPUTED_VALUE"""),"86714f34-c053-4ef6-bbb3-fa559a80d1ca")</f>
        <v>86714f34-c053-4ef6-bbb3-fa559a80d1ca</v>
      </c>
    </row>
    <row r="576">
      <c r="A576" s="4" t="str">
        <f>IFERROR(__xludf.DUMMYFUNCTION("""COMPUTED_VALUE"""),"Why the future belongs only to the imaginative")</f>
        <v>Why the future belongs only to the imaginative</v>
      </c>
      <c r="B576" s="4" t="str">
        <f>IFERROR(__xludf.DUMMYFUNCTION("""COMPUTED_VALUE"""),"No other conscious creature can think about the future in the ways that humans can. That gives us an extraordinary gift: The ability to imagine. Brian will talk about why brands are no longer in competition with each other, but with the future—and why ima"&amp;"gination will be the lifeblood of a better tomorrow. He will review the process that made them the first American Design Agency of the Year, awarded by Ad Age.")</f>
        <v>No other conscious creature can think about the future in the ways that humans can. That gives us an extraordinary gift: The ability to imagine. Brian will talk about why brands are no longer in competition with each other, but with the future—and why imagination will be the lifeblood of a better tomorrow. He will review the process that made them the first American Design Agency of the Year, awarded by Ad Age.</v>
      </c>
      <c r="C576" s="4" t="str">
        <f>IFERROR(__xludf.DUMMYFUNCTION("""COMPUTED_VALUE"""),"creatiff")</f>
        <v>creatiff</v>
      </c>
      <c r="D576" s="4" t="str">
        <f>IFERROR(__xludf.DUMMYFUNCTION("""COMPUTED_VALUE"""),"Brian Collins")</f>
        <v>Brian Collins</v>
      </c>
      <c r="E576" s="4" t="str">
        <f>IFERROR(__xludf.DUMMYFUNCTION("""COMPUTED_VALUE"""),"Brian Collins")</f>
        <v>Brian Collins</v>
      </c>
      <c r="F576" s="4" t="str">
        <f>IFERROR(__xludf.DUMMYFUNCTION("""COMPUTED_VALUE"""),"2019/11/05 16:05:00")</f>
        <v>2019/11/05 16:05:00</v>
      </c>
      <c r="G576" s="4" t="str">
        <f>IFERROR(__xludf.DUMMYFUNCTION("""COMPUTED_VALUE"""),"2019/11/05 16:30:00")</f>
        <v>2019/11/05 16:30:00</v>
      </c>
      <c r="H576" s="4" t="str">
        <f>IFERROR(__xludf.DUMMYFUNCTION("""COMPUTED_VALUE"""),"c1eaafe1-5956-448c-8cca-bb3dcaeb4f79")</f>
        <v>c1eaafe1-5956-448c-8cca-bb3dcaeb4f79</v>
      </c>
      <c r="I576" s="4" t="str">
        <f>IFERROR(__xludf.DUMMYFUNCTION("""COMPUTED_VALUE"""),"c1eaafe1-5956-448c-8cca-bb3dcaeb4f79")</f>
        <v>c1eaafe1-5956-448c-8cca-bb3dcaeb4f79</v>
      </c>
    </row>
    <row r="577">
      <c r="A577" s="4" t="str">
        <f>IFERROR(__xludf.DUMMYFUNCTION("""COMPUTED_VALUE"""),"The power of word of mouth is the power of your brand")</f>
        <v>The power of word of mouth is the power of your brand</v>
      </c>
      <c r="B577" s="4" t="str">
        <f>IFERROR(__xludf.DUMMYFUNCTION("""COMPUTED_VALUE"""),"A brand isn't what you say it is – it's what they say it is. co-founder and Chief Design Officer of Dave.com, John will outline how when building a new company, one of the most important metrics for runaway success is how easy it is for your customers to "&amp;"tell their family and friends about it. He'll outline how you can build and define a brand that is so simple, word of mouth becomes your greatest growth channel.")</f>
        <v>A brand isn't what you say it is – it's what they say it is. co-founder and Chief Design Officer of Dave.com, John will outline how when building a new company, one of the most important metrics for runaway success is how easy it is for your customers to tell their family and friends about it. He'll outline how you can build and define a brand that is so simple, word of mouth becomes your greatest growth channel.</v>
      </c>
      <c r="C577" s="4" t="str">
        <f>IFERROR(__xludf.DUMMYFUNCTION("""COMPUTED_VALUE"""),"Growth Summit")</f>
        <v>Growth Summit</v>
      </c>
      <c r="D577" s="4" t="str">
        <f>IFERROR(__xludf.DUMMYFUNCTION("""COMPUTED_VALUE"""),"John Wolanin")</f>
        <v>John Wolanin</v>
      </c>
      <c r="E577" s="4" t="str">
        <f>IFERROR(__xludf.DUMMYFUNCTION("""COMPUTED_VALUE"""),"John Wolanin")</f>
        <v>John Wolanin</v>
      </c>
      <c r="F577" s="4" t="str">
        <f>IFERROR(__xludf.DUMMYFUNCTION("""COMPUTED_VALUE"""),"2019/11/06 16:21:00")</f>
        <v>2019/11/06 16:21:00</v>
      </c>
      <c r="G577" s="4" t="str">
        <f>IFERROR(__xludf.DUMMYFUNCTION("""COMPUTED_VALUE"""),"2019/11/06 16:32:00")</f>
        <v>2019/11/06 16:32:00</v>
      </c>
      <c r="H577" s="4" t="str">
        <f>IFERROR(__xludf.DUMMYFUNCTION("""COMPUTED_VALUE"""),"70834900-2bad-4a70-ae6c-a864ab6339f1")</f>
        <v>70834900-2bad-4a70-ae6c-a864ab6339f1</v>
      </c>
      <c r="I577" s="4" t="str">
        <f>IFERROR(__xludf.DUMMYFUNCTION("""COMPUTED_VALUE"""),"70834900-2bad-4a70-ae6c-a864ab6339f1")</f>
        <v>70834900-2bad-4a70-ae6c-a864ab6339f1</v>
      </c>
    </row>
    <row r="578">
      <c r="A578" s="4" t="str">
        <f>IFERROR(__xludf.DUMMYFUNCTION("""COMPUTED_VALUE"""),"Enterprise SaaS 2.0")</f>
        <v>Enterprise SaaS 2.0</v>
      </c>
      <c r="B578" s="4" t="str">
        <f>IFERROR(__xludf.DUMMYFUNCTION("""COMPUTED_VALUE"""),"Drift CEO David Cancel breaks down the shift from enterprise SaaS 1.0 when companies were in control and had all the power, two the rise of Enterprise SaaS 2.0 where customers are in control and Customer Experience is the new Marketing. He'll use real, cu"&amp;"rrent examples that discuss the power of AI and automation from companies who are leading the way. ")</f>
        <v>Drift CEO David Cancel breaks down the shift from enterprise SaaS 1.0 when companies were in control and had all the power, two the rise of Enterprise SaaS 2.0 where customers are in control and Customer Experience is the new Marketing. He'll use real, current examples that discuss the power of AI and automation from companies who are leading the way. </v>
      </c>
      <c r="C578" s="8" t="str">
        <f>IFERROR(__xludf.DUMMYFUNCTION("""COMPUTED_VALUE"""),"binate.io")</f>
        <v>binate.io</v>
      </c>
      <c r="D578" s="4" t="str">
        <f>IFERROR(__xludf.DUMMYFUNCTION("""COMPUTED_VALUE"""),"David Cancel")</f>
        <v>David Cancel</v>
      </c>
      <c r="E578" s="4" t="str">
        <f>IFERROR(__xludf.DUMMYFUNCTION("""COMPUTED_VALUE"""),"David Cancel")</f>
        <v>David Cancel</v>
      </c>
      <c r="F578" s="4" t="str">
        <f>IFERROR(__xludf.DUMMYFUNCTION("""COMPUTED_VALUE"""),"2019/11/06 15:05:00")</f>
        <v>2019/11/06 15:05:00</v>
      </c>
      <c r="G578" s="4" t="str">
        <f>IFERROR(__xludf.DUMMYFUNCTION("""COMPUTED_VALUE"""),"2019/11/06 15:25:00")</f>
        <v>2019/11/06 15:25:00</v>
      </c>
      <c r="H578" s="4" t="str">
        <f>IFERROR(__xludf.DUMMYFUNCTION("""COMPUTED_VALUE"""),"6171d51d-3459-461e-a7fa-d445d25521d9")</f>
        <v>6171d51d-3459-461e-a7fa-d445d25521d9</v>
      </c>
      <c r="I578" s="4" t="str">
        <f>IFERROR(__xludf.DUMMYFUNCTION("""COMPUTED_VALUE"""),"6171d51d-3459-461e-a7fa-d445d25521d9")</f>
        <v>6171d51d-3459-461e-a7fa-d445d25521d9</v>
      </c>
    </row>
    <row r="579">
      <c r="A579" s="4" t="str">
        <f>IFERROR(__xludf.DUMMYFUNCTION("""COMPUTED_VALUE"""),"Opening Remarks")</f>
        <v>Opening Remarks</v>
      </c>
      <c r="B579" s="4" t="str">
        <f>IFERROR(__xludf.DUMMYFUNCTION("""COMPUTED_VALUE"""),"")</f>
        <v/>
      </c>
      <c r="C579" s="4" t="str">
        <f>IFERROR(__xludf.DUMMYFUNCTION("""COMPUTED_VALUE"""),"ContentMakers")</f>
        <v>ContentMakers</v>
      </c>
      <c r="D579" s="4" t="str">
        <f>IFERROR(__xludf.DUMMYFUNCTION("""COMPUTED_VALUE"""),"Cynthia Johnson")</f>
        <v>Cynthia Johnson</v>
      </c>
      <c r="E579" s="4" t="str">
        <f>IFERROR(__xludf.DUMMYFUNCTION("""COMPUTED_VALUE"""),"Cynthia Johnson")</f>
        <v>Cynthia Johnson</v>
      </c>
      <c r="F579" s="4" t="str">
        <f>IFERROR(__xludf.DUMMYFUNCTION("""COMPUTED_VALUE"""),"2019/11/07 14:10:00")</f>
        <v>2019/11/07 14:10:00</v>
      </c>
      <c r="G579" s="4" t="str">
        <f>IFERROR(__xludf.DUMMYFUNCTION("""COMPUTED_VALUE"""),"2019/11/07 14:25:00")</f>
        <v>2019/11/07 14:25:00</v>
      </c>
      <c r="H579" s="4" t="str">
        <f>IFERROR(__xludf.DUMMYFUNCTION("""COMPUTED_VALUE"""),"da34fa6d-3af0-4163-9580-46a1290a9642")</f>
        <v>da34fa6d-3af0-4163-9580-46a1290a9642</v>
      </c>
      <c r="I579" s="4" t="str">
        <f>IFERROR(__xludf.DUMMYFUNCTION("""COMPUTED_VALUE"""),"da34fa6d-3af0-4163-9580-46a1290a9642")</f>
        <v>da34fa6d-3af0-4163-9580-46a1290a9642</v>
      </c>
    </row>
    <row r="580">
      <c r="A580" s="4" t="str">
        <f>IFERROR(__xludf.DUMMYFUNCTION("""COMPUTED_VALUE"""),"Grow your startup with the best of Google")</f>
        <v>Grow your startup with the best of Google</v>
      </c>
      <c r="B580" s="4" t="str">
        <f>IFERROR(__xludf.DUMMYFUNCTION("""COMPUTED_VALUE"""),"From concept to startup —  no matter where your startup is, Google for Startups can help move it forward.  Come by the Google booth for daily Lightning Talks from Google Cloud specialists and founders from the Google for Startups Residency Program. Get up"&amp;" and running quickly and easily with one-on-one coaching, check out some of Google’s latest product demos, and stop by every day at 1pm for a bit of lunchtime yoga. ")</f>
        <v>From concept to startup —  no matter where your startup is, Google for Startups can help move it forward.  Come by the Google booth for daily Lightning Talks from Google Cloud specialists and founders from the Google for Startups Residency Program. Get up and running quickly and easily with one-on-one coaching, check out some of Google’s latest product demos, and stop by every day at 1pm for a bit of lunchtime yoga. </v>
      </c>
      <c r="C580" s="4" t="str">
        <f>IFERROR(__xludf.DUMMYFUNCTION("""COMPUTED_VALUE"""),"Google, E110, FIL 1")</f>
        <v>Google, E110, FIL 1</v>
      </c>
      <c r="D580" s="4" t="str">
        <f>IFERROR(__xludf.DUMMYFUNCTION("""COMPUTED_VALUE"""),"")</f>
        <v/>
      </c>
      <c r="E580" s="4" t="str">
        <f>IFERROR(__xludf.DUMMYFUNCTION("""COMPUTED_VALUE"""),"")</f>
        <v/>
      </c>
      <c r="F580" s="4" t="str">
        <f>IFERROR(__xludf.DUMMYFUNCTION("""COMPUTED_VALUE"""),"2019/11/05 10:00:00")</f>
        <v>2019/11/05 10:00:00</v>
      </c>
      <c r="G580" s="4" t="str">
        <f>IFERROR(__xludf.DUMMYFUNCTION("""COMPUTED_VALUE"""),"2019/11/05 17:30:00")</f>
        <v>2019/11/05 17:30:00</v>
      </c>
      <c r="H580" s="4" t="str">
        <f>IFERROR(__xludf.DUMMYFUNCTION("""COMPUTED_VALUE"""),"4e28a15f-8509-4ab1-a668-cb8d47e380fe")</f>
        <v>4e28a15f-8509-4ab1-a668-cb8d47e380fe</v>
      </c>
      <c r="I580" s="4" t="str">
        <f>IFERROR(__xludf.DUMMYFUNCTION("""COMPUTED_VALUE"""),"4e28a15f-8509-4ab1-a668-cb8d47e380fe")</f>
        <v>4e28a15f-8509-4ab1-a668-cb8d47e380fe</v>
      </c>
    </row>
    <row r="581">
      <c r="A581" s="4" t="str">
        <f>IFERROR(__xludf.DUMMYFUNCTION("""COMPUTED_VALUE"""),"How startups can collaborate with the big players")</f>
        <v>How startups can collaborate with the big players</v>
      </c>
      <c r="B581" s="4" t="str">
        <f>IFERROR(__xludf.DUMMYFUNCTION("""COMPUTED_VALUE"""),"Old school sportscars meet startups- what's not to love? We're here to engineer the car of the future. ")</f>
        <v>Old school sportscars meet startups- what's not to love? We're here to engineer the car of the future. </v>
      </c>
      <c r="C581" s="4" t="str">
        <f>IFERROR(__xludf.DUMMYFUNCTION("""COMPUTED_VALUE"""),"Auto/Tech &amp; TalkRobot")</f>
        <v>Auto/Tech &amp; TalkRobot</v>
      </c>
      <c r="D581" s="4" t="str">
        <f>IFERROR(__xludf.DUMMYFUNCTION("""COMPUTED_VALUE"""),"Christian Knörle, Jörg Rheinboldt and Tim Stevens")</f>
        <v>Christian Knörle, Jörg Rheinboldt and Tim Stevens</v>
      </c>
      <c r="E581" s="4" t="str">
        <f>IFERROR(__xludf.DUMMYFUNCTION("""COMPUTED_VALUE"""),"Christian Knörle,Jörg Rheinboldt,Tim Stevens")</f>
        <v>Christian Knörle,Jörg Rheinboldt,Tim Stevens</v>
      </c>
      <c r="F581" s="4" t="str">
        <f>IFERROR(__xludf.DUMMYFUNCTION("""COMPUTED_VALUE"""),"2019/11/06 11:15:00")</f>
        <v>2019/11/06 11:15:00</v>
      </c>
      <c r="G581" s="4" t="str">
        <f>IFERROR(__xludf.DUMMYFUNCTION("""COMPUTED_VALUE"""),"2019/11/06 11:35:00")</f>
        <v>2019/11/06 11:35:00</v>
      </c>
      <c r="H581" s="4" t="str">
        <f>IFERROR(__xludf.DUMMYFUNCTION("""COMPUTED_VALUE"""),"75d20622-3324-4d75-a824-e9e51d547416")</f>
        <v>75d20622-3324-4d75-a824-e9e51d547416</v>
      </c>
      <c r="I581" s="4" t="str">
        <f>IFERROR(__xludf.DUMMYFUNCTION("""COMPUTED_VALUE"""),"75d20622-3324-4d75-a824-e9e51d547416")</f>
        <v>75d20622-3324-4d75-a824-e9e51d547416</v>
      </c>
    </row>
    <row r="582">
      <c r="A582" s="4" t="str">
        <f>IFERROR(__xludf.DUMMYFUNCTION("""COMPUTED_VALUE"""),"Freight's new autonomous journey")</f>
        <v>Freight's new autonomous journey</v>
      </c>
      <c r="B582" s="4" t="str">
        <f>IFERROR(__xludf.DUMMYFUNCTION("""COMPUTED_VALUE"""),"Are self-driving trucks on their way? In this keynote, Xiaodi Hou is going to show us what the future of large scale logistics looks like.")</f>
        <v>Are self-driving trucks on their way? In this keynote, Xiaodi Hou is going to show us what the future of large scale logistics looks like.</v>
      </c>
      <c r="C582" s="4" t="str">
        <f>IFERROR(__xludf.DUMMYFUNCTION("""COMPUTED_VALUE"""),"Auto/Tech &amp; TalkRobot")</f>
        <v>Auto/Tech &amp; TalkRobot</v>
      </c>
      <c r="D582" s="4" t="str">
        <f>IFERROR(__xludf.DUMMYFUNCTION("""COMPUTED_VALUE"""),"Xiaodi Hou")</f>
        <v>Xiaodi Hou</v>
      </c>
      <c r="E582" s="4" t="str">
        <f>IFERROR(__xludf.DUMMYFUNCTION("""COMPUTED_VALUE"""),"Xiaodi Hou")</f>
        <v>Xiaodi Hou</v>
      </c>
      <c r="F582" s="4" t="str">
        <f>IFERROR(__xludf.DUMMYFUNCTION("""COMPUTED_VALUE"""),"2019/11/06 12:15:00")</f>
        <v>2019/11/06 12:15:00</v>
      </c>
      <c r="G582" s="4" t="str">
        <f>IFERROR(__xludf.DUMMYFUNCTION("""COMPUTED_VALUE"""),"2019/11/06 12:35:00")</f>
        <v>2019/11/06 12:35:00</v>
      </c>
      <c r="H582" s="4" t="str">
        <f>IFERROR(__xludf.DUMMYFUNCTION("""COMPUTED_VALUE"""),"7517f303-8897-4621-90d5-bff273efa63e")</f>
        <v>7517f303-8897-4621-90d5-bff273efa63e</v>
      </c>
      <c r="I582" s="4" t="str">
        <f>IFERROR(__xludf.DUMMYFUNCTION("""COMPUTED_VALUE"""),"7517f303-8897-4621-90d5-bff273efa63e")</f>
        <v>7517f303-8897-4621-90d5-bff273efa63e</v>
      </c>
    </row>
    <row r="583">
      <c r="A583" s="4" t="str">
        <f>IFERROR(__xludf.DUMMYFUNCTION("""COMPUTED_VALUE"""),"Finding a new way to get paid ")</f>
        <v>Finding a new way to get paid </v>
      </c>
      <c r="B583" s="4" t="str">
        <f>IFERROR(__xludf.DUMMYFUNCTION("""COMPUTED_VALUE"""),"The subscription economy is thriving and in today's world, doing business has become borderless. More companies than ever are expanding internationally, but payments haven’t kept up. Luckily, GoCardless and TransferWise are committed to changing that. Be "&amp;"the first to find out how.")</f>
        <v>The subscription economy is thriving and in today's world, doing business has become borderless. More companies than ever are expanding internationally, but payments haven’t kept up. Luckily, GoCardless and TransferWise are committed to changing that. Be the first to find out how.</v>
      </c>
      <c r="C583" s="4" t="str">
        <f>IFERROR(__xludf.DUMMYFUNCTION("""COMPUTED_VALUE"""),"MoneyConf")</f>
        <v>MoneyConf</v>
      </c>
      <c r="D583" s="4" t="str">
        <f>IFERROR(__xludf.DUMMYFUNCTION("""COMPUTED_VALUE"""),"Taavet Hinrikus, Hiroki Takeuchi and Peter Thal Larsen")</f>
        <v>Taavet Hinrikus, Hiroki Takeuchi and Peter Thal Larsen</v>
      </c>
      <c r="E583" s="4" t="str">
        <f>IFERROR(__xludf.DUMMYFUNCTION("""COMPUTED_VALUE"""),"Taavet Hinrikus,Hiroki Takeuchi,Peter Thal Larsen")</f>
        <v>Taavet Hinrikus,Hiroki Takeuchi,Peter Thal Larsen</v>
      </c>
      <c r="F583" s="4" t="str">
        <f>IFERROR(__xludf.DUMMYFUNCTION("""COMPUTED_VALUE"""),"2019/11/06 11:25:00")</f>
        <v>2019/11/06 11:25:00</v>
      </c>
      <c r="G583" s="4" t="str">
        <f>IFERROR(__xludf.DUMMYFUNCTION("""COMPUTED_VALUE"""),"2019/11/06 11:55:00")</f>
        <v>2019/11/06 11:55:00</v>
      </c>
      <c r="H583" s="4" t="str">
        <f>IFERROR(__xludf.DUMMYFUNCTION("""COMPUTED_VALUE"""),"91d23625-a487-48ff-b28b-414b5a3e4271")</f>
        <v>91d23625-a487-48ff-b28b-414b5a3e4271</v>
      </c>
      <c r="I583" s="4" t="str">
        <f>IFERROR(__xludf.DUMMYFUNCTION("""COMPUTED_VALUE"""),"91d23625-a487-48ff-b28b-414b5a3e4271")</f>
        <v>91d23625-a487-48ff-b28b-414b5a3e4271</v>
      </c>
    </row>
    <row r="584">
      <c r="A584" s="4" t="str">
        <f>IFERROR(__xludf.DUMMYFUNCTION("""COMPUTED_VALUE"""),"Lunch break")</f>
        <v>Lunch break</v>
      </c>
      <c r="B584" s="4" t="str">
        <f>IFERROR(__xludf.DUMMYFUNCTION("""COMPUTED_VALUE"""),"")</f>
        <v/>
      </c>
      <c r="C584" s="4" t="str">
        <f>IFERROR(__xludf.DUMMYFUNCTION("""COMPUTED_VALUE"""),"MoneyConf")</f>
        <v>MoneyConf</v>
      </c>
      <c r="D584" s="4" t="str">
        <f>IFERROR(__xludf.DUMMYFUNCTION("""COMPUTED_VALUE"""),"")</f>
        <v/>
      </c>
      <c r="E584" s="4" t="str">
        <f>IFERROR(__xludf.DUMMYFUNCTION("""COMPUTED_VALUE"""),"")</f>
        <v/>
      </c>
      <c r="F584" s="4" t="str">
        <f>IFERROR(__xludf.DUMMYFUNCTION("""COMPUTED_VALUE"""),"2019/11/07 13:20:00")</f>
        <v>2019/11/07 13:20:00</v>
      </c>
      <c r="G584" s="4" t="str">
        <f>IFERROR(__xludf.DUMMYFUNCTION("""COMPUTED_VALUE"""),"2019/11/07 13:50:00")</f>
        <v>2019/11/07 13:50:00</v>
      </c>
      <c r="H584" s="4" t="str">
        <f>IFERROR(__xludf.DUMMYFUNCTION("""COMPUTED_VALUE"""),"8b78f8a0-8152-45bd-b87f-f6ca7f17fea0")</f>
        <v>8b78f8a0-8152-45bd-b87f-f6ca7f17fea0</v>
      </c>
      <c r="I584" s="4" t="str">
        <f>IFERROR(__xludf.DUMMYFUNCTION("""COMPUTED_VALUE"""),"8b78f8a0-8152-45bd-b87f-f6ca7f17fea0")</f>
        <v>8b78f8a0-8152-45bd-b87f-f6ca7f17fea0</v>
      </c>
    </row>
    <row r="585">
      <c r="A585" s="4" t="str">
        <f>IFERROR(__xludf.DUMMYFUNCTION("""COMPUTED_VALUE"""),"Cashing in on the news")</f>
        <v>Cashing in on the news</v>
      </c>
      <c r="B585" s="4" t="str">
        <f>IFERROR(__xludf.DUMMYFUNCTION("""COMPUTED_VALUE"""),"Are international news channels making money? In this talk we ask if there’s a business model for international news channels today; where are the growth areas for commercial outlets; and how can they level the playing field between them and state funded "&amp;"broadcasters. Hear Euronews CEO Michael Peters discuss the challenges and opportunities commercial news outlets face in 2019.")</f>
        <v>Are international news channels making money? In this talk we ask if there’s a business model for international news channels today; where are the growth areas for commercial outlets; and how can they level the playing field between them and state funded broadcasters. Hear Euronews CEO Michael Peters discuss the challenges and opportunities commercial news outlets face in 2019.</v>
      </c>
      <c r="C585" s="4" t="str">
        <f>IFERROR(__xludf.DUMMYFUNCTION("""COMPUTED_VALUE"""),"ContentMakers")</f>
        <v>ContentMakers</v>
      </c>
      <c r="D585" s="4" t="str">
        <f>IFERROR(__xludf.DUMMYFUNCTION("""COMPUTED_VALUE"""),"Michael Peters and Rebecca Stewart")</f>
        <v>Michael Peters and Rebecca Stewart</v>
      </c>
      <c r="E585" s="4" t="str">
        <f>IFERROR(__xludf.DUMMYFUNCTION("""COMPUTED_VALUE"""),"Michael Peters,Rebecca Stewart")</f>
        <v>Michael Peters,Rebecca Stewart</v>
      </c>
      <c r="F585" s="4" t="str">
        <f>IFERROR(__xludf.DUMMYFUNCTION("""COMPUTED_VALUE"""),"2019/11/07 11:55:00")</f>
        <v>2019/11/07 11:55:00</v>
      </c>
      <c r="G585" s="4" t="str">
        <f>IFERROR(__xludf.DUMMYFUNCTION("""COMPUTED_VALUE"""),"2019/11/07 12:15:00")</f>
        <v>2019/11/07 12:15:00</v>
      </c>
      <c r="H585" s="4" t="str">
        <f>IFERROR(__xludf.DUMMYFUNCTION("""COMPUTED_VALUE"""),"8b40b355-e9ec-4f8a-b2f9-e29349aff7e9")</f>
        <v>8b40b355-e9ec-4f8a-b2f9-e29349aff7e9</v>
      </c>
      <c r="I585" s="4" t="str">
        <f>IFERROR(__xludf.DUMMYFUNCTION("""COMPUTED_VALUE"""),"8b40b355-e9ec-4f8a-b2f9-e29349aff7e9")</f>
        <v>8b40b355-e9ec-4f8a-b2f9-e29349aff7e9</v>
      </c>
    </row>
    <row r="586">
      <c r="A586" s="4" t="str">
        <f>IFERROR(__xludf.DUMMYFUNCTION("""COMPUTED_VALUE"""),"The EU after Brexit")</f>
        <v>The EU after Brexit</v>
      </c>
      <c r="B586" s="4" t="str">
        <f>IFERROR(__xludf.DUMMYFUNCTION("""COMPUTED_VALUE"""),"The man currently at the heart of the Brexit negotiations gives us an in-depth look at what lies in store for Europe after the October 31st deadline. (Attendance dependent on ongoing negotiations)")</f>
        <v>The man currently at the heart of the Brexit negotiations gives us an in-depth look at what lies in store for Europe after the October 31st deadline. (Attendance dependent on ongoing negotiations)</v>
      </c>
      <c r="C586" s="4" t="str">
        <f>IFERROR(__xludf.DUMMYFUNCTION("""COMPUTED_VALUE"""),"Centre Stage")</f>
        <v>Centre Stage</v>
      </c>
      <c r="D586" s="4" t="str">
        <f>IFERROR(__xludf.DUMMYFUNCTION("""COMPUTED_VALUE"""),"Michel Barnier")</f>
        <v>Michel Barnier</v>
      </c>
      <c r="E586" s="4" t="str">
        <f>IFERROR(__xludf.DUMMYFUNCTION("""COMPUTED_VALUE"""),"Michel Barnier")</f>
        <v>Michel Barnier</v>
      </c>
      <c r="F586" s="4" t="str">
        <f>IFERROR(__xludf.DUMMYFUNCTION("""COMPUTED_VALUE"""),"2019/11/05 11:30:00")</f>
        <v>2019/11/05 11:30:00</v>
      </c>
      <c r="G586" s="4" t="str">
        <f>IFERROR(__xludf.DUMMYFUNCTION("""COMPUTED_VALUE"""),"2019/11/05 11:55:00")</f>
        <v>2019/11/05 11:55:00</v>
      </c>
      <c r="H586" s="4" t="str">
        <f>IFERROR(__xludf.DUMMYFUNCTION("""COMPUTED_VALUE"""),"713e026f-aaed-45c7-89ed-303e1d902d74")</f>
        <v>713e026f-aaed-45c7-89ed-303e1d902d74</v>
      </c>
      <c r="I586" s="4" t="str">
        <f>IFERROR(__xludf.DUMMYFUNCTION("""COMPUTED_VALUE"""),"713e026f-aaed-45c7-89ed-303e1d902d74")</f>
        <v>713e026f-aaed-45c7-89ed-303e1d902d74</v>
      </c>
    </row>
    <row r="587">
      <c r="A587" s="4" t="str">
        <f>IFERROR(__xludf.DUMMYFUNCTION("""COMPUTED_VALUE"""),"How to create awe")</f>
        <v>How to create awe</v>
      </c>
      <c r="B587" s="4" t="str">
        <f>IFERROR(__xludf.DUMMYFUNCTION("""COMPUTED_VALUE"""),"This speaker co-founded a company that has created many worlds and fantasies that everyone here has experienced and loved. From transforming Mark Ruffalo in Hulk, to re-imagining Disney’s classic The Jungle Book, they leverage the most cutting edge and so"&amp;"phisticated technology to help the best storytellers in the world bring their visions to life. Please welcome to the stage the cofounder of BAFTA and Academy Award winning studio Framestore, Mike McGee.")</f>
        <v>This speaker co-founded a company that has created many worlds and fantasies that everyone here has experienced and loved. From transforming Mark Ruffalo in Hulk, to re-imagining Disney’s classic The Jungle Book, they leverage the most cutting edge and sophisticated technology to help the best storytellers in the world bring their visions to life. Please welcome to the stage the cofounder of BAFTA and Academy Award winning studio Framestore, Mike McGee.</v>
      </c>
      <c r="C587" s="4" t="str">
        <f>IFERROR(__xludf.DUMMYFUNCTION("""COMPUTED_VALUE"""),"Centre Stage")</f>
        <v>Centre Stage</v>
      </c>
      <c r="D587" s="4" t="str">
        <f>IFERROR(__xludf.DUMMYFUNCTION("""COMPUTED_VALUE"""),"Mike McGee")</f>
        <v>Mike McGee</v>
      </c>
      <c r="E587" s="4" t="str">
        <f>IFERROR(__xludf.DUMMYFUNCTION("""COMPUTED_VALUE"""),"Mike McGee")</f>
        <v>Mike McGee</v>
      </c>
      <c r="F587" s="4" t="str">
        <f>IFERROR(__xludf.DUMMYFUNCTION("""COMPUTED_VALUE"""),"2019/11/06 11:45:00")</f>
        <v>2019/11/06 11:45:00</v>
      </c>
      <c r="G587" s="4" t="str">
        <f>IFERROR(__xludf.DUMMYFUNCTION("""COMPUTED_VALUE"""),"2019/11/06 11:55:00")</f>
        <v>2019/11/06 11:55:00</v>
      </c>
      <c r="H587" s="4" t="str">
        <f>IFERROR(__xludf.DUMMYFUNCTION("""COMPUTED_VALUE"""),"5aec3572-66ef-40d2-91eb-9d3c9af11296")</f>
        <v>5aec3572-66ef-40d2-91eb-9d3c9af11296</v>
      </c>
      <c r="I587" s="4" t="str">
        <f>IFERROR(__xludf.DUMMYFUNCTION("""COMPUTED_VALUE"""),"5aec3572-66ef-40d2-91eb-9d3c9af11296")</f>
        <v>5aec3572-66ef-40d2-91eb-9d3c9af11296</v>
      </c>
    </row>
    <row r="588">
      <c r="A588" s="4" t="str">
        <f>IFERROR(__xludf.DUMMYFUNCTION("""COMPUTED_VALUE"""),"Opening remarks")</f>
        <v>Opening remarks</v>
      </c>
      <c r="B588" s="4" t="str">
        <f>IFERROR(__xludf.DUMMYFUNCTION("""COMPUTED_VALUE"""),"")</f>
        <v/>
      </c>
      <c r="C588" s="8" t="str">
        <f>IFERROR(__xludf.DUMMYFUNCTION("""COMPUTED_VALUE"""),"binate.io")</f>
        <v>binate.io</v>
      </c>
      <c r="D588" s="4" t="str">
        <f>IFERROR(__xludf.DUMMYFUNCTION("""COMPUTED_VALUE"""),"Bas Wouterse")</f>
        <v>Bas Wouterse</v>
      </c>
      <c r="E588" s="4" t="str">
        <f>IFERROR(__xludf.DUMMYFUNCTION("""COMPUTED_VALUE"""),"Bas Wouterse")</f>
        <v>Bas Wouterse</v>
      </c>
      <c r="F588" s="4" t="str">
        <f>IFERROR(__xludf.DUMMYFUNCTION("""COMPUTED_VALUE"""),"2019/11/06 11:00:00")</f>
        <v>2019/11/06 11:00:00</v>
      </c>
      <c r="G588" s="4" t="str">
        <f>IFERROR(__xludf.DUMMYFUNCTION("""COMPUTED_VALUE"""),"2019/11/06 11:15:00")</f>
        <v>2019/11/06 11:15:00</v>
      </c>
      <c r="H588" s="4" t="str">
        <f>IFERROR(__xludf.DUMMYFUNCTION("""COMPUTED_VALUE"""),"0fa3111e-e336-4a86-a21c-8574cecc1ab4")</f>
        <v>0fa3111e-e336-4a86-a21c-8574cecc1ab4</v>
      </c>
      <c r="I588" s="4" t="str">
        <f>IFERROR(__xludf.DUMMYFUNCTION("""COMPUTED_VALUE"""),"0fa3111e-e336-4a86-a21c-8574cecc1ab4")</f>
        <v>0fa3111e-e336-4a86-a21c-8574cecc1ab4</v>
      </c>
    </row>
    <row r="589">
      <c r="A589" s="4" t="str">
        <f>IFERROR(__xludf.DUMMYFUNCTION("""COMPUTED_VALUE"""),"Q&amp;A Session with Chris Leacock")</f>
        <v>Q&amp;A Session with Chris Leacock</v>
      </c>
      <c r="B589" s="4" t="str">
        <f>IFERROR(__xludf.DUMMYFUNCTION("""COMPUTED_VALUE"""),"")</f>
        <v/>
      </c>
      <c r="C589" s="4" t="str">
        <f>IFERROR(__xludf.DUMMYFUNCTION("""COMPUTED_VALUE"""),"")</f>
        <v/>
      </c>
      <c r="D589" s="4" t="str">
        <f>IFERROR(__xludf.DUMMYFUNCTION("""COMPUTED_VALUE"""),"Christopher Leacock")</f>
        <v>Christopher Leacock</v>
      </c>
      <c r="E589" s="4" t="str">
        <f>IFERROR(__xludf.DUMMYFUNCTION("""COMPUTED_VALUE"""),"Christopher Leacock")</f>
        <v>Christopher Leacock</v>
      </c>
      <c r="F589" s="4" t="str">
        <f>IFERROR(__xludf.DUMMYFUNCTION("""COMPUTED_VALUE"""),"")</f>
        <v/>
      </c>
      <c r="G589" s="4" t="str">
        <f>IFERROR(__xludf.DUMMYFUNCTION("""COMPUTED_VALUE"""),"")</f>
        <v/>
      </c>
      <c r="H589" s="4" t="str">
        <f>IFERROR(__xludf.DUMMYFUNCTION("""COMPUTED_VALUE"""),"4dfcdc33-59bf-5d3d-931a-889fcf1f7469")</f>
        <v>4dfcdc33-59bf-5d3d-931a-889fcf1f7469</v>
      </c>
      <c r="I589" s="4" t="str">
        <f>IFERROR(__xludf.DUMMYFUNCTION("""COMPUTED_VALUE"""),"4dfcdc33-59bf-5d3d-931a-889fcf1f7469")</f>
        <v>4dfcdc33-59bf-5d3d-931a-889fcf1f7469</v>
      </c>
    </row>
    <row r="590">
      <c r="A590" s="4" t="str">
        <f>IFERROR(__xludf.DUMMYFUNCTION("""COMPUTED_VALUE"""),"Startup Showcase")</f>
        <v>Startup Showcase</v>
      </c>
      <c r="B590" s="4" t="str">
        <f>IFERROR(__xludf.DUMMYFUNCTION("""COMPUTED_VALUE"""),"On this brand new stage, expect quickfire presentations where startups will showcase their solutions to the future's biggest challenges. This hour focuses on health, covering topics like medtech, fitness apps, and mental health training.
")</f>
        <v>On this brand new stage, expect quickfire presentations where startups will showcase their solutions to the future's biggest challenges. This hour focuses on health, covering topics like medtech, fitness apps, and mental health training.
</v>
      </c>
      <c r="C590" s="4" t="str">
        <f>IFERROR(__xludf.DUMMYFUNCTION("""COMPUTED_VALUE"""),"Startup Showcase 3")</f>
        <v>Startup Showcase 3</v>
      </c>
      <c r="D590" s="4" t="str">
        <f>IFERROR(__xludf.DUMMYFUNCTION("""COMPUTED_VALUE"""),"Steven Gundry, Alba Sort, Karl Naim, Elisabeth Pakin, Flavio Filoni, Sonia Couto, Choon Ja-Malin Meinberg, Yoshua Kishi, Amice Wong, Varun K. Sirohi, Pat Casey, Katy Lindemann, Guillermo Galan, Eduardo Rodrigues, Bjarte Bakke, Rafael Martínez Permuy, Nico"&amp;"las Aubert, Marine Bousseau, Carlo Buccoli, Fabrice Pakin, João Marcelo Alves, Grzegorz Madajczyk, Mikołaj Niedziałkowski, Richard Picart, Gema Alvarez, Mahak Chauhan, Rafael Munerato, Wanda Kim, Anna Sort, Astrid Ottosen, Martin Balodis, Rafael Martinez "&amp;"Permuy, Komal Chaudhary, Karandeep Birdi, Christine Harris, Stine Sorensen, Mahesh Inder Chauhan, Marc Oliver Griefahn, Henrik Thorsell, Andrea Severino, Geoffrey Kretz, Ricardo Ramos, Rosa Hoffman, Manel Sort, Barry Cumberlidge, Stephen Wheatley, Sebasti"&amp;"ão Barros, Annette Baus, Jean-Francois Kraemer and Akvile Ignotaite")</f>
        <v>Steven Gundry, Alba Sort, Karl Naim, Elisabeth Pakin, Flavio Filoni, Sonia Couto, Choon Ja-Malin Meinberg, Yoshua Kishi, Amice Wong, Varun K. Sirohi, Pat Casey, Katy Lindemann, Guillermo Galan, Eduardo Rodrigues, Bjarte Bakke, Rafael Martínez Permuy, Nicolas Aubert, Marine Bousseau, Carlo Buccoli, Fabrice Pakin, João Marcelo Alves, Grzegorz Madajczyk, Mikołaj Niedziałkowski, Richard Picart, Gema Alvarez, Mahak Chauhan, Rafael Munerato, Wanda Kim, Anna Sort, Astrid Ottosen, Martin Balodis, Rafael Martinez Permuy, Komal Chaudhary, Karandeep Birdi, Christine Harris, Stine Sorensen, Mahesh Inder Chauhan, Marc Oliver Griefahn, Henrik Thorsell, Andrea Severino, Geoffrey Kretz, Ricardo Ramos, Rosa Hoffman, Manel Sort, Barry Cumberlidge, Stephen Wheatley, Sebastião Barros, Annette Baus, Jean-Francois Kraemer and Akvile Ignotaite</v>
      </c>
      <c r="E590" s="4" t="str">
        <f>IFERROR(__xludf.DUMMYFUNCTION("""COMPUTED_VALUE"""),"Steven Gundry,Alba Sort,Karl Naim,Elisabeth Pakin,Flavio Filoni,Sonia Couto,Choon Ja-Malin Meinberg,Yoshua Kishi,Amice Wong,Varun K. Sirohi,Pat Casey,Katy Lindemann,Guillermo Galan,Eduardo Rodrigues,Bjarte Bakke,Rafael Martínez Permuy,Nicolas Aubert,Marin"&amp;"e Bousseau,Carlo Buccoli,Fabrice Pakin,João Marcelo Alves,Grzegorz Madajczyk,Mikołaj Niedziałkowski,Richard Picart,Gema Alvarez,Mahak Chauhan,Rafael Munerato,Wanda Kim,Anna Sort,Astrid Ottosen,Martin Balodis,Rafael Martinez Permuy,Komal Chaudhary,Karandee"&amp;"p Birdi,Christine Harris,Stine Sorensen,Mahesh Inder Chauhan,Marc Oliver Griefahn,Henrik Thorsell,Andrea Severino,Geoffrey Kretz,Ricardo Ramos,Rosa Hoffman,Manel Sort,Barry Cumberlidge,Stephen Wheatley,Sebastião Barros,Annette Baus,Jean-Francois Kraemer,A"&amp;"kvile Ignotaite")</f>
        <v>Steven Gundry,Alba Sort,Karl Naim,Elisabeth Pakin,Flavio Filoni,Sonia Couto,Choon Ja-Malin Meinberg,Yoshua Kishi,Amice Wong,Varun K. Sirohi,Pat Casey,Katy Lindemann,Guillermo Galan,Eduardo Rodrigues,Bjarte Bakke,Rafael Martínez Permuy,Nicolas Aubert,Marine Bousseau,Carlo Buccoli,Fabrice Pakin,João Marcelo Alves,Grzegorz Madajczyk,Mikołaj Niedziałkowski,Richard Picart,Gema Alvarez,Mahak Chauhan,Rafael Munerato,Wanda Kim,Anna Sort,Astrid Ottosen,Martin Balodis,Rafael Martinez Permuy,Komal Chaudhary,Karandeep Birdi,Christine Harris,Stine Sorensen,Mahesh Inder Chauhan,Marc Oliver Griefahn,Henrik Thorsell,Andrea Severino,Geoffrey Kretz,Ricardo Ramos,Rosa Hoffman,Manel Sort,Barry Cumberlidge,Stephen Wheatley,Sebastião Barros,Annette Baus,Jean-Francois Kraemer,Akvile Ignotaite</v>
      </c>
      <c r="F590" s="4" t="str">
        <f>IFERROR(__xludf.DUMMYFUNCTION("""COMPUTED_VALUE"""),"2019/11/07 15:15:00")</f>
        <v>2019/11/07 15:15:00</v>
      </c>
      <c r="G590" s="4" t="str">
        <f>IFERROR(__xludf.DUMMYFUNCTION("""COMPUTED_VALUE"""),"2019/11/07 16:15:00")</f>
        <v>2019/11/07 16:15:00</v>
      </c>
      <c r="H590" s="4" t="str">
        <f>IFERROR(__xludf.DUMMYFUNCTION("""COMPUTED_VALUE"""),"3e22b52f-0442-44b3-82ee-b2baad5bb8e9")</f>
        <v>3e22b52f-0442-44b3-82ee-b2baad5bb8e9</v>
      </c>
      <c r="I590" s="4" t="str">
        <f>IFERROR(__xludf.DUMMYFUNCTION("""COMPUTED_VALUE"""),"3e22b52f-0442-44b3-82ee-b2baad5bb8e9")</f>
        <v>3e22b52f-0442-44b3-82ee-b2baad5bb8e9</v>
      </c>
    </row>
    <row r="591">
      <c r="A591" s="4" t="str">
        <f>IFERROR(__xludf.DUMMYFUNCTION("""COMPUTED_VALUE"""),"Demonstration: AI in practice, with Leo Pharma")</f>
        <v>Demonstration: AI in practice, with Leo Pharma</v>
      </c>
      <c r="B591" s="4" t="str">
        <f>IFERROR(__xludf.DUMMYFUNCTION("""COMPUTED_VALUE"""),"As our global population continues to grow, health resources are becoming increasingly strained. In a future where doctors are in short supply, how can we build health systems that can deliver the care we need? Krisitan Hart-Hansen, CEO of LEO Innovation "&amp;"Lab will demonstrate how AI could be the answer.")</f>
        <v>As our global population continues to grow, health resources are becoming increasingly strained. In a future where doctors are in short supply, how can we build health systems that can deliver the care we need? Krisitan Hart-Hansen, CEO of LEO Innovation Lab will demonstrate how AI could be the answer.</v>
      </c>
      <c r="C591" s="4" t="str">
        <f>IFERROR(__xludf.DUMMYFUNCTION("""COMPUTED_VALUE"""),"Corporate Innovation Summit")</f>
        <v>Corporate Innovation Summit</v>
      </c>
      <c r="D591" s="4" t="str">
        <f>IFERROR(__xludf.DUMMYFUNCTION("""COMPUTED_VALUE"""),"Kristian Hart-Hansen")</f>
        <v>Kristian Hart-Hansen</v>
      </c>
      <c r="E591" s="4" t="str">
        <f>IFERROR(__xludf.DUMMYFUNCTION("""COMPUTED_VALUE"""),"Kristian Hart-Hansen")</f>
        <v>Kristian Hart-Hansen</v>
      </c>
      <c r="F591" s="4" t="str">
        <f>IFERROR(__xludf.DUMMYFUNCTION("""COMPUTED_VALUE"""),"2019/11/06 15:25:00")</f>
        <v>2019/11/06 15:25:00</v>
      </c>
      <c r="G591" s="4" t="str">
        <f>IFERROR(__xludf.DUMMYFUNCTION("""COMPUTED_VALUE"""),"2019/11/06 15:45:00")</f>
        <v>2019/11/06 15:45:00</v>
      </c>
      <c r="H591" s="4" t="str">
        <f>IFERROR(__xludf.DUMMYFUNCTION("""COMPUTED_VALUE"""),"8ca8ced7-9244-4ff6-98cf-ae0c5fd93555")</f>
        <v>8ca8ced7-9244-4ff6-98cf-ae0c5fd93555</v>
      </c>
      <c r="I591" s="4" t="str">
        <f>IFERROR(__xludf.DUMMYFUNCTION("""COMPUTED_VALUE"""),"8ca8ced7-9244-4ff6-98cf-ae0c5fd93555")</f>
        <v>8ca8ced7-9244-4ff6-98cf-ae0c5fd93555</v>
      </c>
    </row>
    <row r="592">
      <c r="A592" s="4" t="str">
        <f>IFERROR(__xludf.DUMMYFUNCTION("""COMPUTED_VALUE"""),"Closing the loop: 3 failure points that will doom your first industrial IoT deployment")</f>
        <v>Closing the loop: 3 failure points that will doom your first industrial IoT deployment</v>
      </c>
      <c r="B592" s="4" t="str">
        <f>IFERROR(__xludf.DUMMYFUNCTION("""COMPUTED_VALUE"""),"Based on his experience as both a customer of IIoT products and now a provider of an IIoT solution, Matthew will discuss how startups can avoid the three most common failure points for new IIoT solutions at industrial facilities: poor data structure, inad"&amp;"equate connectivity, incomplete ecosystem.")</f>
        <v>Based on his experience as both a customer of IIoT products and now a provider of an IIoT solution, Matthew will discuss how startups can avoid the three most common failure points for new IIoT solutions at industrial facilities: poor data structure, inadequate connectivity, incomplete ecosystem.</v>
      </c>
      <c r="C592" s="4" t="str">
        <f>IFERROR(__xludf.DUMMYFUNCTION("""COMPUTED_VALUE"""),"Growth Summit")</f>
        <v>Growth Summit</v>
      </c>
      <c r="D592" s="4" t="str">
        <f>IFERROR(__xludf.DUMMYFUNCTION("""COMPUTED_VALUE"""),"Matthew Kleiman")</f>
        <v>Matthew Kleiman</v>
      </c>
      <c r="E592" s="4" t="str">
        <f>IFERROR(__xludf.DUMMYFUNCTION("""COMPUTED_VALUE"""),"Matthew Kleiman")</f>
        <v>Matthew Kleiman</v>
      </c>
      <c r="F592" s="4" t="str">
        <f>IFERROR(__xludf.DUMMYFUNCTION("""COMPUTED_VALUE"""),"2019/11/05 11:22:00")</f>
        <v>2019/11/05 11:22:00</v>
      </c>
      <c r="G592" s="4" t="str">
        <f>IFERROR(__xludf.DUMMYFUNCTION("""COMPUTED_VALUE"""),"2019/11/05 11:26:00")</f>
        <v>2019/11/05 11:26:00</v>
      </c>
      <c r="H592" s="4" t="str">
        <f>IFERROR(__xludf.DUMMYFUNCTION("""COMPUTED_VALUE"""),"6f21a5ac-a4d9-4be1-8598-b82290dbafdd")</f>
        <v>6f21a5ac-a4d9-4be1-8598-b82290dbafdd</v>
      </c>
      <c r="I592" s="4" t="str">
        <f>IFERROR(__xludf.DUMMYFUNCTION("""COMPUTED_VALUE"""),"6f21a5ac-a4d9-4be1-8598-b82290dbafdd")</f>
        <v>6f21a5ac-a4d9-4be1-8598-b82290dbafdd</v>
      </c>
    </row>
    <row r="593">
      <c r="A593" s="4" t="str">
        <f>IFERROR(__xludf.DUMMYFUNCTION("""COMPUTED_VALUE"""),"The future of science is already here")</f>
        <v>The future of science is already here</v>
      </c>
      <c r="B593" s="4" t="str">
        <f>IFERROR(__xludf.DUMMYFUNCTION("""COMPUTED_VALUE"""),"Science is constantly progressing and moving forward. In this session we hear from three of the world's brightest young minds about their cutting edge research and how it is changing the world. The future of science is in very safe hands.")</f>
        <v>Science is constantly progressing and moving forward. In this session we hear from three of the world's brightest young minds about their cutting edge research and how it is changing the world. The future of science is in very safe hands.</v>
      </c>
      <c r="C593" s="4" t="str">
        <f>IFERROR(__xludf.DUMMYFUNCTION("""COMPUTED_VALUE"""),"Future Societies")</f>
        <v>Future Societies</v>
      </c>
      <c r="D593" s="4" t="str">
        <f>IFERROR(__xludf.DUMMYFUNCTION("""COMPUTED_VALUE"""),"Liam Hinzman, Isabella Grandic and Brianna Gopaul")</f>
        <v>Liam Hinzman, Isabella Grandic and Brianna Gopaul</v>
      </c>
      <c r="E593" s="4" t="str">
        <f>IFERROR(__xludf.DUMMYFUNCTION("""COMPUTED_VALUE"""),"Liam Hinzman,Isabella Grandic,Brianna Gopaul")</f>
        <v>Liam Hinzman,Isabella Grandic,Brianna Gopaul</v>
      </c>
      <c r="F593" s="4" t="str">
        <f>IFERROR(__xludf.DUMMYFUNCTION("""COMPUTED_VALUE"""),"2019/11/07 11:50:00")</f>
        <v>2019/11/07 11:50:00</v>
      </c>
      <c r="G593" s="4" t="str">
        <f>IFERROR(__xludf.DUMMYFUNCTION("""COMPUTED_VALUE"""),"2019/11/07 12:15:00")</f>
        <v>2019/11/07 12:15:00</v>
      </c>
      <c r="H593" s="4" t="str">
        <f>IFERROR(__xludf.DUMMYFUNCTION("""COMPUTED_VALUE"""),"19f472b6-aa6c-4206-affa-d42b55878dad")</f>
        <v>19f472b6-aa6c-4206-affa-d42b55878dad</v>
      </c>
      <c r="I593" s="4" t="str">
        <f>IFERROR(__xludf.DUMMYFUNCTION("""COMPUTED_VALUE"""),"19f472b6-aa6c-4206-affa-d42b55878dad")</f>
        <v>19f472b6-aa6c-4206-affa-d42b55878dad</v>
      </c>
    </row>
    <row r="594">
      <c r="A594" s="4" t="str">
        <f>IFERROR(__xludf.DUMMYFUNCTION("""COMPUTED_VALUE"""),"Featured venue: Palheta Bar")</f>
        <v>Featured venue: Palheta Bar</v>
      </c>
      <c r="B594" s="4" t="str">
        <f>IFERROR(__xludf.DUMMYFUNCTION("""COMPUTED_VALUE"""),"Where musicians go, the party will follow. This venue is known for good music, and good music done well. There's no Spotify playlist, or Youtube mix. Instead, enjoy the authetic charm of vinyl records. Fun fact? Palheta was the first bar in Cais do Sodré "&amp;"to go plastic-free. Connect back to an analogue (and better?) time, the venue also encourages visitors to set aside their phones and instead enjoy each others company. Sounds good to us!
Night Summit deals: 
Mojito €5, Caipirinha €4, 50cl beer €2.50 ")</f>
        <v>Where musicians go, the party will follow. This venue is known for good music, and good music done well. There's no Spotify playlist, or Youtube mix. Instead, enjoy the authetic charm of vinyl records. Fun fact? Palheta was the first bar in Cais do Sodré to go plastic-free. Connect back to an analogue (and better?) time, the venue also encourages visitors to set aside their phones and instead enjoy each others company. Sounds good to us!
Night Summit deals: 
Mojito €5, Caipirinha €4, 50cl beer €2.50 </v>
      </c>
      <c r="C594" s="4" t="str">
        <f>IFERROR(__xludf.DUMMYFUNCTION("""COMPUTED_VALUE"""),"Palheta Bar")</f>
        <v>Palheta Bar</v>
      </c>
      <c r="D594" s="4" t="str">
        <f>IFERROR(__xludf.DUMMYFUNCTION("""COMPUTED_VALUE"""),"")</f>
        <v/>
      </c>
      <c r="E594" s="4" t="str">
        <f>IFERROR(__xludf.DUMMYFUNCTION("""COMPUTED_VALUE"""),"")</f>
        <v/>
      </c>
      <c r="F594" s="4" t="str">
        <f>IFERROR(__xludf.DUMMYFUNCTION("""COMPUTED_VALUE"""),"2019/11/05 20:00:00")</f>
        <v>2019/11/05 20:00:00</v>
      </c>
      <c r="G594" s="4" t="str">
        <f>IFERROR(__xludf.DUMMYFUNCTION("""COMPUTED_VALUE"""),"2019/11/06 00:00:00")</f>
        <v>2019/11/06 00:00:00</v>
      </c>
      <c r="H594" s="4" t="str">
        <f>IFERROR(__xludf.DUMMYFUNCTION("""COMPUTED_VALUE"""),"55dad5e9-8cd1-4823-af3e-9e7f4fa721e7")</f>
        <v>55dad5e9-8cd1-4823-af3e-9e7f4fa721e7</v>
      </c>
      <c r="I594" s="4" t="str">
        <f>IFERROR(__xludf.DUMMYFUNCTION("""COMPUTED_VALUE"""),"55dad5e9-8cd1-4823-af3e-9e7f4fa721e7")</f>
        <v>55dad5e9-8cd1-4823-af3e-9e7f4fa721e7</v>
      </c>
    </row>
    <row r="595">
      <c r="A595" s="4" t="str">
        <f>IFERROR(__xludf.DUMMYFUNCTION("""COMPUTED_VALUE"""),"What makes a SaaS star?")</f>
        <v>What makes a SaaS star?</v>
      </c>
      <c r="B595" s="4" t="str">
        <f>IFERROR(__xludf.DUMMYFUNCTION("""COMPUTED_VALUE"""),"What does it take to build enterprise startups that will take the world by storm? Three investors betting on the software solutions discuss what they look for.")</f>
        <v>What does it take to build enterprise startups that will take the world by storm? Three investors betting on the software solutions discuss what they look for.</v>
      </c>
      <c r="C595" s="4" t="str">
        <f>IFERROR(__xludf.DUMMYFUNCTION("""COMPUTED_VALUE"""),"Venture stage")</f>
        <v>Venture stage</v>
      </c>
      <c r="D595" s="4" t="str">
        <f>IFERROR(__xludf.DUMMYFUNCTION("""COMPUTED_VALUE"""),"Yoav Tzruya, Lyle Fong, Michael Schuster, Cristina Fonseca and Stewart Rogers")</f>
        <v>Yoav Tzruya, Lyle Fong, Michael Schuster, Cristina Fonseca and Stewart Rogers</v>
      </c>
      <c r="E595" s="4" t="str">
        <f>IFERROR(__xludf.DUMMYFUNCTION("""COMPUTED_VALUE"""),"Yoav Tzruya,Lyle Fong,Michael Schuster,Cristina Fonseca,Stewart Rogers")</f>
        <v>Yoav Tzruya,Lyle Fong,Michael Schuster,Cristina Fonseca,Stewart Rogers</v>
      </c>
      <c r="F595" s="4" t="str">
        <f>IFERROR(__xludf.DUMMYFUNCTION("""COMPUTED_VALUE"""),"2019/11/05 10:30:00")</f>
        <v>2019/11/05 10:30:00</v>
      </c>
      <c r="G595" s="4" t="str">
        <f>IFERROR(__xludf.DUMMYFUNCTION("""COMPUTED_VALUE"""),"2019/11/05 10:50:00")</f>
        <v>2019/11/05 10:50:00</v>
      </c>
      <c r="H595" s="4" t="str">
        <f>IFERROR(__xludf.DUMMYFUNCTION("""COMPUTED_VALUE"""),"1e92e735-d1a2-4e79-ab58-1f251026f86c")</f>
        <v>1e92e735-d1a2-4e79-ab58-1f251026f86c</v>
      </c>
      <c r="I595" s="4" t="str">
        <f>IFERROR(__xludf.DUMMYFUNCTION("""COMPUTED_VALUE"""),"1e92e735-d1a2-4e79-ab58-1f251026f86c")</f>
        <v>1e92e735-d1a2-4e79-ab58-1f251026f86c</v>
      </c>
    </row>
    <row r="596">
      <c r="A596" s="4" t="str">
        <f>IFERROR(__xludf.DUMMYFUNCTION("""COMPUTED_VALUE"""),"Hiring that powers high growth businesses")</f>
        <v>Hiring that powers high growth businesses</v>
      </c>
      <c r="B596" s="4" t="str">
        <f>IFERROR(__xludf.DUMMYFUNCTION("""COMPUTED_VALUE"""),"There are few things as critical to a growth-stage company than hiring the right talent. How do you evolve your hiring practices to drive your business as it scales from hiring 10 people a year to 10 people a week? Lever Co-Founder &amp; CEO, Sarah Nahm, will"&amp;" share lessons and strategies from working with some of the highest growth companies in SIlicon Valley and beyond. ")</f>
        <v>There are few things as critical to a growth-stage company than hiring the right talent. How do you evolve your hiring practices to drive your business as it scales from hiring 10 people a year to 10 people a week? Lever Co-Founder &amp; CEO, Sarah Nahm, will share lessons and strategies from working with some of the highest growth companies in SIlicon Valley and beyond. </v>
      </c>
      <c r="C596" s="4" t="str">
        <f>IFERROR(__xludf.DUMMYFUNCTION("""COMPUTED_VALUE"""),"Growth Summit")</f>
        <v>Growth Summit</v>
      </c>
      <c r="D596" s="4" t="str">
        <f>IFERROR(__xludf.DUMMYFUNCTION("""COMPUTED_VALUE"""),"Sarah Nahm")</f>
        <v>Sarah Nahm</v>
      </c>
      <c r="E596" s="4" t="str">
        <f>IFERROR(__xludf.DUMMYFUNCTION("""COMPUTED_VALUE"""),"Sarah Nahm")</f>
        <v>Sarah Nahm</v>
      </c>
      <c r="F596" s="4" t="str">
        <f>IFERROR(__xludf.DUMMYFUNCTION("""COMPUTED_VALUE"""),"2019/11/06 15:04:00")</f>
        <v>2019/11/06 15:04:00</v>
      </c>
      <c r="G596" s="4" t="str">
        <f>IFERROR(__xludf.DUMMYFUNCTION("""COMPUTED_VALUE"""),"2019/11/06 15:15:00")</f>
        <v>2019/11/06 15:15:00</v>
      </c>
      <c r="H596" s="4" t="str">
        <f>IFERROR(__xludf.DUMMYFUNCTION("""COMPUTED_VALUE"""),"c3f67edb-937a-44f9-af6d-d6661319d591")</f>
        <v>c3f67edb-937a-44f9-af6d-d6661319d591</v>
      </c>
      <c r="I596" s="4" t="str">
        <f>IFERROR(__xludf.DUMMYFUNCTION("""COMPUTED_VALUE"""),"c3f67edb-937a-44f9-af6d-d6661319d591")</f>
        <v>c3f67edb-937a-44f9-af6d-d6661319d591</v>
      </c>
    </row>
    <row r="597">
      <c r="A597" s="4" t="str">
        <f>IFERROR(__xludf.DUMMYFUNCTION("""COMPUTED_VALUE"""),"Opening remarks")</f>
        <v>Opening remarks</v>
      </c>
      <c r="B597" s="4" t="str">
        <f>IFERROR(__xludf.DUMMYFUNCTION("""COMPUTED_VALUE"""),"")</f>
        <v/>
      </c>
      <c r="C597" s="4" t="str">
        <f>IFERROR(__xludf.DUMMYFUNCTION("""COMPUTED_VALUE"""),"Growth Summit")</f>
        <v>Growth Summit</v>
      </c>
      <c r="D597" s="4" t="str">
        <f>IFERROR(__xludf.DUMMYFUNCTION("""COMPUTED_VALUE"""),"Dimple Mukherjee")</f>
        <v>Dimple Mukherjee</v>
      </c>
      <c r="E597" s="4" t="str">
        <f>IFERROR(__xludf.DUMMYFUNCTION("""COMPUTED_VALUE"""),"Dimple Mukherjee")</f>
        <v>Dimple Mukherjee</v>
      </c>
      <c r="F597" s="4" t="str">
        <f>IFERROR(__xludf.DUMMYFUNCTION("""COMPUTED_VALUE"""),"2019/11/07 10:00:00")</f>
        <v>2019/11/07 10:00:00</v>
      </c>
      <c r="G597" s="4" t="str">
        <f>IFERROR(__xludf.DUMMYFUNCTION("""COMPUTED_VALUE"""),"2019/11/07 10:02:00")</f>
        <v>2019/11/07 10:02:00</v>
      </c>
      <c r="H597" s="4" t="str">
        <f>IFERROR(__xludf.DUMMYFUNCTION("""COMPUTED_VALUE"""),"151d8ffb-af8d-4311-899d-10933c20dc6b")</f>
        <v>151d8ffb-af8d-4311-899d-10933c20dc6b</v>
      </c>
      <c r="I597" s="4" t="str">
        <f>IFERROR(__xludf.DUMMYFUNCTION("""COMPUTED_VALUE"""),"151d8ffb-af8d-4311-899d-10933c20dc6b")</f>
        <v>151d8ffb-af8d-4311-899d-10933c20dc6b</v>
      </c>
    </row>
    <row r="598">
      <c r="A598" s="4" t="str">
        <f>IFERROR(__xludf.DUMMYFUNCTION("""COMPUTED_VALUE"""),"What next for democracy?")</f>
        <v>What next for democracy?</v>
      </c>
      <c r="B598" s="4" t="str">
        <f>IFERROR(__xludf.DUMMYFUNCTION("""COMPUTED_VALUE"""),"Populism is on the rise, many governments are becoming increasingly authoritarian, and democratic backsliding is gathering momentum. There is a lot of doom and gloom around the prospects for democracy. In this session we hear from a politican, a businessm"&amp;"an, and a campaign expert about the supposed death of democracy.")</f>
        <v>Populism is on the rise, many governments are becoming increasingly authoritarian, and democratic backsliding is gathering momentum. There is a lot of doom and gloom around the prospects for democracy. In this session we hear from a politican, a businessman, and a campaign expert about the supposed death of democracy.</v>
      </c>
      <c r="C598" s="4" t="str">
        <f>IFERROR(__xludf.DUMMYFUNCTION("""COMPUTED_VALUE"""),"Future Societies")</f>
        <v>Future Societies</v>
      </c>
      <c r="D598" s="4" t="str">
        <f>IFERROR(__xludf.DUMMYFUNCTION("""COMPUTED_VALUE"""),"Mamuka Bakhtadze, George Arison, Joe Pounder and Joseph Menn")</f>
        <v>Mamuka Bakhtadze, George Arison, Joe Pounder and Joseph Menn</v>
      </c>
      <c r="E598" s="4" t="str">
        <f>IFERROR(__xludf.DUMMYFUNCTION("""COMPUTED_VALUE"""),"Mamuka Bakhtadze,George Arison,Joe Pounder,Joseph Menn")</f>
        <v>Mamuka Bakhtadze,George Arison,Joe Pounder,Joseph Menn</v>
      </c>
      <c r="F598" s="4" t="str">
        <f>IFERROR(__xludf.DUMMYFUNCTION("""COMPUTED_VALUE"""),"2019/11/06 14:35:00")</f>
        <v>2019/11/06 14:35:00</v>
      </c>
      <c r="G598" s="4" t="str">
        <f>IFERROR(__xludf.DUMMYFUNCTION("""COMPUTED_VALUE"""),"2019/11/06 14:55:00")</f>
        <v>2019/11/06 14:55:00</v>
      </c>
      <c r="H598" s="4" t="str">
        <f>IFERROR(__xludf.DUMMYFUNCTION("""COMPUTED_VALUE"""),"3958cdb2-e15c-4ab1-b618-5da933127751")</f>
        <v>3958cdb2-e15c-4ab1-b618-5da933127751</v>
      </c>
      <c r="I598" s="4" t="str">
        <f>IFERROR(__xludf.DUMMYFUNCTION("""COMPUTED_VALUE"""),"3958cdb2-e15c-4ab1-b618-5da933127751")</f>
        <v>3958cdb2-e15c-4ab1-b618-5da933127751</v>
      </c>
    </row>
    <row r="599">
      <c r="A599" s="4" t="str">
        <f>IFERROR(__xludf.DUMMYFUNCTION("""COMPUTED_VALUE"""),"From cleaning toilets to a $60m raise: The story of Guesty")</f>
        <v>From cleaning toilets to a $60m raise: The story of Guesty</v>
      </c>
      <c r="B599" s="4" t="str">
        <f>IFERROR(__xludf.DUMMYFUNCTION("""COMPUTED_VALUE"""),"Learn how Guesty co-founder and CEO, Amiad and his identical twin brother launched an apartment cleaning service that morphed into one of the widest-used, highest-funded short-term rental management platforms across the globe.")</f>
        <v>Learn how Guesty co-founder and CEO, Amiad and his identical twin brother launched an apartment cleaning service that morphed into one of the widest-used, highest-funded short-term rental management platforms across the globe.</v>
      </c>
      <c r="C599" s="4" t="str">
        <f>IFERROR(__xludf.DUMMYFUNCTION("""COMPUTED_VALUE"""),"Growth Summit")</f>
        <v>Growth Summit</v>
      </c>
      <c r="D599" s="4" t="str">
        <f>IFERROR(__xludf.DUMMYFUNCTION("""COMPUTED_VALUE"""),"Amiad Soto")</f>
        <v>Amiad Soto</v>
      </c>
      <c r="E599" s="4" t="str">
        <f>IFERROR(__xludf.DUMMYFUNCTION("""COMPUTED_VALUE"""),"Amiad Soto")</f>
        <v>Amiad Soto</v>
      </c>
      <c r="F599" s="4" t="str">
        <f>IFERROR(__xludf.DUMMYFUNCTION("""COMPUTED_VALUE"""),"2019/11/05 14:31:00")</f>
        <v>2019/11/05 14:31:00</v>
      </c>
      <c r="G599" s="4" t="str">
        <f>IFERROR(__xludf.DUMMYFUNCTION("""COMPUTED_VALUE"""),"2019/11/05 14:42:00")</f>
        <v>2019/11/05 14:42:00</v>
      </c>
      <c r="H599" s="4" t="str">
        <f>IFERROR(__xludf.DUMMYFUNCTION("""COMPUTED_VALUE"""),"8678c89e-3623-4e24-a55b-bf600aab28bb")</f>
        <v>8678c89e-3623-4e24-a55b-bf600aab28bb</v>
      </c>
      <c r="I599" s="4" t="str">
        <f>IFERROR(__xludf.DUMMYFUNCTION("""COMPUTED_VALUE"""),"8678c89e-3623-4e24-a55b-bf600aab28bb")</f>
        <v>8678c89e-3623-4e24-a55b-bf600aab28bb</v>
      </c>
    </row>
    <row r="600">
      <c r="A600" s="4" t="str">
        <f>IFERROR(__xludf.DUMMYFUNCTION("""COMPUTED_VALUE"""),"Featured venue: Irish &amp; Co.")</f>
        <v>Featured venue: Irish &amp; Co.</v>
      </c>
      <c r="B600" s="4" t="str">
        <f>IFERROR(__xludf.DUMMYFUNCTION("""COMPUTED_VALUE"""),"Get a flavour of Ireland in Lisbon. While Lisbon might boast better weather than the Emerald Isle, Irish &amp; Co have transported some of the famous Irish craic to the Portuguese capital. Live music, pints of Guinness, and maybe the odd redhead for good meas"&amp;"ure, you're sure to have a wild night.
Night Summit deals: 
€2 30cl beer, €3.50 pint of beer, 10% discount on sparkling wine")</f>
        <v>Get a flavour of Ireland in Lisbon. While Lisbon might boast better weather than the Emerald Isle, Irish &amp; Co have transported some of the famous Irish craic to the Portuguese capital. Live music, pints of Guinness, and maybe the odd redhead for good measure, you're sure to have a wild night.
Night Summit deals: 
€2 30cl beer, €3.50 pint of beer, 10% discount on sparkling wine</v>
      </c>
      <c r="C600" s="4" t="str">
        <f>IFERROR(__xludf.DUMMYFUNCTION("""COMPUTED_VALUE"""),"Irish &amp; Co.")</f>
        <v>Irish &amp; Co.</v>
      </c>
      <c r="D600" s="4" t="str">
        <f>IFERROR(__xludf.DUMMYFUNCTION("""COMPUTED_VALUE"""),"")</f>
        <v/>
      </c>
      <c r="E600" s="4" t="str">
        <f>IFERROR(__xludf.DUMMYFUNCTION("""COMPUTED_VALUE"""),"")</f>
        <v/>
      </c>
      <c r="F600" s="4" t="str">
        <f>IFERROR(__xludf.DUMMYFUNCTION("""COMPUTED_VALUE"""),"2019/11/04 20:00:00")</f>
        <v>2019/11/04 20:00:00</v>
      </c>
      <c r="G600" s="4" t="str">
        <f>IFERROR(__xludf.DUMMYFUNCTION("""COMPUTED_VALUE"""),"2019/11/04 23:00:00")</f>
        <v>2019/11/04 23:00:00</v>
      </c>
      <c r="H600" s="4" t="str">
        <f>IFERROR(__xludf.DUMMYFUNCTION("""COMPUTED_VALUE"""),"c5c6f770-94a6-4086-81c5-7c7683a9961a")</f>
        <v>c5c6f770-94a6-4086-81c5-7c7683a9961a</v>
      </c>
      <c r="I600" s="4" t="str">
        <f>IFERROR(__xludf.DUMMYFUNCTION("""COMPUTED_VALUE"""),"c5c6f770-94a6-4086-81c5-7c7683a9961a")</f>
        <v>c5c6f770-94a6-4086-81c5-7c7683a9961a</v>
      </c>
    </row>
    <row r="601">
      <c r="A601" s="4" t="str">
        <f>IFERROR(__xludf.DUMMYFUNCTION("""COMPUTED_VALUE"""),"Adopting the Champion's mindset")</f>
        <v>Adopting the Champion's mindset</v>
      </c>
      <c r="B601" s="4" t="str">
        <f>IFERROR(__xludf.DUMMYFUNCTION("""COMPUTED_VALUE"""),"Former professional footballer Deco, now founder and CEO of of D20 Sports, Gilberto Silva, World Cup winner and Invincible with Arsenal and Paul Brighten, CEO of Entourage Sports agency and former tennis pro discuss how success in sport has helped them pr"&amp;"osper in business.
")</f>
        <v>Former professional footballer Deco, now founder and CEO of of D20 Sports, Gilberto Silva, World Cup winner and Invincible with Arsenal and Paul Brighten, CEO of Entourage Sports agency and former tennis pro discuss how success in sport has helped them prosper in business.
</v>
      </c>
      <c r="C601" s="4" t="str">
        <f>IFERROR(__xludf.DUMMYFUNCTION("""COMPUTED_VALUE"""),"SportsTrade")</f>
        <v>SportsTrade</v>
      </c>
      <c r="D601" s="4" t="str">
        <f>IFERROR(__xludf.DUMMYFUNCTION("""COMPUTED_VALUE""")," , Paul Brighten, Gilberto Silva and Rosa Oliveira Pinto")</f>
        <v> , Paul Brighten, Gilberto Silva and Rosa Oliveira Pinto</v>
      </c>
      <c r="E601" s="4" t="str">
        <f>IFERROR(__xludf.DUMMYFUNCTION("""COMPUTED_VALUE""")," ,Paul Brighten,Gilberto Silva,Rosa Oliveira Pinto")</f>
        <v> ,Paul Brighten,Gilberto Silva,Rosa Oliveira Pinto</v>
      </c>
      <c r="F601" s="4" t="str">
        <f>IFERROR(__xludf.DUMMYFUNCTION("""COMPUTED_VALUE"""),"2019/11/05 14:45:00")</f>
        <v>2019/11/05 14:45:00</v>
      </c>
      <c r="G601" s="4" t="str">
        <f>IFERROR(__xludf.DUMMYFUNCTION("""COMPUTED_VALUE"""),"2019/11/05 15:00:00")</f>
        <v>2019/11/05 15:00:00</v>
      </c>
      <c r="H601" s="4" t="str">
        <f>IFERROR(__xludf.DUMMYFUNCTION("""COMPUTED_VALUE"""),"bf9098ec-88f0-4e09-bd6b-e24df6dc696b")</f>
        <v>bf9098ec-88f0-4e09-bd6b-e24df6dc696b</v>
      </c>
      <c r="I601" s="4" t="str">
        <f>IFERROR(__xludf.DUMMYFUNCTION("""COMPUTED_VALUE"""),"bf9098ec-88f0-4e09-bd6b-e24df6dc696b")</f>
        <v>bf9098ec-88f0-4e09-bd6b-e24df6dc696b</v>
      </c>
    </row>
    <row r="602">
      <c r="A602" s="4" t="str">
        <f>IFERROR(__xludf.DUMMYFUNCTION("""COMPUTED_VALUE"""),"One thing you need to make better product decisions ")</f>
        <v>One thing you need to make better product decisions </v>
      </c>
      <c r="B602" s="4" t="str">
        <f>IFERROR(__xludf.DUMMYFUNCTION("""COMPUTED_VALUE"""),"Co-founder and CEO of Craft.io, Elad will talk about how dedicated product management platforms are helping product leaders make better informed and impactful decisions.")</f>
        <v>Co-founder and CEO of Craft.io, Elad will talk about how dedicated product management platforms are helping product leaders make better informed and impactful decisions.</v>
      </c>
      <c r="C602" s="4" t="str">
        <f>IFERROR(__xludf.DUMMYFUNCTION("""COMPUTED_VALUE"""),"Growth Summit")</f>
        <v>Growth Summit</v>
      </c>
      <c r="D602" s="4" t="str">
        <f>IFERROR(__xludf.DUMMYFUNCTION("""COMPUTED_VALUE"""),"Elad Simon")</f>
        <v>Elad Simon</v>
      </c>
      <c r="E602" s="4" t="str">
        <f>IFERROR(__xludf.DUMMYFUNCTION("""COMPUTED_VALUE"""),"Elad Simon")</f>
        <v>Elad Simon</v>
      </c>
      <c r="F602" s="4" t="str">
        <f>IFERROR(__xludf.DUMMYFUNCTION("""COMPUTED_VALUE"""),"2019/11/06 11:10:00")</f>
        <v>2019/11/06 11:10:00</v>
      </c>
      <c r="G602" s="4" t="str">
        <f>IFERROR(__xludf.DUMMYFUNCTION("""COMPUTED_VALUE"""),"2019/11/06 11:14:00")</f>
        <v>2019/11/06 11:14:00</v>
      </c>
      <c r="H602" s="4" t="str">
        <f>IFERROR(__xludf.DUMMYFUNCTION("""COMPUTED_VALUE"""),"80a06c6c-56c8-4a7a-a1e9-cb596f5bead8")</f>
        <v>80a06c6c-56c8-4a7a-a1e9-cb596f5bead8</v>
      </c>
      <c r="I602" s="4" t="str">
        <f>IFERROR(__xludf.DUMMYFUNCTION("""COMPUTED_VALUE"""),"80a06c6c-56c8-4a7a-a1e9-cb596f5bead8")</f>
        <v>80a06c6c-56c8-4a7a-a1e9-cb596f5bead8</v>
      </c>
    </row>
    <row r="603">
      <c r="A603" s="4" t="str">
        <f>IFERROR(__xludf.DUMMYFUNCTION("""COMPUTED_VALUE"""),"Featured venue: WISH Concept Store &amp; Slow Coffee House")</f>
        <v>Featured venue: WISH Concept Store &amp; Slow Coffee House</v>
      </c>
      <c r="B603" s="4" t="str">
        <f>IFERROR(__xludf.DUMMYFUNCTION("""COMPUTED_VALUE"""),"If you like exclusivity, then this special pop-up bar is the one for you. With snacks and drinks combos specially designed for Night Summit 2019, this coffee shop will transform into a cocktail bar for one night only.  
Night Summit deals:
Coffee cock"&amp;"tails, special food, and drink combos")</f>
        <v>If you like exclusivity, then this special pop-up bar is the one for you. With snacks and drinks combos specially designed for Night Summit 2019, this coffee shop will transform into a cocktail bar for one night only.  
Night Summit deals:
Coffee cocktails, special food, and drink combos</v>
      </c>
      <c r="C603" s="4" t="str">
        <f>IFERROR(__xludf.DUMMYFUNCTION("""COMPUTED_VALUE"""),"WISH Concept Store &amp; Slow Coffee House")</f>
        <v>WISH Concept Store &amp; Slow Coffee House</v>
      </c>
      <c r="D603" s="4" t="str">
        <f>IFERROR(__xludf.DUMMYFUNCTION("""COMPUTED_VALUE"""),"")</f>
        <v/>
      </c>
      <c r="E603" s="4" t="str">
        <f>IFERROR(__xludf.DUMMYFUNCTION("""COMPUTED_VALUE"""),"")</f>
        <v/>
      </c>
      <c r="F603" s="4" t="str">
        <f>IFERROR(__xludf.DUMMYFUNCTION("""COMPUTED_VALUE"""),"2019/11/06 20:00:00")</f>
        <v>2019/11/06 20:00:00</v>
      </c>
      <c r="G603" s="4" t="str">
        <f>IFERROR(__xludf.DUMMYFUNCTION("""COMPUTED_VALUE"""),"2019/11/07 02:00:00")</f>
        <v>2019/11/07 02:00:00</v>
      </c>
      <c r="H603" s="4" t="str">
        <f>IFERROR(__xludf.DUMMYFUNCTION("""COMPUTED_VALUE"""),"8c68ae6d-d0f3-4426-a155-0857a1ac002c")</f>
        <v>8c68ae6d-d0f3-4426-a155-0857a1ac002c</v>
      </c>
      <c r="I603" s="4" t="str">
        <f>IFERROR(__xludf.DUMMYFUNCTION("""COMPUTED_VALUE"""),"8c68ae6d-d0f3-4426-a155-0857a1ac002c")</f>
        <v>8c68ae6d-d0f3-4426-a155-0857a1ac002c</v>
      </c>
    </row>
    <row r="604">
      <c r="A604" s="4" t="str">
        <f>IFERROR(__xludf.DUMMYFUNCTION("""COMPUTED_VALUE"""),"The drive for 5: Where is level 5 autonomy?")</f>
        <v>The drive for 5: Where is level 5 autonomy?</v>
      </c>
      <c r="B604" s="4" t="str">
        <f>IFERROR(__xludf.DUMMYFUNCTION("""COMPUTED_VALUE"""),"And you may you ask yourself — where is my self driving automobile? Let's speculate on how close we are to their ubiquity.")</f>
        <v>And you may you ask yourself — where is my self driving automobile? Let's speculate on how close we are to their ubiquity.</v>
      </c>
      <c r="C604" s="4" t="str">
        <f>IFERROR(__xludf.DUMMYFUNCTION("""COMPUTED_VALUE"""),"Auto/Tech &amp; TalkRobot")</f>
        <v>Auto/Tech &amp; TalkRobot</v>
      </c>
      <c r="D604" s="4" t="str">
        <f>IFERROR(__xludf.DUMMYFUNCTION("""COMPUTED_VALUE"""),"Moshe Shlisel, Ransom Wuller and Tom Honeyands")</f>
        <v>Moshe Shlisel, Ransom Wuller and Tom Honeyands</v>
      </c>
      <c r="E604" s="4" t="str">
        <f>IFERROR(__xludf.DUMMYFUNCTION("""COMPUTED_VALUE"""),"Moshe Shlisel,Ransom Wuller,Tom Honeyands")</f>
        <v>Moshe Shlisel,Ransom Wuller,Tom Honeyands</v>
      </c>
      <c r="F604" s="4" t="str">
        <f>IFERROR(__xludf.DUMMYFUNCTION("""COMPUTED_VALUE"""),"2019/11/06 15:00:00")</f>
        <v>2019/11/06 15:00:00</v>
      </c>
      <c r="G604" s="4" t="str">
        <f>IFERROR(__xludf.DUMMYFUNCTION("""COMPUTED_VALUE"""),"2019/11/06 15:20:00")</f>
        <v>2019/11/06 15:20:00</v>
      </c>
      <c r="H604" s="4" t="str">
        <f>IFERROR(__xludf.DUMMYFUNCTION("""COMPUTED_VALUE"""),"1fc1cef6-0141-46b2-8350-76391099c092")</f>
        <v>1fc1cef6-0141-46b2-8350-76391099c092</v>
      </c>
      <c r="I604" s="4" t="str">
        <f>IFERROR(__xludf.DUMMYFUNCTION("""COMPUTED_VALUE"""),"1fc1cef6-0141-46b2-8350-76391099c092")</f>
        <v>1fc1cef6-0141-46b2-8350-76391099c092</v>
      </c>
    </row>
    <row r="605">
      <c r="A605" s="4" t="str">
        <f>IFERROR(__xludf.DUMMYFUNCTION("""COMPUTED_VALUE"""),"PITCH Winner revealed")</f>
        <v>PITCH Winner revealed</v>
      </c>
      <c r="B605" s="4" t="str">
        <f>IFERROR(__xludf.DUMMYFUNCTION("""COMPUTED_VALUE"""),"The winner of Web Summit's 2019 PITCH competition is revealed.")</f>
        <v>The winner of Web Summit's 2019 PITCH competition is revealed.</v>
      </c>
      <c r="C605" s="4" t="str">
        <f>IFERROR(__xludf.DUMMYFUNCTION("""COMPUTED_VALUE"""),"Centre Stage")</f>
        <v>Centre Stage</v>
      </c>
      <c r="D605" s="4" t="str">
        <f>IFERROR(__xludf.DUMMYFUNCTION("""COMPUTED_VALUE"""),"Paddy Cosgrave, Pedro Miranda and Mada Seghete")</f>
        <v>Paddy Cosgrave, Pedro Miranda and Mada Seghete</v>
      </c>
      <c r="E605" s="4" t="str">
        <f>IFERROR(__xludf.DUMMYFUNCTION("""COMPUTED_VALUE"""),"Paddy Cosgrave,Pedro Miranda,Mada Seghete")</f>
        <v>Paddy Cosgrave,Pedro Miranda,Mada Seghete</v>
      </c>
      <c r="F605" s="4" t="str">
        <f>IFERROR(__xludf.DUMMYFUNCTION("""COMPUTED_VALUE"""),"2019/11/07 16:25:00")</f>
        <v>2019/11/07 16:25:00</v>
      </c>
      <c r="G605" s="4" t="str">
        <f>IFERROR(__xludf.DUMMYFUNCTION("""COMPUTED_VALUE"""),"2019/11/07 16:30:00")</f>
        <v>2019/11/07 16:30:00</v>
      </c>
      <c r="H605" s="4" t="str">
        <f>IFERROR(__xludf.DUMMYFUNCTION("""COMPUTED_VALUE"""),"19434eb9-68a0-4683-8227-ea6800835e78")</f>
        <v>19434eb9-68a0-4683-8227-ea6800835e78</v>
      </c>
      <c r="I605" s="4" t="str">
        <f>IFERROR(__xludf.DUMMYFUNCTION("""COMPUTED_VALUE"""),"19434eb9-68a0-4683-8227-ea6800835e78")</f>
        <v>19434eb9-68a0-4683-8227-ea6800835e78</v>
      </c>
    </row>
    <row r="606">
      <c r="A606" s="4" t="str">
        <f>IFERROR(__xludf.DUMMYFUNCTION("""COMPUTED_VALUE"""),"Opening remarks")</f>
        <v>Opening remarks</v>
      </c>
      <c r="B606" s="4" t="str">
        <f>IFERROR(__xludf.DUMMYFUNCTION("""COMPUTED_VALUE"""),"Welcome to Corporate Innovation Summit, where we unfold the secrets of the worlds largest firms.")</f>
        <v>Welcome to Corporate Innovation Summit, where we unfold the secrets of the worlds largest firms.</v>
      </c>
      <c r="C606" s="4" t="str">
        <f>IFERROR(__xludf.DUMMYFUNCTION("""COMPUTED_VALUE"""),"Corporate Innovation Summit")</f>
        <v>Corporate Innovation Summit</v>
      </c>
      <c r="D606" s="4" t="str">
        <f>IFERROR(__xludf.DUMMYFUNCTION("""COMPUTED_VALUE"""),"Scott Campbell")</f>
        <v>Scott Campbell</v>
      </c>
      <c r="E606" s="4" t="str">
        <f>IFERROR(__xludf.DUMMYFUNCTION("""COMPUTED_VALUE"""),"Scott Campbell")</f>
        <v>Scott Campbell</v>
      </c>
      <c r="F606" s="4" t="str">
        <f>IFERROR(__xludf.DUMMYFUNCTION("""COMPUTED_VALUE"""),"2019/11/05 10:00:00")</f>
        <v>2019/11/05 10:00:00</v>
      </c>
      <c r="G606" s="4" t="str">
        <f>IFERROR(__xludf.DUMMYFUNCTION("""COMPUTED_VALUE"""),"2019/11/05 10:15:00")</f>
        <v>2019/11/05 10:15:00</v>
      </c>
      <c r="H606" s="4" t="str">
        <f>IFERROR(__xludf.DUMMYFUNCTION("""COMPUTED_VALUE"""),"f67dafe5-f84e-4ff8-bcb4-804dfba7b2a5")</f>
        <v>f67dafe5-f84e-4ff8-bcb4-804dfba7b2a5</v>
      </c>
      <c r="I606" s="4" t="str">
        <f>IFERROR(__xludf.DUMMYFUNCTION("""COMPUTED_VALUE"""),"f67dafe5-f84e-4ff8-bcb4-804dfba7b2a5")</f>
        <v>f67dafe5-f84e-4ff8-bcb4-804dfba7b2a5</v>
      </c>
    </row>
    <row r="607">
      <c r="A607" s="4" t="str">
        <f>IFERROR(__xludf.DUMMYFUNCTION("""COMPUTED_VALUE"""),"Is DevOps still relevant in a cloud-native world? ")</f>
        <v>Is DevOps still relevant in a cloud-native world? </v>
      </c>
      <c r="B607" s="4" t="str">
        <f>IFERROR(__xludf.DUMMYFUNCTION("""COMPUTED_VALUE"""),"Has DevOps become outdated with the increasing trend towards abstracting away infrastructure into platforms? Let's hear what our panel of expetrs think.")</f>
        <v>Has DevOps become outdated with the increasing trend towards abstracting away infrastructure into platforms? Let's hear what our panel of expetrs think.</v>
      </c>
      <c r="C607" s="4" t="str">
        <f>IFERROR(__xludf.DUMMYFUNCTION("""COMPUTED_VALUE"""),"FullSTK")</f>
        <v>FullSTK</v>
      </c>
      <c r="D607" s="4" t="str">
        <f>IFERROR(__xludf.DUMMYFUNCTION("""COMPUTED_VALUE"""),"Andi Mann, Rebecca Parsons and Paul Dolan")</f>
        <v>Andi Mann, Rebecca Parsons and Paul Dolan</v>
      </c>
      <c r="E607" s="4" t="str">
        <f>IFERROR(__xludf.DUMMYFUNCTION("""COMPUTED_VALUE"""),"Andi Mann,Rebecca Parsons,Paul Dolan")</f>
        <v>Andi Mann,Rebecca Parsons,Paul Dolan</v>
      </c>
      <c r="F607" s="4" t="str">
        <f>IFERROR(__xludf.DUMMYFUNCTION("""COMPUTED_VALUE"""),"2019/11/07 15:20:00")</f>
        <v>2019/11/07 15:20:00</v>
      </c>
      <c r="G607" s="4" t="str">
        <f>IFERROR(__xludf.DUMMYFUNCTION("""COMPUTED_VALUE"""),"2019/11/07 15:40:00")</f>
        <v>2019/11/07 15:40:00</v>
      </c>
      <c r="H607" s="4" t="str">
        <f>IFERROR(__xludf.DUMMYFUNCTION("""COMPUTED_VALUE"""),"4042891e-6fb6-410c-bf2f-62bcbcf561a1")</f>
        <v>4042891e-6fb6-410c-bf2f-62bcbcf561a1</v>
      </c>
      <c r="I607" s="4" t="str">
        <f>IFERROR(__xludf.DUMMYFUNCTION("""COMPUTED_VALUE"""),"4042891e-6fb6-410c-bf2f-62bcbcf561a1")</f>
        <v>4042891e-6fb6-410c-bf2f-62bcbcf561a1</v>
      </c>
    </row>
    <row r="608">
      <c r="A608" s="4" t="str">
        <f>IFERROR(__xludf.DUMMYFUNCTION("""COMPUTED_VALUE"""),"Advancing in the age of automation ")</f>
        <v>Advancing in the age of automation </v>
      </c>
      <c r="B608" s="4" t="str">
        <f>IFERROR(__xludf.DUMMYFUNCTION("""COMPUTED_VALUE"""),"Data industry veteran Gaurav Dhillon will share insights and best practices to get automation right. He’ll discuss the required technology stack to solve the most pressing enterprise challenges, how lines of business and IT must collaborate to avert one-o"&amp;"ff projects and achieve automation at scale, and share practical customer use-cases that demonstrate success. ")</f>
        <v>Data industry veteran Gaurav Dhillon will share insights and best practices to get automation right. He’ll discuss the required technology stack to solve the most pressing enterprise challenges, how lines of business and IT must collaborate to avert one-off projects and achieve automation at scale, and share practical customer use-cases that demonstrate success. </v>
      </c>
      <c r="C608" s="8" t="str">
        <f>IFERROR(__xludf.DUMMYFUNCTION("""COMPUTED_VALUE"""),"binate.io")</f>
        <v>binate.io</v>
      </c>
      <c r="D608" s="4" t="str">
        <f>IFERROR(__xludf.DUMMYFUNCTION("""COMPUTED_VALUE"""),"Gaurav Dhillon")</f>
        <v>Gaurav Dhillon</v>
      </c>
      <c r="E608" s="4" t="str">
        <f>IFERROR(__xludf.DUMMYFUNCTION("""COMPUTED_VALUE"""),"Gaurav Dhillon")</f>
        <v>Gaurav Dhillon</v>
      </c>
      <c r="F608" s="4" t="str">
        <f>IFERROR(__xludf.DUMMYFUNCTION("""COMPUTED_VALUE"""),"2019/11/06 15:25:00")</f>
        <v>2019/11/06 15:25:00</v>
      </c>
      <c r="G608" s="4" t="str">
        <f>IFERROR(__xludf.DUMMYFUNCTION("""COMPUTED_VALUE"""),"2019/11/06 15:45:00")</f>
        <v>2019/11/06 15:45:00</v>
      </c>
      <c r="H608" s="4" t="str">
        <f>IFERROR(__xludf.DUMMYFUNCTION("""COMPUTED_VALUE"""),"ce5cb8a4-44c3-435d-bb53-87dfe5cb3eda")</f>
        <v>ce5cb8a4-44c3-435d-bb53-87dfe5cb3eda</v>
      </c>
      <c r="I608" s="4" t="str">
        <f>IFERROR(__xludf.DUMMYFUNCTION("""COMPUTED_VALUE"""),"ce5cb8a4-44c3-435d-bb53-87dfe5cb3eda")</f>
        <v>ce5cb8a4-44c3-435d-bb53-87dfe5cb3eda</v>
      </c>
    </row>
    <row r="609">
      <c r="A609" s="4" t="str">
        <f>IFERROR(__xludf.DUMMYFUNCTION("""COMPUTED_VALUE"""),"Opening remarks")</f>
        <v>Opening remarks</v>
      </c>
      <c r="B609" s="4" t="str">
        <f>IFERROR(__xludf.DUMMYFUNCTION("""COMPUTED_VALUE"""),"")</f>
        <v/>
      </c>
      <c r="C609" s="4" t="str">
        <f>IFERROR(__xludf.DUMMYFUNCTION("""COMPUTED_VALUE"""),"Future Societies")</f>
        <v>Future Societies</v>
      </c>
      <c r="D609" s="4" t="str">
        <f>IFERROR(__xludf.DUMMYFUNCTION("""COMPUTED_VALUE"""),"Casper Klynge")</f>
        <v>Casper Klynge</v>
      </c>
      <c r="E609" s="4" t="str">
        <f>IFERROR(__xludf.DUMMYFUNCTION("""COMPUTED_VALUE"""),"Casper Klynge")</f>
        <v>Casper Klynge</v>
      </c>
      <c r="F609" s="4" t="str">
        <f>IFERROR(__xludf.DUMMYFUNCTION("""COMPUTED_VALUE"""),"2019/11/05 10:10:00")</f>
        <v>2019/11/05 10:10:00</v>
      </c>
      <c r="G609" s="4" t="str">
        <f>IFERROR(__xludf.DUMMYFUNCTION("""COMPUTED_VALUE"""),"2019/11/05 10:20:00")</f>
        <v>2019/11/05 10:20:00</v>
      </c>
      <c r="H609" s="4" t="str">
        <f>IFERROR(__xludf.DUMMYFUNCTION("""COMPUTED_VALUE"""),"812f199f-9fc9-4214-9191-5e4a8a78d4df")</f>
        <v>812f199f-9fc9-4214-9191-5e4a8a78d4df</v>
      </c>
      <c r="I609" s="4" t="str">
        <f>IFERROR(__xludf.DUMMYFUNCTION("""COMPUTED_VALUE"""),"812f199f-9fc9-4214-9191-5e4a8a78d4df")</f>
        <v>812f199f-9fc9-4214-9191-5e4a8a78d4df</v>
      </c>
    </row>
    <row r="610">
      <c r="A610" s="4" t="str">
        <f>IFERROR(__xludf.DUMMYFUNCTION("""COMPUTED_VALUE"""),"Can you manufacture dissent?")</f>
        <v>Can you manufacture dissent?</v>
      </c>
      <c r="B610" s="4" t="str">
        <f>IFERROR(__xludf.DUMMYFUNCTION("""COMPUTED_VALUE"""),"Fomenting dissent in non-democratic countries is never easy. Helping citizens living under authoritarian governments to seize control is both difficult and fraught with diplomatic challenges. In this session we will hear from a world leading expert in pro"&amp;"moting anti-authoritarian movements about why he thinks Europe isn't playing this particular game, and the role the United States government is playing.")</f>
        <v>Fomenting dissent in non-democratic countries is never easy. Helping citizens living under authoritarian governments to seize control is both difficult and fraught with diplomatic challenges. In this session we will hear from a world leading expert in promoting anti-authoritarian movements about why he thinks Europe isn't playing this particular game, and the role the United States government is playing.</v>
      </c>
      <c r="C610" s="4" t="str">
        <f>IFERROR(__xludf.DUMMYFUNCTION("""COMPUTED_VALUE"""),"Future Societies")</f>
        <v>Future Societies</v>
      </c>
      <c r="D610" s="4" t="str">
        <f>IFERROR(__xludf.DUMMYFUNCTION("""COMPUTED_VALUE"""),"Michael Pillsbury and Ryan Broderick")</f>
        <v>Michael Pillsbury and Ryan Broderick</v>
      </c>
      <c r="E610" s="4" t="str">
        <f>IFERROR(__xludf.DUMMYFUNCTION("""COMPUTED_VALUE"""),"Michael Pillsbury,Ryan Broderick")</f>
        <v>Michael Pillsbury,Ryan Broderick</v>
      </c>
      <c r="F610" s="4" t="str">
        <f>IFERROR(__xludf.DUMMYFUNCTION("""COMPUTED_VALUE"""),"2019/11/07 15:00:00")</f>
        <v>2019/11/07 15:00:00</v>
      </c>
      <c r="G610" s="4" t="str">
        <f>IFERROR(__xludf.DUMMYFUNCTION("""COMPUTED_VALUE"""),"2019/11/07 15:25:00")</f>
        <v>2019/11/07 15:25:00</v>
      </c>
      <c r="H610" s="4" t="str">
        <f>IFERROR(__xludf.DUMMYFUNCTION("""COMPUTED_VALUE"""),"6bcbad01-b938-4ba6-9fa9-0680d90c6015")</f>
        <v>6bcbad01-b938-4ba6-9fa9-0680d90c6015</v>
      </c>
      <c r="I610" s="4" t="str">
        <f>IFERROR(__xludf.DUMMYFUNCTION("""COMPUTED_VALUE"""),"6bcbad01-b938-4ba6-9fa9-0680d90c6015")</f>
        <v>6bcbad01-b938-4ba6-9fa9-0680d90c6015</v>
      </c>
    </row>
    <row r="611">
      <c r="A611" s="4" t="str">
        <f>IFERROR(__xludf.DUMMYFUNCTION("""COMPUTED_VALUE"""),"Influencer marketing: Lessons learned")</f>
        <v>Influencer marketing: Lessons learned</v>
      </c>
      <c r="B611" s="4" t="str">
        <f>IFERROR(__xludf.DUMMYFUNCTION("""COMPUTED_VALUE"""),"CEO and co-founder of Shoppiday, Juan Luis Rico discusses the lessons he has learned in influencer marketing in order to drive growth")</f>
        <v>CEO and co-founder of Shoppiday, Juan Luis Rico discusses the lessons he has learned in influencer marketing in order to drive growth</v>
      </c>
      <c r="C611" s="4" t="str">
        <f>IFERROR(__xludf.DUMMYFUNCTION("""COMPUTED_VALUE"""),"Growth Summit")</f>
        <v>Growth Summit</v>
      </c>
      <c r="D611" s="4" t="str">
        <f>IFERROR(__xludf.DUMMYFUNCTION("""COMPUTED_VALUE"""),"Juan Luis Rico")</f>
        <v>Juan Luis Rico</v>
      </c>
      <c r="E611" s="4" t="str">
        <f>IFERROR(__xludf.DUMMYFUNCTION("""COMPUTED_VALUE"""),"Juan Luis Rico")</f>
        <v>Juan Luis Rico</v>
      </c>
      <c r="F611" s="4" t="str">
        <f>IFERROR(__xludf.DUMMYFUNCTION("""COMPUTED_VALUE"""),"2019/11/07 10:02:00")</f>
        <v>2019/11/07 10:02:00</v>
      </c>
      <c r="G611" s="4" t="str">
        <f>IFERROR(__xludf.DUMMYFUNCTION("""COMPUTED_VALUE"""),"2019/11/07 10:06:00")</f>
        <v>2019/11/07 10:06:00</v>
      </c>
      <c r="H611" s="4" t="str">
        <f>IFERROR(__xludf.DUMMYFUNCTION("""COMPUTED_VALUE"""),"3cdb2945-e926-46ce-b334-6ec3f75ccd87")</f>
        <v>3cdb2945-e926-46ce-b334-6ec3f75ccd87</v>
      </c>
      <c r="I611" s="4" t="str">
        <f>IFERROR(__xludf.DUMMYFUNCTION("""COMPUTED_VALUE"""),"3cdb2945-e926-46ce-b334-6ec3f75ccd87")</f>
        <v>3cdb2945-e926-46ce-b334-6ec3f75ccd87</v>
      </c>
    </row>
    <row r="612">
      <c r="A612" s="4" t="str">
        <f>IFERROR(__xludf.DUMMYFUNCTION("""COMPUTED_VALUE"""),"People before profiles: Customer relationships in the age of AI")</f>
        <v>People before profiles: Customer relationships in the age of AI</v>
      </c>
      <c r="B612" s="4" t="str">
        <f>IFERROR(__xludf.DUMMYFUNCTION("""COMPUTED_VALUE"""),"In this talk, founder and CEO of integrate.ai, Steve presents an oral history of martech, pinpointing the exact moment we stopped treating our customers like people, and started seeing them as profiles. New technology like AI presents an opportunity to ge"&amp;"t back to basics, but will businesses bite? ")</f>
        <v>In this talk, founder and CEO of integrate.ai, Steve presents an oral history of martech, pinpointing the exact moment we stopped treating our customers like people, and started seeing them as profiles. New technology like AI presents an opportunity to get back to basics, but will businesses bite? </v>
      </c>
      <c r="C612" s="4" t="str">
        <f>IFERROR(__xludf.DUMMYFUNCTION("""COMPUTED_VALUE"""),"Growth Summit")</f>
        <v>Growth Summit</v>
      </c>
      <c r="D612" s="4" t="str">
        <f>IFERROR(__xludf.DUMMYFUNCTION("""COMPUTED_VALUE"""),"Steve Irvine")</f>
        <v>Steve Irvine</v>
      </c>
      <c r="E612" s="4" t="str">
        <f>IFERROR(__xludf.DUMMYFUNCTION("""COMPUTED_VALUE"""),"Steve Irvine")</f>
        <v>Steve Irvine</v>
      </c>
      <c r="F612" s="4" t="str">
        <f>IFERROR(__xludf.DUMMYFUNCTION("""COMPUTED_VALUE"""),"2019/11/05 13:36:00")</f>
        <v>2019/11/05 13:36:00</v>
      </c>
      <c r="G612" s="4" t="str">
        <f>IFERROR(__xludf.DUMMYFUNCTION("""COMPUTED_VALUE"""),"2019/11/05 13:47:00")</f>
        <v>2019/11/05 13:47:00</v>
      </c>
      <c r="H612" s="4" t="str">
        <f>IFERROR(__xludf.DUMMYFUNCTION("""COMPUTED_VALUE"""),"b5b6a05c-8350-4d50-9275-01fdcc9371ee")</f>
        <v>b5b6a05c-8350-4d50-9275-01fdcc9371ee</v>
      </c>
      <c r="I612" s="4" t="str">
        <f>IFERROR(__xludf.DUMMYFUNCTION("""COMPUTED_VALUE"""),"b5b6a05c-8350-4d50-9275-01fdcc9371ee")</f>
        <v>b5b6a05c-8350-4d50-9275-01fdcc9371ee</v>
      </c>
    </row>
    <row r="613">
      <c r="A613" s="4" t="str">
        <f>IFERROR(__xludf.DUMMYFUNCTION("""COMPUTED_VALUE"""),"PITCH ground round 5")</f>
        <v>PITCH ground round 5</v>
      </c>
      <c r="B613" s="4" t="str">
        <f>IFERROR(__xludf.DUMMYFUNCTION("""COMPUTED_VALUE"""),"")</f>
        <v/>
      </c>
      <c r="C613" s="4" t="str">
        <f>IFERROR(__xludf.DUMMYFUNCTION("""COMPUTED_VALUE"""),"")</f>
        <v/>
      </c>
      <c r="D613" s="4" t="str">
        <f>IFERROR(__xludf.DUMMYFUNCTION("""COMPUTED_VALUE"""),"Juan Pablo Ortega,  Harry Briggs,  Paddy Dillon,  Jordan Fliegel,  Daniel Reis,  Miguel Teixeira,  Jony Jung,  Michal Kiezik,  Paulo Ferreira dos Santos,  Peter Horvath and  JuanMiguel Perez Rosas and Brennan Basnicki")</f>
        <v>Juan Pablo Ortega,  Harry Briggs,  Paddy Dillon,  Jordan Fliegel,  Daniel Reis,  Miguel Teixeira,  Jony Jung,  Michal Kiezik,  Paulo Ferreira dos Santos,  Peter Horvath and  JuanMiguel Perez Rosas and Brennan Basnicki</v>
      </c>
      <c r="E613" s="4" t="str">
        <f>IFERROR(__xludf.DUMMYFUNCTION("""COMPUTED_VALUE"""),"Juan Pablo Ortega, Harry Briggs, Paddy Dillon, Jordan Fliegel, Daniel Reis, Miguel Teixeira, Jony Jung, Michal Kiezik, Paulo Ferreira dos Santos, Peter Horvath, JuanMiguel Perez Rosas and Brennan Basnicki")</f>
        <v>Juan Pablo Ortega, Harry Briggs, Paddy Dillon, Jordan Fliegel, Daniel Reis, Miguel Teixeira, Jony Jung, Michal Kiezik, Paulo Ferreira dos Santos, Peter Horvath, JuanMiguel Perez Rosas and Brennan Basnicki</v>
      </c>
      <c r="F613" s="4" t="str">
        <f>IFERROR(__xludf.DUMMYFUNCTION("""COMPUTED_VALUE"""),"")</f>
        <v/>
      </c>
      <c r="G613" s="4" t="str">
        <f>IFERROR(__xludf.DUMMYFUNCTION("""COMPUTED_VALUE"""),"")</f>
        <v/>
      </c>
      <c r="H613" s="4" t="str">
        <f>IFERROR(__xludf.DUMMYFUNCTION("""COMPUTED_VALUE"""),"1b6c4eee-9a03-5a0c-abcf-c8f3235f0480")</f>
        <v>1b6c4eee-9a03-5a0c-abcf-c8f3235f0480</v>
      </c>
      <c r="I613" s="4" t="str">
        <f>IFERROR(__xludf.DUMMYFUNCTION("""COMPUTED_VALUE"""),"1b6c4eee-9a03-5a0c-abcf-c8f3235f0480")</f>
        <v>1b6c4eee-9a03-5a0c-abcf-c8f3235f0480</v>
      </c>
    </row>
    <row r="614">
      <c r="A614" s="4" t="str">
        <f>IFERROR(__xludf.DUMMYFUNCTION("""COMPUTED_VALUE"""),"Opening remarks")</f>
        <v>Opening remarks</v>
      </c>
      <c r="B614" s="4" t="str">
        <f>IFERROR(__xludf.DUMMYFUNCTION("""COMPUTED_VALUE"""),"")</f>
        <v/>
      </c>
      <c r="C614" s="4" t="str">
        <f>IFERROR(__xludf.DUMMYFUNCTION("""COMPUTED_VALUE"""),"Future Societies")</f>
        <v>Future Societies</v>
      </c>
      <c r="D614" s="4" t="str">
        <f>IFERROR(__xludf.DUMMYFUNCTION("""COMPUTED_VALUE"""),"Andrew Chakhoyan")</f>
        <v>Andrew Chakhoyan</v>
      </c>
      <c r="E614" s="4" t="str">
        <f>IFERROR(__xludf.DUMMYFUNCTION("""COMPUTED_VALUE"""),"Andrew Chakhoyan")</f>
        <v>Andrew Chakhoyan</v>
      </c>
      <c r="F614" s="4" t="str">
        <f>IFERROR(__xludf.DUMMYFUNCTION("""COMPUTED_VALUE"""),"2019/11/07 10:15:00")</f>
        <v>2019/11/07 10:15:00</v>
      </c>
      <c r="G614" s="4" t="str">
        <f>IFERROR(__xludf.DUMMYFUNCTION("""COMPUTED_VALUE"""),"2019/11/07 10:30:00")</f>
        <v>2019/11/07 10:30:00</v>
      </c>
      <c r="H614" s="4" t="str">
        <f>IFERROR(__xludf.DUMMYFUNCTION("""COMPUTED_VALUE"""),"d2baa87c-23eb-4849-8534-ee749c8e0952")</f>
        <v>d2baa87c-23eb-4849-8534-ee749c8e0952</v>
      </c>
      <c r="I614" s="4" t="str">
        <f>IFERROR(__xludf.DUMMYFUNCTION("""COMPUTED_VALUE"""),"d2baa87c-23eb-4849-8534-ee749c8e0952")</f>
        <v>d2baa87c-23eb-4849-8534-ee749c8e0952</v>
      </c>
    </row>
    <row r="615">
      <c r="A615" s="4" t="str">
        <f>IFERROR(__xludf.DUMMYFUNCTION("""COMPUTED_VALUE"""),"Opening remarks")</f>
        <v>Opening remarks</v>
      </c>
      <c r="B615" s="4" t="str">
        <f>IFERROR(__xludf.DUMMYFUNCTION("""COMPUTED_VALUE"""),"")</f>
        <v/>
      </c>
      <c r="C615" s="4" t="str">
        <f>IFERROR(__xludf.DUMMYFUNCTION("""COMPUTED_VALUE"""),"SportsTrade")</f>
        <v>SportsTrade</v>
      </c>
      <c r="D615" s="4" t="str">
        <f>IFERROR(__xludf.DUMMYFUNCTION("""COMPUTED_VALUE"""),"Nuno Gomes")</f>
        <v>Nuno Gomes</v>
      </c>
      <c r="E615" s="4" t="str">
        <f>IFERROR(__xludf.DUMMYFUNCTION("""COMPUTED_VALUE"""),"Nuno Gomes")</f>
        <v>Nuno Gomes</v>
      </c>
      <c r="F615" s="4" t="str">
        <f>IFERROR(__xludf.DUMMYFUNCTION("""COMPUTED_VALUE"""),"2019/11/05 10:25:00")</f>
        <v>2019/11/05 10:25:00</v>
      </c>
      <c r="G615" s="4" t="str">
        <f>IFERROR(__xludf.DUMMYFUNCTION("""COMPUTED_VALUE"""),"2019/11/05 10:30:00")</f>
        <v>2019/11/05 10:30:00</v>
      </c>
      <c r="H615" s="4" t="str">
        <f>IFERROR(__xludf.DUMMYFUNCTION("""COMPUTED_VALUE"""),"c5a3397c-cd6a-4900-90a7-f17132c97a77")</f>
        <v>c5a3397c-cd6a-4900-90a7-f17132c97a77</v>
      </c>
      <c r="I615" s="4" t="str">
        <f>IFERROR(__xludf.DUMMYFUNCTION("""COMPUTED_VALUE"""),"c5a3397c-cd6a-4900-90a7-f17132c97a77")</f>
        <v>c5a3397c-cd6a-4900-90a7-f17132c97a77</v>
      </c>
    </row>
    <row r="616">
      <c r="A616" s="4" t="str">
        <f>IFERROR(__xludf.DUMMYFUNCTION("""COMPUTED_VALUE"""),"Back to the future with cloud")</f>
        <v>Back to the future with cloud</v>
      </c>
      <c r="B616" s="4" t="str">
        <f>IFERROR(__xludf.DUMMYFUNCTION("""COMPUTED_VALUE"""),"Businesses agree there is an abundance of opportunities  in digital transformation. Yet, as they welcome new technologies, they often keep old structures and practices in place that hold them back. In 2010 SAP embraced cloud to offer customers choice in h"&amp;"ow they consume SAP’s software.  As the world’s largest enterprise software company, with its software playing a role in up to 77% of global transactions, the company embarked on one of the most comprehensive and complex digital transformation journeys th"&amp;"e industry has seen. The results have been significant: the revenue, profit and the number of employees have more than doubled since 2010 and by 2023, SAP projects that it will approach the 80% mark for its predictable revenue.  But, it all started with t"&amp;"he commitment to re-invent the traditional business model with the customer at the centre, and re-imagine the company culture.")</f>
        <v>Businesses agree there is an abundance of opportunities  in digital transformation. Yet, as they welcome new technologies, they often keep old structures and practices in place that hold them back. In 2010 SAP embraced cloud to offer customers choice in how they consume SAP’s software.  As the world’s largest enterprise software company, with its software playing a role in up to 77% of global transactions, the company embarked on one of the most comprehensive and complex digital transformation journeys the industry has seen. The results have been significant: the revenue, profit and the number of employees have more than doubled since 2010 and by 2023, SAP projects that it will approach the 80% mark for its predictable revenue.  But, it all started with the commitment to re-invent the traditional business model with the customer at the centre, and re-imagine the company culture.</v>
      </c>
      <c r="C616" s="4" t="str">
        <f>IFERROR(__xludf.DUMMYFUNCTION("""COMPUTED_VALUE"""),"SaaS Monster")</f>
        <v>SaaS Monster</v>
      </c>
      <c r="D616" s="4" t="str">
        <f>IFERROR(__xludf.DUMMYFUNCTION("""COMPUTED_VALUE"""),"Adaire Fox-Martin")</f>
        <v>Adaire Fox-Martin</v>
      </c>
      <c r="E616" s="4" t="str">
        <f>IFERROR(__xludf.DUMMYFUNCTION("""COMPUTED_VALUE"""),"Adaire Fox-Martin")</f>
        <v>Adaire Fox-Martin</v>
      </c>
      <c r="F616" s="4" t="str">
        <f>IFERROR(__xludf.DUMMYFUNCTION("""COMPUTED_VALUE"""),"2019/11/05 10:30:00")</f>
        <v>2019/11/05 10:30:00</v>
      </c>
      <c r="G616" s="4" t="str">
        <f>IFERROR(__xludf.DUMMYFUNCTION("""COMPUTED_VALUE"""),"2019/11/05 10:50:00")</f>
        <v>2019/11/05 10:50:00</v>
      </c>
      <c r="H616" s="4" t="str">
        <f>IFERROR(__xludf.DUMMYFUNCTION("""COMPUTED_VALUE"""),"52d1fcf0-7511-4479-9b2f-84624a820b06")</f>
        <v>52d1fcf0-7511-4479-9b2f-84624a820b06</v>
      </c>
      <c r="I616" s="4" t="str">
        <f>IFERROR(__xludf.DUMMYFUNCTION("""COMPUTED_VALUE"""),"52d1fcf0-7511-4479-9b2f-84624a820b06")</f>
        <v>52d1fcf0-7511-4479-9b2f-84624a820b06</v>
      </c>
    </row>
    <row r="617">
      <c r="A617" s="4" t="str">
        <f>IFERROR(__xludf.DUMMYFUNCTION("""COMPUTED_VALUE"""),"What they don't tell you about raising rounds ")</f>
        <v>What they don't tell you about raising rounds </v>
      </c>
      <c r="B617" s="4" t="str">
        <f>IFERROR(__xludf.DUMMYFUNCTION("""COMPUTED_VALUE"""),"In this session the founder of Toptal draws on his personal story to talk about going against the trend of raising funds to scale your company, and the ups and downs of bootstrapping your startup.")</f>
        <v>In this session the founder of Toptal draws on his personal story to talk about going against the trend of raising funds to scale your company, and the ups and downs of bootstrapping your startup.</v>
      </c>
      <c r="C617" s="4" t="str">
        <f>IFERROR(__xludf.DUMMYFUNCTION("""COMPUTED_VALUE"""),"Startup University")</f>
        <v>Startup University</v>
      </c>
      <c r="D617" s="4" t="str">
        <f>IFERROR(__xludf.DUMMYFUNCTION("""COMPUTED_VALUE"""),"Taso Du Val and Mark Little")</f>
        <v>Taso Du Val and Mark Little</v>
      </c>
      <c r="E617" s="4" t="str">
        <f>IFERROR(__xludf.DUMMYFUNCTION("""COMPUTED_VALUE"""),"Taso Du Val,Mark Little")</f>
        <v>Taso Du Val,Mark Little</v>
      </c>
      <c r="F617" s="4" t="str">
        <f>IFERROR(__xludf.DUMMYFUNCTION("""COMPUTED_VALUE"""),"2019/11/05 14:20:00")</f>
        <v>2019/11/05 14:20:00</v>
      </c>
      <c r="G617" s="4" t="str">
        <f>IFERROR(__xludf.DUMMYFUNCTION("""COMPUTED_VALUE"""),"2019/11/05 14:40:00")</f>
        <v>2019/11/05 14:40:00</v>
      </c>
      <c r="H617" s="4" t="str">
        <f>IFERROR(__xludf.DUMMYFUNCTION("""COMPUTED_VALUE"""),"51f3c8e8-a930-48f5-88a4-2dbd760b2d90")</f>
        <v>51f3c8e8-a930-48f5-88a4-2dbd760b2d90</v>
      </c>
      <c r="I617" s="4" t="str">
        <f>IFERROR(__xludf.DUMMYFUNCTION("""COMPUTED_VALUE"""),"51f3c8e8-a930-48f5-88a4-2dbd760b2d90")</f>
        <v>51f3c8e8-a930-48f5-88a4-2dbd760b2d90</v>
      </c>
    </row>
    <row r="618">
      <c r="A618" s="4" t="str">
        <f>IFERROR(__xludf.DUMMYFUNCTION("""COMPUTED_VALUE"""),"Making sense of machine learning for your organisation")</f>
        <v>Making sense of machine learning for your organisation</v>
      </c>
      <c r="B618" s="4" t="str">
        <f>IFERROR(__xludf.DUMMYFUNCTION("""COMPUTED_VALUE"""),"Machine learning (ML) helps your organisation leverage data by providing immense value across almost every part of the stack, but where do you begin? Common questions include how can it help me, what do I need to know, and how do I get started? In this se"&amp;"ssion, we'll lay out the groundwork by reviewing the basics of ML applications, followed by exploring the different services available on AWS. We'll review the pros and cons of different methodologies. You'll leave this session with questions that you can"&amp;" take back to your team to help you decide which methodology is best for you.")</f>
        <v>Machine learning (ML) helps your organisation leverage data by providing immense value across almost every part of the stack, but where do you begin? Common questions include how can it help me, what do I need to know, and how do I get started? In this session, we'll lay out the groundwork by reviewing the basics of ML applications, followed by exploring the different services available on AWS. We'll review the pros and cons of different methodologies. You'll leave this session with questions that you can take back to your team to help you decide which methodology is best for you.</v>
      </c>
      <c r="C618" s="4" t="str">
        <f>IFERROR(__xludf.DUMMYFUNCTION("""COMPUTED_VALUE"""),"AWS Developer Workshops")</f>
        <v>AWS Developer Workshops</v>
      </c>
      <c r="D618" s="4" t="str">
        <f>IFERROR(__xludf.DUMMYFUNCTION("""COMPUTED_VALUE"""),"")</f>
        <v/>
      </c>
      <c r="E618" s="4" t="str">
        <f>IFERROR(__xludf.DUMMYFUNCTION("""COMPUTED_VALUE"""),"")</f>
        <v/>
      </c>
      <c r="F618" s="4" t="str">
        <f>IFERROR(__xludf.DUMMYFUNCTION("""COMPUTED_VALUE"""),"2019/11/05 15:00:00")</f>
        <v>2019/11/05 15:00:00</v>
      </c>
      <c r="G618" s="4" t="str">
        <f>IFERROR(__xludf.DUMMYFUNCTION("""COMPUTED_VALUE"""),"2019/11/05 15:50:00")</f>
        <v>2019/11/05 15:50:00</v>
      </c>
      <c r="H618" s="4" t="str">
        <f>IFERROR(__xludf.DUMMYFUNCTION("""COMPUTED_VALUE"""),"ba0b2338-3915-419e-8572-e823547d1888")</f>
        <v>ba0b2338-3915-419e-8572-e823547d1888</v>
      </c>
      <c r="I618" s="4" t="str">
        <f>IFERROR(__xludf.DUMMYFUNCTION("""COMPUTED_VALUE"""),"ba0b2338-3915-419e-8572-e823547d1888")</f>
        <v>ba0b2338-3915-419e-8572-e823547d1888</v>
      </c>
    </row>
    <row r="619">
      <c r="A619" s="4" t="str">
        <f>IFERROR(__xludf.DUMMYFUNCTION("""COMPUTED_VALUE"""),"The 2020 marketing playbook ")</f>
        <v>The 2020 marketing playbook </v>
      </c>
      <c r="B619" s="4" t="str">
        <f>IFERROR(__xludf.DUMMYFUNCTION("""COMPUTED_VALUE"""),"To be a successful marketer in 2020, you need to have your head in the game. David Meltzer will give you the key moves you need in your marketing playbook.")</f>
        <v>To be a successful marketer in 2020, you need to have your head in the game. David Meltzer will give you the key moves you need in your marketing playbook.</v>
      </c>
      <c r="C619" s="4" t="str">
        <f>IFERROR(__xludf.DUMMYFUNCTION("""COMPUTED_VALUE"""),"PandaConf")</f>
        <v>PandaConf</v>
      </c>
      <c r="D619" s="4" t="str">
        <f>IFERROR(__xludf.DUMMYFUNCTION("""COMPUTED_VALUE"""),"David Meltzer")</f>
        <v>David Meltzer</v>
      </c>
      <c r="E619" s="4" t="str">
        <f>IFERROR(__xludf.DUMMYFUNCTION("""COMPUTED_VALUE"""),"David Meltzer")</f>
        <v>David Meltzer</v>
      </c>
      <c r="F619" s="4" t="str">
        <f>IFERROR(__xludf.DUMMYFUNCTION("""COMPUTED_VALUE"""),"2019/11/06 10:50:00")</f>
        <v>2019/11/06 10:50:00</v>
      </c>
      <c r="G619" s="4" t="str">
        <f>IFERROR(__xludf.DUMMYFUNCTION("""COMPUTED_VALUE"""),"2019/11/06 11:00:00")</f>
        <v>2019/11/06 11:00:00</v>
      </c>
      <c r="H619" s="4" t="str">
        <f>IFERROR(__xludf.DUMMYFUNCTION("""COMPUTED_VALUE"""),"a3e6df10-bf0c-4bb6-bc64-445c0756285c")</f>
        <v>a3e6df10-bf0c-4bb6-bc64-445c0756285c</v>
      </c>
      <c r="I619" s="4" t="str">
        <f>IFERROR(__xludf.DUMMYFUNCTION("""COMPUTED_VALUE"""),"a3e6df10-bf0c-4bb6-bc64-445c0756285c")</f>
        <v>a3e6df10-bf0c-4bb6-bc64-445c0756285c</v>
      </c>
    </row>
    <row r="620">
      <c r="A620" s="4" t="str">
        <f>IFERROR(__xludf.DUMMYFUNCTION("""COMPUTED_VALUE"""),"Mastercard's leadership in responsible technology")</f>
        <v>Mastercard's leadership in responsible technology</v>
      </c>
      <c r="B620" s="4" t="str">
        <f>IFERROR(__xludf.DUMMYFUNCTION("""COMPUTED_VALUE"""),"Responsible technology – new and emerging technologies like AI, biometrics and cyber stand to perform an unprecedented and positive role for society. But for them to be successful, public, government and industry trust is essential.  How, then, can an env"&amp;"ironment be created and sustained, that strikes the right balance between enabling technology development to continue to keep pace with user demand, while ensuring the right guardrails are in place, so we can all build and maintain trust in them?")</f>
        <v>Responsible technology – new and emerging technologies like AI, biometrics and cyber stand to perform an unprecedented and positive role for society. But for them to be successful, public, government and industry trust is essential.  How, then, can an environment be created and sustained, that strikes the right balance between enabling technology development to continue to keep pace with user demand, while ensuring the right guardrails are in place, so we can all build and maintain trust in them?</v>
      </c>
      <c r="C620" s="4" t="str">
        <f>IFERROR(__xludf.DUMMYFUNCTION("""COMPUTED_VALUE"""),"Corporate Innovation Summit")</f>
        <v>Corporate Innovation Summit</v>
      </c>
      <c r="D620" s="4" t="str">
        <f>IFERROR(__xludf.DUMMYFUNCTION("""COMPUTED_VALUE"""),"Ajay Bhalla and Jeremy Kahn")</f>
        <v>Ajay Bhalla and Jeremy Kahn</v>
      </c>
      <c r="E620" s="4" t="str">
        <f>IFERROR(__xludf.DUMMYFUNCTION("""COMPUTED_VALUE"""),"Ajay Bhalla,Jeremy Kahn")</f>
        <v>Ajay Bhalla,Jeremy Kahn</v>
      </c>
      <c r="F620" s="4" t="str">
        <f>IFERROR(__xludf.DUMMYFUNCTION("""COMPUTED_VALUE"""),"2019/11/06 14:40:00")</f>
        <v>2019/11/06 14:40:00</v>
      </c>
      <c r="G620" s="4" t="str">
        <f>IFERROR(__xludf.DUMMYFUNCTION("""COMPUTED_VALUE"""),"2019/11/06 15:00:00")</f>
        <v>2019/11/06 15:00:00</v>
      </c>
      <c r="H620" s="4" t="str">
        <f>IFERROR(__xludf.DUMMYFUNCTION("""COMPUTED_VALUE"""),"3ff9efcf-7f8b-4346-81eb-8d4e9ef580de")</f>
        <v>3ff9efcf-7f8b-4346-81eb-8d4e9ef580de</v>
      </c>
      <c r="I620" s="4" t="str">
        <f>IFERROR(__xludf.DUMMYFUNCTION("""COMPUTED_VALUE"""),"3ff9efcf-7f8b-4346-81eb-8d4e9ef580de")</f>
        <v>3ff9efcf-7f8b-4346-81eb-8d4e9ef580de</v>
      </c>
    </row>
    <row r="621">
      <c r="A621" s="4" t="str">
        <f>IFERROR(__xludf.DUMMYFUNCTION("""COMPUTED_VALUE"""),"PITCH quarterfinal 2")</f>
        <v>PITCH quarterfinal 2</v>
      </c>
      <c r="B621" s="4" t="str">
        <f>IFERROR(__xludf.DUMMYFUNCTION("""COMPUTED_VALUE"""),"")</f>
        <v/>
      </c>
      <c r="C621" s="4" t="str">
        <f>IFERROR(__xludf.DUMMYFUNCTION("""COMPUTED_VALUE"""),"PITCH 3")</f>
        <v>PITCH 3</v>
      </c>
      <c r="D621" s="4" t="str">
        <f>IFERROR(__xludf.DUMMYFUNCTION("""COMPUTED_VALUE"""),"Tahira Rehmatullah, Jean-Marc Patouillaud, Ajay Ramachandran, Brendan Yell, Jacqueline van den Ende and Ulli Waltinger")</f>
        <v>Tahira Rehmatullah, Jean-Marc Patouillaud, Ajay Ramachandran, Brendan Yell, Jacqueline van den Ende and Ulli Waltinger</v>
      </c>
      <c r="E621" s="4" t="str">
        <f>IFERROR(__xludf.DUMMYFUNCTION("""COMPUTED_VALUE"""),"Tahira Rehmatullah,Jean-Marc Patouillaud,Ajay Ramachandran,Brendan Yell,Jacqueline van den Ende,Ulli Waltinger")</f>
        <v>Tahira Rehmatullah,Jean-Marc Patouillaud,Ajay Ramachandran,Brendan Yell,Jacqueline van den Ende,Ulli Waltinger</v>
      </c>
      <c r="F621" s="4" t="str">
        <f>IFERROR(__xludf.DUMMYFUNCTION("""COMPUTED_VALUE"""),"2019/11/05 16:15:00")</f>
        <v>2019/11/05 16:15:00</v>
      </c>
      <c r="G621" s="4" t="str">
        <f>IFERROR(__xludf.DUMMYFUNCTION("""COMPUTED_VALUE"""),"2019/11/05 17:30:00")</f>
        <v>2019/11/05 17:30:00</v>
      </c>
      <c r="H621" s="4" t="str">
        <f>IFERROR(__xludf.DUMMYFUNCTION("""COMPUTED_VALUE"""),"64889f92-b8d1-4d50-8db0-91724fd1690f")</f>
        <v>64889f92-b8d1-4d50-8db0-91724fd1690f</v>
      </c>
      <c r="I621" s="4" t="str">
        <f>IFERROR(__xludf.DUMMYFUNCTION("""COMPUTED_VALUE"""),"64889f92-b8d1-4d50-8db0-91724fd1690f")</f>
        <v>64889f92-b8d1-4d50-8db0-91724fd1690f</v>
      </c>
    </row>
    <row r="622">
      <c r="A622" s="4" t="str">
        <f>IFERROR(__xludf.DUMMYFUNCTION("""COMPUTED_VALUE"""),"Building a FinTech that’s changing the game")</f>
        <v>Building a FinTech that’s changing the game</v>
      </c>
      <c r="B622" s="4" t="str">
        <f>IFERROR(__xludf.DUMMYFUNCTION("""COMPUTED_VALUE"""),"Bitpanda’s CEO Eric Demuth will talk about how the company solved one of the industry’s biggest challenges: making investing as safe and easy as possible. Eric will share the company’s growth insights: how to create products with a positive revenue stream"&amp;" that can actually scale, and Bitpanda’s impact on the financial industry - empowering everyone to invest in their future.
")</f>
        <v>Bitpanda’s CEO Eric Demuth will talk about how the company solved one of the industry’s biggest challenges: making investing as safe and easy as possible. Eric will share the company’s growth insights: how to create products with a positive revenue stream that can actually scale, and Bitpanda’s impact on the financial industry - empowering everyone to invest in their future.
</v>
      </c>
      <c r="C622" s="4" t="str">
        <f>IFERROR(__xludf.DUMMYFUNCTION("""COMPUTED_VALUE"""),"Growth Summit")</f>
        <v>Growth Summit</v>
      </c>
      <c r="D622" s="4" t="str">
        <f>IFERROR(__xludf.DUMMYFUNCTION("""COMPUTED_VALUE"""),"Eric Demuth")</f>
        <v>Eric Demuth</v>
      </c>
      <c r="E622" s="4" t="str">
        <f>IFERROR(__xludf.DUMMYFUNCTION("""COMPUTED_VALUE"""),"Eric Demuth")</f>
        <v>Eric Demuth</v>
      </c>
      <c r="F622" s="4" t="str">
        <f>IFERROR(__xludf.DUMMYFUNCTION("""COMPUTED_VALUE"""),"2019/11/05 12:30:00")</f>
        <v>2019/11/05 12:30:00</v>
      </c>
      <c r="G622" s="4" t="str">
        <f>IFERROR(__xludf.DUMMYFUNCTION("""COMPUTED_VALUE"""),"2019/11/05 12:41:00")</f>
        <v>2019/11/05 12:41:00</v>
      </c>
      <c r="H622" s="4" t="str">
        <f>IFERROR(__xludf.DUMMYFUNCTION("""COMPUTED_VALUE"""),"b5074e1d-20df-436b-ba78-34da6561777f")</f>
        <v>b5074e1d-20df-436b-ba78-34da6561777f</v>
      </c>
      <c r="I622" s="4" t="str">
        <f>IFERROR(__xludf.DUMMYFUNCTION("""COMPUTED_VALUE"""),"b5074e1d-20df-436b-ba78-34da6561777f")</f>
        <v>b5074e1d-20df-436b-ba78-34da6561777f</v>
      </c>
    </row>
    <row r="623">
      <c r="A623" s="4" t="str">
        <f>IFERROR(__xludf.DUMMYFUNCTION("""COMPUTED_VALUE"""),"Digital skills, your future, hosted by European Commission")</f>
        <v>Digital skills, your future, hosted by European Commission</v>
      </c>
      <c r="B623" s="4" t="str">
        <f>IFERROR(__xludf.DUMMYFUNCTION("""COMPUTED_VALUE"""),"Europe is facing a large digital skills gap. There are around 1 million vacancies for digital experts and this figure is set to increase in the future. All over Europe, 35% of workers do not have even basic digital skills. This is significantly impacting "&amp;"EU businesses. People need to be trained and re-trained for the digital transformation. In this workshop you will learn from companies who have tackled this challenge and who are committed to invest in people and Europe’s future.")</f>
        <v>Europe is facing a large digital skills gap. There are around 1 million vacancies for digital experts and this figure is set to increase in the future. All over Europe, 35% of workers do not have even basic digital skills. This is significantly impacting EU businesses. People need to be trained and re-trained for the digital transformation. In this workshop you will learn from companies who have tackled this challenge and who are committed to invest in people and Europe’s future.</v>
      </c>
      <c r="C623" s="4" t="str">
        <f>IFERROR(__xludf.DUMMYFUNCTION("""COMPUTED_VALUE"""),"Workshop 2")</f>
        <v>Workshop 2</v>
      </c>
      <c r="D623" s="4" t="str">
        <f>IFERROR(__xludf.DUMMYFUNCTION("""COMPUTED_VALUE"""),"François Lhemery, Gaia Spinella, Marcel Salathé and Ana Rodrigues")</f>
        <v>François Lhemery, Gaia Spinella, Marcel Salathé and Ana Rodrigues</v>
      </c>
      <c r="E623" s="4" t="str">
        <f>IFERROR(__xludf.DUMMYFUNCTION("""COMPUTED_VALUE"""),"François Lhemery,Gaia Spinella,Marcel Salathé,Ana Rodrigues")</f>
        <v>François Lhemery,Gaia Spinella,Marcel Salathé,Ana Rodrigues</v>
      </c>
      <c r="F623" s="4" t="str">
        <f>IFERROR(__xludf.DUMMYFUNCTION("""COMPUTED_VALUE"""),"2019/11/05 10:00:00")</f>
        <v>2019/11/05 10:00:00</v>
      </c>
      <c r="G623" s="4" t="str">
        <f>IFERROR(__xludf.DUMMYFUNCTION("""COMPUTED_VALUE"""),"2019/11/05 10:45:00")</f>
        <v>2019/11/05 10:45:00</v>
      </c>
      <c r="H623" s="4" t="str">
        <f>IFERROR(__xludf.DUMMYFUNCTION("""COMPUTED_VALUE"""),"b4e8eb0f-cf25-4278-b21b-e583dad7d1d9")</f>
        <v>b4e8eb0f-cf25-4278-b21b-e583dad7d1d9</v>
      </c>
      <c r="I623" s="4" t="str">
        <f>IFERROR(__xludf.DUMMYFUNCTION("""COMPUTED_VALUE"""),"b4e8eb0f-cf25-4278-b21b-e583dad7d1d9")</f>
        <v>b4e8eb0f-cf25-4278-b21b-e583dad7d1d9</v>
      </c>
    </row>
    <row r="624">
      <c r="A624" s="4" t="str">
        <f>IFERROR(__xludf.DUMMYFUNCTION("""COMPUTED_VALUE"""),"How your home affects your health")</f>
        <v>How your home affects your health</v>
      </c>
      <c r="B624" s="4" t="str">
        <f>IFERROR(__xludf.DUMMYFUNCTION("""COMPUTED_VALUE"""),"Forget smart houses. 'Wellness homes' are the future; homes that monitor and calibrate air, water and light quality, to enhance the health and well-being of those inside. Delos founder Paul Scialla shares the story of wellness real estate and how technolo"&amp;"gy is transforming how we think about the places where we spend our time.
")</f>
        <v>Forget smart houses. 'Wellness homes' are the future; homes that monitor and calibrate air, water and light quality, to enhance the health and well-being of those inside. Delos founder Paul Scialla shares the story of wellness real estate and how technology is transforming how we think about the places where we spend our time.
</v>
      </c>
      <c r="C624" s="4" t="str">
        <f>IFERROR(__xludf.DUMMYFUNCTION("""COMPUTED_VALUE"""),"HealthConf")</f>
        <v>HealthConf</v>
      </c>
      <c r="D624" s="4" t="str">
        <f>IFERROR(__xludf.DUMMYFUNCTION("""COMPUTED_VALUE"""),"Paul Scialla")</f>
        <v>Paul Scialla</v>
      </c>
      <c r="E624" s="4" t="str">
        <f>IFERROR(__xludf.DUMMYFUNCTION("""COMPUTED_VALUE"""),"Paul Scialla")</f>
        <v>Paul Scialla</v>
      </c>
      <c r="F624" s="4" t="str">
        <f>IFERROR(__xludf.DUMMYFUNCTION("""COMPUTED_VALUE"""),"2019/11/07 11:05:00")</f>
        <v>2019/11/07 11:05:00</v>
      </c>
      <c r="G624" s="4" t="str">
        <f>IFERROR(__xludf.DUMMYFUNCTION("""COMPUTED_VALUE"""),"2019/11/07 11:20:00")</f>
        <v>2019/11/07 11:20:00</v>
      </c>
      <c r="H624" s="4" t="str">
        <f>IFERROR(__xludf.DUMMYFUNCTION("""COMPUTED_VALUE"""),"697c2c27-066d-4e4c-ac57-87f831829d51")</f>
        <v>697c2c27-066d-4e4c-ac57-87f831829d51</v>
      </c>
      <c r="I624" s="4" t="str">
        <f>IFERROR(__xludf.DUMMYFUNCTION("""COMPUTED_VALUE"""),"697c2c27-066d-4e4c-ac57-87f831829d51")</f>
        <v>697c2c27-066d-4e4c-ac57-87f831829d51</v>
      </c>
    </row>
    <row r="625">
      <c r="A625" s="4" t="str">
        <f>IFERROR(__xludf.DUMMYFUNCTION("""COMPUTED_VALUE"""),"What is driving innovation?")</f>
        <v>What is driving innovation?</v>
      </c>
      <c r="B625" s="4" t="str">
        <f>IFERROR(__xludf.DUMMYFUNCTION("""COMPUTED_VALUE"""),"Millennials don't want to buy cars anymore, let alone drive themselves. So just what do millennials want when it comes to transportation? ")</f>
        <v>Millennials don't want to buy cars anymore, let alone drive themselves. So just what do millennials want when it comes to transportation? </v>
      </c>
      <c r="C625" s="4" t="str">
        <f>IFERROR(__xludf.DUMMYFUNCTION("""COMPUTED_VALUE"""),"Auto/Tech &amp; TalkRobot")</f>
        <v>Auto/Tech &amp; TalkRobot</v>
      </c>
      <c r="D625" s="4" t="str">
        <f>IFERROR(__xludf.DUMMYFUNCTION("""COMPUTED_VALUE"""),"Teemu Moisala, Alain Visser, Felix Leuschner and Jim Motavalli")</f>
        <v>Teemu Moisala, Alain Visser, Felix Leuschner and Jim Motavalli</v>
      </c>
      <c r="E625" s="4" t="str">
        <f>IFERROR(__xludf.DUMMYFUNCTION("""COMPUTED_VALUE"""),"Teemu Moisala,Alain Visser,Felix Leuschner,Jim Motavalli")</f>
        <v>Teemu Moisala,Alain Visser,Felix Leuschner,Jim Motavalli</v>
      </c>
      <c r="F625" s="4" t="str">
        <f>IFERROR(__xludf.DUMMYFUNCTION("""COMPUTED_VALUE"""),"2019/11/07 11:15:00")</f>
        <v>2019/11/07 11:15:00</v>
      </c>
      <c r="G625" s="4" t="str">
        <f>IFERROR(__xludf.DUMMYFUNCTION("""COMPUTED_VALUE"""),"2019/11/07 11:35:00")</f>
        <v>2019/11/07 11:35:00</v>
      </c>
      <c r="H625" s="4" t="str">
        <f>IFERROR(__xludf.DUMMYFUNCTION("""COMPUTED_VALUE"""),"e844abbb-1a5d-477e-a3e7-8770e387c3f5")</f>
        <v>e844abbb-1a5d-477e-a3e7-8770e387c3f5</v>
      </c>
      <c r="I625" s="4" t="str">
        <f>IFERROR(__xludf.DUMMYFUNCTION("""COMPUTED_VALUE"""),"e844abbb-1a5d-477e-a3e7-8770e387c3f5")</f>
        <v>e844abbb-1a5d-477e-a3e7-8770e387c3f5</v>
      </c>
    </row>
    <row r="626">
      <c r="A626" s="4" t="str">
        <f>IFERROR(__xludf.DUMMYFUNCTION("""COMPUTED_VALUE"""),"Walking with giants")</f>
        <v>Walking with giants</v>
      </c>
      <c r="B626" s="4" t="str">
        <f>IFERROR(__xludf.DUMMYFUNCTION("""COMPUTED_VALUE"""),"President of Sevilla FC, José Castro, outlines how Spain's oldest La Liga club is operating on the cutting edge of innovation.
")</f>
        <v>President of Sevilla FC, José Castro, outlines how Spain's oldest La Liga club is operating on the cutting edge of innovation.
</v>
      </c>
      <c r="C626" s="4" t="str">
        <f>IFERROR(__xludf.DUMMYFUNCTION("""COMPUTED_VALUE"""),"SportsTrade")</f>
        <v>SportsTrade</v>
      </c>
      <c r="D626" s="4" t="str">
        <f>IFERROR(__xludf.DUMMYFUNCTION("""COMPUTED_VALUE"""),"José Castro Carmona and Miguel Delaney")</f>
        <v>José Castro Carmona and Miguel Delaney</v>
      </c>
      <c r="E626" s="4" t="str">
        <f>IFERROR(__xludf.DUMMYFUNCTION("""COMPUTED_VALUE"""),"José Castro Carmona,Miguel Delaney")</f>
        <v>José Castro Carmona,Miguel Delaney</v>
      </c>
      <c r="F626" s="4" t="str">
        <f>IFERROR(__xludf.DUMMYFUNCTION("""COMPUTED_VALUE"""),"2019/11/05 13:35:00")</f>
        <v>2019/11/05 13:35:00</v>
      </c>
      <c r="G626" s="4" t="str">
        <f>IFERROR(__xludf.DUMMYFUNCTION("""COMPUTED_VALUE"""),"2019/11/05 13:45:00")</f>
        <v>2019/11/05 13:45:00</v>
      </c>
      <c r="H626" s="4" t="str">
        <f>IFERROR(__xludf.DUMMYFUNCTION("""COMPUTED_VALUE"""),"99acb01d-d63e-4c97-9084-01fe59f09bb0")</f>
        <v>99acb01d-d63e-4c97-9084-01fe59f09bb0</v>
      </c>
      <c r="I626" s="4" t="str">
        <f>IFERROR(__xludf.DUMMYFUNCTION("""COMPUTED_VALUE"""),"99acb01d-d63e-4c97-9084-01fe59f09bb0")</f>
        <v>99acb01d-d63e-4c97-9084-01fe59f09bb0</v>
      </c>
    </row>
    <row r="627">
      <c r="A627" s="4" t="str">
        <f>IFERROR(__xludf.DUMMYFUNCTION("""COMPUTED_VALUE"""),"The democratisation of innovation")</f>
        <v>The democratisation of innovation</v>
      </c>
      <c r="B627" s="4" t="str">
        <f>IFERROR(__xludf.DUMMYFUNCTION("""COMPUTED_VALUE"""),"Organisations historically designed themselves as castles with moats, where valuable resources were only accessed by a small, trusted group. However, today’s hyper-disruptive landscape makes it extremely difficult to guess what the market wants at any giv"&amp;"en time. To succeed these days, organisations need to decentralise and design with the broader villages in mind. Different groups need to be able to freely access valuable data so they can self start and build up their own economies. Tune into Ross’ sessi"&amp;"on to learn how organisations can democratise innovation and why APIs should be central to any strategy.")</f>
        <v>Organisations historically designed themselves as castles with moats, where valuable resources were only accessed by a small, trusted group. However, today’s hyper-disruptive landscape makes it extremely difficult to guess what the market wants at any given time. To succeed these days, organisations need to decentralise and design with the broader villages in mind. Different groups need to be able to freely access valuable data so they can self start and build up their own economies. Tune into Ross’ session to learn how organisations can democratise innovation and why APIs should be central to any strategy.</v>
      </c>
      <c r="C627" s="4" t="str">
        <f>IFERROR(__xludf.DUMMYFUNCTION("""COMPUTED_VALUE"""),"SaaS Monster")</f>
        <v>SaaS Monster</v>
      </c>
      <c r="D627" s="4" t="str">
        <f>IFERROR(__xludf.DUMMYFUNCTION("""COMPUTED_VALUE"""),"Ross Mason and Julie Bort")</f>
        <v>Ross Mason and Julie Bort</v>
      </c>
      <c r="E627" s="4" t="str">
        <f>IFERROR(__xludf.DUMMYFUNCTION("""COMPUTED_VALUE"""),"Ross Mason,Julie Bort")</f>
        <v>Ross Mason,Julie Bort</v>
      </c>
      <c r="F627" s="4" t="str">
        <f>IFERROR(__xludf.DUMMYFUNCTION("""COMPUTED_VALUE"""),"2019/11/05 11:50:00")</f>
        <v>2019/11/05 11:50:00</v>
      </c>
      <c r="G627" s="4" t="str">
        <f>IFERROR(__xludf.DUMMYFUNCTION("""COMPUTED_VALUE"""),"2019/11/05 12:10:00")</f>
        <v>2019/11/05 12:10:00</v>
      </c>
      <c r="H627" s="4" t="str">
        <f>IFERROR(__xludf.DUMMYFUNCTION("""COMPUTED_VALUE"""),"7169092f-3e8a-4086-bf3b-d54656a064cb")</f>
        <v>7169092f-3e8a-4086-bf3b-d54656a064cb</v>
      </c>
      <c r="I627" s="4" t="str">
        <f>IFERROR(__xludf.DUMMYFUNCTION("""COMPUTED_VALUE"""),"7169092f-3e8a-4086-bf3b-d54656a064cb")</f>
        <v>7169092f-3e8a-4086-bf3b-d54656a064cb</v>
      </c>
    </row>
    <row r="628">
      <c r="A628" s="4" t="str">
        <f>IFERROR(__xludf.DUMMYFUNCTION("""COMPUTED_VALUE"""),"Lunch break")</f>
        <v>Lunch break</v>
      </c>
      <c r="B628" s="4" t="str">
        <f>IFERROR(__xludf.DUMMYFUNCTION("""COMPUTED_VALUE"""),"")</f>
        <v/>
      </c>
      <c r="C628" s="4" t="str">
        <f>IFERROR(__xludf.DUMMYFUNCTION("""COMPUTED_VALUE"""),"PandaConf")</f>
        <v>PandaConf</v>
      </c>
      <c r="D628" s="4" t="str">
        <f>IFERROR(__xludf.DUMMYFUNCTION("""COMPUTED_VALUE"""),"")</f>
        <v/>
      </c>
      <c r="E628" s="4" t="str">
        <f>IFERROR(__xludf.DUMMYFUNCTION("""COMPUTED_VALUE"""),"")</f>
        <v/>
      </c>
      <c r="F628" s="4" t="str">
        <f>IFERROR(__xludf.DUMMYFUNCTION("""COMPUTED_VALUE"""),"2019/11/06 12:50:00")</f>
        <v>2019/11/06 12:50:00</v>
      </c>
      <c r="G628" s="4" t="str">
        <f>IFERROR(__xludf.DUMMYFUNCTION("""COMPUTED_VALUE"""),"2019/11/06 13:20:00")</f>
        <v>2019/11/06 13:20:00</v>
      </c>
      <c r="H628" s="4" t="str">
        <f>IFERROR(__xludf.DUMMYFUNCTION("""COMPUTED_VALUE"""),"4b044661-24dc-4ab0-bfe3-412a4bbb8a65")</f>
        <v>4b044661-24dc-4ab0-bfe3-412a4bbb8a65</v>
      </c>
      <c r="I628" s="4" t="str">
        <f>IFERROR(__xludf.DUMMYFUNCTION("""COMPUTED_VALUE"""),"4b044661-24dc-4ab0-bfe3-412a4bbb8a65")</f>
        <v>4b044661-24dc-4ab0-bfe3-412a4bbb8a65</v>
      </c>
    </row>
    <row r="629">
      <c r="A629" s="4" t="str">
        <f>IFERROR(__xludf.DUMMYFUNCTION("""COMPUTED_VALUE"""),"How to build a truly global movement")</f>
        <v>How to build a truly global movement</v>
      </c>
      <c r="B629" s="4" t="str">
        <f>IFERROR(__xludf.DUMMYFUNCTION("""COMPUTED_VALUE"""),"Building and maintaining a global mass movement is no easy feat. These speakers are leading and mobilizing two of the world's largest truly global movements - the Scouts with over 50 million young people engaged in non-formal education and Wikipedia as on"&amp;"e of the most ubiqitous online movements around. Learn from them how these movements have managed to remain so successful in a complex and rapidly changing world.")</f>
        <v>Building and maintaining a global mass movement is no easy feat. These speakers are leading and mobilizing two of the world's largest truly global movements - the Scouts with over 50 million young people engaged in non-formal education and Wikipedia as one of the most ubiqitous online movements around. Learn from them how these movements have managed to remain so successful in a complex and rapidly changing world.</v>
      </c>
      <c r="C629" s="4" t="str">
        <f>IFERROR(__xludf.DUMMYFUNCTION("""COMPUTED_VALUE"""),"Future Societies")</f>
        <v>Future Societies</v>
      </c>
      <c r="D629" s="4" t="str">
        <f>IFERROR(__xludf.DUMMYFUNCTION("""COMPUTED_VALUE"""),"Katherine Maher, Ahmad Alhendawi and Ryan Broderick")</f>
        <v>Katherine Maher, Ahmad Alhendawi and Ryan Broderick</v>
      </c>
      <c r="E629" s="4" t="str">
        <f>IFERROR(__xludf.DUMMYFUNCTION("""COMPUTED_VALUE"""),"Katherine Maher,Ahmad Alhendawi,Ryan Broderick")</f>
        <v>Katherine Maher,Ahmad Alhendawi,Ryan Broderick</v>
      </c>
      <c r="F629" s="4" t="str">
        <f>IFERROR(__xludf.DUMMYFUNCTION("""COMPUTED_VALUE"""),"2019/11/06 15:55:00")</f>
        <v>2019/11/06 15:55:00</v>
      </c>
      <c r="G629" s="4" t="str">
        <f>IFERROR(__xludf.DUMMYFUNCTION("""COMPUTED_VALUE"""),"2019/11/06 16:15:00")</f>
        <v>2019/11/06 16:15:00</v>
      </c>
      <c r="H629" s="4" t="str">
        <f>IFERROR(__xludf.DUMMYFUNCTION("""COMPUTED_VALUE"""),"6b741b2b-9b22-4ec9-9efa-a69050d2b3d5")</f>
        <v>6b741b2b-9b22-4ec9-9efa-a69050d2b3d5</v>
      </c>
      <c r="I629" s="4" t="str">
        <f>IFERROR(__xludf.DUMMYFUNCTION("""COMPUTED_VALUE"""),"6b741b2b-9b22-4ec9-9efa-a69050d2b3d5")</f>
        <v>6b741b2b-9b22-4ec9-9efa-a69050d2b3d5</v>
      </c>
    </row>
    <row r="630">
      <c r="A630" s="4" t="str">
        <f>IFERROR(__xludf.DUMMYFUNCTION("""COMPUTED_VALUE"""),"Inside La Liga: How technology is disrupting sport")</f>
        <v>Inside La Liga: How technology is disrupting sport</v>
      </c>
      <c r="B630" s="4" t="str">
        <f>IFERROR(__xludf.DUMMYFUNCTION("""COMPUTED_VALUE"""),"The President of La Liga, Javier Tebas, offers unrivalled insight into the role technology has played in growing one of the biggest sporting leagues in the world.")</f>
        <v>The President of La Liga, Javier Tebas, offers unrivalled insight into the role technology has played in growing one of the biggest sporting leagues in the world.</v>
      </c>
      <c r="C630" s="4" t="str">
        <f>IFERROR(__xludf.DUMMYFUNCTION("""COMPUTED_VALUE"""),"SportsTrade")</f>
        <v>SportsTrade</v>
      </c>
      <c r="D630" s="4" t="str">
        <f>IFERROR(__xludf.DUMMYFUNCTION("""COMPUTED_VALUE"""),"Javier Tebas and Guillem Balague")</f>
        <v>Javier Tebas and Guillem Balague</v>
      </c>
      <c r="E630" s="4" t="str">
        <f>IFERROR(__xludf.DUMMYFUNCTION("""COMPUTED_VALUE"""),"Javier Tebas,Guillem Balague")</f>
        <v>Javier Tebas,Guillem Balague</v>
      </c>
      <c r="F630" s="4" t="str">
        <f>IFERROR(__xludf.DUMMYFUNCTION("""COMPUTED_VALUE"""),"2019/11/05 14:25:00")</f>
        <v>2019/11/05 14:25:00</v>
      </c>
      <c r="G630" s="4" t="str">
        <f>IFERROR(__xludf.DUMMYFUNCTION("""COMPUTED_VALUE"""),"2019/11/05 14:45:00")</f>
        <v>2019/11/05 14:45:00</v>
      </c>
      <c r="H630" s="4" t="str">
        <f>IFERROR(__xludf.DUMMYFUNCTION("""COMPUTED_VALUE"""),"5fb8efdc-f17f-4c96-ba9e-0f62f7b95a7b")</f>
        <v>5fb8efdc-f17f-4c96-ba9e-0f62f7b95a7b</v>
      </c>
      <c r="I630" s="4" t="str">
        <f>IFERROR(__xludf.DUMMYFUNCTION("""COMPUTED_VALUE"""),"5fb8efdc-f17f-4c96-ba9e-0f62f7b95a7b")</f>
        <v>5fb8efdc-f17f-4c96-ba9e-0f62f7b95a7b</v>
      </c>
    </row>
    <row r="631">
      <c r="A631" s="4" t="str">
        <f>IFERROR(__xludf.DUMMYFUNCTION("""COMPUTED_VALUE"""),"Who will buy insurance in the future, and how?")</f>
        <v>Who will buy insurance in the future, and how?</v>
      </c>
      <c r="B631" s="4" t="str">
        <f>IFERROR(__xludf.DUMMYFUNCTION("""COMPUTED_VALUE"""),"We continue to see rapid evolution in how customers buy, what they want and when. So what does this mean for insurance? One size doesn't fit all.")</f>
        <v>We continue to see rapid evolution in how customers buy, what they want and when. So what does this mean for insurance? One size doesn't fit all.</v>
      </c>
      <c r="C631" s="4" t="str">
        <f>IFERROR(__xludf.DUMMYFUNCTION("""COMPUTED_VALUE"""),"Growth Summit")</f>
        <v>Growth Summit</v>
      </c>
      <c r="D631" s="4" t="str">
        <f>IFERROR(__xludf.DUMMYFUNCTION("""COMPUTED_VALUE"""),"Tim Hardcastle")</f>
        <v>Tim Hardcastle</v>
      </c>
      <c r="E631" s="4" t="str">
        <f>IFERROR(__xludf.DUMMYFUNCTION("""COMPUTED_VALUE"""),"Tim Hardcastle")</f>
        <v>Tim Hardcastle</v>
      </c>
      <c r="F631" s="4" t="str">
        <f>IFERROR(__xludf.DUMMYFUNCTION("""COMPUTED_VALUE"""),"2019/11/07 11:10:00")</f>
        <v>2019/11/07 11:10:00</v>
      </c>
      <c r="G631" s="4" t="str">
        <f>IFERROR(__xludf.DUMMYFUNCTION("""COMPUTED_VALUE"""),"2019/11/07 11:14:00")</f>
        <v>2019/11/07 11:14:00</v>
      </c>
      <c r="H631" s="4" t="str">
        <f>IFERROR(__xludf.DUMMYFUNCTION("""COMPUTED_VALUE"""),"bebe1502-c8f9-4e2d-b676-c4aa86b87ce1")</f>
        <v>bebe1502-c8f9-4e2d-b676-c4aa86b87ce1</v>
      </c>
      <c r="I631" s="4" t="str">
        <f>IFERROR(__xludf.DUMMYFUNCTION("""COMPUTED_VALUE"""),"bebe1502-c8f9-4e2d-b676-c4aa86b87ce1")</f>
        <v>bebe1502-c8f9-4e2d-b676-c4aa86b87ce1</v>
      </c>
    </row>
    <row r="632">
      <c r="A632" s="4" t="str">
        <f>IFERROR(__xludf.DUMMYFUNCTION("""COMPUTED_VALUE"""),"Lessons from 1000 cities - how to achieve growth with limited funding")</f>
        <v>Lessons from 1000 cities - how to achieve growth with limited funding</v>
      </c>
      <c r="B632" s="4" t="str">
        <f>IFERROR(__xludf.DUMMYFUNCTION("""COMPUTED_VALUE"""),"Live in 1000 cities and working with many of the world's biggest companies and travel platforms, Talixo is growing exponentially. Henry will explain how Talixo have achieved this with only €12m in funding.")</f>
        <v>Live in 1000 cities and working with many of the world's biggest companies and travel platforms, Talixo is growing exponentially. Henry will explain how Talixo have achieved this with only €12m in funding.</v>
      </c>
      <c r="C632" s="4" t="str">
        <f>IFERROR(__xludf.DUMMYFUNCTION("""COMPUTED_VALUE"""),"Growth Summit")</f>
        <v>Growth Summit</v>
      </c>
      <c r="D632" s="4" t="str">
        <f>IFERROR(__xludf.DUMMYFUNCTION("""COMPUTED_VALUE"""),"Henry  Joseph-Grant")</f>
        <v>Henry  Joseph-Grant</v>
      </c>
      <c r="E632" s="4" t="str">
        <f>IFERROR(__xludf.DUMMYFUNCTION("""COMPUTED_VALUE"""),"Henry  Joseph-Grant")</f>
        <v>Henry  Joseph-Grant</v>
      </c>
      <c r="F632" s="4" t="str">
        <f>IFERROR(__xludf.DUMMYFUNCTION("""COMPUTED_VALUE"""),"2019/11/06 10:34:00")</f>
        <v>2019/11/06 10:34:00</v>
      </c>
      <c r="G632" s="4" t="str">
        <f>IFERROR(__xludf.DUMMYFUNCTION("""COMPUTED_VALUE"""),"2019/11/06 10:38:00")</f>
        <v>2019/11/06 10:38:00</v>
      </c>
      <c r="H632" s="4" t="str">
        <f>IFERROR(__xludf.DUMMYFUNCTION("""COMPUTED_VALUE"""),"a2851c3f-6ed4-4e78-b0bc-69b6eb5f820d")</f>
        <v>a2851c3f-6ed4-4e78-b0bc-69b6eb5f820d</v>
      </c>
      <c r="I632" s="4" t="str">
        <f>IFERROR(__xludf.DUMMYFUNCTION("""COMPUTED_VALUE"""),"a2851c3f-6ed4-4e78-b0bc-69b6eb5f820d")</f>
        <v>a2851c3f-6ed4-4e78-b0bc-69b6eb5f820d</v>
      </c>
    </row>
    <row r="633">
      <c r="A633" s="4" t="str">
        <f>IFERROR(__xludf.DUMMYFUNCTION("""COMPUTED_VALUE"""),"It's an app eat app world: Dominating the app store ")</f>
        <v>It's an app eat app world: Dominating the app store </v>
      </c>
      <c r="B633" s="4" t="str">
        <f>IFERROR(__xludf.DUMMYFUNCTION("""COMPUTED_VALUE"""),"World app domination is becoming harder with fierce competition and a crowded market. So what does it take to conquer the app store in 2019?")</f>
        <v>World app domination is becoming harder with fierce competition and a crowded market. So what does it take to conquer the app store in 2019?</v>
      </c>
      <c r="C633" s="4" t="str">
        <f>IFERROR(__xludf.DUMMYFUNCTION("""COMPUTED_VALUE"""),"Startup University")</f>
        <v>Startup University</v>
      </c>
      <c r="D633" s="4" t="str">
        <f>IFERROR(__xludf.DUMMYFUNCTION("""COMPUTED_VALUE"""),"Oleksandr Kosovan, Riccardo Zacconi and Kit Eaton")</f>
        <v>Oleksandr Kosovan, Riccardo Zacconi and Kit Eaton</v>
      </c>
      <c r="E633" s="4" t="str">
        <f>IFERROR(__xludf.DUMMYFUNCTION("""COMPUTED_VALUE"""),"Oleksandr Kosovan,Riccardo Zacconi,Kit Eaton")</f>
        <v>Oleksandr Kosovan,Riccardo Zacconi,Kit Eaton</v>
      </c>
      <c r="F633" s="4" t="str">
        <f>IFERROR(__xludf.DUMMYFUNCTION("""COMPUTED_VALUE"""),"2019/11/06 12:35:00")</f>
        <v>2019/11/06 12:35:00</v>
      </c>
      <c r="G633" s="4" t="str">
        <f>IFERROR(__xludf.DUMMYFUNCTION("""COMPUTED_VALUE"""),"2019/11/06 12:55:00")</f>
        <v>2019/11/06 12:55:00</v>
      </c>
      <c r="H633" s="4" t="str">
        <f>IFERROR(__xludf.DUMMYFUNCTION("""COMPUTED_VALUE"""),"da79f21e-8d02-4075-959e-a7822d9929b5")</f>
        <v>da79f21e-8d02-4075-959e-a7822d9929b5</v>
      </c>
      <c r="I633" s="4" t="str">
        <f>IFERROR(__xludf.DUMMYFUNCTION("""COMPUTED_VALUE"""),"da79f21e-8d02-4075-959e-a7822d9929b5")</f>
        <v>da79f21e-8d02-4075-959e-a7822d9929b5</v>
      </c>
    </row>
    <row r="634">
      <c r="A634" s="4" t="str">
        <f>IFERROR(__xludf.DUMMYFUNCTION("""COMPUTED_VALUE"""),"It’s all about focus: How to recognise key goals and achieve them")</f>
        <v>It’s all about focus: How to recognise key goals and achieve them</v>
      </c>
      <c r="B634" s="4" t="str">
        <f>IFERROR(__xludf.DUMMYFUNCTION("""COMPUTED_VALUE"""),"CEO of Omni:us, Sophie outlines three key areas which each company should identify and concentrate on in order to achieve their goals.")</f>
        <v>CEO of Omni:us, Sophie outlines three key areas which each company should identify and concentrate on in order to achieve their goals.</v>
      </c>
      <c r="C634" s="4" t="str">
        <f>IFERROR(__xludf.DUMMYFUNCTION("""COMPUTED_VALUE"""),"Growth Summit")</f>
        <v>Growth Summit</v>
      </c>
      <c r="D634" s="4" t="str">
        <f>IFERROR(__xludf.DUMMYFUNCTION("""COMPUTED_VALUE"""),"Sofie Quidenus Wahlforss")</f>
        <v>Sofie Quidenus Wahlforss</v>
      </c>
      <c r="E634" s="4" t="str">
        <f>IFERROR(__xludf.DUMMYFUNCTION("""COMPUTED_VALUE"""),"Sofie Quidenus Wahlforss")</f>
        <v>Sofie Quidenus Wahlforss</v>
      </c>
      <c r="F634" s="4" t="str">
        <f>IFERROR(__xludf.DUMMYFUNCTION("""COMPUTED_VALUE"""),"2019/11/06 12:52:00")</f>
        <v>2019/11/06 12:52:00</v>
      </c>
      <c r="G634" s="4" t="str">
        <f>IFERROR(__xludf.DUMMYFUNCTION("""COMPUTED_VALUE"""),"2019/11/06 13:03:00")</f>
        <v>2019/11/06 13:03:00</v>
      </c>
      <c r="H634" s="4" t="str">
        <f>IFERROR(__xludf.DUMMYFUNCTION("""COMPUTED_VALUE"""),"b0509794-10e7-44d5-ac2e-a82e86451538")</f>
        <v>b0509794-10e7-44d5-ac2e-a82e86451538</v>
      </c>
      <c r="I634" s="4" t="str">
        <f>IFERROR(__xludf.DUMMYFUNCTION("""COMPUTED_VALUE"""),"b0509794-10e7-44d5-ac2e-a82e86451538")</f>
        <v>b0509794-10e7-44d5-ac2e-a82e86451538</v>
      </c>
    </row>
    <row r="635">
      <c r="A635" s="4" t="str">
        <f>IFERROR(__xludf.DUMMYFUNCTION("""COMPUTED_VALUE"""),"CX growth hacking (part 2), hosted by ZETA")</f>
        <v>CX growth hacking (part 2), hosted by ZETA</v>
      </c>
      <c r="B635" s="4" t="str">
        <f>IFERROR(__xludf.DUMMYFUNCTION("""COMPUTED_VALUE"""),"We are on the verge of a new commerce engagement with the consumer.
Gen Z utilizes the mobile phone for all aspects of commerce making OMO central for all commerce players and solution vendors. The influence of OMO is far-reaching; not only to marketing,"&amp;" but logistics, payment, shop design and shop staff behavior. The growth of the pop up store shows how CX is evolving by OMO. This workshop will show what UX design and functions are appropriate for the customer in this new era of CX.")</f>
        <v>We are on the verge of a new commerce engagement with the consumer.
Gen Z utilizes the mobile phone for all aspects of commerce making OMO central for all commerce players and solution vendors. The influence of OMO is far-reaching; not only to marketing, but logistics, payment, shop design and shop staff behavior. The growth of the pop up store shows how CX is evolving by OMO. This workshop will show what UX design and functions are appropriate for the customer in this new era of CX.</v>
      </c>
      <c r="C635" s="4" t="str">
        <f>IFERROR(__xludf.DUMMYFUNCTION("""COMPUTED_VALUE"""),"Workshop 4")</f>
        <v>Workshop 4</v>
      </c>
      <c r="D635" s="4" t="str">
        <f>IFERROR(__xludf.DUMMYFUNCTION("""COMPUTED_VALUE"""),"Noriyuki Yamazaki")</f>
        <v>Noriyuki Yamazaki</v>
      </c>
      <c r="E635" s="4" t="str">
        <f>IFERROR(__xludf.DUMMYFUNCTION("""COMPUTED_VALUE"""),"Noriyuki Yamazaki")</f>
        <v>Noriyuki Yamazaki</v>
      </c>
      <c r="F635" s="4" t="str">
        <f>IFERROR(__xludf.DUMMYFUNCTION("""COMPUTED_VALUE"""),"2019/11/06 12:50:00")</f>
        <v>2019/11/06 12:50:00</v>
      </c>
      <c r="G635" s="4" t="str">
        <f>IFERROR(__xludf.DUMMYFUNCTION("""COMPUTED_VALUE"""),"2019/11/06 13:30:00")</f>
        <v>2019/11/06 13:30:00</v>
      </c>
      <c r="H635" s="4" t="str">
        <f>IFERROR(__xludf.DUMMYFUNCTION("""COMPUTED_VALUE"""),"6dcddc95-1443-40f0-a456-0c286316db7e")</f>
        <v>6dcddc95-1443-40f0-a456-0c286316db7e</v>
      </c>
      <c r="I635" s="4" t="str">
        <f>IFERROR(__xludf.DUMMYFUNCTION("""COMPUTED_VALUE"""),"6dcddc95-1443-40f0-a456-0c286316db7e")</f>
        <v>6dcddc95-1443-40f0-a456-0c286316db7e</v>
      </c>
    </row>
    <row r="636">
      <c r="A636" s="4" t="str">
        <f>IFERROR(__xludf.DUMMYFUNCTION("""COMPUTED_VALUE"""),"Running a people-oriented business remotely")</f>
        <v>Running a people-oriented business remotely</v>
      </c>
      <c r="B636" s="4" t="str">
        <f>IFERROR(__xludf.DUMMYFUNCTION("""COMPUTED_VALUE"""),"We will talk about challenges faced during international expansion into non-english speaking countries and different time zones, and life hacks we’ve found to overcome them. We will also share our views on behavioural similarities between drivers in diffe"&amp;"rent locations and new opportunities identified.")</f>
        <v>We will talk about challenges faced during international expansion into non-english speaking countries and different time zones, and life hacks we’ve found to overcome them. We will also share our views on behavioural similarities between drivers in different locations and new opportunities identified.</v>
      </c>
      <c r="C636" s="4" t="str">
        <f>IFERROR(__xludf.DUMMYFUNCTION("""COMPUTED_VALUE"""),"Growth Summit")</f>
        <v>Growth Summit</v>
      </c>
      <c r="D636" s="4" t="str">
        <f>IFERROR(__xludf.DUMMYFUNCTION("""COMPUTED_VALUE"""),"Mikhail Marchenko")</f>
        <v>Mikhail Marchenko</v>
      </c>
      <c r="E636" s="4" t="str">
        <f>IFERROR(__xludf.DUMMYFUNCTION("""COMPUTED_VALUE"""),"Mikhail Marchenko")</f>
        <v>Mikhail Marchenko</v>
      </c>
      <c r="F636" s="4" t="str">
        <f>IFERROR(__xludf.DUMMYFUNCTION("""COMPUTED_VALUE"""),"2019/11/07 10:46:00")</f>
        <v>2019/11/07 10:46:00</v>
      </c>
      <c r="G636" s="4" t="str">
        <f>IFERROR(__xludf.DUMMYFUNCTION("""COMPUTED_VALUE"""),"2019/11/07 10:50:00")</f>
        <v>2019/11/07 10:50:00</v>
      </c>
      <c r="H636" s="4" t="str">
        <f>IFERROR(__xludf.DUMMYFUNCTION("""COMPUTED_VALUE"""),"a6892abc-301c-4767-8da3-470b3a5543cc")</f>
        <v>a6892abc-301c-4767-8da3-470b3a5543cc</v>
      </c>
      <c r="I636" s="4" t="str">
        <f>IFERROR(__xludf.DUMMYFUNCTION("""COMPUTED_VALUE"""),"a6892abc-301c-4767-8da3-470b3a5543cc")</f>
        <v>a6892abc-301c-4767-8da3-470b3a5543cc</v>
      </c>
    </row>
    <row r="637">
      <c r="A637" s="4" t="str">
        <f>IFERROR(__xludf.DUMMYFUNCTION("""COMPUTED_VALUE"""),"Night Summit bar")</f>
        <v>Night Summit bar</v>
      </c>
      <c r="B637" s="4" t="str">
        <f>IFERROR(__xludf.DUMMYFUNCTION("""COMPUTED_VALUE"""),"The great thing about the underworld is that they know how to party. At the beginning of the 20th century, Cais do Sodré was the meeting point of sailors around the world. When there, they'd party the night away with bohemians, intellectuals, spies, crimi"&amp;"nals, noblemen, and even some of the easily tempted clergy. It was a party area, attracting all sorts.  What better place for our Night Summit gathering?")</f>
        <v>The great thing about the underworld is that they know how to party. At the beginning of the 20th century, Cais do Sodré was the meeting point of sailors around the world. When there, they'd party the night away with bohemians, intellectuals, spies, criminals, noblemen, and even some of the easily tempted clergy. It was a party area, attracting all sorts.  What better place for our Night Summit gathering?</v>
      </c>
      <c r="C637" s="4" t="str">
        <f>IFERROR(__xludf.DUMMYFUNCTION("""COMPUTED_VALUE"""),"Night Summit Bar - Day 2")</f>
        <v>Night Summit Bar - Day 2</v>
      </c>
      <c r="D637" s="4" t="str">
        <f>IFERROR(__xludf.DUMMYFUNCTION("""COMPUTED_VALUE"""),"")</f>
        <v/>
      </c>
      <c r="E637" s="4" t="str">
        <f>IFERROR(__xludf.DUMMYFUNCTION("""COMPUTED_VALUE"""),"")</f>
        <v/>
      </c>
      <c r="F637" s="4" t="str">
        <f>IFERROR(__xludf.DUMMYFUNCTION("""COMPUTED_VALUE"""),"2019/11/05 20:00:00")</f>
        <v>2019/11/05 20:00:00</v>
      </c>
      <c r="G637" s="4" t="str">
        <f>IFERROR(__xludf.DUMMYFUNCTION("""COMPUTED_VALUE"""),"2019/11/06 00:00:00")</f>
        <v>2019/11/06 00:00:00</v>
      </c>
      <c r="H637" s="4" t="str">
        <f>IFERROR(__xludf.DUMMYFUNCTION("""COMPUTED_VALUE"""),"7e8ed368-fa78-470a-a4a3-7d77f689d9c9")</f>
        <v>7e8ed368-fa78-470a-a4a3-7d77f689d9c9</v>
      </c>
      <c r="I637" s="4" t="str">
        <f>IFERROR(__xludf.DUMMYFUNCTION("""COMPUTED_VALUE"""),"7e8ed368-fa78-470a-a4a3-7d77f689d9c9")</f>
        <v>7e8ed368-fa78-470a-a4a3-7d77f689d9c9</v>
      </c>
    </row>
    <row r="638">
      <c r="A638" s="4" t="str">
        <f>IFERROR(__xludf.DUMMYFUNCTION("""COMPUTED_VALUE"""),"Powering the future")</f>
        <v>Powering the future</v>
      </c>
      <c r="B638" s="4" t="str">
        <f>IFERROR(__xludf.DUMMYFUNCTION("""COMPUTED_VALUE"""),"Farewell fossil fuels? What does that mean for the future? Is an all-electrical world a solution, or just a stop-gap ? What about nuclear power? And what's the role of consumers, who are now part of the supply chain in a way we haven't seen before?")</f>
        <v>Farewell fossil fuels? What does that mean for the future? Is an all-electrical world a solution, or just a stop-gap ? What about nuclear power? And what's the role of consumers, who are now part of the supply chain in a way we haven't seen before?</v>
      </c>
      <c r="C638" s="4" t="str">
        <f>IFERROR(__xludf.DUMMYFUNCTION("""COMPUTED_VALUE"""),"planet:tech ")</f>
        <v>planet:tech </v>
      </c>
      <c r="D638" s="4" t="str">
        <f>IFERROR(__xludf.DUMMYFUNCTION("""COMPUTED_VALUE"""),"Emmanuel Lagarrigue, Jesse Moore and Neanda Salvaterra")</f>
        <v>Emmanuel Lagarrigue, Jesse Moore and Neanda Salvaterra</v>
      </c>
      <c r="E638" s="4" t="str">
        <f>IFERROR(__xludf.DUMMYFUNCTION("""COMPUTED_VALUE"""),"Emmanuel Lagarrigue,Jesse Moore,Neanda Salvaterra")</f>
        <v>Emmanuel Lagarrigue,Jesse Moore,Neanda Salvaterra</v>
      </c>
      <c r="F638" s="4" t="str">
        <f>IFERROR(__xludf.DUMMYFUNCTION("""COMPUTED_VALUE"""),"2019/11/05 15:10:00")</f>
        <v>2019/11/05 15:10:00</v>
      </c>
      <c r="G638" s="4" t="str">
        <f>IFERROR(__xludf.DUMMYFUNCTION("""COMPUTED_VALUE"""),"2019/11/05 15:35:00")</f>
        <v>2019/11/05 15:35:00</v>
      </c>
      <c r="H638" s="4" t="str">
        <f>IFERROR(__xludf.DUMMYFUNCTION("""COMPUTED_VALUE"""),"7bed3d77-091c-4607-b591-9468e382e3fa")</f>
        <v>7bed3d77-091c-4607-b591-9468e382e3fa</v>
      </c>
      <c r="I638" s="4" t="str">
        <f>IFERROR(__xludf.DUMMYFUNCTION("""COMPUTED_VALUE"""),"7bed3d77-091c-4607-b591-9468e382e3fa")</f>
        <v>7bed3d77-091c-4607-b591-9468e382e3fa</v>
      </c>
    </row>
    <row r="639">
      <c r="A639" s="4" t="str">
        <f>IFERROR(__xludf.DUMMYFUNCTION("""COMPUTED_VALUE"""),"Edge computing done by your network, hosted by Cisco")</f>
        <v>Edge computing done by your network, hosted by Cisco</v>
      </c>
      <c r="B639" s="4" t="str">
        <f>IFERROR(__xludf.DUMMYFUNCTION("""COMPUTED_VALUE"""),"Switches, routers and access points are getting more powerful, making them a great fit for edge computing scenarios. Learn how various companies across several industries are already using their network components for edge computing, including connected m"&amp;"achines in IoT, data analytics or security. Find out how these companies are creating, deploying and managing their containerised applications, unlocking business possibilities, and how this can be done fully automatically with zero-touch provisioning.")</f>
        <v>Switches, routers and access points are getting more powerful, making them a great fit for edge computing scenarios. Learn how various companies across several industries are already using their network components for edge computing, including connected machines in IoT, data analytics or security. Find out how these companies are creating, deploying and managing their containerised applications, unlocking business possibilities, and how this can be done fully automatically with zero-touch provisioning.</v>
      </c>
      <c r="C639" s="4" t="str">
        <f>IFERROR(__xludf.DUMMYFUNCTION("""COMPUTED_VALUE"""),"Workshop 2")</f>
        <v>Workshop 2</v>
      </c>
      <c r="D639" s="4" t="str">
        <f>IFERROR(__xludf.DUMMYFUNCTION("""COMPUTED_VALUE"""),"")</f>
        <v/>
      </c>
      <c r="E639" s="4" t="str">
        <f>IFERROR(__xludf.DUMMYFUNCTION("""COMPUTED_VALUE"""),"")</f>
        <v/>
      </c>
      <c r="F639" s="4" t="str">
        <f>IFERROR(__xludf.DUMMYFUNCTION("""COMPUTED_VALUE"""),"2019/11/06 13:00:00")</f>
        <v>2019/11/06 13:00:00</v>
      </c>
      <c r="G639" s="4" t="str">
        <f>IFERROR(__xludf.DUMMYFUNCTION("""COMPUTED_VALUE"""),"2019/11/06 13:45:00")</f>
        <v>2019/11/06 13:45:00</v>
      </c>
      <c r="H639" s="4" t="str">
        <f>IFERROR(__xludf.DUMMYFUNCTION("""COMPUTED_VALUE"""),"88acabdf-bb6c-45be-ba5d-e29798d17323")</f>
        <v>88acabdf-bb6c-45be-ba5d-e29798d17323</v>
      </c>
      <c r="I639" s="4" t="str">
        <f>IFERROR(__xludf.DUMMYFUNCTION("""COMPUTED_VALUE"""),"88acabdf-bb6c-45be-ba5d-e29798d17323")</f>
        <v>88acabdf-bb6c-45be-ba5d-e29798d17323</v>
      </c>
    </row>
    <row r="640">
      <c r="A640" s="4" t="str">
        <f>IFERROR(__xludf.DUMMYFUNCTION("""COMPUTED_VALUE"""),"Lunch break")</f>
        <v>Lunch break</v>
      </c>
      <c r="B640" s="4" t="str">
        <f>IFERROR(__xludf.DUMMYFUNCTION("""COMPUTED_VALUE"""),"")</f>
        <v/>
      </c>
      <c r="C640" s="4" t="str">
        <f>IFERROR(__xludf.DUMMYFUNCTION("""COMPUTED_VALUE"""),"Venture stage")</f>
        <v>Venture stage</v>
      </c>
      <c r="D640" s="4" t="str">
        <f>IFERROR(__xludf.DUMMYFUNCTION("""COMPUTED_VALUE"""),"")</f>
        <v/>
      </c>
      <c r="E640" s="4" t="str">
        <f>IFERROR(__xludf.DUMMYFUNCTION("""COMPUTED_VALUE"""),"")</f>
        <v/>
      </c>
      <c r="F640" s="4" t="str">
        <f>IFERROR(__xludf.DUMMYFUNCTION("""COMPUTED_VALUE"""),"2019/11/07 12:45:00")</f>
        <v>2019/11/07 12:45:00</v>
      </c>
      <c r="G640" s="4" t="str">
        <f>IFERROR(__xludf.DUMMYFUNCTION("""COMPUTED_VALUE"""),"2019/11/07 13:30:00")</f>
        <v>2019/11/07 13:30:00</v>
      </c>
      <c r="H640" s="4" t="str">
        <f>IFERROR(__xludf.DUMMYFUNCTION("""COMPUTED_VALUE"""),"e215e264-7354-4c78-9036-b030db795297")</f>
        <v>e215e264-7354-4c78-9036-b030db795297</v>
      </c>
      <c r="I640" s="4" t="str">
        <f>IFERROR(__xludf.DUMMYFUNCTION("""COMPUTED_VALUE"""),"e215e264-7354-4c78-9036-b030db795297")</f>
        <v>e215e264-7354-4c78-9036-b030db795297</v>
      </c>
    </row>
    <row r="641">
      <c r="A641" s="4" t="str">
        <f>IFERROR(__xludf.DUMMYFUNCTION("""COMPUTED_VALUE"""),"Looking back to go forward: 50 years of the internet")</f>
        <v>Looking back to go forward: 50 years of the internet</v>
      </c>
      <c r="B641" s="4" t="str">
        <f>IFERROR(__xludf.DUMMYFUNCTION("""COMPUTED_VALUE"""),"The world has transformed irrevocably since the internet was invented in 1969. Understanding those changes should help us to better understand how the internet will develop over the next 50 years. Research by the Pew Research Centre will tell us about whe"&amp;"re we have come from, while one of the leaders of the future of the web, Mitchell Baker, will tell us all about where we are going.")</f>
        <v>The world has transformed irrevocably since the internet was invented in 1969. Understanding those changes should help us to better understand how the internet will develop over the next 50 years. Research by the Pew Research Centre will tell us about where we have come from, while one of the leaders of the future of the web, Mitchell Baker, will tell us all about where we are going.</v>
      </c>
      <c r="C641" s="4" t="str">
        <f>IFERROR(__xludf.DUMMYFUNCTION("""COMPUTED_VALUE"""),"Future Societies")</f>
        <v>Future Societies</v>
      </c>
      <c r="D641" s="4" t="str">
        <f>IFERROR(__xludf.DUMMYFUNCTION("""COMPUTED_VALUE"""),"Lee Rainie, Mitchell Baker and Mark Scott")</f>
        <v>Lee Rainie, Mitchell Baker and Mark Scott</v>
      </c>
      <c r="E641" s="4" t="str">
        <f>IFERROR(__xludf.DUMMYFUNCTION("""COMPUTED_VALUE"""),"Lee Rainie,Mitchell Baker,Mark Scott")</f>
        <v>Lee Rainie,Mitchell Baker,Mark Scott</v>
      </c>
      <c r="F641" s="4" t="str">
        <f>IFERROR(__xludf.DUMMYFUNCTION("""COMPUTED_VALUE"""),"2019/11/05 11:30:00")</f>
        <v>2019/11/05 11:30:00</v>
      </c>
      <c r="G641" s="4" t="str">
        <f>IFERROR(__xludf.DUMMYFUNCTION("""COMPUTED_VALUE"""),"2019/11/05 11:50:00")</f>
        <v>2019/11/05 11:50:00</v>
      </c>
      <c r="H641" s="4" t="str">
        <f>IFERROR(__xludf.DUMMYFUNCTION("""COMPUTED_VALUE"""),"e8c5df7f-2c89-4bf5-b1ac-e15cb188926e")</f>
        <v>e8c5df7f-2c89-4bf5-b1ac-e15cb188926e</v>
      </c>
      <c r="I641" s="4" t="str">
        <f>IFERROR(__xludf.DUMMYFUNCTION("""COMPUTED_VALUE"""),"e8c5df7f-2c89-4bf5-b1ac-e15cb188926e")</f>
        <v>e8c5df7f-2c89-4bf5-b1ac-e15cb188926e</v>
      </c>
    </row>
    <row r="642">
      <c r="A642" s="4" t="str">
        <f>IFERROR(__xludf.DUMMYFUNCTION("""COMPUTED_VALUE"""),"Lunch break")</f>
        <v>Lunch break</v>
      </c>
      <c r="B642" s="4" t="str">
        <f>IFERROR(__xludf.DUMMYFUNCTION("""COMPUTED_VALUE"""),"")</f>
        <v/>
      </c>
      <c r="C642" s="4" t="str">
        <f>IFERROR(__xludf.DUMMYFUNCTION("""COMPUTED_VALUE"""),"HealthConf")</f>
        <v>HealthConf</v>
      </c>
      <c r="D642" s="4" t="str">
        <f>IFERROR(__xludf.DUMMYFUNCTION("""COMPUTED_VALUE"""),"")</f>
        <v/>
      </c>
      <c r="E642" s="4" t="str">
        <f>IFERROR(__xludf.DUMMYFUNCTION("""COMPUTED_VALUE"""),"")</f>
        <v/>
      </c>
      <c r="F642" s="4" t="str">
        <f>IFERROR(__xludf.DUMMYFUNCTION("""COMPUTED_VALUE"""),"2019/11/07 12:25:00")</f>
        <v>2019/11/07 12:25:00</v>
      </c>
      <c r="G642" s="4" t="str">
        <f>IFERROR(__xludf.DUMMYFUNCTION("""COMPUTED_VALUE"""),"2019/11/07 13:10:00")</f>
        <v>2019/11/07 13:10:00</v>
      </c>
      <c r="H642" s="4" t="str">
        <f>IFERROR(__xludf.DUMMYFUNCTION("""COMPUTED_VALUE"""),"fa71558e-8005-4c69-9d8c-0a55da301552")</f>
        <v>fa71558e-8005-4c69-9d8c-0a55da301552</v>
      </c>
      <c r="I642" s="4" t="str">
        <f>IFERROR(__xludf.DUMMYFUNCTION("""COMPUTED_VALUE"""),"fa71558e-8005-4c69-9d8c-0a55da301552")</f>
        <v>fa71558e-8005-4c69-9d8c-0a55da301552</v>
      </c>
    </row>
    <row r="643">
      <c r="A643" s="4" t="str">
        <f>IFERROR(__xludf.DUMMYFUNCTION("""COMPUTED_VALUE"""),"One year out: Will Trump be re-elected?")</f>
        <v>One year out: Will Trump be re-elected?</v>
      </c>
      <c r="B643" s="4" t="str">
        <f>IFERROR(__xludf.DUMMYFUNCTION("""COMPUTED_VALUE"""),"This day next year the United States will decide on their next president. Dubbed by many as the election which will define a generation, this panel will explore what data, gut and trends are telling us, and who we are likely to see enter the Oval Office f"&amp;"or the next four years. ")</f>
        <v>This day next year the United States will decide on their next president. Dubbed by many as the election which will define a generation, this panel will explore what data, gut and trends are telling us, and who we are likely to see enter the Oval Office for the next four years. </v>
      </c>
      <c r="C643" s="4" t="str">
        <f>IFERROR(__xludf.DUMMYFUNCTION("""COMPUTED_VALUE"""),"Centre Stage")</f>
        <v>Centre Stage</v>
      </c>
      <c r="D643" s="4" t="str">
        <f>IFERROR(__xludf.DUMMYFUNCTION("""COMPUTED_VALUE"""),"Joe Pounder, Neal Katyal, Brittany Kaiser and Tim Alberta")</f>
        <v>Joe Pounder, Neal Katyal, Brittany Kaiser and Tim Alberta</v>
      </c>
      <c r="E643" s="4" t="str">
        <f>IFERROR(__xludf.DUMMYFUNCTION("""COMPUTED_VALUE"""),"Joe Pounder,Neal Katyal,Brittany Kaiser,Tim Alberta")</f>
        <v>Joe Pounder,Neal Katyal,Brittany Kaiser,Tim Alberta</v>
      </c>
      <c r="F643" s="4" t="str">
        <f>IFERROR(__xludf.DUMMYFUNCTION("""COMPUTED_VALUE"""),"2019/11/05 12:15:00")</f>
        <v>2019/11/05 12:15:00</v>
      </c>
      <c r="G643" s="4" t="str">
        <f>IFERROR(__xludf.DUMMYFUNCTION("""COMPUTED_VALUE"""),"2019/11/05 12:35:00")</f>
        <v>2019/11/05 12:35:00</v>
      </c>
      <c r="H643" s="4" t="str">
        <f>IFERROR(__xludf.DUMMYFUNCTION("""COMPUTED_VALUE"""),"09d75071-c2d2-4ef4-a484-453ac13f9bb7")</f>
        <v>09d75071-c2d2-4ef4-a484-453ac13f9bb7</v>
      </c>
      <c r="I643" s="4" t="str">
        <f>IFERROR(__xludf.DUMMYFUNCTION("""COMPUTED_VALUE"""),"09d75071-c2d2-4ef4-a484-453ac13f9bb7")</f>
        <v>09d75071-c2d2-4ef4-a484-453ac13f9bb7</v>
      </c>
    </row>
    <row r="644">
      <c r="A644" s="4" t="str">
        <f>IFERROR(__xludf.DUMMYFUNCTION("""COMPUTED_VALUE"""),"The making (and marketing) of Mastercard")</f>
        <v>The making (and marketing) of Mastercard</v>
      </c>
      <c r="B644" s="4" t="str">
        <f>IFERROR(__xludf.DUMMYFUNCTION("""COMPUTED_VALUE"""),"For iconic brands, surely marketing can take a backseat? Raja, the CMO of Mastercard, disagrees. Join him as he shares the secrets of successful marketing in a notoriously disengaged industry. ")</f>
        <v>For iconic brands, surely marketing can take a backseat? Raja, the CMO of Mastercard, disagrees. Join him as he shares the secrets of successful marketing in a notoriously disengaged industry. </v>
      </c>
      <c r="C644" s="4" t="str">
        <f>IFERROR(__xludf.DUMMYFUNCTION("""COMPUTED_VALUE"""),"MoneyConf")</f>
        <v>MoneyConf</v>
      </c>
      <c r="D644" s="4" t="str">
        <f>IFERROR(__xludf.DUMMYFUNCTION("""COMPUTED_VALUE"""),"Raja Rajamannar and Katie Deighton")</f>
        <v>Raja Rajamannar and Katie Deighton</v>
      </c>
      <c r="E644" s="4" t="str">
        <f>IFERROR(__xludf.DUMMYFUNCTION("""COMPUTED_VALUE"""),"Raja Rajamannar,Katie Deighton")</f>
        <v>Raja Rajamannar,Katie Deighton</v>
      </c>
      <c r="F644" s="4" t="str">
        <f>IFERROR(__xludf.DUMMYFUNCTION("""COMPUTED_VALUE"""),"2019/11/06 15:25:00")</f>
        <v>2019/11/06 15:25:00</v>
      </c>
      <c r="G644" s="4" t="str">
        <f>IFERROR(__xludf.DUMMYFUNCTION("""COMPUTED_VALUE"""),"2019/11/06 15:50:00")</f>
        <v>2019/11/06 15:50:00</v>
      </c>
      <c r="H644" s="4" t="str">
        <f>IFERROR(__xludf.DUMMYFUNCTION("""COMPUTED_VALUE"""),"d7e81483-6b37-4234-8d71-24fe33b4653a")</f>
        <v>d7e81483-6b37-4234-8d71-24fe33b4653a</v>
      </c>
      <c r="I644" s="4" t="str">
        <f>IFERROR(__xludf.DUMMYFUNCTION("""COMPUTED_VALUE"""),"d7e81483-6b37-4234-8d71-24fe33b4653a")</f>
        <v>d7e81483-6b37-4234-8d71-24fe33b4653a</v>
      </c>
    </row>
    <row r="645">
      <c r="A645" s="4" t="str">
        <f>IFERROR(__xludf.DUMMYFUNCTION("""COMPUTED_VALUE"""),"Innovating at scale ")</f>
        <v>Innovating at scale </v>
      </c>
      <c r="B645" s="4" t="str">
        <f>IFERROR(__xludf.DUMMYFUNCTION("""COMPUTED_VALUE"""),"As one of the biggest travel e-commerce sites in the world and a global workforce of over 50% women, Booking.com has innovated in their product and also their workplace diversity policy. Their chairwoman will discuss innovating at scale. ")</f>
        <v>As one of the biggest travel e-commerce sites in the world and a global workforce of over 50% women, Booking.com has innovated in their product and also their workplace diversity policy. Their chairwoman will discuss innovating at scale. </v>
      </c>
      <c r="C645" s="4" t="str">
        <f>IFERROR(__xludf.DUMMYFUNCTION("""COMPUTED_VALUE"""),"Startup University")</f>
        <v>Startup University</v>
      </c>
      <c r="D645" s="4" t="str">
        <f>IFERROR(__xludf.DUMMYFUNCTION("""COMPUTED_VALUE"""),"Gillian Tans and Elizabeth Schulze")</f>
        <v>Gillian Tans and Elizabeth Schulze</v>
      </c>
      <c r="E645" s="4" t="str">
        <f>IFERROR(__xludf.DUMMYFUNCTION("""COMPUTED_VALUE"""),"Gillian Tans,Elizabeth Schulze")</f>
        <v>Gillian Tans,Elizabeth Schulze</v>
      </c>
      <c r="F645" s="4" t="str">
        <f>IFERROR(__xludf.DUMMYFUNCTION("""COMPUTED_VALUE"""),"2019/11/05 12:40:00")</f>
        <v>2019/11/05 12:40:00</v>
      </c>
      <c r="G645" s="4" t="str">
        <f>IFERROR(__xludf.DUMMYFUNCTION("""COMPUTED_VALUE"""),"2019/11/05 13:00:00")</f>
        <v>2019/11/05 13:00:00</v>
      </c>
      <c r="H645" s="4" t="str">
        <f>IFERROR(__xludf.DUMMYFUNCTION("""COMPUTED_VALUE"""),"682be20c-3601-4e01-af1a-1e88e61aab04")</f>
        <v>682be20c-3601-4e01-af1a-1e88e61aab04</v>
      </c>
      <c r="I645" s="4" t="str">
        <f>IFERROR(__xludf.DUMMYFUNCTION("""COMPUTED_VALUE"""),"682be20c-3601-4e01-af1a-1e88e61aab04")</f>
        <v>682be20c-3601-4e01-af1a-1e88e61aab04</v>
      </c>
    </row>
    <row r="646">
      <c r="A646" s="4" t="str">
        <f>IFERROR(__xludf.DUMMYFUNCTION("""COMPUTED_VALUE"""),"PITCH group round 12")</f>
        <v>PITCH group round 12</v>
      </c>
      <c r="B646" s="4" t="str">
        <f>IFERROR(__xludf.DUMMYFUNCTION("""COMPUTED_VALUE"""),"")</f>
        <v/>
      </c>
      <c r="C646" s="4" t="str">
        <f>IFERROR(__xludf.DUMMYFUNCTION("""COMPUTED_VALUE"""),"")</f>
        <v/>
      </c>
      <c r="D646" s="4" t="str">
        <f>IFERROR(__xludf.DUMMYFUNCTION("""COMPUTED_VALUE"""),"Fatima Zaidi,  Oliver Clasen,  Brendan Yell,  Tom Michael,  Maja Markowitz,  Tracy Isacke,  Rupert Barksfield,  Seth Ward,  Sam Abrika,  Katy Lindemann,  Laurent Marfisi,  Ken Miyake,  Simonetta d'Ottaviano and  Mario Arabov
")</f>
        <v>Fatima Zaidi,  Oliver Clasen,  Brendan Yell,  Tom Michael,  Maja Markowitz,  Tracy Isacke,  Rupert Barksfield,  Seth Ward,  Sam Abrika,  Katy Lindemann,  Laurent Marfisi,  Ken Miyake,  Simonetta d'Ottaviano and  Mario Arabov
</v>
      </c>
      <c r="E646" s="4" t="str">
        <f>IFERROR(__xludf.DUMMYFUNCTION("""COMPUTED_VALUE"""),"Fatima Zaidi, Oliver Clasen, Brendan Yell, Tom Michael, Maja Markowitz, Tracy Isacke, Rupert Barksfield, Seth Ward, Sam Abrika, Katy Lindemann, Laurent Marfisi, Ken Miyake, Simonetta d'Ottaviano, Mario Arabov
")</f>
        <v>Fatima Zaidi, Oliver Clasen, Brendan Yell, Tom Michael, Maja Markowitz, Tracy Isacke, Rupert Barksfield, Seth Ward, Sam Abrika, Katy Lindemann, Laurent Marfisi, Ken Miyake, Simonetta d'Ottaviano, Mario Arabov
</v>
      </c>
      <c r="F646" s="4" t="str">
        <f>IFERROR(__xludf.DUMMYFUNCTION("""COMPUTED_VALUE"""),"")</f>
        <v/>
      </c>
      <c r="G646" s="4" t="str">
        <f>IFERROR(__xludf.DUMMYFUNCTION("""COMPUTED_VALUE"""),"")</f>
        <v/>
      </c>
      <c r="H646" s="4" t="str">
        <f>IFERROR(__xludf.DUMMYFUNCTION("""COMPUTED_VALUE"""),"750403f0-111c-5652-b735-fba32607ffec")</f>
        <v>750403f0-111c-5652-b735-fba32607ffec</v>
      </c>
      <c r="I646" s="4" t="str">
        <f>IFERROR(__xludf.DUMMYFUNCTION("""COMPUTED_VALUE"""),"750403f0-111c-5652-b735-fba32607ffec")</f>
        <v>750403f0-111c-5652-b735-fba32607ffec</v>
      </c>
    </row>
    <row r="647">
      <c r="A647" s="4" t="str">
        <f>IFERROR(__xludf.DUMMYFUNCTION("""COMPUTED_VALUE"""),"Bus and Tram Station Calvário")</f>
        <v>Bus and Tram Station Calvário</v>
      </c>
      <c r="B647" s="4" t="str">
        <f>IFERROR(__xludf.DUMMYFUNCTION("""COMPUTED_VALUE"""),"")</f>
        <v/>
      </c>
      <c r="C647" s="4" t="str">
        <f>IFERROR(__xludf.DUMMYFUNCTION("""COMPUTED_VALUE"""),"Bus and Tram Station Calvário")</f>
        <v>Bus and Tram Station Calvário</v>
      </c>
      <c r="D647" s="4" t="str">
        <f>IFERROR(__xludf.DUMMYFUNCTION("""COMPUTED_VALUE"""),"")</f>
        <v/>
      </c>
      <c r="E647" s="4" t="str">
        <f>IFERROR(__xludf.DUMMYFUNCTION("""COMPUTED_VALUE"""),"")</f>
        <v/>
      </c>
      <c r="F647" s="4" t="str">
        <f>IFERROR(__xludf.DUMMYFUNCTION("""COMPUTED_VALUE"""),"2019/11/06 20:01:00")</f>
        <v>2019/11/06 20:01:00</v>
      </c>
      <c r="G647" s="4" t="str">
        <f>IFERROR(__xludf.DUMMYFUNCTION("""COMPUTED_VALUE"""),"2019/11/07 02:00:00")</f>
        <v>2019/11/07 02:00:00</v>
      </c>
      <c r="H647" s="4" t="str">
        <f>IFERROR(__xludf.DUMMYFUNCTION("""COMPUTED_VALUE"""),"fab23770-7955-4ad5-9589-b40c5f486e95")</f>
        <v>fab23770-7955-4ad5-9589-b40c5f486e95</v>
      </c>
      <c r="I647" s="4" t="str">
        <f>IFERROR(__xludf.DUMMYFUNCTION("""COMPUTED_VALUE"""),"fab23770-7955-4ad5-9589-b40c5f486e95")</f>
        <v>fab23770-7955-4ad5-9589-b40c5f486e95</v>
      </c>
    </row>
    <row r="648">
      <c r="A648" s="4" t="str">
        <f>IFERROR(__xludf.DUMMYFUNCTION("""COMPUTED_VALUE"""),"Bidroom: Master disruption and growth with a subscription business model")</f>
        <v>Bidroom: Master disruption and growth with a subscription business model</v>
      </c>
      <c r="B648" s="4" t="str">
        <f>IFERROR(__xludf.DUMMYFUNCTION("""COMPUTED_VALUE"""),"The co-founder of Bidroom, Michael discusses key growth factors in how their disruptive, membership-based business model changed one of the world's largest industries.")</f>
        <v>The co-founder of Bidroom, Michael discusses key growth factors in how their disruptive, membership-based business model changed one of the world's largest industries.</v>
      </c>
      <c r="C648" s="4" t="str">
        <f>IFERROR(__xludf.DUMMYFUNCTION("""COMPUTED_VALUE"""),"Growth Summit")</f>
        <v>Growth Summit</v>
      </c>
      <c r="D648" s="4" t="str">
        <f>IFERROR(__xludf.DUMMYFUNCTION("""COMPUTED_VALUE"""),"Michael Ros")</f>
        <v>Michael Ros</v>
      </c>
      <c r="E648" s="4" t="str">
        <f>IFERROR(__xludf.DUMMYFUNCTION("""COMPUTED_VALUE"""),"Michael Ros")</f>
        <v>Michael Ros</v>
      </c>
      <c r="F648" s="4" t="str">
        <f>IFERROR(__xludf.DUMMYFUNCTION("""COMPUTED_VALUE"""),"2019/11/05 15:15:00")</f>
        <v>2019/11/05 15:15:00</v>
      </c>
      <c r="G648" s="4" t="str">
        <f>IFERROR(__xludf.DUMMYFUNCTION("""COMPUTED_VALUE"""),"2019/11/05 15:26:00")</f>
        <v>2019/11/05 15:26:00</v>
      </c>
      <c r="H648" s="4" t="str">
        <f>IFERROR(__xludf.DUMMYFUNCTION("""COMPUTED_VALUE"""),"161c0732-4898-4b62-b38c-0132395b35c6")</f>
        <v>161c0732-4898-4b62-b38c-0132395b35c6</v>
      </c>
      <c r="I648" s="4" t="str">
        <f>IFERROR(__xludf.DUMMYFUNCTION("""COMPUTED_VALUE"""),"161c0732-4898-4b62-b38c-0132395b35c6")</f>
        <v>161c0732-4898-4b62-b38c-0132395b35c6</v>
      </c>
    </row>
    <row r="649">
      <c r="A649" s="4" t="str">
        <f>IFERROR(__xludf.DUMMYFUNCTION("""COMPUTED_VALUE"""),"The challenges of innovating in a big bank – how to operate like a fintech?")</f>
        <v>The challenges of innovating in a big bank – how to operate like a fintech?</v>
      </c>
      <c r="B649" s="4" t="str">
        <f>IFERROR(__xludf.DUMMYFUNCTION("""COMPUTED_VALUE"""),"A new generation of customers is in demand for alternative financial products that can add value to their daily lives. How can an incumbent cope with the new paradigm? The case of moey!, the first 100% mobile banking solution in Portugal and Meniga, a wor"&amp;"ld leader in developing fintech solutions for banking.
 ")</f>
        <v>A new generation of customers is in demand for alternative financial products that can add value to their daily lives. How can an incumbent cope with the new paradigm? The case of moey!, the first 100% mobile banking solution in Portugal and Meniga, a world leader in developing fintech solutions for banking.
 </v>
      </c>
      <c r="C649" s="4" t="str">
        <f>IFERROR(__xludf.DUMMYFUNCTION("""COMPUTED_VALUE"""),"Corporate Innovation Summit")</f>
        <v>Corporate Innovation Summit</v>
      </c>
      <c r="D649" s="4" t="str">
        <f>IFERROR(__xludf.DUMMYFUNCTION("""COMPUTED_VALUE"""),"Ricardo Madeira, Jakub Piotrowski and Rosália Amorim")</f>
        <v>Ricardo Madeira, Jakub Piotrowski and Rosália Amorim</v>
      </c>
      <c r="E649" s="4" t="str">
        <f>IFERROR(__xludf.DUMMYFUNCTION("""COMPUTED_VALUE"""),"Ricardo Madeira,Jakub Piotrowski,Rosália Amorim")</f>
        <v>Ricardo Madeira,Jakub Piotrowski,Rosália Amorim</v>
      </c>
      <c r="F649" s="4" t="str">
        <f>IFERROR(__xludf.DUMMYFUNCTION("""COMPUTED_VALUE"""),"2019/11/06 11:25:00")</f>
        <v>2019/11/06 11:25:00</v>
      </c>
      <c r="G649" s="4" t="str">
        <f>IFERROR(__xludf.DUMMYFUNCTION("""COMPUTED_VALUE"""),"2019/11/06 11:45:00")</f>
        <v>2019/11/06 11:45:00</v>
      </c>
      <c r="H649" s="4" t="str">
        <f>IFERROR(__xludf.DUMMYFUNCTION("""COMPUTED_VALUE"""),"258b9338-ff99-45af-b822-895469ea3277")</f>
        <v>258b9338-ff99-45af-b822-895469ea3277</v>
      </c>
      <c r="I649" s="4" t="str">
        <f>IFERROR(__xludf.DUMMYFUNCTION("""COMPUTED_VALUE"""),"258b9338-ff99-45af-b822-895469ea3277")</f>
        <v>258b9338-ff99-45af-b822-895469ea3277</v>
      </c>
    </row>
    <row r="650">
      <c r="A650" s="4" t="str">
        <f>IFERROR(__xludf.DUMMYFUNCTION("""COMPUTED_VALUE"""),"Are you ready for 5G?")</f>
        <v>Are you ready for 5G?</v>
      </c>
      <c r="B650" s="4" t="str">
        <f>IFERROR(__xludf.DUMMYFUNCTION("""COMPUTED_VALUE"""),"Despite the hype, a lot of businesses and consumers still aren’t ready for just how revolutionary 5G is. Join this talk to hear about the Eight Currencies of 5G, and to see a complete picture of how it will open up new possibilities for your company, cons"&amp;"umers, and society for years to come. This Fourth Industrial Revolution is an amazing opportunity, and we dare not let it pass.")</f>
        <v>Despite the hype, a lot of businesses and consumers still aren’t ready for just how revolutionary 5G is. Join this talk to hear about the Eight Currencies of 5G, and to see a complete picture of how it will open up new possibilities for your company, consumers, and society for years to come. This Fourth Industrial Revolution is an amazing opportunity, and we dare not let it pass.</v>
      </c>
      <c r="C650" s="4" t="str">
        <f>IFERROR(__xludf.DUMMYFUNCTION("""COMPUTED_VALUE"""),"Centre Stage")</f>
        <v>Centre Stage</v>
      </c>
      <c r="D650" s="4" t="str">
        <f>IFERROR(__xludf.DUMMYFUNCTION("""COMPUTED_VALUE"""),"Ronan Dunne")</f>
        <v>Ronan Dunne</v>
      </c>
      <c r="E650" s="4" t="str">
        <f>IFERROR(__xludf.DUMMYFUNCTION("""COMPUTED_VALUE"""),"Ronan Dunne")</f>
        <v>Ronan Dunne</v>
      </c>
      <c r="F650" s="4" t="str">
        <f>IFERROR(__xludf.DUMMYFUNCTION("""COMPUTED_VALUE"""),"2019/11/05 10:00:00")</f>
        <v>2019/11/05 10:00:00</v>
      </c>
      <c r="G650" s="4" t="str">
        <f>IFERROR(__xludf.DUMMYFUNCTION("""COMPUTED_VALUE"""),"2019/11/05 10:25:00")</f>
        <v>2019/11/05 10:25:00</v>
      </c>
      <c r="H650" s="4" t="str">
        <f>IFERROR(__xludf.DUMMYFUNCTION("""COMPUTED_VALUE"""),"bf25eb67-8b8e-428d-9bd1-345f15be223c")</f>
        <v>bf25eb67-8b8e-428d-9bd1-345f15be223c</v>
      </c>
      <c r="I650" s="4" t="str">
        <f>IFERROR(__xludf.DUMMYFUNCTION("""COMPUTED_VALUE"""),"bf25eb67-8b8e-428d-9bd1-345f15be223c")</f>
        <v>bf25eb67-8b8e-428d-9bd1-345f15be223c</v>
      </c>
    </row>
    <row r="651">
      <c r="A651" s="4" t="str">
        <f>IFERROR(__xludf.DUMMYFUNCTION("""COMPUTED_VALUE"""),"Opening remarks")</f>
        <v>Opening remarks</v>
      </c>
      <c r="B651" s="4" t="str">
        <f>IFERROR(__xludf.DUMMYFUNCTION("""COMPUTED_VALUE"""),"")</f>
        <v/>
      </c>
      <c r="C651" s="4" t="str">
        <f>IFERROR(__xludf.DUMMYFUNCTION("""COMPUTED_VALUE"""),"PandaConf")</f>
        <v>PandaConf</v>
      </c>
      <c r="D651" s="4" t="str">
        <f>IFERROR(__xludf.DUMMYFUNCTION("""COMPUTED_VALUE"""),"Yamilette Cano")</f>
        <v>Yamilette Cano</v>
      </c>
      <c r="E651" s="4" t="str">
        <f>IFERROR(__xludf.DUMMYFUNCTION("""COMPUTED_VALUE"""),"Yamilette Cano")</f>
        <v>Yamilette Cano</v>
      </c>
      <c r="F651" s="4" t="str">
        <f>IFERROR(__xludf.DUMMYFUNCTION("""COMPUTED_VALUE"""),"2019/11/06 10:45:00")</f>
        <v>2019/11/06 10:45:00</v>
      </c>
      <c r="G651" s="4" t="str">
        <f>IFERROR(__xludf.DUMMYFUNCTION("""COMPUTED_VALUE"""),"2019/11/06 10:50:00")</f>
        <v>2019/11/06 10:50:00</v>
      </c>
      <c r="H651" s="4" t="str">
        <f>IFERROR(__xludf.DUMMYFUNCTION("""COMPUTED_VALUE"""),"fc0020ff-046f-4c92-a2c8-82205616d052")</f>
        <v>fc0020ff-046f-4c92-a2c8-82205616d052</v>
      </c>
      <c r="I651" s="4" t="str">
        <f>IFERROR(__xludf.DUMMYFUNCTION("""COMPUTED_VALUE"""),"fc0020ff-046f-4c92-a2c8-82205616d052")</f>
        <v>fc0020ff-046f-4c92-a2c8-82205616d052</v>
      </c>
    </row>
    <row r="652">
      <c r="A652" s="4" t="str">
        <f>IFERROR(__xludf.DUMMYFUNCTION("""COMPUTED_VALUE"""),"The state of global seed")</f>
        <v>The state of global seed</v>
      </c>
      <c r="B652" s="4" t="str">
        <f>IFERROR(__xludf.DUMMYFUNCTION("""COMPUTED_VALUE"""),"The shift towards later-stage investments has created a challenging landscape for early-stage startups seeking funding. As the pool of seed investors shrinks, what are those who are left searching for in companies? ")</f>
        <v>The shift towards later-stage investments has created a challenging landscape for early-stage startups seeking funding. As the pool of seed investors shrinks, what are those who are left searching for in companies? </v>
      </c>
      <c r="C652" s="4" t="str">
        <f>IFERROR(__xludf.DUMMYFUNCTION("""COMPUTED_VALUE"""),"Venture stage")</f>
        <v>Venture stage</v>
      </c>
      <c r="D652" s="4" t="str">
        <f>IFERROR(__xludf.DUMMYFUNCTION("""COMPUTED_VALUE"""),"Reshma Sohoni, Gillian Munson, Zach Coelius, Alexandre Barbosa and Nizar Tarhuni")</f>
        <v>Reshma Sohoni, Gillian Munson, Zach Coelius, Alexandre Barbosa and Nizar Tarhuni</v>
      </c>
      <c r="E652" s="4" t="str">
        <f>IFERROR(__xludf.DUMMYFUNCTION("""COMPUTED_VALUE"""),"Reshma Sohoni,Gillian Munson,Zach Coelius,Alexandre Barbosa,Nizar Tarhuni")</f>
        <v>Reshma Sohoni,Gillian Munson,Zach Coelius,Alexandre Barbosa,Nizar Tarhuni</v>
      </c>
      <c r="F652" s="4" t="str">
        <f>IFERROR(__xludf.DUMMYFUNCTION("""COMPUTED_VALUE"""),"2019/11/05 13:45:00")</f>
        <v>2019/11/05 13:45:00</v>
      </c>
      <c r="G652" s="4" t="str">
        <f>IFERROR(__xludf.DUMMYFUNCTION("""COMPUTED_VALUE"""),"2019/11/05 14:05:00")</f>
        <v>2019/11/05 14:05:00</v>
      </c>
      <c r="H652" s="4" t="str">
        <f>IFERROR(__xludf.DUMMYFUNCTION("""COMPUTED_VALUE"""),"75e89197-77fc-46c8-a26e-e6fddc2a1b3c")</f>
        <v>75e89197-77fc-46c8-a26e-e6fddc2a1b3c</v>
      </c>
      <c r="I652" s="4" t="str">
        <f>IFERROR(__xludf.DUMMYFUNCTION("""COMPUTED_VALUE"""),"75e89197-77fc-46c8-a26e-e6fddc2a1b3c")</f>
        <v>75e89197-77fc-46c8-a26e-e6fddc2a1b3c</v>
      </c>
    </row>
    <row r="653">
      <c r="A653" s="4" t="str">
        <f>IFERROR(__xludf.DUMMYFUNCTION("""COMPUTED_VALUE"""),"Data secure passive biometrics")</f>
        <v>Data secure passive biometrics</v>
      </c>
      <c r="B653" s="4" t="str">
        <f>IFERROR(__xludf.DUMMYFUNCTION("""COMPUTED_VALUE"""),"Should the internet of the 21st century be a global village of people wearing masks and trolling? Aleksander's talk is about providing a platform that enables visibility without compromising when it comes to data and identity security.")</f>
        <v>Should the internet of the 21st century be a global village of people wearing masks and trolling? Aleksander's talk is about providing a platform that enables visibility without compromising when it comes to data and identity security.</v>
      </c>
      <c r="C653" s="4" t="str">
        <f>IFERROR(__xludf.DUMMYFUNCTION("""COMPUTED_VALUE"""),"Growth Summit")</f>
        <v>Growth Summit</v>
      </c>
      <c r="D653" s="4" t="str">
        <f>IFERROR(__xludf.DUMMYFUNCTION("""COMPUTED_VALUE"""),"Aleksander Kijek")</f>
        <v>Aleksander Kijek</v>
      </c>
      <c r="E653" s="4" t="str">
        <f>IFERROR(__xludf.DUMMYFUNCTION("""COMPUTED_VALUE"""),"Aleksander Kijek")</f>
        <v>Aleksander Kijek</v>
      </c>
      <c r="F653" s="4" t="str">
        <f>IFERROR(__xludf.DUMMYFUNCTION("""COMPUTED_VALUE"""),"2019/11/07 10:54:00")</f>
        <v>2019/11/07 10:54:00</v>
      </c>
      <c r="G653" s="4" t="str">
        <f>IFERROR(__xludf.DUMMYFUNCTION("""COMPUTED_VALUE"""),"2019/11/07 10:56:00")</f>
        <v>2019/11/07 10:56:00</v>
      </c>
      <c r="H653" s="4" t="str">
        <f>IFERROR(__xludf.DUMMYFUNCTION("""COMPUTED_VALUE"""),"3bc1f9b7-22a8-4953-bf70-84359246d05a")</f>
        <v>3bc1f9b7-22a8-4953-bf70-84359246d05a</v>
      </c>
      <c r="I653" s="4" t="str">
        <f>IFERROR(__xludf.DUMMYFUNCTION("""COMPUTED_VALUE"""),"3bc1f9b7-22a8-4953-bf70-84359246d05a")</f>
        <v>3bc1f9b7-22a8-4953-bf70-84359246d05a</v>
      </c>
    </row>
    <row r="654">
      <c r="A654" s="4" t="str">
        <f>IFERROR(__xludf.DUMMYFUNCTION("""COMPUTED_VALUE"""),"Fintech v big tech: Competitive consumer experience")</f>
        <v>Fintech v big tech: Competitive consumer experience</v>
      </c>
      <c r="B654" s="4" t="str">
        <f>IFERROR(__xludf.DUMMYFUNCTION("""COMPUTED_VALUE"""),"It seems like tech giants can't get enough of fintech. As players like Facebook and Uber begin their long-anticipated move into the market, what can standalone fintechs and banks do to maintain consumer loyalty? ")</f>
        <v>It seems like tech giants can't get enough of fintech. As players like Facebook and Uber begin their long-anticipated move into the market, what can standalone fintechs and banks do to maintain consumer loyalty? </v>
      </c>
      <c r="C654" s="4" t="str">
        <f>IFERROR(__xludf.DUMMYFUNCTION("""COMPUTED_VALUE"""),"MoneyConf")</f>
        <v>MoneyConf</v>
      </c>
      <c r="D654" s="4" t="str">
        <f>IFERROR(__xludf.DUMMYFUNCTION("""COMPUTED_VALUE"""),"Jaspar Weir, Matthew Crummack, Madalena Cascais Tomé and Jordan French")</f>
        <v>Jaspar Weir, Matthew Crummack, Madalena Cascais Tomé and Jordan French</v>
      </c>
      <c r="E654" s="4" t="str">
        <f>IFERROR(__xludf.DUMMYFUNCTION("""COMPUTED_VALUE"""),"Jaspar Weir,Matthew Crummack,Madalena Cascais Tomé,Jordan French")</f>
        <v>Jaspar Weir,Matthew Crummack,Madalena Cascais Tomé,Jordan French</v>
      </c>
      <c r="F654" s="4" t="str">
        <f>IFERROR(__xludf.DUMMYFUNCTION("""COMPUTED_VALUE"""),"2019/11/06 15:00:00")</f>
        <v>2019/11/06 15:00:00</v>
      </c>
      <c r="G654" s="4" t="str">
        <f>IFERROR(__xludf.DUMMYFUNCTION("""COMPUTED_VALUE"""),"2019/11/06 15:25:00")</f>
        <v>2019/11/06 15:25:00</v>
      </c>
      <c r="H654" s="4" t="str">
        <f>IFERROR(__xludf.DUMMYFUNCTION("""COMPUTED_VALUE"""),"1a73884b-5946-481c-aa1b-62dd927d535d")</f>
        <v>1a73884b-5946-481c-aa1b-62dd927d535d</v>
      </c>
      <c r="I654" s="4" t="str">
        <f>IFERROR(__xludf.DUMMYFUNCTION("""COMPUTED_VALUE"""),"1a73884b-5946-481c-aa1b-62dd927d535d")</f>
        <v>1a73884b-5946-481c-aa1b-62dd927d535d</v>
      </c>
    </row>
    <row r="655">
      <c r="A655" s="4" t="str">
        <f>IFERROR(__xludf.DUMMYFUNCTION("""COMPUTED_VALUE"""),"Music Innovation Prize 2019")</f>
        <v>Music Innovation Prize 2019</v>
      </c>
      <c r="B655" s="4" t="str">
        <f>IFERROR(__xludf.DUMMYFUNCTION("""COMPUTED_VALUE"""),"This year at Web Summit, we’re introducing a new competition on our MusicNotes stage. Five cutting-edge music startups will showcase their company live onstage in front of a panel of industry heavyweights, influential investors, and big-name artists. The "&amp;"winner will be awarded the first-ever Music Innovation Prize.")</f>
        <v>This year at Web Summit, we’re introducing a new competition on our MusicNotes stage. Five cutting-edge music startups will showcase their company live onstage in front of a panel of industry heavyweights, influential investors, and big-name artists. The winner will be awarded the first-ever Music Innovation Prize.</v>
      </c>
      <c r="C655" s="4" t="str">
        <f>IFERROR(__xludf.DUMMYFUNCTION("""COMPUTED_VALUE"""),"MusicNotes")</f>
        <v>MusicNotes</v>
      </c>
      <c r="D655" s="4" t="str">
        <f>IFERROR(__xludf.DUMMYFUNCTION("""COMPUTED_VALUE"""),"Graham Tull, George Wright, Phil Briot, Karén Chiftalaryan and Nuno Fonseca")</f>
        <v>Graham Tull, George Wright, Phil Briot, Karén Chiftalaryan and Nuno Fonseca</v>
      </c>
      <c r="E655" s="4" t="str">
        <f>IFERROR(__xludf.DUMMYFUNCTION("""COMPUTED_VALUE"""),"Graham Tull,George Wright,Phil Briot,Karén Chiftalaryan,Nuno Fonseca")</f>
        <v>Graham Tull,George Wright,Phil Briot,Karén Chiftalaryan,Nuno Fonseca</v>
      </c>
      <c r="F655" s="4" t="str">
        <f>IFERROR(__xludf.DUMMYFUNCTION("""COMPUTED_VALUE"""),"2019/11/07 12:35:00")</f>
        <v>2019/11/07 12:35:00</v>
      </c>
      <c r="G655" s="4" t="str">
        <f>IFERROR(__xludf.DUMMYFUNCTION("""COMPUTED_VALUE"""),"2019/11/07 13:05:00")</f>
        <v>2019/11/07 13:05:00</v>
      </c>
      <c r="H655" s="4" t="str">
        <f>IFERROR(__xludf.DUMMYFUNCTION("""COMPUTED_VALUE"""),"6de38082-d758-49eb-a19b-652a8f340afc")</f>
        <v>6de38082-d758-49eb-a19b-652a8f340afc</v>
      </c>
      <c r="I655" s="4" t="str">
        <f>IFERROR(__xludf.DUMMYFUNCTION("""COMPUTED_VALUE"""),"6de38082-d758-49eb-a19b-652a8f340afc")</f>
        <v>6de38082-d758-49eb-a19b-652a8f340afc</v>
      </c>
    </row>
    <row r="656">
      <c r="A656" s="4" t="str">
        <f>IFERROR(__xludf.DUMMYFUNCTION("""COMPUTED_VALUE"""),"In conversation with Margrethe Vestager")</f>
        <v>In conversation with Margrethe Vestager</v>
      </c>
      <c r="B656" s="4" t="str">
        <f>IFERROR(__xludf.DUMMYFUNCTION("""COMPUTED_VALUE"""),"Hear from the gatekeeper for the future of technology who has taken on Apple, Amazon and Google, and won, and is only getting started.")</f>
        <v>Hear from the gatekeeper for the future of technology who has taken on Apple, Amazon and Google, and won, and is only getting started.</v>
      </c>
      <c r="C656" s="4" t="str">
        <f>IFERROR(__xludf.DUMMYFUNCTION("""COMPUTED_VALUE"""),"Centre Stage")</f>
        <v>Centre Stage</v>
      </c>
      <c r="D656" s="4" t="str">
        <f>IFERROR(__xludf.DUMMYFUNCTION("""COMPUTED_VALUE"""),"Margrethe Vestager and Laurie Segall")</f>
        <v>Margrethe Vestager and Laurie Segall</v>
      </c>
      <c r="E656" s="4" t="str">
        <f>IFERROR(__xludf.DUMMYFUNCTION("""COMPUTED_VALUE"""),"Margrethe Vestager,Laurie Segall")</f>
        <v>Margrethe Vestager,Laurie Segall</v>
      </c>
      <c r="F656" s="4" t="str">
        <f>IFERROR(__xludf.DUMMYFUNCTION("""COMPUTED_VALUE"""),"2019/11/07 16:30:00")</f>
        <v>2019/11/07 16:30:00</v>
      </c>
      <c r="G656" s="4" t="str">
        <f>IFERROR(__xludf.DUMMYFUNCTION("""COMPUTED_VALUE"""),"2019/11/07 16:55:00")</f>
        <v>2019/11/07 16:55:00</v>
      </c>
      <c r="H656" s="4" t="str">
        <f>IFERROR(__xludf.DUMMYFUNCTION("""COMPUTED_VALUE"""),"e1941c66-7586-42a7-bf1f-b8d777f7a040")</f>
        <v>e1941c66-7586-42a7-bf1f-b8d777f7a040</v>
      </c>
      <c r="I656" s="4" t="str">
        <f>IFERROR(__xludf.DUMMYFUNCTION("""COMPUTED_VALUE"""),"e1941c66-7586-42a7-bf1f-b8d777f7a040")</f>
        <v>e1941c66-7586-42a7-bf1f-b8d777f7a040</v>
      </c>
    </row>
    <row r="657">
      <c r="A657" s="4" t="str">
        <f>IFERROR(__xludf.DUMMYFUNCTION("""COMPUTED_VALUE"""),"Revolutionising stock: Fintech's role in the market")</f>
        <v>Revolutionising stock: Fintech's role in the market</v>
      </c>
      <c r="B657" s="4" t="str">
        <f>IFERROR(__xludf.DUMMYFUNCTION("""COMPUTED_VALUE"""),"What do sneakers and debit cards have in common? Both have provided these two founders an opportunity to adapt the stock market to match their latest consumer needs. The founders of StockX and Revolut will be onstage discussing how they have reshaped the "&amp;"unpredictable world of stocks to suit their business. ")</f>
        <v>What do sneakers and debit cards have in common? Both have provided these two founders an opportunity to adapt the stock market to match their latest consumer needs. The founders of StockX and Revolut will be onstage discussing how they have reshaped the unpredictable world of stocks to suit their business. </v>
      </c>
      <c r="C657" s="4" t="str">
        <f>IFERROR(__xludf.DUMMYFUNCTION("""COMPUTED_VALUE"""),"MoneyConf")</f>
        <v>MoneyConf</v>
      </c>
      <c r="D657" s="4" t="str">
        <f>IFERROR(__xludf.DUMMYFUNCTION("""COMPUTED_VALUE"""),"Nikolay Storonsky, Josh Luber and Elizabeth Schulze")</f>
        <v>Nikolay Storonsky, Josh Luber and Elizabeth Schulze</v>
      </c>
      <c r="E657" s="4" t="str">
        <f>IFERROR(__xludf.DUMMYFUNCTION("""COMPUTED_VALUE"""),"Nikolay Storonsky,Josh Luber,Elizabeth Schulze")</f>
        <v>Nikolay Storonsky,Josh Luber,Elizabeth Schulze</v>
      </c>
      <c r="F657" s="4" t="str">
        <f>IFERROR(__xludf.DUMMYFUNCTION("""COMPUTED_VALUE"""),"2019/11/07 15:55:00")</f>
        <v>2019/11/07 15:55:00</v>
      </c>
      <c r="G657" s="4" t="str">
        <f>IFERROR(__xludf.DUMMYFUNCTION("""COMPUTED_VALUE"""),"2019/11/07 16:20:00")</f>
        <v>2019/11/07 16:20:00</v>
      </c>
      <c r="H657" s="4" t="str">
        <f>IFERROR(__xludf.DUMMYFUNCTION("""COMPUTED_VALUE"""),"d3afabf6-2c15-4fae-98f4-8e13e3edb940")</f>
        <v>d3afabf6-2c15-4fae-98f4-8e13e3edb940</v>
      </c>
      <c r="I657" s="4" t="str">
        <f>IFERROR(__xludf.DUMMYFUNCTION("""COMPUTED_VALUE"""),"d3afabf6-2c15-4fae-98f4-8e13e3edb940")</f>
        <v>d3afabf6-2c15-4fae-98f4-8e13e3edb940</v>
      </c>
    </row>
    <row r="658">
      <c r="A658" s="4" t="str">
        <f>IFERROR(__xludf.DUMMYFUNCTION("""COMPUTED_VALUE"""),"Time Out: A tasty transformation")</f>
        <v>Time Out: A tasty transformation</v>
      </c>
      <c r="B658" s="4" t="str">
        <f>IFERROR(__xludf.DUMMYFUNCTION("""COMPUTED_VALUE"""),"How Time Out went from 1968 London magazine to opening food and cultural markets around the world.
")</f>
        <v>How Time Out went from 1968 London magazine to opening food and cultural markets around the world.
</v>
      </c>
      <c r="C658" s="4" t="str">
        <f>IFERROR(__xludf.DUMMYFUNCTION("""COMPUTED_VALUE"""),"Corporate Innovation Summit")</f>
        <v>Corporate Innovation Summit</v>
      </c>
      <c r="D658" s="4" t="str">
        <f>IFERROR(__xludf.DUMMYFUNCTION("""COMPUTED_VALUE"""),"Julio Bruno")</f>
        <v>Julio Bruno</v>
      </c>
      <c r="E658" s="4" t="str">
        <f>IFERROR(__xludf.DUMMYFUNCTION("""COMPUTED_VALUE"""),"Julio Bruno")</f>
        <v>Julio Bruno</v>
      </c>
      <c r="F658" s="4" t="str">
        <f>IFERROR(__xludf.DUMMYFUNCTION("""COMPUTED_VALUE"""),"2019/11/07 12:20:00")</f>
        <v>2019/11/07 12:20:00</v>
      </c>
      <c r="G658" s="4" t="str">
        <f>IFERROR(__xludf.DUMMYFUNCTION("""COMPUTED_VALUE"""),"2019/11/07 12:35:00")</f>
        <v>2019/11/07 12:35:00</v>
      </c>
      <c r="H658" s="4" t="str">
        <f>IFERROR(__xludf.DUMMYFUNCTION("""COMPUTED_VALUE"""),"db64c6fe-ffe5-4c73-9c46-4261eb510ebd")</f>
        <v>db64c6fe-ffe5-4c73-9c46-4261eb510ebd</v>
      </c>
      <c r="I658" s="4" t="str">
        <f>IFERROR(__xludf.DUMMYFUNCTION("""COMPUTED_VALUE"""),"db64c6fe-ffe5-4c73-9c46-4261eb510ebd")</f>
        <v>db64c6fe-ffe5-4c73-9c46-4261eb510ebd</v>
      </c>
    </row>
    <row r="659">
      <c r="A659" s="4" t="str">
        <f>IFERROR(__xludf.DUMMYFUNCTION("""COMPUTED_VALUE"""),"Lunch break")</f>
        <v>Lunch break</v>
      </c>
      <c r="B659" s="4" t="str">
        <f>IFERROR(__xludf.DUMMYFUNCTION("""COMPUTED_VALUE"""),"")</f>
        <v/>
      </c>
      <c r="C659" s="4" t="str">
        <f>IFERROR(__xludf.DUMMYFUNCTION("""COMPUTED_VALUE"""),"ContentMakers")</f>
        <v>ContentMakers</v>
      </c>
      <c r="D659" s="4" t="str">
        <f>IFERROR(__xludf.DUMMYFUNCTION("""COMPUTED_VALUE"""),"")</f>
        <v/>
      </c>
      <c r="E659" s="4" t="str">
        <f>IFERROR(__xludf.DUMMYFUNCTION("""COMPUTED_VALUE"""),"")</f>
        <v/>
      </c>
      <c r="F659" s="4" t="str">
        <f>IFERROR(__xludf.DUMMYFUNCTION("""COMPUTED_VALUE"""),"2019/11/06 13:30:00")</f>
        <v>2019/11/06 13:30:00</v>
      </c>
      <c r="G659" s="4" t="str">
        <f>IFERROR(__xludf.DUMMYFUNCTION("""COMPUTED_VALUE"""),"2019/11/06 14:00:00")</f>
        <v>2019/11/06 14:00:00</v>
      </c>
      <c r="H659" s="4" t="str">
        <f>IFERROR(__xludf.DUMMYFUNCTION("""COMPUTED_VALUE"""),"7ca496e4-68f1-4fa1-a6be-ed4fa978ebb8")</f>
        <v>7ca496e4-68f1-4fa1-a6be-ed4fa978ebb8</v>
      </c>
      <c r="I659" s="4" t="str">
        <f>IFERROR(__xludf.DUMMYFUNCTION("""COMPUTED_VALUE"""),"7ca496e4-68f1-4fa1-a6be-ed4fa978ebb8")</f>
        <v>7ca496e4-68f1-4fa1-a6be-ed4fa978ebb8</v>
      </c>
    </row>
    <row r="660">
      <c r="A660" s="4" t="str">
        <f>IFERROR(__xludf.DUMMYFUNCTION("""COMPUTED_VALUE"""),"Explore your digital futures, hosted by Shell")</f>
        <v>Explore your digital futures, hosted by Shell</v>
      </c>
      <c r="B660" s="4" t="str">
        <f>IFERROR(__xludf.DUMMYFUNCTION("""COMPUTED_VALUE"""),"Are you thinking 50 years ahead?  We are. Our new scenarios explore how digitalisation could change the world - democracy, prosperity, inequality, privacy, security - in the decades to come. Shell has been a pioneer in the use of scenario thinking to help"&amp;" understand the future and navigate uncertainty. In this interactive session, you will use tools and techniques to explore our new scenarios and your digital futures.")</f>
        <v>Are you thinking 50 years ahead?  We are. Our new scenarios explore how digitalisation could change the world - democracy, prosperity, inequality, privacy, security - in the decades to come. Shell has been a pioneer in the use of scenario thinking to help understand the future and navigate uncertainty. In this interactive session, you will use tools and techniques to explore our new scenarios and your digital futures.</v>
      </c>
      <c r="C660" s="4" t="str">
        <f>IFERROR(__xludf.DUMMYFUNCTION("""COMPUTED_VALUE"""),"Workshop 3")</f>
        <v>Workshop 3</v>
      </c>
      <c r="D660" s="4" t="str">
        <f>IFERROR(__xludf.DUMMYFUNCTION("""COMPUTED_VALUE"""),"Adam Eales")</f>
        <v>Adam Eales</v>
      </c>
      <c r="E660" s="4" t="str">
        <f>IFERROR(__xludf.DUMMYFUNCTION("""COMPUTED_VALUE"""),"Adam Eales")</f>
        <v>Adam Eales</v>
      </c>
      <c r="F660" s="4" t="str">
        <f>IFERROR(__xludf.DUMMYFUNCTION("""COMPUTED_VALUE"""),"2019/11/07 13:00:00")</f>
        <v>2019/11/07 13:00:00</v>
      </c>
      <c r="G660" s="4" t="str">
        <f>IFERROR(__xludf.DUMMYFUNCTION("""COMPUTED_VALUE"""),"2019/11/07 13:45:00")</f>
        <v>2019/11/07 13:45:00</v>
      </c>
      <c r="H660" s="4" t="str">
        <f>IFERROR(__xludf.DUMMYFUNCTION("""COMPUTED_VALUE"""),"0fbb934a-5019-4313-9bf7-02a0c8d19809")</f>
        <v>0fbb934a-5019-4313-9bf7-02a0c8d19809</v>
      </c>
      <c r="I660" s="4" t="str">
        <f>IFERROR(__xludf.DUMMYFUNCTION("""COMPUTED_VALUE"""),"0fbb934a-5019-4313-9bf7-02a0c8d19809")</f>
        <v>0fbb934a-5019-4313-9bf7-02a0c8d19809</v>
      </c>
    </row>
    <row r="661">
      <c r="A661" s="4" t="str">
        <f>IFERROR(__xludf.DUMMYFUNCTION("""COMPUTED_VALUE"""),"Everybody loves a challenger (bank)")</f>
        <v>Everybody loves a challenger (bank)</v>
      </c>
      <c r="B661" s="4" t="str">
        <f>IFERROR(__xludf.DUMMYFUNCTION("""COMPUTED_VALUE"""),"Silicon Valley darling Brex have become the reference point for successful credit card startups. Join their founder in conversation about the changing banking landscape, future challenges in fintech and which startups he thinks will rise to the occasion. ")</f>
        <v>Silicon Valley darling Brex have become the reference point for successful credit card startups. Join their founder in conversation about the changing banking landscape, future challenges in fintech and which startups he thinks will rise to the occasion. </v>
      </c>
      <c r="C661" s="4" t="str">
        <f>IFERROR(__xludf.DUMMYFUNCTION("""COMPUTED_VALUE"""),"MoneyConf")</f>
        <v>MoneyConf</v>
      </c>
      <c r="D661" s="4" t="str">
        <f>IFERROR(__xludf.DUMMYFUNCTION("""COMPUTED_VALUE"""),"Henrique Dubugras and Peter Thal Larsen")</f>
        <v>Henrique Dubugras and Peter Thal Larsen</v>
      </c>
      <c r="E661" s="4" t="str">
        <f>IFERROR(__xludf.DUMMYFUNCTION("""COMPUTED_VALUE"""),"Henrique Dubugras,Peter Thal Larsen")</f>
        <v>Henrique Dubugras,Peter Thal Larsen</v>
      </c>
      <c r="F661" s="4" t="str">
        <f>IFERROR(__xludf.DUMMYFUNCTION("""COMPUTED_VALUE"""),"2019/11/07 12:35:00")</f>
        <v>2019/11/07 12:35:00</v>
      </c>
      <c r="G661" s="4" t="str">
        <f>IFERROR(__xludf.DUMMYFUNCTION("""COMPUTED_VALUE"""),"2019/11/07 13:00:00")</f>
        <v>2019/11/07 13:00:00</v>
      </c>
      <c r="H661" s="4" t="str">
        <f>IFERROR(__xludf.DUMMYFUNCTION("""COMPUTED_VALUE"""),"5cc24bbc-64bd-4416-ad2b-88907b9a23da")</f>
        <v>5cc24bbc-64bd-4416-ad2b-88907b9a23da</v>
      </c>
      <c r="I661" s="4" t="str">
        <f>IFERROR(__xludf.DUMMYFUNCTION("""COMPUTED_VALUE"""),"5cc24bbc-64bd-4416-ad2b-88907b9a23da")</f>
        <v>5cc24bbc-64bd-4416-ad2b-88907b9a23da</v>
      </c>
    </row>
    <row r="662">
      <c r="A662" s="4" t="str">
        <f>IFERROR(__xludf.DUMMYFUNCTION("""COMPUTED_VALUE"""),"Leadership amid disruption: CX at scale ")</f>
        <v>Leadership amid disruption: CX at scale </v>
      </c>
      <c r="B662" s="4" t="str">
        <f>IFERROR(__xludf.DUMMYFUNCTION("""COMPUTED_VALUE"""),"Leading has never been more complicated. Two globally loved brand leaders discuss about perfecting customer experience on and off screen amid rapid global changes and uncertainty.")</f>
        <v>Leading has never been more complicated. Two globally loved brand leaders discuss about perfecting customer experience on and off screen amid rapid global changes and uncertainty.</v>
      </c>
      <c r="C662" s="4" t="str">
        <f>IFERROR(__xludf.DUMMYFUNCTION("""COMPUTED_VALUE"""),"Startup University")</f>
        <v>Startup University</v>
      </c>
      <c r="D662" s="4" t="str">
        <f>IFERROR(__xludf.DUMMYFUNCTION("""COMPUTED_VALUE"""),"Domingos Oliveira and Fernando Machado")</f>
        <v>Domingos Oliveira and Fernando Machado</v>
      </c>
      <c r="E662" s="4" t="str">
        <f>IFERROR(__xludf.DUMMYFUNCTION("""COMPUTED_VALUE"""),"Domingos Oliveira,Fernando Machado")</f>
        <v>Domingos Oliveira,Fernando Machado</v>
      </c>
      <c r="F662" s="4" t="str">
        <f>IFERROR(__xludf.DUMMYFUNCTION("""COMPUTED_VALUE"""),"2019/11/06 16:20:00")</f>
        <v>2019/11/06 16:20:00</v>
      </c>
      <c r="G662" s="4" t="str">
        <f>IFERROR(__xludf.DUMMYFUNCTION("""COMPUTED_VALUE"""),"2019/11/06 16:40:00")</f>
        <v>2019/11/06 16:40:00</v>
      </c>
      <c r="H662" s="4" t="str">
        <f>IFERROR(__xludf.DUMMYFUNCTION("""COMPUTED_VALUE"""),"571d1335-f8c4-41e2-90b5-1f22084665d3")</f>
        <v>571d1335-f8c4-41e2-90b5-1f22084665d3</v>
      </c>
      <c r="I662" s="4" t="str">
        <f>IFERROR(__xludf.DUMMYFUNCTION("""COMPUTED_VALUE"""),"571d1335-f8c4-41e2-90b5-1f22084665d3")</f>
        <v>571d1335-f8c4-41e2-90b5-1f22084665d3</v>
      </c>
    </row>
    <row r="663">
      <c r="A663" s="4" t="str">
        <f>IFERROR(__xludf.DUMMYFUNCTION("""COMPUTED_VALUE"""),"Uber's road ahead")</f>
        <v>Uber's road ahead</v>
      </c>
      <c r="B663" s="4" t="str">
        <f>IFERROR(__xludf.DUMMYFUNCTION("""COMPUTED_VALUE"""),"Uber's Chief Product Officer, Manik shares insights from his four years at the company and previews his vision for the global platform as an operating system for city life.")</f>
        <v>Uber's Chief Product Officer, Manik shares insights from his four years at the company and previews his vision for the global platform as an operating system for city life.</v>
      </c>
      <c r="C663" s="4" t="str">
        <f>IFERROR(__xludf.DUMMYFUNCTION("""COMPUTED_VALUE"""),"Centre Stage")</f>
        <v>Centre Stage</v>
      </c>
      <c r="D663" s="4" t="str">
        <f>IFERROR(__xludf.DUMMYFUNCTION("""COMPUTED_VALUE"""),"Manik Gupta and Tim Bradshaw")</f>
        <v>Manik Gupta and Tim Bradshaw</v>
      </c>
      <c r="E663" s="4" t="str">
        <f>IFERROR(__xludf.DUMMYFUNCTION("""COMPUTED_VALUE"""),"Manik Gupta,Tim Bradshaw")</f>
        <v>Manik Gupta,Tim Bradshaw</v>
      </c>
      <c r="F663" s="4" t="str">
        <f>IFERROR(__xludf.DUMMYFUNCTION("""COMPUTED_VALUE"""),"2019/11/05 14:00:00")</f>
        <v>2019/11/05 14:00:00</v>
      </c>
      <c r="G663" s="4" t="str">
        <f>IFERROR(__xludf.DUMMYFUNCTION("""COMPUTED_VALUE"""),"2019/11/05 14:25:00")</f>
        <v>2019/11/05 14:25:00</v>
      </c>
      <c r="H663" s="4" t="str">
        <f>IFERROR(__xludf.DUMMYFUNCTION("""COMPUTED_VALUE"""),"adbbdef3-dc7f-4a24-b16e-8606dd0b892d")</f>
        <v>adbbdef3-dc7f-4a24-b16e-8606dd0b892d</v>
      </c>
      <c r="I663" s="4" t="str">
        <f>IFERROR(__xludf.DUMMYFUNCTION("""COMPUTED_VALUE"""),"adbbdef3-dc7f-4a24-b16e-8606dd0b892d")</f>
        <v>adbbdef3-dc7f-4a24-b16e-8606dd0b892d</v>
      </c>
    </row>
    <row r="664">
      <c r="A664" s="4" t="str">
        <f>IFERROR(__xludf.DUMMYFUNCTION("""COMPUTED_VALUE"""),"All about that BaaS ")</f>
        <v>All about that BaaS </v>
      </c>
      <c r="B664" s="4" t="str">
        <f>IFERROR(__xludf.DUMMYFUNCTION("""COMPUTED_VALUE"""),"From tech-savvy fintechs to legacy institutions, everyone is jumping on the BaaS hype train. Open banking is proving to be the best way to ensure transparency in a fraught market - but just how are these solutions being adapted, and what will it mean for "&amp;"the consumer?")</f>
        <v>From tech-savvy fintechs to legacy institutions, everyone is jumping on the BaaS hype train. Open banking is proving to be the best way to ensure transparency in a fraught market - but just how are these solutions being adapted, and what will it mean for the consumer?</v>
      </c>
      <c r="C664" s="4" t="str">
        <f>IFERROR(__xludf.DUMMYFUNCTION("""COMPUTED_VALUE"""),"MoneyConf")</f>
        <v>MoneyConf</v>
      </c>
      <c r="D664" s="4" t="str">
        <f>IFERROR(__xludf.DUMMYFUNCTION("""COMPUTED_VALUE"""),"Tom Villante, Roland Folz and Felix Holtermann")</f>
        <v>Tom Villante, Roland Folz and Felix Holtermann</v>
      </c>
      <c r="E664" s="4" t="str">
        <f>IFERROR(__xludf.DUMMYFUNCTION("""COMPUTED_VALUE"""),"Tom Villante,Roland Folz,Felix Holtermann")</f>
        <v>Tom Villante,Roland Folz,Felix Holtermann</v>
      </c>
      <c r="F664" s="4" t="str">
        <f>IFERROR(__xludf.DUMMYFUNCTION("""COMPUTED_VALUE"""),"2019/11/06 14:40:00")</f>
        <v>2019/11/06 14:40:00</v>
      </c>
      <c r="G664" s="4" t="str">
        <f>IFERROR(__xludf.DUMMYFUNCTION("""COMPUTED_VALUE"""),"2019/11/06 15:00:00")</f>
        <v>2019/11/06 15:00:00</v>
      </c>
      <c r="H664" s="4" t="str">
        <f>IFERROR(__xludf.DUMMYFUNCTION("""COMPUTED_VALUE"""),"bdeab019-11a2-4f2f-b847-766c8fa05fc2")</f>
        <v>bdeab019-11a2-4f2f-b847-766c8fa05fc2</v>
      </c>
      <c r="I664" s="4" t="str">
        <f>IFERROR(__xludf.DUMMYFUNCTION("""COMPUTED_VALUE"""),"bdeab019-11a2-4f2f-b847-766c8fa05fc2")</f>
        <v>bdeab019-11a2-4f2f-b847-766c8fa05fc2</v>
      </c>
    </row>
    <row r="665">
      <c r="A665" s="4" t="str">
        <f>IFERROR(__xludf.DUMMYFUNCTION("""COMPUTED_VALUE"""),"From the ballot box to blockchain")</f>
        <v>From the ballot box to blockchain</v>
      </c>
      <c r="B665" s="4" t="str">
        <f>IFERROR(__xludf.DUMMYFUNCTION("""COMPUTED_VALUE"""),"Free and fair elections are crucial for a functioning democracy. The use of technology to make voting easier for all isn't without risk - voting machines and election websites can be hacked and votes manipulated. This panel will explore how technology can"&amp;" be used to improve democracy and to protect against the pitfalls.")</f>
        <v>Free and fair elections are crucial for a functioning democracy. The use of technology to make voting easier for all isn't without risk - voting machines and election websites can be hacked and votes manipulated. This panel will explore how technology can be used to improve democracy and to protect against the pitfalls.</v>
      </c>
      <c r="C665" s="4" t="str">
        <f>IFERROR(__xludf.DUMMYFUNCTION("""COMPUTED_VALUE"""),"Future Societies")</f>
        <v>Future Societies</v>
      </c>
      <c r="D665" s="4" t="str">
        <f>IFERROR(__xludf.DUMMYFUNCTION("""COMPUTED_VALUE"""),"Sheila Nix, Andre Mcgregor, Silvia Caparros and Donie O'Sullivan")</f>
        <v>Sheila Nix, Andre Mcgregor, Silvia Caparros and Donie O'Sullivan</v>
      </c>
      <c r="E665" s="4" t="str">
        <f>IFERROR(__xludf.DUMMYFUNCTION("""COMPUTED_VALUE"""),"Sheila Nix,Andre Mcgregor,Silvia Caparros,Donie O'Sullivan")</f>
        <v>Sheila Nix,Andre Mcgregor,Silvia Caparros,Donie O'Sullivan</v>
      </c>
      <c r="F665" s="4" t="str">
        <f>IFERROR(__xludf.DUMMYFUNCTION("""COMPUTED_VALUE"""),"2019/11/07 13:00:00")</f>
        <v>2019/11/07 13:00:00</v>
      </c>
      <c r="G665" s="4" t="str">
        <f>IFERROR(__xludf.DUMMYFUNCTION("""COMPUTED_VALUE"""),"2019/11/07 13:20:00")</f>
        <v>2019/11/07 13:20:00</v>
      </c>
      <c r="H665" s="4" t="str">
        <f>IFERROR(__xludf.DUMMYFUNCTION("""COMPUTED_VALUE"""),"35695412-e8d7-48cb-8a32-c0d6a556eb36")</f>
        <v>35695412-e8d7-48cb-8a32-c0d6a556eb36</v>
      </c>
      <c r="I665" s="4" t="str">
        <f>IFERROR(__xludf.DUMMYFUNCTION("""COMPUTED_VALUE"""),"35695412-e8d7-48cb-8a32-c0d6a556eb36")</f>
        <v>35695412-e8d7-48cb-8a32-c0d6a556eb36</v>
      </c>
    </row>
    <row r="666">
      <c r="A666" s="4" t="str">
        <f>IFERROR(__xludf.DUMMYFUNCTION("""COMPUTED_VALUE"""),"Grow your startup with the best of Google")</f>
        <v>Grow your startup with the best of Google</v>
      </c>
      <c r="B666" s="4" t="str">
        <f>IFERROR(__xludf.DUMMYFUNCTION("""COMPUTED_VALUE"""),"From concept to startup —  no matter where your startup is, Google for Startups can help move it forward.  Come by the Google booth for daily Lightning Talks from Google Cloud specialists and founders from the Google for Startups Residency Program. Get up"&amp;" and running quickly and easily with one-on-one coaching, check out some of Google’s latest product demos, and stop by every day at 1pm for a bit of lunchtime yoga.
")</f>
        <v>From concept to startup —  no matter where your startup is, Google for Startups can help move it forward.  Come by the Google booth for daily Lightning Talks from Google Cloud specialists and founders from the Google for Startups Residency Program. Get up and running quickly and easily with one-on-one coaching, check out some of Google’s latest product demos, and stop by every day at 1pm for a bit of lunchtime yoga.
</v>
      </c>
      <c r="C666" s="4" t="str">
        <f>IFERROR(__xludf.DUMMYFUNCTION("""COMPUTED_VALUE"""),"Google, E110, FIL 1")</f>
        <v>Google, E110, FIL 1</v>
      </c>
      <c r="D666" s="4" t="str">
        <f>IFERROR(__xludf.DUMMYFUNCTION("""COMPUTED_VALUE"""),"")</f>
        <v/>
      </c>
      <c r="E666" s="4" t="str">
        <f>IFERROR(__xludf.DUMMYFUNCTION("""COMPUTED_VALUE"""),"")</f>
        <v/>
      </c>
      <c r="F666" s="4" t="str">
        <f>IFERROR(__xludf.DUMMYFUNCTION("""COMPUTED_VALUE"""),"2019/11/07 10:00:00")</f>
        <v>2019/11/07 10:00:00</v>
      </c>
      <c r="G666" s="4" t="str">
        <f>IFERROR(__xludf.DUMMYFUNCTION("""COMPUTED_VALUE"""),"2019/11/07 14:00:00")</f>
        <v>2019/11/07 14:00:00</v>
      </c>
      <c r="H666" s="4" t="str">
        <f>IFERROR(__xludf.DUMMYFUNCTION("""COMPUTED_VALUE"""),"4b7cd60c-d43b-4411-b395-461a489f7223")</f>
        <v>4b7cd60c-d43b-4411-b395-461a489f7223</v>
      </c>
      <c r="I666" s="4" t="str">
        <f>IFERROR(__xludf.DUMMYFUNCTION("""COMPUTED_VALUE"""),"4b7cd60c-d43b-4411-b395-461a489f7223")</f>
        <v>4b7cd60c-d43b-4411-b395-461a489f7223</v>
      </c>
    </row>
    <row r="667">
      <c r="A667" s="4" t="str">
        <f>IFERROR(__xludf.DUMMYFUNCTION("""COMPUTED_VALUE"""),"Opening remarks")</f>
        <v>Opening remarks</v>
      </c>
      <c r="B667" s="4" t="str">
        <f>IFERROR(__xludf.DUMMYFUNCTION("""COMPUTED_VALUE"""),"Welcome back to Corporate Innovation Summit. We hope you enjoyed your lunch. ")</f>
        <v>Welcome back to Corporate Innovation Summit. We hope you enjoyed your lunch. </v>
      </c>
      <c r="C667" s="4" t="str">
        <f>IFERROR(__xludf.DUMMYFUNCTION("""COMPUTED_VALUE"""),"Corporate Innovation Summit")</f>
        <v>Corporate Innovation Summit</v>
      </c>
      <c r="D667" s="4" t="str">
        <f>IFERROR(__xludf.DUMMYFUNCTION("""COMPUTED_VALUE"""),"Kristin Luck")</f>
        <v>Kristin Luck</v>
      </c>
      <c r="E667" s="4" t="str">
        <f>IFERROR(__xludf.DUMMYFUNCTION("""COMPUTED_VALUE"""),"Kristin Luck")</f>
        <v>Kristin Luck</v>
      </c>
      <c r="F667" s="4" t="str">
        <f>IFERROR(__xludf.DUMMYFUNCTION("""COMPUTED_VALUE"""),"2019/11/05 13:05:00")</f>
        <v>2019/11/05 13:05:00</v>
      </c>
      <c r="G667" s="4" t="str">
        <f>IFERROR(__xludf.DUMMYFUNCTION("""COMPUTED_VALUE"""),"2019/11/05 13:20:00")</f>
        <v>2019/11/05 13:20:00</v>
      </c>
      <c r="H667" s="4" t="str">
        <f>IFERROR(__xludf.DUMMYFUNCTION("""COMPUTED_VALUE"""),"9118afdf-2b77-483f-a104-93a2716e18af")</f>
        <v>9118afdf-2b77-483f-a104-93a2716e18af</v>
      </c>
      <c r="I667" s="4" t="str">
        <f>IFERROR(__xludf.DUMMYFUNCTION("""COMPUTED_VALUE"""),"9118afdf-2b77-483f-a104-93a2716e18af")</f>
        <v>9118afdf-2b77-483f-a104-93a2716e18af</v>
      </c>
    </row>
    <row r="668">
      <c r="A668" s="4" t="str">
        <f>IFERROR(__xludf.DUMMYFUNCTION("""COMPUTED_VALUE"""),"Engineering a successful pivot")</f>
        <v>Engineering a successful pivot</v>
      </c>
      <c r="B668" s="4" t="str">
        <f>IFERROR(__xludf.DUMMYFUNCTION("""COMPUTED_VALUE"""),"TouchBistro founder and CEO, Alex discusses the winning skills of building an agile company that can pivot strategy and business model to meet market demand and capture greater market share.
")</f>
        <v>TouchBistro founder and CEO, Alex discusses the winning skills of building an agile company that can pivot strategy and business model to meet market demand and capture greater market share.
</v>
      </c>
      <c r="C668" s="4" t="str">
        <f>IFERROR(__xludf.DUMMYFUNCTION("""COMPUTED_VALUE"""),"Growth Summit")</f>
        <v>Growth Summit</v>
      </c>
      <c r="D668" s="4" t="str">
        <f>IFERROR(__xludf.DUMMYFUNCTION("""COMPUTED_VALUE"""),"Alex Barrotti")</f>
        <v>Alex Barrotti</v>
      </c>
      <c r="E668" s="4" t="str">
        <f>IFERROR(__xludf.DUMMYFUNCTION("""COMPUTED_VALUE"""),"Alex Barrotti")</f>
        <v>Alex Barrotti</v>
      </c>
      <c r="F668" s="4" t="str">
        <f>IFERROR(__xludf.DUMMYFUNCTION("""COMPUTED_VALUE"""),"2019/11/05 15:04:00")</f>
        <v>2019/11/05 15:04:00</v>
      </c>
      <c r="G668" s="4" t="str">
        <f>IFERROR(__xludf.DUMMYFUNCTION("""COMPUTED_VALUE"""),"2019/11/05 15:15:00")</f>
        <v>2019/11/05 15:15:00</v>
      </c>
      <c r="H668" s="4" t="str">
        <f>IFERROR(__xludf.DUMMYFUNCTION("""COMPUTED_VALUE"""),"5157fa8e-dc38-4fb3-bc2d-618db51819e4")</f>
        <v>5157fa8e-dc38-4fb3-bc2d-618db51819e4</v>
      </c>
      <c r="I668" s="4" t="str">
        <f>IFERROR(__xludf.DUMMYFUNCTION("""COMPUTED_VALUE"""),"5157fa8e-dc38-4fb3-bc2d-618db51819e4")</f>
        <v>5157fa8e-dc38-4fb3-bc2d-618db51819e4</v>
      </c>
    </row>
    <row r="669">
      <c r="A669" s="4" t="str">
        <f>IFERROR(__xludf.DUMMYFUNCTION("""COMPUTED_VALUE"""),"From idea to maturity: Building a startup into a globally trusted partner")</f>
        <v>From idea to maturity: Building a startup into a globally trusted partner</v>
      </c>
      <c r="B669" s="4" t="str">
        <f>IFERROR(__xludf.DUMMYFUNCTION("""COMPUTED_VALUE"""),"Co-founder and CEO of GuardKnox, Moshe describes the journey of growing and nurturing an automotive company in a country that doesn’t manufacture a single car, through the process of winning the trust of global companies as customers and as investors. Sta"&amp;"rted in the Israeli air force and continued through founding a company with unique DNA, GuardKnox shows how the skies are not the limit and that it is possible to compete as David in a Goliath’s market.")</f>
        <v>Co-founder and CEO of GuardKnox, Moshe describes the journey of growing and nurturing an automotive company in a country that doesn’t manufacture a single car, through the process of winning the trust of global companies as customers and as investors. Started in the Israeli air force and continued through founding a company with unique DNA, GuardKnox shows how the skies are not the limit and that it is possible to compete as David in a Goliath’s market.</v>
      </c>
      <c r="C669" s="4" t="str">
        <f>IFERROR(__xludf.DUMMYFUNCTION("""COMPUTED_VALUE"""),"Growth Summit")</f>
        <v>Growth Summit</v>
      </c>
      <c r="D669" s="4" t="str">
        <f>IFERROR(__xludf.DUMMYFUNCTION("""COMPUTED_VALUE"""),"Moshe Shlisel")</f>
        <v>Moshe Shlisel</v>
      </c>
      <c r="E669" s="4" t="str">
        <f>IFERROR(__xludf.DUMMYFUNCTION("""COMPUTED_VALUE"""),"Moshe Shlisel")</f>
        <v>Moshe Shlisel</v>
      </c>
      <c r="F669" s="4" t="str">
        <f>IFERROR(__xludf.DUMMYFUNCTION("""COMPUTED_VALUE"""),"2019/11/06 12:30:00")</f>
        <v>2019/11/06 12:30:00</v>
      </c>
      <c r="G669" s="4" t="str">
        <f>IFERROR(__xludf.DUMMYFUNCTION("""COMPUTED_VALUE"""),"2019/11/06 12:41:00")</f>
        <v>2019/11/06 12:41:00</v>
      </c>
      <c r="H669" s="4" t="str">
        <f>IFERROR(__xludf.DUMMYFUNCTION("""COMPUTED_VALUE"""),"69675970-591a-4383-b86d-95c1b39912e8")</f>
        <v>69675970-591a-4383-b86d-95c1b39912e8</v>
      </c>
      <c r="I669" s="4" t="str">
        <f>IFERROR(__xludf.DUMMYFUNCTION("""COMPUTED_VALUE"""),"69675970-591a-4383-b86d-95c1b39912e8")</f>
        <v>69675970-591a-4383-b86d-95c1b39912e8</v>
      </c>
    </row>
    <row r="670">
      <c r="A670" s="4" t="str">
        <f>IFERROR(__xludf.DUMMYFUNCTION("""COMPUTED_VALUE"""),"Featured venue: Old house")</f>
        <v>Featured venue: Old house</v>
      </c>
      <c r="B670" s="4" t="str">
        <f>IFERROR(__xludf.DUMMYFUNCTION("""COMPUTED_VALUE"""),"This authentic Szechuan powerhouse will transport you straight to China with its incredible flavours and dishes. Although slightly tamed for local tastes, this elegant venue is the perfect place to enjoy a bit of spice. Fun fact? This upscale Chinese chai"&amp;"n restaurant chose Parque das Nações for its first foray outside the motherland. 
Night Summit deals: 
2 for 1 beers")</f>
        <v>This authentic Szechuan powerhouse will transport you straight to China with its incredible flavours and dishes. Although slightly tamed for local tastes, this elegant venue is the perfect place to enjoy a bit of spice. Fun fact? This upscale Chinese chain restaurant chose Parque das Nações for its first foray outside the motherland. 
Night Summit deals: 
2 for 1 beers</v>
      </c>
      <c r="C670" s="4" t="str">
        <f>IFERROR(__xludf.DUMMYFUNCTION("""COMPUTED_VALUE"""),"Old house")</f>
        <v>Old house</v>
      </c>
      <c r="D670" s="4" t="str">
        <f>IFERROR(__xludf.DUMMYFUNCTION("""COMPUTED_VALUE"""),"")</f>
        <v/>
      </c>
      <c r="E670" s="4" t="str">
        <f>IFERROR(__xludf.DUMMYFUNCTION("""COMPUTED_VALUE"""),"")</f>
        <v/>
      </c>
      <c r="F670" s="4" t="str">
        <f>IFERROR(__xludf.DUMMYFUNCTION("""COMPUTED_VALUE"""),"2019/11/04 20:00:00")</f>
        <v>2019/11/04 20:00:00</v>
      </c>
      <c r="G670" s="4" t="str">
        <f>IFERROR(__xludf.DUMMYFUNCTION("""COMPUTED_VALUE"""),"2019/11/04 23:00:00")</f>
        <v>2019/11/04 23:00:00</v>
      </c>
      <c r="H670" s="4" t="str">
        <f>IFERROR(__xludf.DUMMYFUNCTION("""COMPUTED_VALUE"""),"18e4df2d-c069-4342-9516-72606fd110f1")</f>
        <v>18e4df2d-c069-4342-9516-72606fd110f1</v>
      </c>
      <c r="I670" s="4" t="str">
        <f>IFERROR(__xludf.DUMMYFUNCTION("""COMPUTED_VALUE"""),"18e4df2d-c069-4342-9516-72606fd110f1")</f>
        <v>18e4df2d-c069-4342-9516-72606fd110f1</v>
      </c>
    </row>
    <row r="671">
      <c r="A671" s="4" t="str">
        <f>IFERROR(__xludf.DUMMYFUNCTION("""COMPUTED_VALUE"""),"Opening remarks")</f>
        <v>Opening remarks</v>
      </c>
      <c r="B671" s="4" t="str">
        <f>IFERROR(__xludf.DUMMYFUNCTION("""COMPUTED_VALUE"""),"")</f>
        <v/>
      </c>
      <c r="C671" s="4" t="str">
        <f>IFERROR(__xludf.DUMMYFUNCTION("""COMPUTED_VALUE"""),"Centre Stage")</f>
        <v>Centre Stage</v>
      </c>
      <c r="D671" s="4" t="str">
        <f>IFERROR(__xludf.DUMMYFUNCTION("""COMPUTED_VALUE"""),"Paddy Cosgrave")</f>
        <v>Paddy Cosgrave</v>
      </c>
      <c r="E671" s="4" t="str">
        <f>IFERROR(__xludf.DUMMYFUNCTION("""COMPUTED_VALUE"""),"Paddy Cosgrave")</f>
        <v>Paddy Cosgrave</v>
      </c>
      <c r="F671" s="4" t="str">
        <f>IFERROR(__xludf.DUMMYFUNCTION("""COMPUTED_VALUE"""),"2019/11/06 10:15:00")</f>
        <v>2019/11/06 10:15:00</v>
      </c>
      <c r="G671" s="4" t="str">
        <f>IFERROR(__xludf.DUMMYFUNCTION("""COMPUTED_VALUE"""),"2019/11/06 10:30:00")</f>
        <v>2019/11/06 10:30:00</v>
      </c>
      <c r="H671" s="4" t="str">
        <f>IFERROR(__xludf.DUMMYFUNCTION("""COMPUTED_VALUE"""),"0e73253c-63d1-4a96-811d-3e941a802080")</f>
        <v>0e73253c-63d1-4a96-811d-3e941a802080</v>
      </c>
      <c r="I671" s="4" t="str">
        <f>IFERROR(__xludf.DUMMYFUNCTION("""COMPUTED_VALUE"""),"0e73253c-63d1-4a96-811d-3e941a802080")</f>
        <v>0e73253c-63d1-4a96-811d-3e941a802080</v>
      </c>
    </row>
    <row r="672">
      <c r="A672" s="4" t="str">
        <f>IFERROR(__xludf.DUMMYFUNCTION("""COMPUTED_VALUE"""),"Looking at mobility's new viability")</f>
        <v>Looking at mobility's new viability</v>
      </c>
      <c r="B672" s="4" t="str">
        <f>IFERROR(__xludf.DUMMYFUNCTION("""COMPUTED_VALUE"""),"What is next for worldwide mobility? Let's take a look, with one of the fastest-growing players in the game.")</f>
        <v>What is next for worldwide mobility? Let's take a look, with one of the fastest-growing players in the game.</v>
      </c>
      <c r="C672" s="4" t="str">
        <f>IFERROR(__xludf.DUMMYFUNCTION("""COMPUTED_VALUE"""),"Auto/Tech &amp; TalkRobot")</f>
        <v>Auto/Tech &amp; TalkRobot</v>
      </c>
      <c r="D672" s="4" t="str">
        <f>IFERROR(__xludf.DUMMYFUNCTION("""COMPUTED_VALUE"""),"Yan Li and Leisha Santorelli")</f>
        <v>Yan Li and Leisha Santorelli</v>
      </c>
      <c r="E672" s="4" t="str">
        <f>IFERROR(__xludf.DUMMYFUNCTION("""COMPUTED_VALUE"""),"Yan Li,Leisha Santorelli")</f>
        <v>Yan Li,Leisha Santorelli</v>
      </c>
      <c r="F672" s="4" t="str">
        <f>IFERROR(__xludf.DUMMYFUNCTION("""COMPUTED_VALUE"""),"2019/11/05 11:00:00")</f>
        <v>2019/11/05 11:00:00</v>
      </c>
      <c r="G672" s="4" t="str">
        <f>IFERROR(__xludf.DUMMYFUNCTION("""COMPUTED_VALUE"""),"2019/11/05 11:20:00")</f>
        <v>2019/11/05 11:20:00</v>
      </c>
      <c r="H672" s="4" t="str">
        <f>IFERROR(__xludf.DUMMYFUNCTION("""COMPUTED_VALUE"""),"be71a662-b8b7-460f-8bd2-abd1415f3e5c")</f>
        <v>be71a662-b8b7-460f-8bd2-abd1415f3e5c</v>
      </c>
      <c r="I672" s="4" t="str">
        <f>IFERROR(__xludf.DUMMYFUNCTION("""COMPUTED_VALUE"""),"be71a662-b8b7-460f-8bd2-abd1415f3e5c")</f>
        <v>be71a662-b8b7-460f-8bd2-abd1415f3e5c</v>
      </c>
    </row>
    <row r="673">
      <c r="A673" s="4" t="str">
        <f>IFERROR(__xludf.DUMMYFUNCTION("""COMPUTED_VALUE"""),"Learn to win")</f>
        <v>Learn to win</v>
      </c>
      <c r="B673" s="4" t="str">
        <f>IFERROR(__xludf.DUMMYFUNCTION("""COMPUTED_VALUE"""),"DJI presents a ground-breaking educational robot that helps to understand science, programming and more through captivating gameplay modes and intelligent features.")</f>
        <v>DJI presents a ground-breaking educational robot that helps to understand science, programming and more through captivating gameplay modes and intelligent features.</v>
      </c>
      <c r="C673" s="4" t="str">
        <f>IFERROR(__xludf.DUMMYFUNCTION("""COMPUTED_VALUE"""),"Auto/Tech &amp; TalkRobot")</f>
        <v>Auto/Tech &amp; TalkRobot</v>
      </c>
      <c r="D673" s="4" t="str">
        <f>IFERROR(__xludf.DUMMYFUNCTION("""COMPUTED_VALUE"""),"Martin Brandenburg")</f>
        <v>Martin Brandenburg</v>
      </c>
      <c r="E673" s="4" t="str">
        <f>IFERROR(__xludf.DUMMYFUNCTION("""COMPUTED_VALUE"""),"Martin Brandenburg")</f>
        <v>Martin Brandenburg</v>
      </c>
      <c r="F673" s="4" t="str">
        <f>IFERROR(__xludf.DUMMYFUNCTION("""COMPUTED_VALUE"""),"2019/11/07 15:50:00")</f>
        <v>2019/11/07 15:50:00</v>
      </c>
      <c r="G673" s="4" t="str">
        <f>IFERROR(__xludf.DUMMYFUNCTION("""COMPUTED_VALUE"""),"2019/11/07 16:10:00")</f>
        <v>2019/11/07 16:10:00</v>
      </c>
      <c r="H673" s="4" t="str">
        <f>IFERROR(__xludf.DUMMYFUNCTION("""COMPUTED_VALUE"""),"47c37516-18b2-413f-a57b-54950f924c2c")</f>
        <v>47c37516-18b2-413f-a57b-54950f924c2c</v>
      </c>
      <c r="I673" s="4" t="str">
        <f>IFERROR(__xludf.DUMMYFUNCTION("""COMPUTED_VALUE"""),"47c37516-18b2-413f-a57b-54950f924c2c")</f>
        <v>47c37516-18b2-413f-a57b-54950f924c2c</v>
      </c>
    </row>
    <row r="674">
      <c r="A674" s="4" t="str">
        <f>IFERROR(__xludf.DUMMYFUNCTION("""COMPUTED_VALUE"""),"New smartphones on the market for Christmas 2019: Collection B")</f>
        <v>New smartphones on the market for Christmas 2019: Collection B</v>
      </c>
      <c r="B674" s="4" t="str">
        <f>IFERROR(__xludf.DUMMYFUNCTION("""COMPUTED_VALUE"""),"Meet the next generation of smartphones to fall in love with, or not?  A second collection of new releases onto the market will be put through their paces by our panel of expert reviewers.")</f>
        <v>Meet the next generation of smartphones to fall in love with, or not?  A second collection of new releases onto the market will be put through their paces by our panel of expert reviewers.</v>
      </c>
      <c r="C674" s="4" t="str">
        <f>IFERROR(__xludf.DUMMYFUNCTION("""COMPUTED_VALUE"""),"UnBoxed")</f>
        <v>UnBoxed</v>
      </c>
      <c r="D674" s="4" t="str">
        <f>IFERROR(__xludf.DUMMYFUNCTION("""COMPUTED_VALUE"""),"Dominic Preston, Kris Carlon, Jacklyn Dallas and Jess Kelly")</f>
        <v>Dominic Preston, Kris Carlon, Jacklyn Dallas and Jess Kelly</v>
      </c>
      <c r="E674" s="4" t="str">
        <f>IFERROR(__xludf.DUMMYFUNCTION("""COMPUTED_VALUE"""),"Dominic Preston,Kris Carlon,Jacklyn Dallas,Jess Kelly")</f>
        <v>Dominic Preston,Kris Carlon,Jacklyn Dallas,Jess Kelly</v>
      </c>
      <c r="F674" s="4" t="str">
        <f>IFERROR(__xludf.DUMMYFUNCTION("""COMPUTED_VALUE"""),"2019/11/05 15:25:00")</f>
        <v>2019/11/05 15:25:00</v>
      </c>
      <c r="G674" s="4" t="str">
        <f>IFERROR(__xludf.DUMMYFUNCTION("""COMPUTED_VALUE"""),"2019/11/05 16:00:00")</f>
        <v>2019/11/05 16:00:00</v>
      </c>
      <c r="H674" s="4" t="str">
        <f>IFERROR(__xludf.DUMMYFUNCTION("""COMPUTED_VALUE"""),"d2c5f1a6-8983-4e30-a2a5-13b24f1603ea")</f>
        <v>d2c5f1a6-8983-4e30-a2a5-13b24f1603ea</v>
      </c>
      <c r="I674" s="4" t="str">
        <f>IFERROR(__xludf.DUMMYFUNCTION("""COMPUTED_VALUE"""),"d2c5f1a6-8983-4e30-a2a5-13b24f1603ea")</f>
        <v>d2c5f1a6-8983-4e30-a2a5-13b24f1603ea</v>
      </c>
    </row>
    <row r="675">
      <c r="A675" s="4" t="str">
        <f>IFERROR(__xludf.DUMMYFUNCTION("""COMPUTED_VALUE"""),"It's rarely sunny in CEO land")</f>
        <v>It's rarely sunny in CEO land</v>
      </c>
      <c r="B675" s="4" t="str">
        <f>IFERROR(__xludf.DUMMYFUNCTION("""COMPUTED_VALUE"""),"The 5 key learnings on the road to becoming a CEO")</f>
        <v>The 5 key learnings on the road to becoming a CEO</v>
      </c>
      <c r="C675" s="4" t="str">
        <f>IFERROR(__xludf.DUMMYFUNCTION("""COMPUTED_VALUE"""),"Growth Summit")</f>
        <v>Growth Summit</v>
      </c>
      <c r="D675" s="4" t="str">
        <f>IFERROR(__xludf.DUMMYFUNCTION("""COMPUTED_VALUE"""),"Amit Rai")</f>
        <v>Amit Rai</v>
      </c>
      <c r="E675" s="4" t="str">
        <f>IFERROR(__xludf.DUMMYFUNCTION("""COMPUTED_VALUE"""),"Amit Rai")</f>
        <v>Amit Rai</v>
      </c>
      <c r="F675" s="4" t="str">
        <f>IFERROR(__xludf.DUMMYFUNCTION("""COMPUTED_VALUE"""),"2019/11/07 10:42:00")</f>
        <v>2019/11/07 10:42:00</v>
      </c>
      <c r="G675" s="4" t="str">
        <f>IFERROR(__xludf.DUMMYFUNCTION("""COMPUTED_VALUE"""),"2019/11/07 10:46:00")</f>
        <v>2019/11/07 10:46:00</v>
      </c>
      <c r="H675" s="4" t="str">
        <f>IFERROR(__xludf.DUMMYFUNCTION("""COMPUTED_VALUE"""),"c875d00e-4728-4829-ab8d-5b8028022bbd")</f>
        <v>c875d00e-4728-4829-ab8d-5b8028022bbd</v>
      </c>
      <c r="I675" s="4" t="str">
        <f>IFERROR(__xludf.DUMMYFUNCTION("""COMPUTED_VALUE"""),"c875d00e-4728-4829-ab8d-5b8028022bbd")</f>
        <v>c875d00e-4728-4829-ab8d-5b8028022bbd</v>
      </c>
    </row>
    <row r="676">
      <c r="A676" s="4" t="str">
        <f>IFERROR(__xludf.DUMMYFUNCTION("""COMPUTED_VALUE"""),"Borders, Brexit and the future of finance")</f>
        <v>Borders, Brexit and the future of finance</v>
      </c>
      <c r="B676" s="4" t="str">
        <f>IFERROR(__xludf.DUMMYFUNCTION("""COMPUTED_VALUE"""),"How will Brexit impact financial markets?  Come and listen to two key players in the game debate and discuss the impact of Brexit on borderless transactions, the tenuous future of new fintechs in London and how this will affect the global economy. ")</f>
        <v>How will Brexit impact financial markets?  Come and listen to two key players in the game debate and discuss the impact of Brexit on borderless transactions, the tenuous future of new fintechs in London and how this will affect the global economy. </v>
      </c>
      <c r="C676" s="4" t="str">
        <f>IFERROR(__xludf.DUMMYFUNCTION("""COMPUTED_VALUE"""),"MoneyConf")</f>
        <v>MoneyConf</v>
      </c>
      <c r="D676" s="4" t="str">
        <f>IFERROR(__xludf.DUMMYFUNCTION("""COMPUTED_VALUE"""),"Eva Kaili, Christoph Rieche and Philip Crowther")</f>
        <v>Eva Kaili, Christoph Rieche and Philip Crowther</v>
      </c>
      <c r="E676" s="4" t="str">
        <f>IFERROR(__xludf.DUMMYFUNCTION("""COMPUTED_VALUE"""),"Eva Kaili,Christoph Rieche,Philip Crowther")</f>
        <v>Eva Kaili,Christoph Rieche,Philip Crowther</v>
      </c>
      <c r="F676" s="4" t="str">
        <f>IFERROR(__xludf.DUMMYFUNCTION("""COMPUTED_VALUE"""),"2019/11/07 15:35:00")</f>
        <v>2019/11/07 15:35:00</v>
      </c>
      <c r="G676" s="4" t="str">
        <f>IFERROR(__xludf.DUMMYFUNCTION("""COMPUTED_VALUE"""),"2019/11/07 15:55:00")</f>
        <v>2019/11/07 15:55:00</v>
      </c>
      <c r="H676" s="4" t="str">
        <f>IFERROR(__xludf.DUMMYFUNCTION("""COMPUTED_VALUE"""),"5abc9ca6-c6a9-4cf6-8fef-336e20b9cd35")</f>
        <v>5abc9ca6-c6a9-4cf6-8fef-336e20b9cd35</v>
      </c>
      <c r="I676" s="4" t="str">
        <f>IFERROR(__xludf.DUMMYFUNCTION("""COMPUTED_VALUE"""),"5abc9ca6-c6a9-4cf6-8fef-336e20b9cd35")</f>
        <v>5abc9ca6-c6a9-4cf6-8fef-336e20b9cd35</v>
      </c>
    </row>
    <row r="677">
      <c r="A677" s="4" t="str">
        <f>IFERROR(__xludf.DUMMYFUNCTION("""COMPUTED_VALUE"""),"Featured venue: Kioske da Expo")</f>
        <v>Featured venue: Kioske da Expo</v>
      </c>
      <c r="B677" s="4" t="str">
        <f>IFERROR(__xludf.DUMMYFUNCTION("""COMPUTED_VALUE"""),"Kiosk da Expo's bar has it all. Great drinks and delicious food - what more could you ask for? Delicious brunch, burgers, chicken and cheese toasties, tuna and pineapple toasties, and their special hotdogs. Why are they special? There's only one way to fi"&amp;"nd out. 
Night Summit deals: 
20% discount on all drinks")</f>
        <v>Kiosk da Expo's bar has it all. Great drinks and delicious food - what more could you ask for? Delicious brunch, burgers, chicken and cheese toasties, tuna and pineapple toasties, and their special hotdogs. Why are they special? There's only one way to find out. 
Night Summit deals: 
20% discount on all drinks</v>
      </c>
      <c r="C677" s="4" t="str">
        <f>IFERROR(__xludf.DUMMYFUNCTION("""COMPUTED_VALUE"""),"Kioske da Expo")</f>
        <v>Kioske da Expo</v>
      </c>
      <c r="D677" s="4" t="str">
        <f>IFERROR(__xludf.DUMMYFUNCTION("""COMPUTED_VALUE"""),"")</f>
        <v/>
      </c>
      <c r="E677" s="4" t="str">
        <f>IFERROR(__xludf.DUMMYFUNCTION("""COMPUTED_VALUE"""),"")</f>
        <v/>
      </c>
      <c r="F677" s="4" t="str">
        <f>IFERROR(__xludf.DUMMYFUNCTION("""COMPUTED_VALUE"""),"2019/11/04 20:00:00")</f>
        <v>2019/11/04 20:00:00</v>
      </c>
      <c r="G677" s="4" t="str">
        <f>IFERROR(__xludf.DUMMYFUNCTION("""COMPUTED_VALUE"""),"2019/11/04 23:00:00")</f>
        <v>2019/11/04 23:00:00</v>
      </c>
      <c r="H677" s="4" t="str">
        <f>IFERROR(__xludf.DUMMYFUNCTION("""COMPUTED_VALUE"""),"b81c0b8f-a4a9-42d9-b747-8936baa80b37")</f>
        <v>b81c0b8f-a4a9-42d9-b747-8936baa80b37</v>
      </c>
      <c r="I677" s="4" t="str">
        <f>IFERROR(__xludf.DUMMYFUNCTION("""COMPUTED_VALUE"""),"b81c0b8f-a4a9-42d9-b747-8936baa80b37")</f>
        <v>b81c0b8f-a4a9-42d9-b747-8936baa80b37</v>
      </c>
    </row>
    <row r="678">
      <c r="A678" s="4" t="str">
        <f>IFERROR(__xludf.DUMMYFUNCTION("""COMPUTED_VALUE"""),"Night Summit: Meet &amp; greet on the waterfront")</f>
        <v>Night Summit: Meet &amp; greet on the waterfront</v>
      </c>
      <c r="B678" s="4" t="str">
        <f>IFERROR(__xludf.DUMMYFUNCTION("""COMPUTED_VALUE"""),"More than 70,000 people come to Web Summit - that's a lot of meet and greets.
What better place to start than Lisbon's buzzing waterfront, surrounded by some of the city's finest bars, restaurant, and architecture. 
Spend your first night at Web Sum"&amp;"mit getting to know your fellow attendees with a breathtaking backdrop. ")</f>
        <v>More than 70,000 people come to Web Summit - that's a lot of meet and greets.
What better place to start than Lisbon's buzzing waterfront, surrounded by some of the city's finest bars, restaurant, and architecture. 
Spend your first night at Web Summit getting to know your fellow attendees with a breathtaking backdrop. </v>
      </c>
      <c r="C678" s="4" t="str">
        <f>IFERROR(__xludf.DUMMYFUNCTION("""COMPUTED_VALUE"""),"Waterfront")</f>
        <v>Waterfront</v>
      </c>
      <c r="D678" s="4" t="str">
        <f>IFERROR(__xludf.DUMMYFUNCTION("""COMPUTED_VALUE"""),"")</f>
        <v/>
      </c>
      <c r="E678" s="4" t="str">
        <f>IFERROR(__xludf.DUMMYFUNCTION("""COMPUTED_VALUE"""),"")</f>
        <v/>
      </c>
      <c r="F678" s="4" t="str">
        <f>IFERROR(__xludf.DUMMYFUNCTION("""COMPUTED_VALUE"""),"2019/11/04 19:59:00")</f>
        <v>2019/11/04 19:59:00</v>
      </c>
      <c r="G678" s="4" t="str">
        <f>IFERROR(__xludf.DUMMYFUNCTION("""COMPUTED_VALUE"""),"2019/11/04 23:00:00")</f>
        <v>2019/11/04 23:00:00</v>
      </c>
      <c r="H678" s="4" t="str">
        <f>IFERROR(__xludf.DUMMYFUNCTION("""COMPUTED_VALUE"""),"453e24ce-e16b-4793-8d17-7b2ce2c1f764")</f>
        <v>453e24ce-e16b-4793-8d17-7b2ce2c1f764</v>
      </c>
      <c r="I678" s="4" t="str">
        <f>IFERROR(__xludf.DUMMYFUNCTION("""COMPUTED_VALUE"""),"453e24ce-e16b-4793-8d17-7b2ce2c1f764")</f>
        <v>453e24ce-e16b-4793-8d17-7b2ce2c1f764</v>
      </c>
    </row>
    <row r="679">
      <c r="A679" s="4" t="str">
        <f>IFERROR(__xludf.DUMMYFUNCTION("""COMPUTED_VALUE"""),"5G+X: Creating a new era?")</f>
        <v>5G+X: Creating a new era?</v>
      </c>
      <c r="B679" s="4" t="str">
        <f>IFERROR(__xludf.DUMMYFUNCTION("""COMPUTED_VALUE"""),"Huawei President Guo Ping outlines his vision for the Chinese tech giants future.")</f>
        <v>Huawei President Guo Ping outlines his vision for the Chinese tech giants future.</v>
      </c>
      <c r="C679" s="4" t="str">
        <f>IFERROR(__xludf.DUMMYFUNCTION("""COMPUTED_VALUE"""),"Centre Stage")</f>
        <v>Centre Stage</v>
      </c>
      <c r="D679" s="4" t="str">
        <f>IFERROR(__xludf.DUMMYFUNCTION("""COMPUTED_VALUE"""),"Guo Ping")</f>
        <v>Guo Ping</v>
      </c>
      <c r="E679" s="4" t="str">
        <f>IFERROR(__xludf.DUMMYFUNCTION("""COMPUTED_VALUE"""),"Guo Ping")</f>
        <v>Guo Ping</v>
      </c>
      <c r="F679" s="4" t="str">
        <f>IFERROR(__xludf.DUMMYFUNCTION("""COMPUTED_VALUE"""),"2019/11/04 19:03:00")</f>
        <v>2019/11/04 19:03:00</v>
      </c>
      <c r="G679" s="4" t="str">
        <f>IFERROR(__xludf.DUMMYFUNCTION("""COMPUTED_VALUE"""),"2019/11/04 19:18:00")</f>
        <v>2019/11/04 19:18:00</v>
      </c>
      <c r="H679" s="4" t="str">
        <f>IFERROR(__xludf.DUMMYFUNCTION("""COMPUTED_VALUE"""),"62e2e333-7dd6-45e3-9fda-60e06af8d01b")</f>
        <v>62e2e333-7dd6-45e3-9fda-60e06af8d01b</v>
      </c>
      <c r="I679" s="4" t="str">
        <f>IFERROR(__xludf.DUMMYFUNCTION("""COMPUTED_VALUE"""),"62e2e333-7dd6-45e3-9fda-60e06af8d01b")</f>
        <v>62e2e333-7dd6-45e3-9fda-60e06af8d01b</v>
      </c>
    </row>
    <row r="680">
      <c r="A680" s="4" t="str">
        <f>IFERROR(__xludf.DUMMYFUNCTION("""COMPUTED_VALUE"""),"What's next for the open web?")</f>
        <v>What's next for the open web?</v>
      </c>
      <c r="B680" s="4" t="str">
        <f>IFERROR(__xludf.DUMMYFUNCTION("""COMPUTED_VALUE"""),"The dream of an open web, where all are free to participate, is one that many still hope to achieve. However, it's a dream that is struggling to become a reality. This session will discuss how and whether we can achieve a truly open web.")</f>
        <v>The dream of an open web, where all are free to participate, is one that many still hope to achieve. However, it's a dream that is struggling to become a reality. This session will discuss how and whether we can achieve a truly open web.</v>
      </c>
      <c r="C680" s="4" t="str">
        <f>IFERROR(__xludf.DUMMYFUNCTION("""COMPUTED_VALUE"""),"Future Societies")</f>
        <v>Future Societies</v>
      </c>
      <c r="D680" s="4" t="str">
        <f>IFERROR(__xludf.DUMMYFUNCTION("""COMPUTED_VALUE"""),"Rafael Laguna, Katharina Borchert and Donie O'Sullivan")</f>
        <v>Rafael Laguna, Katharina Borchert and Donie O'Sullivan</v>
      </c>
      <c r="E680" s="4" t="str">
        <f>IFERROR(__xludf.DUMMYFUNCTION("""COMPUTED_VALUE"""),"Rafael Laguna,Katharina Borchert,Donie O'Sullivan")</f>
        <v>Rafael Laguna,Katharina Borchert,Donie O'Sullivan</v>
      </c>
      <c r="F680" s="4" t="str">
        <f>IFERROR(__xludf.DUMMYFUNCTION("""COMPUTED_VALUE"""),"2019/11/06 15:15:00")</f>
        <v>2019/11/06 15:15:00</v>
      </c>
      <c r="G680" s="4" t="str">
        <f>IFERROR(__xludf.DUMMYFUNCTION("""COMPUTED_VALUE"""),"2019/11/06 15:35:00")</f>
        <v>2019/11/06 15:35:00</v>
      </c>
      <c r="H680" s="4" t="str">
        <f>IFERROR(__xludf.DUMMYFUNCTION("""COMPUTED_VALUE"""),"8f7f2451-fb86-4d31-89d6-9b600a8d5941")</f>
        <v>8f7f2451-fb86-4d31-89d6-9b600a8d5941</v>
      </c>
      <c r="I680" s="4" t="str">
        <f>IFERROR(__xludf.DUMMYFUNCTION("""COMPUTED_VALUE"""),"8f7f2451-fb86-4d31-89d6-9b600a8d5941")</f>
        <v>8f7f2451-fb86-4d31-89d6-9b600a8d5941</v>
      </c>
    </row>
    <row r="681">
      <c r="A681" s="4" t="str">
        <f>IFERROR(__xludf.DUMMYFUNCTION("""COMPUTED_VALUE"""),"Let's talk about tax, baby")</f>
        <v>Let's talk about tax, baby</v>
      </c>
      <c r="B681" s="4" t="str">
        <f>IFERROR(__xludf.DUMMYFUNCTION("""COMPUTED_VALUE"""),"Supposedly only two things are certain - death and taxes. This session brings some of the world's leading experts on taxation together to discuss the changes in international taxation, their implications, their flaws, and their strengths. ")</f>
        <v>Supposedly only two things are certain - death and taxes. This session brings some of the world's leading experts on taxation together to discuss the changes in international taxation, their implications, their flaws, and their strengths. </v>
      </c>
      <c r="C681" s="4" t="str">
        <f>IFERROR(__xludf.DUMMYFUNCTION("""COMPUTED_VALUE"""),"Future Societies")</f>
        <v>Future Societies</v>
      </c>
      <c r="D681" s="4" t="str">
        <f>IFERROR(__xludf.DUMMYFUNCTION("""COMPUTED_VALUE"""),"Niels Johannesen and Alex Deane")</f>
        <v>Niels Johannesen and Alex Deane</v>
      </c>
      <c r="E681" s="4" t="str">
        <f>IFERROR(__xludf.DUMMYFUNCTION("""COMPUTED_VALUE"""),"Niels Johannesen,Alex Deane")</f>
        <v>Niels Johannesen,Alex Deane</v>
      </c>
      <c r="F681" s="4" t="str">
        <f>IFERROR(__xludf.DUMMYFUNCTION("""COMPUTED_VALUE"""),"2019/11/06 14:55:00")</f>
        <v>2019/11/06 14:55:00</v>
      </c>
      <c r="G681" s="4" t="str">
        <f>IFERROR(__xludf.DUMMYFUNCTION("""COMPUTED_VALUE"""),"2019/11/06 15:15:00")</f>
        <v>2019/11/06 15:15:00</v>
      </c>
      <c r="H681" s="4" t="str">
        <f>IFERROR(__xludf.DUMMYFUNCTION("""COMPUTED_VALUE"""),"8e73389d-c94e-40ce-8734-9db98d6c116f")</f>
        <v>8e73389d-c94e-40ce-8734-9db98d6c116f</v>
      </c>
      <c r="I681" s="4" t="str">
        <f>IFERROR(__xludf.DUMMYFUNCTION("""COMPUTED_VALUE"""),"8e73389d-c94e-40ce-8734-9db98d6c116f")</f>
        <v>8e73389d-c94e-40ce-8734-9db98d6c116f</v>
      </c>
    </row>
    <row r="682">
      <c r="A682" s="4" t="str">
        <f>IFERROR(__xludf.DUMMYFUNCTION("""COMPUTED_VALUE"""),"How to build the ideal financial service")</f>
        <v>How to build the ideal financial service</v>
      </c>
      <c r="B682" s="4" t="str">
        <f>IFERROR(__xludf.DUMMYFUNCTION("""COMPUTED_VALUE"""),"Lupina Iturriaga, CEO of consumer banking platform Fintonic, discusses the benefits of sacrificing revenue to offer customers the best rates for them. As a result, the company has seen a 74% increase in active users in the last year.")</f>
        <v>Lupina Iturriaga, CEO of consumer banking platform Fintonic, discusses the benefits of sacrificing revenue to offer customers the best rates for them. As a result, the company has seen a 74% increase in active users in the last year.</v>
      </c>
      <c r="C682" s="4" t="str">
        <f>IFERROR(__xludf.DUMMYFUNCTION("""COMPUTED_VALUE"""),"Growth Summit")</f>
        <v>Growth Summit</v>
      </c>
      <c r="D682" s="4" t="str">
        <f>IFERROR(__xludf.DUMMYFUNCTION("""COMPUTED_VALUE"""),"Lupina Iturriaga")</f>
        <v>Lupina Iturriaga</v>
      </c>
      <c r="E682" s="4" t="str">
        <f>IFERROR(__xludf.DUMMYFUNCTION("""COMPUTED_VALUE"""),"Lupina Iturriaga")</f>
        <v>Lupina Iturriaga</v>
      </c>
      <c r="F682" s="4" t="str">
        <f>IFERROR(__xludf.DUMMYFUNCTION("""COMPUTED_VALUE"""),"2019/11/06 15:59:00")</f>
        <v>2019/11/06 15:59:00</v>
      </c>
      <c r="G682" s="4" t="str">
        <f>IFERROR(__xludf.DUMMYFUNCTION("""COMPUTED_VALUE"""),"2019/11/06 16:10:00")</f>
        <v>2019/11/06 16:10:00</v>
      </c>
      <c r="H682" s="4" t="str">
        <f>IFERROR(__xludf.DUMMYFUNCTION("""COMPUTED_VALUE"""),"d1d9d030-69c0-49a2-b352-bbfaee7547ca")</f>
        <v>d1d9d030-69c0-49a2-b352-bbfaee7547ca</v>
      </c>
      <c r="I682" s="4" t="str">
        <f>IFERROR(__xludf.DUMMYFUNCTION("""COMPUTED_VALUE"""),"d1d9d030-69c0-49a2-b352-bbfaee7547ca")</f>
        <v>d1d9d030-69c0-49a2-b352-bbfaee7547ca</v>
      </c>
    </row>
    <row r="683">
      <c r="A683" s="4" t="str">
        <f>IFERROR(__xludf.DUMMYFUNCTION("""COMPUTED_VALUE"""),"The post-digital era is upon us")</f>
        <v>The post-digital era is upon us</v>
      </c>
      <c r="B683" s="4" t="str">
        <f>IFERROR(__xludf.DUMMYFUNCTION("""COMPUTED_VALUE"""),"For more than a decade, Accenture has released our groundbreaking annual Technology Vision report, highlighting the tech trends that will have the greatest impact on large enterprises in the next three to five years. At Web Summit, Yves Bernaert will pres"&amp;"ent the Accenture Technology Vision 2019: The Post-Digital Era is Upon Us, through Extended Reality.")</f>
        <v>For more than a decade, Accenture has released our groundbreaking annual Technology Vision report, highlighting the tech trends that will have the greatest impact on large enterprises in the next three to five years. At Web Summit, Yves Bernaert will present the Accenture Technology Vision 2019: The Post-Digital Era is Upon Us, through Extended Reality.</v>
      </c>
      <c r="C683" s="4" t="str">
        <f>IFERROR(__xludf.DUMMYFUNCTION("""COMPUTED_VALUE"""),"Auto/Tech &amp; TalkRobot")</f>
        <v>Auto/Tech &amp; TalkRobot</v>
      </c>
      <c r="D683" s="4" t="str">
        <f>IFERROR(__xludf.DUMMYFUNCTION("""COMPUTED_VALUE"""),"Yves Bernaert")</f>
        <v>Yves Bernaert</v>
      </c>
      <c r="E683" s="4" t="str">
        <f>IFERROR(__xludf.DUMMYFUNCTION("""COMPUTED_VALUE"""),"Yves Bernaert")</f>
        <v>Yves Bernaert</v>
      </c>
      <c r="F683" s="4" t="str">
        <f>IFERROR(__xludf.DUMMYFUNCTION("""COMPUTED_VALUE"""),"2019/11/07 14:00:00")</f>
        <v>2019/11/07 14:00:00</v>
      </c>
      <c r="G683" s="4" t="str">
        <f>IFERROR(__xludf.DUMMYFUNCTION("""COMPUTED_VALUE"""),"2019/11/07 14:15:00")</f>
        <v>2019/11/07 14:15:00</v>
      </c>
      <c r="H683" s="4" t="str">
        <f>IFERROR(__xludf.DUMMYFUNCTION("""COMPUTED_VALUE"""),"1d46df38-c3dc-4da4-9ff8-6abc2f27e67f")</f>
        <v>1d46df38-c3dc-4da4-9ff8-6abc2f27e67f</v>
      </c>
      <c r="I683" s="4" t="str">
        <f>IFERROR(__xludf.DUMMYFUNCTION("""COMPUTED_VALUE"""),"1d46df38-c3dc-4da4-9ff8-6abc2f27e67f")</f>
        <v>1d46df38-c3dc-4da4-9ff8-6abc2f27e67f</v>
      </c>
    </row>
    <row r="684">
      <c r="A684" s="4" t="str">
        <f>IFERROR(__xludf.DUMMYFUNCTION("""COMPUTED_VALUE"""),"Capitalising on market opportunities in the payments industry")</f>
        <v>Capitalising on market opportunities in the payments industry</v>
      </c>
      <c r="B684" s="4" t="str">
        <f>IFERROR(__xludf.DUMMYFUNCTION("""COMPUTED_VALUE"""),"Co-founder of ShieldPay, Tom outlines how growing companies can react to client demand as well as the changing landscape of the market effectively.")</f>
        <v>Co-founder of ShieldPay, Tom outlines how growing companies can react to client demand as well as the changing landscape of the market effectively.</v>
      </c>
      <c r="C684" s="4" t="str">
        <f>IFERROR(__xludf.DUMMYFUNCTION("""COMPUTED_VALUE"""),"Growth Summit")</f>
        <v>Growth Summit</v>
      </c>
      <c r="D684" s="4" t="str">
        <f>IFERROR(__xludf.DUMMYFUNCTION("""COMPUTED_VALUE"""),"Tom Squire")</f>
        <v>Tom Squire</v>
      </c>
      <c r="E684" s="4" t="str">
        <f>IFERROR(__xludf.DUMMYFUNCTION("""COMPUTED_VALUE"""),"Tom Squire")</f>
        <v>Tom Squire</v>
      </c>
      <c r="F684" s="4" t="str">
        <f>IFERROR(__xludf.DUMMYFUNCTION("""COMPUTED_VALUE"""),"2019/11/05 11:10:00")</f>
        <v>2019/11/05 11:10:00</v>
      </c>
      <c r="G684" s="4" t="str">
        <f>IFERROR(__xludf.DUMMYFUNCTION("""COMPUTED_VALUE"""),"2019/11/05 11:14:00")</f>
        <v>2019/11/05 11:14:00</v>
      </c>
      <c r="H684" s="4" t="str">
        <f>IFERROR(__xludf.DUMMYFUNCTION("""COMPUTED_VALUE"""),"157cf538-1885-4fe4-878b-99e8b457a656")</f>
        <v>157cf538-1885-4fe4-878b-99e8b457a656</v>
      </c>
      <c r="I684" s="4" t="str">
        <f>IFERROR(__xludf.DUMMYFUNCTION("""COMPUTED_VALUE"""),"157cf538-1885-4fe4-878b-99e8b457a656")</f>
        <v>157cf538-1885-4fe4-878b-99e8b457a656</v>
      </c>
    </row>
    <row r="685">
      <c r="A685" s="4" t="str">
        <f>IFERROR(__xludf.DUMMYFUNCTION("""COMPUTED_VALUE"""),"Injecting tech into drug discovery")</f>
        <v>Injecting tech into drug discovery</v>
      </c>
      <c r="B685" s="4" t="str">
        <f>IFERROR(__xludf.DUMMYFUNCTION("""COMPUTED_VALUE"""),"It’s time to reinvent the way the pharmaceutical industry creates drugs — and AI is key. Andrew Hopkins of Exscientia takes us into the next century of drug discovery. 
")</f>
        <v>It’s time to reinvent the way the pharmaceutical industry creates drugs — and AI is key. Andrew Hopkins of Exscientia takes us into the next century of drug discovery. 
</v>
      </c>
      <c r="C685" s="4" t="str">
        <f>IFERROR(__xludf.DUMMYFUNCTION("""COMPUTED_VALUE"""),"DeepTech")</f>
        <v>DeepTech</v>
      </c>
      <c r="D685" s="4" t="str">
        <f>IFERROR(__xludf.DUMMYFUNCTION("""COMPUTED_VALUE"""),"Andrew Hopkins and Alex Deane")</f>
        <v>Andrew Hopkins and Alex Deane</v>
      </c>
      <c r="E685" s="4" t="str">
        <f>IFERROR(__xludf.DUMMYFUNCTION("""COMPUTED_VALUE"""),"Andrew Hopkins,Alex Deane")</f>
        <v>Andrew Hopkins,Alex Deane</v>
      </c>
      <c r="F685" s="4" t="str">
        <f>IFERROR(__xludf.DUMMYFUNCTION("""COMPUTED_VALUE"""),"2019/11/06 11:35:00")</f>
        <v>2019/11/06 11:35:00</v>
      </c>
      <c r="G685" s="4" t="str">
        <f>IFERROR(__xludf.DUMMYFUNCTION("""COMPUTED_VALUE"""),"2019/11/06 11:50:00")</f>
        <v>2019/11/06 11:50:00</v>
      </c>
      <c r="H685" s="4" t="str">
        <f>IFERROR(__xludf.DUMMYFUNCTION("""COMPUTED_VALUE"""),"5e52d7c0-1a51-42b8-8270-ebb4e54b46c9")</f>
        <v>5e52d7c0-1a51-42b8-8270-ebb4e54b46c9</v>
      </c>
      <c r="I685" s="4" t="str">
        <f>IFERROR(__xludf.DUMMYFUNCTION("""COMPUTED_VALUE"""),"5e52d7c0-1a51-42b8-8270-ebb4e54b46c9")</f>
        <v>5e52d7c0-1a51-42b8-8270-ebb4e54b46c9</v>
      </c>
    </row>
    <row r="686">
      <c r="A686" s="4" t="str">
        <f>IFERROR(__xludf.DUMMYFUNCTION("""COMPUTED_VALUE"""),"The future of digital identity in the era of digital transformation")</f>
        <v>The future of digital identity in the era of digital transformation</v>
      </c>
      <c r="B686" s="4" t="str">
        <f>IFERROR(__xludf.DUMMYFUNCTION("""COMPUTED_VALUE"""),"Digital transformation spurs the evolution of identity management systems, where we're seeing control gradually moving away from a central authority and towards the user. On this evolutionary path, the latest trend is an emerging model called Decentralise"&amp;"d (or self-sovereign) ID (DID). This session presents a proof of concept of an emerging identity management model based on the distributed ledger and self-sovereign principles, which enables enterprises to securely manage this ecosystem. ")</f>
        <v>Digital transformation spurs the evolution of identity management systems, where we're seeing control gradually moving away from a central authority and towards the user. On this evolutionary path, the latest trend is an emerging model called Decentralised (or self-sovereign) ID (DID). This session presents a proof of concept of an emerging identity management model based on the distributed ledger and self-sovereign principles, which enables enterprises to securely manage this ecosystem. </v>
      </c>
      <c r="C686" s="4" t="str">
        <f>IFERROR(__xludf.DUMMYFUNCTION("""COMPUTED_VALUE"""),"SaaS Monster")</f>
        <v>SaaS Monster</v>
      </c>
      <c r="D686" s="4" t="str">
        <f>IFERROR(__xludf.DUMMYFUNCTION("""COMPUTED_VALUE"""),"Dr. Zulfikar Ramzan")</f>
        <v>Dr. Zulfikar Ramzan</v>
      </c>
      <c r="E686" s="4" t="str">
        <f>IFERROR(__xludf.DUMMYFUNCTION("""COMPUTED_VALUE"""),"Dr. Zulfikar Ramzan")</f>
        <v>Dr. Zulfikar Ramzan</v>
      </c>
      <c r="F686" s="4" t="str">
        <f>IFERROR(__xludf.DUMMYFUNCTION("""COMPUTED_VALUE"""),"2019/11/06 12:05:00")</f>
        <v>2019/11/06 12:05:00</v>
      </c>
      <c r="G686" s="4" t="str">
        <f>IFERROR(__xludf.DUMMYFUNCTION("""COMPUTED_VALUE"""),"2019/11/06 12:25:00")</f>
        <v>2019/11/06 12:25:00</v>
      </c>
      <c r="H686" s="4" t="str">
        <f>IFERROR(__xludf.DUMMYFUNCTION("""COMPUTED_VALUE"""),"93e6e57c-3328-4880-9964-5435c1a5a20e")</f>
        <v>93e6e57c-3328-4880-9964-5435c1a5a20e</v>
      </c>
      <c r="I686" s="4" t="str">
        <f>IFERROR(__xludf.DUMMYFUNCTION("""COMPUTED_VALUE"""),"93e6e57c-3328-4880-9964-5435c1a5a20e")</f>
        <v>93e6e57c-3328-4880-9964-5435c1a5a20e</v>
      </c>
    </row>
    <row r="687">
      <c r="A687" s="4" t="str">
        <f>IFERROR(__xludf.DUMMYFUNCTION("""COMPUTED_VALUE"""),"Driving digital transformation through experience")</f>
        <v>Driving digital transformation through experience</v>
      </c>
      <c r="B687" s="4" t="str">
        <f>IFERROR(__xludf.DUMMYFUNCTION("""COMPUTED_VALUE"""),"Pfizer and Code and Theory will discuss how the 170 year old pharmaceutical giant is differentiating itself and driving an enterprise-wide digital transformation through experience design. ")</f>
        <v>Pfizer and Code and Theory will discuss how the 170 year old pharmaceutical giant is differentiating itself and driving an enterprise-wide digital transformation through experience design. </v>
      </c>
      <c r="C687" s="4" t="str">
        <f>IFERROR(__xludf.DUMMYFUNCTION("""COMPUTED_VALUE"""),"Corporate Innovation Summit")</f>
        <v>Corporate Innovation Summit</v>
      </c>
      <c r="D687" s="4" t="str">
        <f>IFERROR(__xludf.DUMMYFUNCTION("""COMPUTED_VALUE"""),"Lidia Fonseca, Michael Treff and Paul Michelman")</f>
        <v>Lidia Fonseca, Michael Treff and Paul Michelman</v>
      </c>
      <c r="E687" s="4" t="str">
        <f>IFERROR(__xludf.DUMMYFUNCTION("""COMPUTED_VALUE"""),"Lidia Fonseca,Michael Treff,Paul Michelman")</f>
        <v>Lidia Fonseca,Michael Treff,Paul Michelman</v>
      </c>
      <c r="F687" s="4" t="str">
        <f>IFERROR(__xludf.DUMMYFUNCTION("""COMPUTED_VALUE"""),"2019/11/05 14:20:00")</f>
        <v>2019/11/05 14:20:00</v>
      </c>
      <c r="G687" s="4" t="str">
        <f>IFERROR(__xludf.DUMMYFUNCTION("""COMPUTED_VALUE"""),"2019/11/05 14:40:00")</f>
        <v>2019/11/05 14:40:00</v>
      </c>
      <c r="H687" s="4" t="str">
        <f>IFERROR(__xludf.DUMMYFUNCTION("""COMPUTED_VALUE"""),"fed1c503-24ef-49af-9d61-26944768d304")</f>
        <v>fed1c503-24ef-49af-9d61-26944768d304</v>
      </c>
      <c r="I687" s="4" t="str">
        <f>IFERROR(__xludf.DUMMYFUNCTION("""COMPUTED_VALUE"""),"fed1c503-24ef-49af-9d61-26944768d304")</f>
        <v>fed1c503-24ef-49af-9d61-26944768d304</v>
      </c>
    </row>
    <row r="688">
      <c r="A688" s="4" t="str">
        <f>IFERROR(__xludf.DUMMYFUNCTION("""COMPUTED_VALUE"""),"CX growth hacking (part 2), hosted by ZETA")</f>
        <v>CX growth hacking (part 2), hosted by ZETA</v>
      </c>
      <c r="B688" s="4" t="str">
        <f>IFERROR(__xludf.DUMMYFUNCTION("""COMPUTED_VALUE"""),"We are on the verge of a new commerce engagement with the consumer.
Gen Z utilizes the mobile phone for all aspects of commerce making OMO central for all commerce players and solution vendors. The influence of OMO is far-reaching; not only to marketing,"&amp;" but logistics, payment, shop design and shop staff behavior. The growth of the pop up store shows how CX is evolving by OMO. This workshop will show what UX design and functions are appropriate for the customer in this new era of CX.")</f>
        <v>We are on the verge of a new commerce engagement with the consumer.
Gen Z utilizes the mobile phone for all aspects of commerce making OMO central for all commerce players and solution vendors. The influence of OMO is far-reaching; not only to marketing, but logistics, payment, shop design and shop staff behavior. The growth of the pop up store shows how CX is evolving by OMO. This workshop will show what UX design and functions are appropriate for the customer in this new era of CX.</v>
      </c>
      <c r="C688" s="4" t="str">
        <f>IFERROR(__xludf.DUMMYFUNCTION("""COMPUTED_VALUE"""),"Workshop 4")</f>
        <v>Workshop 4</v>
      </c>
      <c r="D688" s="4" t="str">
        <f>IFERROR(__xludf.DUMMYFUNCTION("""COMPUTED_VALUE"""),"Noriyuki Yamazaki")</f>
        <v>Noriyuki Yamazaki</v>
      </c>
      <c r="E688" s="4" t="str">
        <f>IFERROR(__xludf.DUMMYFUNCTION("""COMPUTED_VALUE"""),"Noriyuki Yamazaki")</f>
        <v>Noriyuki Yamazaki</v>
      </c>
      <c r="F688" s="4" t="str">
        <f>IFERROR(__xludf.DUMMYFUNCTION("""COMPUTED_VALUE"""),"2019/11/05 12:50:00")</f>
        <v>2019/11/05 12:50:00</v>
      </c>
      <c r="G688" s="4" t="str">
        <f>IFERROR(__xludf.DUMMYFUNCTION("""COMPUTED_VALUE"""),"2019/11/05 13:30:00")</f>
        <v>2019/11/05 13:30:00</v>
      </c>
      <c r="H688" s="4" t="str">
        <f>IFERROR(__xludf.DUMMYFUNCTION("""COMPUTED_VALUE"""),"b25cd3ac-ec41-4add-93e4-928f59c1e9ed")</f>
        <v>b25cd3ac-ec41-4add-93e4-928f59c1e9ed</v>
      </c>
      <c r="I688" s="4" t="str">
        <f>IFERROR(__xludf.DUMMYFUNCTION("""COMPUTED_VALUE"""),"b25cd3ac-ec41-4add-93e4-928f59c1e9ed")</f>
        <v>b25cd3ac-ec41-4add-93e4-928f59c1e9ed</v>
      </c>
    </row>
    <row r="689">
      <c r="A689" s="4" t="str">
        <f>IFERROR(__xludf.DUMMYFUNCTION("""COMPUTED_VALUE"""),"Listen, learn, love: How AI creates happier customers")</f>
        <v>Listen, learn, love: How AI creates happier customers</v>
      </c>
      <c r="B689" s="4" t="str">
        <f>IFERROR(__xludf.DUMMYFUNCTION("""COMPUTED_VALUE"""),"We’re at a crossroads when it comes to artificial intelligence. The business world recognizes its importance and potential, but companies are struggling to harness it – or even fully understand it. How can AI be used to make sense of the massive amount of"&amp;" unstructured customer data that all brands need to process?")</f>
        <v>We’re at a crossroads when it comes to artificial intelligence. The business world recognizes its importance and potential, but companies are struggling to harness it – or even fully understand it. How can AI be used to make sense of the massive amount of unstructured customer data that all brands need to process?</v>
      </c>
      <c r="C689" s="4" t="str">
        <f>IFERROR(__xludf.DUMMYFUNCTION("""COMPUTED_VALUE"""),"PandaConf")</f>
        <v>PandaConf</v>
      </c>
      <c r="D689" s="4" t="str">
        <f>IFERROR(__xludf.DUMMYFUNCTION("""COMPUTED_VALUE"""),"Ragy Thomas and Don Clark")</f>
        <v>Ragy Thomas and Don Clark</v>
      </c>
      <c r="E689" s="4" t="str">
        <f>IFERROR(__xludf.DUMMYFUNCTION("""COMPUTED_VALUE"""),"Ragy Thomas,Don Clark")</f>
        <v>Ragy Thomas,Don Clark</v>
      </c>
      <c r="F689" s="4" t="str">
        <f>IFERROR(__xludf.DUMMYFUNCTION("""COMPUTED_VALUE"""),"2019/11/06 15:25:00")</f>
        <v>2019/11/06 15:25:00</v>
      </c>
      <c r="G689" s="4" t="str">
        <f>IFERROR(__xludf.DUMMYFUNCTION("""COMPUTED_VALUE"""),"2019/11/06 15:45:00")</f>
        <v>2019/11/06 15:45:00</v>
      </c>
      <c r="H689" s="4" t="str">
        <f>IFERROR(__xludf.DUMMYFUNCTION("""COMPUTED_VALUE"""),"95a0e3a7-dd71-4df7-8b53-fd5feefc8ec7")</f>
        <v>95a0e3a7-dd71-4df7-8b53-fd5feefc8ec7</v>
      </c>
      <c r="I689" s="4" t="str">
        <f>IFERROR(__xludf.DUMMYFUNCTION("""COMPUTED_VALUE"""),"95a0e3a7-dd71-4df7-8b53-fd5feefc8ec7")</f>
        <v>95a0e3a7-dd71-4df7-8b53-fd5feefc8ec7</v>
      </c>
    </row>
    <row r="690">
      <c r="A690" s="4" t="str">
        <f>IFERROR(__xludf.DUMMYFUNCTION("""COMPUTED_VALUE"""),"Can anything be private anymore?")</f>
        <v>Can anything be private anymore?</v>
      </c>
      <c r="B690" s="4" t="str">
        <f>IFERROR(__xludf.DUMMYFUNCTION("""COMPUTED_VALUE"""),"It is a fact that big data has replaced big oil as the most valuable global commodity. The buying, selling, and utilisation of data has made it almost impossible to maintain a truly private existence. In this session we will hear from two leading academic"&amp;" voices studying the impact of tech on our privacy and their proposed solutions for the problem of privacy. ")</f>
        <v>It is a fact that big data has replaced big oil as the most valuable global commodity. The buying, selling, and utilisation of data has made it almost impossible to maintain a truly private existence. In this session we will hear from two leading academic voices studying the impact of tech on our privacy and their proposed solutions for the problem of privacy. </v>
      </c>
      <c r="C690" s="4" t="str">
        <f>IFERROR(__xludf.DUMMYFUNCTION("""COMPUTED_VALUE"""),"Future Societies")</f>
        <v>Future Societies</v>
      </c>
      <c r="D690" s="4" t="str">
        <f>IFERROR(__xludf.DUMMYFUNCTION("""COMPUTED_VALUE"""),"Brittany Kaiser, David Chaum and Joseph Menn")</f>
        <v>Brittany Kaiser, David Chaum and Joseph Menn</v>
      </c>
      <c r="E690" s="4" t="str">
        <f>IFERROR(__xludf.DUMMYFUNCTION("""COMPUTED_VALUE"""),"Brittany Kaiser,David Chaum,Joseph Menn")</f>
        <v>Brittany Kaiser,David Chaum,Joseph Menn</v>
      </c>
      <c r="F690" s="4" t="str">
        <f>IFERROR(__xludf.DUMMYFUNCTION("""COMPUTED_VALUE"""),"2019/11/06 10:10:00")</f>
        <v>2019/11/06 10:10:00</v>
      </c>
      <c r="G690" s="4" t="str">
        <f>IFERROR(__xludf.DUMMYFUNCTION("""COMPUTED_VALUE"""),"2019/11/06 10:30:00")</f>
        <v>2019/11/06 10:30:00</v>
      </c>
      <c r="H690" s="4" t="str">
        <f>IFERROR(__xludf.DUMMYFUNCTION("""COMPUTED_VALUE"""),"e0a8ca5d-d716-4542-b6bf-e80bd6cd1304")</f>
        <v>e0a8ca5d-d716-4542-b6bf-e80bd6cd1304</v>
      </c>
      <c r="I690" s="4" t="str">
        <f>IFERROR(__xludf.DUMMYFUNCTION("""COMPUTED_VALUE"""),"e0a8ca5d-d716-4542-b6bf-e80bd6cd1304")</f>
        <v>e0a8ca5d-d716-4542-b6bf-e80bd6cd1304</v>
      </c>
    </row>
    <row r="691">
      <c r="A691" s="4" t="str">
        <f>IFERROR(__xludf.DUMMYFUNCTION("""COMPUTED_VALUE"""),"Night Summit: Party time")</f>
        <v>Night Summit: Party time</v>
      </c>
      <c r="B691" s="4" t="str">
        <f>IFERROR(__xludf.DUMMYFUNCTION("""COMPUTED_VALUE"""),"Day two is over and you're more than ready to blow off a little steam. 
We know just the place. The LX Factory is one of Lisbon's most iconic spots and a Portuguese centre of fashion and design.
Its industrial setting and incredible atmosphere makes"&amp;" it one of the most unique places in Lisbon's nightlife. ")</f>
        <v>Day two is over and you're more than ready to blow off a little steam. 
We know just the place. The LX Factory is one of Lisbon's most iconic spots and a Portuguese centre of fashion and design.
Its industrial setting and incredible atmosphere makes it one of the most unique places in Lisbon's nightlife. </v>
      </c>
      <c r="C691" s="4" t="str">
        <f>IFERROR(__xludf.DUMMYFUNCTION("""COMPUTED_VALUE"""),"LX Factory")</f>
        <v>LX Factory</v>
      </c>
      <c r="D691" s="4" t="str">
        <f>IFERROR(__xludf.DUMMYFUNCTION("""COMPUTED_VALUE"""),"")</f>
        <v/>
      </c>
      <c r="E691" s="4" t="str">
        <f>IFERROR(__xludf.DUMMYFUNCTION("""COMPUTED_VALUE"""),"")</f>
        <v/>
      </c>
      <c r="F691" s="4" t="str">
        <f>IFERROR(__xludf.DUMMYFUNCTION("""COMPUTED_VALUE"""),"2019/11/06 19:59:00")</f>
        <v>2019/11/06 19:59:00</v>
      </c>
      <c r="G691" s="4" t="str">
        <f>IFERROR(__xludf.DUMMYFUNCTION("""COMPUTED_VALUE"""),"2019/11/07 02:00:00")</f>
        <v>2019/11/07 02:00:00</v>
      </c>
      <c r="H691" s="4" t="str">
        <f>IFERROR(__xludf.DUMMYFUNCTION("""COMPUTED_VALUE"""),"1f8bc1a3-b476-4b8a-b39c-7a0c3507c978")</f>
        <v>1f8bc1a3-b476-4b8a-b39c-7a0c3507c978</v>
      </c>
      <c r="I691" s="4" t="str">
        <f>IFERROR(__xludf.DUMMYFUNCTION("""COMPUTED_VALUE"""),"1f8bc1a3-b476-4b8a-b39c-7a0c3507c978")</f>
        <v>1f8bc1a3-b476-4b8a-b39c-7a0c3507c978</v>
      </c>
    </row>
    <row r="692">
      <c r="A692" s="4" t="str">
        <f>IFERROR(__xludf.DUMMYFUNCTION("""COMPUTED_VALUE"""),"The new marketplaces?")</f>
        <v>The new marketplaces?</v>
      </c>
      <c r="B692" s="4" t="str">
        <f>IFERROR(__xludf.DUMMYFUNCTION("""COMPUTED_VALUE"""),"It's never been easier to start an online platform and earn revenue, so how do investors spot a scalable marketplace idea? ")</f>
        <v>It's never been easier to start an online platform and earn revenue, so how do investors spot a scalable marketplace idea? </v>
      </c>
      <c r="C692" s="4" t="str">
        <f>IFERROR(__xludf.DUMMYFUNCTION("""COMPUTED_VALUE"""),"Venture stage")</f>
        <v>Venture stage</v>
      </c>
      <c r="D692" s="4" t="str">
        <f>IFERROR(__xludf.DUMMYFUNCTION("""COMPUTED_VALUE"""),"Marlon Nichols, Fabrice Grinda and Laurel Touby")</f>
        <v>Marlon Nichols, Fabrice Grinda and Laurel Touby</v>
      </c>
      <c r="E692" s="4" t="str">
        <f>IFERROR(__xludf.DUMMYFUNCTION("""COMPUTED_VALUE"""),"Marlon Nichols,Fabrice Grinda,Laurel Touby")</f>
        <v>Marlon Nichols,Fabrice Grinda,Laurel Touby</v>
      </c>
      <c r="F692" s="4" t="str">
        <f>IFERROR(__xludf.DUMMYFUNCTION("""COMPUTED_VALUE"""),"2019/11/06 14:25:00")</f>
        <v>2019/11/06 14:25:00</v>
      </c>
      <c r="G692" s="4" t="str">
        <f>IFERROR(__xludf.DUMMYFUNCTION("""COMPUTED_VALUE"""),"2019/11/06 14:45:00")</f>
        <v>2019/11/06 14:45:00</v>
      </c>
      <c r="H692" s="4" t="str">
        <f>IFERROR(__xludf.DUMMYFUNCTION("""COMPUTED_VALUE"""),"1bee5c68-1665-41fb-a423-9a0849920940")</f>
        <v>1bee5c68-1665-41fb-a423-9a0849920940</v>
      </c>
      <c r="I692" s="4" t="str">
        <f>IFERROR(__xludf.DUMMYFUNCTION("""COMPUTED_VALUE"""),"1bee5c68-1665-41fb-a423-9a0849920940")</f>
        <v>1bee5c68-1665-41fb-a423-9a0849920940</v>
      </c>
    </row>
    <row r="693">
      <c r="A693" s="4" t="str">
        <f>IFERROR(__xludf.DUMMYFUNCTION("""COMPUTED_VALUE"""),"Women's sport revolution: Inside the World Cup")</f>
        <v>Women's sport revolution: Inside the World Cup</v>
      </c>
      <c r="B693" s="4" t="str">
        <f>IFERROR(__xludf.DUMMYFUNCTION("""COMPUTED_VALUE"""),"The 2019 FIFA Women's World Cup heralded a new era for the game. World Cup winner, Meghan Klingenberg,  Jenny Wang of Re-Inc, and BBC Director of Sport, Barbara Slater, talk about how the game can grow following the record-breaking World Cup.")</f>
        <v>The 2019 FIFA Women's World Cup heralded a new era for the game. World Cup winner, Meghan Klingenberg,  Jenny Wang of Re-Inc, and BBC Director of Sport, Barbara Slater, talk about how the game can grow following the record-breaking World Cup.</v>
      </c>
      <c r="C693" s="4" t="str">
        <f>IFERROR(__xludf.DUMMYFUNCTION("""COMPUTED_VALUE"""),"SportsTrade")</f>
        <v>SportsTrade</v>
      </c>
      <c r="D693" s="4" t="str">
        <f>IFERROR(__xludf.DUMMYFUNCTION("""COMPUTED_VALUE"""),"Barbara Slater, Meghan Klingenberg, Jenny Wang, Eniola Aluko and Daniel Macaulay")</f>
        <v>Barbara Slater, Meghan Klingenberg, Jenny Wang, Eniola Aluko and Daniel Macaulay</v>
      </c>
      <c r="E693" s="4" t="str">
        <f>IFERROR(__xludf.DUMMYFUNCTION("""COMPUTED_VALUE"""),"Barbara Slater,Meghan Klingenberg,Jenny Wang,Eniola Aluko,Daniel Macaulay")</f>
        <v>Barbara Slater,Meghan Klingenberg,Jenny Wang,Eniola Aluko,Daniel Macaulay</v>
      </c>
      <c r="F693" s="4" t="str">
        <f>IFERROR(__xludf.DUMMYFUNCTION("""COMPUTED_VALUE"""),"2019/11/05 11:05:00")</f>
        <v>2019/11/05 11:05:00</v>
      </c>
      <c r="G693" s="4" t="str">
        <f>IFERROR(__xludf.DUMMYFUNCTION("""COMPUTED_VALUE"""),"2019/11/05 11:25:00")</f>
        <v>2019/11/05 11:25:00</v>
      </c>
      <c r="H693" s="4" t="str">
        <f>IFERROR(__xludf.DUMMYFUNCTION("""COMPUTED_VALUE"""),"879df1db-b60b-450c-af2a-bf48089803aa")</f>
        <v>879df1db-b60b-450c-af2a-bf48089803aa</v>
      </c>
      <c r="I693" s="4" t="str">
        <f>IFERROR(__xludf.DUMMYFUNCTION("""COMPUTED_VALUE"""),"879df1db-b60b-450c-af2a-bf48089803aa")</f>
        <v>879df1db-b60b-450c-af2a-bf48089803aa</v>
      </c>
    </row>
    <row r="694">
      <c r="A694" s="4" t="str">
        <f>IFERROR(__xludf.DUMMYFUNCTION("""COMPUTED_VALUE"""),"Investing in change: How to navigate disruption")</f>
        <v>Investing in change: How to navigate disruption</v>
      </c>
      <c r="B694" s="4" t="str">
        <f>IFERROR(__xludf.DUMMYFUNCTION("""COMPUTED_VALUE"""),"Amid the changing face of VC, these investors discuss their experiences in a market balancing cultural changes along with ever increasing scale.")</f>
        <v>Amid the changing face of VC, these investors discuss their experiences in a market balancing cultural changes along with ever increasing scale.</v>
      </c>
      <c r="C694" s="4" t="str">
        <f>IFERROR(__xludf.DUMMYFUNCTION("""COMPUTED_VALUE"""),"Venture stage")</f>
        <v>Venture stage</v>
      </c>
      <c r="D694" s="4" t="str">
        <f>IFERROR(__xludf.DUMMYFUNCTION("""COMPUTED_VALUE"""),"Allister Furey, Niccolo Manzoni and Mariana Barbosa")</f>
        <v>Allister Furey, Niccolo Manzoni and Mariana Barbosa</v>
      </c>
      <c r="E694" s="4" t="str">
        <f>IFERROR(__xludf.DUMMYFUNCTION("""COMPUTED_VALUE"""),"Allister Furey,Niccolo Manzoni,Mariana Barbosa")</f>
        <v>Allister Furey,Niccolo Manzoni,Mariana Barbosa</v>
      </c>
      <c r="F694" s="4" t="str">
        <f>IFERROR(__xludf.DUMMYFUNCTION("""COMPUTED_VALUE"""),"2019/11/07 14:25:00")</f>
        <v>2019/11/07 14:25:00</v>
      </c>
      <c r="G694" s="4" t="str">
        <f>IFERROR(__xludf.DUMMYFUNCTION("""COMPUTED_VALUE"""),"2019/11/07 14:45:00")</f>
        <v>2019/11/07 14:45:00</v>
      </c>
      <c r="H694" s="4" t="str">
        <f>IFERROR(__xludf.DUMMYFUNCTION("""COMPUTED_VALUE"""),"46f8dd09-71a9-435d-b310-e1e8b669fd41")</f>
        <v>46f8dd09-71a9-435d-b310-e1e8b669fd41</v>
      </c>
      <c r="I694" s="4" t="str">
        <f>IFERROR(__xludf.DUMMYFUNCTION("""COMPUTED_VALUE"""),"46f8dd09-71a9-435d-b310-e1e8b669fd41")</f>
        <v>46f8dd09-71a9-435d-b310-e1e8b669fd41</v>
      </c>
    </row>
    <row r="695">
      <c r="A695" s="4" t="str">
        <f>IFERROR(__xludf.DUMMYFUNCTION("""COMPUTED_VALUE"""),"Cyber-scaling safely")</f>
        <v>Cyber-scaling safely</v>
      </c>
      <c r="B695" s="4" t="str">
        <f>IFERROR(__xludf.DUMMYFUNCTION("""COMPUTED_VALUE"""),"When building an enterprise solution, data security and privacy need to be part of the core product. What are investor's red flag lists they need to see in terms of cybersecurity before investing in enterprise solutions?")</f>
        <v>When building an enterprise solution, data security and privacy need to be part of the core product. What are investor's red flag lists they need to see in terms of cybersecurity before investing in enterprise solutions?</v>
      </c>
      <c r="C695" s="4" t="str">
        <f>IFERROR(__xludf.DUMMYFUNCTION("""COMPUTED_VALUE"""),"Venture stage")</f>
        <v>Venture stage</v>
      </c>
      <c r="D695" s="4" t="str">
        <f>IFERROR(__xludf.DUMMYFUNCTION("""COMPUTED_VALUE"""),"Dennis Smith, Rocio Pillado, Rashmi Gopinath, Shardul Shah and Catherine Stupp")</f>
        <v>Dennis Smith, Rocio Pillado, Rashmi Gopinath, Shardul Shah and Catherine Stupp</v>
      </c>
      <c r="E695" s="4" t="str">
        <f>IFERROR(__xludf.DUMMYFUNCTION("""COMPUTED_VALUE"""),"Dennis Smith,Rocio Pillado,Rashmi Gopinath,Shardul Shah,Catherine Stupp")</f>
        <v>Dennis Smith,Rocio Pillado,Rashmi Gopinath,Shardul Shah,Catherine Stupp</v>
      </c>
      <c r="F695" s="4" t="str">
        <f>IFERROR(__xludf.DUMMYFUNCTION("""COMPUTED_VALUE"""),"2019/11/06 15:10:00")</f>
        <v>2019/11/06 15:10:00</v>
      </c>
      <c r="G695" s="4" t="str">
        <f>IFERROR(__xludf.DUMMYFUNCTION("""COMPUTED_VALUE"""),"2019/11/06 15:35:00")</f>
        <v>2019/11/06 15:35:00</v>
      </c>
      <c r="H695" s="4" t="str">
        <f>IFERROR(__xludf.DUMMYFUNCTION("""COMPUTED_VALUE"""),"37b4f55e-bf37-469f-a8fa-c4d711f1fc11")</f>
        <v>37b4f55e-bf37-469f-a8fa-c4d711f1fc11</v>
      </c>
      <c r="I695" s="4" t="str">
        <f>IFERROR(__xludf.DUMMYFUNCTION("""COMPUTED_VALUE"""),"37b4f55e-bf37-469f-a8fa-c4d711f1fc11")</f>
        <v>37b4f55e-bf37-469f-a8fa-c4d711f1fc11</v>
      </c>
    </row>
    <row r="696">
      <c r="A696" s="4" t="str">
        <f>IFERROR(__xludf.DUMMYFUNCTION("""COMPUTED_VALUE"""),"Opening remarks ")</f>
        <v>Opening remarks </v>
      </c>
      <c r="B696" s="4" t="str">
        <f>IFERROR(__xludf.DUMMYFUNCTION("""COMPUTED_VALUE"""),"")</f>
        <v/>
      </c>
      <c r="C696" s="4" t="str">
        <f>IFERROR(__xludf.DUMMYFUNCTION("""COMPUTED_VALUE"""),"Startup University")</f>
        <v>Startup University</v>
      </c>
      <c r="D696" s="4" t="str">
        <f>IFERROR(__xludf.DUMMYFUNCTION("""COMPUTED_VALUE"""),"David Meltzer")</f>
        <v>David Meltzer</v>
      </c>
      <c r="E696" s="4" t="str">
        <f>IFERROR(__xludf.DUMMYFUNCTION("""COMPUTED_VALUE"""),"David Meltzer")</f>
        <v>David Meltzer</v>
      </c>
      <c r="F696" s="4" t="str">
        <f>IFERROR(__xludf.DUMMYFUNCTION("""COMPUTED_VALUE"""),"2019/11/06 14:20:00")</f>
        <v>2019/11/06 14:20:00</v>
      </c>
      <c r="G696" s="4" t="str">
        <f>IFERROR(__xludf.DUMMYFUNCTION("""COMPUTED_VALUE"""),"2019/11/06 14:35:00")</f>
        <v>2019/11/06 14:35:00</v>
      </c>
      <c r="H696" s="4" t="str">
        <f>IFERROR(__xludf.DUMMYFUNCTION("""COMPUTED_VALUE"""),"303149c3-9713-4fcc-92a4-34ad95ae532a")</f>
        <v>303149c3-9713-4fcc-92a4-34ad95ae532a</v>
      </c>
      <c r="I696" s="4" t="str">
        <f>IFERROR(__xludf.DUMMYFUNCTION("""COMPUTED_VALUE"""),"303149c3-9713-4fcc-92a4-34ad95ae532a")</f>
        <v>303149c3-9713-4fcc-92a4-34ad95ae532a</v>
      </c>
    </row>
    <row r="697">
      <c r="A697" s="4" t="str">
        <f>IFERROR(__xludf.DUMMYFUNCTION("""COMPUTED_VALUE"""),"High-impact predictions: Anticipate and win with machine learning")</f>
        <v>High-impact predictions: Anticipate and win with machine learning</v>
      </c>
      <c r="B697" s="4" t="str">
        <f>IFERROR(__xludf.DUMMYFUNCTION("""COMPUTED_VALUE"""),"The co-founder of EPICA will discuss how EPICA is democratising access to ML/AI, and how predictive capabilities have become a key capacity that any company can access.")</f>
        <v>The co-founder of EPICA will discuss how EPICA is democratising access to ML/AI, and how predictive capabilities have become a key capacity that any company can access.</v>
      </c>
      <c r="C697" s="4" t="str">
        <f>IFERROR(__xludf.DUMMYFUNCTION("""COMPUTED_VALUE"""),"Growth Summit")</f>
        <v>Growth Summit</v>
      </c>
      <c r="D697" s="4" t="str">
        <f>IFERROR(__xludf.DUMMYFUNCTION("""COMPUTED_VALUE"""),"Diego Paramo")</f>
        <v>Diego Paramo</v>
      </c>
      <c r="E697" s="4" t="str">
        <f>IFERROR(__xludf.DUMMYFUNCTION("""COMPUTED_VALUE"""),"Diego Paramo")</f>
        <v>Diego Paramo</v>
      </c>
      <c r="F697" s="4" t="str">
        <f>IFERROR(__xludf.DUMMYFUNCTION("""COMPUTED_VALUE"""),"2019/11/05 11:02:00")</f>
        <v>2019/11/05 11:02:00</v>
      </c>
      <c r="G697" s="4" t="str">
        <f>IFERROR(__xludf.DUMMYFUNCTION("""COMPUTED_VALUE"""),"2019/11/05 11:06:00")</f>
        <v>2019/11/05 11:06:00</v>
      </c>
      <c r="H697" s="4" t="str">
        <f>IFERROR(__xludf.DUMMYFUNCTION("""COMPUTED_VALUE"""),"b875d1fb-f347-4dd4-add0-2745264efcef")</f>
        <v>b875d1fb-f347-4dd4-add0-2745264efcef</v>
      </c>
      <c r="I697" s="4" t="str">
        <f>IFERROR(__xludf.DUMMYFUNCTION("""COMPUTED_VALUE"""),"b875d1fb-f347-4dd4-add0-2745264efcef")</f>
        <v>b875d1fb-f347-4dd4-add0-2745264efcef</v>
      </c>
    </row>
    <row r="698">
      <c r="A698" s="4" t="str">
        <f>IFERROR(__xludf.DUMMYFUNCTION("""COMPUTED_VALUE"""),"Leading the way with tech and culture")</f>
        <v>Leading the way with tech and culture</v>
      </c>
      <c r="B698" s="4" t="str">
        <f>IFERROR(__xludf.DUMMYFUNCTION("""COMPUTED_VALUE"""),"Co-founder of Babyshop Group Linn explains how two people in their early 20s, with no kids, risked their savings and turned them into a €100m children's fashion tech business. She'll outline that growth comes with people and with people comes growth.")</f>
        <v>Co-founder of Babyshop Group Linn explains how two people in their early 20s, with no kids, risked their savings and turned them into a €100m children's fashion tech business. She'll outline that growth comes with people and with people comes growth.</v>
      </c>
      <c r="C698" s="4" t="str">
        <f>IFERROR(__xludf.DUMMYFUNCTION("""COMPUTED_VALUE"""),"Growth Summit")</f>
        <v>Growth Summit</v>
      </c>
      <c r="D698" s="4" t="str">
        <f>IFERROR(__xludf.DUMMYFUNCTION("""COMPUTED_VALUE"""),"Linn Tagesson")</f>
        <v>Linn Tagesson</v>
      </c>
      <c r="E698" s="4" t="str">
        <f>IFERROR(__xludf.DUMMYFUNCTION("""COMPUTED_VALUE"""),"Linn Tagesson")</f>
        <v>Linn Tagesson</v>
      </c>
      <c r="F698" s="4" t="str">
        <f>IFERROR(__xludf.DUMMYFUNCTION("""COMPUTED_VALUE"""),"2019/11/06 15:48:00")</f>
        <v>2019/11/06 15:48:00</v>
      </c>
      <c r="G698" s="4" t="str">
        <f>IFERROR(__xludf.DUMMYFUNCTION("""COMPUTED_VALUE"""),"2019/11/06 15:59:00")</f>
        <v>2019/11/06 15:59:00</v>
      </c>
      <c r="H698" s="4" t="str">
        <f>IFERROR(__xludf.DUMMYFUNCTION("""COMPUTED_VALUE"""),"a2c6bf02-513b-4797-8765-37ba76028819")</f>
        <v>a2c6bf02-513b-4797-8765-37ba76028819</v>
      </c>
      <c r="I698" s="4" t="str">
        <f>IFERROR(__xludf.DUMMYFUNCTION("""COMPUTED_VALUE"""),"a2c6bf02-513b-4797-8765-37ba76028819")</f>
        <v>a2c6bf02-513b-4797-8765-37ba76028819</v>
      </c>
    </row>
    <row r="699">
      <c r="A699" s="4" t="str">
        <f>IFERROR(__xludf.DUMMYFUNCTION("""COMPUTED_VALUE"""),"Building an innovative community: Imperial College London's White City Campus")</f>
        <v>Building an innovative community: Imperial College London's White City Campus</v>
      </c>
      <c r="B699" s="4" t="str">
        <f>IFERROR(__xludf.DUMMYFUNCTION("""COMPUTED_VALUE"""),"Imperial College London is bringing together scientific researchers, corporate partners, entrepreneurs and the local community to coexist and co-create on an unprecedented scale, and to turn cutting edge scientific research into real world benefits for so"&amp;"ciety. Prof. Maggie Dallman OBE will outline the vision behind Imperial’s new White City Campus, fast becoming one of London’s most exciting innovation districts with unique shared community innovation spaces.")</f>
        <v>Imperial College London is bringing together scientific researchers, corporate partners, entrepreneurs and the local community to coexist and co-create on an unprecedented scale, and to turn cutting edge scientific research into real world benefits for society. Prof. Maggie Dallman OBE will outline the vision behind Imperial’s new White City Campus, fast becoming one of London’s most exciting innovation districts with unique shared community innovation spaces.</v>
      </c>
      <c r="C699" s="4" t="str">
        <f>IFERROR(__xludf.DUMMYFUNCTION("""COMPUTED_VALUE"""),"Future Societies")</f>
        <v>Future Societies</v>
      </c>
      <c r="D699" s="4" t="str">
        <f>IFERROR(__xludf.DUMMYFUNCTION("""COMPUTED_VALUE"""),"Maggie Dallman")</f>
        <v>Maggie Dallman</v>
      </c>
      <c r="E699" s="4" t="str">
        <f>IFERROR(__xludf.DUMMYFUNCTION("""COMPUTED_VALUE"""),"Maggie Dallman")</f>
        <v>Maggie Dallman</v>
      </c>
      <c r="F699" s="4" t="str">
        <f>IFERROR(__xludf.DUMMYFUNCTION("""COMPUTED_VALUE"""),"2019/11/05 13:03:00")</f>
        <v>2019/11/05 13:03:00</v>
      </c>
      <c r="G699" s="4" t="str">
        <f>IFERROR(__xludf.DUMMYFUNCTION("""COMPUTED_VALUE"""),"2019/11/05 13:15:00")</f>
        <v>2019/11/05 13:15:00</v>
      </c>
      <c r="H699" s="4" t="str">
        <f>IFERROR(__xludf.DUMMYFUNCTION("""COMPUTED_VALUE"""),"e2ff5f2b-4b7a-41d3-94a8-b5247b28191c")</f>
        <v>e2ff5f2b-4b7a-41d3-94a8-b5247b28191c</v>
      </c>
      <c r="I699" s="4" t="str">
        <f>IFERROR(__xludf.DUMMYFUNCTION("""COMPUTED_VALUE"""),"e2ff5f2b-4b7a-41d3-94a8-b5247b28191c")</f>
        <v>e2ff5f2b-4b7a-41d3-94a8-b5247b28191c</v>
      </c>
    </row>
    <row r="700">
      <c r="A700" s="4" t="str">
        <f>IFERROR(__xludf.DUMMYFUNCTION("""COMPUTED_VALUE"""),"ATM 1")</f>
        <v>ATM 1</v>
      </c>
      <c r="B700" s="4" t="str">
        <f>IFERROR(__xludf.DUMMYFUNCTION("""COMPUTED_VALUE"""),"")</f>
        <v/>
      </c>
      <c r="C700" s="4" t="str">
        <f>IFERROR(__xludf.DUMMYFUNCTION("""COMPUTED_VALUE"""),"ATM - 1 - Nov 6")</f>
        <v>ATM - 1 - Nov 6</v>
      </c>
      <c r="D700" s="4" t="str">
        <f>IFERROR(__xludf.DUMMYFUNCTION("""COMPUTED_VALUE"""),"")</f>
        <v/>
      </c>
      <c r="E700" s="4" t="str">
        <f>IFERROR(__xludf.DUMMYFUNCTION("""COMPUTED_VALUE"""),"")</f>
        <v/>
      </c>
      <c r="F700" s="4" t="str">
        <f>IFERROR(__xludf.DUMMYFUNCTION("""COMPUTED_VALUE"""),"2019/11/06 20:01:00")</f>
        <v>2019/11/06 20:01:00</v>
      </c>
      <c r="G700" s="4" t="str">
        <f>IFERROR(__xludf.DUMMYFUNCTION("""COMPUTED_VALUE"""),"2019/11/07 02:00:00")</f>
        <v>2019/11/07 02:00:00</v>
      </c>
      <c r="H700" s="4" t="str">
        <f>IFERROR(__xludf.DUMMYFUNCTION("""COMPUTED_VALUE"""),"a4cb8e55-8178-4e8c-85f5-551e57fe68ed")</f>
        <v>a4cb8e55-8178-4e8c-85f5-551e57fe68ed</v>
      </c>
      <c r="I700" s="4" t="str">
        <f>IFERROR(__xludf.DUMMYFUNCTION("""COMPUTED_VALUE"""),"a4cb8e55-8178-4e8c-85f5-551e57fe68ed")</f>
        <v>a4cb8e55-8178-4e8c-85f5-551e57fe68ed</v>
      </c>
    </row>
    <row r="701">
      <c r="A701" s="4" t="str">
        <f>IFERROR(__xludf.DUMMYFUNCTION("""COMPUTED_VALUE"""),"Advancing women in tech: How to move our dials, together, hosted by #movethedial")</f>
        <v>Advancing women in tech: How to move our dials, together, hosted by #movethedial</v>
      </c>
      <c r="B701" s="4" t="str">
        <f>IFERROR(__xludf.DUMMYFUNCTION("""COMPUTED_VALUE"""),"""When women work together, we can accomplish amazing things” - Sheryl Sandberg.
Join us to learn how you can effectively bring others along with you as you #movethedial in your career and life.
This workshop will show you how to build your own “adv"&amp;"isory board” – a group of dynamic and diverse women who can empower each other. Learn how to engage existing connections and build impactful relationships to #movethedial for yourself and others, and get the most value out of your time together.")</f>
        <v>"When women work together, we can accomplish amazing things” - Sheryl Sandberg.
Join us to learn how you can effectively bring others along with you as you #movethedial in your career and life.
This workshop will show you how to build your own “advisory board” – a group of dynamic and diverse women who can empower each other. Learn how to engage existing connections and build impactful relationships to #movethedial for yourself and others, and get the most value out of your time together.</v>
      </c>
      <c r="C701" s="4" t="str">
        <f>IFERROR(__xludf.DUMMYFUNCTION("""COMPUTED_VALUE"""),"Workshop 1")</f>
        <v>Workshop 1</v>
      </c>
      <c r="D701" s="4" t="str">
        <f>IFERROR(__xludf.DUMMYFUNCTION("""COMPUTED_VALUE"""),"")</f>
        <v/>
      </c>
      <c r="E701" s="4" t="str">
        <f>IFERROR(__xludf.DUMMYFUNCTION("""COMPUTED_VALUE"""),"")</f>
        <v/>
      </c>
      <c r="F701" s="4" t="str">
        <f>IFERROR(__xludf.DUMMYFUNCTION("""COMPUTED_VALUE"""),"2019/11/07 15:30:00")</f>
        <v>2019/11/07 15:30:00</v>
      </c>
      <c r="G701" s="4" t="str">
        <f>IFERROR(__xludf.DUMMYFUNCTION("""COMPUTED_VALUE"""),"2019/11/07 17:00:00")</f>
        <v>2019/11/07 17:00:00</v>
      </c>
      <c r="H701" s="4" t="str">
        <f>IFERROR(__xludf.DUMMYFUNCTION("""COMPUTED_VALUE"""),"47a6ba19-13bd-4fa3-ab76-d8cc717416b1")</f>
        <v>47a6ba19-13bd-4fa3-ab76-d8cc717416b1</v>
      </c>
      <c r="I701" s="4" t="str">
        <f>IFERROR(__xludf.DUMMYFUNCTION("""COMPUTED_VALUE"""),"47a6ba19-13bd-4fa3-ab76-d8cc717416b1")</f>
        <v>47a6ba19-13bd-4fa3-ab76-d8cc717416b1</v>
      </c>
    </row>
    <row r="702">
      <c r="A702" s="4" t="str">
        <f>IFERROR(__xludf.DUMMYFUNCTION("""COMPUTED_VALUE"""),"Lunch break")</f>
        <v>Lunch break</v>
      </c>
      <c r="B702" s="4" t="str">
        <f>IFERROR(__xludf.DUMMYFUNCTION("""COMPUTED_VALUE"""),"")</f>
        <v/>
      </c>
      <c r="C702" s="4" t="str">
        <f>IFERROR(__xludf.DUMMYFUNCTION("""COMPUTED_VALUE"""),"Future Societies")</f>
        <v>Future Societies</v>
      </c>
      <c r="D702" s="4" t="str">
        <f>IFERROR(__xludf.DUMMYFUNCTION("""COMPUTED_VALUE"""),"")</f>
        <v/>
      </c>
      <c r="E702" s="4" t="str">
        <f>IFERROR(__xludf.DUMMYFUNCTION("""COMPUTED_VALUE"""),"")</f>
        <v/>
      </c>
      <c r="F702" s="4" t="str">
        <f>IFERROR(__xludf.DUMMYFUNCTION("""COMPUTED_VALUE"""),"2019/11/07 12:15:00")</f>
        <v>2019/11/07 12:15:00</v>
      </c>
      <c r="G702" s="4" t="str">
        <f>IFERROR(__xludf.DUMMYFUNCTION("""COMPUTED_VALUE"""),"2019/11/07 12:50:00")</f>
        <v>2019/11/07 12:50:00</v>
      </c>
      <c r="H702" s="4" t="str">
        <f>IFERROR(__xludf.DUMMYFUNCTION("""COMPUTED_VALUE"""),"f6a4f5ec-55db-4467-886b-472ef4efe759")</f>
        <v>f6a4f5ec-55db-4467-886b-472ef4efe759</v>
      </c>
      <c r="I702" s="4" t="str">
        <f>IFERROR(__xludf.DUMMYFUNCTION("""COMPUTED_VALUE"""),"f6a4f5ec-55db-4467-886b-472ef4efe759")</f>
        <v>f6a4f5ec-55db-4467-886b-472ef4efe759</v>
      </c>
    </row>
    <row r="703">
      <c r="A703" s="4" t="str">
        <f>IFERROR(__xludf.DUMMYFUNCTION("""COMPUTED_VALUE"""),"Opening remarks")</f>
        <v>Opening remarks</v>
      </c>
      <c r="B703" s="4" t="str">
        <f>IFERROR(__xludf.DUMMYFUNCTION("""COMPUTED_VALUE"""),"Peek behind the marketing as the year's biggest consumer electronics are reviewed by independent industry critics and consumers themselves.  The afternoon stage content will be opened by tech reporter Jess Kelly.")</f>
        <v>Peek behind the marketing as the year's biggest consumer electronics are reviewed by independent industry critics and consumers themselves.  The afternoon stage content will be opened by tech reporter Jess Kelly.</v>
      </c>
      <c r="C703" s="4" t="str">
        <f>IFERROR(__xludf.DUMMYFUNCTION("""COMPUTED_VALUE"""),"UnBoxed")</f>
        <v>UnBoxed</v>
      </c>
      <c r="D703" s="4" t="str">
        <f>IFERROR(__xludf.DUMMYFUNCTION("""COMPUTED_VALUE"""),"Jess Kelly")</f>
        <v>Jess Kelly</v>
      </c>
      <c r="E703" s="4" t="str">
        <f>IFERROR(__xludf.DUMMYFUNCTION("""COMPUTED_VALUE"""),"Jess Kelly")</f>
        <v>Jess Kelly</v>
      </c>
      <c r="F703" s="4" t="str">
        <f>IFERROR(__xludf.DUMMYFUNCTION("""COMPUTED_VALUE"""),"2019/11/05 14:15:00")</f>
        <v>2019/11/05 14:15:00</v>
      </c>
      <c r="G703" s="4" t="str">
        <f>IFERROR(__xludf.DUMMYFUNCTION("""COMPUTED_VALUE"""),"2019/11/05 14:30:00")</f>
        <v>2019/11/05 14:30:00</v>
      </c>
      <c r="H703" s="4" t="str">
        <f>IFERROR(__xludf.DUMMYFUNCTION("""COMPUTED_VALUE"""),"31ec60f4-3c46-4c68-bae1-e4d13dc6e8c6")</f>
        <v>31ec60f4-3c46-4c68-bae1-e4d13dc6e8c6</v>
      </c>
      <c r="I703" s="4" t="str">
        <f>IFERROR(__xludf.DUMMYFUNCTION("""COMPUTED_VALUE"""),"31ec60f4-3c46-4c68-bae1-e4d13dc6e8c6")</f>
        <v>31ec60f4-3c46-4c68-bae1-e4d13dc6e8c6</v>
      </c>
    </row>
    <row r="704">
      <c r="A704" s="4" t="str">
        <f>IFERROR(__xludf.DUMMYFUNCTION("""COMPUTED_VALUE"""),"Perspective from The White House")</f>
        <v>Perspective from The White House</v>
      </c>
      <c r="B704" s="4" t="str">
        <f>IFERROR(__xludf.DUMMYFUNCTION("""COMPUTED_VALUE"""),"Hear from President Trump’s top technology policy advisor and CTO of the United States, Michael Kratsios.")</f>
        <v>Hear from President Trump’s top technology policy advisor and CTO of the United States, Michael Kratsios.</v>
      </c>
      <c r="C704" s="4" t="str">
        <f>IFERROR(__xludf.DUMMYFUNCTION("""COMPUTED_VALUE"""),"Centre Stage")</f>
        <v>Centre Stage</v>
      </c>
      <c r="D704" s="4" t="str">
        <f>IFERROR(__xludf.DUMMYFUNCTION("""COMPUTED_VALUE"""),"Michael Kratsios")</f>
        <v>Michael Kratsios</v>
      </c>
      <c r="E704" s="4" t="str">
        <f>IFERROR(__xludf.DUMMYFUNCTION("""COMPUTED_VALUE"""),"Michael Kratsios")</f>
        <v>Michael Kratsios</v>
      </c>
      <c r="F704" s="4" t="str">
        <f>IFERROR(__xludf.DUMMYFUNCTION("""COMPUTED_VALUE"""),"2019/11/07 15:35:00")</f>
        <v>2019/11/07 15:35:00</v>
      </c>
      <c r="G704" s="4" t="str">
        <f>IFERROR(__xludf.DUMMYFUNCTION("""COMPUTED_VALUE"""),"2019/11/07 16:00:00")</f>
        <v>2019/11/07 16:00:00</v>
      </c>
      <c r="H704" s="4" t="str">
        <f>IFERROR(__xludf.DUMMYFUNCTION("""COMPUTED_VALUE"""),"b7b8c823-da5d-43a2-8798-71f90d2d18d3")</f>
        <v>b7b8c823-da5d-43a2-8798-71f90d2d18d3</v>
      </c>
      <c r="I704" s="4" t="str">
        <f>IFERROR(__xludf.DUMMYFUNCTION("""COMPUTED_VALUE"""),"b7b8c823-da5d-43a2-8798-71f90d2d18d3")</f>
        <v>b7b8c823-da5d-43a2-8798-71f90d2d18d3</v>
      </c>
    </row>
    <row r="705">
      <c r="A705" s="4" t="str">
        <f>IFERROR(__xludf.DUMMYFUNCTION("""COMPUTED_VALUE"""),"Design without borders: The future of globalisation and the industry")</f>
        <v>Design without borders: The future of globalisation and the industry</v>
      </c>
      <c r="B705" s="4" t="str">
        <f>IFERROR(__xludf.DUMMYFUNCTION("""COMPUTED_VALUE"""),"Like it or not, designers are tied to globalisation. They have no choice but to understand the link between the economic, social, cultural and political implications of globalisation on society, and on our professional situations. Join the discussion as o"&amp;"ur panel debate what it truly means to be part of a borderless design industry.")</f>
        <v>Like it or not, designers are tied to globalisation. They have no choice but to understand the link between the economic, social, cultural and political implications of globalisation on society, and on our professional situations. Join the discussion as our panel debate what it truly means to be part of a borderless design industry.</v>
      </c>
      <c r="C705" s="4" t="str">
        <f>IFERROR(__xludf.DUMMYFUNCTION("""COMPUTED_VALUE"""),"creatiff")</f>
        <v>creatiff</v>
      </c>
      <c r="D705" s="4" t="str">
        <f>IFERROR(__xludf.DUMMYFUNCTION("""COMPUTED_VALUE"""),"Patrick Llewellyn, Rosanne Somerson, Tim Kobe, Charlie Smith and Erika Allen")</f>
        <v>Patrick Llewellyn, Rosanne Somerson, Tim Kobe, Charlie Smith and Erika Allen</v>
      </c>
      <c r="E705" s="4" t="str">
        <f>IFERROR(__xludf.DUMMYFUNCTION("""COMPUTED_VALUE"""),"Patrick Llewellyn,Rosanne Somerson,Tim Kobe,Charlie Smith,Erika Allen")</f>
        <v>Patrick Llewellyn,Rosanne Somerson,Tim Kobe,Charlie Smith,Erika Allen</v>
      </c>
      <c r="F705" s="4" t="str">
        <f>IFERROR(__xludf.DUMMYFUNCTION("""COMPUTED_VALUE"""),"2019/11/05 15:15:00")</f>
        <v>2019/11/05 15:15:00</v>
      </c>
      <c r="G705" s="4" t="str">
        <f>IFERROR(__xludf.DUMMYFUNCTION("""COMPUTED_VALUE"""),"2019/11/05 15:40:00")</f>
        <v>2019/11/05 15:40:00</v>
      </c>
      <c r="H705" s="4" t="str">
        <f>IFERROR(__xludf.DUMMYFUNCTION("""COMPUTED_VALUE"""),"2d100e0d-79ae-4018-aea8-ce7b4f8967bf")</f>
        <v>2d100e0d-79ae-4018-aea8-ce7b4f8967bf</v>
      </c>
      <c r="I705" s="4" t="str">
        <f>IFERROR(__xludf.DUMMYFUNCTION("""COMPUTED_VALUE"""),"2d100e0d-79ae-4018-aea8-ce7b4f8967bf")</f>
        <v>2d100e0d-79ae-4018-aea8-ce7b4f8967bf</v>
      </c>
    </row>
    <row r="706">
      <c r="A706" s="4" t="str">
        <f>IFERROR(__xludf.DUMMYFUNCTION("""COMPUTED_VALUE"""),"Taxi point")</f>
        <v>Taxi point</v>
      </c>
      <c r="B706" s="4" t="str">
        <f>IFERROR(__xludf.DUMMYFUNCTION("""COMPUTED_VALUE"""),"")</f>
        <v/>
      </c>
      <c r="C706" s="4" t="str">
        <f>IFERROR(__xludf.DUMMYFUNCTION("""COMPUTED_VALUE"""),"Taxi drop off - Nov 6")</f>
        <v>Taxi drop off - Nov 6</v>
      </c>
      <c r="D706" s="4" t="str">
        <f>IFERROR(__xludf.DUMMYFUNCTION("""COMPUTED_VALUE"""),"")</f>
        <v/>
      </c>
      <c r="E706" s="4" t="str">
        <f>IFERROR(__xludf.DUMMYFUNCTION("""COMPUTED_VALUE"""),"")</f>
        <v/>
      </c>
      <c r="F706" s="4" t="str">
        <f>IFERROR(__xludf.DUMMYFUNCTION("""COMPUTED_VALUE"""),"2019/11/06 20:01:00")</f>
        <v>2019/11/06 20:01:00</v>
      </c>
      <c r="G706" s="4" t="str">
        <f>IFERROR(__xludf.DUMMYFUNCTION("""COMPUTED_VALUE"""),"2019/11/07 01:59:00")</f>
        <v>2019/11/07 01:59:00</v>
      </c>
      <c r="H706" s="4" t="str">
        <f>IFERROR(__xludf.DUMMYFUNCTION("""COMPUTED_VALUE"""),"3ffecb71-049c-417a-aee5-1ea2785787de")</f>
        <v>3ffecb71-049c-417a-aee5-1ea2785787de</v>
      </c>
      <c r="I706" s="4" t="str">
        <f>IFERROR(__xludf.DUMMYFUNCTION("""COMPUTED_VALUE"""),"3ffecb71-049c-417a-aee5-1ea2785787de")</f>
        <v>3ffecb71-049c-417a-aee5-1ea2785787de</v>
      </c>
    </row>
    <row r="707">
      <c r="A707" s="4" t="str">
        <f>IFERROR(__xludf.DUMMYFUNCTION("""COMPUTED_VALUE"""),"How space-based networks will bring internet to the world")</f>
        <v>How space-based networks will bring internet to the world</v>
      </c>
      <c r="B707" s="4" t="str">
        <f>IFERROR(__xludf.DUMMYFUNCTION("""COMPUTED_VALUE"""),"OneWeb has caught the world's attention with their mini satellites. By 2021, they will serve as a 'space-based' mobile network, enabling coverage for all rural areas around the world. Adrian Steckel, the CEO of this pioneering startup, will speak about th"&amp;"e direction they are taking and the revolutionary, ground breaking technology they are using to execute high-speed 5G connectivity.")</f>
        <v>OneWeb has caught the world's attention with their mini satellites. By 2021, they will serve as a 'space-based' mobile network, enabling coverage for all rural areas around the world. Adrian Steckel, the CEO of this pioneering startup, will speak about the direction they are taking and the revolutionary, ground breaking technology they are using to execute high-speed 5G connectivity.</v>
      </c>
      <c r="C707" s="4" t="str">
        <f>IFERROR(__xludf.DUMMYFUNCTION("""COMPUTED_VALUE"""),"SaaS Monster")</f>
        <v>SaaS Monster</v>
      </c>
      <c r="D707" s="4" t="str">
        <f>IFERROR(__xludf.DUMMYFUNCTION("""COMPUTED_VALUE"""),"Adrián Steckel and Kit Eaton")</f>
        <v>Adrián Steckel and Kit Eaton</v>
      </c>
      <c r="E707" s="4" t="str">
        <f>IFERROR(__xludf.DUMMYFUNCTION("""COMPUTED_VALUE"""),"Adrián Steckel,Kit Eaton")</f>
        <v>Adrián Steckel,Kit Eaton</v>
      </c>
      <c r="F707" s="4" t="str">
        <f>IFERROR(__xludf.DUMMYFUNCTION("""COMPUTED_VALUE"""),"2019/11/05 13:25:00")</f>
        <v>2019/11/05 13:25:00</v>
      </c>
      <c r="G707" s="4" t="str">
        <f>IFERROR(__xludf.DUMMYFUNCTION("""COMPUTED_VALUE"""),"2019/11/05 13:45:00")</f>
        <v>2019/11/05 13:45:00</v>
      </c>
      <c r="H707" s="4" t="str">
        <f>IFERROR(__xludf.DUMMYFUNCTION("""COMPUTED_VALUE"""),"e5258c6a-52bb-4c7a-aa67-b539a898d668")</f>
        <v>e5258c6a-52bb-4c7a-aa67-b539a898d668</v>
      </c>
      <c r="I707" s="4" t="str">
        <f>IFERROR(__xludf.DUMMYFUNCTION("""COMPUTED_VALUE"""),"e5258c6a-52bb-4c7a-aa67-b539a898d668")</f>
        <v>e5258c6a-52bb-4c7a-aa67-b539a898d668</v>
      </c>
    </row>
    <row r="708">
      <c r="A708" s="4" t="str">
        <f>IFERROR(__xludf.DUMMYFUNCTION("""COMPUTED_VALUE"""),"Q&amp;A Session with Mohen Leo")</f>
        <v>Q&amp;A Session with Mohen Leo</v>
      </c>
      <c r="B708" s="4" t="str">
        <f>IFERROR(__xludf.DUMMYFUNCTION("""COMPUTED_VALUE"""),"")</f>
        <v/>
      </c>
      <c r="C708" s="4" t="str">
        <f>IFERROR(__xludf.DUMMYFUNCTION("""COMPUTED_VALUE"""),"Q + A")</f>
        <v>Q + A</v>
      </c>
      <c r="D708" s="4" t="str">
        <f>IFERROR(__xludf.DUMMYFUNCTION("""COMPUTED_VALUE"""),"Mohen Leo")</f>
        <v>Mohen Leo</v>
      </c>
      <c r="E708" s="4" t="str">
        <f>IFERROR(__xludf.DUMMYFUNCTION("""COMPUTED_VALUE"""),"Mohen Leo")</f>
        <v>Mohen Leo</v>
      </c>
      <c r="F708" s="4" t="str">
        <f>IFERROR(__xludf.DUMMYFUNCTION("""COMPUTED_VALUE"""),"2019/11/06 14:00:00")</f>
        <v>2019/11/06 14:00:00</v>
      </c>
      <c r="G708" s="4" t="str">
        <f>IFERROR(__xludf.DUMMYFUNCTION("""COMPUTED_VALUE"""),"2019/11/06 14:15:00")</f>
        <v>2019/11/06 14:15:00</v>
      </c>
      <c r="H708" s="4" t="str">
        <f>IFERROR(__xludf.DUMMYFUNCTION("""COMPUTED_VALUE"""),"19686fc8-119c-4d5e-8d2c-ef310733db68")</f>
        <v>19686fc8-119c-4d5e-8d2c-ef310733db68</v>
      </c>
      <c r="I708" s="4" t="str">
        <f>IFERROR(__xludf.DUMMYFUNCTION("""COMPUTED_VALUE"""),"19686fc8-119c-4d5e-8d2c-ef310733db68")</f>
        <v>19686fc8-119c-4d5e-8d2c-ef310733db68</v>
      </c>
    </row>
    <row r="709">
      <c r="A709" s="4" t="str">
        <f>IFERROR(__xludf.DUMMYFUNCTION("""COMPUTED_VALUE"""),"Content IP and how to leverage")</f>
        <v>Content IP and how to leverage</v>
      </c>
      <c r="B709" s="4" t="str">
        <f>IFERROR(__xludf.DUMMYFUNCTION("""COMPUTED_VALUE"""),"How can content creators, platforms and broadcasters create new markets and revenue streams from leveraging their IP?")</f>
        <v>How can content creators, platforms and broadcasters create new markets and revenue streams from leveraging their IP?</v>
      </c>
      <c r="C709" s="4" t="str">
        <f>IFERROR(__xludf.DUMMYFUNCTION("""COMPUTED_VALUE"""),"ContentMakers")</f>
        <v>ContentMakers</v>
      </c>
      <c r="D709" s="4" t="str">
        <f>IFERROR(__xludf.DUMMYFUNCTION("""COMPUTED_VALUE"""),"Wim Ponnet")</f>
        <v>Wim Ponnet</v>
      </c>
      <c r="E709" s="4" t="str">
        <f>IFERROR(__xludf.DUMMYFUNCTION("""COMPUTED_VALUE"""),"Wim Ponnet")</f>
        <v>Wim Ponnet</v>
      </c>
      <c r="F709" s="4" t="str">
        <f>IFERROR(__xludf.DUMMYFUNCTION("""COMPUTED_VALUE"""),"2019/11/07 15:40:00")</f>
        <v>2019/11/07 15:40:00</v>
      </c>
      <c r="G709" s="4" t="str">
        <f>IFERROR(__xludf.DUMMYFUNCTION("""COMPUTED_VALUE"""),"2019/11/07 15:55:00")</f>
        <v>2019/11/07 15:55:00</v>
      </c>
      <c r="H709" s="4" t="str">
        <f>IFERROR(__xludf.DUMMYFUNCTION("""COMPUTED_VALUE"""),"babecf13-e60a-4772-aa3a-9ae45e5453dc")</f>
        <v>babecf13-e60a-4772-aa3a-9ae45e5453dc</v>
      </c>
      <c r="I709" s="4" t="str">
        <f>IFERROR(__xludf.DUMMYFUNCTION("""COMPUTED_VALUE"""),"babecf13-e60a-4772-aa3a-9ae45e5453dc")</f>
        <v>babecf13-e60a-4772-aa3a-9ae45e5453dc</v>
      </c>
    </row>
    <row r="710">
      <c r="A710" s="4" t="str">
        <f>IFERROR(__xludf.DUMMYFUNCTION("""COMPUTED_VALUE"""),"Helping robots to make smarter decisions")</f>
        <v>Helping robots to make smarter decisions</v>
      </c>
      <c r="B710" s="4" t="str">
        <f>IFERROR(__xludf.DUMMYFUNCTION("""COMPUTED_VALUE"""),"How can we train our robots to make the right call every time? Are they as smart as we once thought?")</f>
        <v>How can we train our robots to make the right call every time? Are they as smart as we once thought?</v>
      </c>
      <c r="C710" s="4" t="str">
        <f>IFERROR(__xludf.DUMMYFUNCTION("""COMPUTED_VALUE"""),"Auto/Tech &amp; TalkRobot")</f>
        <v>Auto/Tech &amp; TalkRobot</v>
      </c>
      <c r="D710" s="4" t="str">
        <f>IFERROR(__xludf.DUMMYFUNCTION("""COMPUTED_VALUE"""),"Dor Skuler, Patrick Sobalvarro and Eamonn Carey")</f>
        <v>Dor Skuler, Patrick Sobalvarro and Eamonn Carey</v>
      </c>
      <c r="E710" s="4" t="str">
        <f>IFERROR(__xludf.DUMMYFUNCTION("""COMPUTED_VALUE"""),"Dor Skuler,Patrick Sobalvarro,Eamonn Carey")</f>
        <v>Dor Skuler,Patrick Sobalvarro,Eamonn Carey</v>
      </c>
      <c r="F710" s="4" t="str">
        <f>IFERROR(__xludf.DUMMYFUNCTION("""COMPUTED_VALUE"""),"2019/11/07 14:00:00")</f>
        <v>2019/11/07 14:00:00</v>
      </c>
      <c r="G710" s="4" t="str">
        <f>IFERROR(__xludf.DUMMYFUNCTION("""COMPUTED_VALUE"""),"2019/11/07 14:15:00")</f>
        <v>2019/11/07 14:15:00</v>
      </c>
      <c r="H710" s="4" t="str">
        <f>IFERROR(__xludf.DUMMYFUNCTION("""COMPUTED_VALUE"""),"e8988775-c079-450b-b1e7-61849bb48a62")</f>
        <v>e8988775-c079-450b-b1e7-61849bb48a62</v>
      </c>
      <c r="I710" s="4" t="str">
        <f>IFERROR(__xludf.DUMMYFUNCTION("""COMPUTED_VALUE"""),"e8988775-c079-450b-b1e7-61849bb48a62")</f>
        <v>e8988775-c079-450b-b1e7-61849bb48a62</v>
      </c>
    </row>
    <row r="711">
      <c r="A711" s="4" t="str">
        <f>IFERROR(__xludf.DUMMYFUNCTION("""COMPUTED_VALUE"""),"Google and sustainability: The role of technology in climate action")</f>
        <v>Google and sustainability: The role of technology in climate action</v>
      </c>
      <c r="B711" s="4" t="str">
        <f>IFERROR(__xludf.DUMMYFUNCTION("""COMPUTED_VALUE"""),"")</f>
        <v/>
      </c>
      <c r="C711" s="4" t="str">
        <f>IFERROR(__xludf.DUMMYFUNCTION("""COMPUTED_VALUE"""),"")</f>
        <v/>
      </c>
      <c r="D711" s="4" t="str">
        <f>IFERROR(__xludf.DUMMYFUNCTION("""COMPUTED_VALUE"""),"Kate Brandt")</f>
        <v>Kate Brandt</v>
      </c>
      <c r="E711" s="4" t="str">
        <f>IFERROR(__xludf.DUMMYFUNCTION("""COMPUTED_VALUE"""),"Kate Brandt")</f>
        <v>Kate Brandt</v>
      </c>
      <c r="F711" s="4" t="str">
        <f>IFERROR(__xludf.DUMMYFUNCTION("""COMPUTED_VALUE"""),"")</f>
        <v/>
      </c>
      <c r="G711" s="4" t="str">
        <f>IFERROR(__xludf.DUMMYFUNCTION("""COMPUTED_VALUE"""),"")</f>
        <v/>
      </c>
      <c r="H711" s="4" t="str">
        <f>IFERROR(__xludf.DUMMYFUNCTION("""COMPUTED_VALUE"""),"a0ef7db0-2b83-55cf-9ea0-3c711f3e54d5")</f>
        <v>a0ef7db0-2b83-55cf-9ea0-3c711f3e54d5</v>
      </c>
      <c r="I711" s="4" t="str">
        <f>IFERROR(__xludf.DUMMYFUNCTION("""COMPUTED_VALUE"""),"a0ef7db0-2b83-55cf-9ea0-3c711f3e54d5")</f>
        <v>a0ef7db0-2b83-55cf-9ea0-3c711f3e54d5</v>
      </c>
    </row>
    <row r="712">
      <c r="A712" s="4" t="str">
        <f>IFERROR(__xludf.DUMMYFUNCTION("""COMPUTED_VALUE"""),"Opening remarks")</f>
        <v>Opening remarks</v>
      </c>
      <c r="B712" s="4" t="str">
        <f>IFERROR(__xludf.DUMMYFUNCTION("""COMPUTED_VALUE"""),"")</f>
        <v/>
      </c>
      <c r="C712" s="4" t="str">
        <f>IFERROR(__xludf.DUMMYFUNCTION("""COMPUTED_VALUE"""),"FullSTK")</f>
        <v>FullSTK</v>
      </c>
      <c r="D712" s="4" t="str">
        <f>IFERROR(__xludf.DUMMYFUNCTION("""COMPUTED_VALUE"""),"Bas Wouterse")</f>
        <v>Bas Wouterse</v>
      </c>
      <c r="E712" s="4" t="str">
        <f>IFERROR(__xludf.DUMMYFUNCTION("""COMPUTED_VALUE"""),"Bas Wouterse")</f>
        <v>Bas Wouterse</v>
      </c>
      <c r="F712" s="4" t="str">
        <f>IFERROR(__xludf.DUMMYFUNCTION("""COMPUTED_VALUE"""),"2019/11/07 11:00:00")</f>
        <v>2019/11/07 11:00:00</v>
      </c>
      <c r="G712" s="4" t="str">
        <f>IFERROR(__xludf.DUMMYFUNCTION("""COMPUTED_VALUE"""),"2019/11/07 11:15:00")</f>
        <v>2019/11/07 11:15:00</v>
      </c>
      <c r="H712" s="4" t="str">
        <f>IFERROR(__xludf.DUMMYFUNCTION("""COMPUTED_VALUE"""),"0139e1ca-73b2-48c4-8c1a-10e9559eac8c")</f>
        <v>0139e1ca-73b2-48c4-8c1a-10e9559eac8c</v>
      </c>
      <c r="I712" s="4" t="str">
        <f>IFERROR(__xludf.DUMMYFUNCTION("""COMPUTED_VALUE"""),"0139e1ca-73b2-48c4-8c1a-10e9559eac8c")</f>
        <v>0139e1ca-73b2-48c4-8c1a-10e9559eac8c</v>
      </c>
    </row>
    <row r="713">
      <c r="A713" s="4" t="str">
        <f>IFERROR(__xludf.DUMMYFUNCTION("""COMPUTED_VALUE"""),"Space within your reach: How micro-satellites will democratise the way we use space")</f>
        <v>Space within your reach: How micro-satellites will democratise the way we use space</v>
      </c>
      <c r="B713" s="4" t="str">
        <f>IFERROR(__xludf.DUMMYFUNCTION("""COMPUTED_VALUE"""),"CEO of Axelspace, Yuya will outline how the company’s micro-satellite technology can extract various business insights from such a huge database of our planet, benefiting a wide range of industries such as agriculture, urban planning, area marketing, and "&amp;"asset management.")</f>
        <v>CEO of Axelspace, Yuya will outline how the company’s micro-satellite technology can extract various business insights from such a huge database of our planet, benefiting a wide range of industries such as agriculture, urban planning, area marketing, and asset management.</v>
      </c>
      <c r="C713" s="4" t="str">
        <f>IFERROR(__xludf.DUMMYFUNCTION("""COMPUTED_VALUE"""),"Growth Summit")</f>
        <v>Growth Summit</v>
      </c>
      <c r="D713" s="4" t="str">
        <f>IFERROR(__xludf.DUMMYFUNCTION("""COMPUTED_VALUE"""),"Yuya Nakamura")</f>
        <v>Yuya Nakamura</v>
      </c>
      <c r="E713" s="4" t="str">
        <f>IFERROR(__xludf.DUMMYFUNCTION("""COMPUTED_VALUE"""),"Yuya Nakamura")</f>
        <v>Yuya Nakamura</v>
      </c>
      <c r="F713" s="4" t="str">
        <f>IFERROR(__xludf.DUMMYFUNCTION("""COMPUTED_VALUE"""),"2019/11/07 14:09:00")</f>
        <v>2019/11/07 14:09:00</v>
      </c>
      <c r="G713" s="4" t="str">
        <f>IFERROR(__xludf.DUMMYFUNCTION("""COMPUTED_VALUE"""),"2019/11/07 14:20:00")</f>
        <v>2019/11/07 14:20:00</v>
      </c>
      <c r="H713" s="4" t="str">
        <f>IFERROR(__xludf.DUMMYFUNCTION("""COMPUTED_VALUE"""),"a347aa86-5ab9-4875-ac16-e6900d8dd0c0")</f>
        <v>a347aa86-5ab9-4875-ac16-e6900d8dd0c0</v>
      </c>
      <c r="I713" s="4" t="str">
        <f>IFERROR(__xludf.DUMMYFUNCTION("""COMPUTED_VALUE"""),"a347aa86-5ab9-4875-ac16-e6900d8dd0c0")</f>
        <v>a347aa86-5ab9-4875-ac16-e6900d8dd0c0</v>
      </c>
    </row>
    <row r="714">
      <c r="A714" s="4" t="str">
        <f>IFERROR(__xludf.DUMMYFUNCTION("""COMPUTED_VALUE"""),"Anticipating trends in customer experience ")</f>
        <v>Anticipating trends in customer experience </v>
      </c>
      <c r="B714" s="4" t="str">
        <f>IFERROR(__xludf.DUMMYFUNCTION("""COMPUTED_VALUE"""),"How long does it take to implement a big change in customer experience for a global company? This panel welcomes leaders of multinational giants to discuss how they get to know their customers and what measures they take to make sure they're always one st"&amp;"ep ahead. ")</f>
        <v>How long does it take to implement a big change in customer experience for a global company? This panel welcomes leaders of multinational giants to discuss how they get to know their customers and what measures they take to make sure they're always one step ahead. </v>
      </c>
      <c r="C714" s="4" t="str">
        <f>IFERROR(__xludf.DUMMYFUNCTION("""COMPUTED_VALUE"""),"Corporate Innovation Summit")</f>
        <v>Corporate Innovation Summit</v>
      </c>
      <c r="D714" s="4" t="str">
        <f>IFERROR(__xludf.DUMMYFUNCTION("""COMPUTED_VALUE"""),"John Gordon, Nico Gabriel, Olaf Lorenz and Britta Muzyk-Tikovsky")</f>
        <v>John Gordon, Nico Gabriel, Olaf Lorenz and Britta Muzyk-Tikovsky</v>
      </c>
      <c r="E714" s="4" t="str">
        <f>IFERROR(__xludf.DUMMYFUNCTION("""COMPUTED_VALUE"""),"John Gordon,Nico Gabriel,Olaf Lorenz,Britta Muzyk-Tikovsky")</f>
        <v>John Gordon,Nico Gabriel,Olaf Lorenz,Britta Muzyk-Tikovsky</v>
      </c>
      <c r="F714" s="4" t="str">
        <f>IFERROR(__xludf.DUMMYFUNCTION("""COMPUTED_VALUE"""),"2019/11/07 12:00:00")</f>
        <v>2019/11/07 12:00:00</v>
      </c>
      <c r="G714" s="4" t="str">
        <f>IFERROR(__xludf.DUMMYFUNCTION("""COMPUTED_VALUE"""),"2019/11/07 12:20:00")</f>
        <v>2019/11/07 12:20:00</v>
      </c>
      <c r="H714" s="4" t="str">
        <f>IFERROR(__xludf.DUMMYFUNCTION("""COMPUTED_VALUE"""),"47f41f93-87ac-4ab1-a655-3b32624dff1b")</f>
        <v>47f41f93-87ac-4ab1-a655-3b32624dff1b</v>
      </c>
      <c r="I714" s="4" t="str">
        <f>IFERROR(__xludf.DUMMYFUNCTION("""COMPUTED_VALUE"""),"47f41f93-87ac-4ab1-a655-3b32624dff1b")</f>
        <v>47f41f93-87ac-4ab1-a655-3b32624dff1b</v>
      </c>
    </row>
    <row r="715">
      <c r="A715" s="4" t="str">
        <f>IFERROR(__xludf.DUMMYFUNCTION("""COMPUTED_VALUE"""),"The marketeer making burgers king")</f>
        <v>The marketeer making burgers king</v>
      </c>
      <c r="B715" s="4" t="str">
        <f>IFERROR(__xludf.DUMMYFUNCTION("""COMPUTED_VALUE"""),"What if marketers treated creativity as a competitive advantage? What results would brands be able to achieve? As the relationship between brands and people evolves, fuelled by rapidly changing technology, it's easy to confuse what's here to stay and what"&amp;"'s just noise. Burger King's marketing mastermind shares lessons from the campaign frontlines.")</f>
        <v>What if marketers treated creativity as a competitive advantage? What results would brands be able to achieve? As the relationship between brands and people evolves, fuelled by rapidly changing technology, it's easy to confuse what's here to stay and what's just noise. Burger King's marketing mastermind shares lessons from the campaign frontlines.</v>
      </c>
      <c r="C715" s="4" t="str">
        <f>IFERROR(__xludf.DUMMYFUNCTION("""COMPUTED_VALUE"""),"PandaConf")</f>
        <v>PandaConf</v>
      </c>
      <c r="D715" s="4" t="str">
        <f>IFERROR(__xludf.DUMMYFUNCTION("""COMPUTED_VALUE"""),"Fernando Machado")</f>
        <v>Fernando Machado</v>
      </c>
      <c r="E715" s="4" t="str">
        <f>IFERROR(__xludf.DUMMYFUNCTION("""COMPUTED_VALUE"""),"Fernando Machado")</f>
        <v>Fernando Machado</v>
      </c>
      <c r="F715" s="4" t="str">
        <f>IFERROR(__xludf.DUMMYFUNCTION("""COMPUTED_VALUE"""),"2019/11/07 11:00:00")</f>
        <v>2019/11/07 11:00:00</v>
      </c>
      <c r="G715" s="4" t="str">
        <f>IFERROR(__xludf.DUMMYFUNCTION("""COMPUTED_VALUE"""),"2019/11/07 11:25:00")</f>
        <v>2019/11/07 11:25:00</v>
      </c>
      <c r="H715" s="4" t="str">
        <f>IFERROR(__xludf.DUMMYFUNCTION("""COMPUTED_VALUE"""),"f2a418d4-8fab-4544-a203-4fdcb2822bd4")</f>
        <v>f2a418d4-8fab-4544-a203-4fdcb2822bd4</v>
      </c>
      <c r="I715" s="4" t="str">
        <f>IFERROR(__xludf.DUMMYFUNCTION("""COMPUTED_VALUE"""),"f2a418d4-8fab-4544-a203-4fdcb2822bd4")</f>
        <v>f2a418d4-8fab-4544-a203-4fdcb2822bd4</v>
      </c>
    </row>
    <row r="716">
      <c r="A716" s="4" t="str">
        <f>IFERROR(__xludf.DUMMYFUNCTION("""COMPUTED_VALUE"""),"Building products at the frontier: Bridging the gap with high and low tech solutions")</f>
        <v>Building products at the frontier: Bridging the gap with high and low tech solutions</v>
      </c>
      <c r="B716" s="4" t="str">
        <f>IFERROR(__xludf.DUMMYFUNCTION("""COMPUTED_VALUE"""),"What we've learned about building products in frontier markets in Africa, with practical strategies for organising local product and engineering teams.")</f>
        <v>What we've learned about building products in frontier markets in Africa, with practical strategies for organising local product and engineering teams.</v>
      </c>
      <c r="C716" s="4" t="str">
        <f>IFERROR(__xludf.DUMMYFUNCTION("""COMPUTED_VALUE"""),"Growth Summit")</f>
        <v>Growth Summit</v>
      </c>
      <c r="D716" s="4" t="str">
        <f>IFERROR(__xludf.DUMMYFUNCTION("""COMPUTED_VALUE"""),"Jean-Claude Homawoo")</f>
        <v>Jean-Claude Homawoo</v>
      </c>
      <c r="E716" s="4" t="str">
        <f>IFERROR(__xludf.DUMMYFUNCTION("""COMPUTED_VALUE"""),"Jean-Claude Homawoo")</f>
        <v>Jean-Claude Homawoo</v>
      </c>
      <c r="F716" s="4" t="str">
        <f>IFERROR(__xludf.DUMMYFUNCTION("""COMPUTED_VALUE"""),"2019/11/07 10:58:00")</f>
        <v>2019/11/07 10:58:00</v>
      </c>
      <c r="G716" s="4" t="str">
        <f>IFERROR(__xludf.DUMMYFUNCTION("""COMPUTED_VALUE"""),"2019/11/07 11:02:00")</f>
        <v>2019/11/07 11:02:00</v>
      </c>
      <c r="H716" s="4" t="str">
        <f>IFERROR(__xludf.DUMMYFUNCTION("""COMPUTED_VALUE"""),"e34be1ef-3b5c-4ade-93dd-02159e577b66")</f>
        <v>e34be1ef-3b5c-4ade-93dd-02159e577b66</v>
      </c>
      <c r="I716" s="4" t="str">
        <f>IFERROR(__xludf.DUMMYFUNCTION("""COMPUTED_VALUE"""),"e34be1ef-3b5c-4ade-93dd-02159e577b66")</f>
        <v>e34be1ef-3b5c-4ade-93dd-02159e577b66</v>
      </c>
    </row>
    <row r="717">
      <c r="A717" s="4" t="str">
        <f>IFERROR(__xludf.DUMMYFUNCTION("""COMPUTED_VALUE"""),"Really starting from scratch: Tackling the zero data problem")</f>
        <v>Really starting from scratch: Tackling the zero data problem</v>
      </c>
      <c r="B717" s="4" t="str">
        <f>IFERROR(__xludf.DUMMYFUNCTION("""COMPUTED_VALUE"""),"CEO of Audio Analytic, Chris, will talk about the experience of starting an AI company that had to overcome the near-impossible – mapping the world of sounds. But with no suitable dataset available, the company first had to solve the zero data problem.")</f>
        <v>CEO of Audio Analytic, Chris, will talk about the experience of starting an AI company that had to overcome the near-impossible – mapping the world of sounds. But with no suitable dataset available, the company first had to solve the zero data problem.</v>
      </c>
      <c r="C717" s="4" t="str">
        <f>IFERROR(__xludf.DUMMYFUNCTION("""COMPUTED_VALUE"""),"Growth Summit")</f>
        <v>Growth Summit</v>
      </c>
      <c r="D717" s="4" t="str">
        <f>IFERROR(__xludf.DUMMYFUNCTION("""COMPUTED_VALUE"""),"Chris Mitchell")</f>
        <v>Chris Mitchell</v>
      </c>
      <c r="E717" s="4" t="str">
        <f>IFERROR(__xludf.DUMMYFUNCTION("""COMPUTED_VALUE"""),"Chris Mitchell")</f>
        <v>Chris Mitchell</v>
      </c>
      <c r="F717" s="4" t="str">
        <f>IFERROR(__xludf.DUMMYFUNCTION("""COMPUTED_VALUE"""),"2019/11/05 12:41:00")</f>
        <v>2019/11/05 12:41:00</v>
      </c>
      <c r="G717" s="4" t="str">
        <f>IFERROR(__xludf.DUMMYFUNCTION("""COMPUTED_VALUE"""),"2019/11/05 12:52:00")</f>
        <v>2019/11/05 12:52:00</v>
      </c>
      <c r="H717" s="4" t="str">
        <f>IFERROR(__xludf.DUMMYFUNCTION("""COMPUTED_VALUE"""),"7a88b902-368a-4acb-8f93-e3781ce9ab98")</f>
        <v>7a88b902-368a-4acb-8f93-e3781ce9ab98</v>
      </c>
      <c r="I717" s="4" t="str">
        <f>IFERROR(__xludf.DUMMYFUNCTION("""COMPUTED_VALUE"""),"7a88b902-368a-4acb-8f93-e3781ce9ab98")</f>
        <v>7a88b902-368a-4acb-8f93-e3781ce9ab98</v>
      </c>
    </row>
    <row r="718">
      <c r="A718" s="4" t="str">
        <f>IFERROR(__xludf.DUMMYFUNCTION("""COMPUTED_VALUE"""),"Top new smartphones on the market for Christmas 2019: Collection A")</f>
        <v>Top new smartphones on the market for Christmas 2019: Collection A</v>
      </c>
      <c r="B718" s="4" t="str">
        <f>IFERROR(__xludf.DUMMYFUNCTION("""COMPUTED_VALUE"""),"Are you looking to upgrade your phone with the latest smartphone on the market? Keaton Keller of Youtube channel TechSmartt, Jacklyn Dallas of Youtube channel NothingButTech and Tom Honeyands, of YouTube technology channel The Tech Chap, will review our f"&amp;"irst collection of top new arrivals on the market to help you decide. ")</f>
        <v>Are you looking to upgrade your phone with the latest smartphone on the market? Keaton Keller of Youtube channel TechSmartt, Jacklyn Dallas of Youtube channel NothingButTech and Tom Honeyands, of YouTube technology channel The Tech Chap, will review our first collection of top new arrivals on the market to help you decide. </v>
      </c>
      <c r="C718" s="4" t="str">
        <f>IFERROR(__xludf.DUMMYFUNCTION("""COMPUTED_VALUE"""),"UnBoxed")</f>
        <v>UnBoxed</v>
      </c>
      <c r="D718" s="4" t="str">
        <f>IFERROR(__xludf.DUMMYFUNCTION("""COMPUTED_VALUE"""),"Keaton Keller, Tom Honeyands, Jacklyn Dallas and Lindsey Turrentine")</f>
        <v>Keaton Keller, Tom Honeyands, Jacklyn Dallas and Lindsey Turrentine</v>
      </c>
      <c r="E718" s="4" t="str">
        <f>IFERROR(__xludf.DUMMYFUNCTION("""COMPUTED_VALUE"""),"Keaton Keller,Tom Honeyands,Jacklyn Dallas,Lindsey Turrentine")</f>
        <v>Keaton Keller,Tom Honeyands,Jacklyn Dallas,Lindsey Turrentine</v>
      </c>
      <c r="F718" s="4" t="str">
        <f>IFERROR(__xludf.DUMMYFUNCTION("""COMPUTED_VALUE"""),"2019/11/05 11:45:00")</f>
        <v>2019/11/05 11:45:00</v>
      </c>
      <c r="G718" s="4" t="str">
        <f>IFERROR(__xludf.DUMMYFUNCTION("""COMPUTED_VALUE"""),"2019/11/05 12:20:00")</f>
        <v>2019/11/05 12:20:00</v>
      </c>
      <c r="H718" s="4" t="str">
        <f>IFERROR(__xludf.DUMMYFUNCTION("""COMPUTED_VALUE"""),"03ad244e-f76e-4038-bbb3-c620dacf50a7")</f>
        <v>03ad244e-f76e-4038-bbb3-c620dacf50a7</v>
      </c>
      <c r="I718" s="4" t="str">
        <f>IFERROR(__xludf.DUMMYFUNCTION("""COMPUTED_VALUE"""),"03ad244e-f76e-4038-bbb3-c620dacf50a7")</f>
        <v>03ad244e-f76e-4038-bbb3-c620dacf50a7</v>
      </c>
    </row>
    <row r="719">
      <c r="A719" s="4" t="str">
        <f>IFERROR(__xludf.DUMMYFUNCTION("""COMPUTED_VALUE"""),"Startup Showcase")</f>
        <v>Startup Showcase</v>
      </c>
      <c r="B719" s="4" t="str">
        <f>IFERROR(__xludf.DUMMYFUNCTION("""COMPUTED_VALUE"""),"On this brand new stage, expect quickfire presentations where startups will showcase their solutions to the future's biggest challenges. This hour focuses on the future of retail, covering topics like customer engagement, personalised shopping experiences"&amp;", interactive retail, and ecommerce infrastructure.
")</f>
        <v>On this brand new stage, expect quickfire presentations where startups will showcase their solutions to the future's biggest challenges. This hour focuses on the future of retail, covering topics like customer engagement, personalised shopping experiences, interactive retail, and ecommerce infrastructure.
</v>
      </c>
      <c r="C719" s="4" t="str">
        <f>IFERROR(__xludf.DUMMYFUNCTION("""COMPUTED_VALUE"""),"Startup Showcase 3")</f>
        <v>Startup Showcase 3</v>
      </c>
      <c r="D719" s="4" t="str">
        <f>IFERROR(__xludf.DUMMYFUNCTION("""COMPUTED_VALUE"""),"Lais de Oliveira, Faissal Lachhab, Koohyun kwahk, Alberto Vecchi Junior, Ilya Zaytsev, Simon Hasenauer, Mikhail Nosov, steena sunyong lee, Artyom Perevedentsev, Enzo Duit, Sarah Divan, Todor Gigilev, Zubar Miah, Rayan Godoi, Alexander Krstulovic, Dina Kar"&amp;"akash, Fabio Bolsarini, Alexander Stefanciw, fernando menezes, Mollie Huckerby, Dino Magri, Stanislav Morozov, Jin Sung Kim, Gaston Ortiz, Karol Andruszków, Simone Hendriks, Wojtek Andruszków, Rinat Nafikov, Anna Blomdell, Faissal Lachhab, Corrado Rota, A"&amp;"ndreas Willgert, Matthias Pichler, Faissal Lachhab, Maria Kostina, RENAUD BADINA, Edward Lee, Veena Giridhar Gopal, Marijn Lems, Ozde Dereli, Seungsik Shin, Igor Khripkov, Louise Webber, Nicola Scagnolari, Andrea Losso, Cesar Almiñana, Tamam Nafikova, Jua"&amp;"n Martin Seijo, Onur Candan and JULIEN LENNE")</f>
        <v>Lais de Oliveira, Faissal Lachhab, Koohyun kwahk, Alberto Vecchi Junior, Ilya Zaytsev, Simon Hasenauer, Mikhail Nosov, steena sunyong lee, Artyom Perevedentsev, Enzo Duit, Sarah Divan, Todor Gigilev, Zubar Miah, Rayan Godoi, Alexander Krstulovic, Dina Karakash, Fabio Bolsarini, Alexander Stefanciw, fernando menezes, Mollie Huckerby, Dino Magri, Stanislav Morozov, Jin Sung Kim, Gaston Ortiz, Karol Andruszków, Simone Hendriks, Wojtek Andruszków, Rinat Nafikov, Anna Blomdell, Faissal Lachhab, Corrado Rota, Andreas Willgert, Matthias Pichler, Faissal Lachhab, Maria Kostina, RENAUD BADINA, Edward Lee, Veena Giridhar Gopal, Marijn Lems, Ozde Dereli, Seungsik Shin, Igor Khripkov, Louise Webber, Nicola Scagnolari, Andrea Losso, Cesar Almiñana, Tamam Nafikova, Juan Martin Seijo, Onur Candan and JULIEN LENNE</v>
      </c>
      <c r="E719" s="4" t="str">
        <f>IFERROR(__xludf.DUMMYFUNCTION("""COMPUTED_VALUE"""),"Lais de Oliveira,Faissal Lachhab,Koohyun kwahk,Alberto Vecchi Junior,Ilya Zaytsev,Simon Hasenauer,Mikhail Nosov,steena sunyong lee,Artyom Perevedentsev,Enzo Duit,Sarah Divan,Todor Gigilev,Zubar Miah,Rayan Godoi,Alexander Krstulovic,Dina Karakash,Fabio Bol"&amp;"sarini,Alexander Stefanciw,fernando menezes,Mollie Huckerby,Dino Magri,Stanislav Morozov,Jin Sung Kim,Gaston Ortiz,Karol Andruszków,Simone Hendriks,Wojtek Andruszków,Rinat Nafikov,Anna Blomdell,Faissal Lachhab,Corrado Rota,Andreas Willgert,Matthias Pichle"&amp;"r,Faissal Lachhab,Maria Kostina,RENAUD BADINA,Edward Lee,Veena Giridhar Gopal,Marijn Lems,Ozde Dereli,Seungsik Shin,Igor Khripkov,Louise Webber,Nicola Scagnolari,Andrea Losso,Cesar Almiñana,Tamam Nafikova,Juan Martin Seijo,Onur Candan,JULIEN LENNE")</f>
        <v>Lais de Oliveira,Faissal Lachhab,Koohyun kwahk,Alberto Vecchi Junior,Ilya Zaytsev,Simon Hasenauer,Mikhail Nosov,steena sunyong lee,Artyom Perevedentsev,Enzo Duit,Sarah Divan,Todor Gigilev,Zubar Miah,Rayan Godoi,Alexander Krstulovic,Dina Karakash,Fabio Bolsarini,Alexander Stefanciw,fernando menezes,Mollie Huckerby,Dino Magri,Stanislav Morozov,Jin Sung Kim,Gaston Ortiz,Karol Andruszków,Simone Hendriks,Wojtek Andruszków,Rinat Nafikov,Anna Blomdell,Faissal Lachhab,Corrado Rota,Andreas Willgert,Matthias Pichler,Faissal Lachhab,Maria Kostina,RENAUD BADINA,Edward Lee,Veena Giridhar Gopal,Marijn Lems,Ozde Dereli,Seungsik Shin,Igor Khripkov,Louise Webber,Nicola Scagnolari,Andrea Losso,Cesar Almiñana,Tamam Nafikova,Juan Martin Seijo,Onur Candan,JULIEN LENNE</v>
      </c>
      <c r="F719" s="4" t="str">
        <f>IFERROR(__xludf.DUMMYFUNCTION("""COMPUTED_VALUE"""),"2019/11/06 15:15:00")</f>
        <v>2019/11/06 15:15:00</v>
      </c>
      <c r="G719" s="4" t="str">
        <f>IFERROR(__xludf.DUMMYFUNCTION("""COMPUTED_VALUE"""),"2019/11/06 16:15:00")</f>
        <v>2019/11/06 16:15:00</v>
      </c>
      <c r="H719" s="4" t="str">
        <f>IFERROR(__xludf.DUMMYFUNCTION("""COMPUTED_VALUE"""),"f18877f0-130d-449c-aaac-7632ff73b584")</f>
        <v>f18877f0-130d-449c-aaac-7632ff73b584</v>
      </c>
      <c r="I719" s="4" t="str">
        <f>IFERROR(__xludf.DUMMYFUNCTION("""COMPUTED_VALUE"""),"f18877f0-130d-449c-aaac-7632ff73b584")</f>
        <v>f18877f0-130d-449c-aaac-7632ff73b584</v>
      </c>
    </row>
    <row r="720">
      <c r="A720" s="4" t="str">
        <f>IFERROR(__xludf.DUMMYFUNCTION("""COMPUTED_VALUE"""),"PITCH group round 4")</f>
        <v>PITCH group round 4</v>
      </c>
      <c r="B720" s="4" t="str">
        <f>IFERROR(__xludf.DUMMYFUNCTION("""COMPUTED_VALUE"""),"")</f>
        <v/>
      </c>
      <c r="C720" s="4" t="str">
        <f>IFERROR(__xludf.DUMMYFUNCTION("""COMPUTED_VALUE"""),"PITCH 1")</f>
        <v>PITCH 1</v>
      </c>
      <c r="D720" s="4" t="str">
        <f>IFERROR(__xludf.DUMMYFUNCTION("""COMPUTED_VALUE"""),"Rashmi Gopinath, Ramin Behzadi, Lais de Oliveira, Tanja Koch, Mário Guerreiro, Rui Barros, Alexey Kistenev, Mitchell Buhling, Sarah Merrick, Arif Abed, Karl Naim and Tanel Orro")</f>
        <v>Rashmi Gopinath, Ramin Behzadi, Lais de Oliveira, Tanja Koch, Mário Guerreiro, Rui Barros, Alexey Kistenev, Mitchell Buhling, Sarah Merrick, Arif Abed, Karl Naim and Tanel Orro</v>
      </c>
      <c r="E720" s="4" t="str">
        <f>IFERROR(__xludf.DUMMYFUNCTION("""COMPUTED_VALUE"""),"Rashmi Gopinath,Ramin Behzadi,Lais de Oliveira,Tanja Koch,Mário Guerreiro,Rui Barros,Alexey Kistenev,Mitchell Buhling,Sarah Merrick,Arif Abed,Karl Naim,Tanel Orro")</f>
        <v>Rashmi Gopinath,Ramin Behzadi,Lais de Oliveira,Tanja Koch,Mário Guerreiro,Rui Barros,Alexey Kistenev,Mitchell Buhling,Sarah Merrick,Arif Abed,Karl Naim,Tanel Orro</v>
      </c>
      <c r="F720" s="4" t="str">
        <f>IFERROR(__xludf.DUMMYFUNCTION("""COMPUTED_VALUE"""),"2019/11/05 10:15:00")</f>
        <v>2019/11/05 10:15:00</v>
      </c>
      <c r="G720" s="4" t="str">
        <f>IFERROR(__xludf.DUMMYFUNCTION("""COMPUTED_VALUE"""),"2019/11/05 11:15:00")</f>
        <v>2019/11/05 11:15:00</v>
      </c>
      <c r="H720" s="4" t="str">
        <f>IFERROR(__xludf.DUMMYFUNCTION("""COMPUTED_VALUE"""),"14548844-0060-4a5e-a32c-beedb6e77735")</f>
        <v>14548844-0060-4a5e-a32c-beedb6e77735</v>
      </c>
      <c r="I720" s="4" t="str">
        <f>IFERROR(__xludf.DUMMYFUNCTION("""COMPUTED_VALUE"""),"14548844-0060-4a5e-a32c-beedb6e77735")</f>
        <v>14548844-0060-4a5e-a32c-beedb6e77735</v>
      </c>
    </row>
    <row r="721">
      <c r="A721" s="4" t="str">
        <f>IFERROR(__xludf.DUMMYFUNCTION("""COMPUTED_VALUE"""),"PITCH group round 6")</f>
        <v>PITCH group round 6</v>
      </c>
      <c r="B721" s="4" t="str">
        <f>IFERROR(__xludf.DUMMYFUNCTION("""COMPUTED_VALUE"""),"")</f>
        <v/>
      </c>
      <c r="C721" s="4" t="str">
        <f>IFERROR(__xludf.DUMMYFUNCTION("""COMPUTED_VALUE"""),"")</f>
        <v/>
      </c>
      <c r="D721" s="4" t="str">
        <f>IFERROR(__xludf.DUMMYFUNCTION("""COMPUTED_VALUE"""),"Dennis Smith,  Miles Kirby,  Yancey Spruill,  Brendan Yell,  Paulo Pinho,  Tomasz Florczak,  Nuno Brito Jorge,  Jihye Roh,  Etienne Koo,  Hana Sutch and  Manuel Milliery
")</f>
        <v>Dennis Smith,  Miles Kirby,  Yancey Spruill,  Brendan Yell,  Paulo Pinho,  Tomasz Florczak,  Nuno Brito Jorge,  Jihye Roh,  Etienne Koo,  Hana Sutch and  Manuel Milliery
</v>
      </c>
      <c r="E721" s="4" t="str">
        <f>IFERROR(__xludf.DUMMYFUNCTION("""COMPUTED_VALUE"""),"Dennis Smith, Miles Kirby, Yancey Spruill, Brendan Yell, Paulo Pinho, Tomasz Florczak, Nuno Brito Jorge, Jihye Roh, Etienne Koo, Hana Sutch, Manuel Milliery
")</f>
        <v>Dennis Smith, Miles Kirby, Yancey Spruill, Brendan Yell, Paulo Pinho, Tomasz Florczak, Nuno Brito Jorge, Jihye Roh, Etienne Koo, Hana Sutch, Manuel Milliery
</v>
      </c>
      <c r="F721" s="4" t="str">
        <f>IFERROR(__xludf.DUMMYFUNCTION("""COMPUTED_VALUE"""),"")</f>
        <v/>
      </c>
      <c r="G721" s="4" t="str">
        <f>IFERROR(__xludf.DUMMYFUNCTION("""COMPUTED_VALUE"""),"")</f>
        <v/>
      </c>
      <c r="H721" s="4" t="str">
        <f>IFERROR(__xludf.DUMMYFUNCTION("""COMPUTED_VALUE"""),"4bdc3a1a-4b66-5e94-9403-0da41a38c3af")</f>
        <v>4bdc3a1a-4b66-5e94-9403-0da41a38c3af</v>
      </c>
      <c r="I721" s="4" t="str">
        <f>IFERROR(__xludf.DUMMYFUNCTION("""COMPUTED_VALUE"""),"4bdc3a1a-4b66-5e94-9403-0da41a38c3af")</f>
        <v>4bdc3a1a-4b66-5e94-9403-0da41a38c3af</v>
      </c>
    </row>
    <row r="722">
      <c r="A722" s="4" t="str">
        <f>IFERROR(__xludf.DUMMYFUNCTION("""COMPUTED_VALUE"""),"Health in space: The final frontier")</f>
        <v>Health in space: The final frontier</v>
      </c>
      <c r="B722" s="4" t="str">
        <f>IFERROR(__xludf.DUMMYFUNCTION("""COMPUTED_VALUE"""),"From prehistoric caves to martian colonies, how has human health and behaviour evolved, to make us the most successful species on the planet? And what will happen to human health in space?")</f>
        <v>From prehistoric caves to martian colonies, how has human health and behaviour evolved, to make us the most successful species on the planet? And what will happen to human health in space?</v>
      </c>
      <c r="C722" s="4" t="str">
        <f>IFERROR(__xludf.DUMMYFUNCTION("""COMPUTED_VALUE"""),"HealthConf")</f>
        <v>HealthConf</v>
      </c>
      <c r="D722" s="4" t="str">
        <f>IFERROR(__xludf.DUMMYFUNCTION("""COMPUTED_VALUE"""),"Scott Solomon, Marianne Brandon, Ian Robertson and Paul Nuki")</f>
        <v>Scott Solomon, Marianne Brandon, Ian Robertson and Paul Nuki</v>
      </c>
      <c r="E722" s="4" t="str">
        <f>IFERROR(__xludf.DUMMYFUNCTION("""COMPUTED_VALUE"""),"Scott Solomon,Marianne Brandon,Ian Robertson,Paul Nuki")</f>
        <v>Scott Solomon,Marianne Brandon,Ian Robertson,Paul Nuki</v>
      </c>
      <c r="F722" s="4" t="str">
        <f>IFERROR(__xludf.DUMMYFUNCTION("""COMPUTED_VALUE"""),"2019/11/07 11:20:00")</f>
        <v>2019/11/07 11:20:00</v>
      </c>
      <c r="G722" s="4" t="str">
        <f>IFERROR(__xludf.DUMMYFUNCTION("""COMPUTED_VALUE"""),"2019/11/07 11:45:00")</f>
        <v>2019/11/07 11:45:00</v>
      </c>
      <c r="H722" s="4" t="str">
        <f>IFERROR(__xludf.DUMMYFUNCTION("""COMPUTED_VALUE"""),"24a08ef0-0e20-4310-8911-e39a31e74ba7")</f>
        <v>24a08ef0-0e20-4310-8911-e39a31e74ba7</v>
      </c>
      <c r="I722" s="4" t="str">
        <f>IFERROR(__xludf.DUMMYFUNCTION("""COMPUTED_VALUE"""),"24a08ef0-0e20-4310-8911-e39a31e74ba7")</f>
        <v>24a08ef0-0e20-4310-8911-e39a31e74ba7</v>
      </c>
    </row>
    <row r="723">
      <c r="A723" s="4" t="str">
        <f>IFERROR(__xludf.DUMMYFUNCTION("""COMPUTED_VALUE"""),"Let's play: gaming in the auto industry")</f>
        <v>Let's play: gaming in the auto industry</v>
      </c>
      <c r="B723" s="4" t="str">
        <f>IFERROR(__xludf.DUMMYFUNCTION("""COMPUTED_VALUE"""),"ustwo has enjoyed success in the gaming industry with mobile hit Monument Valley and Apple Arcade exclusive Assemble With Care. What you might not know is that ustwo also has an Auto &amp; Mobility division that works with many OEMs and mobility providers on "&amp;"everything from in-car HMI to autonomous vehicle user experiences to audio-based wayfinding systems for people with vision impairment. Tim Smith, Global Auto &amp; Mobility Director at ustwo, talks about ustwo's perspective on play, its importance for learnin"&amp;"g and well-being, and how they apply that to the auto and mobility industry, showing off some of their most recent projects. ")</f>
        <v>ustwo has enjoyed success in the gaming industry with mobile hit Monument Valley and Apple Arcade exclusive Assemble With Care. What you might not know is that ustwo also has an Auto &amp; Mobility division that works with many OEMs and mobility providers on everything from in-car HMI to autonomous vehicle user experiences to audio-based wayfinding systems for people with vision impairment. Tim Smith, Global Auto &amp; Mobility Director at ustwo, talks about ustwo's perspective on play, its importance for learning and well-being, and how they apply that to the auto and mobility industry, showing off some of their most recent projects. </v>
      </c>
      <c r="C723" s="4" t="str">
        <f>IFERROR(__xludf.DUMMYFUNCTION("""COMPUTED_VALUE"""),"Auto/Tech &amp; TalkRobot")</f>
        <v>Auto/Tech &amp; TalkRobot</v>
      </c>
      <c r="D723" s="4" t="str">
        <f>IFERROR(__xludf.DUMMYFUNCTION("""COMPUTED_VALUE"""),"Tim Smith")</f>
        <v>Tim Smith</v>
      </c>
      <c r="E723" s="4" t="str">
        <f>IFERROR(__xludf.DUMMYFUNCTION("""COMPUTED_VALUE"""),"Tim Smith")</f>
        <v>Tim Smith</v>
      </c>
      <c r="F723" s="4" t="str">
        <f>IFERROR(__xludf.DUMMYFUNCTION("""COMPUTED_VALUE"""),"2019/11/05 11:20:00")</f>
        <v>2019/11/05 11:20:00</v>
      </c>
      <c r="G723" s="4" t="str">
        <f>IFERROR(__xludf.DUMMYFUNCTION("""COMPUTED_VALUE"""),"2019/11/05 11:40:00")</f>
        <v>2019/11/05 11:40:00</v>
      </c>
      <c r="H723" s="4" t="str">
        <f>IFERROR(__xludf.DUMMYFUNCTION("""COMPUTED_VALUE"""),"7e3f0b84-3f7c-4706-bad3-dc5adf4c32b7")</f>
        <v>7e3f0b84-3f7c-4706-bad3-dc5adf4c32b7</v>
      </c>
      <c r="I723" s="4" t="str">
        <f>IFERROR(__xludf.DUMMYFUNCTION("""COMPUTED_VALUE"""),"7e3f0b84-3f7c-4706-bad3-dc5adf4c32b7")</f>
        <v>7e3f0b84-3f7c-4706-bad3-dc5adf4c32b7</v>
      </c>
    </row>
    <row r="724">
      <c r="A724" s="4" t="str">
        <f>IFERROR(__xludf.DUMMYFUNCTION("""COMPUTED_VALUE"""),"How to win brands and influence people")</f>
        <v>How to win brands and influence people</v>
      </c>
      <c r="B724" s="4" t="str">
        <f>IFERROR(__xludf.DUMMYFUNCTION("""COMPUTED_VALUE"""),"Brands are turning to influencers in droves. It seems like the sky's the limit for this burgeoning market. Want to see how these master marketers work their magic? ")</f>
        <v>Brands are turning to influencers in droves. It seems like the sky's the limit for this burgeoning market. Want to see how these master marketers work their magic? </v>
      </c>
      <c r="C724" s="4" t="str">
        <f>IFERROR(__xludf.DUMMYFUNCTION("""COMPUTED_VALUE"""),"PandaConf")</f>
        <v>PandaConf</v>
      </c>
      <c r="D724" s="4" t="str">
        <f>IFERROR(__xludf.DUMMYFUNCTION("""COMPUTED_VALUE"""),"Charl Bassil, Ben Jeffries, Caspar Lee, Rachel Waller and Dima Khatib")</f>
        <v>Charl Bassil, Ben Jeffries, Caspar Lee, Rachel Waller and Dima Khatib</v>
      </c>
      <c r="E724" s="4" t="str">
        <f>IFERROR(__xludf.DUMMYFUNCTION("""COMPUTED_VALUE"""),"Charl Bassil,Ben Jeffries,Caspar Lee,Rachel Waller,Dima Khatib")</f>
        <v>Charl Bassil,Ben Jeffries,Caspar Lee,Rachel Waller,Dima Khatib</v>
      </c>
      <c r="F724" s="4" t="str">
        <f>IFERROR(__xludf.DUMMYFUNCTION("""COMPUTED_VALUE"""),"2019/11/07 15:35:00")</f>
        <v>2019/11/07 15:35:00</v>
      </c>
      <c r="G724" s="4" t="str">
        <f>IFERROR(__xludf.DUMMYFUNCTION("""COMPUTED_VALUE"""),"2019/11/07 16:05:00")</f>
        <v>2019/11/07 16:05:00</v>
      </c>
      <c r="H724" s="4" t="str">
        <f>IFERROR(__xludf.DUMMYFUNCTION("""COMPUTED_VALUE"""),"1ceaa5f2-b78b-4300-bac2-7756581469c8")</f>
        <v>1ceaa5f2-b78b-4300-bac2-7756581469c8</v>
      </c>
      <c r="I724" s="4" t="str">
        <f>IFERROR(__xludf.DUMMYFUNCTION("""COMPUTED_VALUE"""),"1ceaa5f2-b78b-4300-bac2-7756581469c8")</f>
        <v>1ceaa5f2-b78b-4300-bac2-7756581469c8</v>
      </c>
    </row>
    <row r="725">
      <c r="A725" s="4" t="str">
        <f>IFERROR(__xludf.DUMMYFUNCTION("""COMPUTED_VALUE"""),"Startup Showcase")</f>
        <v>Startup Showcase</v>
      </c>
      <c r="B725" s="4" t="str">
        <f>IFERROR(__xludf.DUMMYFUNCTION("""COMPUTED_VALUE"""),"On this brand new stage, expect quickfire presentations where startups will showcase their solutions to the future's biggest challenges. This hour focuses on hardware and IoT, covering topics like smart devices, the internet of things, wearables, and inte"&amp;"r-connected products.
")</f>
        <v>On this brand new stage, expect quickfire presentations where startups will showcase their solutions to the future's biggest challenges. This hour focuses on hardware and IoT, covering topics like smart devices, the internet of things, wearables, and inter-connected products.
</v>
      </c>
      <c r="C725" s="4" t="str">
        <f>IFERROR(__xludf.DUMMYFUNCTION("""COMPUTED_VALUE"""),"Startup Showcase 2")</f>
        <v>Startup Showcase 2</v>
      </c>
      <c r="D725" s="4" t="str">
        <f>IFERROR(__xludf.DUMMYFUNCTION("""COMPUTED_VALUE"""),"Jag Singh, Antonio Julia, Damian Ciesielski, Oliver Windle, Apoorv Shankar, Joana Silva, CRISTINA GONZALEZ, Danny Honigh, Jochem Verboom, Dejan Borota, Kenneth Geipel, Kazunori Oki, JOSE MANUEL GONZALEZ SAEZ, Marco Park, Joana Rocha, Brina O, Alexandra Kr"&amp;"öger, Matteo Zago, Ludovic Nachury, Rafael Kaschuba, Alexander Schumacher, Francesco Campus, Niccolò Golinelli, David Purón, Laurent Marfisi, Damiano Bonacchi, Isidro Nistal, Andreas Botsch, Hyejin Park, Carlos Abreu, Ken Miyake, Akiko Moriguchi, Masahiko"&amp;" Yamanaka, Eva Endress, Dimitrios Chrysostomou, Apoorv Shankar, Apoorv Shankar, Stefano Iorino, hyungil Park, Paulo Ribeiro, Juan Pérez-Bedmar Fernández, Egor Pchelnikov, eunkyeong kwon, Arnaud Malvache, Jacobo Domingo Gil, jaekeun Han, Ricardo Dias Marqu"&amp;"es, Peter Duesing, Leo Scott Smith and Ekaterina Bashilova")</f>
        <v>Jag Singh, Antonio Julia, Damian Ciesielski, Oliver Windle, Apoorv Shankar, Joana Silva, CRISTINA GONZALEZ, Danny Honigh, Jochem Verboom, Dejan Borota, Kenneth Geipel, Kazunori Oki, JOSE MANUEL GONZALEZ SAEZ, Marco Park, Joana Rocha, Brina O, Alexandra Kröger, Matteo Zago, Ludovic Nachury, Rafael Kaschuba, Alexander Schumacher, Francesco Campus, Niccolò Golinelli, David Purón, Laurent Marfisi, Damiano Bonacchi, Isidro Nistal, Andreas Botsch, Hyejin Park, Carlos Abreu, Ken Miyake, Akiko Moriguchi, Masahiko Yamanaka, Eva Endress, Dimitrios Chrysostomou, Apoorv Shankar, Apoorv Shankar, Stefano Iorino, hyungil Park, Paulo Ribeiro, Juan Pérez-Bedmar Fernández, Egor Pchelnikov, eunkyeong kwon, Arnaud Malvache, Jacobo Domingo Gil, jaekeun Han, Ricardo Dias Marques, Peter Duesing, Leo Scott Smith and Ekaterina Bashilova</v>
      </c>
      <c r="E725" s="4" t="str">
        <f>IFERROR(__xludf.DUMMYFUNCTION("""COMPUTED_VALUE"""),"Jag Singh,Antonio Julia,Damian Ciesielski,Oliver Windle,Apoorv Shankar,Joana Silva,CRISTINA GONZALEZ,Danny Honigh,Jochem Verboom,Dejan Borota,Kenneth Geipel,Kazunori Oki,JOSE MANUEL GONZALEZ SAEZ,Marco Park,Joana Rocha,Brina O,Alexandra Kröger,Matteo Zago"&amp;",Ludovic Nachury,Rafael Kaschuba,Alexander Schumacher,Francesco Campus,Niccolò Golinelli,David Purón,Laurent Marfisi,Damiano Bonacchi,Isidro Nistal,Andreas Botsch,Hyejin Park,Carlos Abreu,Ken Miyake,Akiko Moriguchi,Masahiko Yamanaka,Eva Endress,Dimitrios "&amp;"Chrysostomou,Apoorv Shankar,Apoorv Shankar,Stefano Iorino,hyungil Park,Paulo Ribeiro,Juan Pérez-Bedmar Fernández,Egor Pchelnikov,eunkyeong kwon,Arnaud Malvache,Jacobo Domingo Gil,jaekeun Han,Ricardo Dias Marques,Peter Duesing,Leo Scott Smith,Ekaterina Bas"&amp;"hilova")</f>
        <v>Jag Singh,Antonio Julia,Damian Ciesielski,Oliver Windle,Apoorv Shankar,Joana Silva,CRISTINA GONZALEZ,Danny Honigh,Jochem Verboom,Dejan Borota,Kenneth Geipel,Kazunori Oki,JOSE MANUEL GONZALEZ SAEZ,Marco Park,Joana Rocha,Brina O,Alexandra Kröger,Matteo Zago,Ludovic Nachury,Rafael Kaschuba,Alexander Schumacher,Francesco Campus,Niccolò Golinelli,David Purón,Laurent Marfisi,Damiano Bonacchi,Isidro Nistal,Andreas Botsch,Hyejin Park,Carlos Abreu,Ken Miyake,Akiko Moriguchi,Masahiko Yamanaka,Eva Endress,Dimitrios Chrysostomou,Apoorv Shankar,Apoorv Shankar,Stefano Iorino,hyungil Park,Paulo Ribeiro,Juan Pérez-Bedmar Fernández,Egor Pchelnikov,eunkyeong kwon,Arnaud Malvache,Jacobo Domingo Gil,jaekeun Han,Ricardo Dias Marques,Peter Duesing,Leo Scott Smith,Ekaterina Bashilova</v>
      </c>
      <c r="F725" s="4" t="str">
        <f>IFERROR(__xludf.DUMMYFUNCTION("""COMPUTED_VALUE"""),"2019/11/06 10:15:00")</f>
        <v>2019/11/06 10:15:00</v>
      </c>
      <c r="G725" s="4" t="str">
        <f>IFERROR(__xludf.DUMMYFUNCTION("""COMPUTED_VALUE"""),"2019/11/06 11:15:00")</f>
        <v>2019/11/06 11:15:00</v>
      </c>
      <c r="H725" s="4" t="str">
        <f>IFERROR(__xludf.DUMMYFUNCTION("""COMPUTED_VALUE"""),"b92815fd-d010-472d-ae8c-49a8592509ec")</f>
        <v>b92815fd-d010-472d-ae8c-49a8592509ec</v>
      </c>
      <c r="I725" s="4" t="str">
        <f>IFERROR(__xludf.DUMMYFUNCTION("""COMPUTED_VALUE"""),"b92815fd-d010-472d-ae8c-49a8592509ec")</f>
        <v>b92815fd-d010-472d-ae8c-49a8592509ec</v>
      </c>
    </row>
    <row r="726">
      <c r="A726" s="4" t="str">
        <f>IFERROR(__xludf.DUMMYFUNCTION("""COMPUTED_VALUE"""),"Robotics... but make it fashion ")</f>
        <v>Robotics... but make it fashion </v>
      </c>
      <c r="B726" s="4" t="str">
        <f>IFERROR(__xludf.DUMMYFUNCTION("""COMPUTED_VALUE"""),"We're stepping into a world of AR beauty, VR fashion shows and smart clothing. This panel will help you realise the potential of big tech and robotics to change the fashion industry for good. ")</f>
        <v>We're stepping into a world of AR beauty, VR fashion shows and smart clothing. This panel will help you realise the potential of big tech and robotics to change the fashion industry for good. </v>
      </c>
      <c r="C726" s="4" t="str">
        <f>IFERROR(__xludf.DUMMYFUNCTION("""COMPUTED_VALUE"""),"Modum")</f>
        <v>Modum</v>
      </c>
      <c r="D726" s="4" t="str">
        <f>IFERROR(__xludf.DUMMYFUNCTION("""COMPUTED_VALUE"""),"Florian Jansen, Lisa Lang, Amber Jae Slooten and Mark Russell")</f>
        <v>Florian Jansen, Lisa Lang, Amber Jae Slooten and Mark Russell</v>
      </c>
      <c r="E726" s="4" t="str">
        <f>IFERROR(__xludf.DUMMYFUNCTION("""COMPUTED_VALUE"""),"Florian Jansen,Lisa Lang,Amber Jae Slooten,Mark Russell")</f>
        <v>Florian Jansen,Lisa Lang,Amber Jae Slooten,Mark Russell</v>
      </c>
      <c r="F726" s="4" t="str">
        <f>IFERROR(__xludf.DUMMYFUNCTION("""COMPUTED_VALUE"""),"2019/11/07 12:35:00")</f>
        <v>2019/11/07 12:35:00</v>
      </c>
      <c r="G726" s="4" t="str">
        <f>IFERROR(__xludf.DUMMYFUNCTION("""COMPUTED_VALUE"""),"2019/11/07 13:00:00")</f>
        <v>2019/11/07 13:00:00</v>
      </c>
      <c r="H726" s="4" t="str">
        <f>IFERROR(__xludf.DUMMYFUNCTION("""COMPUTED_VALUE"""),"fcd3ef5d-ed1e-4ef9-8e1f-cd42aa06a500")</f>
        <v>fcd3ef5d-ed1e-4ef9-8e1f-cd42aa06a500</v>
      </c>
      <c r="I726" s="4" t="str">
        <f>IFERROR(__xludf.DUMMYFUNCTION("""COMPUTED_VALUE"""),"fcd3ef5d-ed1e-4ef9-8e1f-cd42aa06a500")</f>
        <v>fcd3ef5d-ed1e-4ef9-8e1f-cd42aa06a500</v>
      </c>
    </row>
    <row r="727">
      <c r="A727" s="4" t="str">
        <f>IFERROR(__xludf.DUMMYFUNCTION("""COMPUTED_VALUE"""),"Is Siri sexist?")</f>
        <v>Is Siri sexist?</v>
      </c>
      <c r="B727" s="4" t="str">
        <f>IFERROR(__xludf.DUMMYFUNCTION("""COMPUTED_VALUE"""),"Are virtual assistants reinforcing and spreading sexism? In this session, Saniye Gülser Corat, UNESCO’s Director for Gender Equality argues that big tech needs to ditch the subservient female voice coming out of your smart speaker.
")</f>
        <v>Are virtual assistants reinforcing and spreading sexism? In this session, Saniye Gülser Corat, UNESCO’s Director for Gender Equality argues that big tech needs to ditch the subservient female voice coming out of your smart speaker.
</v>
      </c>
      <c r="C727" s="4" t="str">
        <f>IFERROR(__xludf.DUMMYFUNCTION("""COMPUTED_VALUE"""),"DeepTech")</f>
        <v>DeepTech</v>
      </c>
      <c r="D727" s="4" t="str">
        <f>IFERROR(__xludf.DUMMYFUNCTION("""COMPUTED_VALUE"""),"Saniye Gülser Corat and Esther Paniagua")</f>
        <v>Saniye Gülser Corat and Esther Paniagua</v>
      </c>
      <c r="E727" s="4" t="str">
        <f>IFERROR(__xludf.DUMMYFUNCTION("""COMPUTED_VALUE"""),"Saniye Gülser Corat,Esther Paniagua")</f>
        <v>Saniye Gülser Corat,Esther Paniagua</v>
      </c>
      <c r="F727" s="4" t="str">
        <f>IFERROR(__xludf.DUMMYFUNCTION("""COMPUTED_VALUE"""),"2019/11/06 11:05:00")</f>
        <v>2019/11/06 11:05:00</v>
      </c>
      <c r="G727" s="4" t="str">
        <f>IFERROR(__xludf.DUMMYFUNCTION("""COMPUTED_VALUE"""),"2019/11/06 11:20:00")</f>
        <v>2019/11/06 11:20:00</v>
      </c>
      <c r="H727" s="4" t="str">
        <f>IFERROR(__xludf.DUMMYFUNCTION("""COMPUTED_VALUE"""),"aad6febc-2c87-400b-8682-c3e5a06e17e2")</f>
        <v>aad6febc-2c87-400b-8682-c3e5a06e17e2</v>
      </c>
      <c r="I727" s="4" t="str">
        <f>IFERROR(__xludf.DUMMYFUNCTION("""COMPUTED_VALUE"""),"aad6febc-2c87-400b-8682-c3e5a06e17e2")</f>
        <v>aad6febc-2c87-400b-8682-c3e5a06e17e2</v>
      </c>
    </row>
    <row r="728">
      <c r="A728" s="4" t="str">
        <f>IFERROR(__xludf.DUMMYFUNCTION("""COMPUTED_VALUE"""),"The business of GIF$")</f>
        <v>The business of GIF$</v>
      </c>
      <c r="B728" s="4" t="str">
        <f>IFERROR(__xludf.DUMMYFUNCTION("""COMPUTED_VALUE"""),"From being the first searchable library for gifs to creating the first platform to bring brands into messaging, Giphy has been creating a whole lot of firsts since its inception in 2013. In this session, CEO and founder, Alex Chung will discuss Giphy’s pr"&amp;"oduct evolution and why messaging is the next massive frontier (and how to monetise it). ")</f>
        <v>From being the first searchable library for gifs to creating the first platform to bring brands into messaging, Giphy has been creating a whole lot of firsts since its inception in 2013. In this session, CEO and founder, Alex Chung will discuss Giphy’s product evolution and why messaging is the next massive frontier (and how to monetise it). </v>
      </c>
      <c r="C728" s="4" t="str">
        <f>IFERROR(__xludf.DUMMYFUNCTION("""COMPUTED_VALUE"""),"ContentMakers")</f>
        <v>ContentMakers</v>
      </c>
      <c r="D728" s="4" t="str">
        <f>IFERROR(__xludf.DUMMYFUNCTION("""COMPUTED_VALUE"""),"Alex Chung")</f>
        <v>Alex Chung</v>
      </c>
      <c r="E728" s="4" t="str">
        <f>IFERROR(__xludf.DUMMYFUNCTION("""COMPUTED_VALUE"""),"Alex Chung")</f>
        <v>Alex Chung</v>
      </c>
      <c r="F728" s="4" t="str">
        <f>IFERROR(__xludf.DUMMYFUNCTION("""COMPUTED_VALUE"""),"2019/11/06 14:35:00")</f>
        <v>2019/11/06 14:35:00</v>
      </c>
      <c r="G728" s="4" t="str">
        <f>IFERROR(__xludf.DUMMYFUNCTION("""COMPUTED_VALUE"""),"2019/11/06 14:55:00")</f>
        <v>2019/11/06 14:55:00</v>
      </c>
      <c r="H728" s="4" t="str">
        <f>IFERROR(__xludf.DUMMYFUNCTION("""COMPUTED_VALUE"""),"af1878ef-bc0a-4bff-a4db-003b42eb0a61")</f>
        <v>af1878ef-bc0a-4bff-a4db-003b42eb0a61</v>
      </c>
      <c r="I728" s="4" t="str">
        <f>IFERROR(__xludf.DUMMYFUNCTION("""COMPUTED_VALUE"""),"af1878ef-bc0a-4bff-a4db-003b42eb0a61")</f>
        <v>af1878ef-bc0a-4bff-a4db-003b42eb0a61</v>
      </c>
    </row>
    <row r="729">
      <c r="A729" s="4" t="str">
        <f>IFERROR(__xludf.DUMMYFUNCTION("""COMPUTED_VALUE"""),"From freemium to premium")</f>
        <v>From freemium to premium</v>
      </c>
      <c r="B729" s="4" t="str">
        <f>IFERROR(__xludf.DUMMYFUNCTION("""COMPUTED_VALUE"""),"How can companies convert free users to paid subscribers? The CEOs of Crunchbase and App Annie will answer this huge question as they discuss different ways to successfully move through this often difficult conversion funnel.")</f>
        <v>How can companies convert free users to paid subscribers? The CEOs of Crunchbase and App Annie will answer this huge question as they discuss different ways to successfully move through this often difficult conversion funnel.</v>
      </c>
      <c r="C729" s="4" t="str">
        <f>IFERROR(__xludf.DUMMYFUNCTION("""COMPUTED_VALUE"""),"SaaS Monster")</f>
        <v>SaaS Monster</v>
      </c>
      <c r="D729" s="4" t="str">
        <f>IFERROR(__xludf.DUMMYFUNCTION("""COMPUTED_VALUE"""),"Jager McConnell, Ted Krantz and Don Clark")</f>
        <v>Jager McConnell, Ted Krantz and Don Clark</v>
      </c>
      <c r="E729" s="4" t="str">
        <f>IFERROR(__xludf.DUMMYFUNCTION("""COMPUTED_VALUE"""),"Jager McConnell,Ted Krantz,Don Clark")</f>
        <v>Jager McConnell,Ted Krantz,Don Clark</v>
      </c>
      <c r="F729" s="4" t="str">
        <f>IFERROR(__xludf.DUMMYFUNCTION("""COMPUTED_VALUE"""),"2019/11/05 12:10:00")</f>
        <v>2019/11/05 12:10:00</v>
      </c>
      <c r="G729" s="4" t="str">
        <f>IFERROR(__xludf.DUMMYFUNCTION("""COMPUTED_VALUE"""),"2019/11/05 12:30:00")</f>
        <v>2019/11/05 12:30:00</v>
      </c>
      <c r="H729" s="4" t="str">
        <f>IFERROR(__xludf.DUMMYFUNCTION("""COMPUTED_VALUE"""),"b9c4bff0-a071-41e4-ac1b-fed6c9efac23")</f>
        <v>b9c4bff0-a071-41e4-ac1b-fed6c9efac23</v>
      </c>
      <c r="I729" s="4" t="str">
        <f>IFERROR(__xludf.DUMMYFUNCTION("""COMPUTED_VALUE"""),"b9c4bff0-a071-41e4-ac1b-fed6c9efac23")</f>
        <v>b9c4bff0-a071-41e4-ac1b-fed6c9efac23</v>
      </c>
    </row>
    <row r="730">
      <c r="A730" s="4" t="str">
        <f>IFERROR(__xludf.DUMMYFUNCTION("""COMPUTED_VALUE"""),"Evolutionary architecture and governance: What's the future like?")</f>
        <v>Evolutionary architecture and governance: What's the future like?</v>
      </c>
      <c r="B730" s="4" t="str">
        <f>IFERROR(__xludf.DUMMYFUNCTION("""COMPUTED_VALUE"""),"The techniques of evolutionary architecture provide a mechanism for automating many of the governance activities performed by Enterprise Architects, and not just at the scale of static code analysis. This talk describes some of these approaches and the to"&amp;"ols used, including discussions around communicating standards and handling exceptions. We will then examine what governance can look like as techniques in AI and ML continue to advance.")</f>
        <v>The techniques of evolutionary architecture provide a mechanism for automating many of the governance activities performed by Enterprise Architects, and not just at the scale of static code analysis. This talk describes some of these approaches and the tools used, including discussions around communicating standards and handling exceptions. We will then examine what governance can look like as techniques in AI and ML continue to advance.</v>
      </c>
      <c r="C730" s="4" t="str">
        <f>IFERROR(__xludf.DUMMYFUNCTION("""COMPUTED_VALUE"""),"FullSTK")</f>
        <v>FullSTK</v>
      </c>
      <c r="D730" s="4" t="str">
        <f>IFERROR(__xludf.DUMMYFUNCTION("""COMPUTED_VALUE"""),"Rebecca Parsons")</f>
        <v>Rebecca Parsons</v>
      </c>
      <c r="E730" s="4" t="str">
        <f>IFERROR(__xludf.DUMMYFUNCTION("""COMPUTED_VALUE"""),"Rebecca Parsons")</f>
        <v>Rebecca Parsons</v>
      </c>
      <c r="F730" s="4" t="str">
        <f>IFERROR(__xludf.DUMMYFUNCTION("""COMPUTED_VALUE"""),"2019/11/07 12:55:00")</f>
        <v>2019/11/07 12:55:00</v>
      </c>
      <c r="G730" s="4" t="str">
        <f>IFERROR(__xludf.DUMMYFUNCTION("""COMPUTED_VALUE"""),"2019/11/07 13:15:00")</f>
        <v>2019/11/07 13:15:00</v>
      </c>
      <c r="H730" s="4" t="str">
        <f>IFERROR(__xludf.DUMMYFUNCTION("""COMPUTED_VALUE"""),"fd8dbcea-df13-4f56-9109-c883af6536ad")</f>
        <v>fd8dbcea-df13-4f56-9109-c883af6536ad</v>
      </c>
      <c r="I730" s="4" t="str">
        <f>IFERROR(__xludf.DUMMYFUNCTION("""COMPUTED_VALUE"""),"fd8dbcea-df13-4f56-9109-c883af6536ad")</f>
        <v>fd8dbcea-df13-4f56-9109-c883af6536ad</v>
      </c>
    </row>
    <row r="731">
      <c r="A731" s="4" t="str">
        <f>IFERROR(__xludf.DUMMYFUNCTION("""COMPUTED_VALUE"""),"Solving planetary challenges with enterprise")</f>
        <v>Solving planetary challenges with enterprise</v>
      </c>
      <c r="B731" s="4" t="str">
        <f>IFERROR(__xludf.DUMMYFUNCTION("""COMPUTED_VALUE"""),"The world's most pressing issues may be solved through exponential technologies. The challenges we’re addressing are daunting, this talk welcomes David Wallerstein, CXO global tech giant Tencent &amp; Pedro Siza Vieira, Minister of Economy of Portugal, to dis"&amp;"cuss how these challenges can be overcome.")</f>
        <v>The world's most pressing issues may be solved through exponential technologies. The challenges we’re addressing are daunting, this talk welcomes David Wallerstein, CXO global tech giant Tencent &amp; Pedro Siza Vieira, Minister of Economy of Portugal, to discuss how these challenges can be overcome.</v>
      </c>
      <c r="C731" s="4" t="str">
        <f>IFERROR(__xludf.DUMMYFUNCTION("""COMPUTED_VALUE"""),"Corporate Innovation Summit")</f>
        <v>Corporate Innovation Summit</v>
      </c>
      <c r="D731" s="4" t="str">
        <f>IFERROR(__xludf.DUMMYFUNCTION("""COMPUTED_VALUE"""),"David Wallerstein, Pedro Siza Vieira and Cheng Lei")</f>
        <v>David Wallerstein, Pedro Siza Vieira and Cheng Lei</v>
      </c>
      <c r="E731" s="4" t="str">
        <f>IFERROR(__xludf.DUMMYFUNCTION("""COMPUTED_VALUE"""),"David Wallerstein,Pedro Siza Vieira,Cheng Lei")</f>
        <v>David Wallerstein,Pedro Siza Vieira,Cheng Lei</v>
      </c>
      <c r="F731" s="4" t="str">
        <f>IFERROR(__xludf.DUMMYFUNCTION("""COMPUTED_VALUE"""),"2019/11/06 14:00:00")</f>
        <v>2019/11/06 14:00:00</v>
      </c>
      <c r="G731" s="4" t="str">
        <f>IFERROR(__xludf.DUMMYFUNCTION("""COMPUTED_VALUE"""),"2019/11/06 14:20:00")</f>
        <v>2019/11/06 14:20:00</v>
      </c>
      <c r="H731" s="4" t="str">
        <f>IFERROR(__xludf.DUMMYFUNCTION("""COMPUTED_VALUE"""),"2477e575-9d96-41f4-98bd-1a5ae0474f37")</f>
        <v>2477e575-9d96-41f4-98bd-1a5ae0474f37</v>
      </c>
      <c r="I731" s="4" t="str">
        <f>IFERROR(__xludf.DUMMYFUNCTION("""COMPUTED_VALUE"""),"2477e575-9d96-41f4-98bd-1a5ae0474f37")</f>
        <v>2477e575-9d96-41f4-98bd-1a5ae0474f37</v>
      </c>
    </row>
    <row r="732">
      <c r="A732" s="4" t="str">
        <f>IFERROR(__xludf.DUMMYFUNCTION("""COMPUTED_VALUE"""),"PITCH quarterfinal 1")</f>
        <v>PITCH quarterfinal 1</v>
      </c>
      <c r="B732" s="4" t="str">
        <f>IFERROR(__xludf.DUMMYFUNCTION("""COMPUTED_VALUE"""),"")</f>
        <v/>
      </c>
      <c r="C732" s="4" t="str">
        <f>IFERROR(__xludf.DUMMYFUNCTION("""COMPUTED_VALUE"""),"PITCH 2")</f>
        <v>PITCH 2</v>
      </c>
      <c r="D732" s="4" t="str">
        <f>IFERROR(__xludf.DUMMYFUNCTION("""COMPUTED_VALUE"""),"Diana Lace, Rouven Dresselhaus, Felix Buggenthin, David Meltzer, Andre Retterath and Joakim Dal")</f>
        <v>Diana Lace, Rouven Dresselhaus, Felix Buggenthin, David Meltzer, Andre Retterath and Joakim Dal</v>
      </c>
      <c r="E732" s="4" t="str">
        <f>IFERROR(__xludf.DUMMYFUNCTION("""COMPUTED_VALUE"""),"Diana Lace,Rouven Dresselhaus,Felix Buggenthin,David Meltzer,Andre Retterath,Joakim Dal")</f>
        <v>Diana Lace,Rouven Dresselhaus,Felix Buggenthin,David Meltzer,Andre Retterath,Joakim Dal</v>
      </c>
      <c r="F732" s="4" t="str">
        <f>IFERROR(__xludf.DUMMYFUNCTION("""COMPUTED_VALUE"""),"2019/11/05 16:15:00")</f>
        <v>2019/11/05 16:15:00</v>
      </c>
      <c r="G732" s="4" t="str">
        <f>IFERROR(__xludf.DUMMYFUNCTION("""COMPUTED_VALUE"""),"2019/11/05 17:30:00")</f>
        <v>2019/11/05 17:30:00</v>
      </c>
      <c r="H732" s="4" t="str">
        <f>IFERROR(__xludf.DUMMYFUNCTION("""COMPUTED_VALUE"""),"9335196b-4678-46ea-818a-70fb14c33c1c")</f>
        <v>9335196b-4678-46ea-818a-70fb14c33c1c</v>
      </c>
      <c r="I732" s="4" t="str">
        <f>IFERROR(__xludf.DUMMYFUNCTION("""COMPUTED_VALUE"""),"9335196b-4678-46ea-818a-70fb14c33c1c")</f>
        <v>9335196b-4678-46ea-818a-70fb14c33c1c</v>
      </c>
    </row>
    <row r="733">
      <c r="A733" s="4" t="str">
        <f>IFERROR(__xludf.DUMMYFUNCTION("""COMPUTED_VALUE"""),"#IamRemarkable workshop: Celebrate your achievements, hosted by #IamRemarkable, a Google initiative.")</f>
        <v>#IamRemarkable workshop: Celebrate your achievements, hosted by #IamRemarkable, a Google initiative.</v>
      </c>
      <c r="B733" s="4" t="str">
        <f>IFERROR(__xludf.DUMMYFUNCTION("""COMPUTED_VALUE"""),"Come and experience #IamRemarkable. This Google initiative strives to empower women and underrepresented groups to speak openly about their accomplishments in the workplace and beyond. The #IamRemarkable founder Anna Vainer will lead the workshop, which w"&amp;"ill focus on the importance of self-promotion in your career and equipping you with the tools to develop this skill. Participants will be invited to challenge the social perception around self-promotion.")</f>
        <v>Come and experience #IamRemarkable. This Google initiative strives to empower women and underrepresented groups to speak openly about their accomplishments in the workplace and beyond. The #IamRemarkable founder Anna Vainer will lead the workshop, which will focus on the importance of self-promotion in your career and equipping you with the tools to develop this skill. Participants will be invited to challenge the social perception around self-promotion.</v>
      </c>
      <c r="C733" s="4" t="str">
        <f>IFERROR(__xludf.DUMMYFUNCTION("""COMPUTED_VALUE"""),"Workshop 1")</f>
        <v>Workshop 1</v>
      </c>
      <c r="D733" s="4" t="str">
        <f>IFERROR(__xludf.DUMMYFUNCTION("""COMPUTED_VALUE"""),"Anna Vainer")</f>
        <v>Anna Vainer</v>
      </c>
      <c r="E733" s="4" t="str">
        <f>IFERROR(__xludf.DUMMYFUNCTION("""COMPUTED_VALUE"""),"Anna Vainer")</f>
        <v>Anna Vainer</v>
      </c>
      <c r="F733" s="4" t="str">
        <f>IFERROR(__xludf.DUMMYFUNCTION("""COMPUTED_VALUE"""),"2019/11/07 13:30:00")</f>
        <v>2019/11/07 13:30:00</v>
      </c>
      <c r="G733" s="4" t="str">
        <f>IFERROR(__xludf.DUMMYFUNCTION("""COMPUTED_VALUE"""),"2019/11/07 15:00:00")</f>
        <v>2019/11/07 15:00:00</v>
      </c>
      <c r="H733" s="4" t="str">
        <f>IFERROR(__xludf.DUMMYFUNCTION("""COMPUTED_VALUE"""),"2247bd20-5641-4477-9c35-2354eed39150")</f>
        <v>2247bd20-5641-4477-9c35-2354eed39150</v>
      </c>
      <c r="I733" s="4" t="str">
        <f>IFERROR(__xludf.DUMMYFUNCTION("""COMPUTED_VALUE"""),"2247bd20-5641-4477-9c35-2354eed39150")</f>
        <v>2247bd20-5641-4477-9c35-2354eed39150</v>
      </c>
    </row>
    <row r="734">
      <c r="A734" s="4" t="str">
        <f>IFERROR(__xludf.DUMMYFUNCTION("""COMPUTED_VALUE"""),"Diversity for business growth")</f>
        <v>Diversity for business growth</v>
      </c>
      <c r="B734" s="4" t="str">
        <f>IFERROR(__xludf.DUMMYFUNCTION("""COMPUTED_VALUE"""),"Co-founder and Medical Director of Atlas Biomed Group, Andrey discusses his experience building the world’s first platform that incorporates direct-to-consumer DNA and gut microbiome testing, with a comprehensive background assessment for health and disea"&amp;"se risk analysis. ")</f>
        <v>Co-founder and Medical Director of Atlas Biomed Group, Andrey discusses his experience building the world’s first platform that incorporates direct-to-consumer DNA and gut microbiome testing, with a comprehensive background assessment for health and disease risk analysis. </v>
      </c>
      <c r="C734" s="4" t="str">
        <f>IFERROR(__xludf.DUMMYFUNCTION("""COMPUTED_VALUE"""),"Growth Summit")</f>
        <v>Growth Summit</v>
      </c>
      <c r="D734" s="4" t="str">
        <f>IFERROR(__xludf.DUMMYFUNCTION("""COMPUTED_VALUE"""),"Andrey Perfilyev")</f>
        <v>Andrey Perfilyev</v>
      </c>
      <c r="E734" s="4" t="str">
        <f>IFERROR(__xludf.DUMMYFUNCTION("""COMPUTED_VALUE"""),"Andrey Perfilyev")</f>
        <v>Andrey Perfilyev</v>
      </c>
      <c r="F734" s="4" t="str">
        <f>IFERROR(__xludf.DUMMYFUNCTION("""COMPUTED_VALUE"""),"2019/11/06 10:50:00")</f>
        <v>2019/11/06 10:50:00</v>
      </c>
      <c r="G734" s="4" t="str">
        <f>IFERROR(__xludf.DUMMYFUNCTION("""COMPUTED_VALUE"""),"2019/11/06 10:54:00")</f>
        <v>2019/11/06 10:54:00</v>
      </c>
      <c r="H734" s="4" t="str">
        <f>IFERROR(__xludf.DUMMYFUNCTION("""COMPUTED_VALUE"""),"2427d832-03ee-4809-8128-d9104f522115")</f>
        <v>2427d832-03ee-4809-8128-d9104f522115</v>
      </c>
      <c r="I734" s="4" t="str">
        <f>IFERROR(__xludf.DUMMYFUNCTION("""COMPUTED_VALUE"""),"2427d832-03ee-4809-8128-d9104f522115")</f>
        <v>2427d832-03ee-4809-8128-d9104f522115</v>
      </c>
    </row>
    <row r="735">
      <c r="A735" s="4" t="str">
        <f>IFERROR(__xludf.DUMMYFUNCTION("""COMPUTED_VALUE"""),"Food truck 2")</f>
        <v>Food truck 2</v>
      </c>
      <c r="B735" s="4" t="str">
        <f>IFERROR(__xludf.DUMMYFUNCTION("""COMPUTED_VALUE"""),"")</f>
        <v/>
      </c>
      <c r="C735" s="4" t="str">
        <f>IFERROR(__xludf.DUMMYFUNCTION("""COMPUTED_VALUE"""),"Food truck 2 - Nov 5")</f>
        <v>Food truck 2 - Nov 5</v>
      </c>
      <c r="D735" s="4" t="str">
        <f>IFERROR(__xludf.DUMMYFUNCTION("""COMPUTED_VALUE"""),"")</f>
        <v/>
      </c>
      <c r="E735" s="4" t="str">
        <f>IFERROR(__xludf.DUMMYFUNCTION("""COMPUTED_VALUE"""),"")</f>
        <v/>
      </c>
      <c r="F735" s="4" t="str">
        <f>IFERROR(__xludf.DUMMYFUNCTION("""COMPUTED_VALUE"""),"2019/11/05 20:01:00")</f>
        <v>2019/11/05 20:01:00</v>
      </c>
      <c r="G735" s="4" t="str">
        <f>IFERROR(__xludf.DUMMYFUNCTION("""COMPUTED_VALUE"""),"2019/11/05 23:59:00")</f>
        <v>2019/11/05 23:59:00</v>
      </c>
      <c r="H735" s="4" t="str">
        <f>IFERROR(__xludf.DUMMYFUNCTION("""COMPUTED_VALUE"""),"46fda6d6-2443-46b0-a377-0c3a11e1daac")</f>
        <v>46fda6d6-2443-46b0-a377-0c3a11e1daac</v>
      </c>
      <c r="I735" s="4" t="str">
        <f>IFERROR(__xludf.DUMMYFUNCTION("""COMPUTED_VALUE"""),"46fda6d6-2443-46b0-a377-0c3a11e1daac")</f>
        <v>46fda6d6-2443-46b0-a377-0c3a11e1daac</v>
      </c>
    </row>
    <row r="736">
      <c r="A736" s="4" t="str">
        <f>IFERROR(__xludf.DUMMYFUNCTION("""COMPUTED_VALUE"""),"Opening remarks")</f>
        <v>Opening remarks</v>
      </c>
      <c r="B736" s="4" t="str">
        <f>IFERROR(__xludf.DUMMYFUNCTION("""COMPUTED_VALUE"""),"")</f>
        <v/>
      </c>
      <c r="C736" s="4" t="str">
        <f>IFERROR(__xludf.DUMMYFUNCTION("""COMPUTED_VALUE"""),"Modum")</f>
        <v>Modum</v>
      </c>
      <c r="D736" s="4" t="str">
        <f>IFERROR(__xludf.DUMMYFUNCTION("""COMPUTED_VALUE"""),"Lais de Oliveira")</f>
        <v>Lais de Oliveira</v>
      </c>
      <c r="E736" s="4" t="str">
        <f>IFERROR(__xludf.DUMMYFUNCTION("""COMPUTED_VALUE"""),"Lais de Oliveira")</f>
        <v>Lais de Oliveira</v>
      </c>
      <c r="F736" s="4" t="str">
        <f>IFERROR(__xludf.DUMMYFUNCTION("""COMPUTED_VALUE"""),"2019/11/07 11:15:00")</f>
        <v>2019/11/07 11:15:00</v>
      </c>
      <c r="G736" s="4" t="str">
        <f>IFERROR(__xludf.DUMMYFUNCTION("""COMPUTED_VALUE"""),"2019/11/07 11:30:00")</f>
        <v>2019/11/07 11:30:00</v>
      </c>
      <c r="H736" s="4" t="str">
        <f>IFERROR(__xludf.DUMMYFUNCTION("""COMPUTED_VALUE"""),"a079030a-805d-4bc9-805c-6cb55eff3b3c")</f>
        <v>a079030a-805d-4bc9-805c-6cb55eff3b3c</v>
      </c>
      <c r="I736" s="4" t="str">
        <f>IFERROR(__xludf.DUMMYFUNCTION("""COMPUTED_VALUE"""),"a079030a-805d-4bc9-805c-6cb55eff3b3c")</f>
        <v>a079030a-805d-4bc9-805c-6cb55eff3b3c</v>
      </c>
    </row>
    <row r="737">
      <c r="A737" s="4" t="str">
        <f>IFERROR(__xludf.DUMMYFUNCTION("""COMPUTED_VALUE"""),"UN Global Compact SDG Media Zone")</f>
        <v>UN Global Compact SDG Media Zone</v>
      </c>
      <c r="B737" s="4" t="str">
        <f>IFERROR(__xludf.DUMMYFUNCTION("""COMPUTED_VALUE"""),"The SDG Media Zone is a platform for editors, bloggers, content creators and influencers to communicate innovations, partnerships and discussions as a call to action for humanity to engage the Sustainable Development Goals.
SDG Media Zone @ Web Summit,"&amp;" will report live from the world’s leading tech conference that will take place on November 4 - 7 in Lisbon, Portugal. This year over 70,000 people will come to Lisbon for Web Summit. They’ll be joined by the CEOs and founders of the world’s biggest compa"&amp;"nies, the most promising new startups, influential investors and leading journalist
Find the full programme here https://registration.unglobalcompact.org/website/6934/schedule/")</f>
        <v>The SDG Media Zone is a platform for editors, bloggers, content creators and influencers to communicate innovations, partnerships and discussions as a call to action for humanity to engage the Sustainable Development Goals.
SDG Media Zone @ Web Summit, will report live from the world’s leading tech conference that will take place on November 4 - 7 in Lisbon, Portugal. This year over 70,000 people will come to Lisbon for Web Summit. They’ll be joined by the CEOs and founders of the world’s biggest companies, the most promising new startups, influential investors and leading journalist
Find the full programme here https://registration.unglobalcompact.org/website/6934/schedule/</v>
      </c>
      <c r="C737" s="4" t="str">
        <f>IFERROR(__xludf.DUMMYFUNCTION("""COMPUTED_VALUE"""),"UN Global Compact SDG Media Zone, E214, FIL 2")</f>
        <v>UN Global Compact SDG Media Zone, E214, FIL 2</v>
      </c>
      <c r="D737" s="4" t="str">
        <f>IFERROR(__xludf.DUMMYFUNCTION("""COMPUTED_VALUE"""),"")</f>
        <v/>
      </c>
      <c r="E737" s="4" t="str">
        <f>IFERROR(__xludf.DUMMYFUNCTION("""COMPUTED_VALUE"""),"")</f>
        <v/>
      </c>
      <c r="F737" s="4" t="str">
        <f>IFERROR(__xludf.DUMMYFUNCTION("""COMPUTED_VALUE"""),"2019/11/05 10:00:00")</f>
        <v>2019/11/05 10:00:00</v>
      </c>
      <c r="G737" s="4" t="str">
        <f>IFERROR(__xludf.DUMMYFUNCTION("""COMPUTED_VALUE"""),"2019/11/05 16:00:00")</f>
        <v>2019/11/05 16:00:00</v>
      </c>
      <c r="H737" s="4" t="str">
        <f>IFERROR(__xludf.DUMMYFUNCTION("""COMPUTED_VALUE"""),"da303a06-3d8a-4722-b0dd-64ad84132cd7")</f>
        <v>da303a06-3d8a-4722-b0dd-64ad84132cd7</v>
      </c>
      <c r="I737" s="4" t="str">
        <f>IFERROR(__xludf.DUMMYFUNCTION("""COMPUTED_VALUE"""),"da303a06-3d8a-4722-b0dd-64ad84132cd7")</f>
        <v>da303a06-3d8a-4722-b0dd-64ad84132cd7</v>
      </c>
    </row>
    <row r="738">
      <c r="A738" s="4" t="str">
        <f>IFERROR(__xludf.DUMMYFUNCTION("""COMPUTED_VALUE"""),"Thinking outside the box")</f>
        <v>Thinking outside the box</v>
      </c>
      <c r="B738" s="4" t="str">
        <f>IFERROR(__xludf.DUMMYFUNCTION("""COMPUTED_VALUE"""),"We all come from different backgrounds, but do we face down challenges in the same way? Former World Heavyweight Champion Wladimir Klitschko will be joined by the Kristen Garcia Dumont, CEO of one of the world's leading gaming companies to explore.")</f>
        <v>We all come from different backgrounds, but do we face down challenges in the same way? Former World Heavyweight Champion Wladimir Klitschko will be joined by the Kristen Garcia Dumont, CEO of one of the world's leading gaming companies to explore.</v>
      </c>
      <c r="C738" s="4" t="str">
        <f>IFERROR(__xludf.DUMMYFUNCTION("""COMPUTED_VALUE"""),"Centre Stage")</f>
        <v>Centre Stage</v>
      </c>
      <c r="D738" s="4" t="str">
        <f>IFERROR(__xludf.DUMMYFUNCTION("""COMPUTED_VALUE"""),"Wladimir Klitschko, Kristen Garcia Dumont and Halsey Minor")</f>
        <v>Wladimir Klitschko, Kristen Garcia Dumont and Halsey Minor</v>
      </c>
      <c r="E738" s="4" t="str">
        <f>IFERROR(__xludf.DUMMYFUNCTION("""COMPUTED_VALUE"""),"Wladimir Klitschko,Kristen Garcia Dumont,Halsey Minor")</f>
        <v>Wladimir Klitschko,Kristen Garcia Dumont,Halsey Minor</v>
      </c>
      <c r="F738" s="4" t="str">
        <f>IFERROR(__xludf.DUMMYFUNCTION("""COMPUTED_VALUE"""),"2019/11/05 11:55:00")</f>
        <v>2019/11/05 11:55:00</v>
      </c>
      <c r="G738" s="4" t="str">
        <f>IFERROR(__xludf.DUMMYFUNCTION("""COMPUTED_VALUE"""),"2019/11/05 12:15:00")</f>
        <v>2019/11/05 12:15:00</v>
      </c>
      <c r="H738" s="4" t="str">
        <f>IFERROR(__xludf.DUMMYFUNCTION("""COMPUTED_VALUE"""),"29f68515-a259-4271-8f36-0b378ef8ce8f")</f>
        <v>29f68515-a259-4271-8f36-0b378ef8ce8f</v>
      </c>
      <c r="I738" s="4" t="str">
        <f>IFERROR(__xludf.DUMMYFUNCTION("""COMPUTED_VALUE"""),"29f68515-a259-4271-8f36-0b378ef8ce8f")</f>
        <v>29f68515-a259-4271-8f36-0b378ef8ce8f</v>
      </c>
    </row>
    <row r="739">
      <c r="A739" s="4" t="str">
        <f>IFERROR(__xludf.DUMMYFUNCTION("""COMPUTED_VALUE"""),"Lunch break")</f>
        <v>Lunch break</v>
      </c>
      <c r="B739" s="4" t="str">
        <f>IFERROR(__xludf.DUMMYFUNCTION("""COMPUTED_VALUE"""),"")</f>
        <v/>
      </c>
      <c r="C739" s="4" t="str">
        <f>IFERROR(__xludf.DUMMYFUNCTION("""COMPUTED_VALUE"""),"planet:tech ")</f>
        <v>planet:tech </v>
      </c>
      <c r="D739" s="4" t="str">
        <f>IFERROR(__xludf.DUMMYFUNCTION("""COMPUTED_VALUE"""),"")</f>
        <v/>
      </c>
      <c r="E739" s="4" t="str">
        <f>IFERROR(__xludf.DUMMYFUNCTION("""COMPUTED_VALUE"""),"")</f>
        <v/>
      </c>
      <c r="F739" s="4" t="str">
        <f>IFERROR(__xludf.DUMMYFUNCTION("""COMPUTED_VALUE"""),"2019/11/05 13:35:00")</f>
        <v>2019/11/05 13:35:00</v>
      </c>
      <c r="G739" s="4" t="str">
        <f>IFERROR(__xludf.DUMMYFUNCTION("""COMPUTED_VALUE"""),"2019/11/05 14:20:00")</f>
        <v>2019/11/05 14:20:00</v>
      </c>
      <c r="H739" s="4" t="str">
        <f>IFERROR(__xludf.DUMMYFUNCTION("""COMPUTED_VALUE"""),"cc585030-8f90-4f8b-a842-928423188fc9")</f>
        <v>cc585030-8f90-4f8b-a842-928423188fc9</v>
      </c>
      <c r="I739" s="4" t="str">
        <f>IFERROR(__xludf.DUMMYFUNCTION("""COMPUTED_VALUE"""),"cc585030-8f90-4f8b-a842-928423188fc9")</f>
        <v>cc585030-8f90-4f8b-a842-928423188fc9</v>
      </c>
    </row>
    <row r="740">
      <c r="A740" s="4" t="str">
        <f>IFERROR(__xludf.DUMMYFUNCTION("""COMPUTED_VALUE"""),"Opening remarks")</f>
        <v>Opening remarks</v>
      </c>
      <c r="B740" s="4" t="str">
        <f>IFERROR(__xludf.DUMMYFUNCTION("""COMPUTED_VALUE"""),"")</f>
        <v/>
      </c>
      <c r="C740" s="4" t="str">
        <f>IFERROR(__xludf.DUMMYFUNCTION("""COMPUTED_VALUE"""),"Centre Stage")</f>
        <v>Centre Stage</v>
      </c>
      <c r="D740" s="4" t="str">
        <f>IFERROR(__xludf.DUMMYFUNCTION("""COMPUTED_VALUE"""),"Paddy Cosgrave")</f>
        <v>Paddy Cosgrave</v>
      </c>
      <c r="E740" s="4" t="str">
        <f>IFERROR(__xludf.DUMMYFUNCTION("""COMPUTED_VALUE"""),"Paddy Cosgrave")</f>
        <v>Paddy Cosgrave</v>
      </c>
      <c r="F740" s="4" t="str">
        <f>IFERROR(__xludf.DUMMYFUNCTION("""COMPUTED_VALUE"""),"2019/11/04 18:15:00")</f>
        <v>2019/11/04 18:15:00</v>
      </c>
      <c r="G740" s="4" t="str">
        <f>IFERROR(__xludf.DUMMYFUNCTION("""COMPUTED_VALUE"""),"2019/11/04 18:30:00")</f>
        <v>2019/11/04 18:30:00</v>
      </c>
      <c r="H740" s="4" t="str">
        <f>IFERROR(__xludf.DUMMYFUNCTION("""COMPUTED_VALUE"""),"83e3191a-8cc1-4794-82e2-7d7430575cc9")</f>
        <v>83e3191a-8cc1-4794-82e2-7d7430575cc9</v>
      </c>
      <c r="I740" s="4" t="str">
        <f>IFERROR(__xludf.DUMMYFUNCTION("""COMPUTED_VALUE"""),"83e3191a-8cc1-4794-82e2-7d7430575cc9")</f>
        <v>83e3191a-8cc1-4794-82e2-7d7430575cc9</v>
      </c>
    </row>
    <row r="741">
      <c r="A741" s="4" t="str">
        <f>IFERROR(__xludf.DUMMYFUNCTION("""COMPUTED_VALUE"""),"Sell me the truth")</f>
        <v>Sell me the truth</v>
      </c>
      <c r="B741" s="4" t="str">
        <f>IFERROR(__xludf.DUMMYFUNCTION("""COMPUTED_VALUE"""),"A look inside the lens of Rankin, who's made radical honesty look ridiculously cool.")</f>
        <v>A look inside the lens of Rankin, who's made radical honesty look ridiculously cool.</v>
      </c>
      <c r="C741" s="4" t="str">
        <f>IFERROR(__xludf.DUMMYFUNCTION("""COMPUTED_VALUE"""),"PandaConf")</f>
        <v>PandaConf</v>
      </c>
      <c r="D741" s="4" t="str">
        <f>IFERROR(__xludf.DUMMYFUNCTION("""COMPUTED_VALUE"""),"  and Erika Allen")</f>
        <v>  and Erika Allen</v>
      </c>
      <c r="E741" s="4" t="str">
        <f>IFERROR(__xludf.DUMMYFUNCTION("""COMPUTED_VALUE""")," ,Erika Allen")</f>
        <v> ,Erika Allen</v>
      </c>
      <c r="F741" s="4" t="str">
        <f>IFERROR(__xludf.DUMMYFUNCTION("""COMPUTED_VALUE"""),"2019/11/06 13:25:00")</f>
        <v>2019/11/06 13:25:00</v>
      </c>
      <c r="G741" s="4" t="str">
        <f>IFERROR(__xludf.DUMMYFUNCTION("""COMPUTED_VALUE"""),"2019/11/06 13:40:00")</f>
        <v>2019/11/06 13:40:00</v>
      </c>
      <c r="H741" s="4" t="str">
        <f>IFERROR(__xludf.DUMMYFUNCTION("""COMPUTED_VALUE"""),"5d1754cd-ac66-4c61-ae91-b526c7e5b573")</f>
        <v>5d1754cd-ac66-4c61-ae91-b526c7e5b573</v>
      </c>
      <c r="I741" s="4" t="str">
        <f>IFERROR(__xludf.DUMMYFUNCTION("""COMPUTED_VALUE"""),"5d1754cd-ac66-4c61-ae91-b526c7e5b573")</f>
        <v>5d1754cd-ac66-4c61-ae91-b526c7e5b573</v>
      </c>
    </row>
    <row r="742">
      <c r="A742" s="4" t="str">
        <f>IFERROR(__xludf.DUMMYFUNCTION("""COMPUTED_VALUE"""),"How homes can help")</f>
        <v>How homes can help</v>
      </c>
      <c r="B742" s="4" t="str">
        <f>IFERROR(__xludf.DUMMYFUNCTION("""COMPUTED_VALUE"""),"From home heating to home building, this session explores the future of sustainable cities. We'll find out how we can make them as environmentally inoffensive as possible, for the well-being of both people and the planet.")</f>
        <v>From home heating to home building, this session explores the future of sustainable cities. We'll find out how we can make them as environmentally inoffensive as possible, for the well-being of both people and the planet.</v>
      </c>
      <c r="C742" s="4" t="str">
        <f>IFERROR(__xludf.DUMMYFUNCTION("""COMPUTED_VALUE"""),"planet:tech ")</f>
        <v>planet:tech </v>
      </c>
      <c r="D742" s="4" t="str">
        <f>IFERROR(__xludf.DUMMYFUNCTION("""COMPUTED_VALUE"""),"Toon Bouten")</f>
        <v>Toon Bouten</v>
      </c>
      <c r="E742" s="4" t="str">
        <f>IFERROR(__xludf.DUMMYFUNCTION("""COMPUTED_VALUE"""),"Toon Bouten")</f>
        <v>Toon Bouten</v>
      </c>
      <c r="F742" s="4" t="str">
        <f>IFERROR(__xludf.DUMMYFUNCTION("""COMPUTED_VALUE"""),"2019/11/05 13:20:00")</f>
        <v>2019/11/05 13:20:00</v>
      </c>
      <c r="G742" s="4" t="str">
        <f>IFERROR(__xludf.DUMMYFUNCTION("""COMPUTED_VALUE"""),"2019/11/05 13:35:00")</f>
        <v>2019/11/05 13:35:00</v>
      </c>
      <c r="H742" s="4" t="str">
        <f>IFERROR(__xludf.DUMMYFUNCTION("""COMPUTED_VALUE"""),"4a29cc9a-086f-41c4-9e76-896372714897")</f>
        <v>4a29cc9a-086f-41c4-9e76-896372714897</v>
      </c>
      <c r="I742" s="4" t="str">
        <f>IFERROR(__xludf.DUMMYFUNCTION("""COMPUTED_VALUE"""),"4a29cc9a-086f-41c4-9e76-896372714897")</f>
        <v>4a29cc9a-086f-41c4-9e76-896372714897</v>
      </c>
    </row>
    <row r="743">
      <c r="A743" s="4" t="str">
        <f>IFERROR(__xludf.DUMMYFUNCTION("""COMPUTED_VALUE"""),"On the frontlines of extinction")</f>
        <v>On the frontlines of extinction</v>
      </c>
      <c r="B743" s="4" t="str">
        <f>IFERROR(__xludf.DUMMYFUNCTION("""COMPUTED_VALUE"""),"Whether saving trees, saving primates or saving the Sumatran forests, extinction is a war-zone and this session brings together speakers from its frontlines; discussing what's being done to preserve nature's legacy, claws, tusks and all, before time runs "&amp;"out.")</f>
        <v>Whether saving trees, saving primates or saving the Sumatran forests, extinction is a war-zone and this session brings together speakers from its frontlines; discussing what's being done to preserve nature's legacy, claws, tusks and all, before time runs out.</v>
      </c>
      <c r="C743" s="4" t="str">
        <f>IFERROR(__xludf.DUMMYFUNCTION("""COMPUTED_VALUE"""),"planet:tech ")</f>
        <v>planet:tech </v>
      </c>
      <c r="D743" s="4" t="str">
        <f>IFERROR(__xludf.DUMMYFUNCTION("""COMPUTED_VALUE"""),"Farwiza Farhan, Christian Kroll and Isabel Hilton")</f>
        <v>Farwiza Farhan, Christian Kroll and Isabel Hilton</v>
      </c>
      <c r="E743" s="4" t="str">
        <f>IFERROR(__xludf.DUMMYFUNCTION("""COMPUTED_VALUE"""),"Farwiza Farhan,Christian Kroll,Isabel Hilton")</f>
        <v>Farwiza Farhan,Christian Kroll,Isabel Hilton</v>
      </c>
      <c r="F743" s="4" t="str">
        <f>IFERROR(__xludf.DUMMYFUNCTION("""COMPUTED_VALUE"""),"2019/11/05 13:00:00")</f>
        <v>2019/11/05 13:00:00</v>
      </c>
      <c r="G743" s="4" t="str">
        <f>IFERROR(__xludf.DUMMYFUNCTION("""COMPUTED_VALUE"""),"2019/11/05 13:20:00")</f>
        <v>2019/11/05 13:20:00</v>
      </c>
      <c r="H743" s="4" t="str">
        <f>IFERROR(__xludf.DUMMYFUNCTION("""COMPUTED_VALUE"""),"a6e97ed7-c70b-4104-9dc9-7f1596ffe118")</f>
        <v>a6e97ed7-c70b-4104-9dc9-7f1596ffe118</v>
      </c>
      <c r="I743" s="4" t="str">
        <f>IFERROR(__xludf.DUMMYFUNCTION("""COMPUTED_VALUE"""),"a6e97ed7-c70b-4104-9dc9-7f1596ffe118")</f>
        <v>a6e97ed7-c70b-4104-9dc9-7f1596ffe118</v>
      </c>
    </row>
    <row r="744">
      <c r="A744" s="4" t="str">
        <f>IFERROR(__xludf.DUMMYFUNCTION("""COMPUTED_VALUE"""),"Featured venue: Burger Factory")</f>
        <v>Featured venue: Burger Factory</v>
      </c>
      <c r="B744" s="4" t="str">
        <f>IFERROR(__xludf.DUMMYFUNCTION("""COMPUTED_VALUE"""),"So much more than just burgers! Take in the Lisbon night as you eat your dinner under the stars, all accompanied with live music. ")</f>
        <v>So much more than just burgers! Take in the Lisbon night as you eat your dinner under the stars, all accompanied with live music. </v>
      </c>
      <c r="C744" s="4" t="str">
        <f>IFERROR(__xludf.DUMMYFUNCTION("""COMPUTED_VALUE"""),"Burger Factory")</f>
        <v>Burger Factory</v>
      </c>
      <c r="D744" s="4" t="str">
        <f>IFERROR(__xludf.DUMMYFUNCTION("""COMPUTED_VALUE"""),"")</f>
        <v/>
      </c>
      <c r="E744" s="4" t="str">
        <f>IFERROR(__xludf.DUMMYFUNCTION("""COMPUTED_VALUE"""),"")</f>
        <v/>
      </c>
      <c r="F744" s="4" t="str">
        <f>IFERROR(__xludf.DUMMYFUNCTION("""COMPUTED_VALUE"""),"2019/11/06 20:00:00")</f>
        <v>2019/11/06 20:00:00</v>
      </c>
      <c r="G744" s="4" t="str">
        <f>IFERROR(__xludf.DUMMYFUNCTION("""COMPUTED_VALUE"""),"2019/11/07 02:00:00")</f>
        <v>2019/11/07 02:00:00</v>
      </c>
      <c r="H744" s="4" t="str">
        <f>IFERROR(__xludf.DUMMYFUNCTION("""COMPUTED_VALUE"""),"6b1e8171-2562-42dd-a899-cf5841f7d6bf")</f>
        <v>6b1e8171-2562-42dd-a899-cf5841f7d6bf</v>
      </c>
      <c r="I744" s="4" t="str">
        <f>IFERROR(__xludf.DUMMYFUNCTION("""COMPUTED_VALUE"""),"6b1e8171-2562-42dd-a899-cf5841f7d6bf")</f>
        <v>6b1e8171-2562-42dd-a899-cf5841f7d6bf</v>
      </c>
    </row>
    <row r="745">
      <c r="A745" s="4" t="str">
        <f>IFERROR(__xludf.DUMMYFUNCTION("""COMPUTED_VALUE"""),"Featured venue: Prego d'Pescador")</f>
        <v>Featured venue: Prego d'Pescador</v>
      </c>
      <c r="B745" s="4" t="str">
        <f>IFERROR(__xludf.DUMMYFUNCTION("""COMPUTED_VALUE"""),"Domingos Rodrigues, the master chef of the Royal House of D. Pedro II, said that ""shellfish should only be eaten in months with the letter 'r'"" - that is, during winter. That's good news for Web Summit attendees, as rumour has it November is the perfect"&amp;" time to visit this traditional Lisbon restaurant, which specialises in fish and seafood. 
Night Summit deals: 
2 for 1 gin + tonic, 2 for 1 beer, garlic prawns + 1 beer for 10€, boiled Moçambique shrimp + 2 small beers for 15€, Fishermen mix (rock cr"&amp;"ab pate, garlic prawns and clams bulhão pato) + 2 large beers for 30€")</f>
        <v>Domingos Rodrigues, the master chef of the Royal House of D. Pedro II, said that "shellfish should only be eaten in months with the letter 'r'" - that is, during winter. That's good news for Web Summit attendees, as rumour has it November is the perfect time to visit this traditional Lisbon restaurant, which specialises in fish and seafood. 
Night Summit deals: 
2 for 1 gin + tonic, 2 for 1 beer, garlic prawns + 1 beer for 10€, boiled Moçambique shrimp + 2 small beers for 15€, Fishermen mix (rock crab pate, garlic prawns and clams bulhão pato) + 2 large beers for 30€</v>
      </c>
      <c r="C745" s="4" t="str">
        <f>IFERROR(__xludf.DUMMYFUNCTION("""COMPUTED_VALUE"""),"Prego D'Pescador")</f>
        <v>Prego D'Pescador</v>
      </c>
      <c r="D745" s="4" t="str">
        <f>IFERROR(__xludf.DUMMYFUNCTION("""COMPUTED_VALUE"""),"")</f>
        <v/>
      </c>
      <c r="E745" s="4" t="str">
        <f>IFERROR(__xludf.DUMMYFUNCTION("""COMPUTED_VALUE"""),"")</f>
        <v/>
      </c>
      <c r="F745" s="4" t="str">
        <f>IFERROR(__xludf.DUMMYFUNCTION("""COMPUTED_VALUE"""),"2019/11/04 20:00:00")</f>
        <v>2019/11/04 20:00:00</v>
      </c>
      <c r="G745" s="4" t="str">
        <f>IFERROR(__xludf.DUMMYFUNCTION("""COMPUTED_VALUE"""),"2019/11/04 23:00:00")</f>
        <v>2019/11/04 23:00:00</v>
      </c>
      <c r="H745" s="4" t="str">
        <f>IFERROR(__xludf.DUMMYFUNCTION("""COMPUTED_VALUE"""),"8e3c4724-85f8-4f48-a9c9-d5eabf167c0b")</f>
        <v>8e3c4724-85f8-4f48-a9c9-d5eabf167c0b</v>
      </c>
      <c r="I745" s="4" t="str">
        <f>IFERROR(__xludf.DUMMYFUNCTION("""COMPUTED_VALUE"""),"8e3c4724-85f8-4f48-a9c9-d5eabf167c0b")</f>
        <v>8e3c4724-85f8-4f48-a9c9-d5eabf167c0b</v>
      </c>
    </row>
    <row r="746">
      <c r="A746" s="4" t="str">
        <f>IFERROR(__xludf.DUMMYFUNCTION("""COMPUTED_VALUE"""),"Explore your digital futures, hosted by Shell")</f>
        <v>Explore your digital futures, hosted by Shell</v>
      </c>
      <c r="B746" s="4" t="str">
        <f>IFERROR(__xludf.DUMMYFUNCTION("""COMPUTED_VALUE"""),"Are you thinking 50 years ahead?  We are. Our new scenarios explore how digitalisation could change the world - democracy, prosperity, inequality, privacy, security - in the decades to come. Shell has been a pioneer in the use of scenario thinking to help"&amp;" understand the future and navigate uncertainty. In this interactive session, you will use tools and techniques to explore our new scenarios and your digital futures.")</f>
        <v>Are you thinking 50 years ahead?  We are. Our new scenarios explore how digitalisation could change the world - democracy, prosperity, inequality, privacy, security - in the decades to come. Shell has been a pioneer in the use of scenario thinking to help understand the future and navigate uncertainty. In this interactive session, you will use tools and techniques to explore our new scenarios and your digital futures.</v>
      </c>
      <c r="C746" s="4" t="str">
        <f>IFERROR(__xludf.DUMMYFUNCTION("""COMPUTED_VALUE"""),"Workshop 3")</f>
        <v>Workshop 3</v>
      </c>
      <c r="D746" s="4" t="str">
        <f>IFERROR(__xludf.DUMMYFUNCTION("""COMPUTED_VALUE"""),"Adam Eales")</f>
        <v>Adam Eales</v>
      </c>
      <c r="E746" s="4" t="str">
        <f>IFERROR(__xludf.DUMMYFUNCTION("""COMPUTED_VALUE"""),"Adam Eales")</f>
        <v>Adam Eales</v>
      </c>
      <c r="F746" s="4" t="str">
        <f>IFERROR(__xludf.DUMMYFUNCTION("""COMPUTED_VALUE"""),"2019/11/07 14:00:00")</f>
        <v>2019/11/07 14:00:00</v>
      </c>
      <c r="G746" s="4" t="str">
        <f>IFERROR(__xludf.DUMMYFUNCTION("""COMPUTED_VALUE"""),"2019/11/07 14:45:00")</f>
        <v>2019/11/07 14:45:00</v>
      </c>
      <c r="H746" s="4" t="str">
        <f>IFERROR(__xludf.DUMMYFUNCTION("""COMPUTED_VALUE"""),"396442b4-338a-40dd-92e2-805f889a3087")</f>
        <v>396442b4-338a-40dd-92e2-805f889a3087</v>
      </c>
      <c r="I746" s="4" t="str">
        <f>IFERROR(__xludf.DUMMYFUNCTION("""COMPUTED_VALUE"""),"396442b4-338a-40dd-92e2-805f889a3087")</f>
        <v>396442b4-338a-40dd-92e2-805f889a3087</v>
      </c>
    </row>
    <row r="747">
      <c r="A747" s="4" t="str">
        <f>IFERROR(__xludf.DUMMYFUNCTION("""COMPUTED_VALUE"""),"Food truck 1")</f>
        <v>Food truck 1</v>
      </c>
      <c r="B747" s="4" t="str">
        <f>IFERROR(__xludf.DUMMYFUNCTION("""COMPUTED_VALUE"""),"")</f>
        <v/>
      </c>
      <c r="C747" s="4" t="str">
        <f>IFERROR(__xludf.DUMMYFUNCTION("""COMPUTED_VALUE"""),"Food truck 1 - Nov 5")</f>
        <v>Food truck 1 - Nov 5</v>
      </c>
      <c r="D747" s="4" t="str">
        <f>IFERROR(__xludf.DUMMYFUNCTION("""COMPUTED_VALUE"""),"")</f>
        <v/>
      </c>
      <c r="E747" s="4" t="str">
        <f>IFERROR(__xludf.DUMMYFUNCTION("""COMPUTED_VALUE"""),"")</f>
        <v/>
      </c>
      <c r="F747" s="4" t="str">
        <f>IFERROR(__xludf.DUMMYFUNCTION("""COMPUTED_VALUE"""),"2019/11/05 20:01:00")</f>
        <v>2019/11/05 20:01:00</v>
      </c>
      <c r="G747" s="4" t="str">
        <f>IFERROR(__xludf.DUMMYFUNCTION("""COMPUTED_VALUE"""),"2019/11/05 23:59:00")</f>
        <v>2019/11/05 23:59:00</v>
      </c>
      <c r="H747" s="4" t="str">
        <f>IFERROR(__xludf.DUMMYFUNCTION("""COMPUTED_VALUE"""),"799c633d-58c6-4465-9db2-f6ce702cb0b6")</f>
        <v>799c633d-58c6-4465-9db2-f6ce702cb0b6</v>
      </c>
      <c r="I747" s="4" t="str">
        <f>IFERROR(__xludf.DUMMYFUNCTION("""COMPUTED_VALUE"""),"799c633d-58c6-4465-9db2-f6ce702cb0b6")</f>
        <v>799c633d-58c6-4465-9db2-f6ce702cb0b6</v>
      </c>
    </row>
    <row r="748">
      <c r="A748" s="4" t="str">
        <f>IFERROR(__xludf.DUMMYFUNCTION("""COMPUTED_VALUE"""),"Featured venue: The Therapist")</f>
        <v>Featured venue: The Therapist</v>
      </c>
      <c r="B748" s="4" t="str">
        <f>IFERROR(__xludf.DUMMYFUNCTION("""COMPUTED_VALUE"""),"This healthy restaurant is transforming for one night only. Feed your body and your mind here, with a special menu encompassing power, detox, immunity, and strength. We were only after a glass of wine, but we'll take a double of this! Also with a gorgeous"&amp;" outdoor area.
Night Summit deals:
Beer for €1 and glass of wine €2.50")</f>
        <v>This healthy restaurant is transforming for one night only. Feed your body and your mind here, with a special menu encompassing power, detox, immunity, and strength. We were only after a glass of wine, but we'll take a double of this! Also with a gorgeous outdoor area.
Night Summit deals:
Beer for €1 and glass of wine €2.50</v>
      </c>
      <c r="C748" s="4" t="str">
        <f>IFERROR(__xludf.DUMMYFUNCTION("""COMPUTED_VALUE"""),"The Therapist")</f>
        <v>The Therapist</v>
      </c>
      <c r="D748" s="4" t="str">
        <f>IFERROR(__xludf.DUMMYFUNCTION("""COMPUTED_VALUE"""),"")</f>
        <v/>
      </c>
      <c r="E748" s="4" t="str">
        <f>IFERROR(__xludf.DUMMYFUNCTION("""COMPUTED_VALUE"""),"")</f>
        <v/>
      </c>
      <c r="F748" s="4" t="str">
        <f>IFERROR(__xludf.DUMMYFUNCTION("""COMPUTED_VALUE"""),"2019/11/06 20:00:00")</f>
        <v>2019/11/06 20:00:00</v>
      </c>
      <c r="G748" s="4" t="str">
        <f>IFERROR(__xludf.DUMMYFUNCTION("""COMPUTED_VALUE"""),"2019/11/07 02:00:00")</f>
        <v>2019/11/07 02:00:00</v>
      </c>
      <c r="H748" s="4" t="str">
        <f>IFERROR(__xludf.DUMMYFUNCTION("""COMPUTED_VALUE"""),"bd2f743b-a0b1-47e1-a419-f1f286a7b28d")</f>
        <v>bd2f743b-a0b1-47e1-a419-f1f286a7b28d</v>
      </c>
      <c r="I748" s="4" t="str">
        <f>IFERROR(__xludf.DUMMYFUNCTION("""COMPUTED_VALUE"""),"bd2f743b-a0b1-47e1-a419-f1f286a7b28d")</f>
        <v>bd2f743b-a0b1-47e1-a419-f1f286a7b28d</v>
      </c>
    </row>
    <row r="749">
      <c r="A749" s="4" t="str">
        <f>IFERROR(__xludf.DUMMYFUNCTION("""COMPUTED_VALUE"""),"GDPR 18 months in: What you need to know, hosted by European Commission ")</f>
        <v>GDPR 18 months in: What you need to know, hosted by European Commission </v>
      </c>
      <c r="B749" s="4" t="str">
        <f>IFERROR(__xludf.DUMMYFUNCTION("""COMPUTED_VALUE"""),"Learn from the source on how to navigate the EU's data protection law, GDPR.")</f>
        <v>Learn from the source on how to navigate the EU's data protection law, GDPR.</v>
      </c>
      <c r="C749" s="4" t="str">
        <f>IFERROR(__xludf.DUMMYFUNCTION("""COMPUTED_VALUE"""),"Workshop 2")</f>
        <v>Workshop 2</v>
      </c>
      <c r="D749" s="4" t="str">
        <f>IFERROR(__xludf.DUMMYFUNCTION("""COMPUTED_VALUE"""),"Isabelle Chatelier")</f>
        <v>Isabelle Chatelier</v>
      </c>
      <c r="E749" s="4" t="str">
        <f>IFERROR(__xludf.DUMMYFUNCTION("""COMPUTED_VALUE"""),"Isabelle Chatelier")</f>
        <v>Isabelle Chatelier</v>
      </c>
      <c r="F749" s="4" t="str">
        <f>IFERROR(__xludf.DUMMYFUNCTION("""COMPUTED_VALUE"""),"2019/11/07 14:00:00")</f>
        <v>2019/11/07 14:00:00</v>
      </c>
      <c r="G749" s="4" t="str">
        <f>IFERROR(__xludf.DUMMYFUNCTION("""COMPUTED_VALUE"""),"2019/11/07 14:45:00")</f>
        <v>2019/11/07 14:45:00</v>
      </c>
      <c r="H749" s="4" t="str">
        <f>IFERROR(__xludf.DUMMYFUNCTION("""COMPUTED_VALUE"""),"a8b01591-52e4-4d30-ad78-b2c1c0b07836")</f>
        <v>a8b01591-52e4-4d30-ad78-b2c1c0b07836</v>
      </c>
      <c r="I749" s="4" t="str">
        <f>IFERROR(__xludf.DUMMYFUNCTION("""COMPUTED_VALUE"""),"a8b01591-52e4-4d30-ad78-b2c1c0b07836")</f>
        <v>a8b01591-52e4-4d30-ad78-b2c1c0b07836</v>
      </c>
    </row>
    <row r="750">
      <c r="A750" s="4" t="str">
        <f>IFERROR(__xludf.DUMMYFUNCTION("""COMPUTED_VALUE"""),"Turning legacy brands into digital innovators")</f>
        <v>Turning legacy brands into digital innovators</v>
      </c>
      <c r="B750" s="4" t="str">
        <f>IFERROR(__xludf.DUMMYFUNCTION("""COMPUTED_VALUE"""),"Kering is an unrivalled behemoth in the world of luxury. Join its Chief Digital Officer as he discusses how Kering's fashion luxury brands are competing with tech-focused fashion startups, and how tech and digital are enabling consumer engagement.")</f>
        <v>Kering is an unrivalled behemoth in the world of luxury. Join its Chief Digital Officer as he discusses how Kering's fashion luxury brands are competing with tech-focused fashion startups, and how tech and digital are enabling consumer engagement.</v>
      </c>
      <c r="C750" s="4" t="str">
        <f>IFERROR(__xludf.DUMMYFUNCTION("""COMPUTED_VALUE"""),"Modum")</f>
        <v>Modum</v>
      </c>
      <c r="D750" s="4" t="str">
        <f>IFERROR(__xludf.DUMMYFUNCTION("""COMPUTED_VALUE"""),"Grégory Boutté and Maghan McDowell")</f>
        <v>Grégory Boutté and Maghan McDowell</v>
      </c>
      <c r="E750" s="4" t="str">
        <f>IFERROR(__xludf.DUMMYFUNCTION("""COMPUTED_VALUE"""),"Grégory Boutté,Maghan McDowell")</f>
        <v>Grégory Boutté,Maghan McDowell</v>
      </c>
      <c r="F750" s="4" t="str">
        <f>IFERROR(__xludf.DUMMYFUNCTION("""COMPUTED_VALUE"""),"2019/11/07 15:45:00")</f>
        <v>2019/11/07 15:45:00</v>
      </c>
      <c r="G750" s="4" t="str">
        <f>IFERROR(__xludf.DUMMYFUNCTION("""COMPUTED_VALUE"""),"2019/11/07 16:05:00")</f>
        <v>2019/11/07 16:05:00</v>
      </c>
      <c r="H750" s="4" t="str">
        <f>IFERROR(__xludf.DUMMYFUNCTION("""COMPUTED_VALUE"""),"a67a80fc-d55d-4f93-b012-a33d7e416490")</f>
        <v>a67a80fc-d55d-4f93-b012-a33d7e416490</v>
      </c>
      <c r="I750" s="4" t="str">
        <f>IFERROR(__xludf.DUMMYFUNCTION("""COMPUTED_VALUE"""),"a67a80fc-d55d-4f93-b012-a33d7e416490")</f>
        <v>a67a80fc-d55d-4f93-b012-a33d7e416490</v>
      </c>
    </row>
    <row r="751">
      <c r="A751" s="4" t="str">
        <f>IFERROR(__xludf.DUMMYFUNCTION("""COMPUTED_VALUE"""),"How to use interoperable solutions to boost sales, hosted by European Commission")</f>
        <v>How to use interoperable solutions to boost sales, hosted by European Commission</v>
      </c>
      <c r="B751" s="4" t="str">
        <f>IFERROR(__xludf.DUMMYFUNCTION("""COMPUTED_VALUE"""),"Interoperability is the backbone for the digital transformation. It connects public administrations, businesses and citizens, reducing procedures like setting up a new office in another country, e-invoicing and e-procurement procedures, among others, to j"&amp;"ust a few clicks.
Join the workshop by the ISA2 Programme of the European Commission to learn how other startups, SMEs and scale-ups used our interoperable solutions to boost up their sales and position themselves in the international market.")</f>
        <v>Interoperability is the backbone for the digital transformation. It connects public administrations, businesses and citizens, reducing procedures like setting up a new office in another country, e-invoicing and e-procurement procedures, among others, to just a few clicks.
Join the workshop by the ISA2 Programme of the European Commission to learn how other startups, SMEs and scale-ups used our interoperable solutions to boost up their sales and position themselves in the international market.</v>
      </c>
      <c r="C751" s="4" t="str">
        <f>IFERROR(__xludf.DUMMYFUNCTION("""COMPUTED_VALUE"""),"Workshop 2")</f>
        <v>Workshop 2</v>
      </c>
      <c r="D751" s="4" t="str">
        <f>IFERROR(__xludf.DUMMYFUNCTION("""COMPUTED_VALUE"""),"Maximilian Strotmann, Luukas Ilves, Gabriele Francescotto and Asta Griciene")</f>
        <v>Maximilian Strotmann, Luukas Ilves, Gabriele Francescotto and Asta Griciene</v>
      </c>
      <c r="E751" s="4" t="str">
        <f>IFERROR(__xludf.DUMMYFUNCTION("""COMPUTED_VALUE"""),"Maximilian Strotmann,Luukas Ilves,Gabriele Francescotto,Asta Griciene")</f>
        <v>Maximilian Strotmann,Luukas Ilves,Gabriele Francescotto,Asta Griciene</v>
      </c>
      <c r="F751" s="4" t="str">
        <f>IFERROR(__xludf.DUMMYFUNCTION("""COMPUTED_VALUE"""),"2019/11/05 15:00:00")</f>
        <v>2019/11/05 15:00:00</v>
      </c>
      <c r="G751" s="4" t="str">
        <f>IFERROR(__xludf.DUMMYFUNCTION("""COMPUTED_VALUE"""),"2019/11/05 15:45:00")</f>
        <v>2019/11/05 15:45:00</v>
      </c>
      <c r="H751" s="4" t="str">
        <f>IFERROR(__xludf.DUMMYFUNCTION("""COMPUTED_VALUE"""),"083bca91-c0c9-4e00-b1f1-b1149dd9f9d9")</f>
        <v>083bca91-c0c9-4e00-b1f1-b1149dd9f9d9</v>
      </c>
      <c r="I751" s="4" t="str">
        <f>IFERROR(__xludf.DUMMYFUNCTION("""COMPUTED_VALUE"""),"083bca91-c0c9-4e00-b1f1-b1149dd9f9d9")</f>
        <v>083bca91-c0c9-4e00-b1f1-b1149dd9f9d9</v>
      </c>
    </row>
    <row r="752">
      <c r="A752" s="4" t="str">
        <f>IFERROR(__xludf.DUMMYFUNCTION("""COMPUTED_VALUE"""),"Opening remarks")</f>
        <v>Opening remarks</v>
      </c>
      <c r="B752" s="4" t="str">
        <f>IFERROR(__xludf.DUMMYFUNCTION("""COMPUTED_VALUE"""),"Opening remarks from Caroline Venza.")</f>
        <v>Opening remarks from Caroline Venza.</v>
      </c>
      <c r="C752" s="4" t="str">
        <f>IFERROR(__xludf.DUMMYFUNCTION("""COMPUTED_VALUE"""),"planet:tech ")</f>
        <v>planet:tech </v>
      </c>
      <c r="D752" s="4" t="str">
        <f>IFERROR(__xludf.DUMMYFUNCTION("""COMPUTED_VALUE"""),"Caroline Venza")</f>
        <v>Caroline Venza</v>
      </c>
      <c r="E752" s="4" t="str">
        <f>IFERROR(__xludf.DUMMYFUNCTION("""COMPUTED_VALUE"""),"Caroline Venza")</f>
        <v>Caroline Venza</v>
      </c>
      <c r="F752" s="4" t="str">
        <f>IFERROR(__xludf.DUMMYFUNCTION("""COMPUTED_VALUE"""),"2019/11/05 11:00:00")</f>
        <v>2019/11/05 11:00:00</v>
      </c>
      <c r="G752" s="4" t="str">
        <f>IFERROR(__xludf.DUMMYFUNCTION("""COMPUTED_VALUE"""),"2019/11/05 11:15:00")</f>
        <v>2019/11/05 11:15:00</v>
      </c>
      <c r="H752" s="4" t="str">
        <f>IFERROR(__xludf.DUMMYFUNCTION("""COMPUTED_VALUE"""),"5b65234e-3e3a-41f0-afa8-337f56ecef08")</f>
        <v>5b65234e-3e3a-41f0-afa8-337f56ecef08</v>
      </c>
      <c r="I752" s="4" t="str">
        <f>IFERROR(__xludf.DUMMYFUNCTION("""COMPUTED_VALUE"""),"5b65234e-3e3a-41f0-afa8-337f56ecef08")</f>
        <v>5b65234e-3e3a-41f0-afa8-337f56ecef08</v>
      </c>
    </row>
    <row r="753">
      <c r="A753" s="4" t="str">
        <f>IFERROR(__xludf.DUMMYFUNCTION("""COMPUTED_VALUE"""),"Eric Cantona: Tackling society's greatest challenge")</f>
        <v>Eric Cantona: Tackling society's greatest challenge</v>
      </c>
      <c r="B753" s="4" t="str">
        <f>IFERROR(__xludf.DUMMYFUNCTION("""COMPUTED_VALUE"""),"The word “legend” is often thrown around, but rarely used so accurately. The iconic Eric Cantona and co-founder of Common Goal Jürgen Griesbeck outline how the organisation is trying to unite the global football community so they can tackle the greatest s"&amp;"ocial challenges of our time.")</f>
        <v>The word “legend” is often thrown around, but rarely used so accurately. The iconic Eric Cantona and co-founder of Common Goal Jürgen Griesbeck outline how the organisation is trying to unite the global football community so they can tackle the greatest social challenges of our time.</v>
      </c>
      <c r="C753" s="4" t="str">
        <f>IFERROR(__xludf.DUMMYFUNCTION("""COMPUTED_VALUE"""),"SportsTrade")</f>
        <v>SportsTrade</v>
      </c>
      <c r="D753" s="4" t="str">
        <f>IFERROR(__xludf.DUMMYFUNCTION("""COMPUTED_VALUE"""),"Eric Cantona, Jürgen Griesbeck and Sid Lowe")</f>
        <v>Eric Cantona, Jürgen Griesbeck and Sid Lowe</v>
      </c>
      <c r="E753" s="4" t="str">
        <f>IFERROR(__xludf.DUMMYFUNCTION("""COMPUTED_VALUE"""),"Eric Cantona,Jürgen Griesbeck,Sid Lowe")</f>
        <v>Eric Cantona,Jürgen Griesbeck,Sid Lowe</v>
      </c>
      <c r="F753" s="4" t="str">
        <f>IFERROR(__xludf.DUMMYFUNCTION("""COMPUTED_VALUE"""),"2019/11/05 15:15:00")</f>
        <v>2019/11/05 15:15:00</v>
      </c>
      <c r="G753" s="4" t="str">
        <f>IFERROR(__xludf.DUMMYFUNCTION("""COMPUTED_VALUE"""),"2019/11/05 15:35:00")</f>
        <v>2019/11/05 15:35:00</v>
      </c>
      <c r="H753" s="4" t="str">
        <f>IFERROR(__xludf.DUMMYFUNCTION("""COMPUTED_VALUE"""),"53f4c150-21c2-44d9-acb6-c72596fb4c8e")</f>
        <v>53f4c150-21c2-44d9-acb6-c72596fb4c8e</v>
      </c>
      <c r="I753" s="4" t="str">
        <f>IFERROR(__xludf.DUMMYFUNCTION("""COMPUTED_VALUE"""),"53f4c150-21c2-44d9-acb6-c72596fb4c8e")</f>
        <v>53f4c150-21c2-44d9-acb6-c72596fb4c8e</v>
      </c>
    </row>
    <row r="754">
      <c r="A754" s="4" t="str">
        <f>IFERROR(__xludf.DUMMYFUNCTION("""COMPUTED_VALUE"""),"AI: Advantage investing?")</f>
        <v>AI: Advantage investing?</v>
      </c>
      <c r="B754" s="4" t="str">
        <f>IFERROR(__xludf.DUMMYFUNCTION("""COMPUTED_VALUE"""),"How can AI and VC work more closely together? Can AI help VCs make more informed decisions about the scalability of a startup, and the likelihood of growth? In this panel we'll look at harnessing the power of AI to assist the decisions often based on gut.")</f>
        <v>How can AI and VC work more closely together? Can AI help VCs make more informed decisions about the scalability of a startup, and the likelihood of growth? In this panel we'll look at harnessing the power of AI to assist the decisions often based on gut.</v>
      </c>
      <c r="C754" s="4" t="str">
        <f>IFERROR(__xludf.DUMMYFUNCTION("""COMPUTED_VALUE"""),"Venture stage")</f>
        <v>Venture stage</v>
      </c>
      <c r="D754" s="4" t="str">
        <f>IFERROR(__xludf.DUMMYFUNCTION("""COMPUTED_VALUE"""),"Jacob Mullins, Dale Chang and David Kelnar")</f>
        <v>Jacob Mullins, Dale Chang and David Kelnar</v>
      </c>
      <c r="E754" s="4" t="str">
        <f>IFERROR(__xludf.DUMMYFUNCTION("""COMPUTED_VALUE"""),"Jacob Mullins,Dale Chang,David Kelnar")</f>
        <v>Jacob Mullins,Dale Chang,David Kelnar</v>
      </c>
      <c r="F754" s="4" t="str">
        <f>IFERROR(__xludf.DUMMYFUNCTION("""COMPUTED_VALUE"""),"2019/11/05 14:05:00")</f>
        <v>2019/11/05 14:05:00</v>
      </c>
      <c r="G754" s="4" t="str">
        <f>IFERROR(__xludf.DUMMYFUNCTION("""COMPUTED_VALUE"""),"2019/11/05 14:25:00")</f>
        <v>2019/11/05 14:25:00</v>
      </c>
      <c r="H754" s="4" t="str">
        <f>IFERROR(__xludf.DUMMYFUNCTION("""COMPUTED_VALUE"""),"3c35f956-7430-41f3-8bc2-18d855f4042f")</f>
        <v>3c35f956-7430-41f3-8bc2-18d855f4042f</v>
      </c>
      <c r="I754" s="4" t="str">
        <f>IFERROR(__xludf.DUMMYFUNCTION("""COMPUTED_VALUE"""),"3c35f956-7430-41f3-8bc2-18d855f4042f")</f>
        <v>3c35f956-7430-41f3-8bc2-18d855f4042f</v>
      </c>
    </row>
    <row r="755">
      <c r="A755" s="4" t="str">
        <f>IFERROR(__xludf.DUMMYFUNCTION("""COMPUTED_VALUE"""),"The future education powered by AI ")</f>
        <v>The future education powered by AI </v>
      </c>
      <c r="B755" s="4" t="str">
        <f>IFERROR(__xludf.DUMMYFUNCTION("""COMPUTED_VALUE"""),"In his presentation, Derek Haoyang Li, the founder of Chinese AI and EdTech unicorn, Squirrel AI Learning will discuss the future of education. What would the ultimate ideal education look like, and what stage we are in right now?")</f>
        <v>In his presentation, Derek Haoyang Li, the founder of Chinese AI and EdTech unicorn, Squirrel AI Learning will discuss the future of education. What would the ultimate ideal education look like, and what stage we are in right now?</v>
      </c>
      <c r="C755" s="8" t="str">
        <f>IFERROR(__xludf.DUMMYFUNCTION("""COMPUTED_VALUE"""),"binate.io")</f>
        <v>binate.io</v>
      </c>
      <c r="D755" s="4" t="str">
        <f>IFERROR(__xludf.DUMMYFUNCTION("""COMPUTED_VALUE"""),"Derek Haoyang Li")</f>
        <v>Derek Haoyang Li</v>
      </c>
      <c r="E755" s="4" t="str">
        <f>IFERROR(__xludf.DUMMYFUNCTION("""COMPUTED_VALUE"""),"Derek Haoyang Li")</f>
        <v>Derek Haoyang Li</v>
      </c>
      <c r="F755" s="4" t="str">
        <f>IFERROR(__xludf.DUMMYFUNCTION("""COMPUTED_VALUE"""),"2019/11/06 14:05:00")</f>
        <v>2019/11/06 14:05:00</v>
      </c>
      <c r="G755" s="4" t="str">
        <f>IFERROR(__xludf.DUMMYFUNCTION("""COMPUTED_VALUE"""),"2019/11/06 14:25:00")</f>
        <v>2019/11/06 14:25:00</v>
      </c>
      <c r="H755" s="4" t="str">
        <f>IFERROR(__xludf.DUMMYFUNCTION("""COMPUTED_VALUE"""),"4df90319-cc96-41ff-9fab-d47ea71ad0c7")</f>
        <v>4df90319-cc96-41ff-9fab-d47ea71ad0c7</v>
      </c>
      <c r="I755" s="4" t="str">
        <f>IFERROR(__xludf.DUMMYFUNCTION("""COMPUTED_VALUE"""),"4df90319-cc96-41ff-9fab-d47ea71ad0c7")</f>
        <v>4df90319-cc96-41ff-9fab-d47ea71ad0c7</v>
      </c>
    </row>
    <row r="756">
      <c r="A756" s="4" t="str">
        <f>IFERROR(__xludf.DUMMYFUNCTION("""COMPUTED_VALUE"""),"Are we over wearables?")</f>
        <v>Are we over wearables?</v>
      </c>
      <c r="B756" s="4" t="str">
        <f>IFERROR(__xludf.DUMMYFUNCTION("""COMPUTED_VALUE"""),"Are we over wearables?For years, we've loved that wearables let us track everything from sleep and calories, to steps and heart rate. But is that about to change? Are consumers losing interest in fashion and fitness wearables? And can a new wave of offeri"&amp;"ngs from medical device companies turn the tide back toward wearable tech?")</f>
        <v>Are we over wearables?For years, we've loved that wearables let us track everything from sleep and calories, to steps and heart rate. But is that about to change? Are consumers losing interest in fashion and fitness wearables? And can a new wave of offerings from medical device companies turn the tide back toward wearable tech?</v>
      </c>
      <c r="C756" s="4" t="str">
        <f>IFERROR(__xludf.DUMMYFUNCTION("""COMPUTED_VALUE"""),"HealthConf")</f>
        <v>HealthConf</v>
      </c>
      <c r="D756" s="4" t="str">
        <f>IFERROR(__xludf.DUMMYFUNCTION("""COMPUTED_VALUE"""),"Wai Lee, Kate Rosenbluth and Kieran Yates")</f>
        <v>Wai Lee, Kate Rosenbluth and Kieran Yates</v>
      </c>
      <c r="E756" s="4" t="str">
        <f>IFERROR(__xludf.DUMMYFUNCTION("""COMPUTED_VALUE"""),"Wai Lee,Kate Rosenbluth,Kieran Yates")</f>
        <v>Wai Lee,Kate Rosenbluth,Kieran Yates</v>
      </c>
      <c r="F756" s="4" t="str">
        <f>IFERROR(__xludf.DUMMYFUNCTION("""COMPUTED_VALUE"""),"2019/11/07 15:30:00")</f>
        <v>2019/11/07 15:30:00</v>
      </c>
      <c r="G756" s="4" t="str">
        <f>IFERROR(__xludf.DUMMYFUNCTION("""COMPUTED_VALUE"""),"2019/11/07 15:50:00")</f>
        <v>2019/11/07 15:50:00</v>
      </c>
      <c r="H756" s="4" t="str">
        <f>IFERROR(__xludf.DUMMYFUNCTION("""COMPUTED_VALUE"""),"9183f1ec-6e86-44e3-b40f-11a1140f1f36")</f>
        <v>9183f1ec-6e86-44e3-b40f-11a1140f1f36</v>
      </c>
      <c r="I756" s="4" t="str">
        <f>IFERROR(__xludf.DUMMYFUNCTION("""COMPUTED_VALUE"""),"9183f1ec-6e86-44e3-b40f-11a1140f1f36")</f>
        <v>9183f1ec-6e86-44e3-b40f-11a1140f1f36</v>
      </c>
    </row>
    <row r="757">
      <c r="A757" s="4" t="str">
        <f>IFERROR(__xludf.DUMMYFUNCTION("""COMPUTED_VALUE"""),"Interactive 3D web mapping, hosted by HERE Technologies ")</f>
        <v>Interactive 3D web mapping, hosted by HERE Technologies </v>
      </c>
      <c r="B757" s="4" t="str">
        <f>IFERROR(__xludf.DUMMYFUNCTION("""COMPUTED_VALUE"""),"HERE Technologies experts will offer an overview of harp.gl. This new web-based, open source, 3-D map visualisation framework can be used with HERE's real-time location data management service, XYZ.
Using harp.gl with XYZ enables development of a fully"&amp;" interactive and compelling map data visualisation application, which combines different types of data sources with your own location data. Join to find out what you can currently do with harp.gl and XYZ and learn more about the exciting upcoming features"&amp;".")</f>
        <v>HERE Technologies experts will offer an overview of harp.gl. This new web-based, open source, 3-D map visualisation framework can be used with HERE's real-time location data management service, XYZ.
Using harp.gl with XYZ enables development of a fully interactive and compelling map data visualisation application, which combines different types of data sources with your own location data. Join to find out what you can currently do with harp.gl and XYZ and learn more about the exciting upcoming features.</v>
      </c>
      <c r="C757" s="4" t="str">
        <f>IFERROR(__xludf.DUMMYFUNCTION("""COMPUTED_VALUE"""),"Workshop 4")</f>
        <v>Workshop 4</v>
      </c>
      <c r="D757" s="4" t="str">
        <f>IFERROR(__xludf.DUMMYFUNCTION("""COMPUTED_VALUE"""),"Nino Kettlitz")</f>
        <v>Nino Kettlitz</v>
      </c>
      <c r="E757" s="4" t="str">
        <f>IFERROR(__xludf.DUMMYFUNCTION("""COMPUTED_VALUE"""),"Nino Kettlitz")</f>
        <v>Nino Kettlitz</v>
      </c>
      <c r="F757" s="4" t="str">
        <f>IFERROR(__xludf.DUMMYFUNCTION("""COMPUTED_VALUE"""),"2019/11/07 10:00:00")</f>
        <v>2019/11/07 10:00:00</v>
      </c>
      <c r="G757" s="4" t="str">
        <f>IFERROR(__xludf.DUMMYFUNCTION("""COMPUTED_VALUE"""),"2019/11/07 11:00:00")</f>
        <v>2019/11/07 11:00:00</v>
      </c>
      <c r="H757" s="4" t="str">
        <f>IFERROR(__xludf.DUMMYFUNCTION("""COMPUTED_VALUE"""),"381e2c88-8172-43e3-8471-d8870be7d3a6")</f>
        <v>381e2c88-8172-43e3-8471-d8870be7d3a6</v>
      </c>
      <c r="I757" s="4" t="str">
        <f>IFERROR(__xludf.DUMMYFUNCTION("""COMPUTED_VALUE"""),"381e2c88-8172-43e3-8471-d8870be7d3a6")</f>
        <v>381e2c88-8172-43e3-8471-d8870be7d3a6</v>
      </c>
    </row>
    <row r="758">
      <c r="A758" s="4" t="str">
        <f>IFERROR(__xludf.DUMMYFUNCTION("""COMPUTED_VALUE"""),"Featured venue: Pensão Amor")</f>
        <v>Featured venue: Pensão Amor</v>
      </c>
      <c r="B758" s="4" t="str">
        <f>IFERROR(__xludf.DUMMYFUNCTION("""COMPUTED_VALUE"""),"We love a rags to ruin transformation. Once a rundown boarding house, this is now a space people flock to, whether to watch burlesque, sip on a signature cocktail, or simply to hang out with friends. Discover the secret corners of Pensão Amor, a place whe"&amp;"re you'll be greeted with the smile of open minds and free, creative thinking. ")</f>
        <v>We love a rags to ruin transformation. Once a rundown boarding house, this is now a space people flock to, whether to watch burlesque, sip on a signature cocktail, or simply to hang out with friends. Discover the secret corners of Pensão Amor, a place where you'll be greeted with the smile of open minds and free, creative thinking. </v>
      </c>
      <c r="C758" s="4" t="str">
        <f>IFERROR(__xludf.DUMMYFUNCTION("""COMPUTED_VALUE"""),"Pensão Amor")</f>
        <v>Pensão Amor</v>
      </c>
      <c r="D758" s="4" t="str">
        <f>IFERROR(__xludf.DUMMYFUNCTION("""COMPUTED_VALUE"""),"")</f>
        <v/>
      </c>
      <c r="E758" s="4" t="str">
        <f>IFERROR(__xludf.DUMMYFUNCTION("""COMPUTED_VALUE"""),"")</f>
        <v/>
      </c>
      <c r="F758" s="4" t="str">
        <f>IFERROR(__xludf.DUMMYFUNCTION("""COMPUTED_VALUE"""),"2019/11/05 20:00:00")</f>
        <v>2019/11/05 20:00:00</v>
      </c>
      <c r="G758" s="4" t="str">
        <f>IFERROR(__xludf.DUMMYFUNCTION("""COMPUTED_VALUE"""),"2019/11/06 00:00:00")</f>
        <v>2019/11/06 00:00:00</v>
      </c>
      <c r="H758" s="4" t="str">
        <f>IFERROR(__xludf.DUMMYFUNCTION("""COMPUTED_VALUE"""),"7075cce4-33d4-428a-972f-5136454fcaa6")</f>
        <v>7075cce4-33d4-428a-972f-5136454fcaa6</v>
      </c>
      <c r="I758" s="4" t="str">
        <f>IFERROR(__xludf.DUMMYFUNCTION("""COMPUTED_VALUE"""),"7075cce4-33d4-428a-972f-5136454fcaa6")</f>
        <v>7075cce4-33d4-428a-972f-5136454fcaa6</v>
      </c>
    </row>
    <row r="759">
      <c r="A759" s="4" t="str">
        <f>IFERROR(__xludf.DUMMYFUNCTION("""COMPUTED_VALUE"""),"Powering your branded content on Instagram workshop, hosted by Shutterstock")</f>
        <v>Powering your branded content on Instagram workshop, hosted by Shutterstock</v>
      </c>
      <c r="B759" s="4" t="str">
        <f>IFERROR(__xludf.DUMMYFUNCTION("""COMPUTED_VALUE"""),"The rise of photo and video sharing platforms, coupled with decreasing attention spans and budgets, means brands and agencies have struggled to keep up with the production of visual content. How have leading brands, with new technology, streamlined and sc"&amp;"aled their branded visual content production? Join this workshop to learn how to drastically simplify the creative briefing process, while also increasing speed of delivery and reducing costs.
*Please bring a laptop for this workshop")</f>
        <v>The rise of photo and video sharing platforms, coupled with decreasing attention spans and budgets, means brands and agencies have struggled to keep up with the production of visual content. How have leading brands, with new technology, streamlined and scaled their branded visual content production? Join this workshop to learn how to drastically simplify the creative briefing process, while also increasing speed of delivery and reducing costs.
*Please bring a laptop for this workshop</v>
      </c>
      <c r="C759" s="4" t="str">
        <f>IFERROR(__xludf.DUMMYFUNCTION("""COMPUTED_VALUE"""),"Workshop 3")</f>
        <v>Workshop 3</v>
      </c>
      <c r="D759" s="4" t="str">
        <f>IFERROR(__xludf.DUMMYFUNCTION("""COMPUTED_VALUE"""),"Luc Berlin")</f>
        <v>Luc Berlin</v>
      </c>
      <c r="E759" s="4" t="str">
        <f>IFERROR(__xludf.DUMMYFUNCTION("""COMPUTED_VALUE"""),"Luc Berlin")</f>
        <v>Luc Berlin</v>
      </c>
      <c r="F759" s="4" t="str">
        <f>IFERROR(__xludf.DUMMYFUNCTION("""COMPUTED_VALUE"""),"2019/11/06 10:00:00")</f>
        <v>2019/11/06 10:00:00</v>
      </c>
      <c r="G759" s="4" t="str">
        <f>IFERROR(__xludf.DUMMYFUNCTION("""COMPUTED_VALUE"""),"2019/11/06 10:45:00")</f>
        <v>2019/11/06 10:45:00</v>
      </c>
      <c r="H759" s="4" t="str">
        <f>IFERROR(__xludf.DUMMYFUNCTION("""COMPUTED_VALUE"""),"0c02af5d-e8ae-4ecf-b5cb-d253d9e876a6")</f>
        <v>0c02af5d-e8ae-4ecf-b5cb-d253d9e876a6</v>
      </c>
      <c r="I759" s="4" t="str">
        <f>IFERROR(__xludf.DUMMYFUNCTION("""COMPUTED_VALUE"""),"0c02af5d-e8ae-4ecf-b5cb-d253d9e876a6")</f>
        <v>0c02af5d-e8ae-4ecf-b5cb-d253d9e876a6</v>
      </c>
    </row>
    <row r="760">
      <c r="A760" s="4" t="str">
        <f>IFERROR(__xludf.DUMMYFUNCTION("""COMPUTED_VALUE"""),"An introduction to Cisco DevNet for developers, startups and students, hosted by Cisco")</f>
        <v>An introduction to Cisco DevNet for developers, startups and students, hosted by Cisco</v>
      </c>
      <c r="B760" s="4" t="str">
        <f>IFERROR(__xludf.DUMMYFUNCTION("""COMPUTED_VALUE"""),"There's something for everyone in this workshop. Students can explore career opportunities, learning paths and certifications. Startups can discover in-country support and learn how to engage with Cisco partners. Entrepreneurs can find ways to close the g"&amp;"ap between ideas and business solutions. Developers can see real life examples of how partners are using Cisco APIs in their innovative solutions. Come and discover top technology areas, explore our free resources and ask our developer advocates how to ge"&amp;"t started with Cisco DevNet.")</f>
        <v>There's something for everyone in this workshop. Students can explore career opportunities, learning paths and certifications. Startups can discover in-country support and learn how to engage with Cisco partners. Entrepreneurs can find ways to close the gap between ideas and business solutions. Developers can see real life examples of how partners are using Cisco APIs in their innovative solutions. Come and discover top technology areas, explore our free resources and ask our developer advocates how to get started with Cisco DevNet.</v>
      </c>
      <c r="C760" s="4" t="str">
        <f>IFERROR(__xludf.DUMMYFUNCTION("""COMPUTED_VALUE"""),"Workshop 2")</f>
        <v>Workshop 2</v>
      </c>
      <c r="D760" s="4" t="str">
        <f>IFERROR(__xludf.DUMMYFUNCTION("""COMPUTED_VALUE"""),"")</f>
        <v/>
      </c>
      <c r="E760" s="4" t="str">
        <f>IFERROR(__xludf.DUMMYFUNCTION("""COMPUTED_VALUE"""),"")</f>
        <v/>
      </c>
      <c r="F760" s="4" t="str">
        <f>IFERROR(__xludf.DUMMYFUNCTION("""COMPUTED_VALUE"""),"2019/11/06 14:00:00")</f>
        <v>2019/11/06 14:00:00</v>
      </c>
      <c r="G760" s="4" t="str">
        <f>IFERROR(__xludf.DUMMYFUNCTION("""COMPUTED_VALUE"""),"2019/11/06 14:45:00")</f>
        <v>2019/11/06 14:45:00</v>
      </c>
      <c r="H760" s="4" t="str">
        <f>IFERROR(__xludf.DUMMYFUNCTION("""COMPUTED_VALUE"""),"ee457dff-c396-4e84-883d-8fb1f3149639")</f>
        <v>ee457dff-c396-4e84-883d-8fb1f3149639</v>
      </c>
      <c r="I760" s="4" t="str">
        <f>IFERROR(__xludf.DUMMYFUNCTION("""COMPUTED_VALUE"""),"ee457dff-c396-4e84-883d-8fb1f3149639")</f>
        <v>ee457dff-c396-4e84-883d-8fb1f3149639</v>
      </c>
    </row>
    <row r="761">
      <c r="A761" s="4" t="str">
        <f>IFERROR(__xludf.DUMMYFUNCTION("""COMPUTED_VALUE"""),"Q&amp;A with Akon")</f>
        <v>Q&amp;A with Akon</v>
      </c>
      <c r="B761" s="4" t="str">
        <f>IFERROR(__xludf.DUMMYFUNCTION("""COMPUTED_VALUE"""),"")</f>
        <v/>
      </c>
      <c r="C761" s="4" t="str">
        <f>IFERROR(__xludf.DUMMYFUNCTION("""COMPUTED_VALUE"""),"")</f>
        <v/>
      </c>
      <c r="D761" s="4" t="str">
        <f>IFERROR(__xludf.DUMMYFUNCTION("""COMPUTED_VALUE"""),"Akon")</f>
        <v>Akon</v>
      </c>
      <c r="E761" s="4" t="str">
        <f>IFERROR(__xludf.DUMMYFUNCTION("""COMPUTED_VALUE"""),"Akon")</f>
        <v>Akon</v>
      </c>
      <c r="F761" s="4" t="str">
        <f>IFERROR(__xludf.DUMMYFUNCTION("""COMPUTED_VALUE"""),"")</f>
        <v/>
      </c>
      <c r="G761" s="4" t="str">
        <f>IFERROR(__xludf.DUMMYFUNCTION("""COMPUTED_VALUE"""),"")</f>
        <v/>
      </c>
      <c r="H761" s="4" t="str">
        <f>IFERROR(__xludf.DUMMYFUNCTION("""COMPUTED_VALUE"""),"ae2fa0e2-6f72-53cb-9d55-3e17ad474d4a")</f>
        <v>ae2fa0e2-6f72-53cb-9d55-3e17ad474d4a</v>
      </c>
      <c r="I761" s="4" t="str">
        <f>IFERROR(__xludf.DUMMYFUNCTION("""COMPUTED_VALUE"""),"ae2fa0e2-6f72-53cb-9d55-3e17ad474d4a")</f>
        <v>ae2fa0e2-6f72-53cb-9d55-3e17ad474d4a</v>
      </c>
    </row>
    <row r="762">
      <c r="A762" s="4" t="str">
        <f>IFERROR(__xludf.DUMMYFUNCTION("""COMPUTED_VALUE"""),"Eliminate the Noise")</f>
        <v>Eliminate the Noise</v>
      </c>
      <c r="B762" s="4" t="str">
        <f>IFERROR(__xludf.DUMMYFUNCTION("""COMPUTED_VALUE"""),"Vezeeta’s Founder &amp; CEO, Amir Barsoum will be sharing his insights on how to reach independent data-driven rationales and the importance of eliminating noise to reach success.")</f>
        <v>Vezeeta’s Founder &amp; CEO, Amir Barsoum will be sharing his insights on how to reach independent data-driven rationales and the importance of eliminating noise to reach success.</v>
      </c>
      <c r="C762" s="4" t="str">
        <f>IFERROR(__xludf.DUMMYFUNCTION("""COMPUTED_VALUE"""),"Growth Summit")</f>
        <v>Growth Summit</v>
      </c>
      <c r="D762" s="4" t="str">
        <f>IFERROR(__xludf.DUMMYFUNCTION("""COMPUTED_VALUE"""),"Amir Barsoum")</f>
        <v>Amir Barsoum</v>
      </c>
      <c r="E762" s="4" t="str">
        <f>IFERROR(__xludf.DUMMYFUNCTION("""COMPUTED_VALUE"""),"Amir Barsoum")</f>
        <v>Amir Barsoum</v>
      </c>
      <c r="F762" s="4" t="str">
        <f>IFERROR(__xludf.DUMMYFUNCTION("""COMPUTED_VALUE"""),"2019/11/07 14:53:00")</f>
        <v>2019/11/07 14:53:00</v>
      </c>
      <c r="G762" s="4" t="str">
        <f>IFERROR(__xludf.DUMMYFUNCTION("""COMPUTED_VALUE"""),"2019/11/07 15:04:00")</f>
        <v>2019/11/07 15:04:00</v>
      </c>
      <c r="H762" s="4" t="str">
        <f>IFERROR(__xludf.DUMMYFUNCTION("""COMPUTED_VALUE"""),"b216ab08-5bd3-4067-87e3-5756a474a249")</f>
        <v>b216ab08-5bd3-4067-87e3-5756a474a249</v>
      </c>
      <c r="I762" s="4" t="str">
        <f>IFERROR(__xludf.DUMMYFUNCTION("""COMPUTED_VALUE"""),"b216ab08-5bd3-4067-87e3-5756a474a249")</f>
        <v>b216ab08-5bd3-4067-87e3-5756a474a249</v>
      </c>
    </row>
    <row r="763">
      <c r="A763" s="4" t="str">
        <f>IFERROR(__xludf.DUMMYFUNCTION("""COMPUTED_VALUE"""),"AI-based solutions as a driver of growth")</f>
        <v>AI-based solutions as a driver of growth</v>
      </c>
      <c r="B763" s="4" t="str">
        <f>IFERROR(__xludf.DUMMYFUNCTION("""COMPUTED_VALUE"""),"Co-founder and CDO of Pravoved, Olga outlines how her company has achieved a 200% annual growth rate by developing and integrating AI-based solutions. She’ll discuss the benefits of having an in-house AI-based lawyer-assistant, which provides basic legal "&amp;"advice for the company.")</f>
        <v>Co-founder and CDO of Pravoved, Olga outlines how her company has achieved a 200% annual growth rate by developing and integrating AI-based solutions. She’ll discuss the benefits of having an in-house AI-based lawyer-assistant, which provides basic legal advice for the company.</v>
      </c>
      <c r="C763" s="4" t="str">
        <f>IFERROR(__xludf.DUMMYFUNCTION("""COMPUTED_VALUE"""),"Growth Summit")</f>
        <v>Growth Summit</v>
      </c>
      <c r="D763" s="4" t="str">
        <f>IFERROR(__xludf.DUMMYFUNCTION("""COMPUTED_VALUE"""),"Olga Prikhodko")</f>
        <v>Olga Prikhodko</v>
      </c>
      <c r="E763" s="4" t="str">
        <f>IFERROR(__xludf.DUMMYFUNCTION("""COMPUTED_VALUE"""),"Olga Prikhodko")</f>
        <v>Olga Prikhodko</v>
      </c>
      <c r="F763" s="4" t="str">
        <f>IFERROR(__xludf.DUMMYFUNCTION("""COMPUTED_VALUE"""),"2019/11/06 11:14:00")</f>
        <v>2019/11/06 11:14:00</v>
      </c>
      <c r="G763" s="4" t="str">
        <f>IFERROR(__xludf.DUMMYFUNCTION("""COMPUTED_VALUE"""),"2019/11/06 11:18:00")</f>
        <v>2019/11/06 11:18:00</v>
      </c>
      <c r="H763" s="4" t="str">
        <f>IFERROR(__xludf.DUMMYFUNCTION("""COMPUTED_VALUE"""),"186f7796-f9c0-48be-9e46-af21ceb39db1")</f>
        <v>186f7796-f9c0-48be-9e46-af21ceb39db1</v>
      </c>
      <c r="I763" s="4" t="str">
        <f>IFERROR(__xludf.DUMMYFUNCTION("""COMPUTED_VALUE"""),"186f7796-f9c0-48be-9e46-af21ceb39db1")</f>
        <v>186f7796-f9c0-48be-9e46-af21ceb39db1</v>
      </c>
    </row>
    <row r="764">
      <c r="A764" s="4" t="str">
        <f>IFERROR(__xludf.DUMMYFUNCTION("""COMPUTED_VALUE"""),"Opening remarks")</f>
        <v>Opening remarks</v>
      </c>
      <c r="B764" s="4" t="str">
        <f>IFERROR(__xludf.DUMMYFUNCTION("""COMPUTED_VALUE"""),"")</f>
        <v/>
      </c>
      <c r="C764" s="4" t="str">
        <f>IFERROR(__xludf.DUMMYFUNCTION("""COMPUTED_VALUE"""),"creatiff")</f>
        <v>creatiff</v>
      </c>
      <c r="D764" s="4" t="str">
        <f>IFERROR(__xludf.DUMMYFUNCTION("""COMPUTED_VALUE"""),"Sandra Lopes")</f>
        <v>Sandra Lopes</v>
      </c>
      <c r="E764" s="4" t="str">
        <f>IFERROR(__xludf.DUMMYFUNCTION("""COMPUTED_VALUE"""),"Sandra Lopes")</f>
        <v>Sandra Lopes</v>
      </c>
      <c r="F764" s="4" t="str">
        <f>IFERROR(__xludf.DUMMYFUNCTION("""COMPUTED_VALUE"""),"2019/11/05 14:20:00")</f>
        <v>2019/11/05 14:20:00</v>
      </c>
      <c r="G764" s="4" t="str">
        <f>IFERROR(__xludf.DUMMYFUNCTION("""COMPUTED_VALUE"""),"2019/11/05 14:25:00")</f>
        <v>2019/11/05 14:25:00</v>
      </c>
      <c r="H764" s="4" t="str">
        <f>IFERROR(__xludf.DUMMYFUNCTION("""COMPUTED_VALUE"""),"3249c047-573d-44d2-8b55-90cde570f634")</f>
        <v>3249c047-573d-44d2-8b55-90cde570f634</v>
      </c>
      <c r="I764" s="4" t="str">
        <f>IFERROR(__xludf.DUMMYFUNCTION("""COMPUTED_VALUE"""),"3249c047-573d-44d2-8b55-90cde570f634")</f>
        <v>3249c047-573d-44d2-8b55-90cde570f634</v>
      </c>
    </row>
    <row r="765">
      <c r="A765" s="4" t="str">
        <f>IFERROR(__xludf.DUMMYFUNCTION("""COMPUTED_VALUE"""),"Myths and facts: Everyone has an AI story")</f>
        <v>Myths and facts: Everyone has an AI story</v>
      </c>
      <c r="B765" s="4" t="str">
        <f>IFERROR(__xludf.DUMMYFUNCTION("""COMPUTED_VALUE"""),"If the end of hand coding is nigh, where does the future lie? With AI. ")</f>
        <v>If the end of hand coding is nigh, where does the future lie? With AI. </v>
      </c>
      <c r="C765" s="4" t="str">
        <f>IFERROR(__xludf.DUMMYFUNCTION("""COMPUTED_VALUE"""),"SaaS Monster")</f>
        <v>SaaS Monster</v>
      </c>
      <c r="D765" s="4" t="str">
        <f>IFERROR(__xludf.DUMMYFUNCTION("""COMPUTED_VALUE"""),"David Cancel, Sudheesh Nair, Falon Fatemi and Jeremy Kahn")</f>
        <v>David Cancel, Sudheesh Nair, Falon Fatemi and Jeremy Kahn</v>
      </c>
      <c r="E765" s="4" t="str">
        <f>IFERROR(__xludf.DUMMYFUNCTION("""COMPUTED_VALUE"""),"David Cancel,Sudheesh Nair,Falon Fatemi,Jeremy Kahn")</f>
        <v>David Cancel,Sudheesh Nair,Falon Fatemi,Jeremy Kahn</v>
      </c>
      <c r="F765" s="4" t="str">
        <f>IFERROR(__xludf.DUMMYFUNCTION("""COMPUTED_VALUE"""),"2019/11/06 13:40:00")</f>
        <v>2019/11/06 13:40:00</v>
      </c>
      <c r="G765" s="4" t="str">
        <f>IFERROR(__xludf.DUMMYFUNCTION("""COMPUTED_VALUE"""),"2019/11/06 14:00:00")</f>
        <v>2019/11/06 14:00:00</v>
      </c>
      <c r="H765" s="4" t="str">
        <f>IFERROR(__xludf.DUMMYFUNCTION("""COMPUTED_VALUE"""),"a337a32f-0332-4cb1-85f2-e3afa5259bec")</f>
        <v>a337a32f-0332-4cb1-85f2-e3afa5259bec</v>
      </c>
      <c r="I765" s="4" t="str">
        <f>IFERROR(__xludf.DUMMYFUNCTION("""COMPUTED_VALUE"""),"a337a32f-0332-4cb1-85f2-e3afa5259bec")</f>
        <v>a337a32f-0332-4cb1-85f2-e3afa5259bec</v>
      </c>
    </row>
    <row r="766">
      <c r="A766" s="4" t="str">
        <f>IFERROR(__xludf.DUMMYFUNCTION("""COMPUTED_VALUE"""),"Opening remarks")</f>
        <v>Opening remarks</v>
      </c>
      <c r="B766" s="4" t="str">
        <f>IFERROR(__xludf.DUMMYFUNCTION("""COMPUTED_VALUE"""),"")</f>
        <v/>
      </c>
      <c r="C766" s="4" t="str">
        <f>IFERROR(__xludf.DUMMYFUNCTION("""COMPUTED_VALUE"""),"creatiff")</f>
        <v>creatiff</v>
      </c>
      <c r="D766" s="4" t="str">
        <f>IFERROR(__xludf.DUMMYFUNCTION("""COMPUTED_VALUE"""),"Cat How")</f>
        <v>Cat How</v>
      </c>
      <c r="E766" s="4" t="str">
        <f>IFERROR(__xludf.DUMMYFUNCTION("""COMPUTED_VALUE"""),"Cat How")</f>
        <v>Cat How</v>
      </c>
      <c r="F766" s="4" t="str">
        <f>IFERROR(__xludf.DUMMYFUNCTION("""COMPUTED_VALUE"""),"2019/11/05 11:00:00")</f>
        <v>2019/11/05 11:00:00</v>
      </c>
      <c r="G766" s="4" t="str">
        <f>IFERROR(__xludf.DUMMYFUNCTION("""COMPUTED_VALUE"""),"2019/11/05 11:15:00")</f>
        <v>2019/11/05 11:15:00</v>
      </c>
      <c r="H766" s="4" t="str">
        <f>IFERROR(__xludf.DUMMYFUNCTION("""COMPUTED_VALUE"""),"457f714b-695c-43f3-8226-29f0902597d2")</f>
        <v>457f714b-695c-43f3-8226-29f0902597d2</v>
      </c>
      <c r="I766" s="4" t="str">
        <f>IFERROR(__xludf.DUMMYFUNCTION("""COMPUTED_VALUE"""),"457f714b-695c-43f3-8226-29f0902597d2")</f>
        <v>457f714b-695c-43f3-8226-29f0902597d2</v>
      </c>
    </row>
    <row r="767">
      <c r="A767" s="4" t="str">
        <f>IFERROR(__xludf.DUMMYFUNCTION("""COMPUTED_VALUE"""),"Lunch break")</f>
        <v>Lunch break</v>
      </c>
      <c r="B767" s="4" t="str">
        <f>IFERROR(__xludf.DUMMYFUNCTION("""COMPUTED_VALUE"""),"")</f>
        <v/>
      </c>
      <c r="C767" s="4" t="str">
        <f>IFERROR(__xludf.DUMMYFUNCTION("""COMPUTED_VALUE"""),"Modum")</f>
        <v>Modum</v>
      </c>
      <c r="D767" s="4" t="str">
        <f>IFERROR(__xludf.DUMMYFUNCTION("""COMPUTED_VALUE"""),"")</f>
        <v/>
      </c>
      <c r="E767" s="4" t="str">
        <f>IFERROR(__xludf.DUMMYFUNCTION("""COMPUTED_VALUE"""),"")</f>
        <v/>
      </c>
      <c r="F767" s="4" t="str">
        <f>IFERROR(__xludf.DUMMYFUNCTION("""COMPUTED_VALUE"""),"2019/11/07 13:45:00")</f>
        <v>2019/11/07 13:45:00</v>
      </c>
      <c r="G767" s="4" t="str">
        <f>IFERROR(__xludf.DUMMYFUNCTION("""COMPUTED_VALUE"""),"2019/11/07 14:25:00")</f>
        <v>2019/11/07 14:25:00</v>
      </c>
      <c r="H767" s="4" t="str">
        <f>IFERROR(__xludf.DUMMYFUNCTION("""COMPUTED_VALUE"""),"1042baa7-d502-4e56-a154-39bac8cd874e")</f>
        <v>1042baa7-d502-4e56-a154-39bac8cd874e</v>
      </c>
      <c r="I767" s="4" t="str">
        <f>IFERROR(__xludf.DUMMYFUNCTION("""COMPUTED_VALUE"""),"1042baa7-d502-4e56-a154-39bac8cd874e")</f>
        <v>1042baa7-d502-4e56-a154-39bac8cd874e</v>
      </c>
    </row>
    <row r="768">
      <c r="A768" s="4" t="str">
        <f>IFERROR(__xludf.DUMMYFUNCTION("""COMPUTED_VALUE"""),"The business of football")</f>
        <v>The business of football</v>
      </c>
      <c r="B768" s="4" t="str">
        <f>IFERROR(__xludf.DUMMYFUNCTION("""COMPUTED_VALUE"""),"This session offers a 360° view of running a modern football club, as we bring leaders in playing, managing, sports science and administration together to outline what it takes to build success.")</f>
        <v>This session offers a 360° view of running a modern football club, as we bring leaders in playing, managing, sports science and administration together to outline what it takes to build success.</v>
      </c>
      <c r="C768" s="4" t="str">
        <f>IFERROR(__xludf.DUMMYFUNCTION("""COMPUTED_VALUE"""),"SportsTrade")</f>
        <v>SportsTrade</v>
      </c>
      <c r="D768" s="4" t="str">
        <f>IFERROR(__xludf.DUMMYFUNCTION("""COMPUTED_VALUE"""),"Sean O’Connor, José María Cruz, Pascal Chimbonda and Andy Mitten")</f>
        <v>Sean O’Connor, José María Cruz, Pascal Chimbonda and Andy Mitten</v>
      </c>
      <c r="E768" s="4" t="str">
        <f>IFERROR(__xludf.DUMMYFUNCTION("""COMPUTED_VALUE"""),"Sean O’Connor,José María Cruz,Pascal Chimbonda,Andy Mitten")</f>
        <v>Sean O’Connor,José María Cruz,Pascal Chimbonda,Andy Mitten</v>
      </c>
      <c r="F768" s="4" t="str">
        <f>IFERROR(__xludf.DUMMYFUNCTION("""COMPUTED_VALUE"""),"2019/11/05 13:15:00")</f>
        <v>2019/11/05 13:15:00</v>
      </c>
      <c r="G768" s="4" t="str">
        <f>IFERROR(__xludf.DUMMYFUNCTION("""COMPUTED_VALUE"""),"2019/11/05 13:35:00")</f>
        <v>2019/11/05 13:35:00</v>
      </c>
      <c r="H768" s="4" t="str">
        <f>IFERROR(__xludf.DUMMYFUNCTION("""COMPUTED_VALUE"""),"8c203e64-61bb-4e15-baa6-38e051d17d09")</f>
        <v>8c203e64-61bb-4e15-baa6-38e051d17d09</v>
      </c>
      <c r="I768" s="4" t="str">
        <f>IFERROR(__xludf.DUMMYFUNCTION("""COMPUTED_VALUE"""),"8c203e64-61bb-4e15-baa6-38e051d17d09")</f>
        <v>8c203e64-61bb-4e15-baa6-38e051d17d09</v>
      </c>
    </row>
    <row r="769">
      <c r="A769" s="4" t="str">
        <f>IFERROR(__xludf.DUMMYFUNCTION("""COMPUTED_VALUE"""),"Why digitalisation requires new ways for cybersecurity")</f>
        <v>Why digitalisation requires new ways for cybersecurity</v>
      </c>
      <c r="B769" s="4" t="str">
        <f>IFERROR(__xludf.DUMMYFUNCTION("""COMPUTED_VALUE"""),"Digital connectivity is making our lives easier and boosting business competitiveness. At the same time the risks of cyberattacks are increasing as well. They are able to endanger our data, our infrastructures and also our health. But where there are risk"&amp;"s, there are also opportunities. To take advantage of the digital revolution, cybersecurity has to be an integral part of it. Natalia Oropeza, Global Chief Cybersecurity Officer for Siemens, shares vital insights on how to protect critical assets today an"&amp;"d in the future and how to collaborate globally in the field of cybersecurity.")</f>
        <v>Digital connectivity is making our lives easier and boosting business competitiveness. At the same time the risks of cyberattacks are increasing as well. They are able to endanger our data, our infrastructures and also our health. But where there are risks, there are also opportunities. To take advantage of the digital revolution, cybersecurity has to be an integral part of it. Natalia Oropeza, Global Chief Cybersecurity Officer for Siemens, shares vital insights on how to protect critical assets today and in the future and how to collaborate globally in the field of cybersecurity.</v>
      </c>
      <c r="C769" s="8" t="str">
        <f>IFERROR(__xludf.DUMMYFUNCTION("""COMPUTED_VALUE"""),"binate.io")</f>
        <v>binate.io</v>
      </c>
      <c r="D769" s="4" t="str">
        <f>IFERROR(__xludf.DUMMYFUNCTION("""COMPUTED_VALUE"""),"Natalia Oropeza")</f>
        <v>Natalia Oropeza</v>
      </c>
      <c r="E769" s="4" t="str">
        <f>IFERROR(__xludf.DUMMYFUNCTION("""COMPUTED_VALUE"""),"Natalia Oropeza")</f>
        <v>Natalia Oropeza</v>
      </c>
      <c r="F769" s="4" t="str">
        <f>IFERROR(__xludf.DUMMYFUNCTION("""COMPUTED_VALUE"""),"2019/11/06 12:25:00")</f>
        <v>2019/11/06 12:25:00</v>
      </c>
      <c r="G769" s="4" t="str">
        <f>IFERROR(__xludf.DUMMYFUNCTION("""COMPUTED_VALUE"""),"2019/11/06 12:45:00")</f>
        <v>2019/11/06 12:45:00</v>
      </c>
      <c r="H769" s="4" t="str">
        <f>IFERROR(__xludf.DUMMYFUNCTION("""COMPUTED_VALUE"""),"b2a9c498-e4f1-49a0-a2f6-c6da5d3a2240")</f>
        <v>b2a9c498-e4f1-49a0-a2f6-c6da5d3a2240</v>
      </c>
      <c r="I769" s="4" t="str">
        <f>IFERROR(__xludf.DUMMYFUNCTION("""COMPUTED_VALUE"""),"b2a9c498-e4f1-49a0-a2f6-c6da5d3a2240")</f>
        <v>b2a9c498-e4f1-49a0-a2f6-c6da5d3a2240</v>
      </c>
    </row>
    <row r="770">
      <c r="A770" s="4" t="str">
        <f>IFERROR(__xludf.DUMMYFUNCTION("""COMPUTED_VALUE"""),"Immersive entertainment: The next generation")</f>
        <v>Immersive entertainment: The next generation</v>
      </c>
      <c r="B770" s="4" t="str">
        <f>IFERROR(__xludf.DUMMYFUNCTION("""COMPUTED_VALUE"""),"Audiences want more than a good movie - they want a memorable experience. Mike will use examples of the latest technologies and projects, showing how brands and IP owners can unlock exciting new possibilities for audience engagement through immersive ente"&amp;"rtainment.")</f>
        <v>Audiences want more than a good movie - they want a memorable experience. Mike will use examples of the latest technologies and projects, showing how brands and IP owners can unlock exciting new possibilities for audience engagement through immersive entertainment.</v>
      </c>
      <c r="C770" s="4" t="str">
        <f>IFERROR(__xludf.DUMMYFUNCTION("""COMPUTED_VALUE"""),"ContentMakers")</f>
        <v>ContentMakers</v>
      </c>
      <c r="D770" s="4" t="str">
        <f>IFERROR(__xludf.DUMMYFUNCTION("""COMPUTED_VALUE"""),"Mike McGee")</f>
        <v>Mike McGee</v>
      </c>
      <c r="E770" s="4" t="str">
        <f>IFERROR(__xludf.DUMMYFUNCTION("""COMPUTED_VALUE"""),"Mike McGee")</f>
        <v>Mike McGee</v>
      </c>
      <c r="F770" s="4" t="str">
        <f>IFERROR(__xludf.DUMMYFUNCTION("""COMPUTED_VALUE"""),"2019/11/06 13:10:00")</f>
        <v>2019/11/06 13:10:00</v>
      </c>
      <c r="G770" s="4" t="str">
        <f>IFERROR(__xludf.DUMMYFUNCTION("""COMPUTED_VALUE"""),"2019/11/06 13:30:00")</f>
        <v>2019/11/06 13:30:00</v>
      </c>
      <c r="H770" s="4" t="str">
        <f>IFERROR(__xludf.DUMMYFUNCTION("""COMPUTED_VALUE"""),"01a52227-4e40-46fb-ba79-643f48ca2d68")</f>
        <v>01a52227-4e40-46fb-ba79-643f48ca2d68</v>
      </c>
      <c r="I770" s="4" t="str">
        <f>IFERROR(__xludf.DUMMYFUNCTION("""COMPUTED_VALUE"""),"01a52227-4e40-46fb-ba79-643f48ca2d68")</f>
        <v>01a52227-4e40-46fb-ba79-643f48ca2d68</v>
      </c>
    </row>
    <row r="771">
      <c r="A771" s="4" t="str">
        <f>IFERROR(__xludf.DUMMYFUNCTION("""COMPUTED_VALUE"""),"PITCH final")</f>
        <v>PITCH final</v>
      </c>
      <c r="B771" s="4" t="str">
        <f>IFERROR(__xludf.DUMMYFUNCTION("""COMPUTED_VALUE"""),"The finalists of the greatest startup competition in the world take to Centre Stage to battle it out for the title of 2019 PITCH champion.")</f>
        <v>The finalists of the greatest startup competition in the world take to Centre Stage to battle it out for the title of 2019 PITCH champion.</v>
      </c>
      <c r="C771" s="4" t="str">
        <f>IFERROR(__xludf.DUMMYFUNCTION("""COMPUTED_VALUE"""),"Centre Stage")</f>
        <v>Centre Stage</v>
      </c>
      <c r="D771" s="4" t="str">
        <f>IFERROR(__xludf.DUMMYFUNCTION("""COMPUTED_VALUE"""),"Mada Seghete, Bradley Twohig and Paddy Cosgrave")</f>
        <v>Mada Seghete, Bradley Twohig and Paddy Cosgrave</v>
      </c>
      <c r="E771" s="4" t="str">
        <f>IFERROR(__xludf.DUMMYFUNCTION("""COMPUTED_VALUE"""),"Mada Seghete,Bradley Twohig,Paddy Cosgrave")</f>
        <v>Mada Seghete,Bradley Twohig,Paddy Cosgrave</v>
      </c>
      <c r="F771" s="4" t="str">
        <f>IFERROR(__xludf.DUMMYFUNCTION("""COMPUTED_VALUE"""),"2019/11/07 12:30:00")</f>
        <v>2019/11/07 12:30:00</v>
      </c>
      <c r="G771" s="4" t="str">
        <f>IFERROR(__xludf.DUMMYFUNCTION("""COMPUTED_VALUE"""),"2019/11/07 13:00:00")</f>
        <v>2019/11/07 13:00:00</v>
      </c>
      <c r="H771" s="4" t="str">
        <f>IFERROR(__xludf.DUMMYFUNCTION("""COMPUTED_VALUE"""),"a7d9e021-9883-4e4e-ae22-a38b51b80d16")</f>
        <v>a7d9e021-9883-4e4e-ae22-a38b51b80d16</v>
      </c>
      <c r="I771" s="4" t="str">
        <f>IFERROR(__xludf.DUMMYFUNCTION("""COMPUTED_VALUE"""),"a7d9e021-9883-4e4e-ae22-a38b51b80d16")</f>
        <v>a7d9e021-9883-4e4e-ae22-a38b51b80d16</v>
      </c>
    </row>
    <row r="772">
      <c r="A772" s="4" t="str">
        <f>IFERROR(__xludf.DUMMYFUNCTION("""COMPUTED_VALUE"""),"Speed is everything")</f>
        <v>Speed is everything</v>
      </c>
      <c r="B772" s="4" t="str">
        <f>IFERROR(__xludf.DUMMYFUNCTION("""COMPUTED_VALUE"""),"Mode co-founder and CEO, Derek Steer, shares the story of how speed of data played a critical role in Mode’s growth, and how to effectively use data to grow a company.")</f>
        <v>Mode co-founder and CEO, Derek Steer, shares the story of how speed of data played a critical role in Mode’s growth, and how to effectively use data to grow a company.</v>
      </c>
      <c r="C772" s="4" t="str">
        <f>IFERROR(__xludf.DUMMYFUNCTION("""COMPUTED_VALUE"""),"Growth Summit")</f>
        <v>Growth Summit</v>
      </c>
      <c r="D772" s="4" t="str">
        <f>IFERROR(__xludf.DUMMYFUNCTION("""COMPUTED_VALUE"""),"Derek Steer")</f>
        <v>Derek Steer</v>
      </c>
      <c r="E772" s="4" t="str">
        <f>IFERROR(__xludf.DUMMYFUNCTION("""COMPUTED_VALUE"""),"Derek Steer")</f>
        <v>Derek Steer</v>
      </c>
      <c r="F772" s="4" t="str">
        <f>IFERROR(__xludf.DUMMYFUNCTION("""COMPUTED_VALUE"""),"2019/11/05 13:14:00")</f>
        <v>2019/11/05 13:14:00</v>
      </c>
      <c r="G772" s="4" t="str">
        <f>IFERROR(__xludf.DUMMYFUNCTION("""COMPUTED_VALUE"""),"2019/11/05 13:25:00")</f>
        <v>2019/11/05 13:25:00</v>
      </c>
      <c r="H772" s="4" t="str">
        <f>IFERROR(__xludf.DUMMYFUNCTION("""COMPUTED_VALUE"""),"2207ec97-cf58-470f-b289-e71f0210f0c4")</f>
        <v>2207ec97-cf58-470f-b289-e71f0210f0c4</v>
      </c>
      <c r="I772" s="4" t="str">
        <f>IFERROR(__xludf.DUMMYFUNCTION("""COMPUTED_VALUE"""),"2207ec97-cf58-470f-b289-e71f0210f0c4")</f>
        <v>2207ec97-cf58-470f-b289-e71f0210f0c4</v>
      </c>
    </row>
    <row r="773">
      <c r="A773" s="4" t="str">
        <f>IFERROR(__xludf.DUMMYFUNCTION("""COMPUTED_VALUE"""),"Train Station Alcântara Terra")</f>
        <v>Train Station Alcântara Terra</v>
      </c>
      <c r="B773" s="4" t="str">
        <f>IFERROR(__xludf.DUMMYFUNCTION("""COMPUTED_VALUE"""),"")</f>
        <v/>
      </c>
      <c r="C773" s="4" t="str">
        <f>IFERROR(__xludf.DUMMYFUNCTION("""COMPUTED_VALUE"""),"Train Station Alcântara Terra")</f>
        <v>Train Station Alcântara Terra</v>
      </c>
      <c r="D773" s="4" t="str">
        <f>IFERROR(__xludf.DUMMYFUNCTION("""COMPUTED_VALUE"""),"")</f>
        <v/>
      </c>
      <c r="E773" s="4" t="str">
        <f>IFERROR(__xludf.DUMMYFUNCTION("""COMPUTED_VALUE"""),"")</f>
        <v/>
      </c>
      <c r="F773" s="4" t="str">
        <f>IFERROR(__xludf.DUMMYFUNCTION("""COMPUTED_VALUE"""),"2019/11/06 20:01:00")</f>
        <v>2019/11/06 20:01:00</v>
      </c>
      <c r="G773" s="4" t="str">
        <f>IFERROR(__xludf.DUMMYFUNCTION("""COMPUTED_VALUE"""),"2019/11/07 01:59:00")</f>
        <v>2019/11/07 01:59:00</v>
      </c>
      <c r="H773" s="4" t="str">
        <f>IFERROR(__xludf.DUMMYFUNCTION("""COMPUTED_VALUE"""),"003f897b-8f5a-45d1-ba93-ae0b3d77c79e")</f>
        <v>003f897b-8f5a-45d1-ba93-ae0b3d77c79e</v>
      </c>
      <c r="I773" s="4" t="str">
        <f>IFERROR(__xludf.DUMMYFUNCTION("""COMPUTED_VALUE"""),"003f897b-8f5a-45d1-ba93-ae0b3d77c79e")</f>
        <v>003f897b-8f5a-45d1-ba93-ae0b3d77c79e</v>
      </c>
    </row>
    <row r="774">
      <c r="A774" s="4" t="str">
        <f>IFERROR(__xludf.DUMMYFUNCTION("""COMPUTED_VALUE"""),"UN Global Compact SDG Media Zone")</f>
        <v>UN Global Compact SDG Media Zone</v>
      </c>
      <c r="B774" s="4" t="str">
        <f>IFERROR(__xludf.DUMMYFUNCTION("""COMPUTED_VALUE"""),"The SDG Media Zone is a platform for editors, bloggers, content creators and influencers to communicate innovations, partnerships and discussions as a call to action for humanity to engage the Sustainable Development Goals.
SDG Media Zone @ Web Summit,"&amp;" will report live from the world’s leading tech conference that will take place on November 4 - 7 in Lisbon, Portugal. This year over 70,000 people will come to Lisbon for Web Summit. They’ll be joined by the CEOs and founders of the world’s biggest compa"&amp;"nies, the most promising new startups, influential investors and leading journalist
Find the full programme here https://registration.unglobalcompact.org/website/6934/schedule/")</f>
        <v>The SDG Media Zone is a platform for editors, bloggers, content creators and influencers to communicate innovations, partnerships and discussions as a call to action for humanity to engage the Sustainable Development Goals.
SDG Media Zone @ Web Summit, will report live from the world’s leading tech conference that will take place on November 4 - 7 in Lisbon, Portugal. This year over 70,000 people will come to Lisbon for Web Summit. They’ll be joined by the CEOs and founders of the world’s biggest companies, the most promising new startups, influential investors and leading journalist
Find the full programme here https://registration.unglobalcompact.org/website/6934/schedule/</v>
      </c>
      <c r="C774" s="4" t="str">
        <f>IFERROR(__xludf.DUMMYFUNCTION("""COMPUTED_VALUE"""),"UN Global Compact SDG Media Zone, E214, FIL 2")</f>
        <v>UN Global Compact SDG Media Zone, E214, FIL 2</v>
      </c>
      <c r="D774" s="4" t="str">
        <f>IFERROR(__xludf.DUMMYFUNCTION("""COMPUTED_VALUE"""),"")</f>
        <v/>
      </c>
      <c r="E774" s="4" t="str">
        <f>IFERROR(__xludf.DUMMYFUNCTION("""COMPUTED_VALUE"""),"")</f>
        <v/>
      </c>
      <c r="F774" s="4" t="str">
        <f>IFERROR(__xludf.DUMMYFUNCTION("""COMPUTED_VALUE"""),"2019/11/06 10:00:00")</f>
        <v>2019/11/06 10:00:00</v>
      </c>
      <c r="G774" s="4" t="str">
        <f>IFERROR(__xludf.DUMMYFUNCTION("""COMPUTED_VALUE"""),"2019/11/06 16:00:00")</f>
        <v>2019/11/06 16:00:00</v>
      </c>
      <c r="H774" s="4" t="str">
        <f>IFERROR(__xludf.DUMMYFUNCTION("""COMPUTED_VALUE"""),"9344955f-ba8b-4cca-9c37-892a6bd3fd0b")</f>
        <v>9344955f-ba8b-4cca-9c37-892a6bd3fd0b</v>
      </c>
      <c r="I774" s="4" t="str">
        <f>IFERROR(__xludf.DUMMYFUNCTION("""COMPUTED_VALUE"""),"9344955f-ba8b-4cca-9c37-892a6bd3fd0b")</f>
        <v>9344955f-ba8b-4cca-9c37-892a6bd3fd0b</v>
      </c>
    </row>
    <row r="775">
      <c r="A775" s="4" t="str">
        <f>IFERROR(__xludf.DUMMYFUNCTION("""COMPUTED_VALUE"""),"Is your startup really fundable? The hexagon theory of fundraising")</f>
        <v>Is your startup really fundable? The hexagon theory of fundraising</v>
      </c>
      <c r="B775" s="4" t="str">
        <f>IFERROR(__xludf.DUMMYFUNCTION("""COMPUTED_VALUE"""),"Founder and CEO of Show4me Music Interaction Network, Karén, will talk about his own hexagon theory of fundraising and how it helped to close two successful investment rounds for Show4me.")</f>
        <v>Founder and CEO of Show4me Music Interaction Network, Karén, will talk about his own hexagon theory of fundraising and how it helped to close two successful investment rounds for Show4me.</v>
      </c>
      <c r="C775" s="4" t="str">
        <f>IFERROR(__xludf.DUMMYFUNCTION("""COMPUTED_VALUE"""),"Growth Summit")</f>
        <v>Growth Summit</v>
      </c>
      <c r="D775" s="4" t="str">
        <f>IFERROR(__xludf.DUMMYFUNCTION("""COMPUTED_VALUE"""),"Karén Chiftalaryan")</f>
        <v>Karén Chiftalaryan</v>
      </c>
      <c r="E775" s="4" t="str">
        <f>IFERROR(__xludf.DUMMYFUNCTION("""COMPUTED_VALUE"""),"Karén Chiftalaryan")</f>
        <v>Karén Chiftalaryan</v>
      </c>
      <c r="F775" s="4" t="str">
        <f>IFERROR(__xludf.DUMMYFUNCTION("""COMPUTED_VALUE"""),"2019/11/06 10:46:00")</f>
        <v>2019/11/06 10:46:00</v>
      </c>
      <c r="G775" s="4" t="str">
        <f>IFERROR(__xludf.DUMMYFUNCTION("""COMPUTED_VALUE"""),"2019/11/06 10:50:00")</f>
        <v>2019/11/06 10:50:00</v>
      </c>
      <c r="H775" s="4" t="str">
        <f>IFERROR(__xludf.DUMMYFUNCTION("""COMPUTED_VALUE"""),"782a807a-0bdf-40fd-bd63-32551cdfc2e5")</f>
        <v>782a807a-0bdf-40fd-bd63-32551cdfc2e5</v>
      </c>
      <c r="I775" s="4" t="str">
        <f>IFERROR(__xludf.DUMMYFUNCTION("""COMPUTED_VALUE"""),"782a807a-0bdf-40fd-bd63-32551cdfc2e5")</f>
        <v>782a807a-0bdf-40fd-bd63-32551cdfc2e5</v>
      </c>
    </row>
    <row r="776">
      <c r="A776" s="4" t="str">
        <f>IFERROR(__xludf.DUMMYFUNCTION("""COMPUTED_VALUE"""),"Werner Hoyer of the European Investment Bank in conversation")</f>
        <v>Werner Hoyer of the European Investment Bank in conversation</v>
      </c>
      <c r="B776" s="4" t="str">
        <f>IFERROR(__xludf.DUMMYFUNCTION("""COMPUTED_VALUE"""),"The President of one of the world's largest public investment banks Werner Hoyer of the European Investment Bank Group talks about his vision for the future of Europe.")</f>
        <v>The President of one of the world's largest public investment banks Werner Hoyer of the European Investment Bank Group talks about his vision for the future of Europe.</v>
      </c>
      <c r="C776" s="4" t="str">
        <f>IFERROR(__xludf.DUMMYFUNCTION("""COMPUTED_VALUE"""),"Venture stage")</f>
        <v>Venture stage</v>
      </c>
      <c r="D776" s="4" t="str">
        <f>IFERROR(__xludf.DUMMYFUNCTION("""COMPUTED_VALUE"""),"Werner Hoyer and Felix Holtermann")</f>
        <v>Werner Hoyer and Felix Holtermann</v>
      </c>
      <c r="E776" s="4" t="str">
        <f>IFERROR(__xludf.DUMMYFUNCTION("""COMPUTED_VALUE"""),"Werner Hoyer,Felix Holtermann")</f>
        <v>Werner Hoyer,Felix Holtermann</v>
      </c>
      <c r="F776" s="4" t="str">
        <f>IFERROR(__xludf.DUMMYFUNCTION("""COMPUTED_VALUE"""),"2019/11/07 10:45:00")</f>
        <v>2019/11/07 10:45:00</v>
      </c>
      <c r="G776" s="4" t="str">
        <f>IFERROR(__xludf.DUMMYFUNCTION("""COMPUTED_VALUE"""),"2019/11/07 11:10:00")</f>
        <v>2019/11/07 11:10:00</v>
      </c>
      <c r="H776" s="4" t="str">
        <f>IFERROR(__xludf.DUMMYFUNCTION("""COMPUTED_VALUE"""),"c6f626fb-96e4-422c-b456-33d832a4c0f0")</f>
        <v>c6f626fb-96e4-422c-b456-33d832a4c0f0</v>
      </c>
      <c r="I776" s="4" t="str">
        <f>IFERROR(__xludf.DUMMYFUNCTION("""COMPUTED_VALUE"""),"c6f626fb-96e4-422c-b456-33d832a4c0f0")</f>
        <v>c6f626fb-96e4-422c-b456-33d832a4c0f0</v>
      </c>
    </row>
    <row r="777">
      <c r="A777" s="4" t="str">
        <f>IFERROR(__xludf.DUMMYFUNCTION("""COMPUTED_VALUE"""),"Which tech to back tomorrow")</f>
        <v>Which tech to back tomorrow</v>
      </c>
      <c r="B777" s="4" t="str">
        <f>IFERROR(__xludf.DUMMYFUNCTION("""COMPUTED_VALUE"""),"Interested to learn about the new technologies you should invest in? Then this session is for you.")</f>
        <v>Interested to learn about the new technologies you should invest in? Then this session is for you.</v>
      </c>
      <c r="C777" s="4" t="str">
        <f>IFERROR(__xludf.DUMMYFUNCTION("""COMPUTED_VALUE"""),"Venture stage")</f>
        <v>Venture stage</v>
      </c>
      <c r="D777" s="4" t="str">
        <f>IFERROR(__xludf.DUMMYFUNCTION("""COMPUTED_VALUE"""),"Eric Martineau Fortin, Jose Del Barrio, Merav Weinryb, Lars Jornow and Amy Thomson")</f>
        <v>Eric Martineau Fortin, Jose Del Barrio, Merav Weinryb, Lars Jornow and Amy Thomson</v>
      </c>
      <c r="E777" s="4" t="str">
        <f>IFERROR(__xludf.DUMMYFUNCTION("""COMPUTED_VALUE"""),"Eric Martineau Fortin,Jose Del Barrio,Merav Weinryb,Lars Jornow,Amy Thomson")</f>
        <v>Eric Martineau Fortin,Jose Del Barrio,Merav Weinryb,Lars Jornow,Amy Thomson</v>
      </c>
      <c r="F777" s="4" t="str">
        <f>IFERROR(__xludf.DUMMYFUNCTION("""COMPUTED_VALUE"""),"2019/11/06 13:45:00")</f>
        <v>2019/11/06 13:45:00</v>
      </c>
      <c r="G777" s="4" t="str">
        <f>IFERROR(__xludf.DUMMYFUNCTION("""COMPUTED_VALUE"""),"2019/11/06 14:05:00")</f>
        <v>2019/11/06 14:05:00</v>
      </c>
      <c r="H777" s="4" t="str">
        <f>IFERROR(__xludf.DUMMYFUNCTION("""COMPUTED_VALUE"""),"801ea847-c969-49d5-adfb-95d5a10595d7")</f>
        <v>801ea847-c969-49d5-adfb-95d5a10595d7</v>
      </c>
      <c r="I777" s="4" t="str">
        <f>IFERROR(__xludf.DUMMYFUNCTION("""COMPUTED_VALUE"""),"801ea847-c969-49d5-adfb-95d5a10595d7")</f>
        <v>801ea847-c969-49d5-adfb-95d5a10595d7</v>
      </c>
    </row>
    <row r="778">
      <c r="A778" s="4" t="str">
        <f>IFERROR(__xludf.DUMMYFUNCTION("""COMPUTED_VALUE"""),"Evolving a Portuguese icon")</f>
        <v>Evolving a Portuguese icon</v>
      </c>
      <c r="B778" s="4" t="str">
        <f>IFERROR(__xludf.DUMMYFUNCTION("""COMPUTED_VALUE"""),"225 years &amp; counting. Millions of consumers later, we welcome one of Portugal's largest corporations in Jerónimo Martins to share their story on how they became a giant company whilst continually modernising with the times.")</f>
        <v>225 years &amp; counting. Millions of consumers later, we welcome one of Portugal's largest corporations in Jerónimo Martins to share their story on how they became a giant company whilst continually modernising with the times.</v>
      </c>
      <c r="C778" s="4" t="str">
        <f>IFERROR(__xludf.DUMMYFUNCTION("""COMPUTED_VALUE"""),"Corporate Innovation Summit")</f>
        <v>Corporate Innovation Summit</v>
      </c>
      <c r="D778" s="4" t="str">
        <f>IFERROR(__xludf.DUMMYFUNCTION("""COMPUTED_VALUE"""),"André Ribeiro de Faria and Rosália Amorim")</f>
        <v>André Ribeiro de Faria and Rosália Amorim</v>
      </c>
      <c r="E778" s="4" t="str">
        <f>IFERROR(__xludf.DUMMYFUNCTION("""COMPUTED_VALUE"""),"André Ribeiro de Faria,Rosália Amorim")</f>
        <v>André Ribeiro de Faria,Rosália Amorim</v>
      </c>
      <c r="F778" s="4" t="str">
        <f>IFERROR(__xludf.DUMMYFUNCTION("""COMPUTED_VALUE"""),"2019/11/06 14:20:00")</f>
        <v>2019/11/06 14:20:00</v>
      </c>
      <c r="G778" s="4" t="str">
        <f>IFERROR(__xludf.DUMMYFUNCTION("""COMPUTED_VALUE"""),"2019/11/06 14:40:00")</f>
        <v>2019/11/06 14:40:00</v>
      </c>
      <c r="H778" s="4" t="str">
        <f>IFERROR(__xludf.DUMMYFUNCTION("""COMPUTED_VALUE"""),"600802da-6ff9-4459-9077-57dacb3985e1")</f>
        <v>600802da-6ff9-4459-9077-57dacb3985e1</v>
      </c>
      <c r="I778" s="4" t="str">
        <f>IFERROR(__xludf.DUMMYFUNCTION("""COMPUTED_VALUE"""),"600802da-6ff9-4459-9077-57dacb3985e1")</f>
        <v>600802da-6ff9-4459-9077-57dacb3985e1</v>
      </c>
    </row>
    <row r="779">
      <c r="A779" s="4" t="str">
        <f>IFERROR(__xludf.DUMMYFUNCTION("""COMPUTED_VALUE"""),"The will of the people: Why ground support matters")</f>
        <v>The will of the people: Why ground support matters</v>
      </c>
      <c r="B779" s="4" t="str">
        <f>IFERROR(__xludf.DUMMYFUNCTION("""COMPUTED_VALUE"""),"If one Swedish teenager skipping school can do more for sustainability than the biggest branding campaign, who can say which environmental issues will go viral and which will languish in the digital doldrums? This session highlights the role of the global"&amp;" zeitgeist and questions whether anything can be achieved in sustainability without the will of the people.")</f>
        <v>If one Swedish teenager skipping school can do more for sustainability than the biggest branding campaign, who can say which environmental issues will go viral and which will languish in the digital doldrums? This session highlights the role of the global zeitgeist and questions whether anything can be achieved in sustainability without the will of the people.</v>
      </c>
      <c r="C779" s="4" t="str">
        <f>IFERROR(__xludf.DUMMYFUNCTION("""COMPUTED_VALUE"""),"planet:tech ")</f>
        <v>planet:tech </v>
      </c>
      <c r="D779" s="4" t="str">
        <f>IFERROR(__xludf.DUMMYFUNCTION("""COMPUTED_VALUE"""),"Vanessa Wright, Dianna Cohen and Isabel Hilton")</f>
        <v>Vanessa Wright, Dianna Cohen and Isabel Hilton</v>
      </c>
      <c r="E779" s="4" t="str">
        <f>IFERROR(__xludf.DUMMYFUNCTION("""COMPUTED_VALUE"""),"Vanessa Wright,Dianna Cohen,Isabel Hilton")</f>
        <v>Vanessa Wright,Dianna Cohen,Isabel Hilton</v>
      </c>
      <c r="F779" s="4" t="str">
        <f>IFERROR(__xludf.DUMMYFUNCTION("""COMPUTED_VALUE"""),"2019/11/05 12:20:00")</f>
        <v>2019/11/05 12:20:00</v>
      </c>
      <c r="G779" s="4" t="str">
        <f>IFERROR(__xludf.DUMMYFUNCTION("""COMPUTED_VALUE"""),"2019/11/05 12:40:00")</f>
        <v>2019/11/05 12:40:00</v>
      </c>
      <c r="H779" s="4" t="str">
        <f>IFERROR(__xludf.DUMMYFUNCTION("""COMPUTED_VALUE"""),"ac40ee0d-7d6b-4666-8e6b-e529edad2cc1")</f>
        <v>ac40ee0d-7d6b-4666-8e6b-e529edad2cc1</v>
      </c>
      <c r="I779" s="4" t="str">
        <f>IFERROR(__xludf.DUMMYFUNCTION("""COMPUTED_VALUE"""),"ac40ee0d-7d6b-4666-8e6b-e529edad2cc1")</f>
        <v>ac40ee0d-7d6b-4666-8e6b-e529edad2cc1</v>
      </c>
    </row>
    <row r="780">
      <c r="A780" s="4" t="str">
        <f>IFERROR(__xludf.DUMMYFUNCTION("""COMPUTED_VALUE"""),"A two way street: Portugal &amp; the tech world")</f>
        <v>A two way street: Portugal &amp; the tech world</v>
      </c>
      <c r="B780" s="4" t="str">
        <f>IFERROR(__xludf.DUMMYFUNCTION("""COMPUTED_VALUE"""),"As Portugal continues to attract world class tech companies, we take a look at a homegrown Portuguese tech story, and one that began a lot further afield but ended up in Lisbon. ")</f>
        <v>As Portugal continues to attract world class tech companies, we take a look at a homegrown Portuguese tech story, and one that began a lot further afield but ended up in Lisbon. </v>
      </c>
      <c r="C780" s="4" t="str">
        <f>IFERROR(__xludf.DUMMYFUNCTION("""COMPUTED_VALUE"""),"Centre Stage")</f>
        <v>Centre Stage</v>
      </c>
      <c r="D780" s="4" t="str">
        <f>IFERROR(__xludf.DUMMYFUNCTION("""COMPUTED_VALUE"""),"Michelle Zatlyn, Daniela Braga and Filomena Cautela")</f>
        <v>Michelle Zatlyn, Daniela Braga and Filomena Cautela</v>
      </c>
      <c r="E780" s="4" t="str">
        <f>IFERROR(__xludf.DUMMYFUNCTION("""COMPUTED_VALUE"""),"Michelle Zatlyn,Daniela Braga,Filomena Cautela")</f>
        <v>Michelle Zatlyn,Daniela Braga,Filomena Cautela</v>
      </c>
      <c r="F780" s="4" t="str">
        <f>IFERROR(__xludf.DUMMYFUNCTION("""COMPUTED_VALUE"""),"2019/11/04 18:50:00")</f>
        <v>2019/11/04 18:50:00</v>
      </c>
      <c r="G780" s="4" t="str">
        <f>IFERROR(__xludf.DUMMYFUNCTION("""COMPUTED_VALUE"""),"2019/11/04 19:03:00")</f>
        <v>2019/11/04 19:03:00</v>
      </c>
      <c r="H780" s="4" t="str">
        <f>IFERROR(__xludf.DUMMYFUNCTION("""COMPUTED_VALUE"""),"b853c55b-0a49-42a4-a67b-363dc6b95926")</f>
        <v>b853c55b-0a49-42a4-a67b-363dc6b95926</v>
      </c>
      <c r="I780" s="4" t="str">
        <f>IFERROR(__xludf.DUMMYFUNCTION("""COMPUTED_VALUE"""),"b853c55b-0a49-42a4-a67b-363dc6b95926")</f>
        <v>b853c55b-0a49-42a4-a67b-363dc6b95926</v>
      </c>
    </row>
    <row r="781">
      <c r="A781" s="4" t="str">
        <f>IFERROR(__xludf.DUMMYFUNCTION("""COMPUTED_VALUE"""),"What they don't teach you at business school ")</f>
        <v>What they don't teach you at business school </v>
      </c>
      <c r="B781" s="4" t="str">
        <f>IFERROR(__xludf.DUMMYFUNCTION("""COMPUTED_VALUE"""),"With great disruption comes great opportunity, especially for the non-conventional thinker. These speakers have adapted to fast-paced change in business and politics, with or without the official qualifications. Come with questions!")</f>
        <v>With great disruption comes great opportunity, especially for the non-conventional thinker. These speakers have adapted to fast-paced change in business and politics, with or without the official qualifications. Come with questions!</v>
      </c>
      <c r="C781" s="4" t="str">
        <f>IFERROR(__xludf.DUMMYFUNCTION("""COMPUTED_VALUE"""),"Startup University")</f>
        <v>Startup University</v>
      </c>
      <c r="D781" s="4" t="str">
        <f>IFERROR(__xludf.DUMMYFUNCTION("""COMPUTED_VALUE""")," , Vasco Pedro, Carlos Moedas and Anne Gaviola")</f>
        <v> , Vasco Pedro, Carlos Moedas and Anne Gaviola</v>
      </c>
      <c r="E781" s="4" t="str">
        <f>IFERROR(__xludf.DUMMYFUNCTION("""COMPUTED_VALUE""")," ,Vasco Pedro,Carlos Moedas,Anne Gaviola")</f>
        <v> ,Vasco Pedro,Carlos Moedas,Anne Gaviola</v>
      </c>
      <c r="F781" s="4" t="str">
        <f>IFERROR(__xludf.DUMMYFUNCTION("""COMPUTED_VALUE"""),"2019/11/05 11:30:00")</f>
        <v>2019/11/05 11:30:00</v>
      </c>
      <c r="G781" s="4" t="str">
        <f>IFERROR(__xludf.DUMMYFUNCTION("""COMPUTED_VALUE"""),"2019/11/05 11:55:00")</f>
        <v>2019/11/05 11:55:00</v>
      </c>
      <c r="H781" s="4" t="str">
        <f>IFERROR(__xludf.DUMMYFUNCTION("""COMPUTED_VALUE"""),"c947edbc-7a57-4f0a-ad5d-8f67dece348f")</f>
        <v>c947edbc-7a57-4f0a-ad5d-8f67dece348f</v>
      </c>
      <c r="I781" s="4" t="str">
        <f>IFERROR(__xludf.DUMMYFUNCTION("""COMPUTED_VALUE"""),"c947edbc-7a57-4f0a-ad5d-8f67dece348f")</f>
        <v>c947edbc-7a57-4f0a-ad5d-8f67dece348f</v>
      </c>
    </row>
    <row r="782">
      <c r="A782" s="4" t="str">
        <f>IFERROR(__xludf.DUMMYFUNCTION("""COMPUTED_VALUE"""),"Opening remarks")</f>
        <v>Opening remarks</v>
      </c>
      <c r="B782" s="4" t="str">
        <f>IFERROR(__xludf.DUMMYFUNCTION("""COMPUTED_VALUE"""),"")</f>
        <v/>
      </c>
      <c r="C782" s="4" t="str">
        <f>IFERROR(__xludf.DUMMYFUNCTION("""COMPUTED_VALUE"""),"FullSTK")</f>
        <v>FullSTK</v>
      </c>
      <c r="D782" s="4" t="str">
        <f>IFERROR(__xludf.DUMMYFUNCTION("""COMPUTED_VALUE"""),"Yamilette Cano")</f>
        <v>Yamilette Cano</v>
      </c>
      <c r="E782" s="4" t="str">
        <f>IFERROR(__xludf.DUMMYFUNCTION("""COMPUTED_VALUE"""),"Yamilette Cano")</f>
        <v>Yamilette Cano</v>
      </c>
      <c r="F782" s="4" t="str">
        <f>IFERROR(__xludf.DUMMYFUNCTION("""COMPUTED_VALUE"""),"2019/11/07 14:10:00")</f>
        <v>2019/11/07 14:10:00</v>
      </c>
      <c r="G782" s="4" t="str">
        <f>IFERROR(__xludf.DUMMYFUNCTION("""COMPUTED_VALUE"""),"2019/11/07 14:15:00")</f>
        <v>2019/11/07 14:15:00</v>
      </c>
      <c r="H782" s="4" t="str">
        <f>IFERROR(__xludf.DUMMYFUNCTION("""COMPUTED_VALUE"""),"d518dd8a-9c20-4f6f-822d-9e4126cee693")</f>
        <v>d518dd8a-9c20-4f6f-822d-9e4126cee693</v>
      </c>
      <c r="I782" s="4" t="str">
        <f>IFERROR(__xludf.DUMMYFUNCTION("""COMPUTED_VALUE"""),"d518dd8a-9c20-4f6f-822d-9e4126cee693")</f>
        <v>d518dd8a-9c20-4f6f-822d-9e4126cee693</v>
      </c>
    </row>
    <row r="783">
      <c r="A783" s="4" t="str">
        <f>IFERROR(__xludf.DUMMYFUNCTION("""COMPUTED_VALUE"""),"Efficient network monitoring with webhooks, hosted by Cisco")</f>
        <v>Efficient network monitoring with webhooks, hosted by Cisco</v>
      </c>
      <c r="B783" s="4" t="str">
        <f>IFERROR(__xludf.DUMMYFUNCTION("""COMPUTED_VALUE"""),"From ping and syslog to REST and webhooks, join us on a journey through the history of real-time updates for network monitoring. We'll explore how the technologies have changed, and for the better. We'll introduce you to the fundamentals of webhooks, and "&amp;"show you how they can be leveraged to provide real-time observability into the usage and health of Meraki enterprise networks.")</f>
        <v>From ping and syslog to REST and webhooks, join us on a journey through the history of real-time updates for network monitoring. We'll explore how the technologies have changed, and for the better. We'll introduce you to the fundamentals of webhooks, and show you how they can be leveraged to provide real-time observability into the usage and health of Meraki enterprise networks.</v>
      </c>
      <c r="C783" s="4" t="str">
        <f>IFERROR(__xludf.DUMMYFUNCTION("""COMPUTED_VALUE"""),"Workshop 2")</f>
        <v>Workshop 2</v>
      </c>
      <c r="D783" s="4" t="str">
        <f>IFERROR(__xludf.DUMMYFUNCTION("""COMPUTED_VALUE"""),"")</f>
        <v/>
      </c>
      <c r="E783" s="4" t="str">
        <f>IFERROR(__xludf.DUMMYFUNCTION("""COMPUTED_VALUE"""),"")</f>
        <v/>
      </c>
      <c r="F783" s="4" t="str">
        <f>IFERROR(__xludf.DUMMYFUNCTION("""COMPUTED_VALUE"""),"2019/11/06 12:00:00")</f>
        <v>2019/11/06 12:00:00</v>
      </c>
      <c r="G783" s="4" t="str">
        <f>IFERROR(__xludf.DUMMYFUNCTION("""COMPUTED_VALUE"""),"2019/11/06 12:45:00")</f>
        <v>2019/11/06 12:45:00</v>
      </c>
      <c r="H783" s="4" t="str">
        <f>IFERROR(__xludf.DUMMYFUNCTION("""COMPUTED_VALUE"""),"26450786-6a33-44f1-866c-82fe94b373bc")</f>
        <v>26450786-6a33-44f1-866c-82fe94b373bc</v>
      </c>
      <c r="I783" s="4" t="str">
        <f>IFERROR(__xludf.DUMMYFUNCTION("""COMPUTED_VALUE"""),"26450786-6a33-44f1-866c-82fe94b373bc")</f>
        <v>26450786-6a33-44f1-866c-82fe94b373bc</v>
      </c>
    </row>
    <row r="784">
      <c r="A784" s="4" t="str">
        <f>IFERROR(__xludf.DUMMYFUNCTION("""COMPUTED_VALUE"""),"Funding growth through innovation")</f>
        <v>Funding growth through innovation</v>
      </c>
      <c r="B784" s="4" t="str">
        <f>IFERROR(__xludf.DUMMYFUNCTION("""COMPUTED_VALUE"""),"Innovation is the lifeblood of any successful economy. Yet too often companies struggle to adapt from a lack of funding. This next panel brings together world leaders in understanding how to successfully fund high growth companies in order to promote a tr"&amp;"uly innovative economy.")</f>
        <v>Innovation is the lifeblood of any successful economy. Yet too often companies struggle to adapt from a lack of funding. This next panel brings together world leaders in understanding how to successfully fund high growth companies in order to promote a truly innovative economy.</v>
      </c>
      <c r="C784" s="4" t="str">
        <f>IFERROR(__xludf.DUMMYFUNCTION("""COMPUTED_VALUE"""),"Corporate Innovation Summit")</f>
        <v>Corporate Innovation Summit</v>
      </c>
      <c r="D784" s="4" t="str">
        <f>IFERROR(__xludf.DUMMYFUNCTION("""COMPUTED_VALUE"""),"Abdulaziz Bin Nasser Al-Khalifa, Emma Navarro and Nuno Fernandes")</f>
        <v>Abdulaziz Bin Nasser Al-Khalifa, Emma Navarro and Nuno Fernandes</v>
      </c>
      <c r="E784" s="4" t="str">
        <f>IFERROR(__xludf.DUMMYFUNCTION("""COMPUTED_VALUE"""),"Abdulaziz Bin Nasser Al-Khalifa,Emma Navarro,Nuno Fernandes")</f>
        <v>Abdulaziz Bin Nasser Al-Khalifa,Emma Navarro,Nuno Fernandes</v>
      </c>
      <c r="F784" s="4" t="str">
        <f>IFERROR(__xludf.DUMMYFUNCTION("""COMPUTED_VALUE"""),"2019/11/07 15:55:00")</f>
        <v>2019/11/07 15:55:00</v>
      </c>
      <c r="G784" s="4" t="str">
        <f>IFERROR(__xludf.DUMMYFUNCTION("""COMPUTED_VALUE"""),"2019/11/07 16:15:00")</f>
        <v>2019/11/07 16:15:00</v>
      </c>
      <c r="H784" s="4" t="str">
        <f>IFERROR(__xludf.DUMMYFUNCTION("""COMPUTED_VALUE"""),"e2b57d34-ddf4-4726-8d17-476e4dd618c9")</f>
        <v>e2b57d34-ddf4-4726-8d17-476e4dd618c9</v>
      </c>
      <c r="I784" s="4" t="str">
        <f>IFERROR(__xludf.DUMMYFUNCTION("""COMPUTED_VALUE"""),"e2b57d34-ddf4-4726-8d17-476e4dd618c9")</f>
        <v>e2b57d34-ddf4-4726-8d17-476e4dd618c9</v>
      </c>
    </row>
    <row r="785">
      <c r="A785" s="4" t="str">
        <f>IFERROR(__xludf.DUMMYFUNCTION("""COMPUTED_VALUE"""),"PITCH group round 16")</f>
        <v>PITCH group round 16</v>
      </c>
      <c r="B785" s="4" t="str">
        <f>IFERROR(__xludf.DUMMYFUNCTION("""COMPUTED_VALUE"""),"")</f>
        <v/>
      </c>
      <c r="C785" s="4" t="str">
        <f>IFERROR(__xludf.DUMMYFUNCTION("""COMPUTED_VALUE"""),"")</f>
        <v/>
      </c>
      <c r="D785" s="4" t="str">
        <f>IFERROR(__xludf.DUMMYFUNCTION("""COMPUTED_VALUE"""),"Francis Lowry
Malin Holmberg
Anneli Rispens
Miguel Rangel
Mohan Ram
Amer Nasereddin
Ben Moe
Thierry Tacheny
Riccardo Tomassetti
Hubert Guzera
Den Melnykov
MIGUEL REYNOLDS BRANDAO
Niky Achivei")</f>
        <v>Francis Lowry
Malin Holmberg
Anneli Rispens
Miguel Rangel
Mohan Ram
Amer Nasereddin
Ben Moe
Thierry Tacheny
Riccardo Tomassetti
Hubert Guzera
Den Melnykov
MIGUEL REYNOLDS BRANDAO
Niky Achivei</v>
      </c>
      <c r="E785" s="4" t="str">
        <f>IFERROR(__xludf.DUMMYFUNCTION("""COMPUTED_VALUE"""),"Francis Lowry
Malin Holmberg
Anneli Rispens
Miguel Rangel
Mohan Ram
Amer Nasereddin
Ben Moe
Thierry Tacheny
Riccardo Tomassetti
Hubert Guzera
Den Melnykov
MIGUEL REYNOLDS BRANDAO
Niky Achivei")</f>
        <v>Francis Lowry
Malin Holmberg
Anneli Rispens
Miguel Rangel
Mohan Ram
Amer Nasereddin
Ben Moe
Thierry Tacheny
Riccardo Tomassetti
Hubert Guzera
Den Melnykov
MIGUEL REYNOLDS BRANDAO
Niky Achivei</v>
      </c>
      <c r="F785" s="4" t="str">
        <f>IFERROR(__xludf.DUMMYFUNCTION("""COMPUTED_VALUE"""),"")</f>
        <v/>
      </c>
      <c r="G785" s="4" t="str">
        <f>IFERROR(__xludf.DUMMYFUNCTION("""COMPUTED_VALUE"""),"")</f>
        <v/>
      </c>
      <c r="H785" s="4" t="str">
        <f>IFERROR(__xludf.DUMMYFUNCTION("""COMPUTED_VALUE"""),"061b27b2-d325-5949-81e3-89f028eb5468")</f>
        <v>061b27b2-d325-5949-81e3-89f028eb5468</v>
      </c>
      <c r="I785" s="4" t="str">
        <f>IFERROR(__xludf.DUMMYFUNCTION("""COMPUTED_VALUE"""),"061b27b2-d325-5949-81e3-89f028eb5468")</f>
        <v>061b27b2-d325-5949-81e3-89f028eb5468</v>
      </c>
    </row>
    <row r="786">
      <c r="A786" s="4" t="str">
        <f>IFERROR(__xludf.DUMMYFUNCTION("""COMPUTED_VALUE"""),"Startup Showcase")</f>
        <v>Startup Showcase</v>
      </c>
      <c r="B786" s="4" t="str">
        <f>IFERROR(__xludf.DUMMYFUNCTION("""COMPUTED_VALUE"""),"On this brand new stage, expect quickfire presentations where startups will showcase their solutions to the future's biggest challenges. This hour focuses on sustainability &amp; the environment, covering topics like clean energy sources, sustainable business"&amp;" models, and waste reduction.
")</f>
        <v>On this brand new stage, expect quickfire presentations where startups will showcase their solutions to the future's biggest challenges. This hour focuses on sustainability &amp; the environment, covering topics like clean energy sources, sustainable business models, and waste reduction.
</v>
      </c>
      <c r="C786" s="4" t="str">
        <f>IFERROR(__xludf.DUMMYFUNCTION("""COMPUTED_VALUE"""),"Startup Showcase 3")</f>
        <v>Startup Showcase 3</v>
      </c>
      <c r="D786" s="4" t="str">
        <f>IFERROR(__xludf.DUMMYFUNCTION("""COMPUTED_VALUE"""),"Toon Bouten, Jacinto Sa, Antonia Halko, Vinícius T. Sossella, Negar Ekrami, Pablo  Miguel Fernandez Alonso De Lomas, Wim Kamerman, Filip Paunovic, Oleksandr Belchenko, Jon Duo, Felipe Delvan, Sofia Khomutova, Andrew Quartey, Manuel Milliery, Oleksandr Osa"&amp;"dchyi, Desmond Koney, Nelson Scariot Junior, Patrick Fröschl, Sarah Merrick, Alexey Yushin, Greta Cazzaniga, Per Edström, Etienne Koo, Marco Armellino, Alessandro Armillotta, Simone Targetti Ferri, Felix van den Horst, Pedro Sousa, Daniel Dora, Emil Range"&amp;"lov, Boris Banjac, Daniele Dora, Maia Pedro, Aroa Fernandez Alvarez, Nenad Novovic, Tibor Casteleijn, André Costa, Markus Sollner, Iryna Dziuba, Stephanie Thomson, Kay Ibrahimi, Marta Bacêlo, Sean O'Dwyer, Carlos Meza Brena, Rebecca Johnstone, Jucenir Zan"&amp;"atta, Jonas Douin, Emily Kosko, Lynn El KHoury and Antoine Dessart")</f>
        <v>Toon Bouten, Jacinto Sa, Antonia Halko, Vinícius T. Sossella, Negar Ekrami, Pablo  Miguel Fernandez Alonso De Lomas, Wim Kamerman, Filip Paunovic, Oleksandr Belchenko, Jon Duo, Felipe Delvan, Sofia Khomutova, Andrew Quartey, Manuel Milliery, Oleksandr Osadchyi, Desmond Koney, Nelson Scariot Junior, Patrick Fröschl, Sarah Merrick, Alexey Yushin, Greta Cazzaniga, Per Edström, Etienne Koo, Marco Armellino, Alessandro Armillotta, Simone Targetti Ferri, Felix van den Horst, Pedro Sousa, Daniel Dora, Emil Rangelov, Boris Banjac, Daniele Dora, Maia Pedro, Aroa Fernandez Alvarez, Nenad Novovic, Tibor Casteleijn, André Costa, Markus Sollner, Iryna Dziuba, Stephanie Thomson, Kay Ibrahimi, Marta Bacêlo, Sean O'Dwyer, Carlos Meza Brena, Rebecca Johnstone, Jucenir Zanatta, Jonas Douin, Emily Kosko, Lynn El KHoury and Antoine Dessart</v>
      </c>
      <c r="E786" s="4" t="str">
        <f>IFERROR(__xludf.DUMMYFUNCTION("""COMPUTED_VALUE"""),"Toon Bouten,Jacinto Sa,Antonia Halko,Vinícius T. Sossella,Negar Ekrami,Pablo  Miguel Fernandez Alonso De Lomas,Wim Kamerman,Filip Paunovic,Oleksandr Belchenko,Jon Duo,Felipe Delvan,Sofia Khomutova,Andrew Quartey,Manuel Milliery,Oleksandr Osadchyi,Desmond "&amp;"Koney,Nelson Scariot Junior,Patrick Fröschl,Sarah Merrick,Alexey Yushin,Greta Cazzaniga,Per Edström,Etienne Koo,Marco Armellino,Alessandro Armillotta,Simone Targetti Ferri,Felix van den Horst,Pedro Sousa,Daniel Dora,Emil Rangelov,Boris Banjac,Daniele Dora"&amp;",Maia Pedro,Aroa Fernandez Alvarez,Nenad Novovic,Tibor Casteleijn,André Costa,Markus Sollner,Iryna Dziuba,Stephanie Thomson,Kay Ibrahimi,Marta Bacêlo,Sean O'Dwyer,Carlos Meza Brena,Rebecca Johnstone,Jucenir Zanatta,Jonas Douin,Emily Kosko,Lynn El KHoury,A"&amp;"ntoine Dessart")</f>
        <v>Toon Bouten,Jacinto Sa,Antonia Halko,Vinícius T. Sossella,Negar Ekrami,Pablo  Miguel Fernandez Alonso De Lomas,Wim Kamerman,Filip Paunovic,Oleksandr Belchenko,Jon Duo,Felipe Delvan,Sofia Khomutova,Andrew Quartey,Manuel Milliery,Oleksandr Osadchyi,Desmond Koney,Nelson Scariot Junior,Patrick Fröschl,Sarah Merrick,Alexey Yushin,Greta Cazzaniga,Per Edström,Etienne Koo,Marco Armellino,Alessandro Armillotta,Simone Targetti Ferri,Felix van den Horst,Pedro Sousa,Daniel Dora,Emil Rangelov,Boris Banjac,Daniele Dora,Maia Pedro,Aroa Fernandez Alvarez,Nenad Novovic,Tibor Casteleijn,André Costa,Markus Sollner,Iryna Dziuba,Stephanie Thomson,Kay Ibrahimi,Marta Bacêlo,Sean O'Dwyer,Carlos Meza Brena,Rebecca Johnstone,Jucenir Zanatta,Jonas Douin,Emily Kosko,Lynn El KHoury,Antoine Dessart</v>
      </c>
      <c r="F786" s="4" t="str">
        <f>IFERROR(__xludf.DUMMYFUNCTION("""COMPUTED_VALUE"""),"2019/11/06 11:15:00")</f>
        <v>2019/11/06 11:15:00</v>
      </c>
      <c r="G786" s="4" t="str">
        <f>IFERROR(__xludf.DUMMYFUNCTION("""COMPUTED_VALUE"""),"2019/11/06 12:15:00")</f>
        <v>2019/11/06 12:15:00</v>
      </c>
      <c r="H786" s="4" t="str">
        <f>IFERROR(__xludf.DUMMYFUNCTION("""COMPUTED_VALUE"""),"3ea62b0f-affa-4857-b907-eccddf6b0d2a")</f>
        <v>3ea62b0f-affa-4857-b907-eccddf6b0d2a</v>
      </c>
      <c r="I786" s="4" t="str">
        <f>IFERROR(__xludf.DUMMYFUNCTION("""COMPUTED_VALUE"""),"3ea62b0f-affa-4857-b907-eccddf6b0d2a")</f>
        <v>3ea62b0f-affa-4857-b907-eccddf6b0d2a</v>
      </c>
    </row>
    <row r="787">
      <c r="A787" s="4" t="str">
        <f>IFERROR(__xludf.DUMMYFUNCTION("""COMPUTED_VALUE"""),"How to win fans and influence people")</f>
        <v>How to win fans and influence people</v>
      </c>
      <c r="B787" s="4" t="str">
        <f>IFERROR(__xludf.DUMMYFUNCTION("""COMPUTED_VALUE"""),"Influence is a currency in today's society. Building influence can happen from scratch, or stem from success in other endeavours. This session will explore how to build an audience, and once built, how to benefit from it.")</f>
        <v>Influence is a currency in today's society. Building influence can happen from scratch, or stem from success in other endeavours. This session will explore how to build an audience, and once built, how to benefit from it.</v>
      </c>
      <c r="C787" s="4" t="str">
        <f>IFERROR(__xludf.DUMMYFUNCTION("""COMPUTED_VALUE"""),"Centre Stage")</f>
        <v>Centre Stage</v>
      </c>
      <c r="D787" s="4" t="str">
        <f>IFERROR(__xludf.DUMMYFUNCTION("""COMPUTED_VALUE"""),"Caspar Lee, Jessica Ennis-Hill, Ian Somerhalder and Laurie Segall")</f>
        <v>Caspar Lee, Jessica Ennis-Hill, Ian Somerhalder and Laurie Segall</v>
      </c>
      <c r="E787" s="4" t="str">
        <f>IFERROR(__xludf.DUMMYFUNCTION("""COMPUTED_VALUE"""),"Caspar Lee,Jessica Ennis-Hill,Ian Somerhalder,Laurie Segall")</f>
        <v>Caspar Lee,Jessica Ennis-Hill,Ian Somerhalder,Laurie Segall</v>
      </c>
      <c r="F787" s="4" t="str">
        <f>IFERROR(__xludf.DUMMYFUNCTION("""COMPUTED_VALUE"""),"2019/11/05 14:25:00")</f>
        <v>2019/11/05 14:25:00</v>
      </c>
      <c r="G787" s="4" t="str">
        <f>IFERROR(__xludf.DUMMYFUNCTION("""COMPUTED_VALUE"""),"2019/11/05 14:50:00")</f>
        <v>2019/11/05 14:50:00</v>
      </c>
      <c r="H787" s="4" t="str">
        <f>IFERROR(__xludf.DUMMYFUNCTION("""COMPUTED_VALUE"""),"ebcbe4cb-7230-48e1-9876-78144ce2c890")</f>
        <v>ebcbe4cb-7230-48e1-9876-78144ce2c890</v>
      </c>
      <c r="I787" s="4" t="str">
        <f>IFERROR(__xludf.DUMMYFUNCTION("""COMPUTED_VALUE"""),"ebcbe4cb-7230-48e1-9876-78144ce2c890")</f>
        <v>ebcbe4cb-7230-48e1-9876-78144ce2c890</v>
      </c>
    </row>
    <row r="788">
      <c r="A788" s="4" t="str">
        <f>IFERROR(__xludf.DUMMYFUNCTION("""COMPUTED_VALUE"""),"Q&amp;A with Yancey Strickler")</f>
        <v>Q&amp;A with Yancey Strickler</v>
      </c>
      <c r="B788" s="4" t="str">
        <f>IFERROR(__xludf.DUMMYFUNCTION("""COMPUTED_VALUE"""),"")</f>
        <v/>
      </c>
      <c r="C788" s="4" t="str">
        <f>IFERROR(__xludf.DUMMYFUNCTION("""COMPUTED_VALUE"""),"")</f>
        <v/>
      </c>
      <c r="D788" s="4" t="str">
        <f>IFERROR(__xludf.DUMMYFUNCTION("""COMPUTED_VALUE"""),"Yancey Strickler")</f>
        <v>Yancey Strickler</v>
      </c>
      <c r="E788" s="4" t="str">
        <f>IFERROR(__xludf.DUMMYFUNCTION("""COMPUTED_VALUE"""),"Yancey Strickler")</f>
        <v>Yancey Strickler</v>
      </c>
      <c r="F788" s="4" t="str">
        <f>IFERROR(__xludf.DUMMYFUNCTION("""COMPUTED_VALUE"""),"")</f>
        <v/>
      </c>
      <c r="G788" s="4" t="str">
        <f>IFERROR(__xludf.DUMMYFUNCTION("""COMPUTED_VALUE"""),"")</f>
        <v/>
      </c>
      <c r="H788" s="4" t="str">
        <f>IFERROR(__xludf.DUMMYFUNCTION("""COMPUTED_VALUE"""),"5d1d78d3-db0e-5fc6-b633-f34888c95d58")</f>
        <v>5d1d78d3-db0e-5fc6-b633-f34888c95d58</v>
      </c>
      <c r="I788" s="4" t="str">
        <f>IFERROR(__xludf.DUMMYFUNCTION("""COMPUTED_VALUE"""),"5d1d78d3-db0e-5fc6-b633-f34888c95d58")</f>
        <v>5d1d78d3-db0e-5fc6-b633-f34888c95d58</v>
      </c>
    </row>
    <row r="789">
      <c r="A789" s="4" t="str">
        <f>IFERROR(__xludf.DUMMYFUNCTION("""COMPUTED_VALUE"""),"Sex and sexuality in the 21st century")</f>
        <v>Sex and sexuality in the 21st century</v>
      </c>
      <c r="B789" s="4" t="str">
        <f>IFERROR(__xludf.DUMMYFUNCTION("""COMPUTED_VALUE"""),"Our sexuality is at the core of our humanity. Our sexual relations with each other are central to how society is constructed. As technology has advanced so has our understanding of our own sexuality. This session will discuss where our sexuality is going "&amp;"in the future - from our shifting understanding of gender to a more in-depth knowledge of sexual pleasure.")</f>
        <v>Our sexuality is at the core of our humanity. Our sexual relations with each other are central to how society is constructed. As technology has advanced so has our understanding of our own sexuality. This session will discuss where our sexuality is going in the future - from our shifting understanding of gender to a more in-depth knowledge of sexual pleasure.</v>
      </c>
      <c r="C789" s="4" t="str">
        <f>IFERROR(__xludf.DUMMYFUNCTION("""COMPUTED_VALUE"""),"Future Societies")</f>
        <v>Future Societies</v>
      </c>
      <c r="D789" s="4" t="str">
        <f>IFERROR(__xludf.DUMMYFUNCTION("""COMPUTED_VALUE"""),"Peter Tatchell, Stephanie Alys and Steve Clemons")</f>
        <v>Peter Tatchell, Stephanie Alys and Steve Clemons</v>
      </c>
      <c r="E789" s="4" t="str">
        <f>IFERROR(__xludf.DUMMYFUNCTION("""COMPUTED_VALUE"""),"Peter Tatchell,Stephanie Alys,Steve Clemons")</f>
        <v>Peter Tatchell,Stephanie Alys,Steve Clemons</v>
      </c>
      <c r="F789" s="4" t="str">
        <f>IFERROR(__xludf.DUMMYFUNCTION("""COMPUTED_VALUE"""),"2019/11/05 14:50:00")</f>
        <v>2019/11/05 14:50:00</v>
      </c>
      <c r="G789" s="4" t="str">
        <f>IFERROR(__xludf.DUMMYFUNCTION("""COMPUTED_VALUE"""),"2019/11/05 15:15:00")</f>
        <v>2019/11/05 15:15:00</v>
      </c>
      <c r="H789" s="4" t="str">
        <f>IFERROR(__xludf.DUMMYFUNCTION("""COMPUTED_VALUE"""),"837020dd-af3e-43fe-af61-3f16d61ac5bd")</f>
        <v>837020dd-af3e-43fe-af61-3f16d61ac5bd</v>
      </c>
      <c r="I789" s="4" t="str">
        <f>IFERROR(__xludf.DUMMYFUNCTION("""COMPUTED_VALUE"""),"837020dd-af3e-43fe-af61-3f16d61ac5bd")</f>
        <v>837020dd-af3e-43fe-af61-3f16d61ac5bd</v>
      </c>
    </row>
    <row r="790">
      <c r="A790" s="4" t="str">
        <f>IFERROR(__xludf.DUMMYFUNCTION("""COMPUTED_VALUE"""),"Responding to a €50m cyberattack")</f>
        <v>Responding to a €50m cyberattack</v>
      </c>
      <c r="B790" s="4" t="str">
        <f>IFERROR(__xludf.DUMMYFUNCTION("""COMPUTED_VALUE"""),"When malicious hackers disable your business and demand a ransom, should you pay up? Many firms do out of desperation, turning to intermediaries to help broker the deal. But law enforcement says this just makes things worse. This is the story of how globa"&amp;"l aluminium producer, Norsk Hydro, successfully responded to such an attack.")</f>
        <v>When malicious hackers disable your business and demand a ransom, should you pay up? Many firms do out of desperation, turning to intermediaries to help broker the deal. But law enforcement says this just makes things worse. This is the story of how global aluminium producer, Norsk Hydro, successfully responded to such an attack.</v>
      </c>
      <c r="C790" s="4" t="str">
        <f>IFERROR(__xludf.DUMMYFUNCTION("""COMPUTED_VALUE"""),"Corporate Innovation Summit")</f>
        <v>Corporate Innovation Summit</v>
      </c>
      <c r="D790" s="4" t="str">
        <f>IFERROR(__xludf.DUMMYFUNCTION("""COMPUTED_VALUE"""),"Jo De Vliegher")</f>
        <v>Jo De Vliegher</v>
      </c>
      <c r="E790" s="4" t="str">
        <f>IFERROR(__xludf.DUMMYFUNCTION("""COMPUTED_VALUE"""),"Jo De Vliegher")</f>
        <v>Jo De Vliegher</v>
      </c>
      <c r="F790" s="4" t="str">
        <f>IFERROR(__xludf.DUMMYFUNCTION("""COMPUTED_VALUE"""),"2019/11/07 13:45:00")</f>
        <v>2019/11/07 13:45:00</v>
      </c>
      <c r="G790" s="4" t="str">
        <f>IFERROR(__xludf.DUMMYFUNCTION("""COMPUTED_VALUE"""),"2019/11/07 14:00:00")</f>
        <v>2019/11/07 14:00:00</v>
      </c>
      <c r="H790" s="4" t="str">
        <f>IFERROR(__xludf.DUMMYFUNCTION("""COMPUTED_VALUE"""),"cdb13e7c-ed2b-46b7-8994-f87e2e697de8")</f>
        <v>cdb13e7c-ed2b-46b7-8994-f87e2e697de8</v>
      </c>
      <c r="I790" s="4" t="str">
        <f>IFERROR(__xludf.DUMMYFUNCTION("""COMPUTED_VALUE"""),"cdb13e7c-ed2b-46b7-8994-f87e2e697de8")</f>
        <v>cdb13e7c-ed2b-46b7-8994-f87e2e697de8</v>
      </c>
    </row>
    <row r="791">
      <c r="A791" s="4" t="str">
        <f>IFERROR(__xludf.DUMMYFUNCTION("""COMPUTED_VALUE"""),"Fixing the gender imbalance in digital media")</f>
        <v>Fixing the gender imbalance in digital media</v>
      </c>
      <c r="B791" s="4" t="str">
        <f>IFERROR(__xludf.DUMMYFUNCTION("""COMPUTED_VALUE"""),"In an audience-driven content ecosystem, multi-awarded digital channel AJ+ informs and impacts millions across four languages: English, Arabic, Spanish and French. A significant portion of these audiences are women – even in countries where social media u"&amp;"sers are predominantly men. How has AJ+ built its female audiences? How does it stay close and relevant to women amid competitors and cultural differences? For AJ+, diversity and inclusiveness are two sides of the same coin, a coin that makes for better j"&amp;"ournalism and that has made them an innovative, leading force in the industry.")</f>
        <v>In an audience-driven content ecosystem, multi-awarded digital channel AJ+ informs and impacts millions across four languages: English, Arabic, Spanish and French. A significant portion of these audiences are women – even in countries where social media users are predominantly men. How has AJ+ built its female audiences? How does it stay close and relevant to women amid competitors and cultural differences? For AJ+, diversity and inclusiveness are two sides of the same coin, a coin that makes for better journalism and that has made them an innovative, leading force in the industry.</v>
      </c>
      <c r="C791" s="4" t="str">
        <f>IFERROR(__xludf.DUMMYFUNCTION("""COMPUTED_VALUE"""),"ContentMakers")</f>
        <v>ContentMakers</v>
      </c>
      <c r="D791" s="4" t="str">
        <f>IFERROR(__xludf.DUMMYFUNCTION("""COMPUTED_VALUE"""),"Dima Khatib")</f>
        <v>Dima Khatib</v>
      </c>
      <c r="E791" s="4" t="str">
        <f>IFERROR(__xludf.DUMMYFUNCTION("""COMPUTED_VALUE"""),"Dima Khatib")</f>
        <v>Dima Khatib</v>
      </c>
      <c r="F791" s="4" t="str">
        <f>IFERROR(__xludf.DUMMYFUNCTION("""COMPUTED_VALUE"""),"2019/11/06 15:55:00")</f>
        <v>2019/11/06 15:55:00</v>
      </c>
      <c r="G791" s="4" t="str">
        <f>IFERROR(__xludf.DUMMYFUNCTION("""COMPUTED_VALUE"""),"2019/11/06 16:15:00")</f>
        <v>2019/11/06 16:15:00</v>
      </c>
      <c r="H791" s="4" t="str">
        <f>IFERROR(__xludf.DUMMYFUNCTION("""COMPUTED_VALUE"""),"51a0bba4-d437-4989-b612-c262f250c7eb")</f>
        <v>51a0bba4-d437-4989-b612-c262f250c7eb</v>
      </c>
      <c r="I791" s="4" t="str">
        <f>IFERROR(__xludf.DUMMYFUNCTION("""COMPUTED_VALUE"""),"51a0bba4-d437-4989-b612-c262f250c7eb")</f>
        <v>51a0bba4-d437-4989-b612-c262f250c7eb</v>
      </c>
    </row>
    <row r="792">
      <c r="A792" s="4" t="str">
        <f>IFERROR(__xludf.DUMMYFUNCTION("""COMPUTED_VALUE"""),"Registration")</f>
        <v>Registration</v>
      </c>
      <c r="B792" s="4" t="str">
        <f>IFERROR(__xludf.DUMMYFUNCTION("""COMPUTED_VALUE"""),"Register to receive your accreditation at the Altice Arena. Your lanyard and wristband are your passport to Web Summit, so collect them early and enjoy the day’s talks. 
You can register at the Altice Arena &amp; FIL in the main registration area from 8.30"&amp;"am to 5pm.
If you need more information about registration go to websummit.com/essentials/registration. ")</f>
        <v>Register to receive your accreditation at the Altice Arena. Your lanyard and wristband are your passport to Web Summit, so collect them early and enjoy the day’s talks. 
You can register at the Altice Arena &amp; FIL in the main registration area from 8.30am to 5pm.
If you need more information about registration go to websummit.com/essentials/registration. </v>
      </c>
      <c r="C792" s="4" t="str">
        <f>IFERROR(__xludf.DUMMYFUNCTION("""COMPUTED_VALUE"""),"Registration")</f>
        <v>Registration</v>
      </c>
      <c r="D792" s="4" t="str">
        <f>IFERROR(__xludf.DUMMYFUNCTION("""COMPUTED_VALUE"""),"")</f>
        <v/>
      </c>
      <c r="E792" s="4" t="str">
        <f>IFERROR(__xludf.DUMMYFUNCTION("""COMPUTED_VALUE"""),"")</f>
        <v/>
      </c>
      <c r="F792" s="4" t="str">
        <f>IFERROR(__xludf.DUMMYFUNCTION("""COMPUTED_VALUE"""),"2019/11/07 08:30:00")</f>
        <v>2019/11/07 08:30:00</v>
      </c>
      <c r="G792" s="4" t="str">
        <f>IFERROR(__xludf.DUMMYFUNCTION("""COMPUTED_VALUE"""),"2019/11/07 17:00:00")</f>
        <v>2019/11/07 17:00:00</v>
      </c>
      <c r="H792" s="4" t="str">
        <f>IFERROR(__xludf.DUMMYFUNCTION("""COMPUTED_VALUE"""),"016c9ca4-d0c4-4522-a75c-08048f76c16f")</f>
        <v>016c9ca4-d0c4-4522-a75c-08048f76c16f</v>
      </c>
      <c r="I792" s="4" t="str">
        <f>IFERROR(__xludf.DUMMYFUNCTION("""COMPUTED_VALUE"""),"016c9ca4-d0c4-4522-a75c-08048f76c16f")</f>
        <v>016c9ca4-d0c4-4522-a75c-08048f76c16f</v>
      </c>
    </row>
    <row r="793">
      <c r="A793" s="4" t="str">
        <f>IFERROR(__xludf.DUMMYFUNCTION("""COMPUTED_VALUE"""),"Is design thinking overrated? How Garmin survived disruption")</f>
        <v>Is design thinking overrated? How Garmin survived disruption</v>
      </c>
      <c r="B793" s="4" t="str">
        <f>IFERROR(__xludf.DUMMYFUNCTION("""COMPUTED_VALUE"""),"Garmin, a company once synonymous with sat navs, has not only survived disruption but is projected to reach record revenue in 2019. Join Chief Product Architect Wai Lee as he shares his journey of incubating new products, leading internal startups and the"&amp;" role of design at the company; while along the way offering insights that can be applied to any industry.")</f>
        <v>Garmin, a company once synonymous with sat navs, has not only survived disruption but is projected to reach record revenue in 2019. Join Chief Product Architect Wai Lee as he shares his journey of incubating new products, leading internal startups and the role of design at the company; while along the way offering insights that can be applied to any industry.</v>
      </c>
      <c r="C793" s="4" t="str">
        <f>IFERROR(__xludf.DUMMYFUNCTION("""COMPUTED_VALUE"""),"creatiff")</f>
        <v>creatiff</v>
      </c>
      <c r="D793" s="4" t="str">
        <f>IFERROR(__xludf.DUMMYFUNCTION("""COMPUTED_VALUE"""),"Wai Lee")</f>
        <v>Wai Lee</v>
      </c>
      <c r="E793" s="4" t="str">
        <f>IFERROR(__xludf.DUMMYFUNCTION("""COMPUTED_VALUE"""),"Wai Lee")</f>
        <v>Wai Lee</v>
      </c>
      <c r="F793" s="4" t="str">
        <f>IFERROR(__xludf.DUMMYFUNCTION("""COMPUTED_VALUE"""),"2019/11/05 12:25:00")</f>
        <v>2019/11/05 12:25:00</v>
      </c>
      <c r="G793" s="4" t="str">
        <f>IFERROR(__xludf.DUMMYFUNCTION("""COMPUTED_VALUE"""),"2019/11/05 12:45:00")</f>
        <v>2019/11/05 12:45:00</v>
      </c>
      <c r="H793" s="4" t="str">
        <f>IFERROR(__xludf.DUMMYFUNCTION("""COMPUTED_VALUE"""),"bfc4c186-abd3-475d-b5d7-ed59f92d97d2")</f>
        <v>bfc4c186-abd3-475d-b5d7-ed59f92d97d2</v>
      </c>
      <c r="I793" s="4" t="str">
        <f>IFERROR(__xludf.DUMMYFUNCTION("""COMPUTED_VALUE"""),"bfc4c186-abd3-475d-b5d7-ed59f92d97d2")</f>
        <v>bfc4c186-abd3-475d-b5d7-ed59f92d97d2</v>
      </c>
    </row>
    <row r="794">
      <c r="A794" s="4" t="str">
        <f>IFERROR(__xludf.DUMMYFUNCTION("""COMPUTED_VALUE"""),"Four key components: The modern growth marketing strategy")</f>
        <v>Four key components: The modern growth marketing strategy</v>
      </c>
      <c r="B794" s="4" t="str">
        <f>IFERROR(__xludf.DUMMYFUNCTION("""COMPUTED_VALUE"""),"Hear from Singular's COO and co-founder, on how some of the most advanced growth marketing teams like Amazon, Lyft and Airbnb are building out their strategy and how they are turning one of the industry's biggest challenges, data explosion, into one of th"&amp;"eir key competitive advantages.")</f>
        <v>Hear from Singular's COO and co-founder, on how some of the most advanced growth marketing teams like Amazon, Lyft and Airbnb are building out their strategy and how they are turning one of the industry's biggest challenges, data explosion, into one of their key competitive advantages.</v>
      </c>
      <c r="C794" s="4" t="str">
        <f>IFERROR(__xludf.DUMMYFUNCTION("""COMPUTED_VALUE"""),"Growth Summit")</f>
        <v>Growth Summit</v>
      </c>
      <c r="D794" s="4" t="str">
        <f>IFERROR(__xludf.DUMMYFUNCTION("""COMPUTED_VALUE"""),"Susan Kuo")</f>
        <v>Susan Kuo</v>
      </c>
      <c r="E794" s="4" t="str">
        <f>IFERROR(__xludf.DUMMYFUNCTION("""COMPUTED_VALUE"""),"Susan Kuo")</f>
        <v>Susan Kuo</v>
      </c>
      <c r="F794" s="4" t="str">
        <f>IFERROR(__xludf.DUMMYFUNCTION("""COMPUTED_VALUE"""),"2019/11/07 15:04:00")</f>
        <v>2019/11/07 15:04:00</v>
      </c>
      <c r="G794" s="4" t="str">
        <f>IFERROR(__xludf.DUMMYFUNCTION("""COMPUTED_VALUE"""),"2019/11/07 15:15:00")</f>
        <v>2019/11/07 15:15:00</v>
      </c>
      <c r="H794" s="4" t="str">
        <f>IFERROR(__xludf.DUMMYFUNCTION("""COMPUTED_VALUE"""),"5c234518-ff3f-4dcb-ade9-0188febd7d55")</f>
        <v>5c234518-ff3f-4dcb-ade9-0188febd7d55</v>
      </c>
      <c r="I794" s="4" t="str">
        <f>IFERROR(__xludf.DUMMYFUNCTION("""COMPUTED_VALUE"""),"5c234518-ff3f-4dcb-ade9-0188febd7d55")</f>
        <v>5c234518-ff3f-4dcb-ade9-0188febd7d55</v>
      </c>
    </row>
    <row r="795">
      <c r="A795" s="4" t="str">
        <f>IFERROR(__xludf.DUMMYFUNCTION("""COMPUTED_VALUE"""),"Opening remarks")</f>
        <v>Opening remarks</v>
      </c>
      <c r="B795" s="4" t="str">
        <f>IFERROR(__xludf.DUMMYFUNCTION("""COMPUTED_VALUE"""),"")</f>
        <v/>
      </c>
      <c r="C795" s="4" t="str">
        <f>IFERROR(__xludf.DUMMYFUNCTION("""COMPUTED_VALUE"""),"Growth Summit")</f>
        <v>Growth Summit</v>
      </c>
      <c r="D795" s="4" t="str">
        <f>IFERROR(__xludf.DUMMYFUNCTION("""COMPUTED_VALUE"""),"Brendan Yell")</f>
        <v>Brendan Yell</v>
      </c>
      <c r="E795" s="4" t="str">
        <f>IFERROR(__xludf.DUMMYFUNCTION("""COMPUTED_VALUE"""),"Brendan Yell")</f>
        <v>Brendan Yell</v>
      </c>
      <c r="F795" s="4" t="str">
        <f>IFERROR(__xludf.DUMMYFUNCTION("""COMPUTED_VALUE"""),"2019/11/06 12:28:00")</f>
        <v>2019/11/06 12:28:00</v>
      </c>
      <c r="G795" s="4" t="str">
        <f>IFERROR(__xludf.DUMMYFUNCTION("""COMPUTED_VALUE"""),"2019/11/06 12:30:00")</f>
        <v>2019/11/06 12:30:00</v>
      </c>
      <c r="H795" s="4" t="str">
        <f>IFERROR(__xludf.DUMMYFUNCTION("""COMPUTED_VALUE"""),"4052c0c2-50ec-4875-ac66-cf28b2014572")</f>
        <v>4052c0c2-50ec-4875-ac66-cf28b2014572</v>
      </c>
      <c r="I795" s="4" t="str">
        <f>IFERROR(__xludf.DUMMYFUNCTION("""COMPUTED_VALUE"""),"4052c0c2-50ec-4875-ac66-cf28b2014572")</f>
        <v>4052c0c2-50ec-4875-ac66-cf28b2014572</v>
      </c>
    </row>
    <row r="796">
      <c r="A796" s="4" t="str">
        <f>IFERROR(__xludf.DUMMYFUNCTION("""COMPUTED_VALUE"""),"Security and SaaS: Privacy-first culture")</f>
        <v>Security and SaaS: Privacy-first culture</v>
      </c>
      <c r="B796" s="4" t="str">
        <f>IFERROR(__xludf.DUMMYFUNCTION("""COMPUTED_VALUE"""),"A strong and provable security posture is what it takes to do business and to accelerate SaaS sales. Join our speakers for a conversation on when and how SaaS founders can protect their employees, infrastructure and product on the way to the coveted unico"&amp;"rn valuation.")</f>
        <v>A strong and provable security posture is what it takes to do business and to accelerate SaaS sales. Join our speakers for a conversation on when and how SaaS founders can protect their employees, infrastructure and product on the way to the coveted unicorn valuation.</v>
      </c>
      <c r="C796" s="4" t="str">
        <f>IFERROR(__xludf.DUMMYFUNCTION("""COMPUTED_VALUE"""),"SaaS Monster")</f>
        <v>SaaS Monster</v>
      </c>
      <c r="D796" s="4" t="str">
        <f>IFERROR(__xludf.DUMMYFUNCTION("""COMPUTED_VALUE"""),"Calvin French-Owen and Dermot Williams")</f>
        <v>Calvin French-Owen and Dermot Williams</v>
      </c>
      <c r="E796" s="4" t="str">
        <f>IFERROR(__xludf.DUMMYFUNCTION("""COMPUTED_VALUE"""),"Calvin French-Owen,Dermot Williams")</f>
        <v>Calvin French-Owen,Dermot Williams</v>
      </c>
      <c r="F796" s="4" t="str">
        <f>IFERROR(__xludf.DUMMYFUNCTION("""COMPUTED_VALUE"""),"2019/11/06 15:05:00")</f>
        <v>2019/11/06 15:05:00</v>
      </c>
      <c r="G796" s="4" t="str">
        <f>IFERROR(__xludf.DUMMYFUNCTION("""COMPUTED_VALUE"""),"2019/11/06 15:25:00")</f>
        <v>2019/11/06 15:25:00</v>
      </c>
      <c r="H796" s="4" t="str">
        <f>IFERROR(__xludf.DUMMYFUNCTION("""COMPUTED_VALUE"""),"fa77150e-8eb7-4899-9748-0400e23acece")</f>
        <v>fa77150e-8eb7-4899-9748-0400e23acece</v>
      </c>
      <c r="I796" s="4" t="str">
        <f>IFERROR(__xludf.DUMMYFUNCTION("""COMPUTED_VALUE"""),"fa77150e-8eb7-4899-9748-0400e23acece")</f>
        <v>fa77150e-8eb7-4899-9748-0400e23acece</v>
      </c>
    </row>
    <row r="797">
      <c r="A797" s="4" t="str">
        <f>IFERROR(__xludf.DUMMYFUNCTION("""COMPUTED_VALUE"""),"Q+A with Francis Davidson")</f>
        <v>Q+A with Francis Davidson</v>
      </c>
      <c r="B797" s="4" t="str">
        <f>IFERROR(__xludf.DUMMYFUNCTION("""COMPUTED_VALUE"""),"")</f>
        <v/>
      </c>
      <c r="C797" s="4" t="str">
        <f>IFERROR(__xludf.DUMMYFUNCTION("""COMPUTED_VALUE"""),"Q + A")</f>
        <v>Q + A</v>
      </c>
      <c r="D797" s="4" t="str">
        <f>IFERROR(__xludf.DUMMYFUNCTION("""COMPUTED_VALUE"""),"Francis Davidson")</f>
        <v>Francis Davidson</v>
      </c>
      <c r="E797" s="4" t="str">
        <f>IFERROR(__xludf.DUMMYFUNCTION("""COMPUTED_VALUE"""),"Francis Davidson")</f>
        <v>Francis Davidson</v>
      </c>
      <c r="F797" s="4" t="str">
        <f>IFERROR(__xludf.DUMMYFUNCTION("""COMPUTED_VALUE"""),"2019/11/06 12:00:00")</f>
        <v>2019/11/06 12:00:00</v>
      </c>
      <c r="G797" s="4" t="str">
        <f>IFERROR(__xludf.DUMMYFUNCTION("""COMPUTED_VALUE"""),"2019/11/06 12:20:00")</f>
        <v>2019/11/06 12:20:00</v>
      </c>
      <c r="H797" s="4" t="str">
        <f>IFERROR(__xludf.DUMMYFUNCTION("""COMPUTED_VALUE"""),"9bdeee20-e64d-4fba-85cd-d7ea678871df")</f>
        <v>9bdeee20-e64d-4fba-85cd-d7ea678871df</v>
      </c>
      <c r="I797" s="4" t="str">
        <f>IFERROR(__xludf.DUMMYFUNCTION("""COMPUTED_VALUE"""),"9bdeee20-e64d-4fba-85cd-d7ea678871df")</f>
        <v>9bdeee20-e64d-4fba-85cd-d7ea678871df</v>
      </c>
    </row>
    <row r="798">
      <c r="A798" s="4" t="str">
        <f>IFERROR(__xludf.DUMMYFUNCTION("""COMPUTED_VALUE"""),"Timing a revolution in computing at Ayar Labs ")</f>
        <v>Timing a revolution in computing at Ayar Labs </v>
      </c>
      <c r="B798" s="4" t="str">
        <f>IFERROR(__xludf.DUMMYFUNCTION("""COMPUTED_VALUE"""),"Ayar Labs is transforming the computing industry by bringing optical communications inside computers. Co-founder Alex will share how bringing their product to market at the right time, while the computing industry is undergoing a transformation, has made "&amp;"all the difference in attracting customers.")</f>
        <v>Ayar Labs is transforming the computing industry by bringing optical communications inside computers. Co-founder Alex will share how bringing their product to market at the right time, while the computing industry is undergoing a transformation, has made all the difference in attracting customers.</v>
      </c>
      <c r="C798" s="4" t="str">
        <f>IFERROR(__xludf.DUMMYFUNCTION("""COMPUTED_VALUE"""),"Growth Summit")</f>
        <v>Growth Summit</v>
      </c>
      <c r="D798" s="4" t="str">
        <f>IFERROR(__xludf.DUMMYFUNCTION("""COMPUTED_VALUE"""),"Alex Wright-Gladstein")</f>
        <v>Alex Wright-Gladstein</v>
      </c>
      <c r="E798" s="4" t="str">
        <f>IFERROR(__xludf.DUMMYFUNCTION("""COMPUTED_VALUE"""),"Alex Wright-Gladstein")</f>
        <v>Alex Wright-Gladstein</v>
      </c>
      <c r="F798" s="4" t="str">
        <f>IFERROR(__xludf.DUMMYFUNCTION("""COMPUTED_VALUE"""),"2019/11/06 14:31:00")</f>
        <v>2019/11/06 14:31:00</v>
      </c>
      <c r="G798" s="4" t="str">
        <f>IFERROR(__xludf.DUMMYFUNCTION("""COMPUTED_VALUE"""),"2019/11/06 14:42:00")</f>
        <v>2019/11/06 14:42:00</v>
      </c>
      <c r="H798" s="4" t="str">
        <f>IFERROR(__xludf.DUMMYFUNCTION("""COMPUTED_VALUE"""),"21e57548-dbd6-4dc2-ad55-1979ab61a4a8")</f>
        <v>21e57548-dbd6-4dc2-ad55-1979ab61a4a8</v>
      </c>
      <c r="I798" s="4" t="str">
        <f>IFERROR(__xludf.DUMMYFUNCTION("""COMPUTED_VALUE"""),"21e57548-dbd6-4dc2-ad55-1979ab61a4a8")</f>
        <v>21e57548-dbd6-4dc2-ad55-1979ab61a4a8</v>
      </c>
    </row>
    <row r="799">
      <c r="A799" s="4" t="str">
        <f>IFERROR(__xludf.DUMMYFUNCTION("""COMPUTED_VALUE"""),"Join Samsung NEXT to learn how to build, grow, and scale your business")</f>
        <v>Join Samsung NEXT to learn how to build, grow, and scale your business</v>
      </c>
      <c r="B799" s="4" t="str">
        <f>IFERROR(__xludf.DUMMYFUNCTION("""COMPUTED_VALUE"""),"Samsung NEXT is introducing its first series of ClassroomX startup educational sessions at Web Summit 2019 in Lisbon from November 4 - 7. Join us in the Samsung NEXT booth, just steps away from Centre Stage in FIL 1, booth E130, for hands-on instruction a"&amp;"nd training from startup product, marketing, recruiting, and sales experts. https://www.classroomx.com/websummit ")</f>
        <v>Samsung NEXT is introducing its first series of ClassroomX startup educational sessions at Web Summit 2019 in Lisbon from November 4 - 7. Join us in the Samsung NEXT booth, just steps away from Centre Stage in FIL 1, booth E130, for hands-on instruction and training from startup product, marketing, recruiting, and sales experts. https://www.classroomx.com/websummit </v>
      </c>
      <c r="C799" s="4" t="str">
        <f>IFERROR(__xludf.DUMMYFUNCTION("""COMPUTED_VALUE"""),"Samsung NEXT, E130, FIL 1")</f>
        <v>Samsung NEXT, E130, FIL 1</v>
      </c>
      <c r="D799" s="4" t="str">
        <f>IFERROR(__xludf.DUMMYFUNCTION("""COMPUTED_VALUE"""),"")</f>
        <v/>
      </c>
      <c r="E799" s="4" t="str">
        <f>IFERROR(__xludf.DUMMYFUNCTION("""COMPUTED_VALUE"""),"")</f>
        <v/>
      </c>
      <c r="F799" s="4" t="str">
        <f>IFERROR(__xludf.DUMMYFUNCTION("""COMPUTED_VALUE"""),"2019/11/06 10:15:00")</f>
        <v>2019/11/06 10:15:00</v>
      </c>
      <c r="G799" s="4" t="str">
        <f>IFERROR(__xludf.DUMMYFUNCTION("""COMPUTED_VALUE"""),"2019/11/06 16:15:00")</f>
        <v>2019/11/06 16:15:00</v>
      </c>
      <c r="H799" s="4" t="str">
        <f>IFERROR(__xludf.DUMMYFUNCTION("""COMPUTED_VALUE"""),"3eff2ffd-3f80-4c21-b36b-45f6f4199206")</f>
        <v>3eff2ffd-3f80-4c21-b36b-45f6f4199206</v>
      </c>
      <c r="I799" s="4" t="str">
        <f>IFERROR(__xludf.DUMMYFUNCTION("""COMPUTED_VALUE"""),"3eff2ffd-3f80-4c21-b36b-45f6f4199206")</f>
        <v>3eff2ffd-3f80-4c21-b36b-45f6f4199206</v>
      </c>
    </row>
    <row r="800">
      <c r="A800" s="4" t="str">
        <f>IFERROR(__xludf.DUMMYFUNCTION("""COMPUTED_VALUE"""),"Entertainment 2030")</f>
        <v>Entertainment 2030</v>
      </c>
      <c r="B800" s="4" t="str">
        <f>IFERROR(__xludf.DUMMYFUNCTION("""COMPUTED_VALUE"""),"This panel will look at the future of entertainment from gaming and VR to film and music. Find out where new innovations will take us from three industry leaders.")</f>
        <v>This panel will look at the future of entertainment from gaming and VR to film and music. Find out where new innovations will take us from three industry leaders.</v>
      </c>
      <c r="C800" s="4" t="str">
        <f>IFERROR(__xludf.DUMMYFUNCTION("""COMPUTED_VALUE"""),"ContentMakers")</f>
        <v>ContentMakers</v>
      </c>
      <c r="D800" s="4" t="str">
        <f>IFERROR(__xludf.DUMMYFUNCTION("""COMPUTED_VALUE"""),"Tommy Palm, Eugene Chung, José Woldring and Liam Proud")</f>
        <v>Tommy Palm, Eugene Chung, José Woldring and Liam Proud</v>
      </c>
      <c r="E800" s="4" t="str">
        <f>IFERROR(__xludf.DUMMYFUNCTION("""COMPUTED_VALUE"""),"Tommy Palm,Eugene Chung,José Woldring,Liam Proud")</f>
        <v>Tommy Palm,Eugene Chung,José Woldring,Liam Proud</v>
      </c>
      <c r="F800" s="4" t="str">
        <f>IFERROR(__xludf.DUMMYFUNCTION("""COMPUTED_VALUE"""),"2019/11/07 15:20:00")</f>
        <v>2019/11/07 15:20:00</v>
      </c>
      <c r="G800" s="4" t="str">
        <f>IFERROR(__xludf.DUMMYFUNCTION("""COMPUTED_VALUE"""),"2019/11/07 15:40:00")</f>
        <v>2019/11/07 15:40:00</v>
      </c>
      <c r="H800" s="4" t="str">
        <f>IFERROR(__xludf.DUMMYFUNCTION("""COMPUTED_VALUE"""),"b0b3dd2f-1038-4cd8-a954-b0fb385b2dee")</f>
        <v>b0b3dd2f-1038-4cd8-a954-b0fb385b2dee</v>
      </c>
      <c r="I800" s="4" t="str">
        <f>IFERROR(__xludf.DUMMYFUNCTION("""COMPUTED_VALUE"""),"b0b3dd2f-1038-4cd8-a954-b0fb385b2dee")</f>
        <v>b0b3dd2f-1038-4cd8-a954-b0fb385b2dee</v>
      </c>
    </row>
    <row r="801">
      <c r="A801" s="4" t="str">
        <f>IFERROR(__xludf.DUMMYFUNCTION("""COMPUTED_VALUE"""),"Opening remarks")</f>
        <v>Opening remarks</v>
      </c>
      <c r="B801" s="4" t="str">
        <f>IFERROR(__xludf.DUMMYFUNCTION("""COMPUTED_VALUE"""),"")</f>
        <v/>
      </c>
      <c r="C801" s="4" t="str">
        <f>IFERROR(__xludf.DUMMYFUNCTION("""COMPUTED_VALUE"""),"Venture stage")</f>
        <v>Venture stage</v>
      </c>
      <c r="D801" s="4" t="str">
        <f>IFERROR(__xludf.DUMMYFUNCTION("""COMPUTED_VALUE"""),"David Kelnar")</f>
        <v>David Kelnar</v>
      </c>
      <c r="E801" s="4" t="str">
        <f>IFERROR(__xludf.DUMMYFUNCTION("""COMPUTED_VALUE"""),"David Kelnar")</f>
        <v>David Kelnar</v>
      </c>
      <c r="F801" s="4" t="str">
        <f>IFERROR(__xludf.DUMMYFUNCTION("""COMPUTED_VALUE"""),"2019/11/07 10:30:00")</f>
        <v>2019/11/07 10:30:00</v>
      </c>
      <c r="G801" s="4" t="str">
        <f>IFERROR(__xludf.DUMMYFUNCTION("""COMPUTED_VALUE"""),"2019/11/07 10:45:00")</f>
        <v>2019/11/07 10:45:00</v>
      </c>
      <c r="H801" s="4" t="str">
        <f>IFERROR(__xludf.DUMMYFUNCTION("""COMPUTED_VALUE"""),"a08b6371-e0da-4b86-aaa9-1ada21e477a3")</f>
        <v>a08b6371-e0da-4b86-aaa9-1ada21e477a3</v>
      </c>
      <c r="I801" s="4" t="str">
        <f>IFERROR(__xludf.DUMMYFUNCTION("""COMPUTED_VALUE"""),"a08b6371-e0da-4b86-aaa9-1ada21e477a3")</f>
        <v>a08b6371-e0da-4b86-aaa9-1ada21e477a3</v>
      </c>
    </row>
    <row r="802">
      <c r="A802" s="4" t="str">
        <f>IFERROR(__xludf.DUMMYFUNCTION("""COMPUTED_VALUE"""),"Opening remarks")</f>
        <v>Opening remarks</v>
      </c>
      <c r="B802" s="4" t="str">
        <f>IFERROR(__xludf.DUMMYFUNCTION("""COMPUTED_VALUE"""),"")</f>
        <v/>
      </c>
      <c r="C802" s="4" t="str">
        <f>IFERROR(__xludf.DUMMYFUNCTION("""COMPUTED_VALUE"""),"Centre Stage")</f>
        <v>Centre Stage</v>
      </c>
      <c r="D802" s="4" t="str">
        <f>IFERROR(__xludf.DUMMYFUNCTION("""COMPUTED_VALUE"""),"Paddy Cosgrave")</f>
        <v>Paddy Cosgrave</v>
      </c>
      <c r="E802" s="4" t="str">
        <f>IFERROR(__xludf.DUMMYFUNCTION("""COMPUTED_VALUE"""),"Paddy Cosgrave")</f>
        <v>Paddy Cosgrave</v>
      </c>
      <c r="F802" s="4" t="str">
        <f>IFERROR(__xludf.DUMMYFUNCTION("""COMPUTED_VALUE"""),"2019/11/05 13:50:00")</f>
        <v>2019/11/05 13:50:00</v>
      </c>
      <c r="G802" s="4" t="str">
        <f>IFERROR(__xludf.DUMMYFUNCTION("""COMPUTED_VALUE"""),"2019/11/05 14:00:00")</f>
        <v>2019/11/05 14:00:00</v>
      </c>
      <c r="H802" s="4" t="str">
        <f>IFERROR(__xludf.DUMMYFUNCTION("""COMPUTED_VALUE"""),"16886558-af9f-4e02-9596-3585f14d0455")</f>
        <v>16886558-af9f-4e02-9596-3585f14d0455</v>
      </c>
      <c r="I802" s="4" t="str">
        <f>IFERROR(__xludf.DUMMYFUNCTION("""COMPUTED_VALUE"""),"16886558-af9f-4e02-9596-3585f14d0455")</f>
        <v>16886558-af9f-4e02-9596-3585f14d0455</v>
      </c>
    </row>
    <row r="803">
      <c r="A803" s="4" t="str">
        <f>IFERROR(__xludf.DUMMYFUNCTION("""COMPUTED_VALUE"""),"Lunch break")</f>
        <v>Lunch break</v>
      </c>
      <c r="B803" s="4" t="str">
        <f>IFERROR(__xludf.DUMMYFUNCTION("""COMPUTED_VALUE"""),"")</f>
        <v/>
      </c>
      <c r="C803" s="4" t="str">
        <f>IFERROR(__xludf.DUMMYFUNCTION("""COMPUTED_VALUE"""),"Auto/Tech &amp; TalkRobot")</f>
        <v>Auto/Tech &amp; TalkRobot</v>
      </c>
      <c r="D803" s="4" t="str">
        <f>IFERROR(__xludf.DUMMYFUNCTION("""COMPUTED_VALUE"""),"")</f>
        <v/>
      </c>
      <c r="E803" s="4" t="str">
        <f>IFERROR(__xludf.DUMMYFUNCTION("""COMPUTED_VALUE"""),"")</f>
        <v/>
      </c>
      <c r="F803" s="4" t="str">
        <f>IFERROR(__xludf.DUMMYFUNCTION("""COMPUTED_VALUE"""),"2019/11/07 13:15:00")</f>
        <v>2019/11/07 13:15:00</v>
      </c>
      <c r="G803" s="4" t="str">
        <f>IFERROR(__xludf.DUMMYFUNCTION("""COMPUTED_VALUE"""),"2019/11/07 14:00:00")</f>
        <v>2019/11/07 14:00:00</v>
      </c>
      <c r="H803" s="4" t="str">
        <f>IFERROR(__xludf.DUMMYFUNCTION("""COMPUTED_VALUE"""),"2329764e-2047-4a7c-bf60-96b7010adea9")</f>
        <v>2329764e-2047-4a7c-bf60-96b7010adea9</v>
      </c>
      <c r="I803" s="4" t="str">
        <f>IFERROR(__xludf.DUMMYFUNCTION("""COMPUTED_VALUE"""),"2329764e-2047-4a7c-bf60-96b7010adea9")</f>
        <v>2329764e-2047-4a7c-bf60-96b7010adea9</v>
      </c>
    </row>
    <row r="804">
      <c r="A804" s="4" t="str">
        <f>IFERROR(__xludf.DUMMYFUNCTION("""COMPUTED_VALUE"""),"Startup Showcase")</f>
        <v>Startup Showcase</v>
      </c>
      <c r="B804" s="4" t="str">
        <f>IFERROR(__xludf.DUMMYFUNCTION("""COMPUTED_VALUE"""),"On this brand new stage, expect quickfire presentations where startups will showcase their solutions to the future's biggest challenges. This hour focuses on media &amp; communication, covering topics like adtech, marketing products, and journalism platforms;"&amp;" as well as communication-related areas, such as chatbots, messaging platforms, and conversational AI.")</f>
        <v>On this brand new stage, expect quickfire presentations where startups will showcase their solutions to the future's biggest challenges. This hour focuses on media &amp; communication, covering topics like adtech, marketing products, and journalism platforms; as well as communication-related areas, such as chatbots, messaging platforms, and conversational AI.</v>
      </c>
      <c r="C804" s="4" t="str">
        <f>IFERROR(__xludf.DUMMYFUNCTION("""COMPUTED_VALUE"""),"Startup Showcase 3")</f>
        <v>Startup Showcase 3</v>
      </c>
      <c r="D804" s="4" t="str">
        <f>IFERROR(__xludf.DUMMYFUNCTION("""COMPUTED_VALUE"""),"Michael Borisov, Clément CHRISTOL, Shogo Ota, Gionata Poggi, Soliman Abaza, Alexander Pobereznichenko, Nikolai Kharin, Gianfranco Fedele, Ciro Fiorillo, Mehdi Aïda, Oleksandr Lastovskyy, Lisa Wäntig, Aleksei Klabukov, Haris Zacharatos, Paulo D'Alberti, An"&amp;"a Cláudia Laureano de Sousa, Antonio Baccari, Douglas Daniel Elias Santos, Ryo Kikuchi, Shogo Ota, Adam Miziołek, Rinat Shamsiev, Manu Casals, Rosse Gates, Francesco Turri, Sophie BIZOT, Danylo Podhornyy, Elizaveta Uvarova, Alexander Dummett, Ben Moe, Ger"&amp;"gely Dzsida, Dmytro Grechko, Giorgio Barbaglia, Yurii Lipatov, Vladimir Rigenco, Xavier Alabart, Tammam Shaibani, Toka Samir, Omar Perez, Eduardo Gazzinelli, Andrew Hope, Carmine Pappagallo, Bryan colligan, Tom Barnes and Ivan Ivanka")</f>
        <v>Michael Borisov, Clément CHRISTOL, Shogo Ota, Gionata Poggi, Soliman Abaza, Alexander Pobereznichenko, Nikolai Kharin, Gianfranco Fedele, Ciro Fiorillo, Mehdi Aïda, Oleksandr Lastovskyy, Lisa Wäntig, Aleksei Klabukov, Haris Zacharatos, Paulo D'Alberti, Ana Cláudia Laureano de Sousa, Antonio Baccari, Douglas Daniel Elias Santos, Ryo Kikuchi, Shogo Ota, Adam Miziołek, Rinat Shamsiev, Manu Casals, Rosse Gates, Francesco Turri, Sophie BIZOT, Danylo Podhornyy, Elizaveta Uvarova, Alexander Dummett, Ben Moe, Gergely Dzsida, Dmytro Grechko, Giorgio Barbaglia, Yurii Lipatov, Vladimir Rigenco, Xavier Alabart, Tammam Shaibani, Toka Samir, Omar Perez, Eduardo Gazzinelli, Andrew Hope, Carmine Pappagallo, Bryan colligan, Tom Barnes and Ivan Ivanka</v>
      </c>
      <c r="E804" s="4" t="str">
        <f>IFERROR(__xludf.DUMMYFUNCTION("""COMPUTED_VALUE"""),"Michael Borisov,Clément CHRISTOL,Shogo Ota,Gionata Poggi,Soliman Abaza,Alexander Pobereznichenko,Nikolai Kharin,Gianfranco Fedele,Ciro Fiorillo,Mehdi Aïda,Oleksandr Lastovskyy,Lisa Wäntig,Aleksei Klabukov,Haris Zacharatos,Paulo D'Alberti,Ana Cláudia Laure"&amp;"ano de Sousa,Antonio Baccari,Douglas Daniel Elias Santos,Ryo Kikuchi,Shogo Ota,Adam Miziołek,Rinat Shamsiev,Manu Casals,Rosse Gates,Francesco Turri,Sophie BIZOT,Danylo Podhornyy,Elizaveta Uvarova,Alexander Dummett,Ben Moe,Gergely Dzsida,Dmytro Grechko,Gio"&amp;"rgio Barbaglia,Yurii Lipatov,Vladimir Rigenco,Xavier Alabart,Tammam Shaibani,Toka Samir,Omar Perez,Eduardo Gazzinelli,Andrew Hope,Carmine Pappagallo,Bryan colligan,Tom Barnes,Ivan Ivanka")</f>
        <v>Michael Borisov,Clément CHRISTOL,Shogo Ota,Gionata Poggi,Soliman Abaza,Alexander Pobereznichenko,Nikolai Kharin,Gianfranco Fedele,Ciro Fiorillo,Mehdi Aïda,Oleksandr Lastovskyy,Lisa Wäntig,Aleksei Klabukov,Haris Zacharatos,Paulo D'Alberti,Ana Cláudia Laureano de Sousa,Antonio Baccari,Douglas Daniel Elias Santos,Ryo Kikuchi,Shogo Ota,Adam Miziołek,Rinat Shamsiev,Manu Casals,Rosse Gates,Francesco Turri,Sophie BIZOT,Danylo Podhornyy,Elizaveta Uvarova,Alexander Dummett,Ben Moe,Gergely Dzsida,Dmytro Grechko,Giorgio Barbaglia,Yurii Lipatov,Vladimir Rigenco,Xavier Alabart,Tammam Shaibani,Toka Samir,Omar Perez,Eduardo Gazzinelli,Andrew Hope,Carmine Pappagallo,Bryan colligan,Tom Barnes,Ivan Ivanka</v>
      </c>
      <c r="F804" s="4" t="str">
        <f>IFERROR(__xludf.DUMMYFUNCTION("""COMPUTED_VALUE"""),"2019/11/07 10:15:00")</f>
        <v>2019/11/07 10:15:00</v>
      </c>
      <c r="G804" s="4" t="str">
        <f>IFERROR(__xludf.DUMMYFUNCTION("""COMPUTED_VALUE"""),"2019/11/07 11:15:00")</f>
        <v>2019/11/07 11:15:00</v>
      </c>
      <c r="H804" s="4" t="str">
        <f>IFERROR(__xludf.DUMMYFUNCTION("""COMPUTED_VALUE"""),"284c97d7-3cfe-4a29-bb1c-e3911c144ea4")</f>
        <v>284c97d7-3cfe-4a29-bb1c-e3911c144ea4</v>
      </c>
      <c r="I804" s="4" t="str">
        <f>IFERROR(__xludf.DUMMYFUNCTION("""COMPUTED_VALUE"""),"284c97d7-3cfe-4a29-bb1c-e3911c144ea4")</f>
        <v>284c97d7-3cfe-4a29-bb1c-e3911c144ea4</v>
      </c>
    </row>
    <row r="805">
      <c r="A805" s="4" t="str">
        <f>IFERROR(__xludf.DUMMYFUNCTION("""COMPUTED_VALUE"""),"Society and shareholders: Finding the right balance")</f>
        <v>Society and shareholders: Finding the right balance</v>
      </c>
      <c r="B805" s="4" t="str">
        <f>IFERROR(__xludf.DUMMYFUNCTION("""COMPUTED_VALUE"""),"The recent Business Roundtable statement on the purpose of a company represents a potentially seismic shift in how companies relate to society. Many companies are trending away from focusing purely on return for shareholders to a more socially responsible"&amp;" business model. In this session we will hear from experts across the spectrum about how to find the right balance between profit making and social purpose.")</f>
        <v>The recent Business Roundtable statement on the purpose of a company represents a potentially seismic shift in how companies relate to society. Many companies are trending away from focusing purely on return for shareholders to a more socially responsible business model. In this session we will hear from experts across the spectrum about how to find the right balance between profit making and social purpose.</v>
      </c>
      <c r="C805" s="4" t="str">
        <f>IFERROR(__xludf.DUMMYFUNCTION("""COMPUTED_VALUE"""),"Future Societies")</f>
        <v>Future Societies</v>
      </c>
      <c r="D805" s="4" t="str">
        <f>IFERROR(__xludf.DUMMYFUNCTION("""COMPUTED_VALUE"""),"Franz Heukamp, Natasha Good, Alicia Tillman, Peter Mühlmann and Anie Akpe")</f>
        <v>Franz Heukamp, Natasha Good, Alicia Tillman, Peter Mühlmann and Anie Akpe</v>
      </c>
      <c r="E805" s="4" t="str">
        <f>IFERROR(__xludf.DUMMYFUNCTION("""COMPUTED_VALUE"""),"Franz Heukamp,Natasha Good,Alicia Tillman,Peter Mühlmann,Anie Akpe")</f>
        <v>Franz Heukamp,Natasha Good,Alicia Tillman,Peter Mühlmann,Anie Akpe</v>
      </c>
      <c r="F805" s="4" t="str">
        <f>IFERROR(__xludf.DUMMYFUNCTION("""COMPUTED_VALUE"""),"2019/11/06 11:10:00")</f>
        <v>2019/11/06 11:10:00</v>
      </c>
      <c r="G805" s="4" t="str">
        <f>IFERROR(__xludf.DUMMYFUNCTION("""COMPUTED_VALUE"""),"2019/11/06 11:30:00")</f>
        <v>2019/11/06 11:30:00</v>
      </c>
      <c r="H805" s="4" t="str">
        <f>IFERROR(__xludf.DUMMYFUNCTION("""COMPUTED_VALUE"""),"1b62a93c-63ff-48b0-a029-413e0398df72")</f>
        <v>1b62a93c-63ff-48b0-a029-413e0398df72</v>
      </c>
      <c r="I805" s="4" t="str">
        <f>IFERROR(__xludf.DUMMYFUNCTION("""COMPUTED_VALUE"""),"1b62a93c-63ff-48b0-a029-413e0398df72")</f>
        <v>1b62a93c-63ff-48b0-a029-413e0398df72</v>
      </c>
    </row>
    <row r="806">
      <c r="A806" s="4" t="str">
        <f>IFERROR(__xludf.DUMMYFUNCTION("""COMPUTED_VALUE"""),"Why add a service mesh to your containers?")</f>
        <v>Why add a service mesh to your containers?</v>
      </c>
      <c r="B806" s="4" t="str">
        <f>IFERROR(__xludf.DUMMYFUNCTION("""COMPUTED_VALUE"""),"A service mesh adds new qualities to Kubernetes and other container orchestrations. It connects, secures, observes and controls service invocations in a language agnostic way that doesn't require any code changes. In this session we will explain the value"&amp;" of using microservices and introduce service meshes from the ground up, analyze why it makes sense to use them on top of Kubernetes, and describe how it improves your infrastructure by providing cross-cutting concerns like traffic shifting, error injecti"&amp;"on for chaos engineering or observability.")</f>
        <v>A service mesh adds new qualities to Kubernetes and other container orchestrations. It connects, secures, observes and controls service invocations in a language agnostic way that doesn't require any code changes. In this session we will explain the value of using microservices and introduce service meshes from the ground up, analyze why it makes sense to use them on top of Kubernetes, and describe how it improves your infrastructure by providing cross-cutting concerns like traffic shifting, error injection for chaos engineering or observability.</v>
      </c>
      <c r="C806" s="4" t="str">
        <f>IFERROR(__xludf.DUMMYFUNCTION("""COMPUTED_VALUE"""),"AWS Developer Workshops")</f>
        <v>AWS Developer Workshops</v>
      </c>
      <c r="D806" s="4" t="str">
        <f>IFERROR(__xludf.DUMMYFUNCTION("""COMPUTED_VALUE"""),"")</f>
        <v/>
      </c>
      <c r="E806" s="4" t="str">
        <f>IFERROR(__xludf.DUMMYFUNCTION("""COMPUTED_VALUE"""),"")</f>
        <v/>
      </c>
      <c r="F806" s="4" t="str">
        <f>IFERROR(__xludf.DUMMYFUNCTION("""COMPUTED_VALUE"""),"2019/11/07 13:00:00")</f>
        <v>2019/11/07 13:00:00</v>
      </c>
      <c r="G806" s="4" t="str">
        <f>IFERROR(__xludf.DUMMYFUNCTION("""COMPUTED_VALUE"""),"2019/11/07 13:50:00")</f>
        <v>2019/11/07 13:50:00</v>
      </c>
      <c r="H806" s="4" t="str">
        <f>IFERROR(__xludf.DUMMYFUNCTION("""COMPUTED_VALUE"""),"467b9d46-f461-4c8d-a4bf-1ec4673e2ebe")</f>
        <v>467b9d46-f461-4c8d-a4bf-1ec4673e2ebe</v>
      </c>
      <c r="I806" s="4" t="str">
        <f>IFERROR(__xludf.DUMMYFUNCTION("""COMPUTED_VALUE"""),"467b9d46-f461-4c8d-a4bf-1ec4673e2ebe")</f>
        <v>467b9d46-f461-4c8d-a4bf-1ec4673e2ebe</v>
      </c>
    </row>
    <row r="807">
      <c r="A807" s="4" t="str">
        <f>IFERROR(__xludf.DUMMYFUNCTION("""COMPUTED_VALUE"""),"Neither blue nor red: Pink ocean")</f>
        <v>Neither blue nor red: Pink ocean</v>
      </c>
      <c r="B807" s="4" t="str">
        <f>IFERROR(__xludf.DUMMYFUNCTION("""COMPUTED_VALUE"""),"How has Bnext (the Spanish leader neobank) reached 300k users in just 18 months? The way they grew was by choosing an out of the ordinary strategy in the banking and fintech sector, and WOM is key in every single thing they’ve done.")</f>
        <v>How has Bnext (the Spanish leader neobank) reached 300k users in just 18 months? The way they grew was by choosing an out of the ordinary strategy in the banking and fintech sector, and WOM is key in every single thing they’ve done.</v>
      </c>
      <c r="C807" s="4" t="str">
        <f>IFERROR(__xludf.DUMMYFUNCTION("""COMPUTED_VALUE"""),"Growth Summit")</f>
        <v>Growth Summit</v>
      </c>
      <c r="D807" s="4" t="str">
        <f>IFERROR(__xludf.DUMMYFUNCTION("""COMPUTED_VALUE"""),"Guillermo Vicandi")</f>
        <v>Guillermo Vicandi</v>
      </c>
      <c r="E807" s="4" t="str">
        <f>IFERROR(__xludf.DUMMYFUNCTION("""COMPUTED_VALUE"""),"Guillermo Vicandi")</f>
        <v>Guillermo Vicandi</v>
      </c>
      <c r="F807" s="4" t="str">
        <f>IFERROR(__xludf.DUMMYFUNCTION("""COMPUTED_VALUE"""),"2019/11/07 11:14:00")</f>
        <v>2019/11/07 11:14:00</v>
      </c>
      <c r="G807" s="4" t="str">
        <f>IFERROR(__xludf.DUMMYFUNCTION("""COMPUTED_VALUE"""),"2019/11/07 11:18:00")</f>
        <v>2019/11/07 11:18:00</v>
      </c>
      <c r="H807" s="4" t="str">
        <f>IFERROR(__xludf.DUMMYFUNCTION("""COMPUTED_VALUE"""),"f67cd1c6-5d17-469f-91f0-6f11195e690b")</f>
        <v>f67cd1c6-5d17-469f-91f0-6f11195e690b</v>
      </c>
      <c r="I807" s="4" t="str">
        <f>IFERROR(__xludf.DUMMYFUNCTION("""COMPUTED_VALUE"""),"f67cd1c6-5d17-469f-91f0-6f11195e690b")</f>
        <v>f67cd1c6-5d17-469f-91f0-6f11195e690b</v>
      </c>
    </row>
    <row r="808">
      <c r="A808" s="4" t="str">
        <f>IFERROR(__xludf.DUMMYFUNCTION("""COMPUTED_VALUE"""),"Putting the ""justice"" in criminal justice reform")</f>
        <v>Putting the "justice" in criminal justice reform</v>
      </c>
      <c r="B808" s="4" t="str">
        <f>IFERROR(__xludf.DUMMYFUNCTION("""COMPUTED_VALUE"""),"Increasing prison populations, a growth in recidivism, and the explosion of private prisons have all contributed to the crisis in criminal justice, especially in the US. This panel will attempt to figure out how we can make the system fair again and put t"&amp;"he justice back into criminal justice.")</f>
        <v>Increasing prison populations, a growth in recidivism, and the explosion of private prisons have all contributed to the crisis in criminal justice, especially in the US. This panel will attempt to figure out how we can make the system fair again and put the justice back into criminal justice.</v>
      </c>
      <c r="C808" s="4" t="str">
        <f>IFERROR(__xludf.DUMMYFUNCTION("""COMPUTED_VALUE"""),"Future Societies")</f>
        <v>Future Societies</v>
      </c>
      <c r="D808" s="4" t="str">
        <f>IFERROR(__xludf.DUMMYFUNCTION("""COMPUTED_VALUE"""),"Daniel Yanisse, Julia Salasky and James Ball")</f>
        <v>Daniel Yanisse, Julia Salasky and James Ball</v>
      </c>
      <c r="E808" s="4" t="str">
        <f>IFERROR(__xludf.DUMMYFUNCTION("""COMPUTED_VALUE"""),"Daniel Yanisse,Julia Salasky,James Ball")</f>
        <v>Daniel Yanisse,Julia Salasky,James Ball</v>
      </c>
      <c r="F808" s="4" t="str">
        <f>IFERROR(__xludf.DUMMYFUNCTION("""COMPUTED_VALUE"""),"2019/11/07 14:40:00")</f>
        <v>2019/11/07 14:40:00</v>
      </c>
      <c r="G808" s="4" t="str">
        <f>IFERROR(__xludf.DUMMYFUNCTION("""COMPUTED_VALUE"""),"2019/11/07 15:00:00")</f>
        <v>2019/11/07 15:00:00</v>
      </c>
      <c r="H808" s="4" t="str">
        <f>IFERROR(__xludf.DUMMYFUNCTION("""COMPUTED_VALUE"""),"55919ada-7139-47a7-8c18-1b580f1fcd81")</f>
        <v>55919ada-7139-47a7-8c18-1b580f1fcd81</v>
      </c>
      <c r="I808" s="4" t="str">
        <f>IFERROR(__xludf.DUMMYFUNCTION("""COMPUTED_VALUE"""),"55919ada-7139-47a7-8c18-1b580f1fcd81")</f>
        <v>55919ada-7139-47a7-8c18-1b580f1fcd81</v>
      </c>
    </row>
    <row r="809">
      <c r="A809" s="4" t="str">
        <f>IFERROR(__xludf.DUMMYFUNCTION("""COMPUTED_VALUE"""),"Startup Showcase")</f>
        <v>Startup Showcase</v>
      </c>
      <c r="B809" s="4" t="str">
        <f>IFERROR(__xludf.DUMMYFUNCTION("""COMPUTED_VALUE"""),"On this brand new stage, expect quickfire presentations where startups will showcase their solutions to the future's biggest challenges. This hour focuses on the future of retail, covering topics like customer engagement, personalised shopping experiences"&amp;", interactive retail, and ecommerce infrastructure.
")</f>
        <v>On this brand new stage, expect quickfire presentations where startups will showcase their solutions to the future's biggest challenges. This hour focuses on the future of retail, covering topics like customer engagement, personalised shopping experiences, interactive retail, and ecommerce infrastructure.
</v>
      </c>
      <c r="C809" s="4" t="str">
        <f>IFERROR(__xludf.DUMMYFUNCTION("""COMPUTED_VALUE"""),"Startup Showcase 3")</f>
        <v>Startup Showcase 3</v>
      </c>
      <c r="D809" s="4" t="str">
        <f>IFERROR(__xludf.DUMMYFUNCTION("""COMPUTED_VALUE"""),"Lais de Oliveira, André Borges, Alexey Chekhvalov, Sothea Nim, Eduardo Ide, Karim Boukarabila, Massimiliano Meneghello, Carolina Albarran, Tiago Baptista, Carolina Delfini Junqueira Franco, Pedro Marques, Stephan Zimmermann, Giovanna Weiss, SALIM ZAKHOUR,"&amp;" Guy Reiffers, Alexey Kobzev, Pedro Alves, Peter Horvath, ROMUALDO LOPES, Jakub Minks, Yury Shishkin, Ralph Haddad, Gabriella Weiss, Maria Clara Limoncic, Sergey Bannykh, Lynn Healy-Goulet, DANIEL BRAGA, Philippe Tarrare, Kevin Houle, Giovanni Spiller, Vi"&amp;"ncent Dethier, Georgy Gorgonov, Pavel Boyko, A. Kieran Gale, Klaus-Dieter Feld, João Lee, Shelmaa Oubari, Alex Chekhvalov, Vitaly Klimov, Maria Kahale, Valter Costa, Juan Carrillo, Yevhenii Derkach, Dipen Panchal, Lucas Malanda, Miguel Costa, Svetlana Pan"&amp;"chenko, Francesco Pio Fiorito, SHADY BOU AKL and Fernando Luca de Tena Smith")</f>
        <v>Lais de Oliveira, André Borges, Alexey Chekhvalov, Sothea Nim, Eduardo Ide, Karim Boukarabila, Massimiliano Meneghello, Carolina Albarran, Tiago Baptista, Carolina Delfini Junqueira Franco, Pedro Marques, Stephan Zimmermann, Giovanna Weiss, SALIM ZAKHOUR, Guy Reiffers, Alexey Kobzev, Pedro Alves, Peter Horvath, ROMUALDO LOPES, Jakub Minks, Yury Shishkin, Ralph Haddad, Gabriella Weiss, Maria Clara Limoncic, Sergey Bannykh, Lynn Healy-Goulet, DANIEL BRAGA, Philippe Tarrare, Kevin Houle, Giovanni Spiller, Vincent Dethier, Georgy Gorgonov, Pavel Boyko, A. Kieran Gale, Klaus-Dieter Feld, João Lee, Shelmaa Oubari, Alex Chekhvalov, Vitaly Klimov, Maria Kahale, Valter Costa, Juan Carrillo, Yevhenii Derkach, Dipen Panchal, Lucas Malanda, Miguel Costa, Svetlana Panchenko, Francesco Pio Fiorito, SHADY BOU AKL and Fernando Luca de Tena Smith</v>
      </c>
      <c r="E809" s="4" t="str">
        <f>IFERROR(__xludf.DUMMYFUNCTION("""COMPUTED_VALUE"""),"Lais de Oliveira,André Borges,Alexey Chekhvalov,Sothea Nim,Eduardo Ide,Karim Boukarabila,Massimiliano Meneghello,Carolina Albarran,Tiago Baptista,Carolina Delfini Junqueira Franco,Pedro Marques,Stephan Zimmermann,Giovanna Weiss,SALIM ZAKHOUR,Guy Reiffers,"&amp;"Alexey Kobzev,Pedro Alves,Peter Horvath,ROMUALDO LOPES,Jakub Minks,Yury Shishkin,Ralph Haddad,Gabriella Weiss,Maria Clara Limoncic,Sergey Bannykh,Lynn Healy-Goulet,DANIEL BRAGA,Philippe Tarrare,Kevin Houle,Giovanni Spiller,Vincent Dethier,Georgy Gorgonov,"&amp;"Pavel Boyko,A. Kieran Gale,Klaus-Dieter Feld,João Lee,Shelmaa Oubari,Alex Chekhvalov,Vitaly Klimov,Maria Kahale,Valter Costa,Juan Carrillo,Yevhenii Derkach,Dipen Panchal,Lucas Malanda,Miguel Costa,Svetlana Panchenko,Francesco Pio Fiorito,SHADY BOU AKL,Fer"&amp;"nando Luca de Tena Smith")</f>
        <v>Lais de Oliveira,André Borges,Alexey Chekhvalov,Sothea Nim,Eduardo Ide,Karim Boukarabila,Massimiliano Meneghello,Carolina Albarran,Tiago Baptista,Carolina Delfini Junqueira Franco,Pedro Marques,Stephan Zimmermann,Giovanna Weiss,SALIM ZAKHOUR,Guy Reiffers,Alexey Kobzev,Pedro Alves,Peter Horvath,ROMUALDO LOPES,Jakub Minks,Yury Shishkin,Ralph Haddad,Gabriella Weiss,Maria Clara Limoncic,Sergey Bannykh,Lynn Healy-Goulet,DANIEL BRAGA,Philippe Tarrare,Kevin Houle,Giovanni Spiller,Vincent Dethier,Georgy Gorgonov,Pavel Boyko,A. Kieran Gale,Klaus-Dieter Feld,João Lee,Shelmaa Oubari,Alex Chekhvalov,Vitaly Klimov,Maria Kahale,Valter Costa,Juan Carrillo,Yevhenii Derkach,Dipen Panchal,Lucas Malanda,Miguel Costa,Svetlana Panchenko,Francesco Pio Fiorito,SHADY BOU AKL,Fernando Luca de Tena Smith</v>
      </c>
      <c r="F809" s="4" t="str">
        <f>IFERROR(__xludf.DUMMYFUNCTION("""COMPUTED_VALUE"""),"2019/11/06 14:15:00")</f>
        <v>2019/11/06 14:15:00</v>
      </c>
      <c r="G809" s="4" t="str">
        <f>IFERROR(__xludf.DUMMYFUNCTION("""COMPUTED_VALUE"""),"2019/11/06 15:15:00")</f>
        <v>2019/11/06 15:15:00</v>
      </c>
      <c r="H809" s="4" t="str">
        <f>IFERROR(__xludf.DUMMYFUNCTION("""COMPUTED_VALUE"""),"466196c8-eefb-4282-825a-2920c0713b5c")</f>
        <v>466196c8-eefb-4282-825a-2920c0713b5c</v>
      </c>
      <c r="I809" s="4" t="str">
        <f>IFERROR(__xludf.DUMMYFUNCTION("""COMPUTED_VALUE"""),"466196c8-eefb-4282-825a-2920c0713b5c")</f>
        <v>466196c8-eefb-4282-825a-2920c0713b5c</v>
      </c>
    </row>
    <row r="810">
      <c r="A810" s="4" t="str">
        <f>IFERROR(__xludf.DUMMYFUNCTION("""COMPUTED_VALUE"""),"Your Home in 2025")</f>
        <v>Your Home in 2025</v>
      </c>
      <c r="B810" s="4" t="str">
        <f>IFERROR(__xludf.DUMMYFUNCTION("""COMPUTED_VALUE"""),"What turns a house into a home? Samsung believes a new wave of innovation will transform our increasingly connected houses into truly smart homes of the future.")</f>
        <v>What turns a house into a home? Samsung believes a new wave of innovation will transform our increasingly connected houses into truly smart homes of the future.</v>
      </c>
      <c r="C810" s="4" t="str">
        <f>IFERROR(__xludf.DUMMYFUNCTION("""COMPUTED_VALUE"""),"Centre Stage")</f>
        <v>Centre Stage</v>
      </c>
      <c r="D810" s="4" t="str">
        <f>IFERROR(__xludf.DUMMYFUNCTION("""COMPUTED_VALUE"""),"David Eun")</f>
        <v>David Eun</v>
      </c>
      <c r="E810" s="4" t="str">
        <f>IFERROR(__xludf.DUMMYFUNCTION("""COMPUTED_VALUE"""),"David Eun")</f>
        <v>David Eun</v>
      </c>
      <c r="F810" s="4" t="str">
        <f>IFERROR(__xludf.DUMMYFUNCTION("""COMPUTED_VALUE"""),"2019/11/05 12:35:00")</f>
        <v>2019/11/05 12:35:00</v>
      </c>
      <c r="G810" s="4" t="str">
        <f>IFERROR(__xludf.DUMMYFUNCTION("""COMPUTED_VALUE"""),"2019/11/05 13:00:00")</f>
        <v>2019/11/05 13:00:00</v>
      </c>
      <c r="H810" s="4" t="str">
        <f>IFERROR(__xludf.DUMMYFUNCTION("""COMPUTED_VALUE"""),"55cc8fc2-2f0e-49dd-bc33-3ae6c6263206")</f>
        <v>55cc8fc2-2f0e-49dd-bc33-3ae6c6263206</v>
      </c>
      <c r="I810" s="4" t="str">
        <f>IFERROR(__xludf.DUMMYFUNCTION("""COMPUTED_VALUE"""),"55cc8fc2-2f0e-49dd-bc33-3ae6c6263206")</f>
        <v>55cc8fc2-2f0e-49dd-bc33-3ae6c6263206</v>
      </c>
    </row>
    <row r="811">
      <c r="A811" s="4" t="str">
        <f>IFERROR(__xludf.DUMMYFUNCTION("""COMPUTED_VALUE"""),"Are we AI-ready?")</f>
        <v>Are we AI-ready?</v>
      </c>
      <c r="B811" s="4" t="str">
        <f>IFERROR(__xludf.DUMMYFUNCTION("""COMPUTED_VALUE"""),"Jean-François Gagné, the co-founder and CEO of Element AI, in conversation with Tim Stevens of CNET, discuss a practical view of entrepreneurial challenges and pivots with the AI future.")</f>
        <v>Jean-François Gagné, the co-founder and CEO of Element AI, in conversation with Tim Stevens of CNET, discuss a practical view of entrepreneurial challenges and pivots with the AI future.</v>
      </c>
      <c r="C811" s="8" t="str">
        <f>IFERROR(__xludf.DUMMYFUNCTION("""COMPUTED_VALUE"""),"binate.io")</f>
        <v>binate.io</v>
      </c>
      <c r="D811" s="4" t="str">
        <f>IFERROR(__xludf.DUMMYFUNCTION("""COMPUTED_VALUE"""),"Jean-François Gagné and Tim Stevens")</f>
        <v>Jean-François Gagné and Tim Stevens</v>
      </c>
      <c r="E811" s="4" t="str">
        <f>IFERROR(__xludf.DUMMYFUNCTION("""COMPUTED_VALUE"""),"Jean-François Gagné,Tim Stevens")</f>
        <v>Jean-François Gagné,Tim Stevens</v>
      </c>
      <c r="F811" s="4" t="str">
        <f>IFERROR(__xludf.DUMMYFUNCTION("""COMPUTED_VALUE"""),"2019/11/06 14:25:00")</f>
        <v>2019/11/06 14:25:00</v>
      </c>
      <c r="G811" s="4" t="str">
        <f>IFERROR(__xludf.DUMMYFUNCTION("""COMPUTED_VALUE"""),"2019/11/06 14:45:00")</f>
        <v>2019/11/06 14:45:00</v>
      </c>
      <c r="H811" s="4" t="str">
        <f>IFERROR(__xludf.DUMMYFUNCTION("""COMPUTED_VALUE"""),"723e8585-eb70-4302-b1c5-a977bfb2a9da")</f>
        <v>723e8585-eb70-4302-b1c5-a977bfb2a9da</v>
      </c>
      <c r="I811" s="4" t="str">
        <f>IFERROR(__xludf.DUMMYFUNCTION("""COMPUTED_VALUE"""),"723e8585-eb70-4302-b1c5-a977bfb2a9da")</f>
        <v>723e8585-eb70-4302-b1c5-a977bfb2a9da</v>
      </c>
    </row>
    <row r="812">
      <c r="A812" s="4" t="str">
        <f>IFERROR(__xludf.DUMMYFUNCTION("""COMPUTED_VALUE"""),"Re-imagining the global transport ecosystem")</f>
        <v>Re-imagining the global transport ecosystem</v>
      </c>
      <c r="B812" s="4" t="str">
        <f>IFERROR(__xludf.DUMMYFUNCTION("""COMPUTED_VALUE"""),"Going out to collect your food hasn't been in vogue for some time. What innovations are taking place on the global circuit?")</f>
        <v>Going out to collect your food hasn't been in vogue for some time. What innovations are taking place on the global circuit?</v>
      </c>
      <c r="C812" s="4" t="str">
        <f>IFERROR(__xludf.DUMMYFUNCTION("""COMPUTED_VALUE"""),"Auto/Tech &amp; TalkRobot")</f>
        <v>Auto/Tech &amp; TalkRobot</v>
      </c>
      <c r="D812" s="4" t="str">
        <f>IFERROR(__xludf.DUMMYFUNCTION("""COMPUTED_VALUE"""),"Markus Villig, Carlos Moyses and Tim Stevens")</f>
        <v>Markus Villig, Carlos Moyses and Tim Stevens</v>
      </c>
      <c r="E812" s="4" t="str">
        <f>IFERROR(__xludf.DUMMYFUNCTION("""COMPUTED_VALUE"""),"Markus Villig,Carlos Moyses,Tim Stevens")</f>
        <v>Markus Villig,Carlos Moyses,Tim Stevens</v>
      </c>
      <c r="F812" s="4" t="str">
        <f>IFERROR(__xludf.DUMMYFUNCTION("""COMPUTED_VALUE"""),"2019/11/05 12:20:00")</f>
        <v>2019/11/05 12:20:00</v>
      </c>
      <c r="G812" s="4" t="str">
        <f>IFERROR(__xludf.DUMMYFUNCTION("""COMPUTED_VALUE"""),"2019/11/05 12:40:00")</f>
        <v>2019/11/05 12:40:00</v>
      </c>
      <c r="H812" s="4" t="str">
        <f>IFERROR(__xludf.DUMMYFUNCTION("""COMPUTED_VALUE"""),"90cdbb60-825d-4005-87ff-0852810ba234")</f>
        <v>90cdbb60-825d-4005-87ff-0852810ba234</v>
      </c>
      <c r="I812" s="4" t="str">
        <f>IFERROR(__xludf.DUMMYFUNCTION("""COMPUTED_VALUE"""),"90cdbb60-825d-4005-87ff-0852810ba234")</f>
        <v>90cdbb60-825d-4005-87ff-0852810ba234</v>
      </c>
    </row>
    <row r="813">
      <c r="A813" s="4" t="str">
        <f>IFERROR(__xludf.DUMMYFUNCTION("""COMPUTED_VALUE"""),"Startup Showcase")</f>
        <v>Startup Showcase</v>
      </c>
      <c r="B813" s="4" t="str">
        <f>IFERROR(__xludf.DUMMYFUNCTION("""COMPUTED_VALUE"""),"On this brand new stage, expect quickfire presentations where startups will showcase their solutions to the future's biggest challenges. This hour focuses on security, covering topics like cybersecurity, trust and privacy, consumer safety, data compliance"&amp;", 2FA innovations, and worker safety and safetytech.
")</f>
        <v>On this brand new stage, expect quickfire presentations where startups will showcase their solutions to the future's biggest challenges. This hour focuses on security, covering topics like cybersecurity, trust and privacy, consumer safety, data compliance, 2FA innovations, and worker safety and safetytech.
</v>
      </c>
      <c r="C813" s="4" t="str">
        <f>IFERROR(__xludf.DUMMYFUNCTION("""COMPUTED_VALUE"""),"Startup Showcase 2")</f>
        <v>Startup Showcase 2</v>
      </c>
      <c r="D813" s="4" t="str">
        <f>IFERROR(__xludf.DUMMYFUNCTION("""COMPUTED_VALUE"""),"Tianyu Pu, Luigi Fidelio, Carlos Faria, Marc Mackenbach, Christopher Ramstedt, Dmitry Shimanskiy, Simone Giacco, Marina Bochenkova, Aleksandr  Beshkenadze, ARNAUD LAPREVOTE, Cristian Badea, Lev Bass, Kiran Bhagotra, Floris van der Grinten, Charlotte Sling"&amp;"sby, Jose Figueiredo, Dmitry Panenkov, Anne-Claire Mittelberger, Robert Reynolds, Sandrine Ponceblanc, Gorka Lorenzo, Chloe Colin, Mikus Losans, Ela Neagu, Nigel Hopkinson, Justin Travis, Antoine Dumas-Martin, Maria Cots, Evgeny Scherbak, Anastasiia Shmat"&amp;"ina, Fabian Ruesing, Simonetta d'Ottaviano, Alexander Stoehr, Javier Gutiérrez, Erik Wåhlin, Michael Larsen, Marco Piludu, Timea Totok, VIncent Hoonings, Emmanuelle Dubourg, Arturs Rasnacis, Pierre Grönberg, Kay Slagman, Matthew McClaskey, Miriam Meazza, "&amp;"Joris Coenen, Brenda61i8 wilson Van horn, Pedro Cruz, Dmitry Malkov and Damiaan Twelker")</f>
        <v>Tianyu Pu, Luigi Fidelio, Carlos Faria, Marc Mackenbach, Christopher Ramstedt, Dmitry Shimanskiy, Simone Giacco, Marina Bochenkova, Aleksandr  Beshkenadze, ARNAUD LAPREVOTE, Cristian Badea, Lev Bass, Kiran Bhagotra, Floris van der Grinten, Charlotte Slingsby, Jose Figueiredo, Dmitry Panenkov, Anne-Claire Mittelberger, Robert Reynolds, Sandrine Ponceblanc, Gorka Lorenzo, Chloe Colin, Mikus Losans, Ela Neagu, Nigel Hopkinson, Justin Travis, Antoine Dumas-Martin, Maria Cots, Evgeny Scherbak, Anastasiia Shmatina, Fabian Ruesing, Simonetta d'Ottaviano, Alexander Stoehr, Javier Gutiérrez, Erik Wåhlin, Michael Larsen, Marco Piludu, Timea Totok, VIncent Hoonings, Emmanuelle Dubourg, Arturs Rasnacis, Pierre Grönberg, Kay Slagman, Matthew McClaskey, Miriam Meazza, Joris Coenen, Brenda61i8 wilson Van horn, Pedro Cruz, Dmitry Malkov and Damiaan Twelker</v>
      </c>
      <c r="E813" s="4" t="str">
        <f>IFERROR(__xludf.DUMMYFUNCTION("""COMPUTED_VALUE"""),"Tianyu Pu,Luigi Fidelio,Carlos Faria,Marc Mackenbach,Christopher Ramstedt,Dmitry Shimanskiy,Simone Giacco,Marina Bochenkova,Aleksandr  Beshkenadze,ARNAUD LAPREVOTE,Cristian Badea,Lev Bass,Kiran Bhagotra,Floris van der Grinten,Charlotte Slingsby,Jose Figue"&amp;"iredo,Dmitry Panenkov,Anne-Claire Mittelberger,Robert Reynolds,Sandrine Ponceblanc,Gorka Lorenzo,Chloe Colin,Mikus Losans,Ela Neagu,Nigel Hopkinson,Justin Travis,Antoine Dumas-Martin,Maria Cots,Evgeny Scherbak,Anastasiia Shmatina,Fabian Ruesing,Simonetta "&amp;"d'Ottaviano,Alexander Stoehr,Javier Gutiérrez,Erik Wåhlin,Michael Larsen,Marco Piludu,Timea Totok,VIncent Hoonings,Emmanuelle Dubourg,Arturs Rasnacis,Pierre Grönberg,Kay Slagman,Matthew McClaskey,Miriam Meazza,Joris Coenen,Brenda61i8 wilson Van horn,Pedro"&amp;" Cruz,Dmitry Malkov,Damiaan Twelker")</f>
        <v>Tianyu Pu,Luigi Fidelio,Carlos Faria,Marc Mackenbach,Christopher Ramstedt,Dmitry Shimanskiy,Simone Giacco,Marina Bochenkova,Aleksandr  Beshkenadze,ARNAUD LAPREVOTE,Cristian Badea,Lev Bass,Kiran Bhagotra,Floris van der Grinten,Charlotte Slingsby,Jose Figueiredo,Dmitry Panenkov,Anne-Claire Mittelberger,Robert Reynolds,Sandrine Ponceblanc,Gorka Lorenzo,Chloe Colin,Mikus Losans,Ela Neagu,Nigel Hopkinson,Justin Travis,Antoine Dumas-Martin,Maria Cots,Evgeny Scherbak,Anastasiia Shmatina,Fabian Ruesing,Simonetta d'Ottaviano,Alexander Stoehr,Javier Gutiérrez,Erik Wåhlin,Michael Larsen,Marco Piludu,Timea Totok,VIncent Hoonings,Emmanuelle Dubourg,Arturs Rasnacis,Pierre Grönberg,Kay Slagman,Matthew McClaskey,Miriam Meazza,Joris Coenen,Brenda61i8 wilson Van horn,Pedro Cruz,Dmitry Malkov,Damiaan Twelker</v>
      </c>
      <c r="F813" s="4" t="str">
        <f>IFERROR(__xludf.DUMMYFUNCTION("""COMPUTED_VALUE"""),"2019/11/07 10:15:00")</f>
        <v>2019/11/07 10:15:00</v>
      </c>
      <c r="G813" s="4" t="str">
        <f>IFERROR(__xludf.DUMMYFUNCTION("""COMPUTED_VALUE"""),"2019/11/07 11:15:00")</f>
        <v>2019/11/07 11:15:00</v>
      </c>
      <c r="H813" s="4" t="str">
        <f>IFERROR(__xludf.DUMMYFUNCTION("""COMPUTED_VALUE"""),"045dccf9-90f0-43d8-9eb6-4b2d6b845415")</f>
        <v>045dccf9-90f0-43d8-9eb6-4b2d6b845415</v>
      </c>
      <c r="I813" s="4" t="str">
        <f>IFERROR(__xludf.DUMMYFUNCTION("""COMPUTED_VALUE"""),"045dccf9-90f0-43d8-9eb6-4b2d6b845415")</f>
        <v>045dccf9-90f0-43d8-9eb6-4b2d6b845415</v>
      </c>
    </row>
    <row r="814">
      <c r="A814" s="4" t="str">
        <f>IFERROR(__xludf.DUMMYFUNCTION("""COMPUTED_VALUE"""),"Startup Showcase")</f>
        <v>Startup Showcase</v>
      </c>
      <c r="B814" s="4" t="str">
        <f>IFERROR(__xludf.DUMMYFUNCTION("""COMPUTED_VALUE"""),"On this brand new stage, expect quickfire presentations where startups will showcase their solutions to the future's biggest challenges. Meet the startups that are breaking, shaping, and reimagining what's possible in industries from enterprise software s"&amp;"olutions to AI &amp; machine learning. You know the problems, come see the solutions. ")</f>
        <v>On this brand new stage, expect quickfire presentations where startups will showcase their solutions to the future's biggest challenges. Meet the startups that are breaking, shaping, and reimagining what's possible in industries from enterprise software solutions to AI &amp; machine learning. You know the problems, come see the solutions. </v>
      </c>
      <c r="C814" s="4" t="str">
        <f>IFERROR(__xludf.DUMMYFUNCTION("""COMPUTED_VALUE"""),"Startup Showcase 2")</f>
        <v>Startup Showcase 2</v>
      </c>
      <c r="D814" s="4" t="str">
        <f>IFERROR(__xludf.DUMMYFUNCTION("""COMPUTED_VALUE"""),"James Downing, Kevin Feeney, Gero Keil, Cyril Dané, Fredrik Kronlid, Luisa Piló, Evgen Verzun, Carmen Ortega, Arash Asady, Anna Zieciak, Sina Roshan, Alvaro Gonzalez, Alon Cohn, Anthony Quirk, Joseph Benguira, Daniel Sozonov, Gary Gimenez, Kieran Conlon, "&amp;"Janderson Araujo, Simone Gabbriellini, Hossein Moradgholi, Tommaso Frigerio, Holly Pope, Eileen Owen Tan, Dario Rodriguez, Steven Betito, Peter Suma, Antonio Procopio, Milad Zabihi, Abigail Seward, Gregory Zerbib, Anton Morozov, MARCELO BASTOS, Mahdi El A"&amp;"zhari, Luke Feeney, Munique Martins, Georgina Pierson, David Hjelm, Zeyad Wanis, Wassim Samad, Thilo Hüllmann, Denys Smalianyi, Peter Ausum, ILya PavLov, Yevhenia Dzyuba, Kitty Jose, Joris Dekkers, Andreas Krona, Henrik Fabrin and Sergei Menshchikov")</f>
        <v>James Downing, Kevin Feeney, Gero Keil, Cyril Dané, Fredrik Kronlid, Luisa Piló, Evgen Verzun, Carmen Ortega, Arash Asady, Anna Zieciak, Sina Roshan, Alvaro Gonzalez, Alon Cohn, Anthony Quirk, Joseph Benguira, Daniel Sozonov, Gary Gimenez, Kieran Conlon, Janderson Araujo, Simone Gabbriellini, Hossein Moradgholi, Tommaso Frigerio, Holly Pope, Eileen Owen Tan, Dario Rodriguez, Steven Betito, Peter Suma, Antonio Procopio, Milad Zabihi, Abigail Seward, Gregory Zerbib, Anton Morozov, MARCELO BASTOS, Mahdi El Azhari, Luke Feeney, Munique Martins, Georgina Pierson, David Hjelm, Zeyad Wanis, Wassim Samad, Thilo Hüllmann, Denys Smalianyi, Peter Ausum, ILya PavLov, Yevhenia Dzyuba, Kitty Jose, Joris Dekkers, Andreas Krona, Henrik Fabrin and Sergei Menshchikov</v>
      </c>
      <c r="E814" s="4" t="str">
        <f>IFERROR(__xludf.DUMMYFUNCTION("""COMPUTED_VALUE"""),"James Downing,Kevin Feeney,Gero Keil,Cyril Dané,Fredrik Kronlid,Luisa Piló,Evgen Verzun,Carmen Ortega,Arash Asady,Anna Zieciak,Sina Roshan,Alvaro Gonzalez,Alon Cohn,Anthony Quirk,Joseph Benguira,Daniel Sozonov,Gary Gimenez,Kieran Conlon,Janderson Araujo,S"&amp;"imone Gabbriellini,Hossein Moradgholi,Tommaso Frigerio,Holly Pope,Eileen Owen Tan,Dario Rodriguez,Steven Betito,Peter Suma,Antonio Procopio,Milad Zabihi,Abigail Seward,Gregory Zerbib,Anton Morozov,MARCELO BASTOS,Mahdi El Azhari,Luke Feeney,Munique Martins"&amp;",Georgina Pierson,David Hjelm,Zeyad Wanis,Wassim Samad,Thilo Hüllmann,Denys Smalianyi,Peter Ausum,ILya PavLov,Yevhenia Dzyuba,Kitty Jose,Joris Dekkers,Andreas Krona,Henrik Fabrin,Sergei Menshchikov")</f>
        <v>James Downing,Kevin Feeney,Gero Keil,Cyril Dané,Fredrik Kronlid,Luisa Piló,Evgen Verzun,Carmen Ortega,Arash Asady,Anna Zieciak,Sina Roshan,Alvaro Gonzalez,Alon Cohn,Anthony Quirk,Joseph Benguira,Daniel Sozonov,Gary Gimenez,Kieran Conlon,Janderson Araujo,Simone Gabbriellini,Hossein Moradgholi,Tommaso Frigerio,Holly Pope,Eileen Owen Tan,Dario Rodriguez,Steven Betito,Peter Suma,Antonio Procopio,Milad Zabihi,Abigail Seward,Gregory Zerbib,Anton Morozov,MARCELO BASTOS,Mahdi El Azhari,Luke Feeney,Munique Martins,Georgina Pierson,David Hjelm,Zeyad Wanis,Wassim Samad,Thilo Hüllmann,Denys Smalianyi,Peter Ausum,ILya PavLov,Yevhenia Dzyuba,Kitty Jose,Joris Dekkers,Andreas Krona,Henrik Fabrin,Sergei Menshchikov</v>
      </c>
      <c r="F814" s="4" t="str">
        <f>IFERROR(__xludf.DUMMYFUNCTION("""COMPUTED_VALUE"""),"2019/11/06 11:15:00")</f>
        <v>2019/11/06 11:15:00</v>
      </c>
      <c r="G814" s="4" t="str">
        <f>IFERROR(__xludf.DUMMYFUNCTION("""COMPUTED_VALUE"""),"2019/11/06 12:15:00")</f>
        <v>2019/11/06 12:15:00</v>
      </c>
      <c r="H814" s="4" t="str">
        <f>IFERROR(__xludf.DUMMYFUNCTION("""COMPUTED_VALUE"""),"7810d056-e781-43b0-8250-0da0567c8770")</f>
        <v>7810d056-e781-43b0-8250-0da0567c8770</v>
      </c>
      <c r="I814" s="4" t="str">
        <f>IFERROR(__xludf.DUMMYFUNCTION("""COMPUTED_VALUE"""),"7810d056-e781-43b0-8250-0da0567c8770")</f>
        <v>7810d056-e781-43b0-8250-0da0567c8770</v>
      </c>
    </row>
    <row r="815">
      <c r="A815" s="4" t="str">
        <f>IFERROR(__xludf.DUMMYFUNCTION("""COMPUTED_VALUE"""),"PITCH group round 17")</f>
        <v>PITCH group round 17</v>
      </c>
      <c r="B815" s="4" t="str">
        <f>IFERROR(__xludf.DUMMYFUNCTION("""COMPUTED_VALUE"""),"")</f>
        <v/>
      </c>
      <c r="C815" s="4" t="str">
        <f>IFERROR(__xludf.DUMMYFUNCTION("""COMPUTED_VALUE"""),"PITCH 2")</f>
        <v>PITCH 2</v>
      </c>
      <c r="D815" s="4" t="str">
        <f>IFERROR(__xludf.DUMMYFUNCTION("""COMPUTED_VALUE"""),"Zach Coelius, Michael Szalontay, Yamilette Cano, Henri Baker, Patricia Alves, Tal Ben-Simon, Erika Vincent, Christoph Hantschk, Alexander Zaytsev, Alberto Noronha, Leah Cohen and Rosse Gates")</f>
        <v>Zach Coelius, Michael Szalontay, Yamilette Cano, Henri Baker, Patricia Alves, Tal Ben-Simon, Erika Vincent, Christoph Hantschk, Alexander Zaytsev, Alberto Noronha, Leah Cohen and Rosse Gates</v>
      </c>
      <c r="E815" s="4" t="str">
        <f>IFERROR(__xludf.DUMMYFUNCTION("""COMPUTED_VALUE"""),"Zach Coelius,Michael Szalontay,Yamilette Cano,Henri Baker,Patricia Alves,Tal Ben-Simon,Erika Vincent,Christoph Hantschk,Alexander Zaytsev,Alberto Noronha,Leah Cohen,Rosse Gates")</f>
        <v>Zach Coelius,Michael Szalontay,Yamilette Cano,Henri Baker,Patricia Alves,Tal Ben-Simon,Erika Vincent,Christoph Hantschk,Alexander Zaytsev,Alberto Noronha,Leah Cohen,Rosse Gates</v>
      </c>
      <c r="F815" s="4" t="str">
        <f>IFERROR(__xludf.DUMMYFUNCTION("""COMPUTED_VALUE"""),"2019/11/05 15:00:00")</f>
        <v>2019/11/05 15:00:00</v>
      </c>
      <c r="G815" s="4" t="str">
        <f>IFERROR(__xludf.DUMMYFUNCTION("""COMPUTED_VALUE"""),"2019/11/05 16:00:00")</f>
        <v>2019/11/05 16:00:00</v>
      </c>
      <c r="H815" s="4" t="str">
        <f>IFERROR(__xludf.DUMMYFUNCTION("""COMPUTED_VALUE"""),"b56b7382-a780-45bb-bbed-be2650c0d816")</f>
        <v>b56b7382-a780-45bb-bbed-be2650c0d816</v>
      </c>
      <c r="I815" s="4" t="str">
        <f>IFERROR(__xludf.DUMMYFUNCTION("""COMPUTED_VALUE"""),"b56b7382-a780-45bb-bbed-be2650c0d816")</f>
        <v>b56b7382-a780-45bb-bbed-be2650c0d816</v>
      </c>
    </row>
    <row r="816">
      <c r="A816" s="4" t="str">
        <f>IFERROR(__xludf.DUMMYFUNCTION("""COMPUTED_VALUE"""),"ATM 1")</f>
        <v>ATM 1</v>
      </c>
      <c r="B816" s="4" t="str">
        <f>IFERROR(__xludf.DUMMYFUNCTION("""COMPUTED_VALUE"""),"")</f>
        <v/>
      </c>
      <c r="C816" s="4" t="str">
        <f>IFERROR(__xludf.DUMMYFUNCTION("""COMPUTED_VALUE"""),"ATM - 1 - Nov 5")</f>
        <v>ATM - 1 - Nov 5</v>
      </c>
      <c r="D816" s="4" t="str">
        <f>IFERROR(__xludf.DUMMYFUNCTION("""COMPUTED_VALUE"""),"")</f>
        <v/>
      </c>
      <c r="E816" s="4" t="str">
        <f>IFERROR(__xludf.DUMMYFUNCTION("""COMPUTED_VALUE"""),"")</f>
        <v/>
      </c>
      <c r="F816" s="4" t="str">
        <f>IFERROR(__xludf.DUMMYFUNCTION("""COMPUTED_VALUE"""),"2019/11/05 20:01:00")</f>
        <v>2019/11/05 20:01:00</v>
      </c>
      <c r="G816" s="4" t="str">
        <f>IFERROR(__xludf.DUMMYFUNCTION("""COMPUTED_VALUE"""),"2019/11/06 00:00:00")</f>
        <v>2019/11/06 00:00:00</v>
      </c>
      <c r="H816" s="4" t="str">
        <f>IFERROR(__xludf.DUMMYFUNCTION("""COMPUTED_VALUE"""),"41a2f613-2292-4723-8afe-54929650cf9d")</f>
        <v>41a2f613-2292-4723-8afe-54929650cf9d</v>
      </c>
      <c r="I816" s="4" t="str">
        <f>IFERROR(__xludf.DUMMYFUNCTION("""COMPUTED_VALUE"""),"41a2f613-2292-4723-8afe-54929650cf9d")</f>
        <v>41a2f613-2292-4723-8afe-54929650cf9d</v>
      </c>
    </row>
    <row r="817">
      <c r="A817" s="4" t="str">
        <f>IFERROR(__xludf.DUMMYFUNCTION("""COMPUTED_VALUE"""),"PITCH group round 1")</f>
        <v>PITCH group round 1</v>
      </c>
      <c r="B817" s="4" t="str">
        <f>IFERROR(__xludf.DUMMYFUNCTION("""COMPUTED_VALUE"""),"")</f>
        <v/>
      </c>
      <c r="C817" s="4" t="str">
        <f>IFERROR(__xludf.DUMMYFUNCTION("""COMPUTED_VALUE"""),"")</f>
        <v/>
      </c>
      <c r="D817" s="4" t="str">
        <f>IFERROR(__xludf.DUMMYFUNCTION("""COMPUTED_VALUE"""),"Mada Seghete Sophia Tran
Ekaterina Holt
Marcus Fehling
Ilya Gelfenbeyn
Miguel Santo
Pedro Pestana Christoph Weigl Roman Prytkov Alan Hickey Evgeny Grankin Bernd Oostrum
")</f>
        <v>Mada Seghete Sophia Tran
Ekaterina Holt
Marcus Fehling
Ilya Gelfenbeyn
Miguel Santo
Pedro Pestana Christoph Weigl Roman Prytkov Alan Hickey Evgeny Grankin Bernd Oostrum
</v>
      </c>
      <c r="E817" s="4" t="str">
        <f>IFERROR(__xludf.DUMMYFUNCTION("""COMPUTED_VALUE"""),"Mada Seghete Sophia Tran
Ekaterina Holt
Marcus Fehling
Ilya Gelfenbeyn
Miguel Santo
Pedro Pestana Christoph Weigl Roman Prytkov Alan Hickey Evgeny Grankin Bernd Oostrum
")</f>
        <v>Mada Seghete Sophia Tran
Ekaterina Holt
Marcus Fehling
Ilya Gelfenbeyn
Miguel Santo
Pedro Pestana Christoph Weigl Roman Prytkov Alan Hickey Evgeny Grankin Bernd Oostrum
</v>
      </c>
      <c r="F817" s="4" t="str">
        <f>IFERROR(__xludf.DUMMYFUNCTION("""COMPUTED_VALUE"""),"")</f>
        <v/>
      </c>
      <c r="G817" s="4" t="str">
        <f>IFERROR(__xludf.DUMMYFUNCTION("""COMPUTED_VALUE"""),"")</f>
        <v/>
      </c>
      <c r="H817" s="4" t="str">
        <f>IFERROR(__xludf.DUMMYFUNCTION("""COMPUTED_VALUE"""),"18111f03-badb-5b59-8030-0e6576495afe")</f>
        <v>18111f03-badb-5b59-8030-0e6576495afe</v>
      </c>
      <c r="I817" s="4" t="str">
        <f>IFERROR(__xludf.DUMMYFUNCTION("""COMPUTED_VALUE"""),"18111f03-badb-5b59-8030-0e6576495afe")</f>
        <v>18111f03-badb-5b59-8030-0e6576495afe</v>
      </c>
    </row>
    <row r="818">
      <c r="A818" s="4" t="str">
        <f>IFERROR(__xludf.DUMMYFUNCTION("""COMPUTED_VALUE"""),"Starling's story: Challenging the challengers")</f>
        <v>Starling's story: Challenging the challengers</v>
      </c>
      <c r="B818" s="4" t="str">
        <f>IFERROR(__xludf.DUMMYFUNCTION("""COMPUTED_VALUE"""),"Starling Bank are not fazed by the competitive fintech market. Should they be? As challenger banks and payment platforms begin to crop up everywhere, is it still possible to be a one-bank-fits all?")</f>
        <v>Starling Bank are not fazed by the competitive fintech market. Should they be? As challenger banks and payment platforms begin to crop up everywhere, is it still possible to be a one-bank-fits all?</v>
      </c>
      <c r="C818" s="4" t="str">
        <f>IFERROR(__xludf.DUMMYFUNCTION("""COMPUTED_VALUE"""),"MoneyConf")</f>
        <v>MoneyConf</v>
      </c>
      <c r="D818" s="4" t="str">
        <f>IFERROR(__xludf.DUMMYFUNCTION("""COMPUTED_VALUE"""),"Anne Boden and Oscar Williams-Grut")</f>
        <v>Anne Boden and Oscar Williams-Grut</v>
      </c>
      <c r="E818" s="4" t="str">
        <f>IFERROR(__xludf.DUMMYFUNCTION("""COMPUTED_VALUE"""),"Anne Boden,Oscar Williams-Grut")</f>
        <v>Anne Boden,Oscar Williams-Grut</v>
      </c>
      <c r="F818" s="4" t="str">
        <f>IFERROR(__xludf.DUMMYFUNCTION("""COMPUTED_VALUE"""),"2019/11/07 11:00:00")</f>
        <v>2019/11/07 11:00:00</v>
      </c>
      <c r="G818" s="4" t="str">
        <f>IFERROR(__xludf.DUMMYFUNCTION("""COMPUTED_VALUE"""),"2019/11/07 11:20:00")</f>
        <v>2019/11/07 11:20:00</v>
      </c>
      <c r="H818" s="4" t="str">
        <f>IFERROR(__xludf.DUMMYFUNCTION("""COMPUTED_VALUE"""),"7c33185b-a132-4653-8d48-9e406aa8662c")</f>
        <v>7c33185b-a132-4653-8d48-9e406aa8662c</v>
      </c>
      <c r="I818" s="4" t="str">
        <f>IFERROR(__xludf.DUMMYFUNCTION("""COMPUTED_VALUE"""),"7c33185b-a132-4653-8d48-9e406aa8662c")</f>
        <v>7c33185b-a132-4653-8d48-9e406aa8662c</v>
      </c>
    </row>
    <row r="819">
      <c r="A819" s="4" t="str">
        <f>IFERROR(__xludf.DUMMYFUNCTION("""COMPUTED_VALUE"""),"Why redefining cars isn't enough")</f>
        <v>Why redefining cars isn't enough</v>
      </c>
      <c r="B819" s="4" t="str">
        <f>IFERROR(__xludf.DUMMYFUNCTION("""COMPUTED_VALUE"""),"We've seen the plans and watched the machines in motion, but do we need to redefine the role of the driver? In this fireside Andreas Schaff of Byton will discuss the future of driving from a different angle.")</f>
        <v>We've seen the plans and watched the machines in motion, but do we need to redefine the role of the driver? In this fireside Andreas Schaff of Byton will discuss the future of driving from a different angle.</v>
      </c>
      <c r="C819" s="4" t="str">
        <f>IFERROR(__xludf.DUMMYFUNCTION("""COMPUTED_VALUE"""),"Auto/Tech &amp; TalkRobot")</f>
        <v>Auto/Tech &amp; TalkRobot</v>
      </c>
      <c r="D819" s="4" t="str">
        <f>IFERROR(__xludf.DUMMYFUNCTION("""COMPUTED_VALUE"""),"Andreas Schaaf")</f>
        <v>Andreas Schaaf</v>
      </c>
      <c r="E819" s="4" t="str">
        <f>IFERROR(__xludf.DUMMYFUNCTION("""COMPUTED_VALUE"""),"Andreas Schaaf")</f>
        <v>Andreas Schaaf</v>
      </c>
      <c r="F819" s="4" t="str">
        <f>IFERROR(__xludf.DUMMYFUNCTION("""COMPUTED_VALUE"""),"2019/11/07 12:15:00")</f>
        <v>2019/11/07 12:15:00</v>
      </c>
      <c r="G819" s="4" t="str">
        <f>IFERROR(__xludf.DUMMYFUNCTION("""COMPUTED_VALUE"""),"2019/11/07 12:35:00")</f>
        <v>2019/11/07 12:35:00</v>
      </c>
      <c r="H819" s="4" t="str">
        <f>IFERROR(__xludf.DUMMYFUNCTION("""COMPUTED_VALUE"""),"6a813eed-5f83-4aee-81e7-0883257bd1a6")</f>
        <v>6a813eed-5f83-4aee-81e7-0883257bd1a6</v>
      </c>
      <c r="I819" s="4" t="str">
        <f>IFERROR(__xludf.DUMMYFUNCTION("""COMPUTED_VALUE"""),"6a813eed-5f83-4aee-81e7-0883257bd1a6")</f>
        <v>6a813eed-5f83-4aee-81e7-0883257bd1a6</v>
      </c>
    </row>
    <row r="820">
      <c r="A820" s="4" t="str">
        <f>IFERROR(__xludf.DUMMYFUNCTION("""COMPUTED_VALUE"""),"Akon and AKOIN team share their crypto empowerment plan for Africa and beyond")</f>
        <v>Akon and AKOIN team share their crypto empowerment plan for Africa and beyond</v>
      </c>
      <c r="B820" s="4" t="str">
        <f>IFERROR(__xludf.DUMMYFUNCTION("""COMPUTED_VALUE"""),"")</f>
        <v/>
      </c>
      <c r="C820" s="4" t="str">
        <f>IFERROR(__xludf.DUMMYFUNCTION("""COMPUTED_VALUE"""),"")</f>
        <v/>
      </c>
      <c r="D820" s="4" t="str">
        <f>IFERROR(__xludf.DUMMYFUNCTION("""COMPUTED_VALUE"""),"Akon and  Jon Karas
")</f>
        <v>Akon and  Jon Karas
</v>
      </c>
      <c r="E820" s="4" t="str">
        <f>IFERROR(__xludf.DUMMYFUNCTION("""COMPUTED_VALUE"""),"Akon, Jon Karas
")</f>
        <v>Akon, Jon Karas
</v>
      </c>
      <c r="F820" s="4" t="str">
        <f>IFERROR(__xludf.DUMMYFUNCTION("""COMPUTED_VALUE"""),"")</f>
        <v/>
      </c>
      <c r="G820" s="4" t="str">
        <f>IFERROR(__xludf.DUMMYFUNCTION("""COMPUTED_VALUE"""),"")</f>
        <v/>
      </c>
      <c r="H820" s="4" t="str">
        <f>IFERROR(__xludf.DUMMYFUNCTION("""COMPUTED_VALUE"""),"636b461b-0bae-5595-b206-1e0a2945e92a")</f>
        <v>636b461b-0bae-5595-b206-1e0a2945e92a</v>
      </c>
      <c r="I820" s="4" t="str">
        <f>IFERROR(__xludf.DUMMYFUNCTION("""COMPUTED_VALUE"""),"636b461b-0bae-5595-b206-1e0a2945e92a")</f>
        <v>636b461b-0bae-5595-b206-1e0a2945e92a</v>
      </c>
    </row>
    <row r="821">
      <c r="A821" s="4" t="str">
        <f>IFERROR(__xludf.DUMMYFUNCTION("""COMPUTED_VALUE"""),"Opening remarks")</f>
        <v>Opening remarks</v>
      </c>
      <c r="B821" s="4" t="str">
        <f>IFERROR(__xludf.DUMMYFUNCTION("""COMPUTED_VALUE"""),"opening remarks")</f>
        <v>opening remarks</v>
      </c>
      <c r="C821" s="4" t="str">
        <f>IFERROR(__xludf.DUMMYFUNCTION("""COMPUTED_VALUE"""),"Auto/Tech &amp; TalkRobot")</f>
        <v>Auto/Tech &amp; TalkRobot</v>
      </c>
      <c r="D821" s="4" t="str">
        <f>IFERROR(__xludf.DUMMYFUNCTION("""COMPUTED_VALUE"""),"João Azevedo Coutinho")</f>
        <v>João Azevedo Coutinho</v>
      </c>
      <c r="E821" s="4" t="str">
        <f>IFERROR(__xludf.DUMMYFUNCTION("""COMPUTED_VALUE"""),"João Azevedo Coutinho")</f>
        <v>João Azevedo Coutinho</v>
      </c>
      <c r="F821" s="4" t="str">
        <f>IFERROR(__xludf.DUMMYFUNCTION("""COMPUTED_VALUE"""),"2019/11/07 11:00:00")</f>
        <v>2019/11/07 11:00:00</v>
      </c>
      <c r="G821" s="4" t="str">
        <f>IFERROR(__xludf.DUMMYFUNCTION("""COMPUTED_VALUE"""),"2019/11/07 11:15:00")</f>
        <v>2019/11/07 11:15:00</v>
      </c>
      <c r="H821" s="4" t="str">
        <f>IFERROR(__xludf.DUMMYFUNCTION("""COMPUTED_VALUE"""),"88eb473d-6fb5-41b8-9ef9-860b01fbf65c")</f>
        <v>88eb473d-6fb5-41b8-9ef9-860b01fbf65c</v>
      </c>
      <c r="I821" s="4" t="str">
        <f>IFERROR(__xludf.DUMMYFUNCTION("""COMPUTED_VALUE"""),"88eb473d-6fb5-41b8-9ef9-860b01fbf65c")</f>
        <v>88eb473d-6fb5-41b8-9ef9-860b01fbf65c</v>
      </c>
    </row>
    <row r="822">
      <c r="A822" s="4" t="str">
        <f>IFERROR(__xludf.DUMMYFUNCTION("""COMPUTED_VALUE"""),"Q&amp;A with Garrett McNamara")</f>
        <v>Q&amp;A with Garrett McNamara</v>
      </c>
      <c r="B822" s="4" t="str">
        <f>IFERROR(__xludf.DUMMYFUNCTION("""COMPUTED_VALUE"""),"")</f>
        <v/>
      </c>
      <c r="C822" s="4" t="str">
        <f>IFERROR(__xludf.DUMMYFUNCTION("""COMPUTED_VALUE"""),"Q + A")</f>
        <v>Q + A</v>
      </c>
      <c r="D822" s="4" t="str">
        <f>IFERROR(__xludf.DUMMYFUNCTION("""COMPUTED_VALUE"""),"Garrett McNamara")</f>
        <v>Garrett McNamara</v>
      </c>
      <c r="E822" s="4" t="str">
        <f>IFERROR(__xludf.DUMMYFUNCTION("""COMPUTED_VALUE"""),"Garrett McNamara")</f>
        <v>Garrett McNamara</v>
      </c>
      <c r="F822" s="4" t="str">
        <f>IFERROR(__xludf.DUMMYFUNCTION("""COMPUTED_VALUE"""),"2019/11/05 14:30:00")</f>
        <v>2019/11/05 14:30:00</v>
      </c>
      <c r="G822" s="4" t="str">
        <f>IFERROR(__xludf.DUMMYFUNCTION("""COMPUTED_VALUE"""),"2019/11/05 14:45:00")</f>
        <v>2019/11/05 14:45:00</v>
      </c>
      <c r="H822" s="4" t="str">
        <f>IFERROR(__xludf.DUMMYFUNCTION("""COMPUTED_VALUE"""),"eff5c796-43de-42c0-b9ff-1befa3a74233")</f>
        <v>eff5c796-43de-42c0-b9ff-1befa3a74233</v>
      </c>
      <c r="I822" s="4" t="str">
        <f>IFERROR(__xludf.DUMMYFUNCTION("""COMPUTED_VALUE"""),"eff5c796-43de-42c0-b9ff-1befa3a74233")</f>
        <v>eff5c796-43de-42c0-b9ff-1befa3a74233</v>
      </c>
    </row>
    <row r="823">
      <c r="A823" s="4" t="str">
        <f>IFERROR(__xludf.DUMMYFUNCTION("""COMPUTED_VALUE"""),"Are we facing water wars?")</f>
        <v>Are we facing water wars?</v>
      </c>
      <c r="B823" s="4" t="str">
        <f>IFERROR(__xludf.DUMMYFUNCTION("""COMPUTED_VALUE"""),"We live on a big blue green ball. But there's no world without water. What can be done to protect and preserve the global supply? Is the glass half full or half empty? And how will global politics play out if there's not enough to go round? ")</f>
        <v>We live on a big blue green ball. But there's no world without water. What can be done to protect and preserve the global supply? Is the glass half full or half empty? And how will global politics play out if there's not enough to go round? </v>
      </c>
      <c r="C823" s="4" t="str">
        <f>IFERROR(__xludf.DUMMYFUNCTION("""COMPUTED_VALUE"""),"planet:tech ")</f>
        <v>planet:tech </v>
      </c>
      <c r="D823" s="4" t="str">
        <f>IFERROR(__xludf.DUMMYFUNCTION("""COMPUTED_VALUE"""),"Paul O'Callaghan, Drew Fitzgerald, Jay Iyengar and Tom Finn")</f>
        <v>Paul O'Callaghan, Drew Fitzgerald, Jay Iyengar and Tom Finn</v>
      </c>
      <c r="E823" s="4" t="str">
        <f>IFERROR(__xludf.DUMMYFUNCTION("""COMPUTED_VALUE"""),"Paul O'Callaghan,Drew Fitzgerald,Jay Iyengar,Tom Finn")</f>
        <v>Paul O'Callaghan,Drew Fitzgerald,Jay Iyengar,Tom Finn</v>
      </c>
      <c r="F823" s="4" t="str">
        <f>IFERROR(__xludf.DUMMYFUNCTION("""COMPUTED_VALUE"""),"2019/11/05 11:35:00")</f>
        <v>2019/11/05 11:35:00</v>
      </c>
      <c r="G823" s="4" t="str">
        <f>IFERROR(__xludf.DUMMYFUNCTION("""COMPUTED_VALUE"""),"2019/11/05 12:00:00")</f>
        <v>2019/11/05 12:00:00</v>
      </c>
      <c r="H823" s="4" t="str">
        <f>IFERROR(__xludf.DUMMYFUNCTION("""COMPUTED_VALUE"""),"2e4653af-79b7-4112-a60a-b02ca569ebaa")</f>
        <v>2e4653af-79b7-4112-a60a-b02ca569ebaa</v>
      </c>
      <c r="I823" s="4" t="str">
        <f>IFERROR(__xludf.DUMMYFUNCTION("""COMPUTED_VALUE"""),"2e4653af-79b7-4112-a60a-b02ca569ebaa")</f>
        <v>2e4653af-79b7-4112-a60a-b02ca569ebaa</v>
      </c>
    </row>
    <row r="824">
      <c r="A824" s="4" t="str">
        <f>IFERROR(__xludf.DUMMYFUNCTION("""COMPUTED_VALUE"""),"The secret number is 49")</f>
        <v>The secret number is 49</v>
      </c>
      <c r="B824" s="4" t="str">
        <f>IFERROR(__xludf.DUMMYFUNCTION("""COMPUTED_VALUE"""),"Ariel Garten will share insights on how her 49th attempt at pitching to investors turned into funding her seed round. With no experience in fundraising she was able to build a company and personally raised the first $18.9M with the help of dedication and "&amp;"meditation. ")</f>
        <v>Ariel Garten will share insights on how her 49th attempt at pitching to investors turned into funding her seed round. With no experience in fundraising she was able to build a company and personally raised the first $18.9M with the help of dedication and meditation. </v>
      </c>
      <c r="C824" s="4" t="str">
        <f>IFERROR(__xludf.DUMMYFUNCTION("""COMPUTED_VALUE"""),"Startup University")</f>
        <v>Startup University</v>
      </c>
      <c r="D824" s="4" t="str">
        <f>IFERROR(__xludf.DUMMYFUNCTION("""COMPUTED_VALUE"""),"Ariel Garten")</f>
        <v>Ariel Garten</v>
      </c>
      <c r="E824" s="4" t="str">
        <f>IFERROR(__xludf.DUMMYFUNCTION("""COMPUTED_VALUE"""),"Ariel Garten")</f>
        <v>Ariel Garten</v>
      </c>
      <c r="F824" s="4" t="str">
        <f>IFERROR(__xludf.DUMMYFUNCTION("""COMPUTED_VALUE"""),"2019/11/06 12:55:00")</f>
        <v>2019/11/06 12:55:00</v>
      </c>
      <c r="G824" s="4" t="str">
        <f>IFERROR(__xludf.DUMMYFUNCTION("""COMPUTED_VALUE"""),"2019/11/06 13:15:00")</f>
        <v>2019/11/06 13:15:00</v>
      </c>
      <c r="H824" s="4" t="str">
        <f>IFERROR(__xludf.DUMMYFUNCTION("""COMPUTED_VALUE"""),"b64dfed5-7be1-4c1d-b5fa-abe44528a406")</f>
        <v>b64dfed5-7be1-4c1d-b5fa-abe44528a406</v>
      </c>
      <c r="I824" s="4" t="str">
        <f>IFERROR(__xludf.DUMMYFUNCTION("""COMPUTED_VALUE"""),"b64dfed5-7be1-4c1d-b5fa-abe44528a406")</f>
        <v>b64dfed5-7be1-4c1d-b5fa-abe44528a406</v>
      </c>
    </row>
    <row r="825">
      <c r="A825" s="4" t="str">
        <f>IFERROR(__xludf.DUMMYFUNCTION("""COMPUTED_VALUE"""),"How our first million connected vehicles and machines support our customers’ business")</f>
        <v>How our first million connected vehicles and machines support our customers’ business</v>
      </c>
      <c r="B825" s="4" t="str">
        <f>IFERROR(__xludf.DUMMYFUNCTION("""COMPUTED_VALUE"""),"Join Volvo's Anna Westerberg as she discusses how connected customer assets gives our customers increased efficiency, safer traffic and better environment, benefits for the whole society.")</f>
        <v>Join Volvo's Anna Westerberg as she discusses how connected customer assets gives our customers increased efficiency, safer traffic and better environment, benefits for the whole society.</v>
      </c>
      <c r="C825" s="4" t="str">
        <f>IFERROR(__xludf.DUMMYFUNCTION("""COMPUTED_VALUE"""),"Auto/Tech &amp; TalkRobot")</f>
        <v>Auto/Tech &amp; TalkRobot</v>
      </c>
      <c r="D825" s="4" t="str">
        <f>IFERROR(__xludf.DUMMYFUNCTION("""COMPUTED_VALUE"""),"Anna Westerberg")</f>
        <v>Anna Westerberg</v>
      </c>
      <c r="E825" s="4" t="str">
        <f>IFERROR(__xludf.DUMMYFUNCTION("""COMPUTED_VALUE"""),"Anna Westerberg")</f>
        <v>Anna Westerberg</v>
      </c>
      <c r="F825" s="4" t="str">
        <f>IFERROR(__xludf.DUMMYFUNCTION("""COMPUTED_VALUE"""),"2019/11/05 10:45:00")</f>
        <v>2019/11/05 10:45:00</v>
      </c>
      <c r="G825" s="4" t="str">
        <f>IFERROR(__xludf.DUMMYFUNCTION("""COMPUTED_VALUE"""),"2019/11/05 11:00:00")</f>
        <v>2019/11/05 11:00:00</v>
      </c>
      <c r="H825" s="4" t="str">
        <f>IFERROR(__xludf.DUMMYFUNCTION("""COMPUTED_VALUE"""),"aa45042f-9e31-402a-954f-b94a0f7d0aa2")</f>
        <v>aa45042f-9e31-402a-954f-b94a0f7d0aa2</v>
      </c>
      <c r="I825" s="4" t="str">
        <f>IFERROR(__xludf.DUMMYFUNCTION("""COMPUTED_VALUE"""),"aa45042f-9e31-402a-954f-b94a0f7d0aa2")</f>
        <v>aa45042f-9e31-402a-954f-b94a0f7d0aa2</v>
      </c>
    </row>
    <row r="826">
      <c r="A826" s="4" t="str">
        <f>IFERROR(__xludf.DUMMYFUNCTION("""COMPUTED_VALUE"""),"Daring to go beyond customer centricity")</f>
        <v>Daring to go beyond customer centricity</v>
      </c>
      <c r="B826" s="4" t="str">
        <f>IFERROR(__xludf.DUMMYFUNCTION("""COMPUTED_VALUE"""),"IKEA's retail business is transforming — let's hear how this home furnishing company is developing data-driven domestic bliss.")</f>
        <v>IKEA's retail business is transforming — let's hear how this home furnishing company is developing data-driven domestic bliss.</v>
      </c>
      <c r="C826" s="4" t="str">
        <f>IFERROR(__xludf.DUMMYFUNCTION("""COMPUTED_VALUE"""),"PandaConf")</f>
        <v>PandaConf</v>
      </c>
      <c r="D826" s="4" t="str">
        <f>IFERROR(__xludf.DUMMYFUNCTION("""COMPUTED_VALUE"""),"Barbara Martin Coppola")</f>
        <v>Barbara Martin Coppola</v>
      </c>
      <c r="E826" s="4" t="str">
        <f>IFERROR(__xludf.DUMMYFUNCTION("""COMPUTED_VALUE"""),"Barbara Martin Coppola")</f>
        <v>Barbara Martin Coppola</v>
      </c>
      <c r="F826" s="4" t="str">
        <f>IFERROR(__xludf.DUMMYFUNCTION("""COMPUTED_VALUE"""),"2019/11/05 11:25:00")</f>
        <v>2019/11/05 11:25:00</v>
      </c>
      <c r="G826" s="4" t="str">
        <f>IFERROR(__xludf.DUMMYFUNCTION("""COMPUTED_VALUE"""),"2019/11/05 11:45:00")</f>
        <v>2019/11/05 11:45:00</v>
      </c>
      <c r="H826" s="4" t="str">
        <f>IFERROR(__xludf.DUMMYFUNCTION("""COMPUTED_VALUE"""),"17001da9-e844-4173-8ba0-6bbb8349e0ef")</f>
        <v>17001da9-e844-4173-8ba0-6bbb8349e0ef</v>
      </c>
      <c r="I826" s="4" t="str">
        <f>IFERROR(__xludf.DUMMYFUNCTION("""COMPUTED_VALUE"""),"17001da9-e844-4173-8ba0-6bbb8349e0ef")</f>
        <v>17001da9-e844-4173-8ba0-6bbb8349e0ef</v>
      </c>
    </row>
    <row r="827">
      <c r="A827" s="4" t="str">
        <f>IFERROR(__xludf.DUMMYFUNCTION("""COMPUTED_VALUE"""),"Registration")</f>
        <v>Registration</v>
      </c>
      <c r="B827" s="4" t="str">
        <f>IFERROR(__xludf.DUMMYFUNCTION("""COMPUTED_VALUE"""),"Register to receive your accreditation at the Altice Arena. Your lanyard and wristband are your passport to Web Summit, so collect them early and enjoy the day’s talks. 
You can register at the Altice Arena &amp; FIL in the main registration area from 8.30"&amp;"am to 5pm.
If you need more information about registration go to websummit.com/essentials/registration. ")</f>
        <v>Register to receive your accreditation at the Altice Arena. Your lanyard and wristband are your passport to Web Summit, so collect them early and enjoy the day’s talks. 
You can register at the Altice Arena &amp; FIL in the main registration area from 8.30am to 5pm.
If you need more information about registration go to websummit.com/essentials/registration. </v>
      </c>
      <c r="C827" s="4" t="str">
        <f>IFERROR(__xludf.DUMMYFUNCTION("""COMPUTED_VALUE"""),"Registration")</f>
        <v>Registration</v>
      </c>
      <c r="D827" s="4" t="str">
        <f>IFERROR(__xludf.DUMMYFUNCTION("""COMPUTED_VALUE"""),"")</f>
        <v/>
      </c>
      <c r="E827" s="4" t="str">
        <f>IFERROR(__xludf.DUMMYFUNCTION("""COMPUTED_VALUE"""),"")</f>
        <v/>
      </c>
      <c r="F827" s="4" t="str">
        <f>IFERROR(__xludf.DUMMYFUNCTION("""COMPUTED_VALUE"""),"2019/11/06 08:30:00")</f>
        <v>2019/11/06 08:30:00</v>
      </c>
      <c r="G827" s="4" t="str">
        <f>IFERROR(__xludf.DUMMYFUNCTION("""COMPUTED_VALUE"""),"2019/11/06 17:00:00")</f>
        <v>2019/11/06 17:00:00</v>
      </c>
      <c r="H827" s="4" t="str">
        <f>IFERROR(__xludf.DUMMYFUNCTION("""COMPUTED_VALUE"""),"a6b204d5-0819-404b-96d5-682cf7a9f67c")</f>
        <v>a6b204d5-0819-404b-96d5-682cf7a9f67c</v>
      </c>
      <c r="I827" s="4" t="str">
        <f>IFERROR(__xludf.DUMMYFUNCTION("""COMPUTED_VALUE"""),"a6b204d5-0819-404b-96d5-682cf7a9f67c")</f>
        <v>a6b204d5-0819-404b-96d5-682cf7a9f67c</v>
      </c>
    </row>
    <row r="828">
      <c r="A828" s="4" t="str">
        <f>IFERROR(__xludf.DUMMYFUNCTION("""COMPUTED_VALUE"""),"Build-a-bank: Designing the future of finance")</f>
        <v>Build-a-bank: Designing the future of finance</v>
      </c>
      <c r="B828" s="4" t="str">
        <f>IFERROR(__xludf.DUMMYFUNCTION("""COMPUTED_VALUE"""),"From physical interactions to user interfaces, banks have been notoriously slow on the development of design solutions for their consumers. In this talk, three design experts will discuss the importance of a seamless, engaging and memorable banking experi"&amp;"ence - both on and offline.  ")</f>
        <v>From physical interactions to user interfaces, banks have been notoriously slow on the development of design solutions for their consumers. In this talk, three design experts will discuss the importance of a seamless, engaging and memorable banking experience - both on and offline.  </v>
      </c>
      <c r="C828" s="4" t="str">
        <f>IFERROR(__xludf.DUMMYFUNCTION("""COMPUTED_VALUE"""),"MoneyConf")</f>
        <v>MoneyConf</v>
      </c>
      <c r="D828" s="4" t="str">
        <f>IFERROR(__xludf.DUMMYFUNCTION("""COMPUTED_VALUE"""),"Tim Kobe, Luis Uguina, Ilker Altıntaş and Ania Poullain-Majchrzak")</f>
        <v>Tim Kobe, Luis Uguina, Ilker Altıntaş and Ania Poullain-Majchrzak</v>
      </c>
      <c r="E828" s="4" t="str">
        <f>IFERROR(__xludf.DUMMYFUNCTION("""COMPUTED_VALUE"""),"Tim Kobe,Luis Uguina,Ilker Altıntaş,Ania Poullain-Majchrzak")</f>
        <v>Tim Kobe,Luis Uguina,Ilker Altıntaş,Ania Poullain-Majchrzak</v>
      </c>
      <c r="F828" s="4" t="str">
        <f>IFERROR(__xludf.DUMMYFUNCTION("""COMPUTED_VALUE"""),"2019/11/06 14:00:00")</f>
        <v>2019/11/06 14:00:00</v>
      </c>
      <c r="G828" s="4" t="str">
        <f>IFERROR(__xludf.DUMMYFUNCTION("""COMPUTED_VALUE"""),"2019/11/06 14:20:00")</f>
        <v>2019/11/06 14:20:00</v>
      </c>
      <c r="H828" s="4" t="str">
        <f>IFERROR(__xludf.DUMMYFUNCTION("""COMPUTED_VALUE"""),"04201e3d-9c27-47dc-8f9f-a7be028ef320")</f>
        <v>04201e3d-9c27-47dc-8f9f-a7be028ef320</v>
      </c>
      <c r="I828" s="4" t="str">
        <f>IFERROR(__xludf.DUMMYFUNCTION("""COMPUTED_VALUE"""),"04201e3d-9c27-47dc-8f9f-a7be028ef320")</f>
        <v>04201e3d-9c27-47dc-8f9f-a7be028ef320</v>
      </c>
    </row>
    <row r="829">
      <c r="A829" s="4" t="str">
        <f>IFERROR(__xludf.DUMMYFUNCTION("""COMPUTED_VALUE"""),"The transformative power of technology and digitisation")</f>
        <v>The transformative power of technology and digitisation</v>
      </c>
      <c r="B829" s="4" t="str">
        <f>IFERROR(__xludf.DUMMYFUNCTION("""COMPUTED_VALUE"""),"")</f>
        <v/>
      </c>
      <c r="C829" s="4" t="str">
        <f>IFERROR(__xludf.DUMMYFUNCTION("""COMPUTED_VALUE"""),"")</f>
        <v/>
      </c>
      <c r="D829" s="4" t="str">
        <f>IFERROR(__xludf.DUMMYFUNCTION("""COMPUTED_VALUE"""),"Margrethe Vestager")</f>
        <v>Margrethe Vestager</v>
      </c>
      <c r="E829" s="4" t="str">
        <f>IFERROR(__xludf.DUMMYFUNCTION("""COMPUTED_VALUE"""),"Margrethe Vestager")</f>
        <v>Margrethe Vestager</v>
      </c>
      <c r="F829" s="4" t="str">
        <f>IFERROR(__xludf.DUMMYFUNCTION("""COMPUTED_VALUE"""),"")</f>
        <v/>
      </c>
      <c r="G829" s="4" t="str">
        <f>IFERROR(__xludf.DUMMYFUNCTION("""COMPUTED_VALUE"""),"")</f>
        <v/>
      </c>
      <c r="H829" s="4" t="str">
        <f>IFERROR(__xludf.DUMMYFUNCTION("""COMPUTED_VALUE"""),"63d007e0-739e-5514-9f19-10d7f2270186")</f>
        <v>63d007e0-739e-5514-9f19-10d7f2270186</v>
      </c>
      <c r="I829" s="4" t="str">
        <f>IFERROR(__xludf.DUMMYFUNCTION("""COMPUTED_VALUE"""),"63d007e0-739e-5514-9f19-10d7f2270186")</f>
        <v>63d007e0-739e-5514-9f19-10d7f2270186</v>
      </c>
    </row>
    <row r="830">
      <c r="A830" s="4" t="str">
        <f>IFERROR(__xludf.DUMMYFUNCTION("""COMPUTED_VALUE"""),"Featured venue: Peixaria Restaurante")</f>
        <v>Featured venue: Peixaria Restaurante</v>
      </c>
      <c r="B830" s="4" t="str">
        <f>IFERROR(__xludf.DUMMYFUNCTION("""COMPUTED_VALUE"""),"If you've been wondering where the best grilled fish and seafood in Lisbon is, look no further. Peixaria restaurant is rumoured to knock all other competition out of the water.  
Night Summit deals: 
20% discount on all drinks")</f>
        <v>If you've been wondering where the best grilled fish and seafood in Lisbon is, look no further. Peixaria restaurant is rumoured to knock all other competition out of the water.  
Night Summit deals: 
20% discount on all drinks</v>
      </c>
      <c r="C830" s="4" t="str">
        <f>IFERROR(__xludf.DUMMYFUNCTION("""COMPUTED_VALUE"""),"Peixaria Restaurante")</f>
        <v>Peixaria Restaurante</v>
      </c>
      <c r="D830" s="4" t="str">
        <f>IFERROR(__xludf.DUMMYFUNCTION("""COMPUTED_VALUE"""),"")</f>
        <v/>
      </c>
      <c r="E830" s="4" t="str">
        <f>IFERROR(__xludf.DUMMYFUNCTION("""COMPUTED_VALUE"""),"")</f>
        <v/>
      </c>
      <c r="F830" s="4" t="str">
        <f>IFERROR(__xludf.DUMMYFUNCTION("""COMPUTED_VALUE"""),"2019/11/04 20:00:00")</f>
        <v>2019/11/04 20:00:00</v>
      </c>
      <c r="G830" s="4" t="str">
        <f>IFERROR(__xludf.DUMMYFUNCTION("""COMPUTED_VALUE"""),"2019/11/04 23:00:00")</f>
        <v>2019/11/04 23:00:00</v>
      </c>
      <c r="H830" s="4" t="str">
        <f>IFERROR(__xludf.DUMMYFUNCTION("""COMPUTED_VALUE"""),"d01dee45-0022-451b-8afa-bcc45241d6b8")</f>
        <v>d01dee45-0022-451b-8afa-bcc45241d6b8</v>
      </c>
      <c r="I830" s="4" t="str">
        <f>IFERROR(__xludf.DUMMYFUNCTION("""COMPUTED_VALUE"""),"d01dee45-0022-451b-8afa-bcc45241d6b8")</f>
        <v>d01dee45-0022-451b-8afa-bcc45241d6b8</v>
      </c>
    </row>
    <row r="831">
      <c r="A831" s="4" t="str">
        <f>IFERROR(__xludf.DUMMYFUNCTION("""COMPUTED_VALUE"""),"Unboxing your future smartphone")</f>
        <v>Unboxing your future smartphone</v>
      </c>
      <c r="B831" s="4" t="str">
        <f>IFERROR(__xludf.DUMMYFUNCTION("""COMPUTED_VALUE"""),"A group of the world’s leading unboxers will walk us through their first experience with some of the most exciting tech products from around the globe.")</f>
        <v>A group of the world’s leading unboxers will walk us through their first experience with some of the most exciting tech products from around the globe.</v>
      </c>
      <c r="C831" s="4" t="str">
        <f>IFERROR(__xludf.DUMMYFUNCTION("""COMPUTED_VALUE"""),"Centre Stage")</f>
        <v>Centre Stage</v>
      </c>
      <c r="D831" s="4" t="str">
        <f>IFERROR(__xludf.DUMMYFUNCTION("""COMPUTED_VALUE"""),"Kris Carlon, Tom Honeyands, Jacklyn Dallas, Eli Etherton and Lindsey Turrentine")</f>
        <v>Kris Carlon, Tom Honeyands, Jacklyn Dallas, Eli Etherton and Lindsey Turrentine</v>
      </c>
      <c r="E831" s="4" t="str">
        <f>IFERROR(__xludf.DUMMYFUNCTION("""COMPUTED_VALUE"""),"Kris Carlon,Tom Honeyands,Jacklyn Dallas,Eli Etherton,Lindsey Turrentine")</f>
        <v>Kris Carlon,Tom Honeyands,Jacklyn Dallas,Eli Etherton,Lindsey Turrentine</v>
      </c>
      <c r="F831" s="4" t="str">
        <f>IFERROR(__xludf.DUMMYFUNCTION("""COMPUTED_VALUE"""),"2019/11/06 11:55:00")</f>
        <v>2019/11/06 11:55:00</v>
      </c>
      <c r="G831" s="4" t="str">
        <f>IFERROR(__xludf.DUMMYFUNCTION("""COMPUTED_VALUE"""),"2019/11/06 12:20:00")</f>
        <v>2019/11/06 12:20:00</v>
      </c>
      <c r="H831" s="4" t="str">
        <f>IFERROR(__xludf.DUMMYFUNCTION("""COMPUTED_VALUE"""),"a0ce662b-cb37-41b9-9e74-9e0b781f25bc")</f>
        <v>a0ce662b-cb37-41b9-9e74-9e0b781f25bc</v>
      </c>
      <c r="I831" s="4" t="str">
        <f>IFERROR(__xludf.DUMMYFUNCTION("""COMPUTED_VALUE"""),"a0ce662b-cb37-41b9-9e74-9e0b781f25bc")</f>
        <v>a0ce662b-cb37-41b9-9e74-9e0b781f25bc</v>
      </c>
    </row>
    <row r="832">
      <c r="A832" s="4" t="str">
        <f>IFERROR(__xludf.DUMMYFUNCTION("""COMPUTED_VALUE"""),"UI and the future of the customer experience")</f>
        <v>UI and the future of the customer experience</v>
      </c>
      <c r="B832" s="4" t="str">
        <f>IFERROR(__xludf.DUMMYFUNCTION("""COMPUTED_VALUE"""),"A panel of industry experts outline their vision for the evolving role of UI in the relationship between a brand and its customers.  They'll outline best practice guidelines that every company can follow.")</f>
        <v>A panel of industry experts outline their vision for the evolving role of UI in the relationship between a brand and its customers.  They'll outline best practice guidelines that every company can follow.</v>
      </c>
      <c r="C832" s="4" t="str">
        <f>IFERROR(__xludf.DUMMYFUNCTION("""COMPUTED_VALUE"""),"creatiff")</f>
        <v>creatiff</v>
      </c>
      <c r="D832" s="4" t="str">
        <f>IFERROR(__xludf.DUMMYFUNCTION("""COMPUTED_VALUE"""),"Olga Madejska, Georg Petschnigg, Hector Ouilhet and Katie Deighton")</f>
        <v>Olga Madejska, Georg Petschnigg, Hector Ouilhet and Katie Deighton</v>
      </c>
      <c r="E832" s="4" t="str">
        <f>IFERROR(__xludf.DUMMYFUNCTION("""COMPUTED_VALUE"""),"Olga Madejska,Georg Petschnigg,Hector Ouilhet,Katie Deighton")</f>
        <v>Olga Madejska,Georg Petschnigg,Hector Ouilhet,Katie Deighton</v>
      </c>
      <c r="F832" s="4" t="str">
        <f>IFERROR(__xludf.DUMMYFUNCTION("""COMPUTED_VALUE"""),"2019/11/05 11:55:00")</f>
        <v>2019/11/05 11:55:00</v>
      </c>
      <c r="G832" s="4" t="str">
        <f>IFERROR(__xludf.DUMMYFUNCTION("""COMPUTED_VALUE"""),"2019/11/05 12:20:00")</f>
        <v>2019/11/05 12:20:00</v>
      </c>
      <c r="H832" s="4" t="str">
        <f>IFERROR(__xludf.DUMMYFUNCTION("""COMPUTED_VALUE"""),"58eb2fcd-42b4-4cca-9c6e-24d2309f15e7")</f>
        <v>58eb2fcd-42b4-4cca-9c6e-24d2309f15e7</v>
      </c>
      <c r="I832" s="4" t="str">
        <f>IFERROR(__xludf.DUMMYFUNCTION("""COMPUTED_VALUE"""),"58eb2fcd-42b4-4cca-9c6e-24d2309f15e7")</f>
        <v>58eb2fcd-42b4-4cca-9c6e-24d2309f15e7</v>
      </c>
    </row>
    <row r="833">
      <c r="A833" s="4" t="str">
        <f>IFERROR(__xludf.DUMMYFUNCTION("""COMPUTED_VALUE"""),"Abandon your black mirror: Conquering tech addiction")</f>
        <v>Abandon your black mirror: Conquering tech addiction</v>
      </c>
      <c r="B833" s="4" t="str">
        <f>IFERROR(__xludf.DUMMYFUNCTION("""COMPUTED_VALUE"""),"Endless scrolling, constant texting, and living our lives staring at phones. These are some of the signs of tech addiction. So much of modern life is spent gazing at that black mirror. In this session we hear from two leading proponents of getting people "&amp;"off their phones and out into the real world.")</f>
        <v>Endless scrolling, constant texting, and living our lives staring at phones. These are some of the signs of tech addiction. So much of modern life is spent gazing at that black mirror. In this session we hear from two leading proponents of getting people off their phones and out into the real world.</v>
      </c>
      <c r="C833" s="4" t="str">
        <f>IFERROR(__xludf.DUMMYFUNCTION("""COMPUTED_VALUE"""),"Centre Stage")</f>
        <v>Centre Stage</v>
      </c>
      <c r="D833" s="4" t="str">
        <f>IFERROR(__xludf.DUMMYFUNCTION("""COMPUTED_VALUE"""),"Justin McLeod, Dame Til Wykes and Katie Collins")</f>
        <v>Justin McLeod, Dame Til Wykes and Katie Collins</v>
      </c>
      <c r="E833" s="4" t="str">
        <f>IFERROR(__xludf.DUMMYFUNCTION("""COMPUTED_VALUE"""),"Justin McLeod,Dame Til Wykes,Katie Collins")</f>
        <v>Justin McLeod,Dame Til Wykes,Katie Collins</v>
      </c>
      <c r="F833" s="4" t="str">
        <f>IFERROR(__xludf.DUMMYFUNCTION("""COMPUTED_VALUE"""),"2019/11/07 15:10:00")</f>
        <v>2019/11/07 15:10:00</v>
      </c>
      <c r="G833" s="4" t="str">
        <f>IFERROR(__xludf.DUMMYFUNCTION("""COMPUTED_VALUE"""),"2019/11/07 15:35:00")</f>
        <v>2019/11/07 15:35:00</v>
      </c>
      <c r="H833" s="4" t="str">
        <f>IFERROR(__xludf.DUMMYFUNCTION("""COMPUTED_VALUE"""),"b8851ff5-4de5-4971-8890-ea640e4b052f")</f>
        <v>b8851ff5-4de5-4971-8890-ea640e4b052f</v>
      </c>
      <c r="I833" s="4" t="str">
        <f>IFERROR(__xludf.DUMMYFUNCTION("""COMPUTED_VALUE"""),"b8851ff5-4de5-4971-8890-ea640e4b052f")</f>
        <v>b8851ff5-4de5-4971-8890-ea640e4b052f</v>
      </c>
    </row>
    <row r="834">
      <c r="A834" s="4" t="str">
        <f>IFERROR(__xludf.DUMMYFUNCTION("""COMPUTED_VALUE"""),"Startup Showcase")</f>
        <v>Startup Showcase</v>
      </c>
      <c r="B834" s="4" t="str">
        <f>IFERROR(__xludf.DUMMYFUNCTION("""COMPUTED_VALUE"""),"On this brand new stage, expect quickfire presentations where startups will showcase their solutions to the future's biggest challenges. This hour focuses on the future of money, covering topics like fintech, cryptocurrencies, virtual wallets, investment "&amp;"platforms, and AI-powered financial models.")</f>
        <v>On this brand new stage, expect quickfire presentations where startups will showcase their solutions to the future's biggest challenges. This hour focuses on the future of money, covering topics like fintech, cryptocurrencies, virtual wallets, investment platforms, and AI-powered financial models.</v>
      </c>
      <c r="C834" s="4" t="str">
        <f>IFERROR(__xludf.DUMMYFUNCTION("""COMPUTED_VALUE"""),"Startup Showcase 2")</f>
        <v>Startup Showcase 2</v>
      </c>
      <c r="D834" s="4" t="str">
        <f>IFERROR(__xludf.DUMMYFUNCTION("""COMPUTED_VALUE"""),"IGOR OVCHARENKO, Gabriel Ayala, Mike Bonfigli, Stratos Apostolidis, Szymon Paroszkiewicz, Dimitry Nikiforov, Alma Gangsburg , Lukasz Lopacinski, David Conde, Krzysztof Bulski, Daniel Rachid Monici, Oliver Werneyer, Alina Kornienko, Bruno Soares, Gaya Rabe"&amp;"llo, David Scott Turner, Erich Schudt, Giannis Tsolaridis, Juan Carlos Lopez Diaz, Valeriy Krasnikov, Konrad Gładkowski, Edouard Beauvois, Den Melnykov, Karina Revenco, Marta Kaleńska - Jaśkiewicz, Afonso Vieira, Alexandr Priezzhev, Edouard Beauvois, Adam"&amp;" Jones, Fred Gegoux, Christoph Erb, Kevin Cash, Elio Martinez, Denys Kyrychenko, Henning Wagner, Soohan Han, Damien Labrunie, Ivo Luhse, Radomir Studzinski, David Carvajal, André Flórido, Cora Vinagre Sendino, Felix Niederer, Dmytro Dziubenko, Matthew Tre"&amp;"tt, Dimitrios Tsangalidis, Peko Wan, Elena Romanova, Samuel Lathey and Andreas Harpas")</f>
        <v>IGOR OVCHARENKO, Gabriel Ayala, Mike Bonfigli, Stratos Apostolidis, Szymon Paroszkiewicz, Dimitry Nikiforov, Alma Gangsburg , Lukasz Lopacinski, David Conde, Krzysztof Bulski, Daniel Rachid Monici, Oliver Werneyer, Alina Kornienko, Bruno Soares, Gaya Rabello, David Scott Turner, Erich Schudt, Giannis Tsolaridis, Juan Carlos Lopez Diaz, Valeriy Krasnikov, Konrad Gładkowski, Edouard Beauvois, Den Melnykov, Karina Revenco, Marta Kaleńska - Jaśkiewicz, Afonso Vieira, Alexandr Priezzhev, Edouard Beauvois, Adam Jones, Fred Gegoux, Christoph Erb, Kevin Cash, Elio Martinez, Denys Kyrychenko, Henning Wagner, Soohan Han, Damien Labrunie, Ivo Luhse, Radomir Studzinski, David Carvajal, André Flórido, Cora Vinagre Sendino, Felix Niederer, Dmytro Dziubenko, Matthew Trett, Dimitrios Tsangalidis, Peko Wan, Elena Romanova, Samuel Lathey and Andreas Harpas</v>
      </c>
      <c r="E834" s="4" t="str">
        <f>IFERROR(__xludf.DUMMYFUNCTION("""COMPUTED_VALUE"""),"IGOR OVCHARENKO,Gabriel Ayala,Mike Bonfigli,Stratos Apostolidis,Szymon Paroszkiewicz,Dimitry Nikiforov,Alma Gangsburg ,Lukasz Lopacinski,David Conde,Krzysztof Bulski,Daniel Rachid Monici,Oliver Werneyer,Alina Kornienko,Bruno Soares,Gaya Rabello,David Scot"&amp;"t Turner,Erich Schudt,Giannis Tsolaridis,Juan Carlos Lopez Diaz,Valeriy Krasnikov,Konrad Gładkowski,Edouard Beauvois,Den Melnykov,Karina Revenco,Marta Kaleńska - Jaśkiewicz,Afonso Vieira,Alexandr Priezzhev,Edouard Beauvois,Adam Jones,Fred Gegoux,Christoph"&amp;" Erb,Kevin Cash,Elio Martinez,Denys Kyrychenko,Henning Wagner,Soohan Han,Damien Labrunie,Ivo Luhse,Radomir Studzinski,David Carvajal,André Flórido,Cora Vinagre Sendino,Felix Niederer,Dmytro Dziubenko,Matthew Trett,Dimitrios Tsangalidis,Peko Wan,Elena Roma"&amp;"nova,Samuel Lathey,Andreas Harpas")</f>
        <v>IGOR OVCHARENKO,Gabriel Ayala,Mike Bonfigli,Stratos Apostolidis,Szymon Paroszkiewicz,Dimitry Nikiforov,Alma Gangsburg ,Lukasz Lopacinski,David Conde,Krzysztof Bulski,Daniel Rachid Monici,Oliver Werneyer,Alina Kornienko,Bruno Soares,Gaya Rabello,David Scott Turner,Erich Schudt,Giannis Tsolaridis,Juan Carlos Lopez Diaz,Valeriy Krasnikov,Konrad Gładkowski,Edouard Beauvois,Den Melnykov,Karina Revenco,Marta Kaleńska - Jaśkiewicz,Afonso Vieira,Alexandr Priezzhev,Edouard Beauvois,Adam Jones,Fred Gegoux,Christoph Erb,Kevin Cash,Elio Martinez,Denys Kyrychenko,Henning Wagner,Soohan Han,Damien Labrunie,Ivo Luhse,Radomir Studzinski,David Carvajal,André Flórido,Cora Vinagre Sendino,Felix Niederer,Dmytro Dziubenko,Matthew Trett,Dimitrios Tsangalidis,Peko Wan,Elena Romanova,Samuel Lathey,Andreas Harpas</v>
      </c>
      <c r="F834" s="4" t="str">
        <f>IFERROR(__xludf.DUMMYFUNCTION("""COMPUTED_VALUE"""),"2019/11/06 14:15:00")</f>
        <v>2019/11/06 14:15:00</v>
      </c>
      <c r="G834" s="4" t="str">
        <f>IFERROR(__xludf.DUMMYFUNCTION("""COMPUTED_VALUE"""),"2019/11/06 15:15:00")</f>
        <v>2019/11/06 15:15:00</v>
      </c>
      <c r="H834" s="4" t="str">
        <f>IFERROR(__xludf.DUMMYFUNCTION("""COMPUTED_VALUE"""),"e88fb1c9-9a40-4ee8-8628-69b8fefa5ef5")</f>
        <v>e88fb1c9-9a40-4ee8-8628-69b8fefa5ef5</v>
      </c>
      <c r="I834" s="4" t="str">
        <f>IFERROR(__xludf.DUMMYFUNCTION("""COMPUTED_VALUE"""),"e88fb1c9-9a40-4ee8-8628-69b8fefa5ef5")</f>
        <v>e88fb1c9-9a40-4ee8-8628-69b8fefa5ef5</v>
      </c>
    </row>
    <row r="835">
      <c r="A835" s="4" t="str">
        <f>IFERROR(__xludf.DUMMYFUNCTION("""COMPUTED_VALUE"""),"Is IPO the ultimate sign of success?")</f>
        <v>Is IPO the ultimate sign of success?</v>
      </c>
      <c r="B835" s="4" t="str">
        <f>IFERROR(__xludf.DUMMYFUNCTION("""COMPUTED_VALUE"""),"Highly valued companies are staying private for longer. How do we motivate growth stage founders when the path to exit is prolonged? Private equity exits used to be both stigmatised and inaccessible for most startups. No longer. They're now becoming a go-"&amp;"to strategy, accounting for almost one-fifth of VC exits. Will this last or should IPOs be the ultimate goal for founders and investors?")</f>
        <v>Highly valued companies are staying private for longer. How do we motivate growth stage founders when the path to exit is prolonged? Private equity exits used to be both stigmatised and inaccessible for most startups. No longer. They're now becoming a go-to strategy, accounting for almost one-fifth of VC exits. Will this last or should IPOs be the ultimate goal for founders and investors?</v>
      </c>
      <c r="C835" s="4" t="str">
        <f>IFERROR(__xludf.DUMMYFUNCTION("""COMPUTED_VALUE"""),"Venture stage")</f>
        <v>Venture stage</v>
      </c>
      <c r="D835" s="4" t="str">
        <f>IFERROR(__xludf.DUMMYFUNCTION("""COMPUTED_VALUE"""),"Nizar Tarhuni, Ravi Viswanathan and Alex Irwin-Hunt")</f>
        <v>Nizar Tarhuni, Ravi Viswanathan and Alex Irwin-Hunt</v>
      </c>
      <c r="E835" s="4" t="str">
        <f>IFERROR(__xludf.DUMMYFUNCTION("""COMPUTED_VALUE"""),"Nizar Tarhuni,Ravi Viswanathan,Alex Irwin-Hunt")</f>
        <v>Nizar Tarhuni,Ravi Viswanathan,Alex Irwin-Hunt</v>
      </c>
      <c r="F835" s="4" t="str">
        <f>IFERROR(__xludf.DUMMYFUNCTION("""COMPUTED_VALUE"""),"2019/11/07 12:20:00")</f>
        <v>2019/11/07 12:20:00</v>
      </c>
      <c r="G835" s="4" t="str">
        <f>IFERROR(__xludf.DUMMYFUNCTION("""COMPUTED_VALUE"""),"2019/11/07 12:45:00")</f>
        <v>2019/11/07 12:45:00</v>
      </c>
      <c r="H835" s="4" t="str">
        <f>IFERROR(__xludf.DUMMYFUNCTION("""COMPUTED_VALUE"""),"6307bcaa-8a28-46cc-8ef4-6531d91e25d3")</f>
        <v>6307bcaa-8a28-46cc-8ef4-6531d91e25d3</v>
      </c>
      <c r="I835" s="4" t="str">
        <f>IFERROR(__xludf.DUMMYFUNCTION("""COMPUTED_VALUE"""),"6307bcaa-8a28-46cc-8ef4-6531d91e25d3")</f>
        <v>6307bcaa-8a28-46cc-8ef4-6531d91e25d3</v>
      </c>
    </row>
    <row r="836">
      <c r="A836" s="4" t="str">
        <f>IFERROR(__xludf.DUMMYFUNCTION("""COMPUTED_VALUE"""),"Building a European champion in five years")</f>
        <v>Building a European champion in five years</v>
      </c>
      <c r="B836" s="4" t="str">
        <f>IFERROR(__xludf.DUMMYFUNCTION("""COMPUTED_VALUE"""),"How can you build a European champion in 5 years? Firmin, co-founder and CEO at PayFit, will address the five key lessons you need to succeed on a B2B market. ")</f>
        <v>How can you build a European champion in 5 years? Firmin, co-founder and CEO at PayFit, will address the five key lessons you need to succeed on a B2B market. </v>
      </c>
      <c r="C836" s="4" t="str">
        <f>IFERROR(__xludf.DUMMYFUNCTION("""COMPUTED_VALUE"""),"Growth Summit")</f>
        <v>Growth Summit</v>
      </c>
      <c r="D836" s="4" t="str">
        <f>IFERROR(__xludf.DUMMYFUNCTION("""COMPUTED_VALUE"""),"Firmin Zocchetto")</f>
        <v>Firmin Zocchetto</v>
      </c>
      <c r="E836" s="4" t="str">
        <f>IFERROR(__xludf.DUMMYFUNCTION("""COMPUTED_VALUE"""),"Firmin Zocchetto")</f>
        <v>Firmin Zocchetto</v>
      </c>
      <c r="F836" s="4" t="str">
        <f>IFERROR(__xludf.DUMMYFUNCTION("""COMPUTED_VALUE"""),"2019/11/05 14:53:00")</f>
        <v>2019/11/05 14:53:00</v>
      </c>
      <c r="G836" s="4" t="str">
        <f>IFERROR(__xludf.DUMMYFUNCTION("""COMPUTED_VALUE"""),"2019/11/05 15:04:00")</f>
        <v>2019/11/05 15:04:00</v>
      </c>
      <c r="H836" s="4" t="str">
        <f>IFERROR(__xludf.DUMMYFUNCTION("""COMPUTED_VALUE"""),"99f588af-9185-44f9-90d2-7b770aefa8b5")</f>
        <v>99f588af-9185-44f9-90d2-7b770aefa8b5</v>
      </c>
      <c r="I836" s="4" t="str">
        <f>IFERROR(__xludf.DUMMYFUNCTION("""COMPUTED_VALUE"""),"99f588af-9185-44f9-90d2-7b770aefa8b5")</f>
        <v>99f588af-9185-44f9-90d2-7b770aefa8b5</v>
      </c>
    </row>
    <row r="837">
      <c r="A837" s="4" t="str">
        <f>IFERROR(__xludf.DUMMYFUNCTION("""COMPUTED_VALUE"""),"Using the Silicon Valley playbook to take on big tech")</f>
        <v>Using the Silicon Valley playbook to take on big tech</v>
      </c>
      <c r="B837" s="4" t="str">
        <f>IFERROR(__xludf.DUMMYFUNCTION("""COMPUTED_VALUE"""),"Founder of DFINITY, Dominic outlines how the company combined the NASA and Silicon Valley playbooks to build the Internet Computer that promises to reverse Big Tech’s monopolisation of the internet. Dominic will explain how the science behind landing men "&amp;"on the moon and building the most valuable tech companies powered the growth of DFINITY.")</f>
        <v>Founder of DFINITY, Dominic outlines how the company combined the NASA and Silicon Valley playbooks to build the Internet Computer that promises to reverse Big Tech’s monopolisation of the internet. Dominic will explain how the science behind landing men on the moon and building the most valuable tech companies powered the growth of DFINITY.</v>
      </c>
      <c r="C837" s="4" t="str">
        <f>IFERROR(__xludf.DUMMYFUNCTION("""COMPUTED_VALUE"""),"Growth Summit")</f>
        <v>Growth Summit</v>
      </c>
      <c r="D837" s="4" t="str">
        <f>IFERROR(__xludf.DUMMYFUNCTION("""COMPUTED_VALUE"""),"Dominic Williams")</f>
        <v>Dominic Williams</v>
      </c>
      <c r="E837" s="4" t="str">
        <f>IFERROR(__xludf.DUMMYFUNCTION("""COMPUTED_VALUE"""),"Dominic Williams")</f>
        <v>Dominic Williams</v>
      </c>
      <c r="F837" s="4" t="str">
        <f>IFERROR(__xludf.DUMMYFUNCTION("""COMPUTED_VALUE"""),"2019/11/05 15:26:00")</f>
        <v>2019/11/05 15:26:00</v>
      </c>
      <c r="G837" s="4" t="str">
        <f>IFERROR(__xludf.DUMMYFUNCTION("""COMPUTED_VALUE"""),"2019/11/05 15:37:00")</f>
        <v>2019/11/05 15:37:00</v>
      </c>
      <c r="H837" s="4" t="str">
        <f>IFERROR(__xludf.DUMMYFUNCTION("""COMPUTED_VALUE"""),"579fc4f0-9bc4-443c-9fe1-d3b348b2076b")</f>
        <v>579fc4f0-9bc4-443c-9fe1-d3b348b2076b</v>
      </c>
      <c r="I837" s="4" t="str">
        <f>IFERROR(__xludf.DUMMYFUNCTION("""COMPUTED_VALUE"""),"579fc4f0-9bc4-443c-9fe1-d3b348b2076b")</f>
        <v>579fc4f0-9bc4-443c-9fe1-d3b348b2076b</v>
      </c>
    </row>
    <row r="838">
      <c r="A838" s="4" t="str">
        <f>IFERROR(__xludf.DUMMYFUNCTION("""COMPUTED_VALUE"""),"Building and funding your first idea")</f>
        <v>Building and funding your first idea</v>
      </c>
      <c r="B838" s="4" t="str">
        <f>IFERROR(__xludf.DUMMYFUNCTION("""COMPUTED_VALUE"""),"They say you can't build a house without a foundation. And for startups, the foundation is a problem that needs solving. What's the secret to turning the seed of an idea into a company that gains traction in a hurry?")</f>
        <v>They say you can't build a house without a foundation. And for startups, the foundation is a problem that needs solving. What's the secret to turning the seed of an idea into a company that gains traction in a hurry?</v>
      </c>
      <c r="C838" s="4" t="str">
        <f>IFERROR(__xludf.DUMMYFUNCTION("""COMPUTED_VALUE"""),"Venture stage")</f>
        <v>Venture stage</v>
      </c>
      <c r="D838" s="4" t="str">
        <f>IFERROR(__xludf.DUMMYFUNCTION("""COMPUTED_VALUE"""),"Hussein Kanji, Nic Brisbourne, Francesca Warner and Britta Muzyk-Tikovsky")</f>
        <v>Hussein Kanji, Nic Brisbourne, Francesca Warner and Britta Muzyk-Tikovsky</v>
      </c>
      <c r="E838" s="4" t="str">
        <f>IFERROR(__xludf.DUMMYFUNCTION("""COMPUTED_VALUE"""),"Hussein Kanji,Nic Brisbourne,Francesca Warner,Britta Muzyk-Tikovsky")</f>
        <v>Hussein Kanji,Nic Brisbourne,Francesca Warner,Britta Muzyk-Tikovsky</v>
      </c>
      <c r="F838" s="4" t="str">
        <f>IFERROR(__xludf.DUMMYFUNCTION("""COMPUTED_VALUE"""),"2019/11/06 11:25:00")</f>
        <v>2019/11/06 11:25:00</v>
      </c>
      <c r="G838" s="4" t="str">
        <f>IFERROR(__xludf.DUMMYFUNCTION("""COMPUTED_VALUE"""),"2019/11/06 11:45:00")</f>
        <v>2019/11/06 11:45:00</v>
      </c>
      <c r="H838" s="4" t="str">
        <f>IFERROR(__xludf.DUMMYFUNCTION("""COMPUTED_VALUE"""),"016337c4-5fff-43e8-97b4-b781e3bd9939")</f>
        <v>016337c4-5fff-43e8-97b4-b781e3bd9939</v>
      </c>
      <c r="I838" s="4" t="str">
        <f>IFERROR(__xludf.DUMMYFUNCTION("""COMPUTED_VALUE"""),"016337c4-5fff-43e8-97b4-b781e3bd9939")</f>
        <v>016337c4-5fff-43e8-97b4-b781e3bd9939</v>
      </c>
    </row>
    <row r="839">
      <c r="A839" s="4" t="str">
        <f>IFERROR(__xludf.DUMMYFUNCTION("""COMPUTED_VALUE"""),"How BestDoctor multiplied business by 500%")</f>
        <v>How BestDoctor multiplied business by 500%</v>
      </c>
      <c r="B839" s="4" t="str">
        <f>IFERROR(__xludf.DUMMYFUNCTION("""COMPUTED_VALUE"""),"Hear from BestDoctor's CEO, Mark Sanevich, on the company’s background in creating the best customer service on the Russian insurance market. This year the company scaled up business by five and are now creating the healthcare ecosystem of the future.")</f>
        <v>Hear from BestDoctor's CEO, Mark Sanevich, on the company’s background in creating the best customer service on the Russian insurance market. This year the company scaled up business by five and are now creating the healthcare ecosystem of the future.</v>
      </c>
      <c r="C839" s="4" t="str">
        <f>IFERROR(__xludf.DUMMYFUNCTION("""COMPUTED_VALUE"""),"Growth Summit")</f>
        <v>Growth Summit</v>
      </c>
      <c r="D839" s="4" t="str">
        <f>IFERROR(__xludf.DUMMYFUNCTION("""COMPUTED_VALUE"""),"Mark Sanevich")</f>
        <v>Mark Sanevich</v>
      </c>
      <c r="E839" s="4" t="str">
        <f>IFERROR(__xludf.DUMMYFUNCTION("""COMPUTED_VALUE"""),"Mark Sanevich")</f>
        <v>Mark Sanevich</v>
      </c>
      <c r="F839" s="4" t="str">
        <f>IFERROR(__xludf.DUMMYFUNCTION("""COMPUTED_VALUE"""),"2019/11/05 10:10:00")</f>
        <v>2019/11/05 10:10:00</v>
      </c>
      <c r="G839" s="4" t="str">
        <f>IFERROR(__xludf.DUMMYFUNCTION("""COMPUTED_VALUE"""),"2019/11/05 10:14:00")</f>
        <v>2019/11/05 10:14:00</v>
      </c>
      <c r="H839" s="4" t="str">
        <f>IFERROR(__xludf.DUMMYFUNCTION("""COMPUTED_VALUE"""),"3f00f51a-fc0a-45fd-ac87-cb17c0685214")</f>
        <v>3f00f51a-fc0a-45fd-ac87-cb17c0685214</v>
      </c>
      <c r="I839" s="4" t="str">
        <f>IFERROR(__xludf.DUMMYFUNCTION("""COMPUTED_VALUE"""),"3f00f51a-fc0a-45fd-ac87-cb17c0685214")</f>
        <v>3f00f51a-fc0a-45fd-ac87-cb17c0685214</v>
      </c>
    </row>
    <row r="840">
      <c r="A840" s="4" t="str">
        <f>IFERROR(__xludf.DUMMYFUNCTION("""COMPUTED_VALUE"""),"Behind the paywall: Making money in media")</f>
        <v>Behind the paywall: Making money in media</v>
      </c>
      <c r="B840" s="4" t="str">
        <f>IFERROR(__xludf.DUMMYFUNCTION("""COMPUTED_VALUE"""),"Is there still money to be made in media?  ")</f>
        <v>Is there still money to be made in media?  </v>
      </c>
      <c r="C840" s="4" t="str">
        <f>IFERROR(__xludf.DUMMYFUNCTION("""COMPUTED_VALUE"""),"PandaConf")</f>
        <v>PandaConf</v>
      </c>
      <c r="D840" s="4" t="str">
        <f>IFERROR(__xludf.DUMMYFUNCTION("""COMPUTED_VALUE"""),"Brendan Eich, Yaron Galai and Kit Eaton")</f>
        <v>Brendan Eich, Yaron Galai and Kit Eaton</v>
      </c>
      <c r="E840" s="4" t="str">
        <f>IFERROR(__xludf.DUMMYFUNCTION("""COMPUTED_VALUE"""),"Brendan Eich,Yaron Galai,Kit Eaton")</f>
        <v>Brendan Eich,Yaron Galai,Kit Eaton</v>
      </c>
      <c r="F840" s="4" t="str">
        <f>IFERROR(__xludf.DUMMYFUNCTION("""COMPUTED_VALUE"""),"2019/11/06 12:10:00")</f>
        <v>2019/11/06 12:10:00</v>
      </c>
      <c r="G840" s="4" t="str">
        <f>IFERROR(__xludf.DUMMYFUNCTION("""COMPUTED_VALUE"""),"2019/11/06 12:30:00")</f>
        <v>2019/11/06 12:30:00</v>
      </c>
      <c r="H840" s="4" t="str">
        <f>IFERROR(__xludf.DUMMYFUNCTION("""COMPUTED_VALUE"""),"ed625704-266c-45fc-b093-337bcd4e6c90")</f>
        <v>ed625704-266c-45fc-b093-337bcd4e6c90</v>
      </c>
      <c r="I840" s="4" t="str">
        <f>IFERROR(__xludf.DUMMYFUNCTION("""COMPUTED_VALUE"""),"ed625704-266c-45fc-b093-337bcd4e6c90")</f>
        <v>ed625704-266c-45fc-b093-337bcd4e6c90</v>
      </c>
    </row>
    <row r="841">
      <c r="A841" s="4" t="str">
        <f>IFERROR(__xludf.DUMMYFUNCTION("""COMPUTED_VALUE"""),"The egg and the chicken: Product-market fit &amp; product-investor fit")</f>
        <v>The egg and the chicken: Product-market fit &amp; product-investor fit</v>
      </c>
      <c r="B841" s="4" t="str">
        <f>IFERROR(__xludf.DUMMYFUNCTION("""COMPUTED_VALUE"""),"Khaled Sehly, co-founder and managing director of AirWayBill will be sharing his insights on how to get an investor to see your product-market fit after raising $3m in tech, coming from pharmaceutical marketing.")</f>
        <v>Khaled Sehly, co-founder and managing director of AirWayBill will be sharing his insights on how to get an investor to see your product-market fit after raising $3m in tech, coming from pharmaceutical marketing.</v>
      </c>
      <c r="C841" s="4" t="str">
        <f>IFERROR(__xludf.DUMMYFUNCTION("""COMPUTED_VALUE"""),"Growth Summit")</f>
        <v>Growth Summit</v>
      </c>
      <c r="D841" s="4" t="str">
        <f>IFERROR(__xludf.DUMMYFUNCTION("""COMPUTED_VALUE"""),"Khaled Sehly")</f>
        <v>Khaled Sehly</v>
      </c>
      <c r="E841" s="4" t="str">
        <f>IFERROR(__xludf.DUMMYFUNCTION("""COMPUTED_VALUE"""),"Khaled Sehly")</f>
        <v>Khaled Sehly</v>
      </c>
      <c r="F841" s="4" t="str">
        <f>IFERROR(__xludf.DUMMYFUNCTION("""COMPUTED_VALUE"""),"2019/11/07 11:26:00")</f>
        <v>2019/11/07 11:26:00</v>
      </c>
      <c r="G841" s="4" t="str">
        <f>IFERROR(__xludf.DUMMYFUNCTION("""COMPUTED_VALUE"""),"2019/11/07 11:30:00")</f>
        <v>2019/11/07 11:30:00</v>
      </c>
      <c r="H841" s="4" t="str">
        <f>IFERROR(__xludf.DUMMYFUNCTION("""COMPUTED_VALUE"""),"63f9b21c-dcf4-4d78-aff7-6eb09765cf6d")</f>
        <v>63f9b21c-dcf4-4d78-aff7-6eb09765cf6d</v>
      </c>
      <c r="I841" s="4" t="str">
        <f>IFERROR(__xludf.DUMMYFUNCTION("""COMPUTED_VALUE"""),"63f9b21c-dcf4-4d78-aff7-6eb09765cf6d")</f>
        <v>63f9b21c-dcf4-4d78-aff7-6eb09765cf6d</v>
      </c>
    </row>
    <row r="842">
      <c r="A842" s="4" t="str">
        <f>IFERROR(__xludf.DUMMYFUNCTION("""COMPUTED_VALUE"""),"Why neglecting culture may kill your business")</f>
        <v>Why neglecting culture may kill your business</v>
      </c>
      <c r="B842" s="4" t="str">
        <f>IFERROR(__xludf.DUMMYFUNCTION("""COMPUTED_VALUE"""),"Co-founder and CEO of Taxfix, Mathis will explain how he's learned that the right company culture can boost your business.")</f>
        <v>Co-founder and CEO of Taxfix, Mathis will explain how he's learned that the right company culture can boost your business.</v>
      </c>
      <c r="C842" s="4" t="str">
        <f>IFERROR(__xludf.DUMMYFUNCTION("""COMPUTED_VALUE"""),"Growth Summit")</f>
        <v>Growth Summit</v>
      </c>
      <c r="D842" s="4" t="str">
        <f>IFERROR(__xludf.DUMMYFUNCTION("""COMPUTED_VALUE"""),"Mathis Buechi")</f>
        <v>Mathis Buechi</v>
      </c>
      <c r="E842" s="4" t="str">
        <f>IFERROR(__xludf.DUMMYFUNCTION("""COMPUTED_VALUE"""),"Mathis Buechi")</f>
        <v>Mathis Buechi</v>
      </c>
      <c r="F842" s="4" t="str">
        <f>IFERROR(__xludf.DUMMYFUNCTION("""COMPUTED_VALUE"""),"2019/11/06 16:43:00")</f>
        <v>2019/11/06 16:43:00</v>
      </c>
      <c r="G842" s="4" t="str">
        <f>IFERROR(__xludf.DUMMYFUNCTION("""COMPUTED_VALUE"""),"2019/11/06 16:54:00")</f>
        <v>2019/11/06 16:54:00</v>
      </c>
      <c r="H842" s="4" t="str">
        <f>IFERROR(__xludf.DUMMYFUNCTION("""COMPUTED_VALUE"""),"35593f54-893a-4b38-bc50-0c1ff0a44dbb")</f>
        <v>35593f54-893a-4b38-bc50-0c1ff0a44dbb</v>
      </c>
      <c r="I842" s="4" t="str">
        <f>IFERROR(__xludf.DUMMYFUNCTION("""COMPUTED_VALUE"""),"35593f54-893a-4b38-bc50-0c1ff0a44dbb")</f>
        <v>35593f54-893a-4b38-bc50-0c1ff0a44dbb</v>
      </c>
    </row>
    <row r="843">
      <c r="A843" s="4" t="str">
        <f>IFERROR(__xludf.DUMMYFUNCTION("""COMPUTED_VALUE"""),"You reap what you sow: How to seed right")</f>
        <v>You reap what you sow: How to seed right</v>
      </c>
      <c r="B843" s="4" t="str">
        <f>IFERROR(__xludf.DUMMYFUNCTION("""COMPUTED_VALUE"""),"If you're an investor, how do you pick which seeds to sow? And if you're looking for seed investment, how do you catch an investor's eye?")</f>
        <v>If you're an investor, how do you pick which seeds to sow? And if you're looking for seed investment, how do you catch an investor's eye?</v>
      </c>
      <c r="C843" s="4" t="str">
        <f>IFERROR(__xludf.DUMMYFUNCTION("""COMPUTED_VALUE"""),"Venture stage")</f>
        <v>Venture stage</v>
      </c>
      <c r="D843" s="4" t="str">
        <f>IFERROR(__xludf.DUMMYFUNCTION("""COMPUTED_VALUE"""),"Jonathan Tower, Bedy Yang, Javier Torremocha, Peter Pham and Ertan Can")</f>
        <v>Jonathan Tower, Bedy Yang, Javier Torremocha, Peter Pham and Ertan Can</v>
      </c>
      <c r="E843" s="4" t="str">
        <f>IFERROR(__xludf.DUMMYFUNCTION("""COMPUTED_VALUE"""),"Jonathan Tower,Bedy Yang,Javier Torremocha,Peter Pham,Ertan Can")</f>
        <v>Jonathan Tower,Bedy Yang,Javier Torremocha,Peter Pham,Ertan Can</v>
      </c>
      <c r="F843" s="4" t="str">
        <f>IFERROR(__xludf.DUMMYFUNCTION("""COMPUTED_VALUE"""),"2019/11/06 14:45:00")</f>
        <v>2019/11/06 14:45:00</v>
      </c>
      <c r="G843" s="4" t="str">
        <f>IFERROR(__xludf.DUMMYFUNCTION("""COMPUTED_VALUE"""),"2019/11/06 15:10:00")</f>
        <v>2019/11/06 15:10:00</v>
      </c>
      <c r="H843" s="4" t="str">
        <f>IFERROR(__xludf.DUMMYFUNCTION("""COMPUTED_VALUE"""),"a7862e22-f059-4a49-8a18-dc514043f73b")</f>
        <v>a7862e22-f059-4a49-8a18-dc514043f73b</v>
      </c>
      <c r="I843" s="4" t="str">
        <f>IFERROR(__xludf.DUMMYFUNCTION("""COMPUTED_VALUE"""),"a7862e22-f059-4a49-8a18-dc514043f73b")</f>
        <v>a7862e22-f059-4a49-8a18-dc514043f73b</v>
      </c>
    </row>
    <row r="844">
      <c r="A844" s="4" t="str">
        <f>IFERROR(__xludf.DUMMYFUNCTION("""COMPUTED_VALUE"""),"The difference between a founder and a leader ")</f>
        <v>The difference between a founder and a leader </v>
      </c>
      <c r="B844" s="4" t="str">
        <f>IFERROR(__xludf.DUMMYFUNCTION("""COMPUTED_VALUE"""),"Is leadership more of a network, than a pinnacle? Recent events have shed light on the problems of too much control from the top. This talk asks about the balance between leading and stepping back, how to reflect on your own performance, avoid burnout, an"&amp;"d attract and retain the best leaders to your team.")</f>
        <v>Is leadership more of a network, than a pinnacle? Recent events have shed light on the problems of too much control from the top. This talk asks about the balance between leading and stepping back, how to reflect on your own performance, avoid burnout, and attract and retain the best leaders to your team.</v>
      </c>
      <c r="C844" s="4" t="str">
        <f>IFERROR(__xludf.DUMMYFUNCTION("""COMPUTED_VALUE"""),"Startup University")</f>
        <v>Startup University</v>
      </c>
      <c r="D844" s="4" t="str">
        <f>IFERROR(__xludf.DUMMYFUNCTION("""COMPUTED_VALUE"""),"André Penha, Alex Chung, Bedy Yang and Alan Griffin")</f>
        <v>André Penha, Alex Chung, Bedy Yang and Alan Griffin</v>
      </c>
      <c r="E844" s="4" t="str">
        <f>IFERROR(__xludf.DUMMYFUNCTION("""COMPUTED_VALUE"""),"André Penha,Alex Chung,Bedy Yang,Alan Griffin")</f>
        <v>André Penha,Alex Chung,Bedy Yang,Alan Griffin</v>
      </c>
      <c r="F844" s="4" t="str">
        <f>IFERROR(__xludf.DUMMYFUNCTION("""COMPUTED_VALUE"""),"2019/11/06 16:00:00")</f>
        <v>2019/11/06 16:00:00</v>
      </c>
      <c r="G844" s="4" t="str">
        <f>IFERROR(__xludf.DUMMYFUNCTION("""COMPUTED_VALUE"""),"2019/11/06 16:20:00")</f>
        <v>2019/11/06 16:20:00</v>
      </c>
      <c r="H844" s="4" t="str">
        <f>IFERROR(__xludf.DUMMYFUNCTION("""COMPUTED_VALUE"""),"17982f30-dc33-4dfc-9a2d-141622a05b74")</f>
        <v>17982f30-dc33-4dfc-9a2d-141622a05b74</v>
      </c>
      <c r="I844" s="4" t="str">
        <f>IFERROR(__xludf.DUMMYFUNCTION("""COMPUTED_VALUE"""),"17982f30-dc33-4dfc-9a2d-141622a05b74")</f>
        <v>17982f30-dc33-4dfc-9a2d-141622a05b74</v>
      </c>
    </row>
    <row r="845">
      <c r="A845" s="4" t="str">
        <f>IFERROR(__xludf.DUMMYFUNCTION("""COMPUTED_VALUE"""),"The commercial value of brand principles in 2019")</f>
        <v>The commercial value of brand principles in 2019</v>
      </c>
      <c r="B845" s="4" t="str">
        <f>IFERROR(__xludf.DUMMYFUNCTION("""COMPUTED_VALUE"""),"From the climate crisis, to Fair-trade, consumers today demand ultimate transparency from their brands.  Our panel explores the growing business advantage of being seen with a clear understanding of the impact which your company is having on the world.  A"&amp;"re tags like sustainability now the ultimate selling point?
")</f>
        <v>From the climate crisis, to Fair-trade, consumers today demand ultimate transparency from their brands.  Our panel explores the growing business advantage of being seen with a clear understanding of the impact which your company is having on the world.  Are tags like sustainability now the ultimate selling point?
</v>
      </c>
      <c r="C845" s="4" t="str">
        <f>IFERROR(__xludf.DUMMYFUNCTION("""COMPUTED_VALUE"""),"creatiff")</f>
        <v>creatiff</v>
      </c>
      <c r="D845" s="4" t="str">
        <f>IFERROR(__xludf.DUMMYFUNCTION("""COMPUTED_VALUE"""),"Sairah Ashman, Fabian Birgfeld, Edwina Dunn and Rog How")</f>
        <v>Sairah Ashman, Fabian Birgfeld, Edwina Dunn and Rog How</v>
      </c>
      <c r="E845" s="4" t="str">
        <f>IFERROR(__xludf.DUMMYFUNCTION("""COMPUTED_VALUE"""),"Sairah Ashman,Fabian Birgfeld,Edwina Dunn,Rog How")</f>
        <v>Sairah Ashman,Fabian Birgfeld,Edwina Dunn,Rog How</v>
      </c>
      <c r="F845" s="4" t="str">
        <f>IFERROR(__xludf.DUMMYFUNCTION("""COMPUTED_VALUE"""),"2019/11/05 14:25:00")</f>
        <v>2019/11/05 14:25:00</v>
      </c>
      <c r="G845" s="4" t="str">
        <f>IFERROR(__xludf.DUMMYFUNCTION("""COMPUTED_VALUE"""),"2019/11/05 14:50:00")</f>
        <v>2019/11/05 14:50:00</v>
      </c>
      <c r="H845" s="4" t="str">
        <f>IFERROR(__xludf.DUMMYFUNCTION("""COMPUTED_VALUE"""),"35134165-554f-4a13-9081-632b2eaf3083")</f>
        <v>35134165-554f-4a13-9081-632b2eaf3083</v>
      </c>
      <c r="I845" s="4" t="str">
        <f>IFERROR(__xludf.DUMMYFUNCTION("""COMPUTED_VALUE"""),"35134165-554f-4a13-9081-632b2eaf3083")</f>
        <v>35134165-554f-4a13-9081-632b2eaf3083</v>
      </c>
    </row>
    <row r="846">
      <c r="A846" s="4" t="str">
        <f>IFERROR(__xludf.DUMMYFUNCTION("""COMPUTED_VALUE"""),"Changing the most inert industry in the world")</f>
        <v>Changing the most inert industry in the world</v>
      </c>
      <c r="B846" s="4" t="str">
        <f>IFERROR(__xludf.DUMMYFUNCTION("""COMPUTED_VALUE"""),"Silos in healthcare are painfully obstructive. They drain money and time, and compromise the quality of patient care. Many have experienced difficulty in bringing change to this inert industry. CEO and co-founder, Joost Bruggeman, explains how Siilo is dr"&amp;"iving change from the bottom up.")</f>
        <v>Silos in healthcare are painfully obstructive. They drain money and time, and compromise the quality of patient care. Many have experienced difficulty in bringing change to this inert industry. CEO and co-founder, Joost Bruggeman, explains how Siilo is driving change from the bottom up.</v>
      </c>
      <c r="C846" s="4" t="str">
        <f>IFERROR(__xludf.DUMMYFUNCTION("""COMPUTED_VALUE"""),"Growth Summit")</f>
        <v>Growth Summit</v>
      </c>
      <c r="D846" s="4" t="str">
        <f>IFERROR(__xludf.DUMMYFUNCTION("""COMPUTED_VALUE"""),"Joost Bruggeman")</f>
        <v>Joost Bruggeman</v>
      </c>
      <c r="E846" s="4" t="str">
        <f>IFERROR(__xludf.DUMMYFUNCTION("""COMPUTED_VALUE"""),"Joost Bruggeman")</f>
        <v>Joost Bruggeman</v>
      </c>
      <c r="F846" s="4" t="str">
        <f>IFERROR(__xludf.DUMMYFUNCTION("""COMPUTED_VALUE"""),"2019/11/05 11:46:00")</f>
        <v>2019/11/05 11:46:00</v>
      </c>
      <c r="G846" s="4" t="str">
        <f>IFERROR(__xludf.DUMMYFUNCTION("""COMPUTED_VALUE"""),"2019/11/05 11:50:00")</f>
        <v>2019/11/05 11:50:00</v>
      </c>
      <c r="H846" s="4" t="str">
        <f>IFERROR(__xludf.DUMMYFUNCTION("""COMPUTED_VALUE"""),"554a21c7-0d4d-45e3-a6bb-c6e3c67ef6ac")</f>
        <v>554a21c7-0d4d-45e3-a6bb-c6e3c67ef6ac</v>
      </c>
      <c r="I846" s="4" t="str">
        <f>IFERROR(__xludf.DUMMYFUNCTION("""COMPUTED_VALUE"""),"554a21c7-0d4d-45e3-a6bb-c6e3c67ef6ac")</f>
        <v>554a21c7-0d4d-45e3-a6bb-c6e3c67ef6ac</v>
      </c>
    </row>
    <row r="847">
      <c r="A847" s="4" t="str">
        <f>IFERROR(__xludf.DUMMYFUNCTION("""COMPUTED_VALUE"""),"The future we build needs to be open")</f>
        <v>The future we build needs to be open</v>
      </c>
      <c r="B847" s="4" t="str">
        <f>IFERROR(__xludf.DUMMYFUNCTION("""COMPUTED_VALUE"""),"How can tech platforms become more intentionally open? The internet has shown us the value and the impact of the open movement - open web, open licenses, open source. But we've also seen that open itself is not enough - open is not equal or accessible for"&amp;" all. How can we, as the innovators of tomorrow, build a future that is open, equitable, and fair?")</f>
        <v>How can tech platforms become more intentionally open? The internet has shown us the value and the impact of the open movement - open web, open licenses, open source. But we've also seen that open itself is not enough - open is not equal or accessible for all. How can we, as the innovators of tomorrow, build a future that is open, equitable, and fair?</v>
      </c>
      <c r="C847" s="4" t="str">
        <f>IFERROR(__xludf.DUMMYFUNCTION("""COMPUTED_VALUE"""),"Centre Stage")</f>
        <v>Centre Stage</v>
      </c>
      <c r="D847" s="4" t="str">
        <f>IFERROR(__xludf.DUMMYFUNCTION("""COMPUTED_VALUE"""),"Katherine Maher")</f>
        <v>Katherine Maher</v>
      </c>
      <c r="E847" s="4" t="str">
        <f>IFERROR(__xludf.DUMMYFUNCTION("""COMPUTED_VALUE"""),"Katherine Maher")</f>
        <v>Katherine Maher</v>
      </c>
      <c r="F847" s="4" t="str">
        <f>IFERROR(__xludf.DUMMYFUNCTION("""COMPUTED_VALUE"""),"2019/11/05 16:40:00")</f>
        <v>2019/11/05 16:40:00</v>
      </c>
      <c r="G847" s="4" t="str">
        <f>IFERROR(__xludf.DUMMYFUNCTION("""COMPUTED_VALUE"""),"2019/11/05 17:00:00")</f>
        <v>2019/11/05 17:00:00</v>
      </c>
      <c r="H847" s="4" t="str">
        <f>IFERROR(__xludf.DUMMYFUNCTION("""COMPUTED_VALUE"""),"1e907ac3-9926-4ad8-85bc-ab11babf09e9")</f>
        <v>1e907ac3-9926-4ad8-85bc-ab11babf09e9</v>
      </c>
      <c r="I847" s="4" t="str">
        <f>IFERROR(__xludf.DUMMYFUNCTION("""COMPUTED_VALUE"""),"1e907ac3-9926-4ad8-85bc-ab11babf09e9")</f>
        <v>1e907ac3-9926-4ad8-85bc-ab11babf09e9</v>
      </c>
    </row>
    <row r="848">
      <c r="A848" s="4" t="str">
        <f>IFERROR(__xludf.DUMMYFUNCTION("""COMPUTED_VALUE"""),"Startup Showcase")</f>
        <v>Startup Showcase</v>
      </c>
      <c r="B848" s="4" t="str">
        <f>IFERROR(__xludf.DUMMYFUNCTION("""COMPUTED_VALUE"""),"On this brand new stage, expect quickfire presentations where startups will showcase their solutions to the future's biggest challenges. This hour focuses on education, covering topics like disruptive education models, online P2P learning, personal develo"&amp;"pment, and up-skilling your workforce.
")</f>
        <v>On this brand new stage, expect quickfire presentations where startups will showcase their solutions to the future's biggest challenges. This hour focuses on education, covering topics like disruptive education models, online P2P learning, personal development, and up-skilling your workforce.
</v>
      </c>
      <c r="C848" s="4" t="str">
        <f>IFERROR(__xludf.DUMMYFUNCTION("""COMPUTED_VALUE"""),"Startup Showcase 3")</f>
        <v>Startup Showcase 3</v>
      </c>
      <c r="D848" s="4" t="str">
        <f>IFERROR(__xludf.DUMMYFUNCTION("""COMPUTED_VALUE"""),"Ana Paula Reis, Sergey Oparin, Noel Gisselsson, Carlos Hornstein, Adam Dalton, Neivien H Shawer, David Métais, Philipp Philippen, Andrius Lideikis, Mark Ferrari, Rafael Hansen, Miguel Neto, Andrew Murphy, Dovydas Van Gucht, Venci Lukanov, Fawaz Alazemi, A"&amp;"lexander Giesecke, Luca Righes, Antoine Macau, Bo Wu, Andreas Grenthe, Tolga Güngör, Thales Gregorio, Sarina Mischa Møller, Yegor Isaev, Nichlas Walsted, Filiz Kocas, Adam Shehata, Rinat Ben Efraim, Akash Kannegulla, Mehmet Can Sobutay, Anastasiia Dmitrie"&amp;"va, Eric Lehmann, Arkadi Jeghiazaryan, Bernat Lopez, Larissa Magalhaes, Nicolai Schork, Timur Seyfelmlyukov, Valentyna Babko, Ramiro Nobre, Kęstutis Rapcevičius, Valerya Carvalho, Yigal Ben Efraim, Umut Elestekin, Marcel Schubert, Daria Kroshkina, Fernand"&amp;"o Cavalher, Allan Vestergaard Hermansen, Jens Seger and Virginie Broncy")</f>
        <v>Ana Paula Reis, Sergey Oparin, Noel Gisselsson, Carlos Hornstein, Adam Dalton, Neivien H Shawer, David Métais, Philipp Philippen, Andrius Lideikis, Mark Ferrari, Rafael Hansen, Miguel Neto, Andrew Murphy, Dovydas Van Gucht, Venci Lukanov, Fawaz Alazemi, Alexander Giesecke, Luca Righes, Antoine Macau, Bo Wu, Andreas Grenthe, Tolga Güngör, Thales Gregorio, Sarina Mischa Møller, Yegor Isaev, Nichlas Walsted, Filiz Kocas, Adam Shehata, Rinat Ben Efraim, Akash Kannegulla, Mehmet Can Sobutay, Anastasiia Dmitrieva, Eric Lehmann, Arkadi Jeghiazaryan, Bernat Lopez, Larissa Magalhaes, Nicolai Schork, Timur Seyfelmlyukov, Valentyna Babko, Ramiro Nobre, Kęstutis Rapcevičius, Valerya Carvalho, Yigal Ben Efraim, Umut Elestekin, Marcel Schubert, Daria Kroshkina, Fernando Cavalher, Allan Vestergaard Hermansen, Jens Seger and Virginie Broncy</v>
      </c>
      <c r="E848" s="4" t="str">
        <f>IFERROR(__xludf.DUMMYFUNCTION("""COMPUTED_VALUE"""),"Ana Paula Reis,Sergey Oparin,Noel Gisselsson,Carlos Hornstein,Adam Dalton,Neivien H Shawer,David Métais,Philipp Philippen,Andrius Lideikis,Mark Ferrari,Rafael Hansen,Miguel Neto,Andrew Murphy,Dovydas Van Gucht,Venci Lukanov,Fawaz Alazemi,Alexander Gieseck"&amp;"e,Luca Righes,Antoine Macau,Bo Wu,Andreas Grenthe,Tolga Güngör,Thales Gregorio,Sarina Mischa Møller,Yegor Isaev,Nichlas Walsted,Filiz Kocas,Adam Shehata,Rinat Ben Efraim,Akash Kannegulla,Mehmet Can Sobutay,Anastasiia Dmitrieva,Eric Lehmann,Arkadi Jeghiaza"&amp;"ryan,Bernat Lopez,Larissa Magalhaes,Nicolai Schork,Timur Seyfelmlyukov,Valentyna Babko,Ramiro Nobre,Kęstutis Rapcevičius,Valerya Carvalho,Yigal Ben Efraim,Umut Elestekin,Marcel Schubert,Daria Kroshkina,Fernando Cavalher,Allan Vestergaard Hermansen,Jens Se"&amp;"ger,Virginie Broncy")</f>
        <v>Ana Paula Reis,Sergey Oparin,Noel Gisselsson,Carlos Hornstein,Adam Dalton,Neivien H Shawer,David Métais,Philipp Philippen,Andrius Lideikis,Mark Ferrari,Rafael Hansen,Miguel Neto,Andrew Murphy,Dovydas Van Gucht,Venci Lukanov,Fawaz Alazemi,Alexander Giesecke,Luca Righes,Antoine Macau,Bo Wu,Andreas Grenthe,Tolga Güngör,Thales Gregorio,Sarina Mischa Møller,Yegor Isaev,Nichlas Walsted,Filiz Kocas,Adam Shehata,Rinat Ben Efraim,Akash Kannegulla,Mehmet Can Sobutay,Anastasiia Dmitrieva,Eric Lehmann,Arkadi Jeghiazaryan,Bernat Lopez,Larissa Magalhaes,Nicolai Schork,Timur Seyfelmlyukov,Valentyna Babko,Ramiro Nobre,Kęstutis Rapcevičius,Valerya Carvalho,Yigal Ben Efraim,Umut Elestekin,Marcel Schubert,Daria Kroshkina,Fernando Cavalher,Allan Vestergaard Hermansen,Jens Seger,Virginie Broncy</v>
      </c>
      <c r="F848" s="4" t="str">
        <f>IFERROR(__xludf.DUMMYFUNCTION("""COMPUTED_VALUE"""),"2019/11/06 10:15:00")</f>
        <v>2019/11/06 10:15:00</v>
      </c>
      <c r="G848" s="4" t="str">
        <f>IFERROR(__xludf.DUMMYFUNCTION("""COMPUTED_VALUE"""),"2019/11/06 11:15:00")</f>
        <v>2019/11/06 11:15:00</v>
      </c>
      <c r="H848" s="4" t="str">
        <f>IFERROR(__xludf.DUMMYFUNCTION("""COMPUTED_VALUE"""),"9594aa1e-e96d-4c49-b8f0-b63b2e397954")</f>
        <v>9594aa1e-e96d-4c49-b8f0-b63b2e397954</v>
      </c>
      <c r="I848" s="4" t="str">
        <f>IFERROR(__xludf.DUMMYFUNCTION("""COMPUTED_VALUE"""),"9594aa1e-e96d-4c49-b8f0-b63b2e397954")</f>
        <v>9594aa1e-e96d-4c49-b8f0-b63b2e397954</v>
      </c>
    </row>
    <row r="849">
      <c r="A849" s="4" t="str">
        <f>IFERROR(__xludf.DUMMYFUNCTION("""COMPUTED_VALUE"""),"Diageo, data and the consumer experience")</f>
        <v>Diageo, data and the consumer experience</v>
      </c>
      <c r="B849" s="4" t="str">
        <f>IFERROR(__xludf.DUMMYFUNCTION("""COMPUTED_VALUE"""),"Diageo is undertaking a programme to create cultural behavioural change in the way its marketers approach their roles. The role of data and analytics has been enhanced in decision-making.")</f>
        <v>Diageo is undertaking a programme to create cultural behavioural change in the way its marketers approach their roles. The role of data and analytics has been enhanced in decision-making.</v>
      </c>
      <c r="C849" s="4" t="str">
        <f>IFERROR(__xludf.DUMMYFUNCTION("""COMPUTED_VALUE"""),"PandaConf")</f>
        <v>PandaConf</v>
      </c>
      <c r="D849" s="4" t="str">
        <f>IFERROR(__xludf.DUMMYFUNCTION("""COMPUTED_VALUE"""),"Ben Sutherland")</f>
        <v>Ben Sutherland</v>
      </c>
      <c r="E849" s="4" t="str">
        <f>IFERROR(__xludf.DUMMYFUNCTION("""COMPUTED_VALUE"""),"Ben Sutherland")</f>
        <v>Ben Sutherland</v>
      </c>
      <c r="F849" s="4" t="str">
        <f>IFERROR(__xludf.DUMMYFUNCTION("""COMPUTED_VALUE"""),"2019/11/07 12:30:00")</f>
        <v>2019/11/07 12:30:00</v>
      </c>
      <c r="G849" s="4" t="str">
        <f>IFERROR(__xludf.DUMMYFUNCTION("""COMPUTED_VALUE"""),"2019/11/07 12:50:00")</f>
        <v>2019/11/07 12:50:00</v>
      </c>
      <c r="H849" s="4" t="str">
        <f>IFERROR(__xludf.DUMMYFUNCTION("""COMPUTED_VALUE"""),"23c9f22b-e449-4e3f-9c80-d85208806aa2")</f>
        <v>23c9f22b-e449-4e3f-9c80-d85208806aa2</v>
      </c>
      <c r="I849" s="4" t="str">
        <f>IFERROR(__xludf.DUMMYFUNCTION("""COMPUTED_VALUE"""),"23c9f22b-e449-4e3f-9c80-d85208806aa2")</f>
        <v>23c9f22b-e449-4e3f-9c80-d85208806aa2</v>
      </c>
    </row>
    <row r="850">
      <c r="A850" s="4" t="str">
        <f>IFERROR(__xludf.DUMMYFUNCTION("""COMPUTED_VALUE"""),"How automation is disrupting the $45bn market research industry")</f>
        <v>How automation is disrupting the $45bn market research industry</v>
      </c>
      <c r="B850" s="4" t="str">
        <f>IFERROR(__xludf.DUMMYFUNCTION("""COMPUTED_VALUE"""),"Peter, Quantilope's CEO, joins us to talk through the challenges of building a B2B tech platform from scratch and how partnerships can solve the digitisation challenge in finance.")</f>
        <v>Peter, Quantilope's CEO, joins us to talk through the challenges of building a B2B tech platform from scratch and how partnerships can solve the digitisation challenge in finance.</v>
      </c>
      <c r="C850" s="4" t="str">
        <f>IFERROR(__xludf.DUMMYFUNCTION("""COMPUTED_VALUE"""),"Growth Summit")</f>
        <v>Growth Summit</v>
      </c>
      <c r="D850" s="4" t="str">
        <f>IFERROR(__xludf.DUMMYFUNCTION("""COMPUTED_VALUE"""),"Peter Aschmoneit")</f>
        <v>Peter Aschmoneit</v>
      </c>
      <c r="E850" s="4" t="str">
        <f>IFERROR(__xludf.DUMMYFUNCTION("""COMPUTED_VALUE"""),"Peter Aschmoneit")</f>
        <v>Peter Aschmoneit</v>
      </c>
      <c r="F850" s="4" t="str">
        <f>IFERROR(__xludf.DUMMYFUNCTION("""COMPUTED_VALUE"""),"2019/11/06 10:26:00")</f>
        <v>2019/11/06 10:26:00</v>
      </c>
      <c r="G850" s="4" t="str">
        <f>IFERROR(__xludf.DUMMYFUNCTION("""COMPUTED_VALUE"""),"2019/11/06 10:30:00")</f>
        <v>2019/11/06 10:30:00</v>
      </c>
      <c r="H850" s="4" t="str">
        <f>IFERROR(__xludf.DUMMYFUNCTION("""COMPUTED_VALUE"""),"f963458e-e614-448f-9ac7-d67be21e4d2d")</f>
        <v>f963458e-e614-448f-9ac7-d67be21e4d2d</v>
      </c>
      <c r="I850" s="4" t="str">
        <f>IFERROR(__xludf.DUMMYFUNCTION("""COMPUTED_VALUE"""),"f963458e-e614-448f-9ac7-d67be21e4d2d")</f>
        <v>f963458e-e614-448f-9ac7-d67be21e4d2d</v>
      </c>
    </row>
    <row r="851">
      <c r="A851" s="4" t="str">
        <f>IFERROR(__xludf.DUMMYFUNCTION("""COMPUTED_VALUE"""),"Tech secrets of the superbrands")</f>
        <v>Tech secrets of the superbrands</v>
      </c>
      <c r="B851" s="4" t="str">
        <f>IFERROR(__xludf.DUMMYFUNCTION("""COMPUTED_VALUE"""),"This talk explores the world of superbrands, dissecting the technologies that enable these brands to connect with their audience. How do these giant brands connect with the individual to make them part of the collective? This session brings together exper"&amp;"ts of global branding who will share their insights into how technology is playing a pivotal role in the evolution of the superbrand.")</f>
        <v>This talk explores the world of superbrands, dissecting the technologies that enable these brands to connect with their audience. How do these giant brands connect with the individual to make them part of the collective? This session brings together experts of global branding who will share their insights into how technology is playing a pivotal role in the evolution of the superbrand.</v>
      </c>
      <c r="C851" s="4" t="str">
        <f>IFERROR(__xludf.DUMMYFUNCTION("""COMPUTED_VALUE"""),"Corporate Innovation Summit")</f>
        <v>Corporate Innovation Summit</v>
      </c>
      <c r="D851" s="4" t="str">
        <f>IFERROR(__xludf.DUMMYFUNCTION("""COMPUTED_VALUE"""),"Alan Boehme, Chris Perry, Sairah Ashman and Michelle Castillo")</f>
        <v>Alan Boehme, Chris Perry, Sairah Ashman and Michelle Castillo</v>
      </c>
      <c r="E851" s="4" t="str">
        <f>IFERROR(__xludf.DUMMYFUNCTION("""COMPUTED_VALUE"""),"Alan Boehme,Chris Perry,Sairah Ashman,Michelle Castillo")</f>
        <v>Alan Boehme,Chris Perry,Sairah Ashman,Michelle Castillo</v>
      </c>
      <c r="F851" s="4" t="str">
        <f>IFERROR(__xludf.DUMMYFUNCTION("""COMPUTED_VALUE"""),"2019/11/05 15:15:00")</f>
        <v>2019/11/05 15:15:00</v>
      </c>
      <c r="G851" s="4" t="str">
        <f>IFERROR(__xludf.DUMMYFUNCTION("""COMPUTED_VALUE"""),"2019/11/05 15:35:00")</f>
        <v>2019/11/05 15:35:00</v>
      </c>
      <c r="H851" s="4" t="str">
        <f>IFERROR(__xludf.DUMMYFUNCTION("""COMPUTED_VALUE"""),"0909ca5d-0c4e-4781-a377-6c604d53ebae")</f>
        <v>0909ca5d-0c4e-4781-a377-6c604d53ebae</v>
      </c>
      <c r="I851" s="4" t="str">
        <f>IFERROR(__xludf.DUMMYFUNCTION("""COMPUTED_VALUE"""),"0909ca5d-0c4e-4781-a377-6c604d53ebae")</f>
        <v>0909ca5d-0c4e-4781-a377-6c604d53ebae</v>
      </c>
    </row>
    <row r="852">
      <c r="A852" s="4" t="str">
        <f>IFERROR(__xludf.DUMMYFUNCTION("""COMPUTED_VALUE"""),"AI takes aim at cancer")</f>
        <v>AI takes aim at cancer</v>
      </c>
      <c r="B852" s="4" t="str">
        <f>IFERROR(__xludf.DUMMYFUNCTION("""COMPUTED_VALUE"""),"Can marchine learning save lives? We'll get the inside story on how AI is helping to predict the onset of breast cancer 5 years in advance.
")</f>
        <v>Can marchine learning save lives? We'll get the inside story on how AI is helping to predict the onset of breast cancer 5 years in advance.
</v>
      </c>
      <c r="C852" s="4" t="str">
        <f>IFERROR(__xludf.DUMMYFUNCTION("""COMPUTED_VALUE"""),"DeepTech")</f>
        <v>DeepTech</v>
      </c>
      <c r="D852" s="4" t="str">
        <f>IFERROR(__xludf.DUMMYFUNCTION("""COMPUTED_VALUE"""),"Constance Lehman and Alan Griffin")</f>
        <v>Constance Lehman and Alan Griffin</v>
      </c>
      <c r="E852" s="4" t="str">
        <f>IFERROR(__xludf.DUMMYFUNCTION("""COMPUTED_VALUE"""),"Constance Lehman,Alan Griffin")</f>
        <v>Constance Lehman,Alan Griffin</v>
      </c>
      <c r="F852" s="4" t="str">
        <f>IFERROR(__xludf.DUMMYFUNCTION("""COMPUTED_VALUE"""),"2019/11/06 11:20:00")</f>
        <v>2019/11/06 11:20:00</v>
      </c>
      <c r="G852" s="4" t="str">
        <f>IFERROR(__xludf.DUMMYFUNCTION("""COMPUTED_VALUE"""),"2019/11/06 11:35:00")</f>
        <v>2019/11/06 11:35:00</v>
      </c>
      <c r="H852" s="4" t="str">
        <f>IFERROR(__xludf.DUMMYFUNCTION("""COMPUTED_VALUE"""),"d7a8ec79-364a-44b7-900f-1d9579adcb44")</f>
        <v>d7a8ec79-364a-44b7-900f-1d9579adcb44</v>
      </c>
      <c r="I852" s="4" t="str">
        <f>IFERROR(__xludf.DUMMYFUNCTION("""COMPUTED_VALUE"""),"d7a8ec79-364a-44b7-900f-1d9579adcb44")</f>
        <v>d7a8ec79-364a-44b7-900f-1d9579adcb44</v>
      </c>
    </row>
    <row r="853">
      <c r="A853" s="4" t="str">
        <f>IFERROR(__xludf.DUMMYFUNCTION("""COMPUTED_VALUE"""),"How to become first when you’re the last one to start")</f>
        <v>How to become first when you’re the last one to start</v>
      </c>
      <c r="B853" s="4" t="str">
        <f>IFERROR(__xludf.DUMMYFUNCTION("""COMPUTED_VALUE"""),"There is a saying in business – if you’re not first, you’re last. I know how to break it.")</f>
        <v>There is a saying in business – if you’re not first, you’re last. I know how to break it.</v>
      </c>
      <c r="C853" s="4" t="str">
        <f>IFERROR(__xludf.DUMMYFUNCTION("""COMPUTED_VALUE"""),"Growth Summit")</f>
        <v>Growth Summit</v>
      </c>
      <c r="D853" s="4" t="str">
        <f>IFERROR(__xludf.DUMMYFUNCTION("""COMPUTED_VALUE"""),"Viktorija Vanagė")</f>
        <v>Viktorija Vanagė</v>
      </c>
      <c r="E853" s="4" t="str">
        <f>IFERROR(__xludf.DUMMYFUNCTION("""COMPUTED_VALUE"""),"Viktorija Vanagė")</f>
        <v>Viktorija Vanagė</v>
      </c>
      <c r="F853" s="4" t="str">
        <f>IFERROR(__xludf.DUMMYFUNCTION("""COMPUTED_VALUE"""),"2019/11/06 11:26:00")</f>
        <v>2019/11/06 11:26:00</v>
      </c>
      <c r="G853" s="4" t="str">
        <f>IFERROR(__xludf.DUMMYFUNCTION("""COMPUTED_VALUE"""),"2019/11/06 11:30:00")</f>
        <v>2019/11/06 11:30:00</v>
      </c>
      <c r="H853" s="4" t="str">
        <f>IFERROR(__xludf.DUMMYFUNCTION("""COMPUTED_VALUE"""),"dded405d-13cd-4f17-879e-6163a69045d8")</f>
        <v>dded405d-13cd-4f17-879e-6163a69045d8</v>
      </c>
      <c r="I853" s="4" t="str">
        <f>IFERROR(__xludf.DUMMYFUNCTION("""COMPUTED_VALUE"""),"dded405d-13cd-4f17-879e-6163a69045d8")</f>
        <v>dded405d-13cd-4f17-879e-6163a69045d8</v>
      </c>
    </row>
    <row r="854">
      <c r="A854" s="4" t="str">
        <f>IFERROR(__xludf.DUMMYFUNCTION("""COMPUTED_VALUE"""),"Startup Showcase")</f>
        <v>Startup Showcase</v>
      </c>
      <c r="B854" s="4" t="str">
        <f>IFERROR(__xludf.DUMMYFUNCTION("""COMPUTED_VALUE"""),"On this brand new stage, expect quickfire presentations where startups will showcase their solutions to the future's biggest challenges. This hour focuses on the future of content, covering topics like VR/AR, front-end infrastructure, content creators, st"&amp;"reaming services, and video.
")</f>
        <v>On this brand new stage, expect quickfire presentations where startups will showcase their solutions to the future's biggest challenges. This hour focuses on the future of content, covering topics like VR/AR, front-end infrastructure, content creators, streaming services, and video.
</v>
      </c>
      <c r="C854" s="4" t="str">
        <f>IFERROR(__xludf.DUMMYFUNCTION("""COMPUTED_VALUE"""),"Startup Showcase 1")</f>
        <v>Startup Showcase 1</v>
      </c>
      <c r="D854" s="4" t="str">
        <f>IFERROR(__xludf.DUMMYFUNCTION("""COMPUTED_VALUE"""),"Susana Chaves, Rudolf Peschel, Vladimir NIkandrov, Gian-Marco Spinosa, Lucas Nygaard, Vittorio Giuseppe Urzì, Hana Novakova, Dr Carmelo Bisognano, Oleksii Danchenko, Bjoern Bak, Rolf Illenberger, Maria Tolstykh, IMGIBBLE LIM, Jamie Thomson, Martina Balazo"&amp;"va, António Laranjeira, kyoungik Jang, andrea baldini, Elin YOON, Paul Martin, Ekaterina Butko, Mohsen Haddad, Ivan Burban, Delzar Khalaf, Giancarlo Sciuto, Sergei Galeev, Thomas Wacinski, Daniel De Witte, Patrizia Di Biasi, Douwe Faasen, Alexander Semeno"&amp;"v, Michael Kröll, Marco Angelo Villari, Olga Kravchenko, Soufiane Rouibia, Henri Pauwels, Dmytro Kudrenko, Dominic Mueller, Hans Pauwels, Stefan Godly, Patrick Bartels, July Seo, Saad Hannoush, Alejandro Ortiz Monasterio Acosta, Maxime Eugeni, Charles Pau"&amp;"wels, André Miranda and Anna Anttila")</f>
        <v>Susana Chaves, Rudolf Peschel, Vladimir NIkandrov, Gian-Marco Spinosa, Lucas Nygaard, Vittorio Giuseppe Urzì, Hana Novakova, Dr Carmelo Bisognano, Oleksii Danchenko, Bjoern Bak, Rolf Illenberger, Maria Tolstykh, IMGIBBLE LIM, Jamie Thomson, Martina Balazova, António Laranjeira, kyoungik Jang, andrea baldini, Elin YOON, Paul Martin, Ekaterina Butko, Mohsen Haddad, Ivan Burban, Delzar Khalaf, Giancarlo Sciuto, Sergei Galeev, Thomas Wacinski, Daniel De Witte, Patrizia Di Biasi, Douwe Faasen, Alexander Semenov, Michael Kröll, Marco Angelo Villari, Olga Kravchenko, Soufiane Rouibia, Henri Pauwels, Dmytro Kudrenko, Dominic Mueller, Hans Pauwels, Stefan Godly, Patrick Bartels, July Seo, Saad Hannoush, Alejandro Ortiz Monasterio Acosta, Maxime Eugeni, Charles Pauwels, André Miranda and Anna Anttila</v>
      </c>
      <c r="E854" s="4" t="str">
        <f>IFERROR(__xludf.DUMMYFUNCTION("""COMPUTED_VALUE"""),"Susana Chaves,Rudolf Peschel,Vladimir NIkandrov,Gian-Marco Spinosa,Lucas Nygaard,Vittorio Giuseppe Urzì,Hana Novakova,Dr Carmelo Bisognano,Oleksii Danchenko,Bjoern Bak,Rolf Illenberger,Maria Tolstykh,IMGIBBLE LIM,Jamie Thomson,Martina Balazova,António Lar"&amp;"anjeira,kyoungik Jang,andrea baldini,Elin YOON,Paul Martin,Ekaterina Butko,Mohsen Haddad,Ivan Burban,Delzar Khalaf,Giancarlo Sciuto,Sergei Galeev,Thomas Wacinski,Daniel De Witte,Patrizia Di Biasi,Douwe Faasen,Alexander Semenov,Michael Kröll,Marco Angelo V"&amp;"illari,Olga Kravchenko,Soufiane Rouibia,Henri Pauwels,Dmytro Kudrenko,Dominic Mueller,Hans Pauwels,Stefan Godly,Patrick Bartels,July Seo,Saad Hannoush,Alejandro Ortiz Monasterio Acosta,Maxime Eugeni,Charles Pauwels,André Miranda,Anna Anttila")</f>
        <v>Susana Chaves,Rudolf Peschel,Vladimir NIkandrov,Gian-Marco Spinosa,Lucas Nygaard,Vittorio Giuseppe Urzì,Hana Novakova,Dr Carmelo Bisognano,Oleksii Danchenko,Bjoern Bak,Rolf Illenberger,Maria Tolstykh,IMGIBBLE LIM,Jamie Thomson,Martina Balazova,António Laranjeira,kyoungik Jang,andrea baldini,Elin YOON,Paul Martin,Ekaterina Butko,Mohsen Haddad,Ivan Burban,Delzar Khalaf,Giancarlo Sciuto,Sergei Galeev,Thomas Wacinski,Daniel De Witte,Patrizia Di Biasi,Douwe Faasen,Alexander Semenov,Michael Kröll,Marco Angelo Villari,Olga Kravchenko,Soufiane Rouibia,Henri Pauwels,Dmytro Kudrenko,Dominic Mueller,Hans Pauwels,Stefan Godly,Patrick Bartels,July Seo,Saad Hannoush,Alejandro Ortiz Monasterio Acosta,Maxime Eugeni,Charles Pauwels,André Miranda,Anna Anttila</v>
      </c>
      <c r="F854" s="4" t="str">
        <f>IFERROR(__xludf.DUMMYFUNCTION("""COMPUTED_VALUE"""),"2019/11/06 12:15:00")</f>
        <v>2019/11/06 12:15:00</v>
      </c>
      <c r="G854" s="4" t="str">
        <f>IFERROR(__xludf.DUMMYFUNCTION("""COMPUTED_VALUE"""),"2019/11/06 13:15:00")</f>
        <v>2019/11/06 13:15:00</v>
      </c>
      <c r="H854" s="4" t="str">
        <f>IFERROR(__xludf.DUMMYFUNCTION("""COMPUTED_VALUE"""),"a5cd2793-3ef6-4909-9ba3-9595d03f42bb")</f>
        <v>a5cd2793-3ef6-4909-9ba3-9595d03f42bb</v>
      </c>
      <c r="I854" s="4" t="str">
        <f>IFERROR(__xludf.DUMMYFUNCTION("""COMPUTED_VALUE"""),"a5cd2793-3ef6-4909-9ba3-9595d03f42bb")</f>
        <v>a5cd2793-3ef6-4909-9ba3-9595d03f42bb</v>
      </c>
    </row>
    <row r="855">
      <c r="A855" s="4" t="str">
        <f>IFERROR(__xludf.DUMMYFUNCTION("""COMPUTED_VALUE"""),"Q&amp;A Session With Deco")</f>
        <v>Q&amp;A Session With Deco</v>
      </c>
      <c r="B855" s="4" t="str">
        <f>IFERROR(__xludf.DUMMYFUNCTION("""COMPUTED_VALUE"""),"")</f>
        <v/>
      </c>
      <c r="C855" s="4" t="str">
        <f>IFERROR(__xludf.DUMMYFUNCTION("""COMPUTED_VALUE"""),"")</f>
        <v/>
      </c>
      <c r="D855" s="4" t="str">
        <f>IFERROR(__xludf.DUMMYFUNCTION("""COMPUTED_VALUE"""),"Deco")</f>
        <v>Deco</v>
      </c>
      <c r="E855" s="4" t="str">
        <f>IFERROR(__xludf.DUMMYFUNCTION("""COMPUTED_VALUE"""),"Deco")</f>
        <v>Deco</v>
      </c>
      <c r="F855" s="4" t="str">
        <f>IFERROR(__xludf.DUMMYFUNCTION("""COMPUTED_VALUE"""),"")</f>
        <v/>
      </c>
      <c r="G855" s="4" t="str">
        <f>IFERROR(__xludf.DUMMYFUNCTION("""COMPUTED_VALUE"""),"")</f>
        <v/>
      </c>
      <c r="H855" s="4" t="str">
        <f>IFERROR(__xludf.DUMMYFUNCTION("""COMPUTED_VALUE"""),"29dde622-bffd-54f9-8198-0a0aaf8201d7")</f>
        <v>29dde622-bffd-54f9-8198-0a0aaf8201d7</v>
      </c>
      <c r="I855" s="4" t="str">
        <f>IFERROR(__xludf.DUMMYFUNCTION("""COMPUTED_VALUE"""),"29dde622-bffd-54f9-8198-0a0aaf8201d7")</f>
        <v>29dde622-bffd-54f9-8198-0a0aaf8201d7</v>
      </c>
    </row>
    <row r="856">
      <c r="A856" s="4" t="str">
        <f>IFERROR(__xludf.DUMMYFUNCTION("""COMPUTED_VALUE"""),"Rebuilding trust in tech")</f>
        <v>Rebuilding trust in tech</v>
      </c>
      <c r="B856" s="4" t="str">
        <f>IFERROR(__xludf.DUMMYFUNCTION("""COMPUTED_VALUE"""),"Trust in the tech sector is, arguably, at an all-time low. The positive contribution of big tech to society is now being challenged. Rebuilding trust will require new regulations and a renewed willingness from tech to work together with policymakers to en"&amp;"sure it does not repeat the mistakes of the past. In this session, we bring together two of the leading voices, from tech and policy, in this drive to ensure that tech genuinely does good.")</f>
        <v>Trust in the tech sector is, arguably, at an all-time low. The positive contribution of big tech to society is now being challenged. Rebuilding trust will require new regulations and a renewed willingness from tech to work together with policymakers to ensure it does not repeat the mistakes of the past. In this session, we bring together two of the leading voices, from tech and policy, in this drive to ensure that tech genuinely does good.</v>
      </c>
      <c r="C856" s="4" t="str">
        <f>IFERROR(__xludf.DUMMYFUNCTION("""COMPUTED_VALUE"""),"Future Societies")</f>
        <v>Future Societies</v>
      </c>
      <c r="D856" s="4" t="str">
        <f>IFERROR(__xludf.DUMMYFUNCTION("""COMPUTED_VALUE"""),"Ro Khanna, Brad Smith and Karen Tso")</f>
        <v>Ro Khanna, Brad Smith and Karen Tso</v>
      </c>
      <c r="E856" s="4" t="str">
        <f>IFERROR(__xludf.DUMMYFUNCTION("""COMPUTED_VALUE"""),"Ro Khanna,Brad Smith,Karen Tso")</f>
        <v>Ro Khanna,Brad Smith,Karen Tso</v>
      </c>
      <c r="F856" s="4" t="str">
        <f>IFERROR(__xludf.DUMMYFUNCTION("""COMPUTED_VALUE"""),"2019/11/06 11:50:00")</f>
        <v>2019/11/06 11:50:00</v>
      </c>
      <c r="G856" s="4" t="str">
        <f>IFERROR(__xludf.DUMMYFUNCTION("""COMPUTED_VALUE"""),"2019/11/06 12:10:00")</f>
        <v>2019/11/06 12:10:00</v>
      </c>
      <c r="H856" s="4" t="str">
        <f>IFERROR(__xludf.DUMMYFUNCTION("""COMPUTED_VALUE"""),"6dfde786-edc6-48ff-a522-d3b8f15b8ae8")</f>
        <v>6dfde786-edc6-48ff-a522-d3b8f15b8ae8</v>
      </c>
      <c r="I856" s="4" t="str">
        <f>IFERROR(__xludf.DUMMYFUNCTION("""COMPUTED_VALUE"""),"6dfde786-edc6-48ff-a522-d3b8f15b8ae8")</f>
        <v>6dfde786-edc6-48ff-a522-d3b8f15b8ae8</v>
      </c>
    </row>
    <row r="857">
      <c r="A857" s="4" t="str">
        <f>IFERROR(__xludf.DUMMYFUNCTION("""COMPUTED_VALUE"""),"PITCH semi-final")</f>
        <v>PITCH semi-final</v>
      </c>
      <c r="B857" s="4" t="str">
        <f>IFERROR(__xludf.DUMMYFUNCTION("""COMPUTED_VALUE"""),"")</f>
        <v/>
      </c>
      <c r="C857" s="4" t="str">
        <f>IFERROR(__xludf.DUMMYFUNCTION("""COMPUTED_VALUE"""),"Centre Stage")</f>
        <v>Centre Stage</v>
      </c>
      <c r="D857" s="4" t="str">
        <f>IFERROR(__xludf.DUMMYFUNCTION("""COMPUTED_VALUE"""),"Erik Mostenicky, Mischa Wetzel, David Braga Malta, Tim Rehder, Stefan Walter, Arthur Hu, Alf Franzoni, Ansgar Chorhummel, Kieran Hill, Emma Steele, Cecilia Turriago, Cristina Fonseca, Frauke Mispagel, Melissa Larson Youngblood, Sunil Sharma, Casey Lau, Ma"&amp;"rtin Kõiva, Pedro Miranda, Lucy Liu, Toby Call, Veronika Riederle and Russ Heddleston")</f>
        <v>Erik Mostenicky, Mischa Wetzel, David Braga Malta, Tim Rehder, Stefan Walter, Arthur Hu, Alf Franzoni, Ansgar Chorhummel, Kieran Hill, Emma Steele, Cecilia Turriago, Cristina Fonseca, Frauke Mispagel, Melissa Larson Youngblood, Sunil Sharma, Casey Lau, Martin Kõiva, Pedro Miranda, Lucy Liu, Toby Call, Veronika Riederle and Russ Heddleston</v>
      </c>
      <c r="E857" s="4" t="str">
        <f>IFERROR(__xludf.DUMMYFUNCTION("""COMPUTED_VALUE"""),"Erik Mostenicky,Mischa Wetzel,David Braga Malta,Tim Rehder,Stefan Walter,Arthur Hu,Alf Franzoni,Ansgar Chorhummel,Kieran Hill,Emma Steele,Cecilia Turriago,Cristina Fonseca,Frauke Mispagel,Melissa Larson Youngblood,Sunil Sharma,Casey Lau,Martin Kõiva,Pedro"&amp;" Miranda,Lucy Liu,Toby Call,Veronika Riederle,Russ Heddleston")</f>
        <v>Erik Mostenicky,Mischa Wetzel,David Braga Malta,Tim Rehder,Stefan Walter,Arthur Hu,Alf Franzoni,Ansgar Chorhummel,Kieran Hill,Emma Steele,Cecilia Turriago,Cristina Fonseca,Frauke Mispagel,Melissa Larson Youngblood,Sunil Sharma,Casey Lau,Martin Kõiva,Pedro Miranda,Lucy Liu,Toby Call,Veronika Riederle,Russ Heddleston</v>
      </c>
      <c r="F857" s="4" t="str">
        <f>IFERROR(__xludf.DUMMYFUNCTION("""COMPUTED_VALUE"""),"2019/11/06 17:00:00")</f>
        <v>2019/11/06 17:00:00</v>
      </c>
      <c r="G857" s="4" t="str">
        <f>IFERROR(__xludf.DUMMYFUNCTION("""COMPUTED_VALUE"""),"2019/11/06 18:00:00")</f>
        <v>2019/11/06 18:00:00</v>
      </c>
      <c r="H857" s="4" t="str">
        <f>IFERROR(__xludf.DUMMYFUNCTION("""COMPUTED_VALUE"""),"7ffa9375-5357-4976-88e6-4619960440aa")</f>
        <v>7ffa9375-5357-4976-88e6-4619960440aa</v>
      </c>
      <c r="I857" s="4" t="str">
        <f>IFERROR(__xludf.DUMMYFUNCTION("""COMPUTED_VALUE"""),"7ffa9375-5357-4976-88e6-4619960440aa")</f>
        <v>7ffa9375-5357-4976-88e6-4619960440aa</v>
      </c>
    </row>
    <row r="858">
      <c r="A858" s="4" t="str">
        <f>IFERROR(__xludf.DUMMYFUNCTION("""COMPUTED_VALUE"""),"In conversation with Lime's Brad Bao")</f>
        <v>In conversation with Lime's Brad Bao</v>
      </c>
      <c r="B858" s="4" t="str">
        <f>IFERROR(__xludf.DUMMYFUNCTION("""COMPUTED_VALUE"""),"In this fireside interview, we'll learn about the new mobility revolution with Founder and CEO of Lime, Brad Bao.")</f>
        <v>In this fireside interview, we'll learn about the new mobility revolution with Founder and CEO of Lime, Brad Bao.</v>
      </c>
      <c r="C858" s="4" t="str">
        <f>IFERROR(__xludf.DUMMYFUNCTION("""COMPUTED_VALUE"""),"Auto/Tech &amp; TalkRobot")</f>
        <v>Auto/Tech &amp; TalkRobot</v>
      </c>
      <c r="D858" s="4" t="str">
        <f>IFERROR(__xludf.DUMMYFUNCTION("""COMPUTED_VALUE"""),"Brad Bao and Alison Griswold")</f>
        <v>Brad Bao and Alison Griswold</v>
      </c>
      <c r="E858" s="4" t="str">
        <f>IFERROR(__xludf.DUMMYFUNCTION("""COMPUTED_VALUE"""),"Brad Bao,Alison Griswold")</f>
        <v>Brad Bao,Alison Griswold</v>
      </c>
      <c r="F858" s="4" t="str">
        <f>IFERROR(__xludf.DUMMYFUNCTION("""COMPUTED_VALUE"""),"2019/11/06 14:00:00")</f>
        <v>2019/11/06 14:00:00</v>
      </c>
      <c r="G858" s="4" t="str">
        <f>IFERROR(__xludf.DUMMYFUNCTION("""COMPUTED_VALUE"""),"2019/11/06 14:20:00")</f>
        <v>2019/11/06 14:20:00</v>
      </c>
      <c r="H858" s="4" t="str">
        <f>IFERROR(__xludf.DUMMYFUNCTION("""COMPUTED_VALUE"""),"29ef26ef-8606-410b-9f6e-29982d4f9b12")</f>
        <v>29ef26ef-8606-410b-9f6e-29982d4f9b12</v>
      </c>
      <c r="I858" s="4" t="str">
        <f>IFERROR(__xludf.DUMMYFUNCTION("""COMPUTED_VALUE"""),"29ef26ef-8606-410b-9f6e-29982d4f9b12")</f>
        <v>29ef26ef-8606-410b-9f6e-29982d4f9b12</v>
      </c>
    </row>
    <row r="859">
      <c r="A859" s="4" t="str">
        <f>IFERROR(__xludf.DUMMYFUNCTION("""COMPUTED_VALUE"""),"How every brand became a content creator, and every content creator a brand")</f>
        <v>How every brand became a content creator, and every content creator a brand</v>
      </c>
      <c r="B859" s="4" t="str">
        <f>IFERROR(__xludf.DUMMYFUNCTION("""COMPUTED_VALUE"""),"This talk will examine how content creators, influencers, and celebrities monetise their content and develop their brand. Join actor Ian Somerhalder and Yoola CEO Eyal Baumel as they discuss the existing and emerging models for content creation, distribut"&amp;"ion, and monetisation.")</f>
        <v>This talk will examine how content creators, influencers, and celebrities monetise their content and develop their brand. Join actor Ian Somerhalder and Yoola CEO Eyal Baumel as they discuss the existing and emerging models for content creation, distribution, and monetisation.</v>
      </c>
      <c r="C859" s="4" t="str">
        <f>IFERROR(__xludf.DUMMYFUNCTION("""COMPUTED_VALUE"""),"ContentMakers")</f>
        <v>ContentMakers</v>
      </c>
      <c r="D859" s="4" t="str">
        <f>IFERROR(__xludf.DUMMYFUNCTION("""COMPUTED_VALUE"""),"Ian Somerhalder, Eyal Baumel and Dylan Collins")</f>
        <v>Ian Somerhalder, Eyal Baumel and Dylan Collins</v>
      </c>
      <c r="E859" s="4" t="str">
        <f>IFERROR(__xludf.DUMMYFUNCTION("""COMPUTED_VALUE"""),"Ian Somerhalder,Eyal Baumel,Dylan Collins")</f>
        <v>Ian Somerhalder,Eyal Baumel,Dylan Collins</v>
      </c>
      <c r="F859" s="4" t="str">
        <f>IFERROR(__xludf.DUMMYFUNCTION("""COMPUTED_VALUE"""),"2019/11/06 11:10:00")</f>
        <v>2019/11/06 11:10:00</v>
      </c>
      <c r="G859" s="4" t="str">
        <f>IFERROR(__xludf.DUMMYFUNCTION("""COMPUTED_VALUE"""),"2019/11/06 11:30:00")</f>
        <v>2019/11/06 11:30:00</v>
      </c>
      <c r="H859" s="4" t="str">
        <f>IFERROR(__xludf.DUMMYFUNCTION("""COMPUTED_VALUE"""),"6de11e57-af39-46c1-a6c6-bbb04a21f4c1")</f>
        <v>6de11e57-af39-46c1-a6c6-bbb04a21f4c1</v>
      </c>
      <c r="I859" s="4" t="str">
        <f>IFERROR(__xludf.DUMMYFUNCTION("""COMPUTED_VALUE"""),"6de11e57-af39-46c1-a6c6-bbb04a21f4c1")</f>
        <v>6de11e57-af39-46c1-a6c6-bbb04a21f4c1</v>
      </c>
    </row>
    <row r="860">
      <c r="A860" s="4" t="str">
        <f>IFERROR(__xludf.DUMMYFUNCTION("""COMPUTED_VALUE"""),"Brexit: The never ending story")</f>
        <v>Brexit: The never ending story</v>
      </c>
      <c r="B860" s="4" t="str">
        <f>IFERROR(__xludf.DUMMYFUNCTION("""COMPUTED_VALUE"""),"With a general election now scheduled for December 12 and a new exit date of January 31 2020, the Brexit saga looks set to continue for some time yet. Join us to find out what one of the sharpest political minds to grace Westminster makes of the situation"&amp;". Former Prime Minister Tony Blair will give us his take on the ongoing political story and what he thinks Britain should do next.")</f>
        <v>With a general election now scheduled for December 12 and a new exit date of January 31 2020, the Brexit saga looks set to continue for some time yet. Join us to find out what one of the sharpest political minds to grace Westminster makes of the situation. Former Prime Minister Tony Blair will give us his take on the ongoing political story and what he thinks Britain should do next.</v>
      </c>
      <c r="C860" s="4" t="str">
        <f>IFERROR(__xludf.DUMMYFUNCTION("""COMPUTED_VALUE"""),"Future Societies")</f>
        <v>Future Societies</v>
      </c>
      <c r="D860" s="4" t="str">
        <f>IFERROR(__xludf.DUMMYFUNCTION("""COMPUTED_VALUE"""),"Tony Blair and Phil Collins")</f>
        <v>Tony Blair and Phil Collins</v>
      </c>
      <c r="E860" s="4" t="str">
        <f>IFERROR(__xludf.DUMMYFUNCTION("""COMPUTED_VALUE"""),"Tony Blair,Phil Collins")</f>
        <v>Tony Blair,Phil Collins</v>
      </c>
      <c r="F860" s="4" t="str">
        <f>IFERROR(__xludf.DUMMYFUNCTION("""COMPUTED_VALUE"""),"2019/11/05 15:40:00")</f>
        <v>2019/11/05 15:40:00</v>
      </c>
      <c r="G860" s="4" t="str">
        <f>IFERROR(__xludf.DUMMYFUNCTION("""COMPUTED_VALUE"""),"2019/11/05 16:10:00")</f>
        <v>2019/11/05 16:10:00</v>
      </c>
      <c r="H860" s="4" t="str">
        <f>IFERROR(__xludf.DUMMYFUNCTION("""COMPUTED_VALUE"""),"00a4eb61-aa08-43ea-af0d-736daf670850")</f>
        <v>00a4eb61-aa08-43ea-af0d-736daf670850</v>
      </c>
      <c r="I860" s="4" t="str">
        <f>IFERROR(__xludf.DUMMYFUNCTION("""COMPUTED_VALUE"""),"00a4eb61-aa08-43ea-af0d-736daf670850")</f>
        <v>00a4eb61-aa08-43ea-af0d-736daf670850</v>
      </c>
    </row>
    <row r="861">
      <c r="A861" s="4" t="str">
        <f>IFERROR(__xludf.DUMMYFUNCTION("""COMPUTED_VALUE"""),"EU’s policy against disinformation and other online threats")</f>
        <v>EU’s policy against disinformation and other online threats</v>
      </c>
      <c r="B861" s="4" t="str">
        <f>IFERROR(__xludf.DUMMYFUNCTION("""COMPUTED_VALUE"""),"")</f>
        <v/>
      </c>
      <c r="C861" s="4" t="str">
        <f>IFERROR(__xludf.DUMMYFUNCTION("""COMPUTED_VALUE"""),"")</f>
        <v/>
      </c>
      <c r="D861" s="4" t="str">
        <f>IFERROR(__xludf.DUMMYFUNCTION("""COMPUTED_VALUE"""),"Věra Jourová")</f>
        <v>Věra Jourová</v>
      </c>
      <c r="E861" s="4" t="str">
        <f>IFERROR(__xludf.DUMMYFUNCTION("""COMPUTED_VALUE"""),"Věra Jourová")</f>
        <v>Věra Jourová</v>
      </c>
      <c r="F861" s="4" t="str">
        <f>IFERROR(__xludf.DUMMYFUNCTION("""COMPUTED_VALUE"""),"")</f>
        <v/>
      </c>
      <c r="G861" s="4" t="str">
        <f>IFERROR(__xludf.DUMMYFUNCTION("""COMPUTED_VALUE"""),"")</f>
        <v/>
      </c>
      <c r="H861" s="4" t="str">
        <f>IFERROR(__xludf.DUMMYFUNCTION("""COMPUTED_VALUE"""),"0aad9e96-6b75-51c6-ab36-63d22dd5b207")</f>
        <v>0aad9e96-6b75-51c6-ab36-63d22dd5b207</v>
      </c>
      <c r="I861" s="4" t="str">
        <f>IFERROR(__xludf.DUMMYFUNCTION("""COMPUTED_VALUE"""),"0aad9e96-6b75-51c6-ab36-63d22dd5b207")</f>
        <v>0aad9e96-6b75-51c6-ab36-63d22dd5b207</v>
      </c>
    </row>
    <row r="862">
      <c r="A862" s="4" t="str">
        <f>IFERROR(__xludf.DUMMYFUNCTION("""COMPUTED_VALUE"""),"Breaking up big tech")</f>
        <v>Breaking up big tech</v>
      </c>
      <c r="B862" s="4" t="str">
        <f>IFERROR(__xludf.DUMMYFUNCTION("""COMPUTED_VALUE"""),"The question of regulating big tech by breaking up its superpowers is on the political agenda worldwide. Come, listen and make up your own mind. ")</f>
        <v>The question of regulating big tech by breaking up its superpowers is on the political agenda worldwide. Come, listen and make up your own mind. </v>
      </c>
      <c r="C862" s="4" t="str">
        <f>IFERROR(__xludf.DUMMYFUNCTION("""COMPUTED_VALUE"""),"Centre Stage")</f>
        <v>Centre Stage</v>
      </c>
      <c r="D862" s="4" t="str">
        <f>IFERROR(__xludf.DUMMYFUNCTION("""COMPUTED_VALUE"""),"Kumi Naidoo, Věra Jourová and Mark Di Stefano")</f>
        <v>Kumi Naidoo, Věra Jourová and Mark Di Stefano</v>
      </c>
      <c r="E862" s="4" t="str">
        <f>IFERROR(__xludf.DUMMYFUNCTION("""COMPUTED_VALUE"""),"Kumi Naidoo,Věra Jourová,Mark Di Stefano")</f>
        <v>Kumi Naidoo,Věra Jourová,Mark Di Stefano</v>
      </c>
      <c r="F862" s="4" t="str">
        <f>IFERROR(__xludf.DUMMYFUNCTION("""COMPUTED_VALUE"""),"2019/11/07 14:25:00")</f>
        <v>2019/11/07 14:25:00</v>
      </c>
      <c r="G862" s="4" t="str">
        <f>IFERROR(__xludf.DUMMYFUNCTION("""COMPUTED_VALUE"""),"2019/11/07 14:45:00")</f>
        <v>2019/11/07 14:45:00</v>
      </c>
      <c r="H862" s="4" t="str">
        <f>IFERROR(__xludf.DUMMYFUNCTION("""COMPUTED_VALUE"""),"a702a26c-2ebb-4bc7-b621-0c8375f3c7f9")</f>
        <v>a702a26c-2ebb-4bc7-b621-0c8375f3c7f9</v>
      </c>
      <c r="I862" s="4" t="str">
        <f>IFERROR(__xludf.DUMMYFUNCTION("""COMPUTED_VALUE"""),"a702a26c-2ebb-4bc7-b621-0c8375f3c7f9")</f>
        <v>a702a26c-2ebb-4bc7-b621-0c8375f3c7f9</v>
      </c>
    </row>
    <row r="863">
      <c r="A863" s="4" t="str">
        <f>IFERROR(__xludf.DUMMYFUNCTION("""COMPUTED_VALUE"""),"Featured venue: MusicBox")</f>
        <v>Featured venue: MusicBox</v>
      </c>
      <c r="B863" s="4" t="str">
        <f>IFERROR(__xludf.DUMMYFUNCTION("""COMPUTED_VALUE"""),"In other places you find goblin under bridges. Not in Lisbon, where under the bridge you'll discover one of Lisbon's favourite hotspots. Delve inside the cavernous space to find old world stone archways and columns intermingled with high-tech lighting and"&amp;" state-of-the-art sound systems. A cave of wonders, a party dungeon, whatever you call it, we can guarantee it'll be great. The 115,000 party people who use it every year can't be wrong!
Night Summit deals: 
20% discount on Jameson Ginger and lime")</f>
        <v>In other places you find goblin under bridges. Not in Lisbon, where under the bridge you'll discover one of Lisbon's favourite hotspots. Delve inside the cavernous space to find old world stone archways and columns intermingled with high-tech lighting and state-of-the-art sound systems. A cave of wonders, a party dungeon, whatever you call it, we can guarantee it'll be great. The 115,000 party people who use it every year can't be wrong!
Night Summit deals: 
20% discount on Jameson Ginger and lime</v>
      </c>
      <c r="C863" s="4" t="str">
        <f>IFERROR(__xludf.DUMMYFUNCTION("""COMPUTED_VALUE"""),"MusicBox")</f>
        <v>MusicBox</v>
      </c>
      <c r="D863" s="4" t="str">
        <f>IFERROR(__xludf.DUMMYFUNCTION("""COMPUTED_VALUE"""),"")</f>
        <v/>
      </c>
      <c r="E863" s="4" t="str">
        <f>IFERROR(__xludf.DUMMYFUNCTION("""COMPUTED_VALUE"""),"")</f>
        <v/>
      </c>
      <c r="F863" s="4" t="str">
        <f>IFERROR(__xludf.DUMMYFUNCTION("""COMPUTED_VALUE"""),"2019/11/05 20:00:00")</f>
        <v>2019/11/05 20:00:00</v>
      </c>
      <c r="G863" s="4" t="str">
        <f>IFERROR(__xludf.DUMMYFUNCTION("""COMPUTED_VALUE"""),"2019/11/06 00:00:00")</f>
        <v>2019/11/06 00:00:00</v>
      </c>
      <c r="H863" s="4" t="str">
        <f>IFERROR(__xludf.DUMMYFUNCTION("""COMPUTED_VALUE"""),"46bf4806-920b-4d46-b854-87a432abad6a")</f>
        <v>46bf4806-920b-4d46-b854-87a432abad6a</v>
      </c>
      <c r="I863" s="4" t="str">
        <f>IFERROR(__xludf.DUMMYFUNCTION("""COMPUTED_VALUE"""),"46bf4806-920b-4d46-b854-87a432abad6a")</f>
        <v>46bf4806-920b-4d46-b854-87a432abad6a</v>
      </c>
    </row>
    <row r="864">
      <c r="A864" s="4" t="str">
        <f>IFERROR(__xludf.DUMMYFUNCTION("""COMPUTED_VALUE"""),"Featured venue: D'Bacalhau")</f>
        <v>Featured venue: D'Bacalhau</v>
      </c>
      <c r="B864" s="4" t="str">
        <f>IFERROR(__xludf.DUMMYFUNCTION("""COMPUTED_VALUE"""),"Many people at Web Summit wonder what is the best way to achieve quality. The team at d'Bacalhau have the answer, believing that quality can be achieved by specialising in one thing and doing it well. In their case, they have done this with codfish, bring"&amp;"ing a modern feel to a beloved Portuguese tradition.
Night Summit deals: 
2 for 1 drink  is offered with every full meal")</f>
        <v>Many people at Web Summit wonder what is the best way to achieve quality. The team at d'Bacalhau have the answer, believing that quality can be achieved by specialising in one thing and doing it well. In their case, they have done this with codfish, bringing a modern feel to a beloved Portuguese tradition.
Night Summit deals: 
2 for 1 drink  is offered with every full meal</v>
      </c>
      <c r="C864" s="4" t="str">
        <f>IFERROR(__xludf.DUMMYFUNCTION("""COMPUTED_VALUE"""),"D' Bacalhau")</f>
        <v>D' Bacalhau</v>
      </c>
      <c r="D864" s="4" t="str">
        <f>IFERROR(__xludf.DUMMYFUNCTION("""COMPUTED_VALUE"""),"")</f>
        <v/>
      </c>
      <c r="E864" s="4" t="str">
        <f>IFERROR(__xludf.DUMMYFUNCTION("""COMPUTED_VALUE"""),"")</f>
        <v/>
      </c>
      <c r="F864" s="4" t="str">
        <f>IFERROR(__xludf.DUMMYFUNCTION("""COMPUTED_VALUE"""),"2019/11/04 20:00:00")</f>
        <v>2019/11/04 20:00:00</v>
      </c>
      <c r="G864" s="4" t="str">
        <f>IFERROR(__xludf.DUMMYFUNCTION("""COMPUTED_VALUE"""),"2019/11/04 23:00:00")</f>
        <v>2019/11/04 23:00:00</v>
      </c>
      <c r="H864" s="4" t="str">
        <f>IFERROR(__xludf.DUMMYFUNCTION("""COMPUTED_VALUE"""),"340a4930-026c-4698-8130-db24fc7b785f")</f>
        <v>340a4930-026c-4698-8130-db24fc7b785f</v>
      </c>
      <c r="I864" s="4" t="str">
        <f>IFERROR(__xludf.DUMMYFUNCTION("""COMPUTED_VALUE"""),"340a4930-026c-4698-8130-db24fc7b785f")</f>
        <v>340a4930-026c-4698-8130-db24fc7b785f</v>
      </c>
    </row>
    <row r="865">
      <c r="A865" s="4" t="str">
        <f>IFERROR(__xludf.DUMMYFUNCTION("""COMPUTED_VALUE"""),"On the brink of catastrophe: A digital 21st century without Europe")</f>
        <v>On the brink of catastrophe: A digital 21st century without Europe</v>
      </c>
      <c r="B865" s="4" t="str">
        <f>IFERROR(__xludf.DUMMYFUNCTION("""COMPUTED_VALUE"""),"This keynote, featuring two of BCG’s leading digital strategists, will reveal the findings from an eye-opening assessment on the digital maturity of various countries across the world and its strategic implications for Europe.")</f>
        <v>This keynote, featuring two of BCG’s leading digital strategists, will reveal the findings from an eye-opening assessment on the digital maturity of various countries across the world and its strategic implications for Europe.</v>
      </c>
      <c r="C865" s="4" t="str">
        <f>IFERROR(__xludf.DUMMYFUNCTION("""COMPUTED_VALUE"""),"Corporate Innovation Summit")</f>
        <v>Corporate Innovation Summit</v>
      </c>
      <c r="D865" s="4" t="str">
        <f>IFERROR(__xludf.DUMMYFUNCTION("""COMPUTED_VALUE"""),"François Candelon")</f>
        <v>François Candelon</v>
      </c>
      <c r="E865" s="4" t="str">
        <f>IFERROR(__xludf.DUMMYFUNCTION("""COMPUTED_VALUE"""),"François Candelon")</f>
        <v>François Candelon</v>
      </c>
      <c r="F865" s="4" t="str">
        <f>IFERROR(__xludf.DUMMYFUNCTION("""COMPUTED_VALUE"""),"2019/11/05 15:00:00")</f>
        <v>2019/11/05 15:00:00</v>
      </c>
      <c r="G865" s="4" t="str">
        <f>IFERROR(__xludf.DUMMYFUNCTION("""COMPUTED_VALUE"""),"2019/11/05 15:15:00")</f>
        <v>2019/11/05 15:15:00</v>
      </c>
      <c r="H865" s="4" t="str">
        <f>IFERROR(__xludf.DUMMYFUNCTION("""COMPUTED_VALUE"""),"af1ef915-e7b5-42d0-84ab-567adea8be01")</f>
        <v>af1ef915-e7b5-42d0-84ab-567adea8be01</v>
      </c>
      <c r="I865" s="4" t="str">
        <f>IFERROR(__xludf.DUMMYFUNCTION("""COMPUTED_VALUE"""),"af1ef915-e7b5-42d0-84ab-567adea8be01")</f>
        <v>af1ef915-e7b5-42d0-84ab-567adea8be01</v>
      </c>
    </row>
    <row r="866">
      <c r="A866" s="4" t="str">
        <f>IFERROR(__xludf.DUMMYFUNCTION("""COMPUTED_VALUE"""),"Opening remarks")</f>
        <v>Opening remarks</v>
      </c>
      <c r="B866" s="4" t="str">
        <f>IFERROR(__xludf.DUMMYFUNCTION("""COMPUTED_VALUE"""),"Delos CTO, Jim, briefs you on HealthConf content so far and what's to come for the afternoon.")</f>
        <v>Delos CTO, Jim, briefs you on HealthConf content so far and what's to come for the afternoon.</v>
      </c>
      <c r="C866" s="4" t="str">
        <f>IFERROR(__xludf.DUMMYFUNCTION("""COMPUTED_VALUE"""),"HealthConf")</f>
        <v>HealthConf</v>
      </c>
      <c r="D866" s="4" t="str">
        <f>IFERROR(__xludf.DUMMYFUNCTION("""COMPUTED_VALUE"""),"Jim Hunter")</f>
        <v>Jim Hunter</v>
      </c>
      <c r="E866" s="4" t="str">
        <f>IFERROR(__xludf.DUMMYFUNCTION("""COMPUTED_VALUE"""),"Jim Hunter")</f>
        <v>Jim Hunter</v>
      </c>
      <c r="F866" s="4" t="str">
        <f>IFERROR(__xludf.DUMMYFUNCTION("""COMPUTED_VALUE"""),"2019/11/07 13:10:00")</f>
        <v>2019/11/07 13:10:00</v>
      </c>
      <c r="G866" s="4" t="str">
        <f>IFERROR(__xludf.DUMMYFUNCTION("""COMPUTED_VALUE"""),"2019/11/07 13:25:00")</f>
        <v>2019/11/07 13:25:00</v>
      </c>
      <c r="H866" s="4" t="str">
        <f>IFERROR(__xludf.DUMMYFUNCTION("""COMPUTED_VALUE"""),"1c918723-c009-4dd6-a0a6-d2dbf456a755")</f>
        <v>1c918723-c009-4dd6-a0a6-d2dbf456a755</v>
      </c>
      <c r="I866" s="4" t="str">
        <f>IFERROR(__xludf.DUMMYFUNCTION("""COMPUTED_VALUE"""),"1c918723-c009-4dd6-a0a6-d2dbf456a755")</f>
        <v>1c918723-c009-4dd6-a0a6-d2dbf456a755</v>
      </c>
    </row>
    <row r="867">
      <c r="A867" s="4" t="str">
        <f>IFERROR(__xludf.DUMMYFUNCTION("""COMPUTED_VALUE"""),"Q&amp;A with electronic music pioneer Jean-Michel Jarre")</f>
        <v>Q&amp;A with electronic music pioneer Jean-Michel Jarre</v>
      </c>
      <c r="B867" s="4" t="str">
        <f>IFERROR(__xludf.DUMMYFUNCTION("""COMPUTED_VALUE"""),"")</f>
        <v/>
      </c>
      <c r="C867" s="4" t="str">
        <f>IFERROR(__xludf.DUMMYFUNCTION("""COMPUTED_VALUE"""),"")</f>
        <v/>
      </c>
      <c r="D867" s="4" t="str">
        <f>IFERROR(__xludf.DUMMYFUNCTION("""COMPUTED_VALUE"""),"Jean-Michel Jarre")</f>
        <v>Jean-Michel Jarre</v>
      </c>
      <c r="E867" s="4" t="str">
        <f>IFERROR(__xludf.DUMMYFUNCTION("""COMPUTED_VALUE"""),"Jean-Michel Jarre")</f>
        <v>Jean-Michel Jarre</v>
      </c>
      <c r="F867" s="4" t="str">
        <f>IFERROR(__xludf.DUMMYFUNCTION("""COMPUTED_VALUE"""),"")</f>
        <v/>
      </c>
      <c r="G867" s="4" t="str">
        <f>IFERROR(__xludf.DUMMYFUNCTION("""COMPUTED_VALUE"""),"")</f>
        <v/>
      </c>
      <c r="H867" s="4" t="str">
        <f>IFERROR(__xludf.DUMMYFUNCTION("""COMPUTED_VALUE"""),"2de97b94-06d9-5261-aa08-68ebeaf549cd")</f>
        <v>2de97b94-06d9-5261-aa08-68ebeaf549cd</v>
      </c>
      <c r="I867" s="4" t="str">
        <f>IFERROR(__xludf.DUMMYFUNCTION("""COMPUTED_VALUE"""),"2de97b94-06d9-5261-aa08-68ebeaf549cd")</f>
        <v>2de97b94-06d9-5261-aa08-68ebeaf549cd</v>
      </c>
    </row>
    <row r="868">
      <c r="A868" s="4" t="str">
        <f>IFERROR(__xludf.DUMMYFUNCTION("""COMPUTED_VALUE"""),"PITCH quarterfinal 2")</f>
        <v>PITCH quarterfinal 2</v>
      </c>
      <c r="B868" s="4" t="str">
        <f>IFERROR(__xludf.DUMMYFUNCTION("""COMPUTED_VALUE"""),"")</f>
        <v/>
      </c>
      <c r="C868" s="4" t="str">
        <f>IFERROR(__xludf.DUMMYFUNCTION("""COMPUTED_VALUE"""),"")</f>
        <v/>
      </c>
      <c r="D868" s="4" t="str">
        <f>IFERROR(__xludf.DUMMYFUNCTION("""COMPUTED_VALUE"""),"Tahira Rehmatullah,  Jean-Marc Patouillaud,  Ajay Ramachandran,  Brendan Yell,  Jacqueline van den Ende and  Ulli Waltinger
")</f>
        <v>Tahira Rehmatullah,  Jean-Marc Patouillaud,  Ajay Ramachandran,  Brendan Yell,  Jacqueline van den Ende and  Ulli Waltinger
</v>
      </c>
      <c r="E868" s="4" t="str">
        <f>IFERROR(__xludf.DUMMYFUNCTION("""COMPUTED_VALUE"""),"Tahira Rehmatullah, Jean-Marc Patouillaud, Ajay Ramachandran, Brendan Yell, Jacqueline van den Ende, Ulli Waltinger
")</f>
        <v>Tahira Rehmatullah, Jean-Marc Patouillaud, Ajay Ramachandran, Brendan Yell, Jacqueline van den Ende, Ulli Waltinger
</v>
      </c>
      <c r="F868" s="4" t="str">
        <f>IFERROR(__xludf.DUMMYFUNCTION("""COMPUTED_VALUE"""),"")</f>
        <v/>
      </c>
      <c r="G868" s="4" t="str">
        <f>IFERROR(__xludf.DUMMYFUNCTION("""COMPUTED_VALUE"""),"")</f>
        <v/>
      </c>
      <c r="H868" s="4" t="str">
        <f>IFERROR(__xludf.DUMMYFUNCTION("""COMPUTED_VALUE"""),"dbc64a3e-5f86-515e-88d3-e48a01ab32cc")</f>
        <v>dbc64a3e-5f86-515e-88d3-e48a01ab32cc</v>
      </c>
      <c r="I868" s="4" t="str">
        <f>IFERROR(__xludf.DUMMYFUNCTION("""COMPUTED_VALUE"""),"dbc64a3e-5f86-515e-88d3-e48a01ab32cc")</f>
        <v>dbc64a3e-5f86-515e-88d3-e48a01ab32cc</v>
      </c>
    </row>
    <row r="869">
      <c r="A869" s="4" t="str">
        <f>IFERROR(__xludf.DUMMYFUNCTION("""COMPUTED_VALUE"""),"Startup Showcase")</f>
        <v>Startup Showcase</v>
      </c>
      <c r="B869" s="4" t="str">
        <f>IFERROR(__xludf.DUMMYFUNCTION("""COMPUTED_VALUE"""),"On this brand new stage, expect quickfire presentations where startups will showcase their solutions to the future's biggest challenges. This hour focuses on travel &amp; hospitality, covering topics like travel tech, accommodation services, booking platforms"&amp;", and the tourism sector.
")</f>
        <v>On this brand new stage, expect quickfire presentations where startups will showcase their solutions to the future's biggest challenges. This hour focuses on travel &amp; hospitality, covering topics like travel tech, accommodation services, booking platforms, and the tourism sector.
</v>
      </c>
      <c r="C869" s="4" t="str">
        <f>IFERROR(__xludf.DUMMYFUNCTION("""COMPUTED_VALUE"""),"Startup Showcase 3")</f>
        <v>Startup Showcase 3</v>
      </c>
      <c r="D869" s="4" t="str">
        <f>IFERROR(__xludf.DUMMYFUNCTION("""COMPUTED_VALUE"""),"Tony Zappala, Ivanna Nedelchuk, Ilya Melkumov, Andre Pimenta, Eduardo Orellana, Eric Sanchez, Rafael Juzo, Emily Cheung, Jörg Wasmeier, Elisa Chiarelli, James Ward, Marcos Medeiros, Brennan Basnicki, Simon Boulet, Juli Delos, Santiago Montero, Luís Torres"&amp;", Ewa Wojcik, Mikhail Khrushch, Natalia Bandach, Oleksandr Polonskyy, Ciga Zhou, Noemie Turcotte, Oleksandr Khveshchuk, María Pérez García, Manuel Andrade, Julien Faliu, Javier Moreno, Christophe Etienne, GUILLERMO GASPART, Francesco Catemario di Quadri, "&amp;"Ludwig Hedlund, Antonio Bustamante Gaitán, Mike Iukhtenko, Manuel Ferreira, Julia Demyanchuk, Nick Nedelchuk, Andrey Zhironkin, Yaroslav Lvovych, Alexander Mitzman, Carina Alexandra Alves Louro Miguel, Eyal Grumberg, CHRISTIAN RODRIGUEZ, Aleksandr Demidov"&amp;", Antonio Bettencourt, Pedro Gancho, Sonya Baranova, Robert Preoteasa and Sylvio Scott")</f>
        <v>Tony Zappala, Ivanna Nedelchuk, Ilya Melkumov, Andre Pimenta, Eduardo Orellana, Eric Sanchez, Rafael Juzo, Emily Cheung, Jörg Wasmeier, Elisa Chiarelli, James Ward, Marcos Medeiros, Brennan Basnicki, Simon Boulet, Juli Delos, Santiago Montero, Luís Torres, Ewa Wojcik, Mikhail Khrushch, Natalia Bandach, Oleksandr Polonskyy, Ciga Zhou, Noemie Turcotte, Oleksandr Khveshchuk, María Pérez García, Manuel Andrade, Julien Faliu, Javier Moreno, Christophe Etienne, GUILLERMO GASPART, Francesco Catemario di Quadri, Ludwig Hedlund, Antonio Bustamante Gaitán, Mike Iukhtenko, Manuel Ferreira, Julia Demyanchuk, Nick Nedelchuk, Andrey Zhironkin, Yaroslav Lvovych, Alexander Mitzman, Carina Alexandra Alves Louro Miguel, Eyal Grumberg, CHRISTIAN RODRIGUEZ, Aleksandr Demidov, Antonio Bettencourt, Pedro Gancho, Sonya Baranova, Robert Preoteasa and Sylvio Scott</v>
      </c>
      <c r="E869" s="4" t="str">
        <f>IFERROR(__xludf.DUMMYFUNCTION("""COMPUTED_VALUE"""),"Tony Zappala,Ivanna Nedelchuk,Ilya Melkumov,Andre Pimenta,Eduardo Orellana,Eric Sanchez,Rafael Juzo,Emily Cheung,Jörg Wasmeier,Elisa Chiarelli,James Ward,Marcos Medeiros,Brennan Basnicki,Simon Boulet,Juli Delos,Santiago Montero,Luís Torres,Ewa Wojcik,Mikh"&amp;"ail Khrushch,Natalia Bandach,Oleksandr Polonskyy,Ciga Zhou,Noemie Turcotte,Oleksandr Khveshchuk,María Pérez García,Manuel Andrade,Julien Faliu,Javier Moreno,Christophe Etienne,GUILLERMO GASPART,Francesco Catemario di Quadri,Ludwig Hedlund,Antonio Bustaman"&amp;"te Gaitán,Mike Iukhtenko,Manuel Ferreira,Julia Demyanchuk,Nick Nedelchuk,Andrey Zhironkin,Yaroslav Lvovych,Alexander Mitzman,Carina Alexandra Alves Louro Miguel,Eyal Grumberg,CHRISTIAN RODRIGUEZ,Aleksandr Demidov,Antonio Bettencourt,Pedro Gancho,Sonya Bar"&amp;"anova,Robert Preoteasa,Sylvio Scott")</f>
        <v>Tony Zappala,Ivanna Nedelchuk,Ilya Melkumov,Andre Pimenta,Eduardo Orellana,Eric Sanchez,Rafael Juzo,Emily Cheung,Jörg Wasmeier,Elisa Chiarelli,James Ward,Marcos Medeiros,Brennan Basnicki,Simon Boulet,Juli Delos,Santiago Montero,Luís Torres,Ewa Wojcik,Mikhail Khrushch,Natalia Bandach,Oleksandr Polonskyy,Ciga Zhou,Noemie Turcotte,Oleksandr Khveshchuk,María Pérez García,Manuel Andrade,Julien Faliu,Javier Moreno,Christophe Etienne,GUILLERMO GASPART,Francesco Catemario di Quadri,Ludwig Hedlund,Antonio Bustamante Gaitán,Mike Iukhtenko,Manuel Ferreira,Julia Demyanchuk,Nick Nedelchuk,Andrey Zhironkin,Yaroslav Lvovych,Alexander Mitzman,Carina Alexandra Alves Louro Miguel,Eyal Grumberg,CHRISTIAN RODRIGUEZ,Aleksandr Demidov,Antonio Bettencourt,Pedro Gancho,Sonya Baranova,Robert Preoteasa,Sylvio Scott</v>
      </c>
      <c r="F869" s="4" t="str">
        <f>IFERROR(__xludf.DUMMYFUNCTION("""COMPUTED_VALUE"""),"2019/11/07 14:15:00")</f>
        <v>2019/11/07 14:15:00</v>
      </c>
      <c r="G869" s="4" t="str">
        <f>IFERROR(__xludf.DUMMYFUNCTION("""COMPUTED_VALUE"""),"2019/11/07 15:15:00")</f>
        <v>2019/11/07 15:15:00</v>
      </c>
      <c r="H869" s="4" t="str">
        <f>IFERROR(__xludf.DUMMYFUNCTION("""COMPUTED_VALUE"""),"556154bd-67f3-4d53-8003-6aff86f7310f")</f>
        <v>556154bd-67f3-4d53-8003-6aff86f7310f</v>
      </c>
      <c r="I869" s="4" t="str">
        <f>IFERROR(__xludf.DUMMYFUNCTION("""COMPUTED_VALUE"""),"556154bd-67f3-4d53-8003-6aff86f7310f")</f>
        <v>556154bd-67f3-4d53-8003-6aff86f7310f</v>
      </c>
    </row>
    <row r="870">
      <c r="A870" s="4" t="str">
        <f>IFERROR(__xludf.DUMMYFUNCTION("""COMPUTED_VALUE"""),"Making the most of data")</f>
        <v>Making the most of data</v>
      </c>
      <c r="B870" s="4" t="str">
        <f>IFERROR(__xludf.DUMMYFUNCTION("""COMPUTED_VALUE"""),"Simply amassing large data sets does not guarantee you'll be able to unleash the information's potential value. Find out how to harness the power of data from leading industry experts.
")</f>
        <v>Simply amassing large data sets does not guarantee you'll be able to unleash the information's potential value. Find out how to harness the power of data from leading industry experts.
</v>
      </c>
      <c r="C870" s="4" t="str">
        <f>IFERROR(__xludf.DUMMYFUNCTION("""COMPUTED_VALUE"""),"DeepTech")</f>
        <v>DeepTech</v>
      </c>
      <c r="D870" s="4" t="str">
        <f>IFERROR(__xludf.DUMMYFUNCTION("""COMPUTED_VALUE"""),"Daniela Braga, Stijn Christiaens, Helen Zeitoun and Rani Molla")</f>
        <v>Daniela Braga, Stijn Christiaens, Helen Zeitoun and Rani Molla</v>
      </c>
      <c r="E870" s="4" t="str">
        <f>IFERROR(__xludf.DUMMYFUNCTION("""COMPUTED_VALUE"""),"Daniela Braga,Stijn Christiaens,Helen Zeitoun,Rani Molla")</f>
        <v>Daniela Braga,Stijn Christiaens,Helen Zeitoun,Rani Molla</v>
      </c>
      <c r="F870" s="4" t="str">
        <f>IFERROR(__xludf.DUMMYFUNCTION("""COMPUTED_VALUE"""),"2019/11/06 13:55:00")</f>
        <v>2019/11/06 13:55:00</v>
      </c>
      <c r="G870" s="4" t="str">
        <f>IFERROR(__xludf.DUMMYFUNCTION("""COMPUTED_VALUE"""),"2019/11/06 14:15:00")</f>
        <v>2019/11/06 14:15:00</v>
      </c>
      <c r="H870" s="4" t="str">
        <f>IFERROR(__xludf.DUMMYFUNCTION("""COMPUTED_VALUE"""),"7a5613f7-7237-4db7-a4ca-32fc0718ee9a")</f>
        <v>7a5613f7-7237-4db7-a4ca-32fc0718ee9a</v>
      </c>
      <c r="I870" s="4" t="str">
        <f>IFERROR(__xludf.DUMMYFUNCTION("""COMPUTED_VALUE"""),"7a5613f7-7237-4db7-a4ca-32fc0718ee9a")</f>
        <v>7a5613f7-7237-4db7-a4ca-32fc0718ee9a</v>
      </c>
    </row>
    <row r="871">
      <c r="A871" s="4" t="str">
        <f>IFERROR(__xludf.DUMMYFUNCTION("""COMPUTED_VALUE"""),"Changing the fight game")</f>
        <v>Changing the fight game</v>
      </c>
      <c r="B871" s="4" t="str">
        <f>IFERROR(__xludf.DUMMYFUNCTION("""COMPUTED_VALUE"""),"One stage, two trail blazers. Meet the women who changed the fight game.
")</f>
        <v>One stage, two trail blazers. Meet the women who changed the fight game.
</v>
      </c>
      <c r="C871" s="4" t="str">
        <f>IFERROR(__xludf.DUMMYFUNCTION("""COMPUTED_VALUE"""),"SportsTrade")</f>
        <v>SportsTrade</v>
      </c>
      <c r="D871" s="4" t="str">
        <f>IFERROR(__xludf.DUMMYFUNCTION("""COMPUTED_VALUE"""),"Paige VanZant, Cris Cyborg and James Dart")</f>
        <v>Paige VanZant, Cris Cyborg and James Dart</v>
      </c>
      <c r="E871" s="4" t="str">
        <f>IFERROR(__xludf.DUMMYFUNCTION("""COMPUTED_VALUE"""),"Paige VanZant,Cris Cyborg,James Dart")</f>
        <v>Paige VanZant,Cris Cyborg,James Dart</v>
      </c>
      <c r="F871" s="4" t="str">
        <f>IFERROR(__xludf.DUMMYFUNCTION("""COMPUTED_VALUE"""),"2019/11/05 15:55:00")</f>
        <v>2019/11/05 15:55:00</v>
      </c>
      <c r="G871" s="4" t="str">
        <f>IFERROR(__xludf.DUMMYFUNCTION("""COMPUTED_VALUE"""),"2019/11/05 16:15:00")</f>
        <v>2019/11/05 16:15:00</v>
      </c>
      <c r="H871" s="4" t="str">
        <f>IFERROR(__xludf.DUMMYFUNCTION("""COMPUTED_VALUE"""),"7bb6b4c4-de39-431e-81c1-013bb2e129e3")</f>
        <v>7bb6b4c4-de39-431e-81c1-013bb2e129e3</v>
      </c>
      <c r="I871" s="4" t="str">
        <f>IFERROR(__xludf.DUMMYFUNCTION("""COMPUTED_VALUE"""),"7bb6b4c4-de39-431e-81c1-013bb2e129e3")</f>
        <v>7bb6b4c4-de39-431e-81c1-013bb2e129e3</v>
      </c>
    </row>
    <row r="872">
      <c r="A872" s="4" t="str">
        <f>IFERROR(__xludf.DUMMYFUNCTION("""COMPUTED_VALUE"""),"Quick App: New experiences, new opportunities, hosted by Huawei")</f>
        <v>Quick App: New experiences, new opportunities, hosted by Huawei</v>
      </c>
      <c r="B872" s="4" t="str">
        <f>IFERROR(__xludf.DUMMYFUNCTION("""COMPUTED_VALUE"""),"As the new form of application services, Quick App and its technological advantages has helped our partners achieve great success in China. With plans to open to global partners, join this session to understand more about its technical structure and show "&amp;"the roadmap of global deployment.")</f>
        <v>As the new form of application services, Quick App and its technological advantages has helped our partners achieve great success in China. With plans to open to global partners, join this session to understand more about its technical structure and show the roadmap of global deployment.</v>
      </c>
      <c r="C872" s="4" t="str">
        <f>IFERROR(__xludf.DUMMYFUNCTION("""COMPUTED_VALUE"""),"Workshop 1")</f>
        <v>Workshop 1</v>
      </c>
      <c r="D872" s="4" t="str">
        <f>IFERROR(__xludf.DUMMYFUNCTION("""COMPUTED_VALUE"""),"Bartella Roland")</f>
        <v>Bartella Roland</v>
      </c>
      <c r="E872" s="4" t="str">
        <f>IFERROR(__xludf.DUMMYFUNCTION("""COMPUTED_VALUE"""),"Bartella Roland")</f>
        <v>Bartella Roland</v>
      </c>
      <c r="F872" s="4" t="str">
        <f>IFERROR(__xludf.DUMMYFUNCTION("""COMPUTED_VALUE"""),"2019/11/05 14:25:00")</f>
        <v>2019/11/05 14:25:00</v>
      </c>
      <c r="G872" s="4" t="str">
        <f>IFERROR(__xludf.DUMMYFUNCTION("""COMPUTED_VALUE"""),"2019/11/05 14:45:00")</f>
        <v>2019/11/05 14:45:00</v>
      </c>
      <c r="H872" s="4" t="str">
        <f>IFERROR(__xludf.DUMMYFUNCTION("""COMPUTED_VALUE"""),"b887e74b-c969-4264-b27d-ebaab7a6a83c")</f>
        <v>b887e74b-c969-4264-b27d-ebaab7a6a83c</v>
      </c>
      <c r="I872" s="4" t="str">
        <f>IFERROR(__xludf.DUMMYFUNCTION("""COMPUTED_VALUE"""),"b887e74b-c969-4264-b27d-ebaab7a6a83c")</f>
        <v>b887e74b-c969-4264-b27d-ebaab7a6a83c</v>
      </c>
    </row>
    <row r="873">
      <c r="A873" s="4" t="str">
        <f>IFERROR(__xludf.DUMMYFUNCTION("""COMPUTED_VALUE"""),"Can you really trust your bank?")</f>
        <v>Can you really trust your bank?</v>
      </c>
      <c r="B873" s="4" t="str">
        <f>IFERROR(__xludf.DUMMYFUNCTION("""COMPUTED_VALUE"""),"You can have the most adapted solutions, groundbreaking AI and fastest UX in the world, but one data breach will send the most established institutions into a tailspin. As tech-savvy millenials become the target demographic, how can banks gain their trust"&amp;"?")</f>
        <v>You can have the most adapted solutions, groundbreaking AI and fastest UX in the world, but one data breach will send the most established institutions into a tailspin. As tech-savvy millenials become the target demographic, how can banks gain their trust?</v>
      </c>
      <c r="C873" s="4" t="str">
        <f>IFERROR(__xludf.DUMMYFUNCTION("""COMPUTED_VALUE"""),"MoneyConf")</f>
        <v>MoneyConf</v>
      </c>
      <c r="D873" s="4" t="str">
        <f>IFERROR(__xludf.DUMMYFUNCTION("""COMPUTED_VALUE"""),"Jacqueline Molnar, Carolina Abenante, Marco Peereboom and Natalia Drozdiak")</f>
        <v>Jacqueline Molnar, Carolina Abenante, Marco Peereboom and Natalia Drozdiak</v>
      </c>
      <c r="E873" s="4" t="str">
        <f>IFERROR(__xludf.DUMMYFUNCTION("""COMPUTED_VALUE"""),"Jacqueline Molnar,Carolina Abenante,Marco Peereboom,Natalia Drozdiak")</f>
        <v>Jacqueline Molnar,Carolina Abenante,Marco Peereboom,Natalia Drozdiak</v>
      </c>
      <c r="F873" s="4" t="str">
        <f>IFERROR(__xludf.DUMMYFUNCTION("""COMPUTED_VALUE"""),"2019/11/07 12:10:00")</f>
        <v>2019/11/07 12:10:00</v>
      </c>
      <c r="G873" s="4" t="str">
        <f>IFERROR(__xludf.DUMMYFUNCTION("""COMPUTED_VALUE"""),"2019/11/07 12:35:00")</f>
        <v>2019/11/07 12:35:00</v>
      </c>
      <c r="H873" s="4" t="str">
        <f>IFERROR(__xludf.DUMMYFUNCTION("""COMPUTED_VALUE"""),"10ff947c-3ad2-43ce-a680-6d56260375b1")</f>
        <v>10ff947c-3ad2-43ce-a680-6d56260375b1</v>
      </c>
      <c r="I873" s="4" t="str">
        <f>IFERROR(__xludf.DUMMYFUNCTION("""COMPUTED_VALUE"""),"10ff947c-3ad2-43ce-a680-6d56260375b1")</f>
        <v>10ff947c-3ad2-43ce-a680-6d56260375b1</v>
      </c>
    </row>
    <row r="874">
      <c r="A874" s="4" t="str">
        <f>IFERROR(__xludf.DUMMYFUNCTION("""COMPUTED_VALUE"""),"Combating the weaponization of data")</f>
        <v>Combating the weaponization of data</v>
      </c>
      <c r="B874" s="4" t="str">
        <f>IFERROR(__xludf.DUMMYFUNCTION("""COMPUTED_VALUE"""),"As the former director of business development at Cambridge Analytica, Brittany Kaiser saw first hand how data could be weaponized to influence and manipulate people.  What can be done to combat this danger to democracy?")</f>
        <v>As the former director of business development at Cambridge Analytica, Brittany Kaiser saw first hand how data could be weaponized to influence and manipulate people.  What can be done to combat this danger to democracy?</v>
      </c>
      <c r="C874" s="4" t="str">
        <f>IFERROR(__xludf.DUMMYFUNCTION("""COMPUTED_VALUE"""),"DeepTech")</f>
        <v>DeepTech</v>
      </c>
      <c r="D874" s="4" t="str">
        <f>IFERROR(__xludf.DUMMYFUNCTION("""COMPUTED_VALUE"""),"Brittany Kaiser and Mark Di Stefano")</f>
        <v>Brittany Kaiser and Mark Di Stefano</v>
      </c>
      <c r="E874" s="4" t="str">
        <f>IFERROR(__xludf.DUMMYFUNCTION("""COMPUTED_VALUE"""),"Brittany Kaiser,Mark Di Stefano")</f>
        <v>Brittany Kaiser,Mark Di Stefano</v>
      </c>
      <c r="F874" s="4" t="str">
        <f>IFERROR(__xludf.DUMMYFUNCTION("""COMPUTED_VALUE"""),"2019/11/06 15:15:00")</f>
        <v>2019/11/06 15:15:00</v>
      </c>
      <c r="G874" s="4" t="str">
        <f>IFERROR(__xludf.DUMMYFUNCTION("""COMPUTED_VALUE"""),"2019/11/06 15:35:00")</f>
        <v>2019/11/06 15:35:00</v>
      </c>
      <c r="H874" s="4" t="str">
        <f>IFERROR(__xludf.DUMMYFUNCTION("""COMPUTED_VALUE"""),"0fb8a55b-7f8f-45a2-91ef-d82a226dcad6")</f>
        <v>0fb8a55b-7f8f-45a2-91ef-d82a226dcad6</v>
      </c>
      <c r="I874" s="4" t="str">
        <f>IFERROR(__xludf.DUMMYFUNCTION("""COMPUTED_VALUE"""),"0fb8a55b-7f8f-45a2-91ef-d82a226dcad6")</f>
        <v>0fb8a55b-7f8f-45a2-91ef-d82a226dcad6</v>
      </c>
    </row>
    <row r="875">
      <c r="A875" s="4" t="str">
        <f>IFERROR(__xludf.DUMMYFUNCTION("""COMPUTED_VALUE"""),"The three rules to break for lasting growth")</f>
        <v>The three rules to break for lasting growth</v>
      </c>
      <c r="B875" s="4" t="str">
        <f>IFERROR(__xludf.DUMMYFUNCTION("""COMPUTED_VALUE"""),"There is no correct blueprint for growing a successful company. Whether it's culture, capital, or competition, high growth companies evolve by breaking out of traditional paths and pitfalls. Ephesoft CEO Ike Kavas outlines the three rules you should alway"&amp;"s break. ")</f>
        <v>There is no correct blueprint for growing a successful company. Whether it's culture, capital, or competition, high growth companies evolve by breaking out of traditional paths and pitfalls. Ephesoft CEO Ike Kavas outlines the three rules you should always break. </v>
      </c>
      <c r="C875" s="4" t="str">
        <f>IFERROR(__xludf.DUMMYFUNCTION("""COMPUTED_VALUE"""),"Growth Summit")</f>
        <v>Growth Summit</v>
      </c>
      <c r="D875" s="4" t="str">
        <f>IFERROR(__xludf.DUMMYFUNCTION("""COMPUTED_VALUE"""),"Ike Kavas")</f>
        <v>Ike Kavas</v>
      </c>
      <c r="E875" s="4" t="str">
        <f>IFERROR(__xludf.DUMMYFUNCTION("""COMPUTED_VALUE"""),"Ike Kavas")</f>
        <v>Ike Kavas</v>
      </c>
      <c r="F875" s="4" t="str">
        <f>IFERROR(__xludf.DUMMYFUNCTION("""COMPUTED_VALUE"""),"2019/11/05 10:06:00")</f>
        <v>2019/11/05 10:06:00</v>
      </c>
      <c r="G875" s="4" t="str">
        <f>IFERROR(__xludf.DUMMYFUNCTION("""COMPUTED_VALUE"""),"2019/11/05 10:10:00")</f>
        <v>2019/11/05 10:10:00</v>
      </c>
      <c r="H875" s="4" t="str">
        <f>IFERROR(__xludf.DUMMYFUNCTION("""COMPUTED_VALUE"""),"b40c8aa7-2c8f-4c7f-9768-b9ac4a9f5008")</f>
        <v>b40c8aa7-2c8f-4c7f-9768-b9ac4a9f5008</v>
      </c>
      <c r="I875" s="4" t="str">
        <f>IFERROR(__xludf.DUMMYFUNCTION("""COMPUTED_VALUE"""),"b40c8aa7-2c8f-4c7f-9768-b9ac4a9f5008")</f>
        <v>b40c8aa7-2c8f-4c7f-9768-b9ac4a9f5008</v>
      </c>
    </row>
    <row r="876">
      <c r="A876" s="4" t="str">
        <f>IFERROR(__xludf.DUMMYFUNCTION("""COMPUTED_VALUE"""),"PITCH group round 18")</f>
        <v>PITCH group round 18</v>
      </c>
      <c r="B876" s="4" t="str">
        <f>IFERROR(__xludf.DUMMYFUNCTION("""COMPUTED_VALUE"""),"")</f>
        <v/>
      </c>
      <c r="C876" s="4" t="str">
        <f>IFERROR(__xludf.DUMMYFUNCTION("""COMPUTED_VALUE"""),"")</f>
        <v/>
      </c>
      <c r="D876" s="4" t="str">
        <f>IFERROR(__xludf.DUMMYFUNCTION("""COMPUTED_VALUE"""),"Jens Lapinski,  Sergio Raposo Frade,  Saba Karim,  Keshin Govender,  Pakiza Abdulrahman,  Christina Lock,  Nick Nedelchuk,  James Rees,  Darina Momot,  Maria Hahn,  William Villalobos and  Andrei Netto
")</f>
        <v>Jens Lapinski,  Sergio Raposo Frade,  Saba Karim,  Keshin Govender,  Pakiza Abdulrahman,  Christina Lock,  Nick Nedelchuk,  James Rees,  Darina Momot,  Maria Hahn,  William Villalobos and  Andrei Netto
</v>
      </c>
      <c r="E876" s="4" t="str">
        <f>IFERROR(__xludf.DUMMYFUNCTION("""COMPUTED_VALUE"""),"Jens Lapinski, Sergio Raposo Frade, Saba Karim, Keshin Govender, Pakiza Abdulrahman, Christina Lock, Nick Nedelchuk, James Rees, Darina Momot, Maria Hahn, William Villalobos, Andrei Netto
")</f>
        <v>Jens Lapinski, Sergio Raposo Frade, Saba Karim, Keshin Govender, Pakiza Abdulrahman, Christina Lock, Nick Nedelchuk, James Rees, Darina Momot, Maria Hahn, William Villalobos, Andrei Netto
</v>
      </c>
      <c r="F876" s="4" t="str">
        <f>IFERROR(__xludf.DUMMYFUNCTION("""COMPUTED_VALUE"""),"")</f>
        <v/>
      </c>
      <c r="G876" s="4" t="str">
        <f>IFERROR(__xludf.DUMMYFUNCTION("""COMPUTED_VALUE"""),"")</f>
        <v/>
      </c>
      <c r="H876" s="4" t="str">
        <f>IFERROR(__xludf.DUMMYFUNCTION("""COMPUTED_VALUE"""),"46ebd9ed-cef9-51c9-8511-12ce5237bbde")</f>
        <v>46ebd9ed-cef9-51c9-8511-12ce5237bbde</v>
      </c>
      <c r="I876" s="4" t="str">
        <f>IFERROR(__xludf.DUMMYFUNCTION("""COMPUTED_VALUE"""),"46ebd9ed-cef9-51c9-8511-12ce5237bbde")</f>
        <v>46ebd9ed-cef9-51c9-8511-12ce5237bbde</v>
      </c>
    </row>
    <row r="877">
      <c r="A877" s="4" t="str">
        <f>IFERROR(__xludf.DUMMYFUNCTION("""COMPUTED_VALUE"""),"How shared &amp; electric mobility transforms the city: a world tour")</f>
        <v>How shared &amp; electric mobility transforms the city: a world tour</v>
      </c>
      <c r="B877" s="4" t="str">
        <f>IFERROR(__xludf.DUMMYFUNCTION("""COMPUTED_VALUE"""),"In this keynote, we'll look at some of the largest shared &amp; electric mobility projects that are shaping the cities throughout the world, from car-sharing schemes to micro-mobility and combined ones, as well as integrated with MaaS.")</f>
        <v>In this keynote, we'll look at some of the largest shared &amp; electric mobility projects that are shaping the cities throughout the world, from car-sharing schemes to micro-mobility and combined ones, as well as integrated with MaaS.</v>
      </c>
      <c r="C877" s="4" t="str">
        <f>IFERROR(__xludf.DUMMYFUNCTION("""COMPUTED_VALUE"""),"Auto/Tech &amp; TalkRobot")</f>
        <v>Auto/Tech &amp; TalkRobot</v>
      </c>
      <c r="D877" s="4" t="str">
        <f>IFERROR(__xludf.DUMMYFUNCTION("""COMPUTED_VALUE"""),"Gregory Ducongé")</f>
        <v>Gregory Ducongé</v>
      </c>
      <c r="E877" s="4" t="str">
        <f>IFERROR(__xludf.DUMMYFUNCTION("""COMPUTED_VALUE"""),"Gregory Ducongé")</f>
        <v>Gregory Ducongé</v>
      </c>
      <c r="F877" s="4" t="str">
        <f>IFERROR(__xludf.DUMMYFUNCTION("""COMPUTED_VALUE"""),"2019/11/05 14:25:00")</f>
        <v>2019/11/05 14:25:00</v>
      </c>
      <c r="G877" s="4" t="str">
        <f>IFERROR(__xludf.DUMMYFUNCTION("""COMPUTED_VALUE"""),"2019/11/05 14:45:00")</f>
        <v>2019/11/05 14:45:00</v>
      </c>
      <c r="H877" s="4" t="str">
        <f>IFERROR(__xludf.DUMMYFUNCTION("""COMPUTED_VALUE"""),"99306970-1d82-4d33-876d-df4916c6025e")</f>
        <v>99306970-1d82-4d33-876d-df4916c6025e</v>
      </c>
      <c r="I877" s="4" t="str">
        <f>IFERROR(__xludf.DUMMYFUNCTION("""COMPUTED_VALUE"""),"99306970-1d82-4d33-876d-df4916c6025e")</f>
        <v>99306970-1d82-4d33-876d-df4916c6025e</v>
      </c>
    </row>
    <row r="878">
      <c r="A878" s="4" t="str">
        <f>IFERROR(__xludf.DUMMYFUNCTION("""COMPUTED_VALUE"""),"The potential of Hardware as a Service in enterprise")</f>
        <v>The potential of Hardware as a Service in enterprise</v>
      </c>
      <c r="B878" s="4" t="str">
        <f>IFERROR(__xludf.DUMMYFUNCTION("""COMPUTED_VALUE"""),"CEO of Alcatraz AI, Vince will discuss piloting, converting and deploying a Hardware as a Service product in enterprise as an early stage startup.")</f>
        <v>CEO of Alcatraz AI, Vince will discuss piloting, converting and deploying a Hardware as a Service product in enterprise as an early stage startup.</v>
      </c>
      <c r="C878" s="4" t="str">
        <f>IFERROR(__xludf.DUMMYFUNCTION("""COMPUTED_VALUE"""),"Growth Summit")</f>
        <v>Growth Summit</v>
      </c>
      <c r="D878" s="4" t="str">
        <f>IFERROR(__xludf.DUMMYFUNCTION("""COMPUTED_VALUE"""),"Vince Gaydarzhiev")</f>
        <v>Vince Gaydarzhiev</v>
      </c>
      <c r="E878" s="4" t="str">
        <f>IFERROR(__xludf.DUMMYFUNCTION("""COMPUTED_VALUE"""),"Vince Gaydarzhiev")</f>
        <v>Vince Gaydarzhiev</v>
      </c>
      <c r="F878" s="4" t="str">
        <f>IFERROR(__xludf.DUMMYFUNCTION("""COMPUTED_VALUE"""),"2019/11/06 13:25:00")</f>
        <v>2019/11/06 13:25:00</v>
      </c>
      <c r="G878" s="4" t="str">
        <f>IFERROR(__xludf.DUMMYFUNCTION("""COMPUTED_VALUE"""),"2019/11/06 13:36:00")</f>
        <v>2019/11/06 13:36:00</v>
      </c>
      <c r="H878" s="4" t="str">
        <f>IFERROR(__xludf.DUMMYFUNCTION("""COMPUTED_VALUE"""),"392711dd-98e0-4410-98ac-d8c44eee0a6f")</f>
        <v>392711dd-98e0-4410-98ac-d8c44eee0a6f</v>
      </c>
      <c r="I878" s="4" t="str">
        <f>IFERROR(__xludf.DUMMYFUNCTION("""COMPUTED_VALUE"""),"392711dd-98e0-4410-98ac-d8c44eee0a6f")</f>
        <v>392711dd-98e0-4410-98ac-d8c44eee0a6f</v>
      </c>
    </row>
    <row r="879">
      <c r="A879" s="4" t="str">
        <f>IFERROR(__xludf.DUMMYFUNCTION("""COMPUTED_VALUE"""),"The rise of the flying car")</f>
        <v>The rise of the flying car</v>
      </c>
      <c r="B879" s="4" t="str">
        <f>IFERROR(__xludf.DUMMYFUNCTION("""COMPUTED_VALUE"""),"It's time to hit the roads... or should we say skies. In this talk, we're going to discuss why the future is looking up.")</f>
        <v>It's time to hit the roads... or should we say skies. In this talk, we're going to discuss why the future is looking up.</v>
      </c>
      <c r="C879" s="4" t="str">
        <f>IFERROR(__xludf.DUMMYFUNCTION("""COMPUTED_VALUE"""),"Auto/Tech &amp; TalkRobot")</f>
        <v>Auto/Tech &amp; TalkRobot</v>
      </c>
      <c r="D879" s="4" t="str">
        <f>IFERROR(__xludf.DUMMYFUNCTION("""COMPUTED_VALUE"""),"Alexander Zosel")</f>
        <v>Alexander Zosel</v>
      </c>
      <c r="E879" s="4" t="str">
        <f>IFERROR(__xludf.DUMMYFUNCTION("""COMPUTED_VALUE"""),"Alexander Zosel")</f>
        <v>Alexander Zosel</v>
      </c>
      <c r="F879" s="4" t="str">
        <f>IFERROR(__xludf.DUMMYFUNCTION("""COMPUTED_VALUE"""),"2019/11/06 11:35:00")</f>
        <v>2019/11/06 11:35:00</v>
      </c>
      <c r="G879" s="4" t="str">
        <f>IFERROR(__xludf.DUMMYFUNCTION("""COMPUTED_VALUE"""),"2019/11/06 11:55:00")</f>
        <v>2019/11/06 11:55:00</v>
      </c>
      <c r="H879" s="4" t="str">
        <f>IFERROR(__xludf.DUMMYFUNCTION("""COMPUTED_VALUE"""),"4a81895b-4cb8-4975-9492-4d63d1963cc5")</f>
        <v>4a81895b-4cb8-4975-9492-4d63d1963cc5</v>
      </c>
      <c r="I879" s="4" t="str">
        <f>IFERROR(__xludf.DUMMYFUNCTION("""COMPUTED_VALUE"""),"4a81895b-4cb8-4975-9492-4d63d1963cc5")</f>
        <v>4a81895b-4cb8-4975-9492-4d63d1963cc5</v>
      </c>
    </row>
    <row r="880">
      <c r="A880" s="4" t="str">
        <f>IFERROR(__xludf.DUMMYFUNCTION("""COMPUTED_VALUE"""),"Where will we be in 2050?")</f>
        <v>Where will we be in 2050?</v>
      </c>
      <c r="B880" s="4" t="str">
        <f>IFERROR(__xludf.DUMMYFUNCTION("""COMPUTED_VALUE"""),"In this future-focused session, experts from different industries try to predict how tech will change the world in the next three decades. Flying cars, holidays on Mars, or catastrophic climate collapse? What will the future hold?
")</f>
        <v>In this future-focused session, experts from different industries try to predict how tech will change the world in the next three decades. Flying cars, holidays on Mars, or catastrophic climate collapse? What will the future hold?
</v>
      </c>
      <c r="C880" s="4" t="str">
        <f>IFERROR(__xludf.DUMMYFUNCTION("""COMPUTED_VALUE"""),"DeepTech")</f>
        <v>DeepTech</v>
      </c>
      <c r="D880" s="4" t="str">
        <f>IFERROR(__xludf.DUMMYFUNCTION("""COMPUTED_VALUE"""),"Alex Wright-Gladstein, Marc Mengler, Mitchell Baker, Peter O'Malley and Robin Pagnamenta")</f>
        <v>Alex Wright-Gladstein, Marc Mengler, Mitchell Baker, Peter O'Malley and Robin Pagnamenta</v>
      </c>
      <c r="E880" s="4" t="str">
        <f>IFERROR(__xludf.DUMMYFUNCTION("""COMPUTED_VALUE"""),"Alex Wright-Gladstein,Marc Mengler,Mitchell Baker,Peter O'Malley,Robin Pagnamenta")</f>
        <v>Alex Wright-Gladstein,Marc Mengler,Mitchell Baker,Peter O'Malley,Robin Pagnamenta</v>
      </c>
      <c r="F880" s="4" t="str">
        <f>IFERROR(__xludf.DUMMYFUNCTION("""COMPUTED_VALUE"""),"2019/11/06 15:55:00")</f>
        <v>2019/11/06 15:55:00</v>
      </c>
      <c r="G880" s="4" t="str">
        <f>IFERROR(__xludf.DUMMYFUNCTION("""COMPUTED_VALUE"""),"2019/11/06 16:20:00")</f>
        <v>2019/11/06 16:20:00</v>
      </c>
      <c r="H880" s="4" t="str">
        <f>IFERROR(__xludf.DUMMYFUNCTION("""COMPUTED_VALUE"""),"892f1ab6-eb0b-4dc6-81b7-c3abc9d9eba2")</f>
        <v>892f1ab6-eb0b-4dc6-81b7-c3abc9d9eba2</v>
      </c>
      <c r="I880" s="4" t="str">
        <f>IFERROR(__xludf.DUMMYFUNCTION("""COMPUTED_VALUE"""),"892f1ab6-eb0b-4dc6-81b7-c3abc9d9eba2")</f>
        <v>892f1ab6-eb0b-4dc6-81b7-c3abc9d9eba2</v>
      </c>
    </row>
    <row r="881">
      <c r="A881" s="4" t="str">
        <f>IFERROR(__xludf.DUMMYFUNCTION("""COMPUTED_VALUE"""),"How to create trust in data to transform a global media company?")</f>
        <v>How to create trust in data to transform a global media company?</v>
      </c>
      <c r="B881" s="4" t="str">
        <f>IFERROR(__xludf.DUMMYFUNCTION("""COMPUTED_VALUE"""),"Sharing insights in real-time is critical for companies wanting to keep up with high volume data creation and constantly optimise. Sorting and specialising the data allows the right person to quickly find answers. Learn how Condé Nast expanded its data sc"&amp;"ience team to specialise in data-driven revenue streams and create new tools to better serve consumers.")</f>
        <v>Sharing insights in real-time is critical for companies wanting to keep up with high volume data creation and constantly optimise. Sorting and specialising the data allows the right person to quickly find answers. Learn how Condé Nast expanded its data science team to specialise in data-driven revenue streams and create new tools to better serve consumers.</v>
      </c>
      <c r="C881" s="8" t="str">
        <f>IFERROR(__xludf.DUMMYFUNCTION("""COMPUTED_VALUE"""),"binate.io")</f>
        <v>binate.io</v>
      </c>
      <c r="D881" s="4" t="str">
        <f>IFERROR(__xludf.DUMMYFUNCTION("""COMPUTED_VALUE"""),"Karthic Bala")</f>
        <v>Karthic Bala</v>
      </c>
      <c r="E881" s="4" t="str">
        <f>IFERROR(__xludf.DUMMYFUNCTION("""COMPUTED_VALUE"""),"Karthic Bala")</f>
        <v>Karthic Bala</v>
      </c>
      <c r="F881" s="4" t="str">
        <f>IFERROR(__xludf.DUMMYFUNCTION("""COMPUTED_VALUE"""),"2019/11/06 14:45:00")</f>
        <v>2019/11/06 14:45:00</v>
      </c>
      <c r="G881" s="4" t="str">
        <f>IFERROR(__xludf.DUMMYFUNCTION("""COMPUTED_VALUE"""),"2019/11/06 15:05:00")</f>
        <v>2019/11/06 15:05:00</v>
      </c>
      <c r="H881" s="4" t="str">
        <f>IFERROR(__xludf.DUMMYFUNCTION("""COMPUTED_VALUE"""),"6782683f-4383-4523-b056-5bc11a84c2b4")</f>
        <v>6782683f-4383-4523-b056-5bc11a84c2b4</v>
      </c>
      <c r="I881" s="4" t="str">
        <f>IFERROR(__xludf.DUMMYFUNCTION("""COMPUTED_VALUE"""),"6782683f-4383-4523-b056-5bc11a84c2b4")</f>
        <v>6782683f-4383-4523-b056-5bc11a84c2b4</v>
      </c>
    </row>
    <row r="882">
      <c r="A882" s="4" t="str">
        <f>IFERROR(__xludf.DUMMYFUNCTION("""COMPUTED_VALUE"""),"PITCH group round 7")</f>
        <v>PITCH group round 7</v>
      </c>
      <c r="B882" s="4" t="str">
        <f>IFERROR(__xludf.DUMMYFUNCTION("""COMPUTED_VALUE"""),"")</f>
        <v/>
      </c>
      <c r="C882" s="4" t="str">
        <f>IFERROR(__xludf.DUMMYFUNCTION("""COMPUTED_VALUE"""),"")</f>
        <v/>
      </c>
      <c r="D882" s="4" t="str">
        <f>IFERROR(__xludf.DUMMYFUNCTION("""COMPUTED_VALUE"""),"Oded Ben Dror
Fred Lardieg
David Meltzer
Ricardo Marvao
Christoph Goeken
sergey khodakov
Jakob Knutzen
Olivier Le Lann
Michiel Lensink
Joep Wittebrood")</f>
        <v>Oded Ben Dror
Fred Lardieg
David Meltzer
Ricardo Marvao
Christoph Goeken
sergey khodakov
Jakob Knutzen
Olivier Le Lann
Michiel Lensink
Joep Wittebrood</v>
      </c>
      <c r="E882" s="4" t="str">
        <f>IFERROR(__xludf.DUMMYFUNCTION("""COMPUTED_VALUE"""),"Oded Ben Dror
Fred Lardieg
David Meltzer
Ricardo Marvao
Christoph Goeken
sergey khodakov
Jakob Knutzen
Olivier Le Lann
Michiel Lensink
Joep Wittebrood")</f>
        <v>Oded Ben Dror
Fred Lardieg
David Meltzer
Ricardo Marvao
Christoph Goeken
sergey khodakov
Jakob Knutzen
Olivier Le Lann
Michiel Lensink
Joep Wittebrood</v>
      </c>
      <c r="F882" s="4" t="str">
        <f>IFERROR(__xludf.DUMMYFUNCTION("""COMPUTED_VALUE"""),"")</f>
        <v/>
      </c>
      <c r="G882" s="4" t="str">
        <f>IFERROR(__xludf.DUMMYFUNCTION("""COMPUTED_VALUE"""),"")</f>
        <v/>
      </c>
      <c r="H882" s="4" t="str">
        <f>IFERROR(__xludf.DUMMYFUNCTION("""COMPUTED_VALUE"""),"7e13ea99-8ad0-50fc-aaa0-3fb56382d2ea")</f>
        <v>7e13ea99-8ad0-50fc-aaa0-3fb56382d2ea</v>
      </c>
      <c r="I882" s="4" t="str">
        <f>IFERROR(__xludf.DUMMYFUNCTION("""COMPUTED_VALUE"""),"7e13ea99-8ad0-50fc-aaa0-3fb56382d2ea")</f>
        <v>7e13ea99-8ad0-50fc-aaa0-3fb56382d2ea</v>
      </c>
    </row>
    <row r="883">
      <c r="A883" s="4" t="str">
        <f>IFERROR(__xludf.DUMMYFUNCTION("""COMPUTED_VALUE"""),"Boost growth and innovate your business model")</f>
        <v>Boost growth and innovate your business model</v>
      </c>
      <c r="B883" s="4" t="str">
        <f>IFERROR(__xludf.DUMMYFUNCTION("""COMPUTED_VALUE"""),"Cloudalize revenues are to grow 10x this year thanks to an unexpected complementary business model innovation in the way we sell our GPU power delivery services from the cloud. Discover the story behind it as well as insightful tips and tricks learned thr"&amp;"oughout their journey.")</f>
        <v>Cloudalize revenues are to grow 10x this year thanks to an unexpected complementary business model innovation in the way we sell our GPU power delivery services from the cloud. Discover the story behind it as well as insightful tips and tricks learned throughout their journey.</v>
      </c>
      <c r="C883" s="4" t="str">
        <f>IFERROR(__xludf.DUMMYFUNCTION("""COMPUTED_VALUE"""),"Growth Summit")</f>
        <v>Growth Summit</v>
      </c>
      <c r="D883" s="4" t="str">
        <f>IFERROR(__xludf.DUMMYFUNCTION("""COMPUTED_VALUE"""),"Benny Willen")</f>
        <v>Benny Willen</v>
      </c>
      <c r="E883" s="4" t="str">
        <f>IFERROR(__xludf.DUMMYFUNCTION("""COMPUTED_VALUE"""),"Benny Willen")</f>
        <v>Benny Willen</v>
      </c>
      <c r="F883" s="4" t="str">
        <f>IFERROR(__xludf.DUMMYFUNCTION("""COMPUTED_VALUE"""),"2019/11/07 10:22:00")</f>
        <v>2019/11/07 10:22:00</v>
      </c>
      <c r="G883" s="4" t="str">
        <f>IFERROR(__xludf.DUMMYFUNCTION("""COMPUTED_VALUE"""),"2019/11/07 10:26:00")</f>
        <v>2019/11/07 10:26:00</v>
      </c>
      <c r="H883" s="4" t="str">
        <f>IFERROR(__xludf.DUMMYFUNCTION("""COMPUTED_VALUE"""),"50311110-4e76-4b9a-a17a-6b0f6f4e9b40")</f>
        <v>50311110-4e76-4b9a-a17a-6b0f6f4e9b40</v>
      </c>
      <c r="I883" s="4" t="str">
        <f>IFERROR(__xludf.DUMMYFUNCTION("""COMPUTED_VALUE"""),"50311110-4e76-4b9a-a17a-6b0f6f4e9b40")</f>
        <v>50311110-4e76-4b9a-a17a-6b0f6f4e9b40</v>
      </c>
    </row>
    <row r="884">
      <c r="A884" s="4" t="str">
        <f>IFERROR(__xludf.DUMMYFUNCTION("""COMPUTED_VALUE"""),"Getting started with serverless chatbots")</f>
        <v>Getting started with serverless chatbots</v>
      </c>
      <c r="B884" s="4" t="str">
        <f>IFERROR(__xludf.DUMMYFUNCTION("""COMPUTED_VALUE""")," Interested in learning how to build a serverless chatbot? In this session, we will go over the basic concepts of serverless coding and Amazon Lex. Amazon Lex is a service for building chatbots that can be integrated into your existing messaging tools suc"&amp;"h as Slack, Facebook Messenger, and personalised web apps. It provides deep learning functionalities to understand natural language, so it can recognise what your customers are trying to say. The best part? You can get started building chatbots without an"&amp;"y code!")</f>
        <v> Interested in learning how to build a serverless chatbot? In this session, we will go over the basic concepts of serverless coding and Amazon Lex. Amazon Lex is a service for building chatbots that can be integrated into your existing messaging tools such as Slack, Facebook Messenger, and personalised web apps. It provides deep learning functionalities to understand natural language, so it can recognise what your customers are trying to say. The best part? You can get started building chatbots without any code!</v>
      </c>
      <c r="C884" s="4" t="str">
        <f>IFERROR(__xludf.DUMMYFUNCTION("""COMPUTED_VALUE"""),"AWS Developer Workshops")</f>
        <v>AWS Developer Workshops</v>
      </c>
      <c r="D884" s="4" t="str">
        <f>IFERROR(__xludf.DUMMYFUNCTION("""COMPUTED_VALUE"""),"")</f>
        <v/>
      </c>
      <c r="E884" s="4" t="str">
        <f>IFERROR(__xludf.DUMMYFUNCTION("""COMPUTED_VALUE"""),"")</f>
        <v/>
      </c>
      <c r="F884" s="4" t="str">
        <f>IFERROR(__xludf.DUMMYFUNCTION("""COMPUTED_VALUE"""),"2019/11/05 16:00:00")</f>
        <v>2019/11/05 16:00:00</v>
      </c>
      <c r="G884" s="4" t="str">
        <f>IFERROR(__xludf.DUMMYFUNCTION("""COMPUTED_VALUE"""),"2019/11/05 16:50:00")</f>
        <v>2019/11/05 16:50:00</v>
      </c>
      <c r="H884" s="4" t="str">
        <f>IFERROR(__xludf.DUMMYFUNCTION("""COMPUTED_VALUE"""),"d9a399d9-2297-4dbc-bffe-6dd7d8ab46e0")</f>
        <v>d9a399d9-2297-4dbc-bffe-6dd7d8ab46e0</v>
      </c>
      <c r="I884" s="4" t="str">
        <f>IFERROR(__xludf.DUMMYFUNCTION("""COMPUTED_VALUE"""),"d9a399d9-2297-4dbc-bffe-6dd7d8ab46e0")</f>
        <v>d9a399d9-2297-4dbc-bffe-6dd7d8ab46e0</v>
      </c>
    </row>
    <row r="885">
      <c r="A885" s="4" t="str">
        <f>IFERROR(__xludf.DUMMYFUNCTION("""COMPUTED_VALUE"""),"Join Samsung NEXT to learn how to build, grow, and scale your business")</f>
        <v>Join Samsung NEXT to learn how to build, grow, and scale your business</v>
      </c>
      <c r="B885" s="4" t="str">
        <f>IFERROR(__xludf.DUMMYFUNCTION("""COMPUTED_VALUE"""),"Samsung NEXT is introducing its first series of ClassroomX startup educational sessions at Web Summit 2019 in Lisbon from November 4 - 7. Join us in the Samsung NEXT booth, just steps away from Centre Stage in FIL 1, booth E130, for hands-on instruction a"&amp;"nd training from startup product, marketing, recruiting, and sales experts. https://www.classroomx.com/websummit")</f>
        <v>Samsung NEXT is introducing its first series of ClassroomX startup educational sessions at Web Summit 2019 in Lisbon from November 4 - 7. Join us in the Samsung NEXT booth, just steps away from Centre Stage in FIL 1, booth E130, for hands-on instruction and training from startup product, marketing, recruiting, and sales experts. https://www.classroomx.com/websummit</v>
      </c>
      <c r="C885" s="4" t="str">
        <f>IFERROR(__xludf.DUMMYFUNCTION("""COMPUTED_VALUE"""),"Samsung NEXT, E130, FIL 1")</f>
        <v>Samsung NEXT, E130, FIL 1</v>
      </c>
      <c r="D885" s="4" t="str">
        <f>IFERROR(__xludf.DUMMYFUNCTION("""COMPUTED_VALUE"""),"")</f>
        <v/>
      </c>
      <c r="E885" s="4" t="str">
        <f>IFERROR(__xludf.DUMMYFUNCTION("""COMPUTED_VALUE"""),"")</f>
        <v/>
      </c>
      <c r="F885" s="4" t="str">
        <f>IFERROR(__xludf.DUMMYFUNCTION("""COMPUTED_VALUE"""),"2019/11/05 10:15:00")</f>
        <v>2019/11/05 10:15:00</v>
      </c>
      <c r="G885" s="4" t="str">
        <f>IFERROR(__xludf.DUMMYFUNCTION("""COMPUTED_VALUE"""),"2019/11/05 16:15:00")</f>
        <v>2019/11/05 16:15:00</v>
      </c>
      <c r="H885" s="4" t="str">
        <f>IFERROR(__xludf.DUMMYFUNCTION("""COMPUTED_VALUE"""),"e93ac0da-af1a-4174-9cb0-ea641e959460")</f>
        <v>e93ac0da-af1a-4174-9cb0-ea641e959460</v>
      </c>
      <c r="I885" s="4" t="str">
        <f>IFERROR(__xludf.DUMMYFUNCTION("""COMPUTED_VALUE"""),"e93ac0da-af1a-4174-9cb0-ea641e959460")</f>
        <v>e93ac0da-af1a-4174-9cb0-ea641e959460</v>
      </c>
    </row>
    <row r="886">
      <c r="A886" s="4" t="str">
        <f>IFERROR(__xludf.DUMMYFUNCTION("""COMPUTED_VALUE"""),"Machine Demo Round 4")</f>
        <v>Machine Demo Round 4</v>
      </c>
      <c r="B886" s="4" t="str">
        <f>IFERROR(__xludf.DUMMYFUNCTION("""COMPUTED_VALUE"""),"")</f>
        <v/>
      </c>
      <c r="C886" s="4" t="str">
        <f>IFERROR(__xludf.DUMMYFUNCTION("""COMPUTED_VALUE"""),"")</f>
        <v/>
      </c>
      <c r="D886" s="4" t="str">
        <f>IFERROR(__xludf.DUMMYFUNCTION("""COMPUTED_VALUE"""),"Jules Walker,  CRISTINA GONZALEZ,  Naor Amir,  Christoph Hantschk,  Alex Janusek and  Ken Miyake
")</f>
        <v>Jules Walker,  CRISTINA GONZALEZ,  Naor Amir,  Christoph Hantschk,  Alex Janusek and  Ken Miyake
</v>
      </c>
      <c r="E886" s="4" t="str">
        <f>IFERROR(__xludf.DUMMYFUNCTION("""COMPUTED_VALUE"""),"Jules Walker, CRISTINA GONZALEZ, Naor Amir, Christoph Hantschk, Alex Janusek, Ken Miyake
")</f>
        <v>Jules Walker, CRISTINA GONZALEZ, Naor Amir, Christoph Hantschk, Alex Janusek, Ken Miyake
</v>
      </c>
      <c r="F886" s="4" t="str">
        <f>IFERROR(__xludf.DUMMYFUNCTION("""COMPUTED_VALUE"""),"")</f>
        <v/>
      </c>
      <c r="G886" s="4" t="str">
        <f>IFERROR(__xludf.DUMMYFUNCTION("""COMPUTED_VALUE"""),"")</f>
        <v/>
      </c>
      <c r="H886" s="4" t="str">
        <f>IFERROR(__xludf.DUMMYFUNCTION("""COMPUTED_VALUE"""),"35d76d11-cd22-53da-858b-b674c23cce6c")</f>
        <v>35d76d11-cd22-53da-858b-b674c23cce6c</v>
      </c>
      <c r="I886" s="4" t="str">
        <f>IFERROR(__xludf.DUMMYFUNCTION("""COMPUTED_VALUE"""),"35d76d11-cd22-53da-858b-b674c23cce6c")</f>
        <v>35d76d11-cd22-53da-858b-b674c23cce6c</v>
      </c>
    </row>
    <row r="887">
      <c r="A887" s="4" t="str">
        <f>IFERROR(__xludf.DUMMYFUNCTION("""COMPUTED_VALUE"""),"All meat, no meat, are we really what we eat?")</f>
        <v>All meat, no meat, are we really what we eat?</v>
      </c>
      <c r="B887" s="4" t="str">
        <f>IFERROR(__xludf.DUMMYFUNCTION("""COMPUTED_VALUE"""),"Some say all meat, some say no meat. Our experts share the data, the research, the patient perspective and potentially, the cure. Come and hear the latest debates surrounding diet, health and tech.")</f>
        <v>Some say all meat, some say no meat. Our experts share the data, the research, the patient perspective and potentially, the cure. Come and hear the latest debates surrounding diet, health and tech.</v>
      </c>
      <c r="C887" s="4" t="str">
        <f>IFERROR(__xludf.DUMMYFUNCTION("""COMPUTED_VALUE"""),"HealthConf")</f>
        <v>HealthConf</v>
      </c>
      <c r="D887" s="4" t="str">
        <f>IFERROR(__xludf.DUMMYFUNCTION("""COMPUTED_VALUE"""),"Steven Gundry, Mikhaila Peterson, Saeju Jeong and Alyssa Newcomb")</f>
        <v>Steven Gundry, Mikhaila Peterson, Saeju Jeong and Alyssa Newcomb</v>
      </c>
      <c r="E887" s="4" t="str">
        <f>IFERROR(__xludf.DUMMYFUNCTION("""COMPUTED_VALUE"""),"Steven Gundry,Mikhaila Peterson,Saeju Jeong,Alyssa Newcomb")</f>
        <v>Steven Gundry,Mikhaila Peterson,Saeju Jeong,Alyssa Newcomb</v>
      </c>
      <c r="F887" s="4" t="str">
        <f>IFERROR(__xludf.DUMMYFUNCTION("""COMPUTED_VALUE"""),"2019/11/07 11:45:00")</f>
        <v>2019/11/07 11:45:00</v>
      </c>
      <c r="G887" s="4" t="str">
        <f>IFERROR(__xludf.DUMMYFUNCTION("""COMPUTED_VALUE"""),"2019/11/07 12:10:00")</f>
        <v>2019/11/07 12:10:00</v>
      </c>
      <c r="H887" s="4" t="str">
        <f>IFERROR(__xludf.DUMMYFUNCTION("""COMPUTED_VALUE"""),"86d3528d-d6a0-44eb-99f7-a15c8b847302")</f>
        <v>86d3528d-d6a0-44eb-99f7-a15c8b847302</v>
      </c>
      <c r="I887" s="4" t="str">
        <f>IFERROR(__xludf.DUMMYFUNCTION("""COMPUTED_VALUE"""),"86d3528d-d6a0-44eb-99f7-a15c8b847302")</f>
        <v>86d3528d-d6a0-44eb-99f7-a15c8b847302</v>
      </c>
    </row>
    <row r="888">
      <c r="A888" s="4" t="str">
        <f>IFERROR(__xludf.DUMMYFUNCTION("""COMPUTED_VALUE"""),"How to build a safer world: Machine reasoning for the cyber-physical age")</f>
        <v>How to build a safer world: Machine reasoning for the cyber-physical age</v>
      </c>
      <c r="B888" s="4" t="str">
        <f>IFERROR(__xludf.DUMMYFUNCTION("""COMPUTED_VALUE"""),"Based on his journey as a quantum physicist with Lockheed Martin's famed Skunk Works division, Jordan will take the stage to explain why the status quo of systems development is no longer an option for today's complex cyber-physical systems such as autono"&amp;"mous vehicles, next-gen fighters, energy production, and medical devices.")</f>
        <v>Based on his journey as a quantum physicist with Lockheed Martin's famed Skunk Works division, Jordan will take the stage to explain why the status quo of systems development is no longer an option for today's complex cyber-physical systems such as autonomous vehicles, next-gen fighters, energy production, and medical devices.</v>
      </c>
      <c r="C888" s="4" t="str">
        <f>IFERROR(__xludf.DUMMYFUNCTION("""COMPUTED_VALUE"""),"Growth Summit")</f>
        <v>Growth Summit</v>
      </c>
      <c r="D888" s="4" t="str">
        <f>IFERROR(__xludf.DUMMYFUNCTION("""COMPUTED_VALUE"""),"Jordan Kyriakidis")</f>
        <v>Jordan Kyriakidis</v>
      </c>
      <c r="E888" s="4" t="str">
        <f>IFERROR(__xludf.DUMMYFUNCTION("""COMPUTED_VALUE"""),"Jordan Kyriakidis")</f>
        <v>Jordan Kyriakidis</v>
      </c>
      <c r="F888" s="4" t="str">
        <f>IFERROR(__xludf.DUMMYFUNCTION("""COMPUTED_VALUE"""),"2019/11/05 11:30:00")</f>
        <v>2019/11/05 11:30:00</v>
      </c>
      <c r="G888" s="4" t="str">
        <f>IFERROR(__xludf.DUMMYFUNCTION("""COMPUTED_VALUE"""),"2019/11/05 11:34:00")</f>
        <v>2019/11/05 11:34:00</v>
      </c>
      <c r="H888" s="4" t="str">
        <f>IFERROR(__xludf.DUMMYFUNCTION("""COMPUTED_VALUE"""),"18039c07-0239-4bac-9b43-b7bcb01cde30")</f>
        <v>18039c07-0239-4bac-9b43-b7bcb01cde30</v>
      </c>
      <c r="I888" s="4" t="str">
        <f>IFERROR(__xludf.DUMMYFUNCTION("""COMPUTED_VALUE"""),"18039c07-0239-4bac-9b43-b7bcb01cde30")</f>
        <v>18039c07-0239-4bac-9b43-b7bcb01cde30</v>
      </c>
    </row>
    <row r="889">
      <c r="A889" s="4" t="str">
        <f>IFERROR(__xludf.DUMMYFUNCTION("""COMPUTED_VALUE"""),"Knowing your worth - Press conference with Paige VanZant, Fighter, UFC")</f>
        <v>Knowing your worth - Press conference with Paige VanZant, Fighter, UFC</v>
      </c>
      <c r="B889" s="4" t="str">
        <f>IFERROR(__xludf.DUMMYFUNCTION("""COMPUTED_VALUE"""),"")</f>
        <v/>
      </c>
      <c r="C889" s="4" t="str">
        <f>IFERROR(__xludf.DUMMYFUNCTION("""COMPUTED_VALUE"""),"")</f>
        <v/>
      </c>
      <c r="D889" s="4" t="str">
        <f>IFERROR(__xludf.DUMMYFUNCTION("""COMPUTED_VALUE"""),"Paige VanZant")</f>
        <v>Paige VanZant</v>
      </c>
      <c r="E889" s="4" t="str">
        <f>IFERROR(__xludf.DUMMYFUNCTION("""COMPUTED_VALUE"""),"Paige VanZant")</f>
        <v>Paige VanZant</v>
      </c>
      <c r="F889" s="4" t="str">
        <f>IFERROR(__xludf.DUMMYFUNCTION("""COMPUTED_VALUE"""),"")</f>
        <v/>
      </c>
      <c r="G889" s="4" t="str">
        <f>IFERROR(__xludf.DUMMYFUNCTION("""COMPUTED_VALUE"""),"")</f>
        <v/>
      </c>
      <c r="H889" s="4" t="str">
        <f>IFERROR(__xludf.DUMMYFUNCTION("""COMPUTED_VALUE"""),"a2f1d3ad-c621-5a04-baaa-0b909184bdbc")</f>
        <v>a2f1d3ad-c621-5a04-baaa-0b909184bdbc</v>
      </c>
      <c r="I889" s="4" t="str">
        <f>IFERROR(__xludf.DUMMYFUNCTION("""COMPUTED_VALUE"""),"a2f1d3ad-c621-5a04-baaa-0b909184bdbc")</f>
        <v>a2f1d3ad-c621-5a04-baaa-0b909184bdbc</v>
      </c>
    </row>
    <row r="890">
      <c r="A890" s="4" t="str">
        <f>IFERROR(__xludf.DUMMYFUNCTION("""COMPUTED_VALUE"""),"User friendly opportunities in enterprise technology")</f>
        <v>User friendly opportunities in enterprise technology</v>
      </c>
      <c r="B890" s="4" t="str">
        <f>IFERROR(__xludf.DUMMYFUNCTION("""COMPUTED_VALUE"""),"Can consumer tech solve enterprise challenges, boosting productivity while also being user-friendly? How do enterprises support the growing number of applications? Join this session to find out.")</f>
        <v>Can consumer tech solve enterprise challenges, boosting productivity while also being user-friendly? How do enterprises support the growing number of applications? Join this session to find out.</v>
      </c>
      <c r="C890" s="4" t="str">
        <f>IFERROR(__xludf.DUMMYFUNCTION("""COMPUTED_VALUE"""),"Venture stage")</f>
        <v>Venture stage</v>
      </c>
      <c r="D890" s="4" t="str">
        <f>IFERROR(__xludf.DUMMYFUNCTION("""COMPUTED_VALUE"""),"Alex Kayyal, Reza Malekzadeh, Jai Das and Alara Basul")</f>
        <v>Alex Kayyal, Reza Malekzadeh, Jai Das and Alara Basul</v>
      </c>
      <c r="E890" s="4" t="str">
        <f>IFERROR(__xludf.DUMMYFUNCTION("""COMPUTED_VALUE"""),"Alex Kayyal,Reza Malekzadeh,Jai Das,Alara Basul")</f>
        <v>Alex Kayyal,Reza Malekzadeh,Jai Das,Alara Basul</v>
      </c>
      <c r="F890" s="4" t="str">
        <f>IFERROR(__xludf.DUMMYFUNCTION("""COMPUTED_VALUE"""),"2019/11/06 11:05:00")</f>
        <v>2019/11/06 11:05:00</v>
      </c>
      <c r="G890" s="4" t="str">
        <f>IFERROR(__xludf.DUMMYFUNCTION("""COMPUTED_VALUE"""),"2019/11/06 11:25:00")</f>
        <v>2019/11/06 11:25:00</v>
      </c>
      <c r="H890" s="4" t="str">
        <f>IFERROR(__xludf.DUMMYFUNCTION("""COMPUTED_VALUE"""),"9f9840c1-3115-4c10-9cb0-f2e7ee15f39b")</f>
        <v>9f9840c1-3115-4c10-9cb0-f2e7ee15f39b</v>
      </c>
      <c r="I890" s="4" t="str">
        <f>IFERROR(__xludf.DUMMYFUNCTION("""COMPUTED_VALUE"""),"9f9840c1-3115-4c10-9cb0-f2e7ee15f39b")</f>
        <v>9f9840c1-3115-4c10-9cb0-f2e7ee15f39b</v>
      </c>
    </row>
    <row r="891">
      <c r="A891" s="4" t="str">
        <f>IFERROR(__xludf.DUMMYFUNCTION("""COMPUTED_VALUE"""),"Startup Showcase")</f>
        <v>Startup Showcase</v>
      </c>
      <c r="B891" s="4" t="str">
        <f>IFERROR(__xludf.DUMMYFUNCTION("""COMPUTED_VALUE"""),"On this brand new stage, expect quickfire presentations where startups will showcase their solutions to the future's biggest challenges. This hour focuses on the future of money, covering topics like fintech, cryptocurrencies, virtual wallets, investment "&amp;"platforms, and AI-powered financial models.
")</f>
        <v>On this brand new stage, expect quickfire presentations where startups will showcase their solutions to the future's biggest challenges. This hour focuses on the future of money, covering topics like fintech, cryptocurrencies, virtual wallets, investment platforms, and AI-powered financial models.
</v>
      </c>
      <c r="C891" s="4" t="str">
        <f>IFERROR(__xludf.DUMMYFUNCTION("""COMPUTED_VALUE"""),"Startup Showcase 2")</f>
        <v>Startup Showcase 2</v>
      </c>
      <c r="D891" s="4" t="str">
        <f>IFERROR(__xludf.DUMMYFUNCTION("""COMPUTED_VALUE"""),"Ricardo Marvao, Tomas Liesis, Renzo Colnago, Bruno Matias, Rafael Dietze, Kylie Naughton, Nuno Belo, Ilya Kostromkin, Margaret Latuszek, Maksim Nekrylov, Pawel Sieniawski, Viktorija Vanagė, Bernd Oostrum, Krzysztof Przekwas, Luke Solarski, Emma Smith, Sto"&amp;"ne Atwine, Juliano Prado, Kastytis Zuromskas, Fabian Gaban, Erich Schnoeckel, Gleb Shabanov, Stanislaw Ploski, Artur Avanesyan, Catrina Sheridan, Algirdas Zakarauskas, Tim Roho, Skirmantas Jareckas, Miguel Frasco, Michal Wojciechowski, Shreya Kothari Sawa"&amp;"la, Abdullah Almoaiqel, Alex Fenechiu, Diogo Belo, Klaudia Flakiewicz, Oleg Levitsky, Johannes Brouwer, Tomasz Rutkowski, Darren McLoughlin, Krzysztof Piotrowicz, Alexey Tolstik, Marta Netza, Fernando Matias, Yehia Badawy, Pawel Brataniec, Melinda Havas, "&amp;"Tatiana Deshkina, Melinda Havas, Inga Mullins and Jonas Kimontas")</f>
        <v>Ricardo Marvao, Tomas Liesis, Renzo Colnago, Bruno Matias, Rafael Dietze, Kylie Naughton, Nuno Belo, Ilya Kostromkin, Margaret Latuszek, Maksim Nekrylov, Pawel Sieniawski, Viktorija Vanagė, Bernd Oostrum, Krzysztof Przekwas, Luke Solarski, Emma Smith, Stone Atwine, Juliano Prado, Kastytis Zuromskas, Fabian Gaban, Erich Schnoeckel, Gleb Shabanov, Stanislaw Ploski, Artur Avanesyan, Catrina Sheridan, Algirdas Zakarauskas, Tim Roho, Skirmantas Jareckas, Miguel Frasco, Michal Wojciechowski, Shreya Kothari Sawala, Abdullah Almoaiqel, Alex Fenechiu, Diogo Belo, Klaudia Flakiewicz, Oleg Levitsky, Johannes Brouwer, Tomasz Rutkowski, Darren McLoughlin, Krzysztof Piotrowicz, Alexey Tolstik, Marta Netza, Fernando Matias, Yehia Badawy, Pawel Brataniec, Melinda Havas, Tatiana Deshkina, Melinda Havas, Inga Mullins and Jonas Kimontas</v>
      </c>
      <c r="E891" s="4" t="str">
        <f>IFERROR(__xludf.DUMMYFUNCTION("""COMPUTED_VALUE"""),"Ricardo Marvao,Tomas Liesis,Renzo Colnago,Bruno Matias,Rafael Dietze,Kylie Naughton,Nuno Belo,Ilya Kostromkin,Margaret Latuszek,Maksim Nekrylov,Pawel Sieniawski,Viktorija Vanagė,Bernd Oostrum,Krzysztof Przekwas,Luke Solarski,Emma Smith,Stone Atwine,Julian"&amp;"o Prado,Kastytis Zuromskas,Fabian Gaban,Erich Schnoeckel,Gleb Shabanov,Stanislaw Ploski,Artur Avanesyan,Catrina Sheridan,Algirdas Zakarauskas,Tim Roho,Skirmantas Jareckas,Miguel Frasco,Michal Wojciechowski,Shreya Kothari Sawala,Abdullah Almoaiqel,Alex Fen"&amp;"echiu,Diogo Belo,Klaudia Flakiewicz,Oleg Levitsky,Johannes Brouwer,Tomasz Rutkowski,Darren McLoughlin,Krzysztof Piotrowicz,Alexey Tolstik,Marta Netza,Fernando Matias,Yehia Badawy,Pawel Brataniec,Melinda Havas,Tatiana Deshkina,Melinda Havas,Inga Mullins,Jo"&amp;"nas Kimontas")</f>
        <v>Ricardo Marvao,Tomas Liesis,Renzo Colnago,Bruno Matias,Rafael Dietze,Kylie Naughton,Nuno Belo,Ilya Kostromkin,Margaret Latuszek,Maksim Nekrylov,Pawel Sieniawski,Viktorija Vanagė,Bernd Oostrum,Krzysztof Przekwas,Luke Solarski,Emma Smith,Stone Atwine,Juliano Prado,Kastytis Zuromskas,Fabian Gaban,Erich Schnoeckel,Gleb Shabanov,Stanislaw Ploski,Artur Avanesyan,Catrina Sheridan,Algirdas Zakarauskas,Tim Roho,Skirmantas Jareckas,Miguel Frasco,Michal Wojciechowski,Shreya Kothari Sawala,Abdullah Almoaiqel,Alex Fenechiu,Diogo Belo,Klaudia Flakiewicz,Oleg Levitsky,Johannes Brouwer,Tomasz Rutkowski,Darren McLoughlin,Krzysztof Piotrowicz,Alexey Tolstik,Marta Netza,Fernando Matias,Yehia Badawy,Pawel Brataniec,Melinda Havas,Tatiana Deshkina,Melinda Havas,Inga Mullins,Jonas Kimontas</v>
      </c>
      <c r="F891" s="4" t="str">
        <f>IFERROR(__xludf.DUMMYFUNCTION("""COMPUTED_VALUE"""),"2019/11/06 12:15:00")</f>
        <v>2019/11/06 12:15:00</v>
      </c>
      <c r="G891" s="4" t="str">
        <f>IFERROR(__xludf.DUMMYFUNCTION("""COMPUTED_VALUE"""),"2019/11/06 13:15:00")</f>
        <v>2019/11/06 13:15:00</v>
      </c>
      <c r="H891" s="4" t="str">
        <f>IFERROR(__xludf.DUMMYFUNCTION("""COMPUTED_VALUE"""),"280fad1d-4268-4f8b-b419-2fa2f1ae401c")</f>
        <v>280fad1d-4268-4f8b-b419-2fa2f1ae401c</v>
      </c>
      <c r="I891" s="4" t="str">
        <f>IFERROR(__xludf.DUMMYFUNCTION("""COMPUTED_VALUE"""),"280fad1d-4268-4f8b-b419-2fa2f1ae401c")</f>
        <v>280fad1d-4268-4f8b-b419-2fa2f1ae401c</v>
      </c>
    </row>
    <row r="892">
      <c r="A892" s="4" t="str">
        <f>IFERROR(__xludf.DUMMYFUNCTION("""COMPUTED_VALUE"""),"How we're going to travel in 2025?")</f>
        <v>How we're going to travel in 2025?</v>
      </c>
      <c r="B892" s="4" t="str">
        <f>IFERROR(__xludf.DUMMYFUNCTION("""COMPUTED_VALUE"""),"In this panel we're going to be looking at what matters to millennials when they travel; from trends, sustainability to finance, all the way to luxury travel.")</f>
        <v>In this panel we're going to be looking at what matters to millennials when they travel; from trends, sustainability to finance, all the way to luxury travel.</v>
      </c>
      <c r="C892" s="4" t="str">
        <f>IFERROR(__xludf.DUMMYFUNCTION("""COMPUTED_VALUE"""),"Auto/Tech &amp; TalkRobot")</f>
        <v>Auto/Tech &amp; TalkRobot</v>
      </c>
      <c r="D892" s="4" t="str">
        <f>IFERROR(__xludf.DUMMYFUNCTION("""COMPUTED_VALUE"""),"Jan Rezab, Meagen Eisenberg, Philipp Mintchin and Emil Protalinski")</f>
        <v>Jan Rezab, Meagen Eisenberg, Philipp Mintchin and Emil Protalinski</v>
      </c>
      <c r="E892" s="4" t="str">
        <f>IFERROR(__xludf.DUMMYFUNCTION("""COMPUTED_VALUE"""),"Jan Rezab,Meagen Eisenberg,Philipp Mintchin,Emil Protalinski")</f>
        <v>Jan Rezab,Meagen Eisenberg,Philipp Mintchin,Emil Protalinski</v>
      </c>
      <c r="F892" s="4" t="str">
        <f>IFERROR(__xludf.DUMMYFUNCTION("""COMPUTED_VALUE"""),"2019/11/05 11:40:00")</f>
        <v>2019/11/05 11:40:00</v>
      </c>
      <c r="G892" s="4" t="str">
        <f>IFERROR(__xludf.DUMMYFUNCTION("""COMPUTED_VALUE"""),"2019/11/05 12:00:00")</f>
        <v>2019/11/05 12:00:00</v>
      </c>
      <c r="H892" s="4" t="str">
        <f>IFERROR(__xludf.DUMMYFUNCTION("""COMPUTED_VALUE"""),"33bad70e-de0a-49a2-8e31-0d94525bb5b5")</f>
        <v>33bad70e-de0a-49a2-8e31-0d94525bb5b5</v>
      </c>
      <c r="I892" s="4" t="str">
        <f>IFERROR(__xludf.DUMMYFUNCTION("""COMPUTED_VALUE"""),"33bad70e-de0a-49a2-8e31-0d94525bb5b5")</f>
        <v>33bad70e-de0a-49a2-8e31-0d94525bb5b5</v>
      </c>
    </row>
    <row r="893">
      <c r="A893" s="4" t="str">
        <f>IFERROR(__xludf.DUMMYFUNCTION("""COMPUTED_VALUE"""),"Night Summit: Time to do business")</f>
        <v>Night Summit: Time to do business</v>
      </c>
      <c r="B893" s="4" t="str">
        <f>IFERROR(__xludf.DUMMYFUNCTION("""COMPUTED_VALUE"""),"Shake up your meetings by holding them away from the conference floor.
Whether you're looking to talk to a specific person, or just meet people from your industry, Night Summit can make it happen. 
Tuesday evenings brings us to Pink Street. Formerly"&amp;" Lisbon's ""Red Light District"", it's been totally revamped and is now one of the quirkiest hotspots in the capital. ")</f>
        <v>Shake up your meetings by holding them away from the conference floor.
Whether you're looking to talk to a specific person, or just meet people from your industry, Night Summit can make it happen. 
Tuesday evenings brings us to Pink Street. Formerly Lisbon's "Red Light District", it's been totally revamped and is now one of the quirkiest hotspots in the capital. </v>
      </c>
      <c r="C893" s="4" t="str">
        <f>IFERROR(__xludf.DUMMYFUNCTION("""COMPUTED_VALUE"""),"Pink Street")</f>
        <v>Pink Street</v>
      </c>
      <c r="D893" s="4" t="str">
        <f>IFERROR(__xludf.DUMMYFUNCTION("""COMPUTED_VALUE"""),"")</f>
        <v/>
      </c>
      <c r="E893" s="4" t="str">
        <f>IFERROR(__xludf.DUMMYFUNCTION("""COMPUTED_VALUE"""),"")</f>
        <v/>
      </c>
      <c r="F893" s="4" t="str">
        <f>IFERROR(__xludf.DUMMYFUNCTION("""COMPUTED_VALUE"""),"2019/11/05 19:59:00")</f>
        <v>2019/11/05 19:59:00</v>
      </c>
      <c r="G893" s="4" t="str">
        <f>IFERROR(__xludf.DUMMYFUNCTION("""COMPUTED_VALUE"""),"2019/11/06 00:00:00")</f>
        <v>2019/11/06 00:00:00</v>
      </c>
      <c r="H893" s="4" t="str">
        <f>IFERROR(__xludf.DUMMYFUNCTION("""COMPUTED_VALUE"""),"e4aba77c-0694-4719-b838-958e6477f3a5")</f>
        <v>e4aba77c-0694-4719-b838-958e6477f3a5</v>
      </c>
      <c r="I893" s="4" t="str">
        <f>IFERROR(__xludf.DUMMYFUNCTION("""COMPUTED_VALUE"""),"e4aba77c-0694-4719-b838-958e6477f3a5")</f>
        <v>e4aba77c-0694-4719-b838-958e6477f3a5</v>
      </c>
    </row>
    <row r="894">
      <c r="A894" s="4" t="str">
        <f>IFERROR(__xludf.DUMMYFUNCTION("""COMPUTED_VALUE"""),"Hypergrowth and climate change")</f>
        <v>Hypergrowth and climate change</v>
      </c>
      <c r="B894" s="4" t="str">
        <f>IFERROR(__xludf.DUMMYFUNCTION("""COMPUTED_VALUE"""),"There are three big things you can do to help fight climate change - and we built a business to help people do them. We’ll tell you what they are and how our growth demonstrates how driven people are to do the right thing.")</f>
        <v>There are three big things you can do to help fight climate change - and we built a business to help people do them. We’ll tell you what they are and how our growth demonstrates how driven people are to do the right thing.</v>
      </c>
      <c r="C894" s="4" t="str">
        <f>IFERROR(__xludf.DUMMYFUNCTION("""COMPUTED_VALUE"""),"Growth Summit")</f>
        <v>Growth Summit</v>
      </c>
      <c r="D894" s="4" t="str">
        <f>IFERROR(__xludf.DUMMYFUNCTION("""COMPUTED_VALUE"""),"Hayden Wood")</f>
        <v>Hayden Wood</v>
      </c>
      <c r="E894" s="4" t="str">
        <f>IFERROR(__xludf.DUMMYFUNCTION("""COMPUTED_VALUE"""),"Hayden Wood")</f>
        <v>Hayden Wood</v>
      </c>
      <c r="F894" s="4" t="str">
        <f>IFERROR(__xludf.DUMMYFUNCTION("""COMPUTED_VALUE"""),"2019/11/07 14:31:00")</f>
        <v>2019/11/07 14:31:00</v>
      </c>
      <c r="G894" s="4" t="str">
        <f>IFERROR(__xludf.DUMMYFUNCTION("""COMPUTED_VALUE"""),"2019/11/07 14:42:00")</f>
        <v>2019/11/07 14:42:00</v>
      </c>
      <c r="H894" s="4" t="str">
        <f>IFERROR(__xludf.DUMMYFUNCTION("""COMPUTED_VALUE"""),"7628220b-6aa2-47b0-9a4d-ea1f7ff60d5b")</f>
        <v>7628220b-6aa2-47b0-9a4d-ea1f7ff60d5b</v>
      </c>
      <c r="I894" s="4" t="str">
        <f>IFERROR(__xludf.DUMMYFUNCTION("""COMPUTED_VALUE"""),"7628220b-6aa2-47b0-9a4d-ea1f7ff60d5b")</f>
        <v>7628220b-6aa2-47b0-9a4d-ea1f7ff60d5b</v>
      </c>
    </row>
    <row r="895">
      <c r="A895" s="4" t="str">
        <f>IFERROR(__xludf.DUMMYFUNCTION("""COMPUTED_VALUE"""),"How to build on AWS without knowing much about AWS")</f>
        <v>How to build on AWS without knowing much about AWS</v>
      </c>
      <c r="B895" s="4" t="str">
        <f>IFERROR(__xludf.DUMMYFUNCTION("""COMPUTED_VALUE"""),"Building a new startup? Which cloud provider do you pick and why? If you are brand new to AWS or cloud computing and interested in learning about how to leverage the cloud to build your next app or startup, then this is the session for you! Join us to lea"&amp;"rn about how to get started with application development, deployment, and operations on AWS. You will also learn about why AWS is the most popular platform for technology startups, and how you can use AWS to serve your customers while you scale them.
")</f>
        <v>Building a new startup? Which cloud provider do you pick and why? If you are brand new to AWS or cloud computing and interested in learning about how to leverage the cloud to build your next app or startup, then this is the session for you! Join us to learn about how to get started with application development, deployment, and operations on AWS. You will also learn about why AWS is the most popular platform for technology startups, and how you can use AWS to serve your customers while you scale them.
</v>
      </c>
      <c r="C895" s="4" t="str">
        <f>IFERROR(__xludf.DUMMYFUNCTION("""COMPUTED_VALUE"""),"AWS Developer Workshops")</f>
        <v>AWS Developer Workshops</v>
      </c>
      <c r="D895" s="4" t="str">
        <f>IFERROR(__xludf.DUMMYFUNCTION("""COMPUTED_VALUE"""),"")</f>
        <v/>
      </c>
      <c r="E895" s="4" t="str">
        <f>IFERROR(__xludf.DUMMYFUNCTION("""COMPUTED_VALUE"""),"")</f>
        <v/>
      </c>
      <c r="F895" s="4" t="str">
        <f>IFERROR(__xludf.DUMMYFUNCTION("""COMPUTED_VALUE"""),"2019/11/07 10:00:00")</f>
        <v>2019/11/07 10:00:00</v>
      </c>
      <c r="G895" s="4" t="str">
        <f>IFERROR(__xludf.DUMMYFUNCTION("""COMPUTED_VALUE"""),"2019/11/07 10:50:00")</f>
        <v>2019/11/07 10:50:00</v>
      </c>
      <c r="H895" s="4" t="str">
        <f>IFERROR(__xludf.DUMMYFUNCTION("""COMPUTED_VALUE"""),"003bd349-f661-45b3-9be6-3e800efdad6f")</f>
        <v>003bd349-f661-45b3-9be6-3e800efdad6f</v>
      </c>
      <c r="I895" s="4" t="str">
        <f>IFERROR(__xludf.DUMMYFUNCTION("""COMPUTED_VALUE"""),"003bd349-f661-45b3-9be6-3e800efdad6f")</f>
        <v>003bd349-f661-45b3-9be6-3e800efdad6f</v>
      </c>
    </row>
    <row r="896">
      <c r="A896" s="4" t="str">
        <f>IFERROR(__xludf.DUMMYFUNCTION("""COMPUTED_VALUE"""),"Ronaldinho presents the Sqiller app with Teqball")</f>
        <v>Ronaldinho presents the Sqiller app with Teqball</v>
      </c>
      <c r="B896" s="4" t="str">
        <f>IFERROR(__xludf.DUMMYFUNCTION("""COMPUTED_VALUE"""),"")</f>
        <v/>
      </c>
      <c r="C896" s="4" t="str">
        <f>IFERROR(__xludf.DUMMYFUNCTION("""COMPUTED_VALUE"""),"")</f>
        <v/>
      </c>
      <c r="D896" s="4" t="str">
        <f>IFERROR(__xludf.DUMMYFUNCTION("""COMPUTED_VALUE"""),"Viktor Huszar and  
Ronaldinho")</f>
        <v>Viktor Huszar and  
Ronaldinho</v>
      </c>
      <c r="E896" s="4" t="str">
        <f>IFERROR(__xludf.DUMMYFUNCTION("""COMPUTED_VALUE"""),"Viktor Huszar, 
Ronaldinho")</f>
        <v>Viktor Huszar, 
Ronaldinho</v>
      </c>
      <c r="F896" s="4" t="str">
        <f>IFERROR(__xludf.DUMMYFUNCTION("""COMPUTED_VALUE"""),"")</f>
        <v/>
      </c>
      <c r="G896" s="4" t="str">
        <f>IFERROR(__xludf.DUMMYFUNCTION("""COMPUTED_VALUE"""),"")</f>
        <v/>
      </c>
      <c r="H896" s="4" t="str">
        <f>IFERROR(__xludf.DUMMYFUNCTION("""COMPUTED_VALUE"""),"9c6a6ec4-541d-5265-ac40-118aee54e152")</f>
        <v>9c6a6ec4-541d-5265-ac40-118aee54e152</v>
      </c>
      <c r="I896" s="4" t="str">
        <f>IFERROR(__xludf.DUMMYFUNCTION("""COMPUTED_VALUE"""),"9c6a6ec4-541d-5265-ac40-118aee54e152")</f>
        <v>9c6a6ec4-541d-5265-ac40-118aee54e152</v>
      </c>
    </row>
    <row r="897">
      <c r="A897" s="4" t="str">
        <f>IFERROR(__xludf.DUMMYFUNCTION("""COMPUTED_VALUE"""),"Start your business in Saudi Arabia, hosted by Invest Saudi")</f>
        <v>Start your business in Saudi Arabia, hosted by Invest Saudi</v>
      </c>
      <c r="B897" s="4" t="str">
        <f>IFERROR(__xludf.DUMMYFUNCTION("""COMPUTED_VALUE"""),"Saudi Arabia is now leading the way for the region’s burgeoning startup ecosystem. With the surge of accelerators, incubators, co-working spaces and funding programs, the government and the private sector in tandem are providing significant support to exi"&amp;"sting and new ventures looking for market entry. We’ll take you on the entrepreneur’s journey, from company incorporation to regulation and from hiring local talent to fundraising. We’ll delve into the challenges and opportunities of operating in the comp"&amp;"lex MENA market, and specifically in KSA.")</f>
        <v>Saudi Arabia is now leading the way for the region’s burgeoning startup ecosystem. With the surge of accelerators, incubators, co-working spaces and funding programs, the government and the private sector in tandem are providing significant support to existing and new ventures looking for market entry. We’ll take you on the entrepreneur’s journey, from company incorporation to regulation and from hiring local talent to fundraising. We’ll delve into the challenges and opportunities of operating in the complex MENA market, and specifically in KSA.</v>
      </c>
      <c r="C897" s="4" t="str">
        <f>IFERROR(__xludf.DUMMYFUNCTION("""COMPUTED_VALUE"""),"Workshop 4")</f>
        <v>Workshop 4</v>
      </c>
      <c r="D897" s="4" t="str">
        <f>IFERROR(__xludf.DUMMYFUNCTION("""COMPUTED_VALUE"""),"")</f>
        <v/>
      </c>
      <c r="E897" s="4" t="str">
        <f>IFERROR(__xludf.DUMMYFUNCTION("""COMPUTED_VALUE"""),"")</f>
        <v/>
      </c>
      <c r="F897" s="4" t="str">
        <f>IFERROR(__xludf.DUMMYFUNCTION("""COMPUTED_VALUE"""),"2019/11/05 14:00:00")</f>
        <v>2019/11/05 14:00:00</v>
      </c>
      <c r="G897" s="4" t="str">
        <f>IFERROR(__xludf.DUMMYFUNCTION("""COMPUTED_VALUE"""),"2019/11/05 15:00:00")</f>
        <v>2019/11/05 15:00:00</v>
      </c>
      <c r="H897" s="4" t="str">
        <f>IFERROR(__xludf.DUMMYFUNCTION("""COMPUTED_VALUE"""),"32df9dd3-eb08-42e1-a100-def73106165d")</f>
        <v>32df9dd3-eb08-42e1-a100-def73106165d</v>
      </c>
      <c r="I897" s="4" t="str">
        <f>IFERROR(__xludf.DUMMYFUNCTION("""COMPUTED_VALUE"""),"32df9dd3-eb08-42e1-a100-def73106165d")</f>
        <v>32df9dd3-eb08-42e1-a100-def73106165d</v>
      </c>
    </row>
    <row r="898">
      <c r="A898" s="4" t="str">
        <f>IFERROR(__xludf.DUMMYFUNCTION("""COMPUTED_VALUE"""),"The next digital dawn: Scenarios for a new world")</f>
        <v>The next digital dawn: Scenarios for a new world</v>
      </c>
      <c r="B898" s="4" t="str">
        <f>IFERROR(__xludf.DUMMYFUNCTION("""COMPUTED_VALUE"""),"It’s clear that humanity has reached a fork in the road. But none of us completely understand the forces, good and bad, that have been unleashed. In this session, Shell’s Head of Strategy, Ed Daniels will premiere his team’s research on how digitalisation"&amp;" could change the world in the decades to come – including its impact on democracy, prosperity, inequality, privacy and security. He will then answer questions about the changes these technologies are bringing and how we can respond to them.")</f>
        <v>It’s clear that humanity has reached a fork in the road. But none of us completely understand the forces, good and bad, that have been unleashed. In this session, Shell’s Head of Strategy, Ed Daniels will premiere his team’s research on how digitalisation could change the world in the decades to come – including its impact on democracy, prosperity, inequality, privacy and security. He will then answer questions about the changes these technologies are bringing and how we can respond to them.</v>
      </c>
      <c r="C898" s="4" t="str">
        <f>IFERROR(__xludf.DUMMYFUNCTION("""COMPUTED_VALUE"""),"Future Societies")</f>
        <v>Future Societies</v>
      </c>
      <c r="D898" s="4" t="str">
        <f>IFERROR(__xludf.DUMMYFUNCTION("""COMPUTED_VALUE"""),"Ed Daniels and Neanda Salvaterra")</f>
        <v>Ed Daniels and Neanda Salvaterra</v>
      </c>
      <c r="E898" s="4" t="str">
        <f>IFERROR(__xludf.DUMMYFUNCTION("""COMPUTED_VALUE"""),"Ed Daniels,Neanda Salvaterra")</f>
        <v>Ed Daniels,Neanda Salvaterra</v>
      </c>
      <c r="F898" s="4" t="str">
        <f>IFERROR(__xludf.DUMMYFUNCTION("""COMPUTED_VALUE"""),"2019/11/05 11:10:00")</f>
        <v>2019/11/05 11:10:00</v>
      </c>
      <c r="G898" s="4" t="str">
        <f>IFERROR(__xludf.DUMMYFUNCTION("""COMPUTED_VALUE"""),"2019/11/05 11:30:00")</f>
        <v>2019/11/05 11:30:00</v>
      </c>
      <c r="H898" s="4" t="str">
        <f>IFERROR(__xludf.DUMMYFUNCTION("""COMPUTED_VALUE"""),"5d79c066-d2c8-4526-b253-e8c2310d3027")</f>
        <v>5d79c066-d2c8-4526-b253-e8c2310d3027</v>
      </c>
      <c r="I898" s="4" t="str">
        <f>IFERROR(__xludf.DUMMYFUNCTION("""COMPUTED_VALUE"""),"5d79c066-d2c8-4526-b253-e8c2310d3027")</f>
        <v>5d79c066-d2c8-4526-b253-e8c2310d3027</v>
      </c>
    </row>
    <row r="899">
      <c r="A899" s="4" t="str">
        <f>IFERROR(__xludf.DUMMYFUNCTION("""COMPUTED_VALUE"""),"Mindsets beyond MVPs: Innovating at scale ")</f>
        <v>Mindsets beyond MVPs: Innovating at scale </v>
      </c>
      <c r="B899" s="4" t="str">
        <f>IFERROR(__xludf.DUMMYFUNCTION("""COMPUTED_VALUE"""),"It has been said that vision without a strategy remains an illusion. In this conversation one of the world’s largest consulting companies will delve into the practicalities of thinking strategically and the barriers of bringing a plan to life.")</f>
        <v>It has been said that vision without a strategy remains an illusion. In this conversation one of the world’s largest consulting companies will delve into the practicalities of thinking strategically and the barriers of bringing a plan to life.</v>
      </c>
      <c r="C899" s="4" t="str">
        <f>IFERROR(__xludf.DUMMYFUNCTION("""COMPUTED_VALUE"""),"Corporate Innovation Summit")</f>
        <v>Corporate Innovation Summit</v>
      </c>
      <c r="D899" s="4" t="str">
        <f>IFERROR(__xludf.DUMMYFUNCTION("""COMPUTED_VALUE"""),"Narry Singh")</f>
        <v>Narry Singh</v>
      </c>
      <c r="E899" s="4" t="str">
        <f>IFERROR(__xludf.DUMMYFUNCTION("""COMPUTED_VALUE"""),"Narry Singh")</f>
        <v>Narry Singh</v>
      </c>
      <c r="F899" s="4" t="str">
        <f>IFERROR(__xludf.DUMMYFUNCTION("""COMPUTED_VALUE"""),"2019/11/05 14:00:00")</f>
        <v>2019/11/05 14:00:00</v>
      </c>
      <c r="G899" s="4" t="str">
        <f>IFERROR(__xludf.DUMMYFUNCTION("""COMPUTED_VALUE"""),"2019/11/05 14:20:00")</f>
        <v>2019/11/05 14:20:00</v>
      </c>
      <c r="H899" s="4" t="str">
        <f>IFERROR(__xludf.DUMMYFUNCTION("""COMPUTED_VALUE"""),"a81d16fb-cafe-457b-89db-d8e73022ef0c")</f>
        <v>a81d16fb-cafe-457b-89db-d8e73022ef0c</v>
      </c>
      <c r="I899" s="4" t="str">
        <f>IFERROR(__xludf.DUMMYFUNCTION("""COMPUTED_VALUE"""),"a81d16fb-cafe-457b-89db-d8e73022ef0c")</f>
        <v>a81d16fb-cafe-457b-89db-d8e73022ef0c</v>
      </c>
    </row>
    <row r="900">
      <c r="A900" s="4" t="str">
        <f>IFERROR(__xludf.DUMMYFUNCTION("""COMPUTED_VALUE"""),"PITCH group round 3")</f>
        <v>PITCH group round 3</v>
      </c>
      <c r="B900" s="4" t="str">
        <f>IFERROR(__xludf.DUMMYFUNCTION("""COMPUTED_VALUE"""),"")</f>
        <v/>
      </c>
      <c r="C900" s="4" t="str">
        <f>IFERROR(__xludf.DUMMYFUNCTION("""COMPUTED_VALUE"""),"PITCH 3")</f>
        <v>PITCH 3</v>
      </c>
      <c r="D900" s="4" t="str">
        <f>IFERROR(__xludf.DUMMYFUNCTION("""COMPUTED_VALUE"""),"Brian Collins, Ana Lobo Xavier, Pedro Vasconcellos, Jordi Vidal, Edel Coen, Russ Heddleston, Javier Gutiérrez, Nathan Harris, Abbas Bertina, Aroa Fernandez Alvarez and Gabriel Menegatti")</f>
        <v>Brian Collins, Ana Lobo Xavier, Pedro Vasconcellos, Jordi Vidal, Edel Coen, Russ Heddleston, Javier Gutiérrez, Nathan Harris, Abbas Bertina, Aroa Fernandez Alvarez and Gabriel Menegatti</v>
      </c>
      <c r="E900" s="4" t="str">
        <f>IFERROR(__xludf.DUMMYFUNCTION("""COMPUTED_VALUE"""),"Brian Collins,Ana Lobo Xavier,Pedro Vasconcellos,Jordi Vidal,Edel Coen,Russ Heddleston,Javier Gutiérrez,Nathan Harris,Abbas Bertina,Aroa Fernandez Alvarez,Gabriel Menegatti")</f>
        <v>Brian Collins,Ana Lobo Xavier,Pedro Vasconcellos,Jordi Vidal,Edel Coen,Russ Heddleston,Javier Gutiérrez,Nathan Harris,Abbas Bertina,Aroa Fernandez Alvarez,Gabriel Menegatti</v>
      </c>
      <c r="F900" s="4" t="str">
        <f>IFERROR(__xludf.DUMMYFUNCTION("""COMPUTED_VALUE"""),"2019/11/05 09:15:00")</f>
        <v>2019/11/05 09:15:00</v>
      </c>
      <c r="G900" s="4" t="str">
        <f>IFERROR(__xludf.DUMMYFUNCTION("""COMPUTED_VALUE"""),"2019/11/05 10:15:00")</f>
        <v>2019/11/05 10:15:00</v>
      </c>
      <c r="H900" s="4" t="str">
        <f>IFERROR(__xludf.DUMMYFUNCTION("""COMPUTED_VALUE"""),"098f6a4f-7362-4138-9b47-99504f375c5d")</f>
        <v>098f6a4f-7362-4138-9b47-99504f375c5d</v>
      </c>
      <c r="I900" s="4" t="str">
        <f>IFERROR(__xludf.DUMMYFUNCTION("""COMPUTED_VALUE"""),"098f6a4f-7362-4138-9b47-99504f375c5d")</f>
        <v>098f6a4f-7362-4138-9b47-99504f375c5d</v>
      </c>
    </row>
    <row r="901">
      <c r="A901" s="4" t="str">
        <f>IFERROR(__xludf.DUMMYFUNCTION("""COMPUTED_VALUE"""),"Join SAP at Web Summit: The future of business has feelings")</f>
        <v>Join SAP at Web Summit: The future of business has feelings</v>
      </c>
      <c r="B901" s="4" t="str">
        <f>IFERROR(__xludf.DUMMYFUNCTION("""COMPUTED_VALUE"""),"Does the future of business have feelings? Find out yourself at the SAP stand, located at E350, Hall 3. Successful companies in the experience economy combine operational and experiential data to produce meaningful business information. This information h"&amp;"elps executives win the hearts of customers and employees by generating positive feelings around product offerings and interactions . Visit the SAP stand to experience showcases, listen to a selection of sessions, and meet SAP experts, start-ups, and part"&amp;"ners. Here you can learn and discuss how to become an intelligent business in the experience economy. The full agenda is available at https://events.sap.com/websummit/en/sessions")</f>
        <v>Does the future of business have feelings? Find out yourself at the SAP stand, located at E350, Hall 3. Successful companies in the experience economy combine operational and experiential data to produce meaningful business information. This information helps executives win the hearts of customers and employees by generating positive feelings around product offerings and interactions . Visit the SAP stand to experience showcases, listen to a selection of sessions, and meet SAP experts, start-ups, and partners. Here you can learn and discuss how to become an intelligent business in the experience economy. The full agenda is available at https://events.sap.com/websummit/en/sessions</v>
      </c>
      <c r="C901" s="4" t="str">
        <f>IFERROR(__xludf.DUMMYFUNCTION("""COMPUTED_VALUE"""),"SAP, E350, FIL 3")</f>
        <v>SAP, E350, FIL 3</v>
      </c>
      <c r="D901" s="4" t="str">
        <f>IFERROR(__xludf.DUMMYFUNCTION("""COMPUTED_VALUE"""),"")</f>
        <v/>
      </c>
      <c r="E901" s="4" t="str">
        <f>IFERROR(__xludf.DUMMYFUNCTION("""COMPUTED_VALUE"""),"")</f>
        <v/>
      </c>
      <c r="F901" s="4" t="str">
        <f>IFERROR(__xludf.DUMMYFUNCTION("""COMPUTED_VALUE"""),"2019/11/05 10:00:00")</f>
        <v>2019/11/05 10:00:00</v>
      </c>
      <c r="G901" s="4" t="str">
        <f>IFERROR(__xludf.DUMMYFUNCTION("""COMPUTED_VALUE"""),"2019/11/05 17:00:00")</f>
        <v>2019/11/05 17:00:00</v>
      </c>
      <c r="H901" s="4" t="str">
        <f>IFERROR(__xludf.DUMMYFUNCTION("""COMPUTED_VALUE"""),"e3dfb179-b38f-4987-8c62-8fbc69f5c272")</f>
        <v>e3dfb179-b38f-4987-8c62-8fbc69f5c272</v>
      </c>
      <c r="I901" s="4" t="str">
        <f>IFERROR(__xludf.DUMMYFUNCTION("""COMPUTED_VALUE"""),"e3dfb179-b38f-4987-8c62-8fbc69f5c272")</f>
        <v>e3dfb179-b38f-4987-8c62-8fbc69f5c272</v>
      </c>
    </row>
    <row r="902">
      <c r="A902" s="4" t="str">
        <f>IFERROR(__xludf.DUMMYFUNCTION("""COMPUTED_VALUE"""),"Opening remarks ")</f>
        <v>Opening remarks </v>
      </c>
      <c r="B902" s="4" t="str">
        <f>IFERROR(__xludf.DUMMYFUNCTION("""COMPUTED_VALUE"""),"")</f>
        <v/>
      </c>
      <c r="C902" s="4" t="str">
        <f>IFERROR(__xludf.DUMMYFUNCTION("""COMPUTED_VALUE"""),"Startup University")</f>
        <v>Startup University</v>
      </c>
      <c r="D902" s="4" t="str">
        <f>IFERROR(__xludf.DUMMYFUNCTION("""COMPUTED_VALUE"""),"Cynthia Johnson")</f>
        <v>Cynthia Johnson</v>
      </c>
      <c r="E902" s="4" t="str">
        <f>IFERROR(__xludf.DUMMYFUNCTION("""COMPUTED_VALUE"""),"Cynthia Johnson")</f>
        <v>Cynthia Johnson</v>
      </c>
      <c r="F902" s="4" t="str">
        <f>IFERROR(__xludf.DUMMYFUNCTION("""COMPUTED_VALUE"""),"2019/11/06 11:15:00")</f>
        <v>2019/11/06 11:15:00</v>
      </c>
      <c r="G902" s="4" t="str">
        <f>IFERROR(__xludf.DUMMYFUNCTION("""COMPUTED_VALUE"""),"2019/11/06 11:30:00")</f>
        <v>2019/11/06 11:30:00</v>
      </c>
      <c r="H902" s="4" t="str">
        <f>IFERROR(__xludf.DUMMYFUNCTION("""COMPUTED_VALUE"""),"d44ff59d-3ffb-403f-81b3-3a8a026e3079")</f>
        <v>d44ff59d-3ffb-403f-81b3-3a8a026e3079</v>
      </c>
      <c r="I902" s="4" t="str">
        <f>IFERROR(__xludf.DUMMYFUNCTION("""COMPUTED_VALUE"""),"d44ff59d-3ffb-403f-81b3-3a8a026e3079")</f>
        <v>d44ff59d-3ffb-403f-81b3-3a8a026e3079</v>
      </c>
    </row>
    <row r="903">
      <c r="A903" s="4" t="str">
        <f>IFERROR(__xludf.DUMMYFUNCTION("""COMPUTED_VALUE"""),"Sell your story not your soul: Winning over VCs ")</f>
        <v>Sell your story not your soul: Winning over VCs </v>
      </c>
      <c r="B903" s="4" t="str">
        <f>IFERROR(__xludf.DUMMYFUNCTION("""COMPUTED_VALUE"""),"Unicorn founders and leading VCs uncover common mistakes made during a funding pitch, what makes them cringe, and what they look for in a winning team. ")</f>
        <v>Unicorn founders and leading VCs uncover common mistakes made during a funding pitch, what makes them cringe, and what they look for in a winning team. </v>
      </c>
      <c r="C903" s="4" t="str">
        <f>IFERROR(__xludf.DUMMYFUNCTION("""COMPUTED_VALUE"""),"Startup University")</f>
        <v>Startup University</v>
      </c>
      <c r="D903" s="4" t="str">
        <f>IFERROR(__xludf.DUMMYFUNCTION("""COMPUTED_VALUE"""),"Ariel Cohen, Michele Romanow and Marcel Rosenbach")</f>
        <v>Ariel Cohen, Michele Romanow and Marcel Rosenbach</v>
      </c>
      <c r="E903" s="4" t="str">
        <f>IFERROR(__xludf.DUMMYFUNCTION("""COMPUTED_VALUE"""),"Ariel Cohen,Michele Romanow,Marcel Rosenbach")</f>
        <v>Ariel Cohen,Michele Romanow,Marcel Rosenbach</v>
      </c>
      <c r="F903" s="4" t="str">
        <f>IFERROR(__xludf.DUMMYFUNCTION("""COMPUTED_VALUE"""),"2019/11/05 14:00:00")</f>
        <v>2019/11/05 14:00:00</v>
      </c>
      <c r="G903" s="4" t="str">
        <f>IFERROR(__xludf.DUMMYFUNCTION("""COMPUTED_VALUE"""),"2019/11/05 14:20:00")</f>
        <v>2019/11/05 14:20:00</v>
      </c>
      <c r="H903" s="4" t="str">
        <f>IFERROR(__xludf.DUMMYFUNCTION("""COMPUTED_VALUE"""),"9401bb18-0cd5-4c2b-891c-594ae8d7a137")</f>
        <v>9401bb18-0cd5-4c2b-891c-594ae8d7a137</v>
      </c>
      <c r="I903" s="4" t="str">
        <f>IFERROR(__xludf.DUMMYFUNCTION("""COMPUTED_VALUE"""),"9401bb18-0cd5-4c2b-891c-594ae8d7a137")</f>
        <v>9401bb18-0cd5-4c2b-891c-594ae8d7a137</v>
      </c>
    </row>
    <row r="904">
      <c r="A904" s="4" t="str">
        <f>IFERROR(__xludf.DUMMYFUNCTION("""COMPUTED_VALUE"""),"Redefining mobile measurement")</f>
        <v>Redefining mobile measurement</v>
      </c>
      <c r="B904" s="4" t="str">
        <f>IFERROR(__xludf.DUMMYFUNCTION("""COMPUTED_VALUE"""),"How do you effectively measure your return on investment? Mobile marketers seeking to maximise their marketing spend devote inordinate time to answering this. Let's hear how that challenge can be simplified.")</f>
        <v>How do you effectively measure your return on investment? Mobile marketers seeking to maximise their marketing spend devote inordinate time to answering this. Let's hear how that challenge can be simplified.</v>
      </c>
      <c r="C904" s="4" t="str">
        <f>IFERROR(__xludf.DUMMYFUNCTION("""COMPUTED_VALUE"""),"PandaConf")</f>
        <v>PandaConf</v>
      </c>
      <c r="D904" s="4" t="str">
        <f>IFERROR(__xludf.DUMMYFUNCTION("""COMPUTED_VALUE"""),"Ted Krantz")</f>
        <v>Ted Krantz</v>
      </c>
      <c r="E904" s="4" t="str">
        <f>IFERROR(__xludf.DUMMYFUNCTION("""COMPUTED_VALUE"""),"Ted Krantz")</f>
        <v>Ted Krantz</v>
      </c>
      <c r="F904" s="4" t="str">
        <f>IFERROR(__xludf.DUMMYFUNCTION("""COMPUTED_VALUE"""),"2019/11/05 15:00:00")</f>
        <v>2019/11/05 15:00:00</v>
      </c>
      <c r="G904" s="4" t="str">
        <f>IFERROR(__xludf.DUMMYFUNCTION("""COMPUTED_VALUE"""),"2019/11/05 15:20:00")</f>
        <v>2019/11/05 15:20:00</v>
      </c>
      <c r="H904" s="4" t="str">
        <f>IFERROR(__xludf.DUMMYFUNCTION("""COMPUTED_VALUE"""),"2c83924e-c82c-4739-9135-e70cad466a2d")</f>
        <v>2c83924e-c82c-4739-9135-e70cad466a2d</v>
      </c>
      <c r="I904" s="4" t="str">
        <f>IFERROR(__xludf.DUMMYFUNCTION("""COMPUTED_VALUE"""),"2c83924e-c82c-4739-9135-e70cad466a2d")</f>
        <v>2c83924e-c82c-4739-9135-e70cad466a2d</v>
      </c>
    </row>
    <row r="905">
      <c r="A905" s="4" t="str">
        <f>IFERROR(__xludf.DUMMYFUNCTION("""COMPUTED_VALUE"""),"Explore your digital futures, hosted by Shell")</f>
        <v>Explore your digital futures, hosted by Shell</v>
      </c>
      <c r="B905" s="4" t="str">
        <f>IFERROR(__xludf.DUMMYFUNCTION("""COMPUTED_VALUE"""),"Are you thinking 50 years ahead?  We are. Our new scenarios explore how digitalisation could change the world - democracy, prosperity, inequality, privacy, security - in the decades to come. Shell has been a pioneer in the use of scenario thinking to help"&amp;" understand the future and navigate uncertainty. In this interactive session, you will use tools and techniques to explore our new scenarios and your digital futures.")</f>
        <v>Are you thinking 50 years ahead?  We are. Our new scenarios explore how digitalisation could change the world - democracy, prosperity, inequality, privacy, security - in the decades to come. Shell has been a pioneer in the use of scenario thinking to help understand the future and navigate uncertainty. In this interactive session, you will use tools and techniques to explore our new scenarios and your digital futures.</v>
      </c>
      <c r="C905" s="4" t="str">
        <f>IFERROR(__xludf.DUMMYFUNCTION("""COMPUTED_VALUE"""),"Workshop 1")</f>
        <v>Workshop 1</v>
      </c>
      <c r="D905" s="4" t="str">
        <f>IFERROR(__xludf.DUMMYFUNCTION("""COMPUTED_VALUE"""),"Adam Eales")</f>
        <v>Adam Eales</v>
      </c>
      <c r="E905" s="4" t="str">
        <f>IFERROR(__xludf.DUMMYFUNCTION("""COMPUTED_VALUE"""),"Adam Eales")</f>
        <v>Adam Eales</v>
      </c>
      <c r="F905" s="4" t="str">
        <f>IFERROR(__xludf.DUMMYFUNCTION("""COMPUTED_VALUE"""),"2019/11/06 10:00:00")</f>
        <v>2019/11/06 10:00:00</v>
      </c>
      <c r="G905" s="4" t="str">
        <f>IFERROR(__xludf.DUMMYFUNCTION("""COMPUTED_VALUE"""),"2019/11/06 10:45:00")</f>
        <v>2019/11/06 10:45:00</v>
      </c>
      <c r="H905" s="4" t="str">
        <f>IFERROR(__xludf.DUMMYFUNCTION("""COMPUTED_VALUE"""),"ef0f914c-903f-4481-a1b5-8f2347fb8a8f")</f>
        <v>ef0f914c-903f-4481-a1b5-8f2347fb8a8f</v>
      </c>
      <c r="I905" s="4" t="str">
        <f>IFERROR(__xludf.DUMMYFUNCTION("""COMPUTED_VALUE"""),"ef0f914c-903f-4481-a1b5-8f2347fb8a8f")</f>
        <v>ef0f914c-903f-4481-a1b5-8f2347fb8a8f</v>
      </c>
    </row>
    <row r="906">
      <c r="A906" s="4" t="str">
        <f>IFERROR(__xludf.DUMMYFUNCTION("""COMPUTED_VALUE"""),"Innovating financial giants")</f>
        <v>Innovating financial giants</v>
      </c>
      <c r="B906" s="4" t="str">
        <f>IFERROR(__xludf.DUMMYFUNCTION("""COMPUTED_VALUE"""),"It's the age-old question for age-old institutions. How on earth do we keep up? Innovation and marketing have become key components in keeping competition alive between established financial institutions and challenger fintechs - but as consumers become m"&amp;"ore comfortable with tech solutions, will it be enough?")</f>
        <v>It's the age-old question for age-old institutions. How on earth do we keep up? Innovation and marketing have become key components in keeping competition alive between established financial institutions and challenger fintechs - but as consumers become more comfortable with tech solutions, will it be enough?</v>
      </c>
      <c r="C906" s="4" t="str">
        <f>IFERROR(__xludf.DUMMYFUNCTION("""COMPUTED_VALUE"""),"MoneyConf")</f>
        <v>MoneyConf</v>
      </c>
      <c r="D906" s="4" t="str">
        <f>IFERROR(__xludf.DUMMYFUNCTION("""COMPUTED_VALUE"""),"Claire Calmejane, Sean Ringsted, Tunde Kehinde and Gerhard Elfers")</f>
        <v>Claire Calmejane, Sean Ringsted, Tunde Kehinde and Gerhard Elfers</v>
      </c>
      <c r="E906" s="4" t="str">
        <f>IFERROR(__xludf.DUMMYFUNCTION("""COMPUTED_VALUE"""),"Claire Calmejane,Sean Ringsted,Tunde Kehinde,Gerhard Elfers")</f>
        <v>Claire Calmejane,Sean Ringsted,Tunde Kehinde,Gerhard Elfers</v>
      </c>
      <c r="F906" s="4" t="str">
        <f>IFERROR(__xludf.DUMMYFUNCTION("""COMPUTED_VALUE"""),"2019/11/07 11:20:00")</f>
        <v>2019/11/07 11:20:00</v>
      </c>
      <c r="G906" s="4" t="str">
        <f>IFERROR(__xludf.DUMMYFUNCTION("""COMPUTED_VALUE"""),"2019/11/07 11:40:00")</f>
        <v>2019/11/07 11:40:00</v>
      </c>
      <c r="H906" s="4" t="str">
        <f>IFERROR(__xludf.DUMMYFUNCTION("""COMPUTED_VALUE"""),"245e619a-1bca-441e-bee1-d3bc644969b0")</f>
        <v>245e619a-1bca-441e-bee1-d3bc644969b0</v>
      </c>
      <c r="I906" s="4" t="str">
        <f>IFERROR(__xludf.DUMMYFUNCTION("""COMPUTED_VALUE"""),"245e619a-1bca-441e-bee1-d3bc644969b0")</f>
        <v>245e619a-1bca-441e-bee1-d3bc644969b0</v>
      </c>
    </row>
    <row r="907">
      <c r="A907" s="4" t="str">
        <f>IFERROR(__xludf.DUMMYFUNCTION("""COMPUTED_VALUE"""),"Understanding graph databases")</f>
        <v>Understanding graph databases</v>
      </c>
      <c r="B907" s="4" t="str">
        <f>IFERROR(__xludf.DUMMYFUNCTION("""COMPUTED_VALUE"""),"Graph databases are a new kind of way to store and retrieve data. They can help you answer questions that are prohibitively expensive with relational or key-value stores. Join us for a brief history of graph databases and a hands on demo of Amazon Neptune"&amp;", a fast, reliable graph database built for the cloud.")</f>
        <v>Graph databases are a new kind of way to store and retrieve data. They can help you answer questions that are prohibitively expensive with relational or key-value stores. Join us for a brief history of graph databases and a hands on demo of Amazon Neptune, a fast, reliable graph database built for the cloud.</v>
      </c>
      <c r="C907" s="4" t="str">
        <f>IFERROR(__xludf.DUMMYFUNCTION("""COMPUTED_VALUE"""),"AWS Developer Workshops")</f>
        <v>AWS Developer Workshops</v>
      </c>
      <c r="D907" s="4" t="str">
        <f>IFERROR(__xludf.DUMMYFUNCTION("""COMPUTED_VALUE"""),"")</f>
        <v/>
      </c>
      <c r="E907" s="4" t="str">
        <f>IFERROR(__xludf.DUMMYFUNCTION("""COMPUTED_VALUE"""),"")</f>
        <v/>
      </c>
      <c r="F907" s="4" t="str">
        <f>IFERROR(__xludf.DUMMYFUNCTION("""COMPUTED_VALUE"""),"2019/11/06 16:00:00")</f>
        <v>2019/11/06 16:00:00</v>
      </c>
      <c r="G907" s="4" t="str">
        <f>IFERROR(__xludf.DUMMYFUNCTION("""COMPUTED_VALUE"""),"2019/11/06 16:50:00")</f>
        <v>2019/11/06 16:50:00</v>
      </c>
      <c r="H907" s="4" t="str">
        <f>IFERROR(__xludf.DUMMYFUNCTION("""COMPUTED_VALUE"""),"96d4a666-6448-4c02-a368-a952ff8be9ab")</f>
        <v>96d4a666-6448-4c02-a368-a952ff8be9ab</v>
      </c>
      <c r="I907" s="4" t="str">
        <f>IFERROR(__xludf.DUMMYFUNCTION("""COMPUTED_VALUE"""),"96d4a666-6448-4c02-a368-a952ff8be9ab")</f>
        <v>96d4a666-6448-4c02-a368-a952ff8be9ab</v>
      </c>
    </row>
    <row r="908">
      <c r="A908" s="4" t="str">
        <f>IFERROR(__xludf.DUMMYFUNCTION("""COMPUTED_VALUE"""),"Opening remarks ")</f>
        <v>Opening remarks </v>
      </c>
      <c r="B908" s="4" t="str">
        <f>IFERROR(__xludf.DUMMYFUNCTION("""COMPUTED_VALUE"""),"")</f>
        <v/>
      </c>
      <c r="C908" s="4" t="str">
        <f>IFERROR(__xludf.DUMMYFUNCTION("""COMPUTED_VALUE"""),"Startup University")</f>
        <v>Startup University</v>
      </c>
      <c r="D908" s="4" t="str">
        <f>IFERROR(__xludf.DUMMYFUNCTION("""COMPUTED_VALUE"""),"Noel Toolan")</f>
        <v>Noel Toolan</v>
      </c>
      <c r="E908" s="4" t="str">
        <f>IFERROR(__xludf.DUMMYFUNCTION("""COMPUTED_VALUE"""),"Noel Toolan")</f>
        <v>Noel Toolan</v>
      </c>
      <c r="F908" s="4" t="str">
        <f>IFERROR(__xludf.DUMMYFUNCTION("""COMPUTED_VALUE"""),"2019/11/05 10:15:00")</f>
        <v>2019/11/05 10:15:00</v>
      </c>
      <c r="G908" s="4" t="str">
        <f>IFERROR(__xludf.DUMMYFUNCTION("""COMPUTED_VALUE"""),"2019/11/05 10:30:00")</f>
        <v>2019/11/05 10:30:00</v>
      </c>
      <c r="H908" s="4" t="str">
        <f>IFERROR(__xludf.DUMMYFUNCTION("""COMPUTED_VALUE"""),"d02fc0ee-1086-409c-8759-6f28e208c52a")</f>
        <v>d02fc0ee-1086-409c-8759-6f28e208c52a</v>
      </c>
      <c r="I908" s="4" t="str">
        <f>IFERROR(__xludf.DUMMYFUNCTION("""COMPUTED_VALUE"""),"d02fc0ee-1086-409c-8759-6f28e208c52a")</f>
        <v>d02fc0ee-1086-409c-8759-6f28e208c52a</v>
      </c>
    </row>
    <row r="909">
      <c r="A909" s="4" t="str">
        <f>IFERROR(__xludf.DUMMYFUNCTION("""COMPUTED_VALUE"""),"Winning the war for talent")</f>
        <v>Winning the war for talent</v>
      </c>
      <c r="B909" s="4" t="str">
        <f>IFERROR(__xludf.DUMMYFUNCTION("""COMPUTED_VALUE"""),"The war for talent is raging and the new battlefield is the independent workforce. Work is ripe for disruption. Employee underperformance, lack of engagement, and turnover are expensive and persistent concerns for corporations. Alternatives to traditional"&amp;" full-time employment in a full-time job are here, along with the new technology, startups, and platforms to support a new way of work. Join this panel to learn more about the future of work and investors' perspective on the war for talent.")</f>
        <v>The war for talent is raging and the new battlefield is the independent workforce. Work is ripe for disruption. Employee underperformance, lack of engagement, and turnover are expensive and persistent concerns for corporations. Alternatives to traditional full-time employment in a full-time job are here, along with the new technology, startups, and platforms to support a new way of work. Join this panel to learn more about the future of work and investors' perspective on the war for talent.</v>
      </c>
      <c r="C909" s="4" t="str">
        <f>IFERROR(__xludf.DUMMYFUNCTION("""COMPUTED_VALUE"""),"Venture stage")</f>
        <v>Venture stage</v>
      </c>
      <c r="D909" s="4" t="str">
        <f>IFERROR(__xludf.DUMMYFUNCTION("""COMPUTED_VALUE"""),"Diane Mulcahy and Denis Barrier")</f>
        <v>Diane Mulcahy and Denis Barrier</v>
      </c>
      <c r="E909" s="4" t="str">
        <f>IFERROR(__xludf.DUMMYFUNCTION("""COMPUTED_VALUE"""),"Diane Mulcahy,Denis Barrier")</f>
        <v>Diane Mulcahy,Denis Barrier</v>
      </c>
      <c r="F909" s="4" t="str">
        <f>IFERROR(__xludf.DUMMYFUNCTION("""COMPUTED_VALUE"""),"2019/11/05 12:00:00")</f>
        <v>2019/11/05 12:00:00</v>
      </c>
      <c r="G909" s="4" t="str">
        <f>IFERROR(__xludf.DUMMYFUNCTION("""COMPUTED_VALUE"""),"2019/11/05 12:20:00")</f>
        <v>2019/11/05 12:20:00</v>
      </c>
      <c r="H909" s="4" t="str">
        <f>IFERROR(__xludf.DUMMYFUNCTION("""COMPUTED_VALUE"""),"cebe1715-e136-4b99-902d-ffb337b720b6")</f>
        <v>cebe1715-e136-4b99-902d-ffb337b720b6</v>
      </c>
      <c r="I909" s="4" t="str">
        <f>IFERROR(__xludf.DUMMYFUNCTION("""COMPUTED_VALUE"""),"cebe1715-e136-4b99-902d-ffb337b720b6")</f>
        <v>cebe1715-e136-4b99-902d-ffb337b720b6</v>
      </c>
    </row>
    <row r="910">
      <c r="A910" s="4" t="str">
        <f>IFERROR(__xludf.DUMMYFUNCTION("""COMPUTED_VALUE"""),"How decentralised technology will change people's lives in the next 10 years")</f>
        <v>How decentralised technology will change people's lives in the next 10 years</v>
      </c>
      <c r="B910" s="4" t="str">
        <f>IFERROR(__xludf.DUMMYFUNCTION("""COMPUTED_VALUE"""),"CEO of Blockstack, Muneeb describes his plans for the growth of the company’s decentralised computing network where users are in control of their data and logins.")</f>
        <v>CEO of Blockstack, Muneeb describes his plans for the growth of the company’s decentralised computing network where users are in control of their data and logins.</v>
      </c>
      <c r="C910" s="4" t="str">
        <f>IFERROR(__xludf.DUMMYFUNCTION("""COMPUTED_VALUE"""),"Growth Summit")</f>
        <v>Growth Summit</v>
      </c>
      <c r="D910" s="4" t="str">
        <f>IFERROR(__xludf.DUMMYFUNCTION("""COMPUTED_VALUE"""),"Muneeb Ali")</f>
        <v>Muneeb Ali</v>
      </c>
      <c r="E910" s="4" t="str">
        <f>IFERROR(__xludf.DUMMYFUNCTION("""COMPUTED_VALUE"""),"Muneeb Ali")</f>
        <v>Muneeb Ali</v>
      </c>
      <c r="F910" s="4" t="str">
        <f>IFERROR(__xludf.DUMMYFUNCTION("""COMPUTED_VALUE"""),"2019/11/06 14:09:00")</f>
        <v>2019/11/06 14:09:00</v>
      </c>
      <c r="G910" s="4" t="str">
        <f>IFERROR(__xludf.DUMMYFUNCTION("""COMPUTED_VALUE"""),"2019/11/06 14:20:00")</f>
        <v>2019/11/06 14:20:00</v>
      </c>
      <c r="H910" s="4" t="str">
        <f>IFERROR(__xludf.DUMMYFUNCTION("""COMPUTED_VALUE"""),"2b9c507f-395e-46f1-a60c-9aeb77cf94ed")</f>
        <v>2b9c507f-395e-46f1-a60c-9aeb77cf94ed</v>
      </c>
      <c r="I910" s="4" t="str">
        <f>IFERROR(__xludf.DUMMYFUNCTION("""COMPUTED_VALUE"""),"2b9c507f-395e-46f1-a60c-9aeb77cf94ed")</f>
        <v>2b9c507f-395e-46f1-a60c-9aeb77cf94ed</v>
      </c>
    </row>
    <row r="911">
      <c r="A911" s="4" t="str">
        <f>IFERROR(__xludf.DUMMYFUNCTION("""COMPUTED_VALUE"""),"Where I'm putting my money in med-tech")</f>
        <v>Where I'm putting my money in med-tech</v>
      </c>
      <c r="B911" s="4" t="str">
        <f>IFERROR(__xludf.DUMMYFUNCTION("""COMPUTED_VALUE"""),"Investment in medtech crept close to nine billion in 2019. Where's the money going, where are the gaps in the market and who are the big fish and little minnows making a difference?")</f>
        <v>Investment in medtech crept close to nine billion in 2019. Where's the money going, where are the gaps in the market and who are the big fish and little minnows making a difference?</v>
      </c>
      <c r="C911" s="4" t="str">
        <f>IFERROR(__xludf.DUMMYFUNCTION("""COMPUTED_VALUE"""),"HealthConf")</f>
        <v>HealthConf</v>
      </c>
      <c r="D911" s="4" t="str">
        <f>IFERROR(__xludf.DUMMYFUNCTION("""COMPUTED_VALUE"""),"Lu Zhang, Min Hu, Dr Marco Huesch and Alex Deane")</f>
        <v>Lu Zhang, Min Hu, Dr Marco Huesch and Alex Deane</v>
      </c>
      <c r="E911" s="4" t="str">
        <f>IFERROR(__xludf.DUMMYFUNCTION("""COMPUTED_VALUE"""),"Lu Zhang,Min Hu,Dr Marco Huesch,Alex Deane")</f>
        <v>Lu Zhang,Min Hu,Dr Marco Huesch,Alex Deane</v>
      </c>
      <c r="F911" s="4" t="str">
        <f>IFERROR(__xludf.DUMMYFUNCTION("""COMPUTED_VALUE"""),"2019/11/07 15:05:00")</f>
        <v>2019/11/07 15:05:00</v>
      </c>
      <c r="G911" s="4" t="str">
        <f>IFERROR(__xludf.DUMMYFUNCTION("""COMPUTED_VALUE"""),"2019/11/07 15:30:00")</f>
        <v>2019/11/07 15:30:00</v>
      </c>
      <c r="H911" s="4" t="str">
        <f>IFERROR(__xludf.DUMMYFUNCTION("""COMPUTED_VALUE"""),"da1f512d-7f42-4d9d-b61d-6fb0127bb842")</f>
        <v>da1f512d-7f42-4d9d-b61d-6fb0127bb842</v>
      </c>
      <c r="I911" s="4" t="str">
        <f>IFERROR(__xludf.DUMMYFUNCTION("""COMPUTED_VALUE"""),"da1f512d-7f42-4d9d-b61d-6fb0127bb842")</f>
        <v>da1f512d-7f42-4d9d-b61d-6fb0127bb842</v>
      </c>
    </row>
    <row r="912">
      <c r="A912" s="4" t="str">
        <f>IFERROR(__xludf.DUMMYFUNCTION("""COMPUTED_VALUE"""),"Blockchain: The use cases")</f>
        <v>Blockchain: The use cases</v>
      </c>
      <c r="B912" s="4" t="str">
        <f>IFERROR(__xludf.DUMMYFUNCTION("""COMPUTED_VALUE"""),"Blockchain’s utility remains unproven. Recent examples of blockchain’s potential impact on financial markets go far beyond initial applications, P2P lending or crowdfunding. This panel of experts will share their thoughts on the creative possibilities tha"&amp;"t forecast a bright future for blockchain.")</f>
        <v>Blockchain’s utility remains unproven. Recent examples of blockchain’s potential impact on financial markets go far beyond initial applications, P2P lending or crowdfunding. This panel of experts will share their thoughts on the creative possibilities that forecast a bright future for blockchain.</v>
      </c>
      <c r="C912" s="4" t="str">
        <f>IFERROR(__xludf.DUMMYFUNCTION("""COMPUTED_VALUE"""),"Corporate Innovation Summit")</f>
        <v>Corporate Innovation Summit</v>
      </c>
      <c r="D912" s="4" t="str">
        <f>IFERROR(__xludf.DUMMYFUNCTION("""COMPUTED_VALUE"""),"David Wachsman, David Chaum, Corentin Denoeud and Noelle Acheson")</f>
        <v>David Wachsman, David Chaum, Corentin Denoeud and Noelle Acheson</v>
      </c>
      <c r="E912" s="4" t="str">
        <f>IFERROR(__xludf.DUMMYFUNCTION("""COMPUTED_VALUE"""),"David Wachsman,David Chaum,Corentin Denoeud,Noelle Acheson")</f>
        <v>David Wachsman,David Chaum,Corentin Denoeud,Noelle Acheson</v>
      </c>
      <c r="F912" s="4" t="str">
        <f>IFERROR(__xludf.DUMMYFUNCTION("""COMPUTED_VALUE"""),"2019/11/05 11:40:00")</f>
        <v>2019/11/05 11:40:00</v>
      </c>
      <c r="G912" s="4" t="str">
        <f>IFERROR(__xludf.DUMMYFUNCTION("""COMPUTED_VALUE"""),"2019/11/05 12:00:00")</f>
        <v>2019/11/05 12:00:00</v>
      </c>
      <c r="H912" s="4" t="str">
        <f>IFERROR(__xludf.DUMMYFUNCTION("""COMPUTED_VALUE"""),"8b1d95d1-cd19-4937-92ab-d85556bb3c98")</f>
        <v>8b1d95d1-cd19-4937-92ab-d85556bb3c98</v>
      </c>
      <c r="I912" s="4" t="str">
        <f>IFERROR(__xludf.DUMMYFUNCTION("""COMPUTED_VALUE"""),"8b1d95d1-cd19-4937-92ab-d85556bb3c98")</f>
        <v>8b1d95d1-cd19-4937-92ab-d85556bb3c98</v>
      </c>
    </row>
    <row r="913">
      <c r="A913" s="4" t="str">
        <f>IFERROR(__xludf.DUMMYFUNCTION("""COMPUTED_VALUE"""),"Lunch break")</f>
        <v>Lunch break</v>
      </c>
      <c r="B913" s="4" t="str">
        <f>IFERROR(__xludf.DUMMYFUNCTION("""COMPUTED_VALUE"""),"")</f>
        <v/>
      </c>
      <c r="C913" s="4" t="str">
        <f>IFERROR(__xludf.DUMMYFUNCTION("""COMPUTED_VALUE"""),"Centre Stage")</f>
        <v>Centre Stage</v>
      </c>
      <c r="D913" s="4" t="str">
        <f>IFERROR(__xludf.DUMMYFUNCTION("""COMPUTED_VALUE"""),"")</f>
        <v/>
      </c>
      <c r="E913" s="4" t="str">
        <f>IFERROR(__xludf.DUMMYFUNCTION("""COMPUTED_VALUE"""),"")</f>
        <v/>
      </c>
      <c r="F913" s="4" t="str">
        <f>IFERROR(__xludf.DUMMYFUNCTION("""COMPUTED_VALUE"""),"2019/11/05 13:00:00")</f>
        <v>2019/11/05 13:00:00</v>
      </c>
      <c r="G913" s="4" t="str">
        <f>IFERROR(__xludf.DUMMYFUNCTION("""COMPUTED_VALUE"""),"2019/11/05 13:15:00")</f>
        <v>2019/11/05 13:15:00</v>
      </c>
      <c r="H913" s="4" t="str">
        <f>IFERROR(__xludf.DUMMYFUNCTION("""COMPUTED_VALUE"""),"a0526514-34b3-4075-a2e7-26e8c2fcb1a6")</f>
        <v>a0526514-34b3-4075-a2e7-26e8c2fcb1a6</v>
      </c>
      <c r="I913" s="4" t="str">
        <f>IFERROR(__xludf.DUMMYFUNCTION("""COMPUTED_VALUE"""),"a0526514-34b3-4075-a2e7-26e8c2fcb1a6")</f>
        <v>a0526514-34b3-4075-a2e7-26e8c2fcb1a6</v>
      </c>
    </row>
    <row r="914">
      <c r="A914" s="4" t="str">
        <f>IFERROR(__xludf.DUMMYFUNCTION("""COMPUTED_VALUE"""),"Stories beat statistics: Master the art and science of data storytelling, hosted by DOMO")</f>
        <v>Stories beat statistics: Master the art and science of data storytelling, hosted by DOMO</v>
      </c>
      <c r="B914" s="4" t="str">
        <f>IFERROR(__xludf.DUMMYFUNCTION("""COMPUTED_VALUE"""),"Data storytelling is one of the most important skills in today’s data economy. It is the critical “last mile” of communication that transforms your findings into something that will inspire change and create value. In this session, you’ll learn about the "&amp;"power that stories wield over statistics and gain deeper insights into the art and science of data storytelling.")</f>
        <v>Data storytelling is one of the most important skills in today’s data economy. It is the critical “last mile” of communication that transforms your findings into something that will inspire change and create value. In this session, you’ll learn about the power that stories wield over statistics and gain deeper insights into the art and science of data storytelling.</v>
      </c>
      <c r="C914" s="4" t="str">
        <f>IFERROR(__xludf.DUMMYFUNCTION("""COMPUTED_VALUE"""),"Workshop 3")</f>
        <v>Workshop 3</v>
      </c>
      <c r="D914" s="4" t="str">
        <f>IFERROR(__xludf.DUMMYFUNCTION("""COMPUTED_VALUE"""),"")</f>
        <v/>
      </c>
      <c r="E914" s="4" t="str">
        <f>IFERROR(__xludf.DUMMYFUNCTION("""COMPUTED_VALUE"""),"")</f>
        <v/>
      </c>
      <c r="F914" s="4" t="str">
        <f>IFERROR(__xludf.DUMMYFUNCTION("""COMPUTED_VALUE"""),"2019/11/06 14:00:00")</f>
        <v>2019/11/06 14:00:00</v>
      </c>
      <c r="G914" s="4" t="str">
        <f>IFERROR(__xludf.DUMMYFUNCTION("""COMPUTED_VALUE"""),"2019/11/06 15:30:00")</f>
        <v>2019/11/06 15:30:00</v>
      </c>
      <c r="H914" s="4" t="str">
        <f>IFERROR(__xludf.DUMMYFUNCTION("""COMPUTED_VALUE"""),"6560ff10-2283-4317-a273-51a4767754c1")</f>
        <v>6560ff10-2283-4317-a273-51a4767754c1</v>
      </c>
      <c r="I914" s="4" t="str">
        <f>IFERROR(__xludf.DUMMYFUNCTION("""COMPUTED_VALUE"""),"6560ff10-2283-4317-a273-51a4767754c1")</f>
        <v>6560ff10-2283-4317-a273-51a4767754c1</v>
      </c>
    </row>
    <row r="915">
      <c r="A915" s="4" t="str">
        <f>IFERROR(__xludf.DUMMYFUNCTION("""COMPUTED_VALUE"""),"Rethinking the marketing and sales funnel")</f>
        <v>Rethinking the marketing and sales funnel</v>
      </c>
      <c r="B915" s="4" t="str">
        <f>IFERROR(__xludf.DUMMYFUNCTION("""COMPUTED_VALUE"""),"The traditional marketing funnel — starting wide at the top and narrowing down to purchase — has become seriously outdated. It no longer reflects the way customers shop and interact with brands in the digital age. Here's how to adapt. ")</f>
        <v>The traditional marketing funnel — starting wide at the top and narrowing down to purchase — has become seriously outdated. It no longer reflects the way customers shop and interact with brands in the digital age. Here's how to adapt. </v>
      </c>
      <c r="C915" s="4" t="str">
        <f>IFERROR(__xludf.DUMMYFUNCTION("""COMPUTED_VALUE"""),"PandaConf")</f>
        <v>PandaConf</v>
      </c>
      <c r="D915" s="4" t="str">
        <f>IFERROR(__xludf.DUMMYFUNCTION("""COMPUTED_VALUE"""),"Armand Thiberge, Mada Seghete, Bill Magnuson and Michelle Castillo")</f>
        <v>Armand Thiberge, Mada Seghete, Bill Magnuson and Michelle Castillo</v>
      </c>
      <c r="E915" s="4" t="str">
        <f>IFERROR(__xludf.DUMMYFUNCTION("""COMPUTED_VALUE"""),"Armand Thiberge,Mada Seghete,Bill Magnuson,Michelle Castillo")</f>
        <v>Armand Thiberge,Mada Seghete,Bill Magnuson,Michelle Castillo</v>
      </c>
      <c r="F915" s="4" t="str">
        <f>IFERROR(__xludf.DUMMYFUNCTION("""COMPUTED_VALUE"""),"2019/11/06 15:45:00")</f>
        <v>2019/11/06 15:45:00</v>
      </c>
      <c r="G915" s="4" t="str">
        <f>IFERROR(__xludf.DUMMYFUNCTION("""COMPUTED_VALUE"""),"2019/11/06 16:15:00")</f>
        <v>2019/11/06 16:15:00</v>
      </c>
      <c r="H915" s="4" t="str">
        <f>IFERROR(__xludf.DUMMYFUNCTION("""COMPUTED_VALUE"""),"30dc2f4b-0b11-4bdc-a05e-da3b7d605529")</f>
        <v>30dc2f4b-0b11-4bdc-a05e-da3b7d605529</v>
      </c>
      <c r="I915" s="4" t="str">
        <f>IFERROR(__xludf.DUMMYFUNCTION("""COMPUTED_VALUE"""),"30dc2f4b-0b11-4bdc-a05e-da3b7d605529")</f>
        <v>30dc2f4b-0b11-4bdc-a05e-da3b7d605529</v>
      </c>
    </row>
    <row r="916">
      <c r="A916" s="4" t="str">
        <f>IFERROR(__xludf.DUMMYFUNCTION("""COMPUTED_VALUE"""),"How to build a successful marketplace: The Fairygodboss story")</f>
        <v>How to build a successful marketplace: The Fairygodboss story</v>
      </c>
      <c r="B916" s="4" t="str">
        <f>IFERROR(__xludf.DUMMYFUNCTION("""COMPUTED_VALUE"""),"Every marketplace business needs to think about how to equilibrate supply and demand and how to balance resource allocation to each. CEO and co-founder of Fairygodboss, Georgene, will explain why servicing demand simultaneously, while building supply, has"&amp;" had major strategic advantages for her company.")</f>
        <v>Every marketplace business needs to think about how to equilibrate supply and demand and how to balance resource allocation to each. CEO and co-founder of Fairygodboss, Georgene, will explain why servicing demand simultaneously, while building supply, has had major strategic advantages for her company.</v>
      </c>
      <c r="C916" s="4" t="str">
        <f>IFERROR(__xludf.DUMMYFUNCTION("""COMPUTED_VALUE"""),"Growth Summit")</f>
        <v>Growth Summit</v>
      </c>
      <c r="D916" s="4" t="str">
        <f>IFERROR(__xludf.DUMMYFUNCTION("""COMPUTED_VALUE"""),"Georgene Huang")</f>
        <v>Georgene Huang</v>
      </c>
      <c r="E916" s="4" t="str">
        <f>IFERROR(__xludf.DUMMYFUNCTION("""COMPUTED_VALUE"""),"Georgene Huang")</f>
        <v>Georgene Huang</v>
      </c>
      <c r="F916" s="4" t="str">
        <f>IFERROR(__xludf.DUMMYFUNCTION("""COMPUTED_VALUE"""),"2019/11/07 13:03:00")</f>
        <v>2019/11/07 13:03:00</v>
      </c>
      <c r="G916" s="4" t="str">
        <f>IFERROR(__xludf.DUMMYFUNCTION("""COMPUTED_VALUE"""),"2019/11/07 13:14:00")</f>
        <v>2019/11/07 13:14:00</v>
      </c>
      <c r="H916" s="4" t="str">
        <f>IFERROR(__xludf.DUMMYFUNCTION("""COMPUTED_VALUE"""),"4bc10051-3927-412f-be5b-8fb50fec22af")</f>
        <v>4bc10051-3927-412f-be5b-8fb50fec22af</v>
      </c>
      <c r="I916" s="4" t="str">
        <f>IFERROR(__xludf.DUMMYFUNCTION("""COMPUTED_VALUE"""),"4bc10051-3927-412f-be5b-8fb50fec22af")</f>
        <v>4bc10051-3927-412f-be5b-8fb50fec22af</v>
      </c>
    </row>
    <row r="917">
      <c r="A917" s="4" t="str">
        <f>IFERROR(__xludf.DUMMYFUNCTION("""COMPUTED_VALUE"""),"How to solve our human problems")</f>
        <v>How to solve our human problems</v>
      </c>
      <c r="B917" s="4" t="str">
        <f>IFERROR(__xludf.DUMMYFUNCTION("""COMPUTED_VALUE"""),"In this talk, Stuart — indie maverick and lead singer for Belle and Sebastian — will discuss new projects, the creative process, live shows, film, writing and the evolving role of the musical artist in 2019. Stuart will be joined on stage by the inspirati"&amp;"onal driving force behind the creative services department at Red Light Management, Laura Taylor.")</f>
        <v>In this talk, Stuart — indie maverick and lead singer for Belle and Sebastian — will discuss new projects, the creative process, live shows, film, writing and the evolving role of the musical artist in 2019. Stuart will be joined on stage by the inspirational driving force behind the creative services department at Red Light Management, Laura Taylor.</v>
      </c>
      <c r="C917" s="4" t="str">
        <f>IFERROR(__xludf.DUMMYFUNCTION("""COMPUTED_VALUE"""),"MusicNotes")</f>
        <v>MusicNotes</v>
      </c>
      <c r="D917" s="4" t="str">
        <f>IFERROR(__xludf.DUMMYFUNCTION("""COMPUTED_VALUE"""),"Stuart Murdoch, Laura Taylor and Mark Savage")</f>
        <v>Stuart Murdoch, Laura Taylor and Mark Savage</v>
      </c>
      <c r="E917" s="4" t="str">
        <f>IFERROR(__xludf.DUMMYFUNCTION("""COMPUTED_VALUE"""),"Stuart Murdoch,Laura Taylor,Mark Savage")</f>
        <v>Stuart Murdoch,Laura Taylor,Mark Savage</v>
      </c>
      <c r="F917" s="4" t="str">
        <f>IFERROR(__xludf.DUMMYFUNCTION("""COMPUTED_VALUE"""),"2019/11/07 14:40:00")</f>
        <v>2019/11/07 14:40:00</v>
      </c>
      <c r="G917" s="4" t="str">
        <f>IFERROR(__xludf.DUMMYFUNCTION("""COMPUTED_VALUE"""),"2019/11/07 15:00:00")</f>
        <v>2019/11/07 15:00:00</v>
      </c>
      <c r="H917" s="4" t="str">
        <f>IFERROR(__xludf.DUMMYFUNCTION("""COMPUTED_VALUE"""),"d5773870-1697-4da5-b1ce-8788fb0ed697")</f>
        <v>d5773870-1697-4da5-b1ce-8788fb0ed697</v>
      </c>
      <c r="I917" s="4" t="str">
        <f>IFERROR(__xludf.DUMMYFUNCTION("""COMPUTED_VALUE"""),"d5773870-1697-4da5-b1ce-8788fb0ed697")</f>
        <v>d5773870-1697-4da5-b1ce-8788fb0ed697</v>
      </c>
    </row>
    <row r="918">
      <c r="A918" s="4" t="str">
        <f>IFERROR(__xludf.DUMMYFUNCTION("""COMPUTED_VALUE"""),"Next level car ownership or how to tap a future mass market")</f>
        <v>Next level car ownership or how to tap a future mass market</v>
      </c>
      <c r="B918" s="4" t="str">
        <f>IFERROR(__xludf.DUMMYFUNCTION("""COMPUTED_VALUE"""),"Digital car subscriptions turn one-time buyers into recurring sources of revenue and capitalise on a seismic shift in the demand for individual and flexible mobility. The key to growth lies in turning owners into subscribers as well as anticipating and re"&amp;"sponding to the fast changing mobility needs of a future mass market.")</f>
        <v>Digital car subscriptions turn one-time buyers into recurring sources of revenue and capitalise on a seismic shift in the demand for individual and flexible mobility. The key to growth lies in turning owners into subscribers as well as anticipating and responding to the fast changing mobility needs of a future mass market.</v>
      </c>
      <c r="C918" s="4" t="str">
        <f>IFERROR(__xludf.DUMMYFUNCTION("""COMPUTED_VALUE"""),"Growth Summit")</f>
        <v>Growth Summit</v>
      </c>
      <c r="D918" s="4" t="str">
        <f>IFERROR(__xludf.DUMMYFUNCTION("""COMPUTED_VALUE"""),"Nico Polleti")</f>
        <v>Nico Polleti</v>
      </c>
      <c r="E918" s="4" t="str">
        <f>IFERROR(__xludf.DUMMYFUNCTION("""COMPUTED_VALUE"""),"Nico Polleti")</f>
        <v>Nico Polleti</v>
      </c>
      <c r="F918" s="4" t="str">
        <f>IFERROR(__xludf.DUMMYFUNCTION("""COMPUTED_VALUE"""),"2019/11/07 13:25:00")</f>
        <v>2019/11/07 13:25:00</v>
      </c>
      <c r="G918" s="4" t="str">
        <f>IFERROR(__xludf.DUMMYFUNCTION("""COMPUTED_VALUE"""),"2019/11/07 13:36:00")</f>
        <v>2019/11/07 13:36:00</v>
      </c>
      <c r="H918" s="4" t="str">
        <f>IFERROR(__xludf.DUMMYFUNCTION("""COMPUTED_VALUE"""),"86373d52-bc38-4724-9f55-61cb9eb03542")</f>
        <v>86373d52-bc38-4724-9f55-61cb9eb03542</v>
      </c>
      <c r="I918" s="4" t="str">
        <f>IFERROR(__xludf.DUMMYFUNCTION("""COMPUTED_VALUE"""),"86373d52-bc38-4724-9f55-61cb9eb03542")</f>
        <v>86373d52-bc38-4724-9f55-61cb9eb03542</v>
      </c>
    </row>
    <row r="919">
      <c r="A919" s="4" t="str">
        <f>IFERROR(__xludf.DUMMYFUNCTION("""COMPUTED_VALUE"""),"Doing business in Europe: How can the EU help? Hosted by European Commission")</f>
        <v>Doing business in Europe: How can the EU help? Hosted by European Commission</v>
      </c>
      <c r="B919" s="4" t="str">
        <f>IFERROR(__xludf.DUMMYFUNCTION("""COMPUTED_VALUE"""),"What is 25 years old, European, free and single? The EU single market of 500 million customers! In this interactive workshop you will be able to get first-hand, practical information on how the EU helps startups thrive across Europe and beyond - from acce"&amp;"ss to finance, and partnerships to legislation. You will also be able to tell us what your biggest challenges are when scaling up and running a business across the EU. You can also come to see us at the EU stand.")</f>
        <v>What is 25 years old, European, free and single? The EU single market of 500 million customers! In this interactive workshop you will be able to get first-hand, practical information on how the EU helps startups thrive across Europe and beyond - from access to finance, and partnerships to legislation. You will also be able to tell us what your biggest challenges are when scaling up and running a business across the EU. You can also come to see us at the EU stand.</v>
      </c>
      <c r="C919" s="4" t="str">
        <f>IFERROR(__xludf.DUMMYFUNCTION("""COMPUTED_VALUE"""),"Workshop 2")</f>
        <v>Workshop 2</v>
      </c>
      <c r="D919" s="4" t="str">
        <f>IFERROR(__xludf.DUMMYFUNCTION("""COMPUTED_VALUE"""),"")</f>
        <v/>
      </c>
      <c r="E919" s="4" t="str">
        <f>IFERROR(__xludf.DUMMYFUNCTION("""COMPUTED_VALUE"""),"")</f>
        <v/>
      </c>
      <c r="F919" s="4" t="str">
        <f>IFERROR(__xludf.DUMMYFUNCTION("""COMPUTED_VALUE"""),"2019/11/05 12:00:00")</f>
        <v>2019/11/05 12:00:00</v>
      </c>
      <c r="G919" s="4" t="str">
        <f>IFERROR(__xludf.DUMMYFUNCTION("""COMPUTED_VALUE"""),"2019/11/05 12:45:00")</f>
        <v>2019/11/05 12:45:00</v>
      </c>
      <c r="H919" s="4" t="str">
        <f>IFERROR(__xludf.DUMMYFUNCTION("""COMPUTED_VALUE"""),"2539adad-ef92-40f7-a5a3-8c0614fe67e3")</f>
        <v>2539adad-ef92-40f7-a5a3-8c0614fe67e3</v>
      </c>
      <c r="I919" s="4" t="str">
        <f>IFERROR(__xludf.DUMMYFUNCTION("""COMPUTED_VALUE"""),"2539adad-ef92-40f7-a5a3-8c0614fe67e3")</f>
        <v>2539adad-ef92-40f7-a5a3-8c0614fe67e3</v>
      </c>
    </row>
    <row r="920">
      <c r="A920" s="4" t="str">
        <f>IFERROR(__xludf.DUMMYFUNCTION("""COMPUTED_VALUE"""),"Where I am putting my money this year")</f>
        <v>Where I am putting my money this year</v>
      </c>
      <c r="B920" s="4" t="str">
        <f>IFERROR(__xludf.DUMMYFUNCTION("""COMPUTED_VALUE"""),"The world's leading trend-spotting VCs separate fact from fiction and reveal what deals, wins and busts they're forecasting for 2020")</f>
        <v>The world's leading trend-spotting VCs separate fact from fiction and reveal what deals, wins and busts they're forecasting for 2020</v>
      </c>
      <c r="C920" s="4" t="str">
        <f>IFERROR(__xludf.DUMMYFUNCTION("""COMPUTED_VALUE"""),"Centre Stage")</f>
        <v>Centre Stage</v>
      </c>
      <c r="D920" s="4" t="str">
        <f>IFERROR(__xludf.DUMMYFUNCTION("""COMPUTED_VALUE"""),"Pär-Jörgen Pärson, Bradley Twohig, Rashmi Gopinath and Felix Salmon")</f>
        <v>Pär-Jörgen Pärson, Bradley Twohig, Rashmi Gopinath and Felix Salmon</v>
      </c>
      <c r="E920" s="4" t="str">
        <f>IFERROR(__xludf.DUMMYFUNCTION("""COMPUTED_VALUE"""),"Pär-Jörgen Pärson,Bradley Twohig,Rashmi Gopinath,Felix Salmon")</f>
        <v>Pär-Jörgen Pärson,Bradley Twohig,Rashmi Gopinath,Felix Salmon</v>
      </c>
      <c r="F920" s="4" t="str">
        <f>IFERROR(__xludf.DUMMYFUNCTION("""COMPUTED_VALUE"""),"2019/11/06 11:25:00")</f>
        <v>2019/11/06 11:25:00</v>
      </c>
      <c r="G920" s="4" t="str">
        <f>IFERROR(__xludf.DUMMYFUNCTION("""COMPUTED_VALUE"""),"2019/11/06 11:45:00")</f>
        <v>2019/11/06 11:45:00</v>
      </c>
      <c r="H920" s="4" t="str">
        <f>IFERROR(__xludf.DUMMYFUNCTION("""COMPUTED_VALUE"""),"03635554-751f-4ad7-95ea-05f9e587b0b8")</f>
        <v>03635554-751f-4ad7-95ea-05f9e587b0b8</v>
      </c>
      <c r="I920" s="4" t="str">
        <f>IFERROR(__xludf.DUMMYFUNCTION("""COMPUTED_VALUE"""),"03635554-751f-4ad7-95ea-05f9e587b0b8")</f>
        <v>03635554-751f-4ad7-95ea-05f9e587b0b8</v>
      </c>
    </row>
    <row r="921">
      <c r="A921" s="4" t="str">
        <f>IFERROR(__xludf.DUMMYFUNCTION("""COMPUTED_VALUE"""),"The evolution of currency")</f>
        <v>The evolution of currency</v>
      </c>
      <c r="B921" s="4" t="str">
        <f>IFERROR(__xludf.DUMMYFUNCTION("""COMPUTED_VALUE"""),"As society hurtles towards a cashless future, we'll discuss the privacy implications and ask ourselves whether we're really ready to eliminate cash altogether. 
")</f>
        <v>As society hurtles towards a cashless future, we'll discuss the privacy implications and ask ourselves whether we're really ready to eliminate cash altogether. 
</v>
      </c>
      <c r="C921" s="4" t="str">
        <f>IFERROR(__xludf.DUMMYFUNCTION("""COMPUTED_VALUE"""),"DeepTech")</f>
        <v>DeepTech</v>
      </c>
      <c r="D921" s="4" t="str">
        <f>IFERROR(__xludf.DUMMYFUNCTION("""COMPUTED_VALUE"""),"David Chaum")</f>
        <v>David Chaum</v>
      </c>
      <c r="E921" s="4" t="str">
        <f>IFERROR(__xludf.DUMMYFUNCTION("""COMPUTED_VALUE"""),"David Chaum")</f>
        <v>David Chaum</v>
      </c>
      <c r="F921" s="4" t="str">
        <f>IFERROR(__xludf.DUMMYFUNCTION("""COMPUTED_VALUE"""),"2019/11/06 12:35:00")</f>
        <v>2019/11/06 12:35:00</v>
      </c>
      <c r="G921" s="4" t="str">
        <f>IFERROR(__xludf.DUMMYFUNCTION("""COMPUTED_VALUE"""),"2019/11/06 12:55:00")</f>
        <v>2019/11/06 12:55:00</v>
      </c>
      <c r="H921" s="4" t="str">
        <f>IFERROR(__xludf.DUMMYFUNCTION("""COMPUTED_VALUE"""),"ebf971a5-06c6-45f3-9d82-04babddc96c9")</f>
        <v>ebf971a5-06c6-45f3-9d82-04babddc96c9</v>
      </c>
      <c r="I921" s="4" t="str">
        <f>IFERROR(__xludf.DUMMYFUNCTION("""COMPUTED_VALUE"""),"ebf971a5-06c6-45f3-9d82-04babddc96c9")</f>
        <v>ebf971a5-06c6-45f3-9d82-04babddc96c9</v>
      </c>
    </row>
    <row r="922">
      <c r="A922" s="4" t="str">
        <f>IFERROR(__xludf.DUMMYFUNCTION("""COMPUTED_VALUE"""),"PITCH group round 10
")</f>
        <v>PITCH group round 10
</v>
      </c>
      <c r="B922" s="4" t="str">
        <f>IFERROR(__xludf.DUMMYFUNCTION("""COMPUTED_VALUE"""),"")</f>
        <v/>
      </c>
      <c r="C922" s="4" t="str">
        <f>IFERROR(__xludf.DUMMYFUNCTION("""COMPUTED_VALUE"""),"")</f>
        <v/>
      </c>
      <c r="D922" s="4" t="str">
        <f>IFERROR(__xludf.DUMMYFUNCTION("""COMPUTED_VALUE"""),"Sander Geels
Curtis MacDonald
Jim Hunter
Raúl Saraiva
Soulama Sakar
Benjamin Gareis
Kevin Feeney
Simon Puleston Jones
Leila Lech")</f>
        <v>Sander Geels
Curtis MacDonald
Jim Hunter
Raúl Saraiva
Soulama Sakar
Benjamin Gareis
Kevin Feeney
Simon Puleston Jones
Leila Lech</v>
      </c>
      <c r="E922" s="4" t="str">
        <f>IFERROR(__xludf.DUMMYFUNCTION("""COMPUTED_VALUE"""),"Sander Geels
Curtis MacDonald
Jim Hunter
Raúl Saraiva
Soulama Sakar
Benjamin Gareis
Kevin Feeney
Simon Puleston Jones
Leila Lech")</f>
        <v>Sander Geels
Curtis MacDonald
Jim Hunter
Raúl Saraiva
Soulama Sakar
Benjamin Gareis
Kevin Feeney
Simon Puleston Jones
Leila Lech</v>
      </c>
      <c r="F922" s="4" t="str">
        <f>IFERROR(__xludf.DUMMYFUNCTION("""COMPUTED_VALUE"""),"")</f>
        <v/>
      </c>
      <c r="G922" s="4" t="str">
        <f>IFERROR(__xludf.DUMMYFUNCTION("""COMPUTED_VALUE"""),"")</f>
        <v/>
      </c>
      <c r="H922" s="4" t="str">
        <f>IFERROR(__xludf.DUMMYFUNCTION("""COMPUTED_VALUE"""),"a1814105-fc18-5397-99a5-6286089b7cac")</f>
        <v>a1814105-fc18-5397-99a5-6286089b7cac</v>
      </c>
      <c r="I922" s="4" t="str">
        <f>IFERROR(__xludf.DUMMYFUNCTION("""COMPUTED_VALUE"""),"a1814105-fc18-5397-99a5-6286089b7cac")</f>
        <v>a1814105-fc18-5397-99a5-6286089b7cac</v>
      </c>
    </row>
    <row r="923">
      <c r="A923" s="4" t="str">
        <f>IFERROR(__xludf.DUMMYFUNCTION("""COMPUTED_VALUE"""),"Featured venue: Bar Mercearia Tosca")</f>
        <v>Featured venue: Bar Mercearia Tosca</v>
      </c>
      <c r="B923" s="4" t="str">
        <f>IFERROR(__xludf.DUMMYFUNCTION("""COMPUTED_VALUE"""),"")</f>
        <v/>
      </c>
      <c r="C923" s="4" t="str">
        <f>IFERROR(__xludf.DUMMYFUNCTION("""COMPUTED_VALUE"""),"Bar Mercearia Tosca")</f>
        <v>Bar Mercearia Tosca</v>
      </c>
      <c r="D923" s="4" t="str">
        <f>IFERROR(__xludf.DUMMYFUNCTION("""COMPUTED_VALUE"""),"")</f>
        <v/>
      </c>
      <c r="E923" s="4" t="str">
        <f>IFERROR(__xludf.DUMMYFUNCTION("""COMPUTED_VALUE"""),"")</f>
        <v/>
      </c>
      <c r="F923" s="4" t="str">
        <f>IFERROR(__xludf.DUMMYFUNCTION("""COMPUTED_VALUE"""),"2019/11/05 20:00:00")</f>
        <v>2019/11/05 20:00:00</v>
      </c>
      <c r="G923" s="4" t="str">
        <f>IFERROR(__xludf.DUMMYFUNCTION("""COMPUTED_VALUE"""),"2019/11/06 00:00:00")</f>
        <v>2019/11/06 00:00:00</v>
      </c>
      <c r="H923" s="4" t="str">
        <f>IFERROR(__xludf.DUMMYFUNCTION("""COMPUTED_VALUE"""),"d8714472-d420-4ab2-9f2c-181db561f3c1")</f>
        <v>d8714472-d420-4ab2-9f2c-181db561f3c1</v>
      </c>
      <c r="I923" s="4" t="str">
        <f>IFERROR(__xludf.DUMMYFUNCTION("""COMPUTED_VALUE"""),"d8714472-d420-4ab2-9f2c-181db561f3c1")</f>
        <v>d8714472-d420-4ab2-9f2c-181db561f3c1</v>
      </c>
    </row>
    <row r="924">
      <c r="A924" s="4" t="str">
        <f>IFERROR(__xludf.DUMMYFUNCTION("""COMPUTED_VALUE"""),"How to fund a startup with unorthodox strategies")</f>
        <v>How to fund a startup with unorthodox strategies</v>
      </c>
      <c r="B924" s="4" t="str">
        <f>IFERROR(__xludf.DUMMYFUNCTION("""COMPUTED_VALUE"""),"CEO of Boostmi, Michael discusses how to fund a startup with unorthodox strategies.")</f>
        <v>CEO of Boostmi, Michael discusses how to fund a startup with unorthodox strategies.</v>
      </c>
      <c r="C924" s="4" t="str">
        <f>IFERROR(__xludf.DUMMYFUNCTION("""COMPUTED_VALUE"""),"Growth Summit")</f>
        <v>Growth Summit</v>
      </c>
      <c r="D924" s="4" t="str">
        <f>IFERROR(__xludf.DUMMYFUNCTION("""COMPUTED_VALUE"""),"Michael Bibeau")</f>
        <v>Michael Bibeau</v>
      </c>
      <c r="E924" s="4" t="str">
        <f>IFERROR(__xludf.DUMMYFUNCTION("""COMPUTED_VALUE"""),"Michael Bibeau")</f>
        <v>Michael Bibeau</v>
      </c>
      <c r="F924" s="4" t="str">
        <f>IFERROR(__xludf.DUMMYFUNCTION("""COMPUTED_VALUE"""),"2019/11/06 10:06:00")</f>
        <v>2019/11/06 10:06:00</v>
      </c>
      <c r="G924" s="4" t="str">
        <f>IFERROR(__xludf.DUMMYFUNCTION("""COMPUTED_VALUE"""),"2019/11/06 10:10:00")</f>
        <v>2019/11/06 10:10:00</v>
      </c>
      <c r="H924" s="4" t="str">
        <f>IFERROR(__xludf.DUMMYFUNCTION("""COMPUTED_VALUE"""),"fe4689dd-6808-4d9b-8460-9e37ff642d77")</f>
        <v>fe4689dd-6808-4d9b-8460-9e37ff642d77</v>
      </c>
      <c r="I924" s="4" t="str">
        <f>IFERROR(__xludf.DUMMYFUNCTION("""COMPUTED_VALUE"""),"fe4689dd-6808-4d9b-8460-9e37ff642d77")</f>
        <v>fe4689dd-6808-4d9b-8460-9e37ff642d77</v>
      </c>
    </row>
    <row r="925">
      <c r="A925" s="4" t="str">
        <f>IFERROR(__xludf.DUMMYFUNCTION("""COMPUTED_VALUE"""),"Riding a quantum computing wave ")</f>
        <v>Riding a quantum computing wave </v>
      </c>
      <c r="B925" s="4" t="str">
        <f>IFERROR(__xludf.DUMMYFUNCTION("""COMPUTED_VALUE"""),"Innovation in quantum computing technology and increased cloud access have enabled a new era of quantum application development. D-Wave customers have built over 150 early quantum applications to date, with use cases in fields ranging from automotive to f"&amp;"inance to manufacturing. Practical quantum computing is not as far off as many think, and we're starting to see quantum pioneers emerge in a number of industries. ")</f>
        <v>Innovation in quantum computing technology and increased cloud access have enabled a new era of quantum application development. D-Wave customers have built over 150 early quantum applications to date, with use cases in fields ranging from automotive to finance to manufacturing. Practical quantum computing is not as far off as many think, and we're starting to see quantum pioneers emerge in a number of industries. </v>
      </c>
      <c r="C925" s="4" t="str">
        <f>IFERROR(__xludf.DUMMYFUNCTION("""COMPUTED_VALUE"""),"FullSTK")</f>
        <v>FullSTK</v>
      </c>
      <c r="D925" s="4" t="str">
        <f>IFERROR(__xludf.DUMMYFUNCTION("""COMPUTED_VALUE"""),"Vern Brownell")</f>
        <v>Vern Brownell</v>
      </c>
      <c r="E925" s="4" t="str">
        <f>IFERROR(__xludf.DUMMYFUNCTION("""COMPUTED_VALUE"""),"Vern Brownell")</f>
        <v>Vern Brownell</v>
      </c>
      <c r="F925" s="4" t="str">
        <f>IFERROR(__xludf.DUMMYFUNCTION("""COMPUTED_VALUE"""),"2019/11/07 14:15:00")</f>
        <v>2019/11/07 14:15:00</v>
      </c>
      <c r="G925" s="4" t="str">
        <f>IFERROR(__xludf.DUMMYFUNCTION("""COMPUTED_VALUE"""),"2019/11/07 14:35:00")</f>
        <v>2019/11/07 14:35:00</v>
      </c>
      <c r="H925" s="4" t="str">
        <f>IFERROR(__xludf.DUMMYFUNCTION("""COMPUTED_VALUE"""),"24efa3bb-38f7-4748-9be0-4c8bc3ac0fe2")</f>
        <v>24efa3bb-38f7-4748-9be0-4c8bc3ac0fe2</v>
      </c>
      <c r="I925" s="4" t="str">
        <f>IFERROR(__xludf.DUMMYFUNCTION("""COMPUTED_VALUE"""),"24efa3bb-38f7-4748-9be0-4c8bc3ac0fe2")</f>
        <v>24efa3bb-38f7-4748-9be0-4c8bc3ac0fe2</v>
      </c>
    </row>
    <row r="926">
      <c r="A926" s="4" t="str">
        <f>IFERROR(__xludf.DUMMYFUNCTION("""COMPUTED_VALUE"""),"Building the next great ad empire")</f>
        <v>Building the next great ad empire</v>
      </c>
      <c r="B926" s="4" t="str">
        <f>IFERROR(__xludf.DUMMYFUNCTION("""COMPUTED_VALUE"""),"One of the most prominent names in the advertising industry outlines his big vision for the industry.")</f>
        <v>One of the most prominent names in the advertising industry outlines his big vision for the industry.</v>
      </c>
      <c r="C926" s="4" t="str">
        <f>IFERROR(__xludf.DUMMYFUNCTION("""COMPUTED_VALUE"""),"Centre Stage")</f>
        <v>Centre Stage</v>
      </c>
      <c r="D926" s="4" t="str">
        <f>IFERROR(__xludf.DUMMYFUNCTION("""COMPUTED_VALUE"""),"Sir Martin Sorrell and Charlie Warzel")</f>
        <v>Sir Martin Sorrell and Charlie Warzel</v>
      </c>
      <c r="E926" s="4" t="str">
        <f>IFERROR(__xludf.DUMMYFUNCTION("""COMPUTED_VALUE"""),"Sir Martin Sorrell,Charlie Warzel")</f>
        <v>Sir Martin Sorrell,Charlie Warzel</v>
      </c>
      <c r="F926" s="4" t="str">
        <f>IFERROR(__xludf.DUMMYFUNCTION("""COMPUTED_VALUE"""),"2019/11/07 10:30:00")</f>
        <v>2019/11/07 10:30:00</v>
      </c>
      <c r="G926" s="4" t="str">
        <f>IFERROR(__xludf.DUMMYFUNCTION("""COMPUTED_VALUE"""),"2019/11/07 10:50:00")</f>
        <v>2019/11/07 10:50:00</v>
      </c>
      <c r="H926" s="4" t="str">
        <f>IFERROR(__xludf.DUMMYFUNCTION("""COMPUTED_VALUE"""),"67c90a7b-7186-49b5-bfc4-51986b98c4ff")</f>
        <v>67c90a7b-7186-49b5-bfc4-51986b98c4ff</v>
      </c>
      <c r="I926" s="4" t="str">
        <f>IFERROR(__xludf.DUMMYFUNCTION("""COMPUTED_VALUE"""),"67c90a7b-7186-49b5-bfc4-51986b98c4ff")</f>
        <v>67c90a7b-7186-49b5-bfc4-51986b98c4ff</v>
      </c>
    </row>
    <row r="927">
      <c r="A927" s="4" t="str">
        <f>IFERROR(__xludf.DUMMYFUNCTION("""COMPUTED_VALUE"""),"The end game: Making purpose real")</f>
        <v>The end game: Making purpose real</v>
      </c>
      <c r="B927" s="4" t="str">
        <f>IFERROR(__xludf.DUMMYFUNCTION("""COMPUTED_VALUE"""),"Companies love to say that they have a purpose beyond making profits. In reality, it's rarely true. We are now at a defining moment where to thrive long term, companies will need to leverage the true power of purpose.")</f>
        <v>Companies love to say that they have a purpose beyond making profits. In reality, it's rarely true. We are now at a defining moment where to thrive long term, companies will need to leverage the true power of purpose.</v>
      </c>
      <c r="C927" s="4" t="str">
        <f>IFERROR(__xludf.DUMMYFUNCTION("""COMPUTED_VALUE"""),"PandaConf")</f>
        <v>PandaConf</v>
      </c>
      <c r="D927" s="4" t="str">
        <f>IFERROR(__xludf.DUMMYFUNCTION("""COMPUTED_VALUE"""),"Frank Cooper")</f>
        <v>Frank Cooper</v>
      </c>
      <c r="E927" s="4" t="str">
        <f>IFERROR(__xludf.DUMMYFUNCTION("""COMPUTED_VALUE"""),"Frank Cooper")</f>
        <v>Frank Cooper</v>
      </c>
      <c r="F927" s="4" t="str">
        <f>IFERROR(__xludf.DUMMYFUNCTION("""COMPUTED_VALUE"""),"2019/11/06 13:40:00")</f>
        <v>2019/11/06 13:40:00</v>
      </c>
      <c r="G927" s="4" t="str">
        <f>IFERROR(__xludf.DUMMYFUNCTION("""COMPUTED_VALUE"""),"2019/11/06 14:00:00")</f>
        <v>2019/11/06 14:00:00</v>
      </c>
      <c r="H927" s="4" t="str">
        <f>IFERROR(__xludf.DUMMYFUNCTION("""COMPUTED_VALUE"""),"636226aa-a8ed-4f7f-a372-8195bc940c39")</f>
        <v>636226aa-a8ed-4f7f-a372-8195bc940c39</v>
      </c>
      <c r="I927" s="4" t="str">
        <f>IFERROR(__xludf.DUMMYFUNCTION("""COMPUTED_VALUE"""),"636226aa-a8ed-4f7f-a372-8195bc940c39")</f>
        <v>636226aa-a8ed-4f7f-a372-8195bc940c39</v>
      </c>
    </row>
    <row r="928">
      <c r="A928" s="4" t="str">
        <f>IFERROR(__xludf.DUMMYFUNCTION("""COMPUTED_VALUE"""),"Equity for media – a winning investment model?")</f>
        <v>Equity for media – a winning investment model?</v>
      </c>
      <c r="B928" s="4" t="str">
        <f>IFERROR(__xludf.DUMMYFUNCTION("""COMPUTED_VALUE"""),"Channel 4’s growth fund has a simple investment thesis. Hear C4's  insights about the equity for media investment model and some of their successful bets. This is a must for any seed or Series A-D founders.")</f>
        <v>Channel 4’s growth fund has a simple investment thesis. Hear C4's  insights about the equity for media investment model and some of their successful bets. This is a must for any seed or Series A-D founders.</v>
      </c>
      <c r="C928" s="4" t="str">
        <f>IFERROR(__xludf.DUMMYFUNCTION("""COMPUTED_VALUE"""),"Startup University")</f>
        <v>Startup University</v>
      </c>
      <c r="D928" s="4" t="str">
        <f>IFERROR(__xludf.DUMMYFUNCTION("""COMPUTED_VALUE"""),"Vinay Solanki and Gareth Hickey")</f>
        <v>Vinay Solanki and Gareth Hickey</v>
      </c>
      <c r="E928" s="4" t="str">
        <f>IFERROR(__xludf.DUMMYFUNCTION("""COMPUTED_VALUE"""),"Vinay Solanki,Gareth Hickey")</f>
        <v>Vinay Solanki,Gareth Hickey</v>
      </c>
      <c r="F928" s="4" t="str">
        <f>IFERROR(__xludf.DUMMYFUNCTION("""COMPUTED_VALUE"""),"2019/11/06 14:55:00")</f>
        <v>2019/11/06 14:55:00</v>
      </c>
      <c r="G928" s="4" t="str">
        <f>IFERROR(__xludf.DUMMYFUNCTION("""COMPUTED_VALUE"""),"2019/11/06 15:15:00")</f>
        <v>2019/11/06 15:15:00</v>
      </c>
      <c r="H928" s="4" t="str">
        <f>IFERROR(__xludf.DUMMYFUNCTION("""COMPUTED_VALUE"""),"2cfe348f-e3bb-4ade-8415-fa98e5153868")</f>
        <v>2cfe348f-e3bb-4ade-8415-fa98e5153868</v>
      </c>
      <c r="I928" s="4" t="str">
        <f>IFERROR(__xludf.DUMMYFUNCTION("""COMPUTED_VALUE"""),"2cfe348f-e3bb-4ade-8415-fa98e5153868")</f>
        <v>2cfe348f-e3bb-4ade-8415-fa98e5153868</v>
      </c>
    </row>
    <row r="929">
      <c r="A929" s="4" t="str">
        <f>IFERROR(__xludf.DUMMYFUNCTION("""COMPUTED_VALUE"""),"Opening remarks")</f>
        <v>Opening remarks</v>
      </c>
      <c r="B929" s="4" t="str">
        <f>IFERROR(__xludf.DUMMYFUNCTION("""COMPUTED_VALUE"""),"")</f>
        <v/>
      </c>
      <c r="C929" s="4" t="str">
        <f>IFERROR(__xludf.DUMMYFUNCTION("""COMPUTED_VALUE"""),"ContentMakers")</f>
        <v>ContentMakers</v>
      </c>
      <c r="D929" s="4" t="str">
        <f>IFERROR(__xludf.DUMMYFUNCTION("""COMPUTED_VALUE"""),"Keaton Keller")</f>
        <v>Keaton Keller</v>
      </c>
      <c r="E929" s="4" t="str">
        <f>IFERROR(__xludf.DUMMYFUNCTION("""COMPUTED_VALUE"""),"Keaton Keller")</f>
        <v>Keaton Keller</v>
      </c>
      <c r="F929" s="4" t="str">
        <f>IFERROR(__xludf.DUMMYFUNCTION("""COMPUTED_VALUE"""),"2019/11/06 14:00:00")</f>
        <v>2019/11/06 14:00:00</v>
      </c>
      <c r="G929" s="4" t="str">
        <f>IFERROR(__xludf.DUMMYFUNCTION("""COMPUTED_VALUE"""),"2019/11/06 14:15:00")</f>
        <v>2019/11/06 14:15:00</v>
      </c>
      <c r="H929" s="4" t="str">
        <f>IFERROR(__xludf.DUMMYFUNCTION("""COMPUTED_VALUE"""),"32aa3726-5c2e-433c-a030-4523421597bd")</f>
        <v>32aa3726-5c2e-433c-a030-4523421597bd</v>
      </c>
      <c r="I929" s="4" t="str">
        <f>IFERROR(__xludf.DUMMYFUNCTION("""COMPUTED_VALUE"""),"32aa3726-5c2e-433c-a030-4523421597bd")</f>
        <v>32aa3726-5c2e-433c-a030-4523421597bd</v>
      </c>
    </row>
    <row r="930">
      <c r="A930" s="4" t="str">
        <f>IFERROR(__xludf.DUMMYFUNCTION("""COMPUTED_VALUE"""),"Reframing inclusive growth")</f>
        <v>Reframing inclusive growth</v>
      </c>
      <c r="B930" s="4" t="str">
        <f>IFERROR(__xludf.DUMMYFUNCTION("""COMPUTED_VALUE"""),"As we strive for economic prosperity, it's important to ensure no one gets left behind. This talk will bring together pivotal players in economic development to discuss the key to optimising social inclusion, productivity and innovation leading to stronge"&amp;"r economic integration. ")</f>
        <v>As we strive for economic prosperity, it's important to ensure no one gets left behind. This talk will bring together pivotal players in economic development to discuss the key to optimising social inclusion, productivity and innovation leading to stronger economic integration. </v>
      </c>
      <c r="C930" s="4" t="str">
        <f>IFERROR(__xludf.DUMMYFUNCTION("""COMPUTED_VALUE"""),"Corporate Innovation Summit")</f>
        <v>Corporate Innovation Summit</v>
      </c>
      <c r="D930" s="4" t="str">
        <f>IFERROR(__xludf.DUMMYFUNCTION("""COMPUTED_VALUE"""),"Ambroise Fayolle, Juliano Seabra and Diogo Sousa")</f>
        <v>Ambroise Fayolle, Juliano Seabra and Diogo Sousa</v>
      </c>
      <c r="E930" s="4" t="str">
        <f>IFERROR(__xludf.DUMMYFUNCTION("""COMPUTED_VALUE"""),"Ambroise Fayolle,Juliano Seabra,Diogo Sousa")</f>
        <v>Ambroise Fayolle,Juliano Seabra,Diogo Sousa</v>
      </c>
      <c r="F930" s="4" t="str">
        <f>IFERROR(__xludf.DUMMYFUNCTION("""COMPUTED_VALUE"""),"2019/11/06 12:05:00")</f>
        <v>2019/11/06 12:05:00</v>
      </c>
      <c r="G930" s="4" t="str">
        <f>IFERROR(__xludf.DUMMYFUNCTION("""COMPUTED_VALUE"""),"2019/11/06 12:25:00")</f>
        <v>2019/11/06 12:25:00</v>
      </c>
      <c r="H930" s="4" t="str">
        <f>IFERROR(__xludf.DUMMYFUNCTION("""COMPUTED_VALUE"""),"dc90930a-ffb0-4920-9720-dd2ce39a0b4a")</f>
        <v>dc90930a-ffb0-4920-9720-dd2ce39a0b4a</v>
      </c>
      <c r="I930" s="4" t="str">
        <f>IFERROR(__xludf.DUMMYFUNCTION("""COMPUTED_VALUE"""),"dc90930a-ffb0-4920-9720-dd2ce39a0b4a")</f>
        <v>dc90930a-ffb0-4920-9720-dd2ce39a0b4a</v>
      </c>
    </row>
    <row r="931">
      <c r="A931" s="4" t="str">
        <f>IFERROR(__xludf.DUMMYFUNCTION("""COMPUTED_VALUE"""),"Don't lose sight of the customer")</f>
        <v>Don't lose sight of the customer</v>
      </c>
      <c r="B931" s="4" t="str">
        <f>IFERROR(__xludf.DUMMYFUNCTION("""COMPUTED_VALUE"""),"Product market fit is hard to find and harder to keep in a dynamic business environment. CEO and co-founder, Josh will share how focusing on the customer from day one was the key to finding and keeping product market fit for his team at Abstract—and what "&amp;"can happen if you shift your focus away.")</f>
        <v>Product market fit is hard to find and harder to keep in a dynamic business environment. CEO and co-founder, Josh will share how focusing on the customer from day one was the key to finding and keeping product market fit for his team at Abstract—and what can happen if you shift your focus away.</v>
      </c>
      <c r="C931" s="4" t="str">
        <f>IFERROR(__xludf.DUMMYFUNCTION("""COMPUTED_VALUE"""),"Growth Summit")</f>
        <v>Growth Summit</v>
      </c>
      <c r="D931" s="4" t="str">
        <f>IFERROR(__xludf.DUMMYFUNCTION("""COMPUTED_VALUE"""),"Joshua Brewer")</f>
        <v>Joshua Brewer</v>
      </c>
      <c r="E931" s="4" t="str">
        <f>IFERROR(__xludf.DUMMYFUNCTION("""COMPUTED_VALUE"""),"Joshua Brewer")</f>
        <v>Joshua Brewer</v>
      </c>
      <c r="F931" s="4" t="str">
        <f>IFERROR(__xludf.DUMMYFUNCTION("""COMPUTED_VALUE"""),"2019/11/07 15:26:00")</f>
        <v>2019/11/07 15:26:00</v>
      </c>
      <c r="G931" s="4" t="str">
        <f>IFERROR(__xludf.DUMMYFUNCTION("""COMPUTED_VALUE"""),"2019/11/07 15:37:00")</f>
        <v>2019/11/07 15:37:00</v>
      </c>
      <c r="H931" s="4" t="str">
        <f>IFERROR(__xludf.DUMMYFUNCTION("""COMPUTED_VALUE"""),"b201e2f6-b942-48ae-a4bb-133b45500eeb")</f>
        <v>b201e2f6-b942-48ae-a4bb-133b45500eeb</v>
      </c>
      <c r="I931" s="4" t="str">
        <f>IFERROR(__xludf.DUMMYFUNCTION("""COMPUTED_VALUE"""),"b201e2f6-b942-48ae-a4bb-133b45500eeb")</f>
        <v>b201e2f6-b942-48ae-a4bb-133b45500eeb</v>
      </c>
    </row>
    <row r="932">
      <c r="A932" s="4" t="str">
        <f>IFERROR(__xludf.DUMMYFUNCTION("""COMPUTED_VALUE"""),"Data and trust: A way forward")</f>
        <v>Data and trust: A way forward</v>
      </c>
      <c r="B932" s="4" t="str">
        <f>IFERROR(__xludf.DUMMYFUNCTION("""COMPUTED_VALUE"""),"Once burned, twice shy. As data becomes the great opportunity and challenge of our time, has blockchain risen to build the trust people can't? In this session we will explore its potential to safeguard our data, and how companies and policymakers respond "&amp;"to public mistrust. ")</f>
        <v>Once burned, twice shy. As data becomes the great opportunity and challenge of our time, has blockchain risen to build the trust people can't? In this session we will explore its potential to safeguard our data, and how companies and policymakers respond to public mistrust. </v>
      </c>
      <c r="C932" s="4" t="str">
        <f>IFERROR(__xludf.DUMMYFUNCTION("""COMPUTED_VALUE"""),"Corporate Innovation Summit")</f>
        <v>Corporate Innovation Summit</v>
      </c>
      <c r="D932" s="4" t="str">
        <f>IFERROR(__xludf.DUMMYFUNCTION("""COMPUTED_VALUE"""),"Eva Kaili, Ayman Hariri and Mark Di Stefano")</f>
        <v>Eva Kaili, Ayman Hariri and Mark Di Stefano</v>
      </c>
      <c r="E932" s="4" t="str">
        <f>IFERROR(__xludf.DUMMYFUNCTION("""COMPUTED_VALUE"""),"Eva Kaili,Ayman Hariri,Mark Di Stefano")</f>
        <v>Eva Kaili,Ayman Hariri,Mark Di Stefano</v>
      </c>
      <c r="F932" s="4" t="str">
        <f>IFERROR(__xludf.DUMMYFUNCTION("""COMPUTED_VALUE"""),"2019/11/07 11:40:00")</f>
        <v>2019/11/07 11:40:00</v>
      </c>
      <c r="G932" s="4" t="str">
        <f>IFERROR(__xludf.DUMMYFUNCTION("""COMPUTED_VALUE"""),"2019/11/07 12:00:00")</f>
        <v>2019/11/07 12:00:00</v>
      </c>
      <c r="H932" s="4" t="str">
        <f>IFERROR(__xludf.DUMMYFUNCTION("""COMPUTED_VALUE"""),"7dd7239a-ba88-46b1-ad03-f5c831b9e435")</f>
        <v>7dd7239a-ba88-46b1-ad03-f5c831b9e435</v>
      </c>
      <c r="I932" s="4" t="str">
        <f>IFERROR(__xludf.DUMMYFUNCTION("""COMPUTED_VALUE"""),"7dd7239a-ba88-46b1-ad03-f5c831b9e435")</f>
        <v>7dd7239a-ba88-46b1-ad03-f5c831b9e435</v>
      </c>
    </row>
    <row r="933">
      <c r="A933" s="4" t="str">
        <f>IFERROR(__xludf.DUMMYFUNCTION("""COMPUTED_VALUE"""),"Build a mobile app with machine learning (No ML expertise required)")</f>
        <v>Build a mobile app with machine learning (No ML expertise required)</v>
      </c>
      <c r="B933" s="4" t="str">
        <f>IFERROR(__xludf.DUMMYFUNCTION("""COMPUTED_VALUE"""),"Machine learning at the edge is about making your apps smarter with real-time object and face recognition, offline predictions, and protecting user privacy. You might be thinking that sounds cool, but have no idea where or how to even start. Do you need t"&amp;"o go back to school? The simple answer is no. In this session, we'll explore five ways to handle prediction or inference and decision making in modern apps without needing to know anything about machine learning or write any ML code. Demystify deep learni"&amp;"ng and easily call managed ML services, build, train, and/or deploy ML models to mobile and IoT devices.")</f>
        <v>Machine learning at the edge is about making your apps smarter with real-time object and face recognition, offline predictions, and protecting user privacy. You might be thinking that sounds cool, but have no idea where or how to even start. Do you need to go back to school? The simple answer is no. In this session, we'll explore five ways to handle prediction or inference and decision making in modern apps without needing to know anything about machine learning or write any ML code. Demystify deep learning and easily call managed ML services, build, train, and/or deploy ML models to mobile and IoT devices.</v>
      </c>
      <c r="C933" s="4" t="str">
        <f>IFERROR(__xludf.DUMMYFUNCTION("""COMPUTED_VALUE"""),"AWS Developer Workshops")</f>
        <v>AWS Developer Workshops</v>
      </c>
      <c r="D933" s="4" t="str">
        <f>IFERROR(__xludf.DUMMYFUNCTION("""COMPUTED_VALUE"""),"")</f>
        <v/>
      </c>
      <c r="E933" s="4" t="str">
        <f>IFERROR(__xludf.DUMMYFUNCTION("""COMPUTED_VALUE"""),"")</f>
        <v/>
      </c>
      <c r="F933" s="4" t="str">
        <f>IFERROR(__xludf.DUMMYFUNCTION("""COMPUTED_VALUE"""),"2019/11/07 16:00:00")</f>
        <v>2019/11/07 16:00:00</v>
      </c>
      <c r="G933" s="4" t="str">
        <f>IFERROR(__xludf.DUMMYFUNCTION("""COMPUTED_VALUE"""),"2019/11/07 16:50:00")</f>
        <v>2019/11/07 16:50:00</v>
      </c>
      <c r="H933" s="4" t="str">
        <f>IFERROR(__xludf.DUMMYFUNCTION("""COMPUTED_VALUE"""),"d630943b-68ef-41ab-ab7a-974a05af6e69")</f>
        <v>d630943b-68ef-41ab-ab7a-974a05af6e69</v>
      </c>
      <c r="I933" s="4" t="str">
        <f>IFERROR(__xludf.DUMMYFUNCTION("""COMPUTED_VALUE"""),"d630943b-68ef-41ab-ab7a-974a05af6e69")</f>
        <v>d630943b-68ef-41ab-ab7a-974a05af6e69</v>
      </c>
    </row>
    <row r="934">
      <c r="A934" s="4" t="str">
        <f>IFERROR(__xludf.DUMMYFUNCTION("""COMPUTED_VALUE"""),"Lean In Circles: The power of sisterhood to build inclusive technology and fight bias, hosted by Lean In Women In Tech Lisbon.")</f>
        <v>Lean In Circles: The power of sisterhood to build inclusive technology and fight bias, hosted by Lean In Women In Tech Lisbon.</v>
      </c>
      <c r="B934" s="4" t="str">
        <f>IFERROR(__xludf.DUMMYFUNCTION("""COMPUTED_VALUE"""),"We believe there is a need for diversity and inclusion in the tech space, and we are here to help bridge the gap! We will have a Lean In Circle for women who want to explore unconscious biases and different ways to overcome them in a safe and supportive s"&amp;"pace. Lean In Circles are places for exchanging experiences and supporting each other to become our best selves. After participation, you will be inspired and empowered to take the next step towards your goals. Together we can create the change!")</f>
        <v>We believe there is a need for diversity and inclusion in the tech space, and we are here to help bridge the gap! We will have a Lean In Circle for women who want to explore unconscious biases and different ways to overcome them in a safe and supportive space. Lean In Circles are places for exchanging experiences and supporting each other to become our best selves. After participation, you will be inspired and empowered to take the next step towards your goals. Together we can create the change!</v>
      </c>
      <c r="C934" s="4" t="str">
        <f>IFERROR(__xludf.DUMMYFUNCTION("""COMPUTED_VALUE"""),"Workshop 1")</f>
        <v>Workshop 1</v>
      </c>
      <c r="D934" s="4" t="str">
        <f>IFERROR(__xludf.DUMMYFUNCTION("""COMPUTED_VALUE"""),"Stela Suils Cuesta, Adriana Camilleri, Melissa Romero, Amel Murphy, Barbara Lampl, Netta Nevalainen and Anni Rautio")</f>
        <v>Stela Suils Cuesta, Adriana Camilleri, Melissa Romero, Amel Murphy, Barbara Lampl, Netta Nevalainen and Anni Rautio</v>
      </c>
      <c r="E934" s="4" t="str">
        <f>IFERROR(__xludf.DUMMYFUNCTION("""COMPUTED_VALUE"""),"Stela Suils Cuesta,Adriana Camilleri,Melissa Romero,Amel Murphy,Barbara Lampl,Netta Nevalainen,Anni Rautio")</f>
        <v>Stela Suils Cuesta,Adriana Camilleri,Melissa Romero,Amel Murphy,Barbara Lampl,Netta Nevalainen,Anni Rautio</v>
      </c>
      <c r="F934" s="4" t="str">
        <f>IFERROR(__xludf.DUMMYFUNCTION("""COMPUTED_VALUE"""),"2019/11/07 11:45:00")</f>
        <v>2019/11/07 11:45:00</v>
      </c>
      <c r="G934" s="4" t="str">
        <f>IFERROR(__xludf.DUMMYFUNCTION("""COMPUTED_VALUE"""),"2019/11/07 13:00:00")</f>
        <v>2019/11/07 13:00:00</v>
      </c>
      <c r="H934" s="4" t="str">
        <f>IFERROR(__xludf.DUMMYFUNCTION("""COMPUTED_VALUE"""),"1114b636-62db-4ebe-9d40-1c4e826132b5")</f>
        <v>1114b636-62db-4ebe-9d40-1c4e826132b5</v>
      </c>
      <c r="I934" s="4" t="str">
        <f>IFERROR(__xludf.DUMMYFUNCTION("""COMPUTED_VALUE"""),"1114b636-62db-4ebe-9d40-1c4e826132b5")</f>
        <v>1114b636-62db-4ebe-9d40-1c4e826132b5</v>
      </c>
    </row>
    <row r="935">
      <c r="A935" s="4" t="str">
        <f>IFERROR(__xludf.DUMMYFUNCTION("""COMPUTED_VALUE"""),"Evolution from keyword searches to AI-enabled conversations")</f>
        <v>Evolution from keyword searches to AI-enabled conversations</v>
      </c>
      <c r="B935" s="4" t="str">
        <f>IFERROR(__xludf.DUMMYFUNCTION("""COMPUTED_VALUE"""),"Rohit Prasad, VP &amp; Head Scientist for Amazon Alexa, shares his perspective on how far Alexa has come in the five years since launch, as well as how advancements in and democratisation of conversational AI will continue to deliver new experiences and seaml"&amp;"essly connect customers to services.")</f>
        <v>Rohit Prasad, VP &amp; Head Scientist for Amazon Alexa, shares his perspective on how far Alexa has come in the five years since launch, as well as how advancements in and democratisation of conversational AI will continue to deliver new experiences and seamlessly connect customers to services.</v>
      </c>
      <c r="C935" s="4" t="str">
        <f>IFERROR(__xludf.DUMMYFUNCTION("""COMPUTED_VALUE"""),"Centre Stage")</f>
        <v>Centre Stage</v>
      </c>
      <c r="D935" s="4" t="str">
        <f>IFERROR(__xludf.DUMMYFUNCTION("""COMPUTED_VALUE"""),"Rohit Prasad")</f>
        <v>Rohit Prasad</v>
      </c>
      <c r="E935" s="4" t="str">
        <f>IFERROR(__xludf.DUMMYFUNCTION("""COMPUTED_VALUE"""),"Rohit Prasad")</f>
        <v>Rohit Prasad</v>
      </c>
      <c r="F935" s="4" t="str">
        <f>IFERROR(__xludf.DUMMYFUNCTION("""COMPUTED_VALUE"""),"2019/11/05 15:30:00")</f>
        <v>2019/11/05 15:30:00</v>
      </c>
      <c r="G935" s="4" t="str">
        <f>IFERROR(__xludf.DUMMYFUNCTION("""COMPUTED_VALUE"""),"2019/11/05 15:50:00")</f>
        <v>2019/11/05 15:50:00</v>
      </c>
      <c r="H935" s="4" t="str">
        <f>IFERROR(__xludf.DUMMYFUNCTION("""COMPUTED_VALUE"""),"422cb568-1b51-4802-bf6e-86f3002c4fb2")</f>
        <v>422cb568-1b51-4802-bf6e-86f3002c4fb2</v>
      </c>
      <c r="I935" s="4" t="str">
        <f>IFERROR(__xludf.DUMMYFUNCTION("""COMPUTED_VALUE"""),"422cb568-1b51-4802-bf6e-86f3002c4fb2")</f>
        <v>422cb568-1b51-4802-bf6e-86f3002c4fb2</v>
      </c>
    </row>
    <row r="936">
      <c r="A936" s="4" t="str">
        <f>IFERROR(__xludf.DUMMYFUNCTION("""COMPUTED_VALUE"""),"ATM 3")</f>
        <v>ATM 3</v>
      </c>
      <c r="B936" s="4" t="str">
        <f>IFERROR(__xludf.DUMMYFUNCTION("""COMPUTED_VALUE"""),"")</f>
        <v/>
      </c>
      <c r="C936" s="4" t="str">
        <f>IFERROR(__xludf.DUMMYFUNCTION("""COMPUTED_VALUE"""),"ATM - 3 - Nov 5")</f>
        <v>ATM - 3 - Nov 5</v>
      </c>
      <c r="D936" s="4" t="str">
        <f>IFERROR(__xludf.DUMMYFUNCTION("""COMPUTED_VALUE"""),"")</f>
        <v/>
      </c>
      <c r="E936" s="4" t="str">
        <f>IFERROR(__xludf.DUMMYFUNCTION("""COMPUTED_VALUE"""),"")</f>
        <v/>
      </c>
      <c r="F936" s="4" t="str">
        <f>IFERROR(__xludf.DUMMYFUNCTION("""COMPUTED_VALUE"""),"2019/11/05 20:01:00")</f>
        <v>2019/11/05 20:01:00</v>
      </c>
      <c r="G936" s="4" t="str">
        <f>IFERROR(__xludf.DUMMYFUNCTION("""COMPUTED_VALUE"""),"2019/11/05 23:59:00")</f>
        <v>2019/11/05 23:59:00</v>
      </c>
      <c r="H936" s="4" t="str">
        <f>IFERROR(__xludf.DUMMYFUNCTION("""COMPUTED_VALUE"""),"e28f5320-b22d-4768-b4cf-e9aae0d10f3c")</f>
        <v>e28f5320-b22d-4768-b4cf-e9aae0d10f3c</v>
      </c>
      <c r="I936" s="4" t="str">
        <f>IFERROR(__xludf.DUMMYFUNCTION("""COMPUTED_VALUE"""),"e28f5320-b22d-4768-b4cf-e9aae0d10f3c")</f>
        <v>e28f5320-b22d-4768-b4cf-e9aae0d10f3c</v>
      </c>
    </row>
    <row r="937">
      <c r="A937" s="4" t="str">
        <f>IFERROR(__xludf.DUMMYFUNCTION("""COMPUTED_VALUE"""),"Lunch break")</f>
        <v>Lunch break</v>
      </c>
      <c r="B937" s="4" t="str">
        <f>IFERROR(__xludf.DUMMYFUNCTION("""COMPUTED_VALUE"""),"")</f>
        <v/>
      </c>
      <c r="C937" s="4" t="str">
        <f>IFERROR(__xludf.DUMMYFUNCTION("""COMPUTED_VALUE"""),"Centre Stage")</f>
        <v>Centre Stage</v>
      </c>
      <c r="D937" s="4" t="str">
        <f>IFERROR(__xludf.DUMMYFUNCTION("""COMPUTED_VALUE"""),"")</f>
        <v/>
      </c>
      <c r="E937" s="4" t="str">
        <f>IFERROR(__xludf.DUMMYFUNCTION("""COMPUTED_VALUE"""),"")</f>
        <v/>
      </c>
      <c r="F937" s="4" t="str">
        <f>IFERROR(__xludf.DUMMYFUNCTION("""COMPUTED_VALUE"""),"2019/11/06 13:00:00")</f>
        <v>2019/11/06 13:00:00</v>
      </c>
      <c r="G937" s="4" t="str">
        <f>IFERROR(__xludf.DUMMYFUNCTION("""COMPUTED_VALUE"""),"2019/11/06 13:10:00")</f>
        <v>2019/11/06 13:10:00</v>
      </c>
      <c r="H937" s="4" t="str">
        <f>IFERROR(__xludf.DUMMYFUNCTION("""COMPUTED_VALUE"""),"a073ad0e-182e-4925-8032-a00501472885")</f>
        <v>a073ad0e-182e-4925-8032-a00501472885</v>
      </c>
      <c r="I937" s="4" t="str">
        <f>IFERROR(__xludf.DUMMYFUNCTION("""COMPUTED_VALUE"""),"a073ad0e-182e-4925-8032-a00501472885")</f>
        <v>a073ad0e-182e-4925-8032-a00501472885</v>
      </c>
    </row>
    <row r="938">
      <c r="A938" s="4" t="str">
        <f>IFERROR(__xludf.DUMMYFUNCTION("""COMPUTED_VALUE"""),"Lunch break")</f>
        <v>Lunch break</v>
      </c>
      <c r="B938" s="4" t="str">
        <f>IFERROR(__xludf.DUMMYFUNCTION("""COMPUTED_VALUE"""),"")</f>
        <v/>
      </c>
      <c r="C938" s="4" t="str">
        <f>IFERROR(__xludf.DUMMYFUNCTION("""COMPUTED_VALUE"""),"Growth Summit")</f>
        <v>Growth Summit</v>
      </c>
      <c r="D938" s="4" t="str">
        <f>IFERROR(__xludf.DUMMYFUNCTION("""COMPUTED_VALUE"""),"")</f>
        <v/>
      </c>
      <c r="E938" s="4" t="str">
        <f>IFERROR(__xludf.DUMMYFUNCTION("""COMPUTED_VALUE"""),"")</f>
        <v/>
      </c>
      <c r="F938" s="4" t="str">
        <f>IFERROR(__xludf.DUMMYFUNCTION("""COMPUTED_VALUE"""),"2019/11/07 11:58:00")</f>
        <v>2019/11/07 11:58:00</v>
      </c>
      <c r="G938" s="4" t="str">
        <f>IFERROR(__xludf.DUMMYFUNCTION("""COMPUTED_VALUE"""),"2019/11/07 12:28:00")</f>
        <v>2019/11/07 12:28:00</v>
      </c>
      <c r="H938" s="4" t="str">
        <f>IFERROR(__xludf.DUMMYFUNCTION("""COMPUTED_VALUE"""),"514c6bf7-ec02-4796-b76d-c951723f457c")</f>
        <v>514c6bf7-ec02-4796-b76d-c951723f457c</v>
      </c>
      <c r="I938" s="4" t="str">
        <f>IFERROR(__xludf.DUMMYFUNCTION("""COMPUTED_VALUE"""),"514c6bf7-ec02-4796-b76d-c951723f457c")</f>
        <v>514c6bf7-ec02-4796-b76d-c951723f457c</v>
      </c>
    </row>
    <row r="939">
      <c r="A939" s="4" t="str">
        <f>IFERROR(__xludf.DUMMYFUNCTION("""COMPUTED_VALUE"""),"The athlete's guide to influence and brand building")</f>
        <v>The athlete's guide to influence and brand building</v>
      </c>
      <c r="B939" s="4" t="str">
        <f>IFERROR(__xludf.DUMMYFUNCTION("""COMPUTED_VALUE"""),"Louis Saha spent 15 years hitting the back of the net. Now he's joined forces with brand and digital marketing expert Kate Hamer to create the AxisStars platform. In this session, you'll find out how they are using the net to score a different kind of goa"&amp;"l. ")</f>
        <v>Louis Saha spent 15 years hitting the back of the net. Now he's joined forces with brand and digital marketing expert Kate Hamer to create the AxisStars platform. In this session, you'll find out how they are using the net to score a different kind of goal. </v>
      </c>
      <c r="C939" s="4" t="str">
        <f>IFERROR(__xludf.DUMMYFUNCTION("""COMPUTED_VALUE"""),"SportsTrade")</f>
        <v>SportsTrade</v>
      </c>
      <c r="D939" s="4" t="str">
        <f>IFERROR(__xludf.DUMMYFUNCTION("""COMPUTED_VALUE"""),"Louis Saha, Kate Hamer and Andy Mitten")</f>
        <v>Louis Saha, Kate Hamer and Andy Mitten</v>
      </c>
      <c r="E939" s="4" t="str">
        <f>IFERROR(__xludf.DUMMYFUNCTION("""COMPUTED_VALUE"""),"Louis Saha,Kate Hamer,Andy Mitten")</f>
        <v>Louis Saha,Kate Hamer,Andy Mitten</v>
      </c>
      <c r="F939" s="4" t="str">
        <f>IFERROR(__xludf.DUMMYFUNCTION("""COMPUTED_VALUE"""),"2019/11/05 15:35:00")</f>
        <v>2019/11/05 15:35:00</v>
      </c>
      <c r="G939" s="4" t="str">
        <f>IFERROR(__xludf.DUMMYFUNCTION("""COMPUTED_VALUE"""),"2019/11/05 15:55:00")</f>
        <v>2019/11/05 15:55:00</v>
      </c>
      <c r="H939" s="4" t="str">
        <f>IFERROR(__xludf.DUMMYFUNCTION("""COMPUTED_VALUE"""),"efde342b-590a-4149-af8f-e5cf476552d6")</f>
        <v>efde342b-590a-4149-af8f-e5cf476552d6</v>
      </c>
      <c r="I939" s="4" t="str">
        <f>IFERROR(__xludf.DUMMYFUNCTION("""COMPUTED_VALUE"""),"efde342b-590a-4149-af8f-e5cf476552d6")</f>
        <v>efde342b-590a-4149-af8f-e5cf476552d6</v>
      </c>
    </row>
    <row r="940">
      <c r="A940" s="4" t="str">
        <f>IFERROR(__xludf.DUMMYFUNCTION("""COMPUTED_VALUE"""),"21st century design is for everyone")</f>
        <v>21st century design is for everyone</v>
      </c>
      <c r="B940" s="4" t="str">
        <f>IFERROR(__xludf.DUMMYFUNCTION("""COMPUTED_VALUE"""),"We all have a universal understanding that visuals such as red denotes danger, a green man on a traffic light means it’s safe to cross, and a skeleton skull on a bottle of unknown liquid means poison. When it comes to design, communication is immediate; i"&amp;"t’s easy and transcendent. But other than simply being consumers of design, Canva CEO and co-founder Melanie Perkins poses a question - can we empower everyone to create? 
")</f>
        <v>We all have a universal understanding that visuals such as red denotes danger, a green man on a traffic light means it’s safe to cross, and a skeleton skull on a bottle of unknown liquid means poison. When it comes to design, communication is immediate; it’s easy and transcendent. But other than simply being consumers of design, Canva CEO and co-founder Melanie Perkins poses a question - can we empower everyone to create? 
</v>
      </c>
      <c r="C940" s="4" t="str">
        <f>IFERROR(__xludf.DUMMYFUNCTION("""COMPUTED_VALUE"""),"creatiff")</f>
        <v>creatiff</v>
      </c>
      <c r="D940" s="4" t="str">
        <f>IFERROR(__xludf.DUMMYFUNCTION("""COMPUTED_VALUE"""),"Melanie Perkins")</f>
        <v>Melanie Perkins</v>
      </c>
      <c r="E940" s="4" t="str">
        <f>IFERROR(__xludf.DUMMYFUNCTION("""COMPUTED_VALUE"""),"Melanie Perkins")</f>
        <v>Melanie Perkins</v>
      </c>
      <c r="F940" s="4" t="str">
        <f>IFERROR(__xludf.DUMMYFUNCTION("""COMPUTED_VALUE"""),"2019/11/05 11:15:00")</f>
        <v>2019/11/05 11:15:00</v>
      </c>
      <c r="G940" s="4" t="str">
        <f>IFERROR(__xludf.DUMMYFUNCTION("""COMPUTED_VALUE"""),"2019/11/05 11:35:00")</f>
        <v>2019/11/05 11:35:00</v>
      </c>
      <c r="H940" s="4" t="str">
        <f>IFERROR(__xludf.DUMMYFUNCTION("""COMPUTED_VALUE"""),"0363dbf3-9a0c-498b-9119-2dd41e3a9148")</f>
        <v>0363dbf3-9a0c-498b-9119-2dd41e3a9148</v>
      </c>
      <c r="I940" s="4" t="str">
        <f>IFERROR(__xludf.DUMMYFUNCTION("""COMPUTED_VALUE"""),"0363dbf3-9a0c-498b-9119-2dd41e3a9148")</f>
        <v>0363dbf3-9a0c-498b-9119-2dd41e3a9148</v>
      </c>
    </row>
    <row r="941">
      <c r="A941" s="4" t="str">
        <f>IFERROR(__xludf.DUMMYFUNCTION("""COMPUTED_VALUE"""),"Building the future of work with humanness")</f>
        <v>Building the future of work with humanness</v>
      </c>
      <c r="B941" s="4" t="str">
        <f>IFERROR(__xludf.DUMMYFUNCTION("""COMPUTED_VALUE"""),"In the world of self-driving cars, drones, and AI that seek to replace humans, Springboard has taken a contrarian approach and chosen humanness as a core company value. In this talk, I’ll share stories of how focusing on human relationships — both interna"&amp;"lly and with our users — has helped us stand out and grow stronger as a company.")</f>
        <v>In the world of self-driving cars, drones, and AI that seek to replace humans, Springboard has taken a contrarian approach and chosen humanness as a core company value. In this talk, I’ll share stories of how focusing on human relationships — both internally and with our users — has helped us stand out and grow stronger as a company.</v>
      </c>
      <c r="C941" s="4" t="str">
        <f>IFERROR(__xludf.DUMMYFUNCTION("""COMPUTED_VALUE"""),"Growth Summit")</f>
        <v>Growth Summit</v>
      </c>
      <c r="D941" s="4" t="str">
        <f>IFERROR(__xludf.DUMMYFUNCTION("""COMPUTED_VALUE"""),"Parul Gupta")</f>
        <v>Parul Gupta</v>
      </c>
      <c r="E941" s="4" t="str">
        <f>IFERROR(__xludf.DUMMYFUNCTION("""COMPUTED_VALUE"""),"Parul Gupta")</f>
        <v>Parul Gupta</v>
      </c>
      <c r="F941" s="4" t="str">
        <f>IFERROR(__xludf.DUMMYFUNCTION("""COMPUTED_VALUE"""),"2019/11/06 13:36:00")</f>
        <v>2019/11/06 13:36:00</v>
      </c>
      <c r="G941" s="4" t="str">
        <f>IFERROR(__xludf.DUMMYFUNCTION("""COMPUTED_VALUE"""),"2019/11/06 13:47:00")</f>
        <v>2019/11/06 13:47:00</v>
      </c>
      <c r="H941" s="4" t="str">
        <f>IFERROR(__xludf.DUMMYFUNCTION("""COMPUTED_VALUE"""),"584a298c-7cc3-41f2-a789-553523ed53b3")</f>
        <v>584a298c-7cc3-41f2-a789-553523ed53b3</v>
      </c>
      <c r="I941" s="4" t="str">
        <f>IFERROR(__xludf.DUMMYFUNCTION("""COMPUTED_VALUE"""),"584a298c-7cc3-41f2-a789-553523ed53b3")</f>
        <v>584a298c-7cc3-41f2-a789-553523ed53b3</v>
      </c>
    </row>
    <row r="942">
      <c r="A942" s="4" t="str">
        <f>IFERROR(__xludf.DUMMYFUNCTION("""COMPUTED_VALUE"""),"The future of startup investment")</f>
        <v>The future of startup investment</v>
      </c>
      <c r="B942" s="4" t="str">
        <f>IFERROR(__xludf.DUMMYFUNCTION("""COMPUTED_VALUE"""),"SeedLegals has transformed the way startups raise investment as the world’s first automated legal solution for funding rounds. Join SeedLegals founder Anthony Rose to hear what's on the horizon for the largest closer of funding rounds in the UK, and what "&amp;"the future of VC investing looks like.")</f>
        <v>SeedLegals has transformed the way startups raise investment as the world’s first automated legal solution for funding rounds. Join SeedLegals founder Anthony Rose to hear what's on the horizon for the largest closer of funding rounds in the UK, and what the future of VC investing looks like.</v>
      </c>
      <c r="C942" s="4" t="str">
        <f>IFERROR(__xludf.DUMMYFUNCTION("""COMPUTED_VALUE"""),"Growth Summit")</f>
        <v>Growth Summit</v>
      </c>
      <c r="D942" s="4" t="str">
        <f>IFERROR(__xludf.DUMMYFUNCTION("""COMPUTED_VALUE"""),"Anthony Rose")</f>
        <v>Anthony Rose</v>
      </c>
      <c r="E942" s="4" t="str">
        <f>IFERROR(__xludf.DUMMYFUNCTION("""COMPUTED_VALUE"""),"Anthony Rose")</f>
        <v>Anthony Rose</v>
      </c>
      <c r="F942" s="4" t="str">
        <f>IFERROR(__xludf.DUMMYFUNCTION("""COMPUTED_VALUE"""),"2019/11/06 10:42:00")</f>
        <v>2019/11/06 10:42:00</v>
      </c>
      <c r="G942" s="4" t="str">
        <f>IFERROR(__xludf.DUMMYFUNCTION("""COMPUTED_VALUE"""),"2019/11/06 10:46:00")</f>
        <v>2019/11/06 10:46:00</v>
      </c>
      <c r="H942" s="4" t="str">
        <f>IFERROR(__xludf.DUMMYFUNCTION("""COMPUTED_VALUE"""),"210701d5-9b54-4a39-ac67-62a830cf820c")</f>
        <v>210701d5-9b54-4a39-ac67-62a830cf820c</v>
      </c>
      <c r="I942" s="4" t="str">
        <f>IFERROR(__xludf.DUMMYFUNCTION("""COMPUTED_VALUE"""),"210701d5-9b54-4a39-ac67-62a830cf820c")</f>
        <v>210701d5-9b54-4a39-ac67-62a830cf820c</v>
      </c>
    </row>
    <row r="943">
      <c r="A943" s="4" t="str">
        <f>IFERROR(__xludf.DUMMYFUNCTION("""COMPUTED_VALUE"""),"Opening remarks")</f>
        <v>Opening remarks</v>
      </c>
      <c r="B943" s="4" t="str">
        <f>IFERROR(__xludf.DUMMYFUNCTION("""COMPUTED_VALUE"""),"")</f>
        <v/>
      </c>
      <c r="C943" s="4" t="str">
        <f>IFERROR(__xludf.DUMMYFUNCTION("""COMPUTED_VALUE"""),"Modum")</f>
        <v>Modum</v>
      </c>
      <c r="D943" s="4" t="str">
        <f>IFERROR(__xludf.DUMMYFUNCTION("""COMPUTED_VALUE"""),"Susana Chaves")</f>
        <v>Susana Chaves</v>
      </c>
      <c r="E943" s="4" t="str">
        <f>IFERROR(__xludf.DUMMYFUNCTION("""COMPUTED_VALUE"""),"Susana Chaves")</f>
        <v>Susana Chaves</v>
      </c>
      <c r="F943" s="4" t="str">
        <f>IFERROR(__xludf.DUMMYFUNCTION("""COMPUTED_VALUE"""),"2019/11/07 14:25:00")</f>
        <v>2019/11/07 14:25:00</v>
      </c>
      <c r="G943" s="4" t="str">
        <f>IFERROR(__xludf.DUMMYFUNCTION("""COMPUTED_VALUE"""),"2019/11/07 14:40:00")</f>
        <v>2019/11/07 14:40:00</v>
      </c>
      <c r="H943" s="4" t="str">
        <f>IFERROR(__xludf.DUMMYFUNCTION("""COMPUTED_VALUE"""),"632dabad-ad39-47d5-bea4-caec36b1e8d5")</f>
        <v>632dabad-ad39-47d5-bea4-caec36b1e8d5</v>
      </c>
      <c r="I943" s="4" t="str">
        <f>IFERROR(__xludf.DUMMYFUNCTION("""COMPUTED_VALUE"""),"632dabad-ad39-47d5-bea4-caec36b1e8d5")</f>
        <v>632dabad-ad39-47d5-bea4-caec36b1e8d5</v>
      </c>
    </row>
    <row r="944">
      <c r="A944" s="4" t="str">
        <f>IFERROR(__xludf.DUMMYFUNCTION("""COMPUTED_VALUE"""),"The role of technology in climate action")</f>
        <v>The role of technology in climate action</v>
      </c>
      <c r="B944" s="4" t="str">
        <f>IFERROR(__xludf.DUMMYFUNCTION("""COMPUTED_VALUE"""),"How can technology be utilized to address climate change? Kate Brandt discusses various ways in which Google technology is being developed and used to support a sustainable future. ")</f>
        <v>How can technology be utilized to address climate change? Kate Brandt discusses various ways in which Google technology is being developed and used to support a sustainable future. </v>
      </c>
      <c r="C944" s="4" t="str">
        <f>IFERROR(__xludf.DUMMYFUNCTION("""COMPUTED_VALUE"""),"planet:tech ")</f>
        <v>planet:tech </v>
      </c>
      <c r="D944" s="4" t="str">
        <f>IFERROR(__xludf.DUMMYFUNCTION("""COMPUTED_VALUE"""),"Kate Brandt")</f>
        <v>Kate Brandt</v>
      </c>
      <c r="E944" s="4" t="str">
        <f>IFERROR(__xludf.DUMMYFUNCTION("""COMPUTED_VALUE"""),"Kate Brandt")</f>
        <v>Kate Brandt</v>
      </c>
      <c r="F944" s="4" t="str">
        <f>IFERROR(__xludf.DUMMYFUNCTION("""COMPUTED_VALUE"""),"2019/11/05 15:55:00")</f>
        <v>2019/11/05 15:55:00</v>
      </c>
      <c r="G944" s="4" t="str">
        <f>IFERROR(__xludf.DUMMYFUNCTION("""COMPUTED_VALUE"""),"2019/11/05 16:10:00")</f>
        <v>2019/11/05 16:10:00</v>
      </c>
      <c r="H944" s="4" t="str">
        <f>IFERROR(__xludf.DUMMYFUNCTION("""COMPUTED_VALUE"""),"dd835a59-1ee3-4de2-9e48-3d8d3ca61e01")</f>
        <v>dd835a59-1ee3-4de2-9e48-3d8d3ca61e01</v>
      </c>
      <c r="I944" s="4" t="str">
        <f>IFERROR(__xludf.DUMMYFUNCTION("""COMPUTED_VALUE"""),"dd835a59-1ee3-4de2-9e48-3d8d3ca61e01")</f>
        <v>dd835a59-1ee3-4de2-9e48-3d8d3ca61e01</v>
      </c>
    </row>
    <row r="945">
      <c r="A945" s="4" t="str">
        <f>IFERROR(__xludf.DUMMYFUNCTION("""COMPUTED_VALUE"""),"Is it possible to access your intentions at the wrist? ")</f>
        <v>Is it possible to access your intentions at the wrist? </v>
      </c>
      <c r="B945" s="4" t="str">
        <f>IFERROR(__xludf.DUMMYFUNCTION("""COMPUTED_VALUE"""),"Thomas Reardon of CTRL-labs demonstrates how non-invasive neural control will transform how we interact with the world. See what developers are building now, and catch a glimpse of where the technology is headed next.")</f>
        <v>Thomas Reardon of CTRL-labs demonstrates how non-invasive neural control will transform how we interact with the world. See what developers are building now, and catch a glimpse of where the technology is headed next.</v>
      </c>
      <c r="C945" s="4" t="str">
        <f>IFERROR(__xludf.DUMMYFUNCTION("""COMPUTED_VALUE"""),"Centre Stage")</f>
        <v>Centre Stage</v>
      </c>
      <c r="D945" s="4" t="str">
        <f>IFERROR(__xludf.DUMMYFUNCTION("""COMPUTED_VALUE"""),"Thomas Reardon")</f>
        <v>Thomas Reardon</v>
      </c>
      <c r="E945" s="4" t="str">
        <f>IFERROR(__xludf.DUMMYFUNCTION("""COMPUTED_VALUE"""),"Thomas Reardon")</f>
        <v>Thomas Reardon</v>
      </c>
      <c r="F945" s="4" t="str">
        <f>IFERROR(__xludf.DUMMYFUNCTION("""COMPUTED_VALUE"""),"2019/11/06 16:05:00")</f>
        <v>2019/11/06 16:05:00</v>
      </c>
      <c r="G945" s="4" t="str">
        <f>IFERROR(__xludf.DUMMYFUNCTION("""COMPUTED_VALUE"""),"2019/11/06 16:15:00")</f>
        <v>2019/11/06 16:15:00</v>
      </c>
      <c r="H945" s="4" t="str">
        <f>IFERROR(__xludf.DUMMYFUNCTION("""COMPUTED_VALUE"""),"be5d178a-e86a-48c4-9a4e-083cc3c9b47c")</f>
        <v>be5d178a-e86a-48c4-9a4e-083cc3c9b47c</v>
      </c>
      <c r="I945" s="4" t="str">
        <f>IFERROR(__xludf.DUMMYFUNCTION("""COMPUTED_VALUE"""),"be5d178a-e86a-48c4-9a4e-083cc3c9b47c")</f>
        <v>be5d178a-e86a-48c4-9a4e-083cc3c9b47c</v>
      </c>
    </row>
    <row r="946">
      <c r="A946" s="4" t="str">
        <f>IFERROR(__xludf.DUMMYFUNCTION("""COMPUTED_VALUE"""),"Airport registration")</f>
        <v>Airport registration</v>
      </c>
      <c r="B946" s="4" t="str">
        <f>IFERROR(__xludf.DUMMYFUNCTION("""COMPUTED_VALUE"""),"Beat the queues and register at the airport. You can register from 7am to 3pm. All you need to do is head out of the terminal and follow the signs to our registration marquee. You’ll be done in a few minutes. 
")</f>
        <v>Beat the queues and register at the airport. You can register from 7am to 3pm. All you need to do is head out of the terminal and follow the signs to our registration marquee. You’ll be done in a few minutes. 
</v>
      </c>
      <c r="C946" s="4" t="str">
        <f>IFERROR(__xludf.DUMMYFUNCTION("""COMPUTED_VALUE"""),"Airport registration")</f>
        <v>Airport registration</v>
      </c>
      <c r="D946" s="4" t="str">
        <f>IFERROR(__xludf.DUMMYFUNCTION("""COMPUTED_VALUE"""),"")</f>
        <v/>
      </c>
      <c r="E946" s="4" t="str">
        <f>IFERROR(__xludf.DUMMYFUNCTION("""COMPUTED_VALUE"""),"")</f>
        <v/>
      </c>
      <c r="F946" s="4" t="str">
        <f>IFERROR(__xludf.DUMMYFUNCTION("""COMPUTED_VALUE"""),"2019/11/05 07:00:00")</f>
        <v>2019/11/05 07:00:00</v>
      </c>
      <c r="G946" s="4" t="str">
        <f>IFERROR(__xludf.DUMMYFUNCTION("""COMPUTED_VALUE"""),"2019/11/05 15:00:00")</f>
        <v>2019/11/05 15:00:00</v>
      </c>
      <c r="H946" s="4" t="str">
        <f>IFERROR(__xludf.DUMMYFUNCTION("""COMPUTED_VALUE"""),"ba5b6927-1c29-4932-8dcf-7e1b823a9dc5")</f>
        <v>ba5b6927-1c29-4932-8dcf-7e1b823a9dc5</v>
      </c>
      <c r="I946" s="4" t="str">
        <f>IFERROR(__xludf.DUMMYFUNCTION("""COMPUTED_VALUE"""),"ba5b6927-1c29-4932-8dcf-7e1b823a9dc5")</f>
        <v>ba5b6927-1c29-4932-8dcf-7e1b823a9dc5</v>
      </c>
    </row>
    <row r="947">
      <c r="A947" s="4" t="str">
        <f>IFERROR(__xludf.DUMMYFUNCTION("""COMPUTED_VALUE"""),"Featured venue: Bar do Cais")</f>
        <v>Featured venue: Bar do Cais</v>
      </c>
      <c r="B947" s="4" t="str">
        <f>IFERROR(__xludf.DUMMYFUNCTION("""COMPUTED_VALUE"""),"Some people go to Michelangelo's Sistene Chapel for a good ceiling, other people come here. Here, the ceiling is painted with the faces of artists and musicians who have already left us, as a memorial to culture. We think they'd be honoured to have front "&amp;"row seats to the party though - with DJ performances every day in this venue. There will be a special DJ event exclusively for Night Summit.
Night Summit deals: 
Free welcome drink")</f>
        <v>Some people go to Michelangelo's Sistene Chapel for a good ceiling, other people come here. Here, the ceiling is painted with the faces of artists and musicians who have already left us, as a memorial to culture. We think they'd be honoured to have front row seats to the party though - with DJ performances every day in this venue. There will be a special DJ event exclusively for Night Summit.
Night Summit deals: 
Free welcome drink</v>
      </c>
      <c r="C947" s="4" t="str">
        <f>IFERROR(__xludf.DUMMYFUNCTION("""COMPUTED_VALUE"""),"Bar do Cais")</f>
        <v>Bar do Cais</v>
      </c>
      <c r="D947" s="4" t="str">
        <f>IFERROR(__xludf.DUMMYFUNCTION("""COMPUTED_VALUE"""),"")</f>
        <v/>
      </c>
      <c r="E947" s="4" t="str">
        <f>IFERROR(__xludf.DUMMYFUNCTION("""COMPUTED_VALUE"""),"")</f>
        <v/>
      </c>
      <c r="F947" s="4" t="str">
        <f>IFERROR(__xludf.DUMMYFUNCTION("""COMPUTED_VALUE"""),"2019/11/05 20:00:00")</f>
        <v>2019/11/05 20:00:00</v>
      </c>
      <c r="G947" s="4" t="str">
        <f>IFERROR(__xludf.DUMMYFUNCTION("""COMPUTED_VALUE"""),"2019/11/06 00:00:00")</f>
        <v>2019/11/06 00:00:00</v>
      </c>
      <c r="H947" s="4" t="str">
        <f>IFERROR(__xludf.DUMMYFUNCTION("""COMPUTED_VALUE"""),"8e3d3ca9-8a03-45f9-a14e-1b3e2fb1f423")</f>
        <v>8e3d3ca9-8a03-45f9-a14e-1b3e2fb1f423</v>
      </c>
      <c r="I947" s="4" t="str">
        <f>IFERROR(__xludf.DUMMYFUNCTION("""COMPUTED_VALUE"""),"8e3d3ca9-8a03-45f9-a14e-1b3e2fb1f423")</f>
        <v>8e3d3ca9-8a03-45f9-a14e-1b3e2fb1f423</v>
      </c>
    </row>
    <row r="948">
      <c r="A948" s="4" t="str">
        <f>IFERROR(__xludf.DUMMYFUNCTION("""COMPUTED_VALUE"""),"Opening remarks")</f>
        <v>Opening remarks</v>
      </c>
      <c r="B948" s="4" t="str">
        <f>IFERROR(__xludf.DUMMYFUNCTION("""COMPUTED_VALUE"""),"")</f>
        <v/>
      </c>
      <c r="C948" s="4" t="str">
        <f>IFERROR(__xludf.DUMMYFUNCTION("""COMPUTED_VALUE"""),"Future Societies")</f>
        <v>Future Societies</v>
      </c>
      <c r="D948" s="4" t="str">
        <f>IFERROR(__xludf.DUMMYFUNCTION("""COMPUTED_VALUE"""),"Armand Arton")</f>
        <v>Armand Arton</v>
      </c>
      <c r="E948" s="4" t="str">
        <f>IFERROR(__xludf.DUMMYFUNCTION("""COMPUTED_VALUE"""),"Armand Arton")</f>
        <v>Armand Arton</v>
      </c>
      <c r="F948" s="4" t="str">
        <f>IFERROR(__xludf.DUMMYFUNCTION("""COMPUTED_VALUE"""),"2019/11/06 09:55:00")</f>
        <v>2019/11/06 09:55:00</v>
      </c>
      <c r="G948" s="4" t="str">
        <f>IFERROR(__xludf.DUMMYFUNCTION("""COMPUTED_VALUE"""),"2019/11/06 10:10:00")</f>
        <v>2019/11/06 10:10:00</v>
      </c>
      <c r="H948" s="4" t="str">
        <f>IFERROR(__xludf.DUMMYFUNCTION("""COMPUTED_VALUE"""),"ed708ac7-e837-47f1-bb25-7bc45a81e4ad")</f>
        <v>ed708ac7-e837-47f1-bb25-7bc45a81e4ad</v>
      </c>
      <c r="I948" s="4" t="str">
        <f>IFERROR(__xludf.DUMMYFUNCTION("""COMPUTED_VALUE"""),"ed708ac7-e837-47f1-bb25-7bc45a81e4ad")</f>
        <v>ed708ac7-e837-47f1-bb25-7bc45a81e4ad</v>
      </c>
    </row>
    <row r="949">
      <c r="A949" s="4" t="str">
        <f>IFERROR(__xludf.DUMMYFUNCTION("""COMPUTED_VALUE"""),"We have Quantum Supremacy – now what?  ")</f>
        <v>We have Quantum Supremacy – now what?  </v>
      </c>
      <c r="B949" s="4" t="str">
        <f>IFERROR(__xludf.DUMMYFUNCTION("""COMPUTED_VALUE"""),"Does Google’s quantum supremacy milestone signal the dawn of a new computer age? In this session, our experts give an overview of the ecosystem and strategic options on ‘how to play’ in the next few years.
")</f>
        <v>Does Google’s quantum supremacy milestone signal the dawn of a new computer age? In this session, our experts give an overview of the ecosystem and strategic options on ‘how to play’ in the next few years.
</v>
      </c>
      <c r="C949" s="4" t="str">
        <f>IFERROR(__xludf.DUMMYFUNCTION("""COMPUTED_VALUE"""),"DeepTech")</f>
        <v>DeepTech</v>
      </c>
      <c r="D949" s="4" t="str">
        <f>IFERROR(__xludf.DUMMYFUNCTION("""COMPUTED_VALUE"""),"Philipp Gerbert and Jeremy Wilks")</f>
        <v>Philipp Gerbert and Jeremy Wilks</v>
      </c>
      <c r="E949" s="4" t="str">
        <f>IFERROR(__xludf.DUMMYFUNCTION("""COMPUTED_VALUE"""),"Philipp Gerbert,Jeremy Wilks")</f>
        <v>Philipp Gerbert,Jeremy Wilks</v>
      </c>
      <c r="F949" s="4" t="str">
        <f>IFERROR(__xludf.DUMMYFUNCTION("""COMPUTED_VALUE"""),"2019/11/06 11:50:00")</f>
        <v>2019/11/06 11:50:00</v>
      </c>
      <c r="G949" s="4" t="str">
        <f>IFERROR(__xludf.DUMMYFUNCTION("""COMPUTED_VALUE"""),"2019/11/06 12:10:00")</f>
        <v>2019/11/06 12:10:00</v>
      </c>
      <c r="H949" s="4" t="str">
        <f>IFERROR(__xludf.DUMMYFUNCTION("""COMPUTED_VALUE"""),"1c58246b-8649-440a-b197-4a80396fede6")</f>
        <v>1c58246b-8649-440a-b197-4a80396fede6</v>
      </c>
      <c r="I949" s="4" t="str">
        <f>IFERROR(__xludf.DUMMYFUNCTION("""COMPUTED_VALUE"""),"1c58246b-8649-440a-b197-4a80396fede6")</f>
        <v>1c58246b-8649-440a-b197-4a80396fede6</v>
      </c>
    </row>
    <row r="950">
      <c r="A950" s="4" t="str">
        <f>IFERROR(__xludf.DUMMYFUNCTION("""COMPUTED_VALUE"""),"Machine Demo final")</f>
        <v>Machine Demo final</v>
      </c>
      <c r="B950" s="4" t="str">
        <f>IFERROR(__xludf.DUMMYFUNCTION("""COMPUTED_VALUE"""),"")</f>
        <v/>
      </c>
      <c r="C950" s="4" t="str">
        <f>IFERROR(__xludf.DUMMYFUNCTION("""COMPUTED_VALUE"""),"")</f>
        <v/>
      </c>
      <c r="D950" s="4" t="str">
        <f>IFERROR(__xludf.DUMMYFUNCTION("""COMPUTED_VALUE"""),"Ansgar Chorhummel,  Kaigham Gabriel,  Sven Illing,  Rytis Vitkauskas,  Bruno Meireles de Sousa and  Hugo Augusto
")</f>
        <v>Ansgar Chorhummel,  Kaigham Gabriel,  Sven Illing,  Rytis Vitkauskas,  Bruno Meireles de Sousa and  Hugo Augusto
</v>
      </c>
      <c r="E950" s="4" t="str">
        <f>IFERROR(__xludf.DUMMYFUNCTION("""COMPUTED_VALUE"""),"Ansgar Chorhummel, Kaigham Gabriel, Sven Illing, Rytis Vitkauskas, Bruno Meireles de Sousa, Hugo Augusto
")</f>
        <v>Ansgar Chorhummel, Kaigham Gabriel, Sven Illing, Rytis Vitkauskas, Bruno Meireles de Sousa, Hugo Augusto
</v>
      </c>
      <c r="F950" s="4" t="str">
        <f>IFERROR(__xludf.DUMMYFUNCTION("""COMPUTED_VALUE"""),"")</f>
        <v/>
      </c>
      <c r="G950" s="4" t="str">
        <f>IFERROR(__xludf.DUMMYFUNCTION("""COMPUTED_VALUE"""),"")</f>
        <v/>
      </c>
      <c r="H950" s="4" t="str">
        <f>IFERROR(__xludf.DUMMYFUNCTION("""COMPUTED_VALUE"""),"0a87dfc2-ccc3-57de-a85b-6331a807e8dd")</f>
        <v>0a87dfc2-ccc3-57de-a85b-6331a807e8dd</v>
      </c>
      <c r="I950" s="4" t="str">
        <f>IFERROR(__xludf.DUMMYFUNCTION("""COMPUTED_VALUE"""),"0a87dfc2-ccc3-57de-a85b-6331a807e8dd")</f>
        <v>0a87dfc2-ccc3-57de-a85b-6331a807e8dd</v>
      </c>
    </row>
    <row r="951">
      <c r="A951" s="4" t="str">
        <f>IFERROR(__xludf.DUMMYFUNCTION("""COMPUTED_VALUE"""),"Featured venue: Café na Fábrica")</f>
        <v>Featured venue: Café na Fábrica</v>
      </c>
      <c r="B951" s="4" t="str">
        <f>IFERROR(__xludf.DUMMYFUNCTION("""COMPUTED_VALUE"""),"Want to enjoy your drinks in a magical location? This bar is made to look like a dolls house and is in a great location. Check out the inviting terrace, taste some treats off the full menu or just spend the night with friends getting drinks from the three"&amp;" bars. Café na Fábrica promises all those who enter a unique, complete, and enjoyable experience. 
Night Summit deals:
Special Web Summit cocktail")</f>
        <v>Want to enjoy your drinks in a magical location? This bar is made to look like a dolls house and is in a great location. Check out the inviting terrace, taste some treats off the full menu or just spend the night with friends getting drinks from the three bars. Café na Fábrica promises all those who enter a unique, complete, and enjoyable experience. 
Night Summit deals:
Special Web Summit cocktail</v>
      </c>
      <c r="C951" s="4" t="str">
        <f>IFERROR(__xludf.DUMMYFUNCTION("""COMPUTED_VALUE"""),"Café na Fábrica")</f>
        <v>Café na Fábrica</v>
      </c>
      <c r="D951" s="4" t="str">
        <f>IFERROR(__xludf.DUMMYFUNCTION("""COMPUTED_VALUE"""),"")</f>
        <v/>
      </c>
      <c r="E951" s="4" t="str">
        <f>IFERROR(__xludf.DUMMYFUNCTION("""COMPUTED_VALUE"""),"")</f>
        <v/>
      </c>
      <c r="F951" s="4" t="str">
        <f>IFERROR(__xludf.DUMMYFUNCTION("""COMPUTED_VALUE"""),"2019/11/06 20:00:00")</f>
        <v>2019/11/06 20:00:00</v>
      </c>
      <c r="G951" s="4" t="str">
        <f>IFERROR(__xludf.DUMMYFUNCTION("""COMPUTED_VALUE"""),"2019/11/07 02:00:00")</f>
        <v>2019/11/07 02:00:00</v>
      </c>
      <c r="H951" s="4" t="str">
        <f>IFERROR(__xludf.DUMMYFUNCTION("""COMPUTED_VALUE"""),"247307b1-47fe-4748-ae6a-c46e312715ec")</f>
        <v>247307b1-47fe-4748-ae6a-c46e312715ec</v>
      </c>
      <c r="I951" s="4" t="str">
        <f>IFERROR(__xludf.DUMMYFUNCTION("""COMPUTED_VALUE"""),"247307b1-47fe-4748-ae6a-c46e312715ec")</f>
        <v>247307b1-47fe-4748-ae6a-c46e312715ec</v>
      </c>
    </row>
    <row r="952">
      <c r="A952" s="4" t="str">
        <f>IFERROR(__xludf.DUMMYFUNCTION("""COMPUTED_VALUE"""),"Startup Showcase")</f>
        <v>Startup Showcase</v>
      </c>
      <c r="B952" s="4" t="str">
        <f>IFERROR(__xludf.DUMMYFUNCTION("""COMPUTED_VALUE"""),"On this brand new stage, expect quickfire presentations where startups will showcase their solutions to the future's biggest challenges. This hour focuses on the future of work, covering topics like remote working, productivity apps, office management, en"&amp;"terprise software, SaaS, and business automation.")</f>
        <v>On this brand new stage, expect quickfire presentations where startups will showcase their solutions to the future's biggest challenges. This hour focuses on the future of work, covering topics like remote working, productivity apps, office management, enterprise software, SaaS, and business automation.</v>
      </c>
      <c r="C952" s="4" t="str">
        <f>IFERROR(__xludf.DUMMYFUNCTION("""COMPUTED_VALUE"""),"Startup Showcase 2")</f>
        <v>Startup Showcase 2</v>
      </c>
      <c r="D952" s="4" t="str">
        <f>IFERROR(__xludf.DUMMYFUNCTION("""COMPUTED_VALUE"""),"Phil Gillman, Alvaro Llobet, Sam Boribon, Gianpaolo Pezzato, Saul Sutton, Andrea Osmar, Peyman Blumstengel, María del Pilar Palma Cuellar García, Anton Mishchenko, Marco Ferreira, Seun Owolabi, Jime Akpusugh, Alena Harbatava, Natasa Peric, Clemens Kirner,"&amp;" Tanja Sanders, Pilleriine Alter, Polina Medvedieva, Luke Gotszling, Ignacio Bermeo, Mariana Hagström, Axel Seth, Richard Awoyemi, Salvador Barros, Rotimi Odukoya, Jorge Pérez Ruiz, Val Sanin, Nathan Harris, Tomislaw Dalic, Olivier Bourdoux, Davy Loon, Le"&amp;"na Miglbauer, Pavlik Kiselev, Jeansy Molanza, Olivier de Montjoye, Farid El Machaoud, Ludvig Odin Hestvik, Marco Fraccalvieri, Alessandro Cillario, JuanMiguel Perez Rosas, Sunkanmi Ola, Stefano Onofri, Bohdan Flyorkiv, Hassane Lhasnaoui, Fátima Zayas Pére"&amp;"z, Jose Manuel Avelino, Paul Evans, Joséphine Rotivel , Juan Antonio Lopez and Antonio Reis")</f>
        <v>Phil Gillman, Alvaro Llobet, Sam Boribon, Gianpaolo Pezzato, Saul Sutton, Andrea Osmar, Peyman Blumstengel, María del Pilar Palma Cuellar García, Anton Mishchenko, Marco Ferreira, Seun Owolabi, Jime Akpusugh, Alena Harbatava, Natasa Peric, Clemens Kirner, Tanja Sanders, Pilleriine Alter, Polina Medvedieva, Luke Gotszling, Ignacio Bermeo, Mariana Hagström, Axel Seth, Richard Awoyemi, Salvador Barros, Rotimi Odukoya, Jorge Pérez Ruiz, Val Sanin, Nathan Harris, Tomislaw Dalic, Olivier Bourdoux, Davy Loon, Lena Miglbauer, Pavlik Kiselev, Jeansy Molanza, Olivier de Montjoye, Farid El Machaoud, Ludvig Odin Hestvik, Marco Fraccalvieri, Alessandro Cillario, JuanMiguel Perez Rosas, Sunkanmi Ola, Stefano Onofri, Bohdan Flyorkiv, Hassane Lhasnaoui, Fátima Zayas Pérez, Jose Manuel Avelino, Paul Evans, Joséphine Rotivel , Juan Antonio Lopez and Antonio Reis</v>
      </c>
      <c r="E952" s="4" t="str">
        <f>IFERROR(__xludf.DUMMYFUNCTION("""COMPUTED_VALUE"""),"Phil Gillman,Alvaro Llobet,Sam Boribon,Gianpaolo Pezzato,Saul Sutton,Andrea Osmar,Peyman Blumstengel,María del Pilar Palma Cuellar García,Anton Mishchenko,Marco Ferreira,Seun Owolabi,Jime Akpusugh,Alena Harbatava,Natasa Peric,Clemens Kirner,Tanja Sanders,"&amp;"Pilleriine Alter,Polina Medvedieva,Luke Gotszling,Ignacio Bermeo,Mariana Hagström,Axel Seth,Richard Awoyemi,Salvador Barros,Rotimi Odukoya,Jorge Pérez Ruiz,Val Sanin,Nathan Harris,Tomislaw Dalic,Olivier Bourdoux,Davy Loon,Lena Miglbauer,Pavlik Kiselev,Jea"&amp;"nsy Molanza,Olivier de Montjoye,Farid El Machaoud,Ludvig Odin Hestvik,Marco Fraccalvieri,Alessandro Cillario,JuanMiguel Perez Rosas,Sunkanmi Ola,Stefano Onofri,Bohdan Flyorkiv,Hassane Lhasnaoui,Fátima Zayas Pérez,Jose Manuel Avelino,Paul Evans,Joséphine R"&amp;"otivel ,Juan Antonio Lopez,Antonio Reis")</f>
        <v>Phil Gillman,Alvaro Llobet,Sam Boribon,Gianpaolo Pezzato,Saul Sutton,Andrea Osmar,Peyman Blumstengel,María del Pilar Palma Cuellar García,Anton Mishchenko,Marco Ferreira,Seun Owolabi,Jime Akpusugh,Alena Harbatava,Natasa Peric,Clemens Kirner,Tanja Sanders,Pilleriine Alter,Polina Medvedieva,Luke Gotszling,Ignacio Bermeo,Mariana Hagström,Axel Seth,Richard Awoyemi,Salvador Barros,Rotimi Odukoya,Jorge Pérez Ruiz,Val Sanin,Nathan Harris,Tomislaw Dalic,Olivier Bourdoux,Davy Loon,Lena Miglbauer,Pavlik Kiselev,Jeansy Molanza,Olivier de Montjoye,Farid El Machaoud,Ludvig Odin Hestvik,Marco Fraccalvieri,Alessandro Cillario,JuanMiguel Perez Rosas,Sunkanmi Ola,Stefano Onofri,Bohdan Flyorkiv,Hassane Lhasnaoui,Fátima Zayas Pérez,Jose Manuel Avelino,Paul Evans,Joséphine Rotivel ,Juan Antonio Lopez,Antonio Reis</v>
      </c>
      <c r="F952" s="4" t="str">
        <f>IFERROR(__xludf.DUMMYFUNCTION("""COMPUTED_VALUE"""),"2019/11/07 12:15:00")</f>
        <v>2019/11/07 12:15:00</v>
      </c>
      <c r="G952" s="4" t="str">
        <f>IFERROR(__xludf.DUMMYFUNCTION("""COMPUTED_VALUE"""),"2019/11/07 13:15:00")</f>
        <v>2019/11/07 13:15:00</v>
      </c>
      <c r="H952" s="4" t="str">
        <f>IFERROR(__xludf.DUMMYFUNCTION("""COMPUTED_VALUE"""),"e059363d-1a02-4c6e-9503-1de3712c9787")</f>
        <v>e059363d-1a02-4c6e-9503-1de3712c9787</v>
      </c>
      <c r="I952" s="4" t="str">
        <f>IFERROR(__xludf.DUMMYFUNCTION("""COMPUTED_VALUE"""),"e059363d-1a02-4c6e-9503-1de3712c9787")</f>
        <v>e059363d-1a02-4c6e-9503-1de3712c9787</v>
      </c>
    </row>
    <row r="953">
      <c r="A953" s="4" t="str">
        <f>IFERROR(__xludf.DUMMYFUNCTION("""COMPUTED_VALUE"""),"Partnering for growth")</f>
        <v>Partnering for growth</v>
      </c>
      <c r="B953" s="4" t="str">
        <f>IFERROR(__xludf.DUMMYFUNCTION("""COMPUTED_VALUE"""),"Sensei Labs helps the world’s largest companies execute their most critical projects including transformations, procurement, and M&amp;A. They’ve doubled their ARR by scaling a global ecosystem of partners like A.T. Kearney. Jay Goldman, CEO, shares how to de"&amp;"sign, track, and scale successful partnerships.")</f>
        <v>Sensei Labs helps the world’s largest companies execute their most critical projects including transformations, procurement, and M&amp;A. They’ve doubled their ARR by scaling a global ecosystem of partners like A.T. Kearney. Jay Goldman, CEO, shares how to design, track, and scale successful partnerships.</v>
      </c>
      <c r="C953" s="4" t="str">
        <f>IFERROR(__xludf.DUMMYFUNCTION("""COMPUTED_VALUE"""),"Growth Summit")</f>
        <v>Growth Summit</v>
      </c>
      <c r="D953" s="4" t="str">
        <f>IFERROR(__xludf.DUMMYFUNCTION("""COMPUTED_VALUE"""),"Jay Goldman")</f>
        <v>Jay Goldman</v>
      </c>
      <c r="E953" s="4" t="str">
        <f>IFERROR(__xludf.DUMMYFUNCTION("""COMPUTED_VALUE"""),"Jay Goldman")</f>
        <v>Jay Goldman</v>
      </c>
      <c r="F953" s="4" t="str">
        <f>IFERROR(__xludf.DUMMYFUNCTION("""COMPUTED_VALUE"""),"2019/11/07 11:06:00")</f>
        <v>2019/11/07 11:06:00</v>
      </c>
      <c r="G953" s="4" t="str">
        <f>IFERROR(__xludf.DUMMYFUNCTION("""COMPUTED_VALUE"""),"2019/11/07 11:10:00")</f>
        <v>2019/11/07 11:10:00</v>
      </c>
      <c r="H953" s="4" t="str">
        <f>IFERROR(__xludf.DUMMYFUNCTION("""COMPUTED_VALUE"""),"38d5c869-1f67-4bf5-be39-57bcac20f6dc")</f>
        <v>38d5c869-1f67-4bf5-be39-57bcac20f6dc</v>
      </c>
      <c r="I953" s="4" t="str">
        <f>IFERROR(__xludf.DUMMYFUNCTION("""COMPUTED_VALUE"""),"38d5c869-1f67-4bf5-be39-57bcac20f6dc")</f>
        <v>38d5c869-1f67-4bf5-be39-57bcac20f6dc</v>
      </c>
    </row>
    <row r="954">
      <c r="A954" s="4" t="str">
        <f>IFERROR(__xludf.DUMMYFUNCTION("""COMPUTED_VALUE"""),"Lunch break")</f>
        <v>Lunch break</v>
      </c>
      <c r="B954" s="4" t="str">
        <f>IFERROR(__xludf.DUMMYFUNCTION("""COMPUTED_VALUE"""),"")</f>
        <v/>
      </c>
      <c r="C954" s="4" t="str">
        <f>IFERROR(__xludf.DUMMYFUNCTION("""COMPUTED_VALUE"""),"Startup University")</f>
        <v>Startup University</v>
      </c>
      <c r="D954" s="4" t="str">
        <f>IFERROR(__xludf.DUMMYFUNCTION("""COMPUTED_VALUE"""),"")</f>
        <v/>
      </c>
      <c r="E954" s="4" t="str">
        <f>IFERROR(__xludf.DUMMYFUNCTION("""COMPUTED_VALUE"""),"")</f>
        <v/>
      </c>
      <c r="F954" s="4" t="str">
        <f>IFERROR(__xludf.DUMMYFUNCTION("""COMPUTED_VALUE"""),"2019/11/06 13:35:00")</f>
        <v>2019/11/06 13:35:00</v>
      </c>
      <c r="G954" s="4" t="str">
        <f>IFERROR(__xludf.DUMMYFUNCTION("""COMPUTED_VALUE"""),"2019/11/06 14:20:00")</f>
        <v>2019/11/06 14:20:00</v>
      </c>
      <c r="H954" s="4" t="str">
        <f>IFERROR(__xludf.DUMMYFUNCTION("""COMPUTED_VALUE"""),"b1c465ff-4f5a-49dc-8601-24314da684bf")</f>
        <v>b1c465ff-4f5a-49dc-8601-24314da684bf</v>
      </c>
      <c r="I954" s="4" t="str">
        <f>IFERROR(__xludf.DUMMYFUNCTION("""COMPUTED_VALUE"""),"b1c465ff-4f5a-49dc-8601-24314da684bf")</f>
        <v>b1c465ff-4f5a-49dc-8601-24314da684bf</v>
      </c>
    </row>
    <row r="955">
      <c r="A955" s="4" t="str">
        <f>IFERROR(__xludf.DUMMYFUNCTION("""COMPUTED_VALUE"""),"Adventures in cannabusiness")</f>
        <v>Adventures in cannabusiness</v>
      </c>
      <c r="B955" s="4" t="str">
        <f>IFERROR(__xludf.DUMMYFUNCTION("""COMPUTED_VALUE"""),"How do you spot a flower among the weeds? What's the best way to grow your cannabis portfolio, and spot the next budding cannabis unicorn? In this panel we'll explore cannabis investing for the green.")</f>
        <v>How do you spot a flower among the weeds? What's the best way to grow your cannabis portfolio, and spot the next budding cannabis unicorn? In this panel we'll explore cannabis investing for the green.</v>
      </c>
      <c r="C955" s="4" t="str">
        <f>IFERROR(__xludf.DUMMYFUNCTION("""COMPUTED_VALUE"""),"Venture stage")</f>
        <v>Venture stage</v>
      </c>
      <c r="D955" s="4" t="str">
        <f>IFERROR(__xludf.DUMMYFUNCTION("""COMPUTED_VALUE"""),"Tahira Rehmatullah, Emily Paxhia and Anne Gaviola")</f>
        <v>Tahira Rehmatullah, Emily Paxhia and Anne Gaviola</v>
      </c>
      <c r="E955" s="4" t="str">
        <f>IFERROR(__xludf.DUMMYFUNCTION("""COMPUTED_VALUE"""),"Tahira Rehmatullah,Emily Paxhia,Anne Gaviola")</f>
        <v>Tahira Rehmatullah,Emily Paxhia,Anne Gaviola</v>
      </c>
      <c r="F955" s="4" t="str">
        <f>IFERROR(__xludf.DUMMYFUNCTION("""COMPUTED_VALUE"""),"2019/11/06 12:10:00")</f>
        <v>2019/11/06 12:10:00</v>
      </c>
      <c r="G955" s="4" t="str">
        <f>IFERROR(__xludf.DUMMYFUNCTION("""COMPUTED_VALUE"""),"2019/11/06 12:30:00")</f>
        <v>2019/11/06 12:30:00</v>
      </c>
      <c r="H955" s="4" t="str">
        <f>IFERROR(__xludf.DUMMYFUNCTION("""COMPUTED_VALUE"""),"827d821c-6e8c-472f-b249-c315432ad50e")</f>
        <v>827d821c-6e8c-472f-b249-c315432ad50e</v>
      </c>
      <c r="I955" s="4" t="str">
        <f>IFERROR(__xludf.DUMMYFUNCTION("""COMPUTED_VALUE"""),"827d821c-6e8c-472f-b249-c315432ad50e")</f>
        <v>827d821c-6e8c-472f-b249-c315432ad50e</v>
      </c>
    </row>
    <row r="956">
      <c r="A956" s="4" t="str">
        <f>IFERROR(__xludf.DUMMYFUNCTION("""COMPUTED_VALUE"""),"Reinvention through reinvestment")</f>
        <v>Reinvention through reinvestment</v>
      </c>
      <c r="B956" s="4" t="str">
        <f>IFERROR(__xludf.DUMMYFUNCTION("""COMPUTED_VALUE"""),"Corporate venture capital offers many benefits such as investor patience and access to big markets. What about when a VC and a CVC join forces and co-invest? What are the shared advantages and what's different for startups?")</f>
        <v>Corporate venture capital offers many benefits such as investor patience and access to big markets. What about when a VC and a CVC join forces and co-invest? What are the shared advantages and what's different for startups?</v>
      </c>
      <c r="C956" s="4" t="str">
        <f>IFERROR(__xludf.DUMMYFUNCTION("""COMPUTED_VALUE"""),"Corporate Innovation Summit")</f>
        <v>Corporate Innovation Summit</v>
      </c>
      <c r="D956" s="4" t="str">
        <f>IFERROR(__xludf.DUMMYFUNCTION("""COMPUTED_VALUE"""),"Rashmi Gopinath, Christina Bechhold Russ, Deborah Magid and James Mawson")</f>
        <v>Rashmi Gopinath, Christina Bechhold Russ, Deborah Magid and James Mawson</v>
      </c>
      <c r="E956" s="4" t="str">
        <f>IFERROR(__xludf.DUMMYFUNCTION("""COMPUTED_VALUE"""),"Rashmi Gopinath,Christina Bechhold Russ,Deborah Magid,James Mawson")</f>
        <v>Rashmi Gopinath,Christina Bechhold Russ,Deborah Magid,James Mawson</v>
      </c>
      <c r="F956" s="4" t="str">
        <f>IFERROR(__xludf.DUMMYFUNCTION("""COMPUTED_VALUE"""),"2019/11/07 14:40:00")</f>
        <v>2019/11/07 14:40:00</v>
      </c>
      <c r="G956" s="4" t="str">
        <f>IFERROR(__xludf.DUMMYFUNCTION("""COMPUTED_VALUE"""),"2019/11/07 15:00:00")</f>
        <v>2019/11/07 15:00:00</v>
      </c>
      <c r="H956" s="4" t="str">
        <f>IFERROR(__xludf.DUMMYFUNCTION("""COMPUTED_VALUE"""),"4c726b46-cb82-4053-907c-02bdbd8ead64")</f>
        <v>4c726b46-cb82-4053-907c-02bdbd8ead64</v>
      </c>
      <c r="I956" s="4" t="str">
        <f>IFERROR(__xludf.DUMMYFUNCTION("""COMPUTED_VALUE"""),"4c726b46-cb82-4053-907c-02bdbd8ead64")</f>
        <v>4c726b46-cb82-4053-907c-02bdbd8ead64</v>
      </c>
    </row>
    <row r="957">
      <c r="A957" s="4" t="str">
        <f>IFERROR(__xludf.DUMMYFUNCTION("""COMPUTED_VALUE"""),"Ad tech is dead.  What’s next?")</f>
        <v>Ad tech is dead.  What’s next?</v>
      </c>
      <c r="B957" s="4" t="str">
        <f>IFERROR(__xludf.DUMMYFUNCTION("""COMPUTED_VALUE"""),"Tipser’s founder shares how Europe's biggest websites and media combat declining advertising and affiliate revenues with embedded ecommerce. This strategy has been proven to outperform ad tech revenues within three months, and provide long term exponentia"&amp;"l growth.")</f>
        <v>Tipser’s founder shares how Europe's biggest websites and media combat declining advertising and affiliate revenues with embedded ecommerce. This strategy has been proven to outperform ad tech revenues within three months, and provide long term exponential growth.</v>
      </c>
      <c r="C957" s="4" t="str">
        <f>IFERROR(__xludf.DUMMYFUNCTION("""COMPUTED_VALUE"""),"Growth Summit")</f>
        <v>Growth Summit</v>
      </c>
      <c r="D957" s="4" t="str">
        <f>IFERROR(__xludf.DUMMYFUNCTION("""COMPUTED_VALUE"""),"Marcus Jacobsson")</f>
        <v>Marcus Jacobsson</v>
      </c>
      <c r="E957" s="4" t="str">
        <f>IFERROR(__xludf.DUMMYFUNCTION("""COMPUTED_VALUE"""),"Marcus Jacobsson")</f>
        <v>Marcus Jacobsson</v>
      </c>
      <c r="F957" s="4" t="str">
        <f>IFERROR(__xludf.DUMMYFUNCTION("""COMPUTED_VALUE"""),"2019/11/05 10:38:00")</f>
        <v>2019/11/05 10:38:00</v>
      </c>
      <c r="G957" s="4" t="str">
        <f>IFERROR(__xludf.DUMMYFUNCTION("""COMPUTED_VALUE"""),"2019/11/05 10:42:00")</f>
        <v>2019/11/05 10:42:00</v>
      </c>
      <c r="H957" s="4" t="str">
        <f>IFERROR(__xludf.DUMMYFUNCTION("""COMPUTED_VALUE"""),"cae9db33-a98f-4c61-96a4-f22613ca158f")</f>
        <v>cae9db33-a98f-4c61-96a4-f22613ca158f</v>
      </c>
      <c r="I957" s="4" t="str">
        <f>IFERROR(__xludf.DUMMYFUNCTION("""COMPUTED_VALUE"""),"cae9db33-a98f-4c61-96a4-f22613ca158f")</f>
        <v>cae9db33-a98f-4c61-96a4-f22613ca158f</v>
      </c>
    </row>
    <row r="958">
      <c r="A958" s="4" t="str">
        <f>IFERROR(__xludf.DUMMYFUNCTION("""COMPUTED_VALUE"""),"How to move your business from startup to growth in five steps")</f>
        <v>How to move your business from startup to growth in five steps</v>
      </c>
      <c r="B958" s="4" t="str">
        <f>IFERROR(__xludf.DUMMYFUNCTION("""COMPUTED_VALUE"""),"Impact's CEO, David will share his experience in driving Impact forward - from a startup to a high-growth business. The audience can expect to see his five step roadmap for success.")</f>
        <v>Impact's CEO, David will share his experience in driving Impact forward - from a startup to a high-growth business. The audience can expect to see his five step roadmap for success.</v>
      </c>
      <c r="C958" s="4" t="str">
        <f>IFERROR(__xludf.DUMMYFUNCTION("""COMPUTED_VALUE"""),"Growth Summit")</f>
        <v>Growth Summit</v>
      </c>
      <c r="D958" s="4" t="str">
        <f>IFERROR(__xludf.DUMMYFUNCTION("""COMPUTED_VALUE"""),"David Yovanno")</f>
        <v>David Yovanno</v>
      </c>
      <c r="E958" s="4" t="str">
        <f>IFERROR(__xludf.DUMMYFUNCTION("""COMPUTED_VALUE"""),"David Yovanno")</f>
        <v>David Yovanno</v>
      </c>
      <c r="F958" s="4" t="str">
        <f>IFERROR(__xludf.DUMMYFUNCTION("""COMPUTED_VALUE"""),"2019/11/05 14:42:00")</f>
        <v>2019/11/05 14:42:00</v>
      </c>
      <c r="G958" s="4" t="str">
        <f>IFERROR(__xludf.DUMMYFUNCTION("""COMPUTED_VALUE"""),"2019/11/05 14:53:00")</f>
        <v>2019/11/05 14:53:00</v>
      </c>
      <c r="H958" s="4" t="str">
        <f>IFERROR(__xludf.DUMMYFUNCTION("""COMPUTED_VALUE"""),"e20b4bb4-2b9f-4029-8a10-60e3fe233692")</f>
        <v>e20b4bb4-2b9f-4029-8a10-60e3fe233692</v>
      </c>
      <c r="I958" s="4" t="str">
        <f>IFERROR(__xludf.DUMMYFUNCTION("""COMPUTED_VALUE"""),"e20b4bb4-2b9f-4029-8a10-60e3fe233692")</f>
        <v>e20b4bb4-2b9f-4029-8a10-60e3fe233692</v>
      </c>
    </row>
    <row r="959">
      <c r="A959" s="4" t="str">
        <f>IFERROR(__xludf.DUMMYFUNCTION("""COMPUTED_VALUE"""),"How product intelligence is redefining the global tech industry")</f>
        <v>How product intelligence is redefining the global tech industry</v>
      </c>
      <c r="B959" s="4" t="str">
        <f>IFERROR(__xludf.DUMMYFUNCTION("""COMPUTED_VALUE"""),"We are in a product-led era, where companies with the best product experience win. Product intelligence is the secret sauce for building frictionless customer experiences. See how product intelligence empowers teams to build exceptional experiences with i"&amp;"nsights that are relevant, timely, and contextualised to the customer’s behavior.")</f>
        <v>We are in a product-led era, where companies with the best product experience win. Product intelligence is the secret sauce for building frictionless customer experiences. See how product intelligence empowers teams to build exceptional experiences with insights that are relevant, timely, and contextualised to the customer’s behavior.</v>
      </c>
      <c r="C959" s="4" t="str">
        <f>IFERROR(__xludf.DUMMYFUNCTION("""COMPUTED_VALUE"""),"Growth Summit")</f>
        <v>Growth Summit</v>
      </c>
      <c r="D959" s="4" t="str">
        <f>IFERROR(__xludf.DUMMYFUNCTION("""COMPUTED_VALUE"""),"Spenser Skates")</f>
        <v>Spenser Skates</v>
      </c>
      <c r="E959" s="4" t="str">
        <f>IFERROR(__xludf.DUMMYFUNCTION("""COMPUTED_VALUE"""),"Spenser Skates")</f>
        <v>Spenser Skates</v>
      </c>
      <c r="F959" s="4" t="str">
        <f>IFERROR(__xludf.DUMMYFUNCTION("""COMPUTED_VALUE"""),"2019/11/05 13:47:00")</f>
        <v>2019/11/05 13:47:00</v>
      </c>
      <c r="G959" s="4" t="str">
        <f>IFERROR(__xludf.DUMMYFUNCTION("""COMPUTED_VALUE"""),"2019/11/05 13:58:00")</f>
        <v>2019/11/05 13:58:00</v>
      </c>
      <c r="H959" s="4" t="str">
        <f>IFERROR(__xludf.DUMMYFUNCTION("""COMPUTED_VALUE"""),"6c19e91e-3303-419c-a432-c67f0274e32b")</f>
        <v>6c19e91e-3303-419c-a432-c67f0274e32b</v>
      </c>
      <c r="I959" s="4" t="str">
        <f>IFERROR(__xludf.DUMMYFUNCTION("""COMPUTED_VALUE"""),"6c19e91e-3303-419c-a432-c67f0274e32b")</f>
        <v>6c19e91e-3303-419c-a432-c67f0274e32b</v>
      </c>
    </row>
    <row r="960">
      <c r="A960" s="4" t="str">
        <f>IFERROR(__xludf.DUMMYFUNCTION("""COMPUTED_VALUE"""),"Opening remarks - Global Venture Overview")</f>
        <v>Opening remarks - Global Venture Overview</v>
      </c>
      <c r="B960" s="4" t="str">
        <f>IFERROR(__xludf.DUMMYFUNCTION("""COMPUTED_VALUE"""),"")</f>
        <v/>
      </c>
      <c r="C960" s="4" t="str">
        <f>IFERROR(__xludf.DUMMYFUNCTION("""COMPUTED_VALUE"""),"Venture stage")</f>
        <v>Venture stage</v>
      </c>
      <c r="D960" s="4" t="str">
        <f>IFERROR(__xludf.DUMMYFUNCTION("""COMPUTED_VALUE"""),"Nizar Tarhuni")</f>
        <v>Nizar Tarhuni</v>
      </c>
      <c r="E960" s="4" t="str">
        <f>IFERROR(__xludf.DUMMYFUNCTION("""COMPUTED_VALUE"""),"Nizar Tarhuni")</f>
        <v>Nizar Tarhuni</v>
      </c>
      <c r="F960" s="4" t="str">
        <f>IFERROR(__xludf.DUMMYFUNCTION("""COMPUTED_VALUE"""),"2019/11/05 13:30:00")</f>
        <v>2019/11/05 13:30:00</v>
      </c>
      <c r="G960" s="4" t="str">
        <f>IFERROR(__xludf.DUMMYFUNCTION("""COMPUTED_VALUE"""),"2019/11/05 13:45:00")</f>
        <v>2019/11/05 13:45:00</v>
      </c>
      <c r="H960" s="4" t="str">
        <f>IFERROR(__xludf.DUMMYFUNCTION("""COMPUTED_VALUE"""),"5183caf9-5006-4cf8-a723-9de2854337fd")</f>
        <v>5183caf9-5006-4cf8-a723-9de2854337fd</v>
      </c>
      <c r="I960" s="4" t="str">
        <f>IFERROR(__xludf.DUMMYFUNCTION("""COMPUTED_VALUE"""),"5183caf9-5006-4cf8-a723-9de2854337fd")</f>
        <v>5183caf9-5006-4cf8-a723-9de2854337fd</v>
      </c>
    </row>
    <row r="961">
      <c r="A961" s="4" t="str">
        <f>IFERROR(__xludf.DUMMYFUNCTION("""COMPUTED_VALUE"""),"Fashiontech: Transforming a timeless brand")</f>
        <v>Fashiontech: Transforming a timeless brand</v>
      </c>
      <c r="B961" s="4" t="str">
        <f>IFERROR(__xludf.DUMMYFUNCTION("""COMPUTED_VALUE"""),"Tommy Hilfiger have turned their iconic red and blue brand into a fully formed digital entity. From VR fashion shows to partnerships with the world's most up-and-coming fashion names, come hear CEO Daniel Grieder share what's next for PVH and Tommy Hilfig"&amp;"er. ")</f>
        <v>Tommy Hilfiger have turned their iconic red and blue brand into a fully formed digital entity. From VR fashion shows to partnerships with the world's most up-and-coming fashion names, come hear CEO Daniel Grieder share what's next for PVH and Tommy Hilfiger. </v>
      </c>
      <c r="C961" s="4" t="str">
        <f>IFERROR(__xludf.DUMMYFUNCTION("""COMPUTED_VALUE"""),"Modum")</f>
        <v>Modum</v>
      </c>
      <c r="D961" s="4" t="str">
        <f>IFERROR(__xludf.DUMMYFUNCTION("""COMPUTED_VALUE"""),"Daniel Grieder")</f>
        <v>Daniel Grieder</v>
      </c>
      <c r="E961" s="4" t="str">
        <f>IFERROR(__xludf.DUMMYFUNCTION("""COMPUTED_VALUE"""),"Daniel Grieder")</f>
        <v>Daniel Grieder</v>
      </c>
      <c r="F961" s="4" t="str">
        <f>IFERROR(__xludf.DUMMYFUNCTION("""COMPUTED_VALUE"""),"2019/11/07 12:15:00")</f>
        <v>2019/11/07 12:15:00</v>
      </c>
      <c r="G961" s="4" t="str">
        <f>IFERROR(__xludf.DUMMYFUNCTION("""COMPUTED_VALUE"""),"2019/11/07 12:35:00")</f>
        <v>2019/11/07 12:35:00</v>
      </c>
      <c r="H961" s="4" t="str">
        <f>IFERROR(__xludf.DUMMYFUNCTION("""COMPUTED_VALUE"""),"0d5543cd-dd6e-4465-bb9d-54605cd5729c")</f>
        <v>0d5543cd-dd6e-4465-bb9d-54605cd5729c</v>
      </c>
      <c r="I961" s="4" t="str">
        <f>IFERROR(__xludf.DUMMYFUNCTION("""COMPUTED_VALUE"""),"0d5543cd-dd6e-4465-bb9d-54605cd5729c")</f>
        <v>0d5543cd-dd6e-4465-bb9d-54605cd5729c</v>
      </c>
    </row>
    <row r="962">
      <c r="A962" s="4" t="str">
        <f>IFERROR(__xludf.DUMMYFUNCTION("""COMPUTED_VALUE"""),"PITCH ground round 11")</f>
        <v>PITCH ground round 11</v>
      </c>
      <c r="B962" s="4" t="str">
        <f>IFERROR(__xludf.DUMMYFUNCTION("""COMPUTED_VALUE"""),"")</f>
        <v/>
      </c>
      <c r="C962" s="4" t="str">
        <f>IFERROR(__xludf.DUMMYFUNCTION("""COMPUTED_VALUE"""),"")</f>
        <v/>
      </c>
      <c r="D962" s="4" t="str">
        <f>IFERROR(__xludf.DUMMYFUNCTION("""COMPUTED_VALUE"""),"Alexia Arts,  Nicolas Goulet,  Yamilette Cano,  Niklas Rosenberg,  Faizal Javer,  Brett Kaluza,  Alex de Bold,  Simon Boulet,  Eric van Hall,  Wilco Verdoold,  José Luis Siñani and  Alexandra Stefan and Nenad Novovic")</f>
        <v>Alexia Arts,  Nicolas Goulet,  Yamilette Cano,  Niklas Rosenberg,  Faizal Javer,  Brett Kaluza,  Alex de Bold,  Simon Boulet,  Eric van Hall,  Wilco Verdoold,  José Luis Siñani and  Alexandra Stefan and Nenad Novovic</v>
      </c>
      <c r="E962" s="4" t="str">
        <f>IFERROR(__xludf.DUMMYFUNCTION("""COMPUTED_VALUE"""),"Alexia Arts, Nicolas Goulet, Yamilette Cano, Niklas Rosenberg, Faizal Javer, Brett Kaluza, Alex de Bold, Simon Boulet, Eric van Hall, Wilco Verdoold, José Luis Siñani, Alexandra Stefan and Nenad Novovic")</f>
        <v>Alexia Arts, Nicolas Goulet, Yamilette Cano, Niklas Rosenberg, Faizal Javer, Brett Kaluza, Alex de Bold, Simon Boulet, Eric van Hall, Wilco Verdoold, José Luis Siñani, Alexandra Stefan and Nenad Novovic</v>
      </c>
      <c r="F962" s="4" t="str">
        <f>IFERROR(__xludf.DUMMYFUNCTION("""COMPUTED_VALUE"""),"")</f>
        <v/>
      </c>
      <c r="G962" s="4" t="str">
        <f>IFERROR(__xludf.DUMMYFUNCTION("""COMPUTED_VALUE"""),"")</f>
        <v/>
      </c>
      <c r="H962" s="4" t="str">
        <f>IFERROR(__xludf.DUMMYFUNCTION("""COMPUTED_VALUE"""),"3e9ecdbd-22f2-50bb-9d63-97cf97d2112d")</f>
        <v>3e9ecdbd-22f2-50bb-9d63-97cf97d2112d</v>
      </c>
      <c r="I962" s="4" t="str">
        <f>IFERROR(__xludf.DUMMYFUNCTION("""COMPUTED_VALUE"""),"3e9ecdbd-22f2-50bb-9d63-97cf97d2112d")</f>
        <v>3e9ecdbd-22f2-50bb-9d63-97cf97d2112d</v>
      </c>
    </row>
    <row r="963">
      <c r="A963" s="4" t="str">
        <f>IFERROR(__xludf.DUMMYFUNCTION("""COMPUTED_VALUE"""),"The life and times of a modern CTO")</f>
        <v>The life and times of a modern CTO</v>
      </c>
      <c r="B963" s="4" t="str">
        <f>IFERROR(__xludf.DUMMYFUNCTION("""COMPUTED_VALUE"""),"A panel of CTOs from large enterprise, unicorn and fast growing tech startup discuss the evolution of the CTO role, the need for innovation and how to adapt and capitalise on emerging technology trends.")</f>
        <v>A panel of CTOs from large enterprise, unicorn and fast growing tech startup discuss the evolution of the CTO role, the need for innovation and how to adapt and capitalise on emerging technology trends.</v>
      </c>
      <c r="C963" s="4" t="str">
        <f>IFERROR(__xludf.DUMMYFUNCTION("""COMPUTED_VALUE"""),"FullSTK")</f>
        <v>FullSTK</v>
      </c>
      <c r="D963" s="4" t="str">
        <f>IFERROR(__xludf.DUMMYFUNCTION("""COMPUTED_VALUE"""),"Ilan Twig, Alan Boehme, Christine Spang, Calvin French-Owen and Julie Bort")</f>
        <v>Ilan Twig, Alan Boehme, Christine Spang, Calvin French-Owen and Julie Bort</v>
      </c>
      <c r="E963" s="4" t="str">
        <f>IFERROR(__xludf.DUMMYFUNCTION("""COMPUTED_VALUE"""),"Ilan Twig,Alan Boehme,Christine Spang,Calvin French-Owen,Julie Bort")</f>
        <v>Ilan Twig,Alan Boehme,Christine Spang,Calvin French-Owen,Julie Bort</v>
      </c>
      <c r="F963" s="4" t="str">
        <f>IFERROR(__xludf.DUMMYFUNCTION("""COMPUTED_VALUE"""),"2019/11/07 14:55:00")</f>
        <v>2019/11/07 14:55:00</v>
      </c>
      <c r="G963" s="4" t="str">
        <f>IFERROR(__xludf.DUMMYFUNCTION("""COMPUTED_VALUE"""),"2019/11/07 15:20:00")</f>
        <v>2019/11/07 15:20:00</v>
      </c>
      <c r="H963" s="4" t="str">
        <f>IFERROR(__xludf.DUMMYFUNCTION("""COMPUTED_VALUE"""),"e1646f75-7c16-472d-a930-3b956b842308")</f>
        <v>e1646f75-7c16-472d-a930-3b956b842308</v>
      </c>
      <c r="I963" s="4" t="str">
        <f>IFERROR(__xludf.DUMMYFUNCTION("""COMPUTED_VALUE"""),"e1646f75-7c16-472d-a930-3b956b842308")</f>
        <v>e1646f75-7c16-472d-a930-3b956b842308</v>
      </c>
    </row>
    <row r="964">
      <c r="A964" s="4" t="str">
        <f>IFERROR(__xludf.DUMMYFUNCTION("""COMPUTED_VALUE"""),"Unlocking the opportunities with AI in large enterprises")</f>
        <v>Unlocking the opportunities with AI in large enterprises</v>
      </c>
      <c r="B964" s="4" t="str">
        <f>IFERROR(__xludf.DUMMYFUNCTION("""COMPUTED_VALUE"""),"A discussion with industry innovators to understand how big corporations best take advantage of AI, focusing on understanding suitable use cases, finding the right tools and creating the right internal structures to succeed.")</f>
        <v>A discussion with industry innovators to understand how big corporations best take advantage of AI, focusing on understanding suitable use cases, finding the right tools and creating the right internal structures to succeed.</v>
      </c>
      <c r="C964" s="4" t="str">
        <f>IFERROR(__xludf.DUMMYFUNCTION("""COMPUTED_VALUE"""),"SaaS Monster")</f>
        <v>SaaS Monster</v>
      </c>
      <c r="D964" s="4" t="str">
        <f>IFERROR(__xludf.DUMMYFUNCTION("""COMPUTED_VALUE"""),"Lucy Thomas, John Paul, Barry Panayi, Luis Alveirinho and Princess Beatrice of York")</f>
        <v>Lucy Thomas, John Paul, Barry Panayi, Luis Alveirinho and Princess Beatrice of York</v>
      </c>
      <c r="E964" s="4" t="str">
        <f>IFERROR(__xludf.DUMMYFUNCTION("""COMPUTED_VALUE"""),"Lucy Thomas,John Paul,Barry Panayi,Luis Alveirinho,Princess Beatrice of York")</f>
        <v>Lucy Thomas,John Paul,Barry Panayi,Luis Alveirinho,Princess Beatrice of York</v>
      </c>
      <c r="F964" s="4" t="str">
        <f>IFERROR(__xludf.DUMMYFUNCTION("""COMPUTED_VALUE"""),"2019/11/05 15:45:00")</f>
        <v>2019/11/05 15:45:00</v>
      </c>
      <c r="G964" s="4" t="str">
        <f>IFERROR(__xludf.DUMMYFUNCTION("""COMPUTED_VALUE"""),"2019/11/05 16:05:00")</f>
        <v>2019/11/05 16:05:00</v>
      </c>
      <c r="H964" s="4" t="str">
        <f>IFERROR(__xludf.DUMMYFUNCTION("""COMPUTED_VALUE"""),"8cc845ab-5e39-4ad1-aa5a-d7383ca4e8e1")</f>
        <v>8cc845ab-5e39-4ad1-aa5a-d7383ca4e8e1</v>
      </c>
      <c r="I964" s="4" t="str">
        <f>IFERROR(__xludf.DUMMYFUNCTION("""COMPUTED_VALUE"""),"8cc845ab-5e39-4ad1-aa5a-d7383ca4e8e1")</f>
        <v>8cc845ab-5e39-4ad1-aa5a-d7383ca4e8e1</v>
      </c>
    </row>
    <row r="965">
      <c r="A965" s="4" t="str">
        <f>IFERROR(__xludf.DUMMYFUNCTION("""COMPUTED_VALUE"""),"Explore your digital futures, hosted by Shell")</f>
        <v>Explore your digital futures, hosted by Shell</v>
      </c>
      <c r="B965" s="4" t="str">
        <f>IFERROR(__xludf.DUMMYFUNCTION("""COMPUTED_VALUE"""),"Are you thinking 50 years ahead?  We are. Our new scenarios explore how digitalisation could change the world - democracy, prosperity, inequality, privacy, security - in the decades to come. Shell has been a pioneer in the use of scenario thinking to help"&amp;" understand the future and navigate uncertainty. In this interactive session, you will use tools and techniques to explore our new scenarios and your digital futures.")</f>
        <v>Are you thinking 50 years ahead?  We are. Our new scenarios explore how digitalisation could change the world - democracy, prosperity, inequality, privacy, security - in the decades to come. Shell has been a pioneer in the use of scenario thinking to help understand the future and navigate uncertainty. In this interactive session, you will use tools and techniques to explore our new scenarios and your digital futures.</v>
      </c>
      <c r="C965" s="4" t="str">
        <f>IFERROR(__xludf.DUMMYFUNCTION("""COMPUTED_VALUE"""),"Workshop 3")</f>
        <v>Workshop 3</v>
      </c>
      <c r="D965" s="4" t="str">
        <f>IFERROR(__xludf.DUMMYFUNCTION("""COMPUTED_VALUE"""),"Adam Eales")</f>
        <v>Adam Eales</v>
      </c>
      <c r="E965" s="4" t="str">
        <f>IFERROR(__xludf.DUMMYFUNCTION("""COMPUTED_VALUE"""),"Adam Eales")</f>
        <v>Adam Eales</v>
      </c>
      <c r="F965" s="4" t="str">
        <f>IFERROR(__xludf.DUMMYFUNCTION("""COMPUTED_VALUE"""),"2019/11/07 12:00:00")</f>
        <v>2019/11/07 12:00:00</v>
      </c>
      <c r="G965" s="4" t="str">
        <f>IFERROR(__xludf.DUMMYFUNCTION("""COMPUTED_VALUE"""),"2019/11/07 12:45:00")</f>
        <v>2019/11/07 12:45:00</v>
      </c>
      <c r="H965" s="4" t="str">
        <f>IFERROR(__xludf.DUMMYFUNCTION("""COMPUTED_VALUE"""),"d51aa7f8-954b-4e73-90c8-04737dacec4e")</f>
        <v>d51aa7f8-954b-4e73-90c8-04737dacec4e</v>
      </c>
      <c r="I965" s="4" t="str">
        <f>IFERROR(__xludf.DUMMYFUNCTION("""COMPUTED_VALUE"""),"d51aa7f8-954b-4e73-90c8-04737dacec4e")</f>
        <v>d51aa7f8-954b-4e73-90c8-04737dacec4e</v>
      </c>
    </row>
    <row r="966">
      <c r="A966" s="4" t="str">
        <f>IFERROR(__xludf.DUMMYFUNCTION("""COMPUTED_VALUE"""),"UN Global Compact SDG Media Zone")</f>
        <v>UN Global Compact SDG Media Zone</v>
      </c>
      <c r="B966" s="4" t="str">
        <f>IFERROR(__xludf.DUMMYFUNCTION("""COMPUTED_VALUE"""),"The SDG Media Zone is a platform for editors, bloggers, content creators and influencers to communicate innovations, partnerships and discussions as a call to action for humanity to engage the Sustainable Development Goals.
SDG Media Zone @ Web Summit,"&amp;" will report live from the world’s leading tech conference that will take place on November 4 - 7 in Lisbon, Portugal. This year over 70,000 people will come to Lisbon for Web Summit. They’ll be joined by the CEOs and founders of the world’s biggest compa"&amp;"nies, the most promising new startups, influential investors and leading journalist
Find the full programme here https://registration.unglobalcompact.org/website/6934/schedule/")</f>
        <v>The SDG Media Zone is a platform for editors, bloggers, content creators and influencers to communicate innovations, partnerships and discussions as a call to action for humanity to engage the Sustainable Development Goals.
SDG Media Zone @ Web Summit, will report live from the world’s leading tech conference that will take place on November 4 - 7 in Lisbon, Portugal. This year over 70,000 people will come to Lisbon for Web Summit. They’ll be joined by the CEOs and founders of the world’s biggest companies, the most promising new startups, influential investors and leading journalist
Find the full programme here https://registration.unglobalcompact.org/website/6934/schedule/</v>
      </c>
      <c r="C966" s="4" t="str">
        <f>IFERROR(__xludf.DUMMYFUNCTION("""COMPUTED_VALUE"""),"UN Global Compact SDG Media Zone, E214, FIL 2")</f>
        <v>UN Global Compact SDG Media Zone, E214, FIL 2</v>
      </c>
      <c r="D966" s="4" t="str">
        <f>IFERROR(__xludf.DUMMYFUNCTION("""COMPUTED_VALUE"""),"")</f>
        <v/>
      </c>
      <c r="E966" s="4" t="str">
        <f>IFERROR(__xludf.DUMMYFUNCTION("""COMPUTED_VALUE"""),"")</f>
        <v/>
      </c>
      <c r="F966" s="4" t="str">
        <f>IFERROR(__xludf.DUMMYFUNCTION("""COMPUTED_VALUE"""),"2019/11/07 10:00:00")</f>
        <v>2019/11/07 10:00:00</v>
      </c>
      <c r="G966" s="4" t="str">
        <f>IFERROR(__xludf.DUMMYFUNCTION("""COMPUTED_VALUE"""),"2019/11/07 16:00:00")</f>
        <v>2019/11/07 16:00:00</v>
      </c>
      <c r="H966" s="4" t="str">
        <f>IFERROR(__xludf.DUMMYFUNCTION("""COMPUTED_VALUE"""),"94b8ebe1-2c28-4fe4-a543-a550c2c6d8df")</f>
        <v>94b8ebe1-2c28-4fe4-a543-a550c2c6d8df</v>
      </c>
      <c r="I966" s="4" t="str">
        <f>IFERROR(__xludf.DUMMYFUNCTION("""COMPUTED_VALUE"""),"94b8ebe1-2c28-4fe4-a543-a550c2c6d8df")</f>
        <v>94b8ebe1-2c28-4fe4-a543-a550c2c6d8df</v>
      </c>
    </row>
    <row r="967">
      <c r="A967" s="4" t="str">
        <f>IFERROR(__xludf.DUMMYFUNCTION("""COMPUTED_VALUE"""),"Are our cars smart enough?")</f>
        <v>Are our cars smart enough?</v>
      </c>
      <c r="B967" s="4" t="str">
        <f>IFERROR(__xludf.DUMMYFUNCTION("""COMPUTED_VALUE"""),"In an age where we're putting a lot of responsibility on our autonomous vehicles — but are they smart enough? In this panel, we're going to explore three different lanes of intelligent autonomy.")</f>
        <v>In an age where we're putting a lot of responsibility on our autonomous vehicles — but are they smart enough? In this panel, we're going to explore three different lanes of intelligent autonomy.</v>
      </c>
      <c r="C967" s="4" t="str">
        <f>IFERROR(__xludf.DUMMYFUNCTION("""COMPUTED_VALUE"""),"Auto/Tech &amp; TalkRobot")</f>
        <v>Auto/Tech &amp; TalkRobot</v>
      </c>
      <c r="D967" s="4" t="str">
        <f>IFERROR(__xludf.DUMMYFUNCTION("""COMPUTED_VALUE"""),"Christopher Heiser, Karlheinz Wurm, Dieter May and Jim Motavalli")</f>
        <v>Christopher Heiser, Karlheinz Wurm, Dieter May and Jim Motavalli</v>
      </c>
      <c r="E967" s="4" t="str">
        <f>IFERROR(__xludf.DUMMYFUNCTION("""COMPUTED_VALUE"""),"Christopher Heiser,Karlheinz Wurm,Dieter May,Jim Motavalli")</f>
        <v>Christopher Heiser,Karlheinz Wurm,Dieter May,Jim Motavalli</v>
      </c>
      <c r="F967" s="4" t="str">
        <f>IFERROR(__xludf.DUMMYFUNCTION("""COMPUTED_VALUE"""),"2019/11/06 14:40:00")</f>
        <v>2019/11/06 14:40:00</v>
      </c>
      <c r="G967" s="4" t="str">
        <f>IFERROR(__xludf.DUMMYFUNCTION("""COMPUTED_VALUE"""),"2019/11/06 15:00:00")</f>
        <v>2019/11/06 15:00:00</v>
      </c>
      <c r="H967" s="4" t="str">
        <f>IFERROR(__xludf.DUMMYFUNCTION("""COMPUTED_VALUE"""),"0fdbfb24-a37b-4cbc-b2f1-5bb73dd1471e")</f>
        <v>0fdbfb24-a37b-4cbc-b2f1-5bb73dd1471e</v>
      </c>
      <c r="I967" s="4" t="str">
        <f>IFERROR(__xludf.DUMMYFUNCTION("""COMPUTED_VALUE"""),"0fdbfb24-a37b-4cbc-b2f1-5bb73dd1471e")</f>
        <v>0fdbfb24-a37b-4cbc-b2f1-5bb73dd1471e</v>
      </c>
    </row>
    <row r="968">
      <c r="A968" s="4" t="str">
        <f>IFERROR(__xludf.DUMMYFUNCTION("""COMPUTED_VALUE"""),"Abbey Road: From yesterday to tomorrow never knows")</f>
        <v>Abbey Road: From yesterday to tomorrow never knows</v>
      </c>
      <c r="B968" s="4" t="str">
        <f>IFERROR(__xludf.DUMMYFUNCTION("""COMPUTED_VALUE"""),"The studio that invented stereo and countless pioneering advances in recording technology, continues to innovate with its music tech incubator Abbey Road Red. Discover what the future might hold with Red founder and Studios' Managing Director, Isabel Garv"&amp;"ey.")</f>
        <v>The studio that invented stereo and countless pioneering advances in recording technology, continues to innovate with its music tech incubator Abbey Road Red. Discover what the future might hold with Red founder and Studios' Managing Director, Isabel Garvey.</v>
      </c>
      <c r="C968" s="4" t="str">
        <f>IFERROR(__xludf.DUMMYFUNCTION("""COMPUTED_VALUE"""),"MusicNotes")</f>
        <v>MusicNotes</v>
      </c>
      <c r="D968" s="4" t="str">
        <f>IFERROR(__xludf.DUMMYFUNCTION("""COMPUTED_VALUE"""),"Isabel Garvey")</f>
        <v>Isabel Garvey</v>
      </c>
      <c r="E968" s="4" t="str">
        <f>IFERROR(__xludf.DUMMYFUNCTION("""COMPUTED_VALUE"""),"Isabel Garvey")</f>
        <v>Isabel Garvey</v>
      </c>
      <c r="F968" s="4" t="str">
        <f>IFERROR(__xludf.DUMMYFUNCTION("""COMPUTED_VALUE"""),"2019/11/07 15:00:00")</f>
        <v>2019/11/07 15:00:00</v>
      </c>
      <c r="G968" s="4" t="str">
        <f>IFERROR(__xludf.DUMMYFUNCTION("""COMPUTED_VALUE"""),"2019/11/07 15:15:00")</f>
        <v>2019/11/07 15:15:00</v>
      </c>
      <c r="H968" s="4" t="str">
        <f>IFERROR(__xludf.DUMMYFUNCTION("""COMPUTED_VALUE"""),"92612d79-b319-4b37-b083-527248be59b3")</f>
        <v>92612d79-b319-4b37-b083-527248be59b3</v>
      </c>
      <c r="I968" s="4" t="str">
        <f>IFERROR(__xludf.DUMMYFUNCTION("""COMPUTED_VALUE"""),"92612d79-b319-4b37-b083-527248be59b3")</f>
        <v>92612d79-b319-4b37-b083-527248be59b3</v>
      </c>
    </row>
    <row r="969">
      <c r="A969" s="4" t="str">
        <f>IFERROR(__xludf.DUMMYFUNCTION("""COMPUTED_VALUE"""),"Lunch break")</f>
        <v>Lunch break</v>
      </c>
      <c r="B969" s="4" t="str">
        <f>IFERROR(__xludf.DUMMYFUNCTION("""COMPUTED_VALUE"""),"")</f>
        <v/>
      </c>
      <c r="C969" s="4" t="str">
        <f>IFERROR(__xludf.DUMMYFUNCTION("""COMPUTED_VALUE"""),"PandaConf")</f>
        <v>PandaConf</v>
      </c>
      <c r="D969" s="4" t="str">
        <f>IFERROR(__xludf.DUMMYFUNCTION("""COMPUTED_VALUE"""),"")</f>
        <v/>
      </c>
      <c r="E969" s="4" t="str">
        <f>IFERROR(__xludf.DUMMYFUNCTION("""COMPUTED_VALUE"""),"")</f>
        <v/>
      </c>
      <c r="F969" s="4" t="str">
        <f>IFERROR(__xludf.DUMMYFUNCTION("""COMPUTED_VALUE"""),"2019/11/07 12:50:00")</f>
        <v>2019/11/07 12:50:00</v>
      </c>
      <c r="G969" s="4" t="str">
        <f>IFERROR(__xludf.DUMMYFUNCTION("""COMPUTED_VALUE"""),"2019/11/07 13:35:00")</f>
        <v>2019/11/07 13:35:00</v>
      </c>
      <c r="H969" s="4" t="str">
        <f>IFERROR(__xludf.DUMMYFUNCTION("""COMPUTED_VALUE"""),"a2e61a36-7cc0-4b6a-9ee4-7b5a4cd18351")</f>
        <v>a2e61a36-7cc0-4b6a-9ee4-7b5a4cd18351</v>
      </c>
      <c r="I969" s="4" t="str">
        <f>IFERROR(__xludf.DUMMYFUNCTION("""COMPUTED_VALUE"""),"a2e61a36-7cc0-4b6a-9ee4-7b5a4cd18351")</f>
        <v>a2e61a36-7cc0-4b6a-9ee4-7b5a4cd18351</v>
      </c>
    </row>
    <row r="970">
      <c r="A970" s="4" t="str">
        <f>IFERROR(__xludf.DUMMYFUNCTION("""COMPUTED_VALUE"""),"AI = Easier access to healthcare?")</f>
        <v>AI = Easier access to healthcare?</v>
      </c>
      <c r="B970" s="4" t="str">
        <f>IFERROR(__xludf.DUMMYFUNCTION("""COMPUTED_VALUE"""),"Critics say tech only serves those already on the grid; the rich, the connected, the Western. But from rural China, to remotest Africa, our expert speakers say AI is making healthcare easier to access by the day, no matter who, no matter where.")</f>
        <v>Critics say tech only serves those already on the grid; the rich, the connected, the Western. But from rural China, to remotest Africa, our expert speakers say AI is making healthcare easier to access by the day, no matter who, no matter where.</v>
      </c>
      <c r="C970" s="4" t="str">
        <f>IFERROR(__xludf.DUMMYFUNCTION("""COMPUTED_VALUE"""),"HealthConf")</f>
        <v>HealthConf</v>
      </c>
      <c r="D970" s="4" t="str">
        <f>IFERROR(__xludf.DUMMYFUNCTION("""COMPUTED_VALUE"""),"Constance Lehman, Dr Marco Huesch and Paul Nuki")</f>
        <v>Constance Lehman, Dr Marco Huesch and Paul Nuki</v>
      </c>
      <c r="E970" s="4" t="str">
        <f>IFERROR(__xludf.DUMMYFUNCTION("""COMPUTED_VALUE"""),"Constance Lehman,Dr Marco Huesch,Paul Nuki")</f>
        <v>Constance Lehman,Dr Marco Huesch,Paul Nuki</v>
      </c>
      <c r="F970" s="4" t="str">
        <f>IFERROR(__xludf.DUMMYFUNCTION("""COMPUTED_VALUE"""),"2019/11/07 10:45:00")</f>
        <v>2019/11/07 10:45:00</v>
      </c>
      <c r="G970" s="4" t="str">
        <f>IFERROR(__xludf.DUMMYFUNCTION("""COMPUTED_VALUE"""),"2019/11/07 11:05:00")</f>
        <v>2019/11/07 11:05:00</v>
      </c>
      <c r="H970" s="4" t="str">
        <f>IFERROR(__xludf.DUMMYFUNCTION("""COMPUTED_VALUE"""),"c4905bad-4447-4470-98a1-e275fbf55507")</f>
        <v>c4905bad-4447-4470-98a1-e275fbf55507</v>
      </c>
      <c r="I970" s="4" t="str">
        <f>IFERROR(__xludf.DUMMYFUNCTION("""COMPUTED_VALUE"""),"c4905bad-4447-4470-98a1-e275fbf55507")</f>
        <v>c4905bad-4447-4470-98a1-e275fbf55507</v>
      </c>
    </row>
    <row r="971">
      <c r="A971" s="4" t="str">
        <f>IFERROR(__xludf.DUMMYFUNCTION("""COMPUTED_VALUE"""),"PITCH group round 10")</f>
        <v>PITCH group round 10</v>
      </c>
      <c r="B971" s="4" t="str">
        <f>IFERROR(__xludf.DUMMYFUNCTION("""COMPUTED_VALUE"""),"")</f>
        <v/>
      </c>
      <c r="C971" s="4" t="str">
        <f>IFERROR(__xludf.DUMMYFUNCTION("""COMPUTED_VALUE"""),"PITCH 1")</f>
        <v>PITCH 1</v>
      </c>
      <c r="D971" s="4" t="str">
        <f>IFERROR(__xludf.DUMMYFUNCTION("""COMPUTED_VALUE"""),"Sander Geels, Curtis MacDonald, Jim Hunter, Raúl Saraiva, Soulama Sakar, Benjamin Gareis, Kevin Feeney, Simon Puleston Jones and Leila Lech")</f>
        <v>Sander Geels, Curtis MacDonald, Jim Hunter, Raúl Saraiva, Soulama Sakar, Benjamin Gareis, Kevin Feeney, Simon Puleston Jones and Leila Lech</v>
      </c>
      <c r="E971" s="4" t="str">
        <f>IFERROR(__xludf.DUMMYFUNCTION("""COMPUTED_VALUE"""),"Sander Geels,Curtis MacDonald,Jim Hunter,Raúl Saraiva,Soulama Sakar,Benjamin Gareis,Kevin Feeney,Simon Puleston Jones,Leila Lech")</f>
        <v>Sander Geels,Curtis MacDonald,Jim Hunter,Raúl Saraiva,Soulama Sakar,Benjamin Gareis,Kevin Feeney,Simon Puleston Jones,Leila Lech</v>
      </c>
      <c r="F971" s="4" t="str">
        <f>IFERROR(__xludf.DUMMYFUNCTION("""COMPUTED_VALUE"""),"2019/11/05 12:15:00")</f>
        <v>2019/11/05 12:15:00</v>
      </c>
      <c r="G971" s="4" t="str">
        <f>IFERROR(__xludf.DUMMYFUNCTION("""COMPUTED_VALUE"""),"2019/11/05 13:15:00")</f>
        <v>2019/11/05 13:15:00</v>
      </c>
      <c r="H971" s="4" t="str">
        <f>IFERROR(__xludf.DUMMYFUNCTION("""COMPUTED_VALUE"""),"d44c75dc-1312-4f92-81e7-f426dc8d239f")</f>
        <v>d44c75dc-1312-4f92-81e7-f426dc8d239f</v>
      </c>
      <c r="I971" s="4" t="str">
        <f>IFERROR(__xludf.DUMMYFUNCTION("""COMPUTED_VALUE"""),"d44c75dc-1312-4f92-81e7-f426dc8d239f")</f>
        <v>d44c75dc-1312-4f92-81e7-f426dc8d239f</v>
      </c>
    </row>
    <row r="972">
      <c r="A972" s="4" t="str">
        <f>IFERROR(__xludf.DUMMYFUNCTION("""COMPUTED_VALUE"""),"Pivot or die: When it’s time to move on")</f>
        <v>Pivot or die: When it’s time to move on</v>
      </c>
      <c r="B972" s="4" t="str">
        <f>IFERROR(__xludf.DUMMYFUNCTION("""COMPUTED_VALUE"""),"Starting as an IoT company, Ubirch thought that it would be essential to release its own hardware - even though their focus was more on software . CEO Stephan will share how they had to learn to refocus on developing the blockchain IoT protocol which save"&amp;"d their company.")</f>
        <v>Starting as an IoT company, Ubirch thought that it would be essential to release its own hardware - even though their focus was more on software . CEO Stephan will share how they had to learn to refocus on developing the blockchain IoT protocol which saved their company.</v>
      </c>
      <c r="C972" s="4" t="str">
        <f>IFERROR(__xludf.DUMMYFUNCTION("""COMPUTED_VALUE"""),"Growth Summit")</f>
        <v>Growth Summit</v>
      </c>
      <c r="D972" s="4" t="str">
        <f>IFERROR(__xludf.DUMMYFUNCTION("""COMPUTED_VALUE"""),"Stephan Noller")</f>
        <v>Stephan Noller</v>
      </c>
      <c r="E972" s="4" t="str">
        <f>IFERROR(__xludf.DUMMYFUNCTION("""COMPUTED_VALUE"""),"Stephan Noller")</f>
        <v>Stephan Noller</v>
      </c>
      <c r="F972" s="4" t="str">
        <f>IFERROR(__xludf.DUMMYFUNCTION("""COMPUTED_VALUE"""),"2019/11/06 10:54:00")</f>
        <v>2019/11/06 10:54:00</v>
      </c>
      <c r="G972" s="4" t="str">
        <f>IFERROR(__xludf.DUMMYFUNCTION("""COMPUTED_VALUE"""),"2019/11/06 10:58:00")</f>
        <v>2019/11/06 10:58:00</v>
      </c>
      <c r="H972" s="4" t="str">
        <f>IFERROR(__xludf.DUMMYFUNCTION("""COMPUTED_VALUE"""),"154214db-f685-43a7-b2e7-d5ea78b00fe4")</f>
        <v>154214db-f685-43a7-b2e7-d5ea78b00fe4</v>
      </c>
      <c r="I972" s="4" t="str">
        <f>IFERROR(__xludf.DUMMYFUNCTION("""COMPUTED_VALUE"""),"154214db-f685-43a7-b2e7-d5ea78b00fe4")</f>
        <v>154214db-f685-43a7-b2e7-d5ea78b00fe4</v>
      </c>
    </row>
    <row r="973">
      <c r="A973" s="4" t="str">
        <f>IFERROR(__xludf.DUMMYFUNCTION("""COMPUTED_VALUE"""),"Opening remarks")</f>
        <v>Opening remarks</v>
      </c>
      <c r="B973" s="4" t="str">
        <f>IFERROR(__xludf.DUMMYFUNCTION("""COMPUTED_VALUE"""),"")</f>
        <v/>
      </c>
      <c r="C973" s="4" t="str">
        <f>IFERROR(__xludf.DUMMYFUNCTION("""COMPUTED_VALUE"""),"PandaConf")</f>
        <v>PandaConf</v>
      </c>
      <c r="D973" s="4" t="str">
        <f>IFERROR(__xludf.DUMMYFUNCTION("""COMPUTED_VALUE"""),"Noel Toolan and Natalie Monbiot")</f>
        <v>Noel Toolan and Natalie Monbiot</v>
      </c>
      <c r="E973" s="4" t="str">
        <f>IFERROR(__xludf.DUMMYFUNCTION("""COMPUTED_VALUE"""),"Noel Toolan,Natalie Monbiot")</f>
        <v>Noel Toolan,Natalie Monbiot</v>
      </c>
      <c r="F973" s="4" t="str">
        <f>IFERROR(__xludf.DUMMYFUNCTION("""COMPUTED_VALUE"""),"2019/11/07 13:35:00")</f>
        <v>2019/11/07 13:35:00</v>
      </c>
      <c r="G973" s="4" t="str">
        <f>IFERROR(__xludf.DUMMYFUNCTION("""COMPUTED_VALUE"""),"2019/11/07 13:50:00")</f>
        <v>2019/11/07 13:50:00</v>
      </c>
      <c r="H973" s="4" t="str">
        <f>IFERROR(__xludf.DUMMYFUNCTION("""COMPUTED_VALUE"""),"f8285afa-6bd0-44af-8054-00b419dbdaf9")</f>
        <v>f8285afa-6bd0-44af-8054-00b419dbdaf9</v>
      </c>
      <c r="I973" s="4" t="str">
        <f>IFERROR(__xludf.DUMMYFUNCTION("""COMPUTED_VALUE"""),"f8285afa-6bd0-44af-8054-00b419dbdaf9")</f>
        <v>f8285afa-6bd0-44af-8054-00b419dbdaf9</v>
      </c>
    </row>
    <row r="974">
      <c r="A974" s="4" t="str">
        <f>IFERROR(__xludf.DUMMYFUNCTION("""COMPUTED_VALUE"""),"PITCH group round 11")</f>
        <v>PITCH group round 11</v>
      </c>
      <c r="B974" s="4" t="str">
        <f>IFERROR(__xludf.DUMMYFUNCTION("""COMPUTED_VALUE"""),"")</f>
        <v/>
      </c>
      <c r="C974" s="4" t="str">
        <f>IFERROR(__xludf.DUMMYFUNCTION("""COMPUTED_VALUE"""),"PITCH 2")</f>
        <v>PITCH 2</v>
      </c>
      <c r="D974" s="4" t="str">
        <f>IFERROR(__xludf.DUMMYFUNCTION("""COMPUTED_VALUE"""),"Alexia Arts, Nicolas Goulet, Yamilette Cano, Niklas Rosenberg, Faizal Javer, Brett Kaluza, Alex de Bold, Simon Boulet, Eric van Hall, Wilco Verdoold, José Luis Siñani, Alexandra Stefan and Nenad Novovic")</f>
        <v>Alexia Arts, Nicolas Goulet, Yamilette Cano, Niklas Rosenberg, Faizal Javer, Brett Kaluza, Alex de Bold, Simon Boulet, Eric van Hall, Wilco Verdoold, José Luis Siñani, Alexandra Stefan and Nenad Novovic</v>
      </c>
      <c r="E974" s="4" t="str">
        <f>IFERROR(__xludf.DUMMYFUNCTION("""COMPUTED_VALUE"""),"Alexia Arts,Nicolas Goulet,Yamilette Cano,Niklas Rosenberg,Faizal Javer,Brett Kaluza,Alex de Bold,Simon Boulet,Eric van Hall,Wilco Verdoold,José Luis Siñani,Alexandra Stefan,Nenad Novovic")</f>
        <v>Alexia Arts,Nicolas Goulet,Yamilette Cano,Niklas Rosenberg,Faizal Javer,Brett Kaluza,Alex de Bold,Simon Boulet,Eric van Hall,Wilco Verdoold,José Luis Siñani,Alexandra Stefan,Nenad Novovic</v>
      </c>
      <c r="F974" s="4" t="str">
        <f>IFERROR(__xludf.DUMMYFUNCTION("""COMPUTED_VALUE"""),"2019/11/05 12:15:00")</f>
        <v>2019/11/05 12:15:00</v>
      </c>
      <c r="G974" s="4" t="str">
        <f>IFERROR(__xludf.DUMMYFUNCTION("""COMPUTED_VALUE"""),"2019/11/05 13:15:00")</f>
        <v>2019/11/05 13:15:00</v>
      </c>
      <c r="H974" s="4" t="str">
        <f>IFERROR(__xludf.DUMMYFUNCTION("""COMPUTED_VALUE"""),"32b1a735-43a4-4274-8338-4da90e6c4d21")</f>
        <v>32b1a735-43a4-4274-8338-4da90e6c4d21</v>
      </c>
      <c r="I974" s="4" t="str">
        <f>IFERROR(__xludf.DUMMYFUNCTION("""COMPUTED_VALUE"""),"32b1a735-43a4-4274-8338-4da90e6c4d21")</f>
        <v>32b1a735-43a4-4274-8338-4da90e6c4d21</v>
      </c>
    </row>
    <row r="975">
      <c r="A975" s="4" t="str">
        <f>IFERROR(__xludf.DUMMYFUNCTION("""COMPUTED_VALUE"""),"The State of AI 2019: Divergence")</f>
        <v>The State of AI 2019: Divergence</v>
      </c>
      <c r="B975" s="4" t="str">
        <f>IFERROR(__xludf.DUMMYFUNCTION("""COMPUTED_VALUE"""),"")</f>
        <v/>
      </c>
      <c r="C975" s="4" t="str">
        <f>IFERROR(__xludf.DUMMYFUNCTION("""COMPUTED_VALUE"""),"Venture stage")</f>
        <v>Venture stage</v>
      </c>
      <c r="D975" s="4" t="str">
        <f>IFERROR(__xludf.DUMMYFUNCTION("""COMPUTED_VALUE"""),"David Kelnar")</f>
        <v>David Kelnar</v>
      </c>
      <c r="E975" s="4" t="str">
        <f>IFERROR(__xludf.DUMMYFUNCTION("""COMPUTED_VALUE"""),"David Kelnar")</f>
        <v>David Kelnar</v>
      </c>
      <c r="F975" s="4" t="str">
        <f>IFERROR(__xludf.DUMMYFUNCTION("""COMPUTED_VALUE"""),"2019/11/07 14:45:00")</f>
        <v>2019/11/07 14:45:00</v>
      </c>
      <c r="G975" s="4" t="str">
        <f>IFERROR(__xludf.DUMMYFUNCTION("""COMPUTED_VALUE"""),"2019/11/07 15:00:00")</f>
        <v>2019/11/07 15:00:00</v>
      </c>
      <c r="H975" s="4" t="str">
        <f>IFERROR(__xludf.DUMMYFUNCTION("""COMPUTED_VALUE"""),"26aadd95-c7d6-40b3-be13-2715f2834038")</f>
        <v>26aadd95-c7d6-40b3-be13-2715f2834038</v>
      </c>
      <c r="I975" s="4" t="str">
        <f>IFERROR(__xludf.DUMMYFUNCTION("""COMPUTED_VALUE"""),"26aadd95-c7d6-40b3-be13-2715f2834038")</f>
        <v>26aadd95-c7d6-40b3-be13-2715f2834038</v>
      </c>
    </row>
    <row r="976">
      <c r="A976" s="4" t="str">
        <f>IFERROR(__xludf.DUMMYFUNCTION("""COMPUTED_VALUE"""),"Featured venue: Dogs")</f>
        <v>Featured venue: Dogs</v>
      </c>
      <c r="B976" s="4" t="str">
        <f>IFERROR(__xludf.DUMMYFUNCTION("""COMPUTED_VALUE"""),"Many places claim to be authentic but this place truly is. Sourcing their bread from a Lisbon bakery, and their sausages from a small family business in the north of Portugal, this quirky little place has over ten hotdog combinations to choose from. Make "&amp;"your choice, then enjoy with the smooth groovings of the live DJ, located in the outdoor area.
Night Summit deals: 
€5 gourmet hot dogs")</f>
        <v>Many places claim to be authentic but this place truly is. Sourcing their bread from a Lisbon bakery, and their sausages from a small family business in the north of Portugal, this quirky little place has over ten hotdog combinations to choose from. Make your choice, then enjoy with the smooth groovings of the live DJ, located in the outdoor area.
Night Summit deals: 
€5 gourmet hot dogs</v>
      </c>
      <c r="C976" s="4" t="str">
        <f>IFERROR(__xludf.DUMMYFUNCTION("""COMPUTED_VALUE"""),"Dogs")</f>
        <v>Dogs</v>
      </c>
      <c r="D976" s="4" t="str">
        <f>IFERROR(__xludf.DUMMYFUNCTION("""COMPUTED_VALUE"""),"")</f>
        <v/>
      </c>
      <c r="E976" s="4" t="str">
        <f>IFERROR(__xludf.DUMMYFUNCTION("""COMPUTED_VALUE"""),"")</f>
        <v/>
      </c>
      <c r="F976" s="4" t="str">
        <f>IFERROR(__xludf.DUMMYFUNCTION("""COMPUTED_VALUE"""),"2019/11/06 20:00:00")</f>
        <v>2019/11/06 20:00:00</v>
      </c>
      <c r="G976" s="4" t="str">
        <f>IFERROR(__xludf.DUMMYFUNCTION("""COMPUTED_VALUE"""),"2019/11/07 02:00:00")</f>
        <v>2019/11/07 02:00:00</v>
      </c>
      <c r="H976" s="4" t="str">
        <f>IFERROR(__xludf.DUMMYFUNCTION("""COMPUTED_VALUE"""),"bcf8e424-72f0-4e36-8dc6-632078b1d743")</f>
        <v>bcf8e424-72f0-4e36-8dc6-632078b1d743</v>
      </c>
      <c r="I976" s="4" t="str">
        <f>IFERROR(__xludf.DUMMYFUNCTION("""COMPUTED_VALUE"""),"bcf8e424-72f0-4e36-8dc6-632078b1d743")</f>
        <v>bcf8e424-72f0-4e36-8dc6-632078b1d743</v>
      </c>
    </row>
    <row r="977">
      <c r="A977" s="4" t="str">
        <f>IFERROR(__xludf.DUMMYFUNCTION("""COMPUTED_VALUE"""),"Headphones to soundtrack your life with")</f>
        <v>Headphones to soundtrack your life with</v>
      </c>
      <c r="B977" s="4" t="str">
        <f>IFERROR(__xludf.DUMMYFUNCTION("""COMPUTED_VALUE"""),"Meet the breathtaking new devices that will have audiophiles soundtracking their lives like never before. Our panel will introduce you to top-of-the range new releases onto the market.")</f>
        <v>Meet the breathtaking new devices that will have audiophiles soundtracking their lives like never before. Our panel will introduce you to top-of-the range new releases onto the market.</v>
      </c>
      <c r="C977" s="4" t="str">
        <f>IFERROR(__xludf.DUMMYFUNCTION("""COMPUTED_VALUE"""),"UnBoxed")</f>
        <v>UnBoxed</v>
      </c>
      <c r="D977" s="4" t="str">
        <f>IFERROR(__xludf.DUMMYFUNCTION("""COMPUTED_VALUE"""),"Kris Carlon, Kevin Lynch, Daniel Catalão and Jess Kelly")</f>
        <v>Kris Carlon, Kevin Lynch, Daniel Catalão and Jess Kelly</v>
      </c>
      <c r="E977" s="4" t="str">
        <f>IFERROR(__xludf.DUMMYFUNCTION("""COMPUTED_VALUE"""),"Kris Carlon,Kevin Lynch,Daniel Catalão,Jess Kelly")</f>
        <v>Kris Carlon,Kevin Lynch,Daniel Catalão,Jess Kelly</v>
      </c>
      <c r="F977" s="4" t="str">
        <f>IFERROR(__xludf.DUMMYFUNCTION("""COMPUTED_VALUE"""),"2019/11/05 15:00:00")</f>
        <v>2019/11/05 15:00:00</v>
      </c>
      <c r="G977" s="4" t="str">
        <f>IFERROR(__xludf.DUMMYFUNCTION("""COMPUTED_VALUE"""),"2019/11/05 15:25:00")</f>
        <v>2019/11/05 15:25:00</v>
      </c>
      <c r="H977" s="4" t="str">
        <f>IFERROR(__xludf.DUMMYFUNCTION("""COMPUTED_VALUE"""),"22b9440e-d57c-40bb-8bb6-a1658e5a7e01")</f>
        <v>22b9440e-d57c-40bb-8bb6-a1658e5a7e01</v>
      </c>
      <c r="I977" s="4" t="str">
        <f>IFERROR(__xludf.DUMMYFUNCTION("""COMPUTED_VALUE"""),"22b9440e-d57c-40bb-8bb6-a1658e5a7e01")</f>
        <v>22b9440e-d57c-40bb-8bb6-a1658e5a7e01</v>
      </c>
    </row>
    <row r="978">
      <c r="A978" s="4" t="str">
        <f>IFERROR(__xludf.DUMMYFUNCTION("""COMPUTED_VALUE"""),"Small world, big market")</f>
        <v>Small world, big market</v>
      </c>
      <c r="B978" s="4" t="str">
        <f>IFERROR(__xludf.DUMMYFUNCTION("""COMPUTED_VALUE"""),"How can investors support startups in a global marketplace? Two leading investors will discuss how to best operate across time zones and make the world a little bit smaller.")</f>
        <v>How can investors support startups in a global marketplace? Two leading investors will discuss how to best operate across time zones and make the world a little bit smaller.</v>
      </c>
      <c r="C978" s="4" t="str">
        <f>IFERROR(__xludf.DUMMYFUNCTION("""COMPUTED_VALUE"""),"Venture stage")</f>
        <v>Venture stage</v>
      </c>
      <c r="D978" s="4" t="str">
        <f>IFERROR(__xludf.DUMMYFUNCTION("""COMPUTED_VALUE"""),"Dr Marco Huesch, Angus Davis, George Henry and Alara Basul")</f>
        <v>Dr Marco Huesch, Angus Davis, George Henry and Alara Basul</v>
      </c>
      <c r="E978" s="4" t="str">
        <f>IFERROR(__xludf.DUMMYFUNCTION("""COMPUTED_VALUE"""),"Dr Marco Huesch,Angus Davis,George Henry,Alara Basul")</f>
        <v>Dr Marco Huesch,Angus Davis,George Henry,Alara Basul</v>
      </c>
      <c r="F978" s="4" t="str">
        <f>IFERROR(__xludf.DUMMYFUNCTION("""COMPUTED_VALUE"""),"2019/11/07 13:45:00")</f>
        <v>2019/11/07 13:45:00</v>
      </c>
      <c r="G978" s="4" t="str">
        <f>IFERROR(__xludf.DUMMYFUNCTION("""COMPUTED_VALUE"""),"2019/11/07 14:05:00")</f>
        <v>2019/11/07 14:05:00</v>
      </c>
      <c r="H978" s="4" t="str">
        <f>IFERROR(__xludf.DUMMYFUNCTION("""COMPUTED_VALUE"""),"6ee51dd9-a1ce-4f89-adbf-87909117725d")</f>
        <v>6ee51dd9-a1ce-4f89-adbf-87909117725d</v>
      </c>
      <c r="I978" s="4" t="str">
        <f>IFERROR(__xludf.DUMMYFUNCTION("""COMPUTED_VALUE"""),"6ee51dd9-a1ce-4f89-adbf-87909117725d")</f>
        <v>6ee51dd9-a1ce-4f89-adbf-87909117725d</v>
      </c>
    </row>
    <row r="979">
      <c r="A979" s="4" t="str">
        <f>IFERROR(__xludf.DUMMYFUNCTION("""COMPUTED_VALUE"""),"Customer care in a complex connected world")</f>
        <v>Customer care in a complex connected world</v>
      </c>
      <c r="B979" s="4" t="str">
        <f>IFERROR(__xludf.DUMMYFUNCTION("""COMPUTED_VALUE"""),"As our homes grow increasingly connected, and in turn complicated, how does customer support evolve to keep pace in a cost effective way while continuing to delight the consumer. And what new business models might this evolution open up?")</f>
        <v>As our homes grow increasingly connected, and in turn complicated, how does customer support evolve to keep pace in a cost effective way while continuing to delight the consumer. And what new business models might this evolution open up?</v>
      </c>
      <c r="C979" s="4" t="str">
        <f>IFERROR(__xludf.DUMMYFUNCTION("""COMPUTED_VALUE"""),"Growth Summit")</f>
        <v>Growth Summit</v>
      </c>
      <c r="D979" s="4" t="str">
        <f>IFERROR(__xludf.DUMMYFUNCTION("""COMPUTED_VALUE"""),"Alan Coleman")</f>
        <v>Alan Coleman</v>
      </c>
      <c r="E979" s="4" t="str">
        <f>IFERROR(__xludf.DUMMYFUNCTION("""COMPUTED_VALUE"""),"Alan Coleman")</f>
        <v>Alan Coleman</v>
      </c>
      <c r="F979" s="4" t="str">
        <f>IFERROR(__xludf.DUMMYFUNCTION("""COMPUTED_VALUE"""),"2019/11/07 11:22:00")</f>
        <v>2019/11/07 11:22:00</v>
      </c>
      <c r="G979" s="4" t="str">
        <f>IFERROR(__xludf.DUMMYFUNCTION("""COMPUTED_VALUE"""),"2019/11/07 11:26:00")</f>
        <v>2019/11/07 11:26:00</v>
      </c>
      <c r="H979" s="4" t="str">
        <f>IFERROR(__xludf.DUMMYFUNCTION("""COMPUTED_VALUE"""),"3be139d2-b35d-4b30-ad62-a7672c881a90")</f>
        <v>3be139d2-b35d-4b30-ad62-a7672c881a90</v>
      </c>
      <c r="I979" s="4" t="str">
        <f>IFERROR(__xludf.DUMMYFUNCTION("""COMPUTED_VALUE"""),"3be139d2-b35d-4b30-ad62-a7672c881a90")</f>
        <v>3be139d2-b35d-4b30-ad62-a7672c881a90</v>
      </c>
    </row>
    <row r="980">
      <c r="A980" s="4" t="str">
        <f>IFERROR(__xludf.DUMMYFUNCTION("""COMPUTED_VALUE"""),"In conversation with Edward Snowden")</f>
        <v>In conversation with Edward Snowden</v>
      </c>
      <c r="B980" s="4" t="str">
        <f>IFERROR(__xludf.DUMMYFUNCTION("""COMPUTED_VALUE"""),"Edward Snowden, the man who risked everything to expose the US government’s system of mass surveillance. A name familiar to us all, we know the actions which have led him to living a life in hiding. But how much do we really know about the background and "&amp;"motivations which led him to take these seismic societal actions? Edward will go into detail about the story that has shaped his life, including how he helped to build that system and what motivated him to try to bring it down.")</f>
        <v>Edward Snowden, the man who risked everything to expose the US government’s system of mass surveillance. A name familiar to us all, we know the actions which have led him to living a life in hiding. But how much do we really know about the background and motivations which led him to take these seismic societal actions? Edward will go into detail about the story that has shaped his life, including how he helped to build that system and what motivated him to try to bring it down.</v>
      </c>
      <c r="C980" s="4" t="str">
        <f>IFERROR(__xludf.DUMMYFUNCTION("""COMPUTED_VALUE"""),"Centre Stage")</f>
        <v>Centre Stage</v>
      </c>
      <c r="D980" s="4" t="str">
        <f>IFERROR(__xludf.DUMMYFUNCTION("""COMPUTED_VALUE"""),"Edward Snowden and James Ball")</f>
        <v>Edward Snowden and James Ball</v>
      </c>
      <c r="E980" s="4" t="str">
        <f>IFERROR(__xludf.DUMMYFUNCTION("""COMPUTED_VALUE"""),"Edward Snowden,James Ball")</f>
        <v>Edward Snowden,James Ball</v>
      </c>
      <c r="F980" s="4" t="str">
        <f>IFERROR(__xludf.DUMMYFUNCTION("""COMPUTED_VALUE"""),"2019/11/04 18:30:00")</f>
        <v>2019/11/04 18:30:00</v>
      </c>
      <c r="G980" s="4" t="str">
        <f>IFERROR(__xludf.DUMMYFUNCTION("""COMPUTED_VALUE"""),"2019/11/04 18:50:00")</f>
        <v>2019/11/04 18:50:00</v>
      </c>
      <c r="H980" s="4" t="str">
        <f>IFERROR(__xludf.DUMMYFUNCTION("""COMPUTED_VALUE"""),"7687743f-ee40-43a7-9618-4ad73248ab97")</f>
        <v>7687743f-ee40-43a7-9618-4ad73248ab97</v>
      </c>
      <c r="I980" s="4" t="str">
        <f>IFERROR(__xludf.DUMMYFUNCTION("""COMPUTED_VALUE"""),"7687743f-ee40-43a7-9618-4ad73248ab97")</f>
        <v>7687743f-ee40-43a7-9618-4ad73248ab97</v>
      </c>
    </row>
    <row r="981">
      <c r="A981" s="4" t="str">
        <f>IFERROR(__xludf.DUMMYFUNCTION("""COMPUTED_VALUE"""),"Opening remarks ")</f>
        <v>Opening remarks </v>
      </c>
      <c r="B981" s="4" t="str">
        <f>IFERROR(__xludf.DUMMYFUNCTION("""COMPUTED_VALUE"""),"")</f>
        <v/>
      </c>
      <c r="C981" s="4" t="str">
        <f>IFERROR(__xludf.DUMMYFUNCTION("""COMPUTED_VALUE"""),"Venture stage")</f>
        <v>Venture stage</v>
      </c>
      <c r="D981" s="4" t="str">
        <f>IFERROR(__xludf.DUMMYFUNCTION("""COMPUTED_VALUE"""),"Natsuko Mitsugi")</f>
        <v>Natsuko Mitsugi</v>
      </c>
      <c r="E981" s="4" t="str">
        <f>IFERROR(__xludf.DUMMYFUNCTION("""COMPUTED_VALUE"""),"Natsuko Mitsugi")</f>
        <v>Natsuko Mitsugi</v>
      </c>
      <c r="F981" s="4" t="str">
        <f>IFERROR(__xludf.DUMMYFUNCTION("""COMPUTED_VALUE"""),"2019/11/07 13:30:00")</f>
        <v>2019/11/07 13:30:00</v>
      </c>
      <c r="G981" s="4" t="str">
        <f>IFERROR(__xludf.DUMMYFUNCTION("""COMPUTED_VALUE"""),"2019/11/07 13:45:00")</f>
        <v>2019/11/07 13:45:00</v>
      </c>
      <c r="H981" s="4" t="str">
        <f>IFERROR(__xludf.DUMMYFUNCTION("""COMPUTED_VALUE"""),"64093230-22f1-4f95-adc4-ccb2171d1ebe")</f>
        <v>64093230-22f1-4f95-adc4-ccb2171d1ebe</v>
      </c>
      <c r="I981" s="4" t="str">
        <f>IFERROR(__xludf.DUMMYFUNCTION("""COMPUTED_VALUE"""),"64093230-22f1-4f95-adc4-ccb2171d1ebe")</f>
        <v>64093230-22f1-4f95-adc4-ccb2171d1ebe</v>
      </c>
    </row>
    <row r="982">
      <c r="A982" s="4" t="str">
        <f>IFERROR(__xludf.DUMMYFUNCTION("""COMPUTED_VALUE"""),"Ronaldinho: Reimagining the beautiful game ")</f>
        <v>Ronaldinho: Reimagining the beautiful game </v>
      </c>
      <c r="B982" s="4" t="str">
        <f>IFERROR(__xludf.DUMMYFUNCTION("""COMPUTED_VALUE"""),"Two-time FIFA World Player of the Year Ronaldinho talks Teqball and the evolution of the beautiful game.")</f>
        <v>Two-time FIFA World Player of the Year Ronaldinho talks Teqball and the evolution of the beautiful game.</v>
      </c>
      <c r="C982" s="4" t="str">
        <f>IFERROR(__xludf.DUMMYFUNCTION("""COMPUTED_VALUE"""),"SportsTrade")</f>
        <v>SportsTrade</v>
      </c>
      <c r="D982" s="4" t="str">
        <f>IFERROR(__xludf.DUMMYFUNCTION("""COMPUTED_VALUE""")," , Viktor Huszar and Pedro Pinto")</f>
        <v> , Viktor Huszar and Pedro Pinto</v>
      </c>
      <c r="E982" s="4" t="str">
        <f>IFERROR(__xludf.DUMMYFUNCTION("""COMPUTED_VALUE""")," ,Viktor Huszar,Pedro Pinto")</f>
        <v> ,Viktor Huszar,Pedro Pinto</v>
      </c>
      <c r="F982" s="4" t="str">
        <f>IFERROR(__xludf.DUMMYFUNCTION("""COMPUTED_VALUE"""),"2019/11/05 13:45:00")</f>
        <v>2019/11/05 13:45:00</v>
      </c>
      <c r="G982" s="4" t="str">
        <f>IFERROR(__xludf.DUMMYFUNCTION("""COMPUTED_VALUE"""),"2019/11/05 14:05:00")</f>
        <v>2019/11/05 14:05:00</v>
      </c>
      <c r="H982" s="4" t="str">
        <f>IFERROR(__xludf.DUMMYFUNCTION("""COMPUTED_VALUE"""),"79dca639-2de9-4ac3-8b32-6b854f29d659")</f>
        <v>79dca639-2de9-4ac3-8b32-6b854f29d659</v>
      </c>
      <c r="I982" s="4" t="str">
        <f>IFERROR(__xludf.DUMMYFUNCTION("""COMPUTED_VALUE"""),"79dca639-2de9-4ac3-8b32-6b854f29d659")</f>
        <v>79dca639-2de9-4ac3-8b32-6b854f29d659</v>
      </c>
    </row>
    <row r="983">
      <c r="A983" s="4" t="str">
        <f>IFERROR(__xludf.DUMMYFUNCTION("""COMPUTED_VALUE"""),"Opening remarks")</f>
        <v>Opening remarks</v>
      </c>
      <c r="B983" s="4" t="str">
        <f>IFERROR(__xludf.DUMMYFUNCTION("""COMPUTED_VALUE"""),"")</f>
        <v/>
      </c>
      <c r="C983" s="4" t="str">
        <f>IFERROR(__xludf.DUMMYFUNCTION("""COMPUTED_VALUE"""),"Future Societies")</f>
        <v>Future Societies</v>
      </c>
      <c r="D983" s="4" t="str">
        <f>IFERROR(__xludf.DUMMYFUNCTION("""COMPUTED_VALUE"""),"Orla Canavan")</f>
        <v>Orla Canavan</v>
      </c>
      <c r="E983" s="4" t="str">
        <f>IFERROR(__xludf.DUMMYFUNCTION("""COMPUTED_VALUE"""),"Orla Canavan")</f>
        <v>Orla Canavan</v>
      </c>
      <c r="F983" s="4" t="str">
        <f>IFERROR(__xludf.DUMMYFUNCTION("""COMPUTED_VALUE"""),"2019/11/07 12:50:00")</f>
        <v>2019/11/07 12:50:00</v>
      </c>
      <c r="G983" s="4" t="str">
        <f>IFERROR(__xludf.DUMMYFUNCTION("""COMPUTED_VALUE"""),"2019/11/07 13:00:00")</f>
        <v>2019/11/07 13:00:00</v>
      </c>
      <c r="H983" s="4" t="str">
        <f>IFERROR(__xludf.DUMMYFUNCTION("""COMPUTED_VALUE"""),"2261562b-dac4-486b-97b0-6e973c0a384d")</f>
        <v>2261562b-dac4-486b-97b0-6e973c0a384d</v>
      </c>
      <c r="I983" s="4" t="str">
        <f>IFERROR(__xludf.DUMMYFUNCTION("""COMPUTED_VALUE"""),"2261562b-dac4-486b-97b0-6e973c0a384d")</f>
        <v>2261562b-dac4-486b-97b0-6e973c0a384d</v>
      </c>
    </row>
    <row r="984">
      <c r="A984" s="4" t="str">
        <f>IFERROR(__xludf.DUMMYFUNCTION("""COMPUTED_VALUE"""),"Lunch break")</f>
        <v>Lunch break</v>
      </c>
      <c r="B984" s="4" t="str">
        <f>IFERROR(__xludf.DUMMYFUNCTION("""COMPUTED_VALUE"""),"")</f>
        <v/>
      </c>
      <c r="C984" s="4" t="str">
        <f>IFERROR(__xludf.DUMMYFUNCTION("""COMPUTED_VALUE"""),"Growth Summit")</f>
        <v>Growth Summit</v>
      </c>
      <c r="D984" s="4" t="str">
        <f>IFERROR(__xludf.DUMMYFUNCTION("""COMPUTED_VALUE"""),"")</f>
        <v/>
      </c>
      <c r="E984" s="4" t="str">
        <f>IFERROR(__xludf.DUMMYFUNCTION("""COMPUTED_VALUE"""),"")</f>
        <v/>
      </c>
      <c r="F984" s="4" t="str">
        <f>IFERROR(__xludf.DUMMYFUNCTION("""COMPUTED_VALUE"""),"2019/11/05 11:58:00")</f>
        <v>2019/11/05 11:58:00</v>
      </c>
      <c r="G984" s="4" t="str">
        <f>IFERROR(__xludf.DUMMYFUNCTION("""COMPUTED_VALUE"""),"2019/11/05 12:28:00")</f>
        <v>2019/11/05 12:28:00</v>
      </c>
      <c r="H984" s="4" t="str">
        <f>IFERROR(__xludf.DUMMYFUNCTION("""COMPUTED_VALUE"""),"e3d03cc0-328a-404b-94dd-16533107e93f")</f>
        <v>e3d03cc0-328a-404b-94dd-16533107e93f</v>
      </c>
      <c r="I984" s="4" t="str">
        <f>IFERROR(__xludf.DUMMYFUNCTION("""COMPUTED_VALUE"""),"e3d03cc0-328a-404b-94dd-16533107e93f")</f>
        <v>e3d03cc0-328a-404b-94dd-16533107e93f</v>
      </c>
    </row>
    <row r="985">
      <c r="A985" s="4" t="str">
        <f>IFERROR(__xludf.DUMMYFUNCTION("""COMPUTED_VALUE"""),"Conscious design: making wellbeing the default")</f>
        <v>Conscious design: making wellbeing the default</v>
      </c>
      <c r="B985" s="4" t="str">
        <f>IFERROR(__xludf.DUMMYFUNCTION("""COMPUTED_VALUE"""),"The products we use - both physical and digital - have a massive impact on how we live our lives. Product design can be a double edged sword and here we will find out how it can be used to promote happiness.")</f>
        <v>The products we use - both physical and digital - have a massive impact on how we live our lives. Product design can be a double edged sword and here we will find out how it can be used to promote happiness.</v>
      </c>
      <c r="C985" s="4" t="str">
        <f>IFERROR(__xludf.DUMMYFUNCTION("""COMPUTED_VALUE"""),"Future Societies")</f>
        <v>Future Societies</v>
      </c>
      <c r="D985" s="4" t="str">
        <f>IFERROR(__xludf.DUMMYFUNCTION("""COMPUTED_VALUE"""),"Maggie Stanphill and Jeremy Wilks")</f>
        <v>Maggie Stanphill and Jeremy Wilks</v>
      </c>
      <c r="E985" s="4" t="str">
        <f>IFERROR(__xludf.DUMMYFUNCTION("""COMPUTED_VALUE"""),"Maggie Stanphill,Jeremy Wilks")</f>
        <v>Maggie Stanphill,Jeremy Wilks</v>
      </c>
      <c r="F985" s="4" t="str">
        <f>IFERROR(__xludf.DUMMYFUNCTION("""COMPUTED_VALUE"""),"2019/11/06 13:35:00")</f>
        <v>2019/11/06 13:35:00</v>
      </c>
      <c r="G985" s="4" t="str">
        <f>IFERROR(__xludf.DUMMYFUNCTION("""COMPUTED_VALUE"""),"2019/11/06 13:55:00")</f>
        <v>2019/11/06 13:55:00</v>
      </c>
      <c r="H985" s="4" t="str">
        <f>IFERROR(__xludf.DUMMYFUNCTION("""COMPUTED_VALUE"""),"f953328c-b802-4b28-95ba-8ce1d81ab7f6")</f>
        <v>f953328c-b802-4b28-95ba-8ce1d81ab7f6</v>
      </c>
      <c r="I985" s="4" t="str">
        <f>IFERROR(__xludf.DUMMYFUNCTION("""COMPUTED_VALUE"""),"f953328c-b802-4b28-95ba-8ce1d81ab7f6")</f>
        <v>f953328c-b802-4b28-95ba-8ce1d81ab7f6</v>
      </c>
    </row>
    <row r="986">
      <c r="A986" s="4" t="str">
        <f>IFERROR(__xludf.DUMMYFUNCTION("""COMPUTED_VALUE"""),"Akon, Akoin and Africa's emerging economy")</f>
        <v>Akon, Akoin and Africa's emerging economy</v>
      </c>
      <c r="B986" s="4" t="str">
        <f>IFERROR(__xludf.DUMMYFUNCTION("""COMPUTED_VALUE"""),"Akon is a Grammy award-winning hip-hop artist turned philanthropist and cryptocurrency founder. He’ll join us to discuss why now is more important than ever to make this pivot, and how he has turned a broad philanthropy vision for Africa into a concrete e"&amp;"conomic endeavour.")</f>
        <v>Akon is a Grammy award-winning hip-hop artist turned philanthropist and cryptocurrency founder. He’ll join us to discuss why now is more important than ever to make this pivot, and how he has turned a broad philanthropy vision for Africa into a concrete economic endeavour.</v>
      </c>
      <c r="C986" s="4" t="str">
        <f>IFERROR(__xludf.DUMMYFUNCTION("""COMPUTED_VALUE"""),"MoneyConf")</f>
        <v>MoneyConf</v>
      </c>
      <c r="D986" s="4" t="str">
        <f>IFERROR(__xludf.DUMMYFUNCTION("""COMPUTED_VALUE""")," , Jon Karas and Noelle Acheson")</f>
        <v> , Jon Karas and Noelle Acheson</v>
      </c>
      <c r="E986" s="4" t="str">
        <f>IFERROR(__xludf.DUMMYFUNCTION("""COMPUTED_VALUE""")," ,Jon Karas,Noelle Acheson")</f>
        <v> ,Jon Karas,Noelle Acheson</v>
      </c>
      <c r="F986" s="4" t="str">
        <f>IFERROR(__xludf.DUMMYFUNCTION("""COMPUTED_VALUE"""),"2019/11/06 14:20:00")</f>
        <v>2019/11/06 14:20:00</v>
      </c>
      <c r="G986" s="4" t="str">
        <f>IFERROR(__xludf.DUMMYFUNCTION("""COMPUTED_VALUE"""),"2019/11/06 14:40:00")</f>
        <v>2019/11/06 14:40:00</v>
      </c>
      <c r="H986" s="4" t="str">
        <f>IFERROR(__xludf.DUMMYFUNCTION("""COMPUTED_VALUE"""),"e719ab39-a0f3-4cf3-b97a-c7421a9b892d")</f>
        <v>e719ab39-a0f3-4cf3-b97a-c7421a9b892d</v>
      </c>
      <c r="I986" s="4" t="str">
        <f>IFERROR(__xludf.DUMMYFUNCTION("""COMPUTED_VALUE"""),"e719ab39-a0f3-4cf3-b97a-c7421a9b892d")</f>
        <v>e719ab39-a0f3-4cf3-b97a-c7421a9b892d</v>
      </c>
    </row>
    <row r="987">
      <c r="A987" s="4" t="str">
        <f>IFERROR(__xludf.DUMMYFUNCTION("""COMPUTED_VALUE"""),"Planes, trains and automobiles: How can we travel sustainably?")</f>
        <v>Planes, trains and automobiles: How can we travel sustainably?</v>
      </c>
      <c r="B987" s="4" t="str">
        <f>IFERROR(__xludf.DUMMYFUNCTION("""COMPUTED_VALUE"""),"Flight shaming is growing, carbon footprints are shrinking and the need to provide climate friendly travel methods is reaching new heights. What's next for travel and transport in a world that's increasingly unhappy with the options currently on offer?")</f>
        <v>Flight shaming is growing, carbon footprints are shrinking and the need to provide climate friendly travel methods is reaching new heights. What's next for travel and transport in a world that's increasingly unhappy with the options currently on offer?</v>
      </c>
      <c r="C987" s="4" t="str">
        <f>IFERROR(__xludf.DUMMYFUNCTION("""COMPUTED_VALUE"""),"planet:tech ")</f>
        <v>planet:tech </v>
      </c>
      <c r="D987" s="4" t="str">
        <f>IFERROR(__xludf.DUMMYFUNCTION("""COMPUTED_VALUE"""),"Sandra Bour Schaeffer, Kevin Conrad and Isabel Hilton")</f>
        <v>Sandra Bour Schaeffer, Kevin Conrad and Isabel Hilton</v>
      </c>
      <c r="E987" s="4" t="str">
        <f>IFERROR(__xludf.DUMMYFUNCTION("""COMPUTED_VALUE"""),"Sandra Bour Schaeffer,Kevin Conrad,Isabel Hilton")</f>
        <v>Sandra Bour Schaeffer,Kevin Conrad,Isabel Hilton</v>
      </c>
      <c r="F987" s="4" t="str">
        <f>IFERROR(__xludf.DUMMYFUNCTION("""COMPUTED_VALUE"""),"2019/11/05 11:15:00")</f>
        <v>2019/11/05 11:15:00</v>
      </c>
      <c r="G987" s="4" t="str">
        <f>IFERROR(__xludf.DUMMYFUNCTION("""COMPUTED_VALUE"""),"2019/11/05 11:35:00")</f>
        <v>2019/11/05 11:35:00</v>
      </c>
      <c r="H987" s="4" t="str">
        <f>IFERROR(__xludf.DUMMYFUNCTION("""COMPUTED_VALUE"""),"2f86e340-455b-4cf1-9ed1-dc5369aabb73")</f>
        <v>2f86e340-455b-4cf1-9ed1-dc5369aabb73</v>
      </c>
      <c r="I987" s="4" t="str">
        <f>IFERROR(__xludf.DUMMYFUNCTION("""COMPUTED_VALUE"""),"2f86e340-455b-4cf1-9ed1-dc5369aabb73")</f>
        <v>2f86e340-455b-4cf1-9ed1-dc5369aabb73</v>
      </c>
    </row>
    <row r="988">
      <c r="A988" s="4" t="str">
        <f>IFERROR(__xludf.DUMMYFUNCTION("""COMPUTED_VALUE"""),"")</f>
        <v/>
      </c>
      <c r="B988" s="4" t="str">
        <f>IFERROR(__xludf.DUMMYFUNCTION("""COMPUTED_VALUE"""),"")</f>
        <v/>
      </c>
      <c r="C988" s="4" t="str">
        <f>IFERROR(__xludf.DUMMYFUNCTION("""COMPUTED_VALUE"""),"")</f>
        <v/>
      </c>
      <c r="D988" s="4" t="str">
        <f>IFERROR(__xludf.DUMMYFUNCTION("""COMPUTED_VALUE"""),"")</f>
        <v/>
      </c>
      <c r="E988" s="4" t="str">
        <f>IFERROR(__xludf.DUMMYFUNCTION("""COMPUTED_VALUE"""),"")</f>
        <v/>
      </c>
      <c r="F988" s="4" t="str">
        <f>IFERROR(__xludf.DUMMYFUNCTION("""COMPUTED_VALUE"""),"")</f>
        <v/>
      </c>
      <c r="G988" s="4" t="str">
        <f>IFERROR(__xludf.DUMMYFUNCTION("""COMPUTED_VALUE"""),"")</f>
        <v/>
      </c>
      <c r="H988" s="4" t="str">
        <f>IFERROR(__xludf.DUMMYFUNCTION("""COMPUTED_VALUE"""),"")</f>
        <v/>
      </c>
      <c r="I988" s="4" t="str">
        <f>IFERROR(__xludf.DUMMYFUNCTION("""COMPUTED_VALUE"""),"")</f>
        <v/>
      </c>
    </row>
    <row r="989">
      <c r="A989" s="4" t="str">
        <f>IFERROR(__xludf.DUMMYFUNCTION("""COMPUTED_VALUE"""),"")</f>
        <v/>
      </c>
      <c r="B989" s="4" t="str">
        <f>IFERROR(__xludf.DUMMYFUNCTION("""COMPUTED_VALUE"""),"")</f>
        <v/>
      </c>
      <c r="C989" s="4" t="str">
        <f>IFERROR(__xludf.DUMMYFUNCTION("""COMPUTED_VALUE"""),"")</f>
        <v/>
      </c>
      <c r="D989" s="4" t="str">
        <f>IFERROR(__xludf.DUMMYFUNCTION("""COMPUTED_VALUE"""),"")</f>
        <v/>
      </c>
      <c r="E989" s="4" t="str">
        <f>IFERROR(__xludf.DUMMYFUNCTION("""COMPUTED_VALUE"""),"")</f>
        <v/>
      </c>
      <c r="F989" s="4" t="str">
        <f>IFERROR(__xludf.DUMMYFUNCTION("""COMPUTED_VALUE"""),"")</f>
        <v/>
      </c>
      <c r="G989" s="4" t="str">
        <f>IFERROR(__xludf.DUMMYFUNCTION("""COMPUTED_VALUE"""),"")</f>
        <v/>
      </c>
      <c r="H989" s="4" t="str">
        <f>IFERROR(__xludf.DUMMYFUNCTION("""COMPUTED_VALUE"""),"")</f>
        <v/>
      </c>
      <c r="I989" s="4" t="str">
        <f>IFERROR(__xludf.DUMMYFUNCTION("""COMPUTED_VALUE"""),"")</f>
        <v/>
      </c>
    </row>
    <row r="990">
      <c r="A990" s="4" t="str">
        <f>IFERROR(__xludf.DUMMYFUNCTION("""COMPUTED_VALUE"""),"")</f>
        <v/>
      </c>
      <c r="B990" s="4" t="str">
        <f>IFERROR(__xludf.DUMMYFUNCTION("""COMPUTED_VALUE"""),"")</f>
        <v/>
      </c>
      <c r="C990" s="4" t="str">
        <f>IFERROR(__xludf.DUMMYFUNCTION("""COMPUTED_VALUE"""),"")</f>
        <v/>
      </c>
      <c r="D990" s="4" t="str">
        <f>IFERROR(__xludf.DUMMYFUNCTION("""COMPUTED_VALUE"""),"")</f>
        <v/>
      </c>
      <c r="E990" s="4" t="str">
        <f>IFERROR(__xludf.DUMMYFUNCTION("""COMPUTED_VALUE"""),"")</f>
        <v/>
      </c>
      <c r="F990" s="4" t="str">
        <f>IFERROR(__xludf.DUMMYFUNCTION("""COMPUTED_VALUE"""),"")</f>
        <v/>
      </c>
      <c r="G990" s="4" t="str">
        <f>IFERROR(__xludf.DUMMYFUNCTION("""COMPUTED_VALUE"""),"")</f>
        <v/>
      </c>
      <c r="H990" s="4" t="str">
        <f>IFERROR(__xludf.DUMMYFUNCTION("""COMPUTED_VALUE"""),"")</f>
        <v/>
      </c>
      <c r="I990" s="4" t="str">
        <f>IFERROR(__xludf.DUMMYFUNCTION("""COMPUTED_VALUE"""),"")</f>
        <v/>
      </c>
    </row>
    <row r="991">
      <c r="A991" s="4" t="str">
        <f>IFERROR(__xludf.DUMMYFUNCTION("""COMPUTED_VALUE"""),"")</f>
        <v/>
      </c>
      <c r="B991" s="4" t="str">
        <f>IFERROR(__xludf.DUMMYFUNCTION("""COMPUTED_VALUE"""),"")</f>
        <v/>
      </c>
      <c r="C991" s="4" t="str">
        <f>IFERROR(__xludf.DUMMYFUNCTION("""COMPUTED_VALUE"""),"")</f>
        <v/>
      </c>
      <c r="D991" s="4" t="str">
        <f>IFERROR(__xludf.DUMMYFUNCTION("""COMPUTED_VALUE"""),"")</f>
        <v/>
      </c>
      <c r="E991" s="4" t="str">
        <f>IFERROR(__xludf.DUMMYFUNCTION("""COMPUTED_VALUE"""),"")</f>
        <v/>
      </c>
      <c r="F991" s="4" t="str">
        <f>IFERROR(__xludf.DUMMYFUNCTION("""COMPUTED_VALUE"""),"")</f>
        <v/>
      </c>
      <c r="G991" s="4" t="str">
        <f>IFERROR(__xludf.DUMMYFUNCTION("""COMPUTED_VALUE"""),"")</f>
        <v/>
      </c>
      <c r="H991" s="4" t="str">
        <f>IFERROR(__xludf.DUMMYFUNCTION("""COMPUTED_VALUE"""),"")</f>
        <v/>
      </c>
      <c r="I991" s="4" t="str">
        <f>IFERROR(__xludf.DUMMYFUNCTION("""COMPUTED_VALUE"""),"")</f>
        <v/>
      </c>
    </row>
    <row r="992">
      <c r="A992" s="4" t="str">
        <f>IFERROR(__xludf.DUMMYFUNCTION("""COMPUTED_VALUE"""),"")</f>
        <v/>
      </c>
      <c r="B992" s="4" t="str">
        <f>IFERROR(__xludf.DUMMYFUNCTION("""COMPUTED_VALUE"""),"")</f>
        <v/>
      </c>
      <c r="C992" s="4" t="str">
        <f>IFERROR(__xludf.DUMMYFUNCTION("""COMPUTED_VALUE"""),"")</f>
        <v/>
      </c>
      <c r="D992" s="4" t="str">
        <f>IFERROR(__xludf.DUMMYFUNCTION("""COMPUTED_VALUE"""),"")</f>
        <v/>
      </c>
      <c r="E992" s="4" t="str">
        <f>IFERROR(__xludf.DUMMYFUNCTION("""COMPUTED_VALUE"""),"")</f>
        <v/>
      </c>
      <c r="F992" s="4" t="str">
        <f>IFERROR(__xludf.DUMMYFUNCTION("""COMPUTED_VALUE"""),"")</f>
        <v/>
      </c>
      <c r="G992" s="4" t="str">
        <f>IFERROR(__xludf.DUMMYFUNCTION("""COMPUTED_VALUE"""),"")</f>
        <v/>
      </c>
      <c r="H992" s="4" t="str">
        <f>IFERROR(__xludf.DUMMYFUNCTION("""COMPUTED_VALUE"""),"")</f>
        <v/>
      </c>
      <c r="I992" s="4" t="str">
        <f>IFERROR(__xludf.DUMMYFUNCTION("""COMPUTED_VALUE"""),"")</f>
        <v/>
      </c>
    </row>
    <row r="993">
      <c r="A993" s="4" t="str">
        <f>IFERROR(__xludf.DUMMYFUNCTION("""COMPUTED_VALUE"""),"")</f>
        <v/>
      </c>
      <c r="B993" s="4" t="str">
        <f>IFERROR(__xludf.DUMMYFUNCTION("""COMPUTED_VALUE"""),"")</f>
        <v/>
      </c>
      <c r="C993" s="4" t="str">
        <f>IFERROR(__xludf.DUMMYFUNCTION("""COMPUTED_VALUE"""),"")</f>
        <v/>
      </c>
      <c r="D993" s="4" t="str">
        <f>IFERROR(__xludf.DUMMYFUNCTION("""COMPUTED_VALUE"""),"")</f>
        <v/>
      </c>
      <c r="E993" s="4" t="str">
        <f>IFERROR(__xludf.DUMMYFUNCTION("""COMPUTED_VALUE"""),"")</f>
        <v/>
      </c>
      <c r="F993" s="4" t="str">
        <f>IFERROR(__xludf.DUMMYFUNCTION("""COMPUTED_VALUE"""),"")</f>
        <v/>
      </c>
      <c r="G993" s="4" t="str">
        <f>IFERROR(__xludf.DUMMYFUNCTION("""COMPUTED_VALUE"""),"")</f>
        <v/>
      </c>
      <c r="H993" s="4" t="str">
        <f>IFERROR(__xludf.DUMMYFUNCTION("""COMPUTED_VALUE"""),"")</f>
        <v/>
      </c>
      <c r="I993" s="4" t="str">
        <f>IFERROR(__xludf.DUMMYFUNCTION("""COMPUTED_VALUE"""),"")</f>
        <v/>
      </c>
    </row>
    <row r="994">
      <c r="A994" s="4" t="str">
        <f>IFERROR(__xludf.DUMMYFUNCTION("""COMPUTED_VALUE"""),"")</f>
        <v/>
      </c>
      <c r="B994" s="4" t="str">
        <f>IFERROR(__xludf.DUMMYFUNCTION("""COMPUTED_VALUE"""),"")</f>
        <v/>
      </c>
      <c r="C994" s="4" t="str">
        <f>IFERROR(__xludf.DUMMYFUNCTION("""COMPUTED_VALUE"""),"")</f>
        <v/>
      </c>
      <c r="D994" s="4" t="str">
        <f>IFERROR(__xludf.DUMMYFUNCTION("""COMPUTED_VALUE"""),"")</f>
        <v/>
      </c>
      <c r="E994" s="4" t="str">
        <f>IFERROR(__xludf.DUMMYFUNCTION("""COMPUTED_VALUE"""),"")</f>
        <v/>
      </c>
      <c r="F994" s="4" t="str">
        <f>IFERROR(__xludf.DUMMYFUNCTION("""COMPUTED_VALUE"""),"")</f>
        <v/>
      </c>
      <c r="G994" s="4" t="str">
        <f>IFERROR(__xludf.DUMMYFUNCTION("""COMPUTED_VALUE"""),"")</f>
        <v/>
      </c>
      <c r="H994" s="4" t="str">
        <f>IFERROR(__xludf.DUMMYFUNCTION("""COMPUTED_VALUE"""),"")</f>
        <v/>
      </c>
      <c r="I994" s="4" t="str">
        <f>IFERROR(__xludf.DUMMYFUNCTION("""COMPUTED_VALUE"""),"")</f>
        <v/>
      </c>
    </row>
    <row r="995">
      <c r="A995" s="4" t="str">
        <f>IFERROR(__xludf.DUMMYFUNCTION("""COMPUTED_VALUE"""),"")</f>
        <v/>
      </c>
      <c r="B995" s="4" t="str">
        <f>IFERROR(__xludf.DUMMYFUNCTION("""COMPUTED_VALUE"""),"")</f>
        <v/>
      </c>
      <c r="C995" s="4" t="str">
        <f>IFERROR(__xludf.DUMMYFUNCTION("""COMPUTED_VALUE"""),"")</f>
        <v/>
      </c>
      <c r="D995" s="4" t="str">
        <f>IFERROR(__xludf.DUMMYFUNCTION("""COMPUTED_VALUE"""),"")</f>
        <v/>
      </c>
      <c r="E995" s="4" t="str">
        <f>IFERROR(__xludf.DUMMYFUNCTION("""COMPUTED_VALUE"""),"")</f>
        <v/>
      </c>
      <c r="F995" s="4" t="str">
        <f>IFERROR(__xludf.DUMMYFUNCTION("""COMPUTED_VALUE"""),"")</f>
        <v/>
      </c>
      <c r="G995" s="4" t="str">
        <f>IFERROR(__xludf.DUMMYFUNCTION("""COMPUTED_VALUE"""),"")</f>
        <v/>
      </c>
      <c r="H995" s="4" t="str">
        <f>IFERROR(__xludf.DUMMYFUNCTION("""COMPUTED_VALUE"""),"")</f>
        <v/>
      </c>
      <c r="I995" s="4" t="str">
        <f>IFERROR(__xludf.DUMMYFUNCTION("""COMPUTED_VALUE"""),"")</f>
        <v/>
      </c>
    </row>
    <row r="996">
      <c r="A996" s="4" t="str">
        <f>IFERROR(__xludf.DUMMYFUNCTION("""COMPUTED_VALUE"""),"")</f>
        <v/>
      </c>
      <c r="B996" s="4" t="str">
        <f>IFERROR(__xludf.DUMMYFUNCTION("""COMPUTED_VALUE"""),"")</f>
        <v/>
      </c>
      <c r="C996" s="4" t="str">
        <f>IFERROR(__xludf.DUMMYFUNCTION("""COMPUTED_VALUE"""),"")</f>
        <v/>
      </c>
      <c r="D996" s="4" t="str">
        <f>IFERROR(__xludf.DUMMYFUNCTION("""COMPUTED_VALUE"""),"")</f>
        <v/>
      </c>
      <c r="E996" s="4" t="str">
        <f>IFERROR(__xludf.DUMMYFUNCTION("""COMPUTED_VALUE"""),"")</f>
        <v/>
      </c>
      <c r="F996" s="4" t="str">
        <f>IFERROR(__xludf.DUMMYFUNCTION("""COMPUTED_VALUE"""),"")</f>
        <v/>
      </c>
      <c r="G996" s="4" t="str">
        <f>IFERROR(__xludf.DUMMYFUNCTION("""COMPUTED_VALUE"""),"")</f>
        <v/>
      </c>
      <c r="H996" s="4" t="str">
        <f>IFERROR(__xludf.DUMMYFUNCTION("""COMPUTED_VALUE"""),"")</f>
        <v/>
      </c>
      <c r="I996" s="4" t="str">
        <f>IFERROR(__xludf.DUMMYFUNCTION("""COMPUTED_VALUE"""),"")</f>
        <v/>
      </c>
    </row>
    <row r="997">
      <c r="A997" s="4" t="str">
        <f>IFERROR(__xludf.DUMMYFUNCTION("""COMPUTED_VALUE"""),"")</f>
        <v/>
      </c>
      <c r="B997" s="4" t="str">
        <f>IFERROR(__xludf.DUMMYFUNCTION("""COMPUTED_VALUE"""),"")</f>
        <v/>
      </c>
      <c r="C997" s="4" t="str">
        <f>IFERROR(__xludf.DUMMYFUNCTION("""COMPUTED_VALUE"""),"")</f>
        <v/>
      </c>
      <c r="D997" s="4" t="str">
        <f>IFERROR(__xludf.DUMMYFUNCTION("""COMPUTED_VALUE"""),"")</f>
        <v/>
      </c>
      <c r="E997" s="4" t="str">
        <f>IFERROR(__xludf.DUMMYFUNCTION("""COMPUTED_VALUE"""),"")</f>
        <v/>
      </c>
      <c r="F997" s="4" t="str">
        <f>IFERROR(__xludf.DUMMYFUNCTION("""COMPUTED_VALUE"""),"")</f>
        <v/>
      </c>
      <c r="G997" s="4" t="str">
        <f>IFERROR(__xludf.DUMMYFUNCTION("""COMPUTED_VALUE"""),"")</f>
        <v/>
      </c>
      <c r="H997" s="4" t="str">
        <f>IFERROR(__xludf.DUMMYFUNCTION("""COMPUTED_VALUE"""),"")</f>
        <v/>
      </c>
      <c r="I997" s="4" t="str">
        <f>IFERROR(__xludf.DUMMYFUNCTION("""COMPUTED_VALUE"""),"")</f>
        <v/>
      </c>
    </row>
    <row r="998">
      <c r="A998" s="4" t="str">
        <f>IFERROR(__xludf.DUMMYFUNCTION("""COMPUTED_VALUE"""),"")</f>
        <v/>
      </c>
      <c r="B998" s="4" t="str">
        <f>IFERROR(__xludf.DUMMYFUNCTION("""COMPUTED_VALUE"""),"")</f>
        <v/>
      </c>
      <c r="C998" s="4" t="str">
        <f>IFERROR(__xludf.DUMMYFUNCTION("""COMPUTED_VALUE"""),"")</f>
        <v/>
      </c>
      <c r="D998" s="4" t="str">
        <f>IFERROR(__xludf.DUMMYFUNCTION("""COMPUTED_VALUE"""),"")</f>
        <v/>
      </c>
      <c r="E998" s="4" t="str">
        <f>IFERROR(__xludf.DUMMYFUNCTION("""COMPUTED_VALUE"""),"")</f>
        <v/>
      </c>
      <c r="F998" s="4" t="str">
        <f>IFERROR(__xludf.DUMMYFUNCTION("""COMPUTED_VALUE"""),"")</f>
        <v/>
      </c>
      <c r="G998" s="4" t="str">
        <f>IFERROR(__xludf.DUMMYFUNCTION("""COMPUTED_VALUE"""),"")</f>
        <v/>
      </c>
      <c r="H998" s="4" t="str">
        <f>IFERROR(__xludf.DUMMYFUNCTION("""COMPUTED_VALUE"""),"")</f>
        <v/>
      </c>
      <c r="I998" s="4" t="str">
        <f>IFERROR(__xludf.DUMMYFUNCTION("""COMPUTED_VALUE"""),"")</f>
        <v/>
      </c>
    </row>
    <row r="999">
      <c r="A999" s="4" t="str">
        <f>IFERROR(__xludf.DUMMYFUNCTION("""COMPUTED_VALUE"""),"")</f>
        <v/>
      </c>
      <c r="B999" s="4" t="str">
        <f>IFERROR(__xludf.DUMMYFUNCTION("""COMPUTED_VALUE"""),"")</f>
        <v/>
      </c>
      <c r="C999" s="4" t="str">
        <f>IFERROR(__xludf.DUMMYFUNCTION("""COMPUTED_VALUE"""),"")</f>
        <v/>
      </c>
      <c r="D999" s="4" t="str">
        <f>IFERROR(__xludf.DUMMYFUNCTION("""COMPUTED_VALUE"""),"")</f>
        <v/>
      </c>
      <c r="E999" s="4" t="str">
        <f>IFERROR(__xludf.DUMMYFUNCTION("""COMPUTED_VALUE"""),"")</f>
        <v/>
      </c>
      <c r="F999" s="4" t="str">
        <f>IFERROR(__xludf.DUMMYFUNCTION("""COMPUTED_VALUE"""),"")</f>
        <v/>
      </c>
      <c r="G999" s="4" t="str">
        <f>IFERROR(__xludf.DUMMYFUNCTION("""COMPUTED_VALUE"""),"")</f>
        <v/>
      </c>
      <c r="H999" s="4" t="str">
        <f>IFERROR(__xludf.DUMMYFUNCTION("""COMPUTED_VALUE"""),"")</f>
        <v/>
      </c>
      <c r="I999" s="4" t="str">
        <f>IFERROR(__xludf.DUMMYFUNCTION("""COMPUTED_VALUE"""),"")</f>
        <v/>
      </c>
    </row>
    <row r="1000">
      <c r="A1000" s="4" t="str">
        <f>IFERROR(__xludf.DUMMYFUNCTION("""COMPUTED_VALUE"""),"")</f>
        <v/>
      </c>
      <c r="B1000" s="4" t="str">
        <f>IFERROR(__xludf.DUMMYFUNCTION("""COMPUTED_VALUE"""),"")</f>
        <v/>
      </c>
      <c r="C1000" s="4" t="str">
        <f>IFERROR(__xludf.DUMMYFUNCTION("""COMPUTED_VALUE"""),"")</f>
        <v/>
      </c>
      <c r="D1000" s="4" t="str">
        <f>IFERROR(__xludf.DUMMYFUNCTION("""COMPUTED_VALUE"""),"")</f>
        <v/>
      </c>
      <c r="E1000" s="4" t="str">
        <f>IFERROR(__xludf.DUMMYFUNCTION("""COMPUTED_VALUE"""),"")</f>
        <v/>
      </c>
      <c r="F1000" s="4" t="str">
        <f>IFERROR(__xludf.DUMMYFUNCTION("""COMPUTED_VALUE"""),"")</f>
        <v/>
      </c>
      <c r="G1000" s="4" t="str">
        <f>IFERROR(__xludf.DUMMYFUNCTION("""COMPUTED_VALUE"""),"")</f>
        <v/>
      </c>
      <c r="H1000" s="4" t="str">
        <f>IFERROR(__xludf.DUMMYFUNCTION("""COMPUTED_VALUE"""),"")</f>
        <v/>
      </c>
      <c r="I1000" s="4" t="str">
        <f>IFERROR(__xludf.DUMMYFUNCTION("""COMPUTED_VALUE"""),"")</f>
        <v/>
      </c>
    </row>
    <row r="1001">
      <c r="A1001" s="4" t="str">
        <f>IFERROR(__xludf.DUMMYFUNCTION("""COMPUTED_VALUE"""),"")</f>
        <v/>
      </c>
      <c r="B1001" s="4" t="str">
        <f>IFERROR(__xludf.DUMMYFUNCTION("""COMPUTED_VALUE"""),"")</f>
        <v/>
      </c>
      <c r="C1001" s="4" t="str">
        <f>IFERROR(__xludf.DUMMYFUNCTION("""COMPUTED_VALUE"""),"")</f>
        <v/>
      </c>
      <c r="D1001" s="4" t="str">
        <f>IFERROR(__xludf.DUMMYFUNCTION("""COMPUTED_VALUE"""),"")</f>
        <v/>
      </c>
      <c r="E1001" s="4" t="str">
        <f>IFERROR(__xludf.DUMMYFUNCTION("""COMPUTED_VALUE"""),"")</f>
        <v/>
      </c>
      <c r="F1001" s="4" t="str">
        <f>IFERROR(__xludf.DUMMYFUNCTION("""COMPUTED_VALUE"""),"")</f>
        <v/>
      </c>
      <c r="G1001" s="4" t="str">
        <f>IFERROR(__xludf.DUMMYFUNCTION("""COMPUTED_VALUE"""),"")</f>
        <v/>
      </c>
      <c r="H1001" s="4" t="str">
        <f>IFERROR(__xludf.DUMMYFUNCTION("""COMPUTED_VALUE"""),"")</f>
        <v/>
      </c>
      <c r="I1001" s="4" t="str">
        <f>IFERROR(__xludf.DUMMYFUNCTION("""COMPUTED_VALUE"""),"")</f>
        <v/>
      </c>
    </row>
    <row r="1002">
      <c r="A1002" s="4" t="str">
        <f>IFERROR(__xludf.DUMMYFUNCTION("""COMPUTED_VALUE"""),"")</f>
        <v/>
      </c>
      <c r="B1002" s="4" t="str">
        <f>IFERROR(__xludf.DUMMYFUNCTION("""COMPUTED_VALUE"""),"")</f>
        <v/>
      </c>
      <c r="C1002" s="4" t="str">
        <f>IFERROR(__xludf.DUMMYFUNCTION("""COMPUTED_VALUE"""),"")</f>
        <v/>
      </c>
      <c r="D1002" s="4" t="str">
        <f>IFERROR(__xludf.DUMMYFUNCTION("""COMPUTED_VALUE"""),"")</f>
        <v/>
      </c>
      <c r="E1002" s="4" t="str">
        <f>IFERROR(__xludf.DUMMYFUNCTION("""COMPUTED_VALUE"""),"")</f>
        <v/>
      </c>
      <c r="F1002" s="4" t="str">
        <f>IFERROR(__xludf.DUMMYFUNCTION("""COMPUTED_VALUE"""),"")</f>
        <v/>
      </c>
      <c r="G1002" s="4" t="str">
        <f>IFERROR(__xludf.DUMMYFUNCTION("""COMPUTED_VALUE"""),"")</f>
        <v/>
      </c>
      <c r="H1002" s="4" t="str">
        <f>IFERROR(__xludf.DUMMYFUNCTION("""COMPUTED_VALUE"""),"")</f>
        <v/>
      </c>
      <c r="I1002" s="4" t="str">
        <f>IFERROR(__xludf.DUMMYFUNCTION("""COMPUTED_VALUE"""),"")</f>
        <v/>
      </c>
    </row>
    <row r="1003">
      <c r="A1003" s="4" t="str">
        <f>IFERROR(__xludf.DUMMYFUNCTION("""COMPUTED_VALUE"""),"")</f>
        <v/>
      </c>
      <c r="B1003" s="4" t="str">
        <f>IFERROR(__xludf.DUMMYFUNCTION("""COMPUTED_VALUE"""),"")</f>
        <v/>
      </c>
      <c r="C1003" s="4" t="str">
        <f>IFERROR(__xludf.DUMMYFUNCTION("""COMPUTED_VALUE"""),"")</f>
        <v/>
      </c>
      <c r="D1003" s="4" t="str">
        <f>IFERROR(__xludf.DUMMYFUNCTION("""COMPUTED_VALUE"""),"")</f>
        <v/>
      </c>
      <c r="E1003" s="4" t="str">
        <f>IFERROR(__xludf.DUMMYFUNCTION("""COMPUTED_VALUE"""),"")</f>
        <v/>
      </c>
      <c r="F1003" s="4" t="str">
        <f>IFERROR(__xludf.DUMMYFUNCTION("""COMPUTED_VALUE"""),"")</f>
        <v/>
      </c>
      <c r="G1003" s="4" t="str">
        <f>IFERROR(__xludf.DUMMYFUNCTION("""COMPUTED_VALUE"""),"")</f>
        <v/>
      </c>
      <c r="H1003" s="4" t="str">
        <f>IFERROR(__xludf.DUMMYFUNCTION("""COMPUTED_VALUE"""),"")</f>
        <v/>
      </c>
      <c r="I1003" s="4" t="str">
        <f>IFERROR(__xludf.DUMMYFUNCTION("""COMPUTED_VALUE"""),"")</f>
        <v/>
      </c>
    </row>
    <row r="1004">
      <c r="A1004" s="4" t="str">
        <f>IFERROR(__xludf.DUMMYFUNCTION("""COMPUTED_VALUE"""),"")</f>
        <v/>
      </c>
      <c r="B1004" s="4" t="str">
        <f>IFERROR(__xludf.DUMMYFUNCTION("""COMPUTED_VALUE"""),"")</f>
        <v/>
      </c>
      <c r="C1004" s="4" t="str">
        <f>IFERROR(__xludf.DUMMYFUNCTION("""COMPUTED_VALUE"""),"")</f>
        <v/>
      </c>
      <c r="D1004" s="4" t="str">
        <f>IFERROR(__xludf.DUMMYFUNCTION("""COMPUTED_VALUE"""),"")</f>
        <v/>
      </c>
      <c r="E1004" s="4" t="str">
        <f>IFERROR(__xludf.DUMMYFUNCTION("""COMPUTED_VALUE"""),"")</f>
        <v/>
      </c>
      <c r="F1004" s="4" t="str">
        <f>IFERROR(__xludf.DUMMYFUNCTION("""COMPUTED_VALUE"""),"")</f>
        <v/>
      </c>
      <c r="G1004" s="4" t="str">
        <f>IFERROR(__xludf.DUMMYFUNCTION("""COMPUTED_VALUE"""),"")</f>
        <v/>
      </c>
      <c r="H1004" s="4" t="str">
        <f>IFERROR(__xludf.DUMMYFUNCTION("""COMPUTED_VALUE"""),"")</f>
        <v/>
      </c>
      <c r="I1004" s="4" t="str">
        <f>IFERROR(__xludf.DUMMYFUNCTION("""COMPUTED_VALUE"""),"")</f>
        <v/>
      </c>
    </row>
    <row r="1005">
      <c r="A1005" s="4" t="str">
        <f>IFERROR(__xludf.DUMMYFUNCTION("""COMPUTED_VALUE"""),"")</f>
        <v/>
      </c>
      <c r="B1005" s="4" t="str">
        <f>IFERROR(__xludf.DUMMYFUNCTION("""COMPUTED_VALUE"""),"")</f>
        <v/>
      </c>
      <c r="C1005" s="4" t="str">
        <f>IFERROR(__xludf.DUMMYFUNCTION("""COMPUTED_VALUE"""),"")</f>
        <v/>
      </c>
      <c r="D1005" s="4" t="str">
        <f>IFERROR(__xludf.DUMMYFUNCTION("""COMPUTED_VALUE"""),"")</f>
        <v/>
      </c>
      <c r="E1005" s="4" t="str">
        <f>IFERROR(__xludf.DUMMYFUNCTION("""COMPUTED_VALUE"""),"")</f>
        <v/>
      </c>
      <c r="F1005" s="4" t="str">
        <f>IFERROR(__xludf.DUMMYFUNCTION("""COMPUTED_VALUE"""),"")</f>
        <v/>
      </c>
      <c r="G1005" s="4" t="str">
        <f>IFERROR(__xludf.DUMMYFUNCTION("""COMPUTED_VALUE"""),"")</f>
        <v/>
      </c>
      <c r="H1005" s="4" t="str">
        <f>IFERROR(__xludf.DUMMYFUNCTION("""COMPUTED_VALUE"""),"")</f>
        <v/>
      </c>
      <c r="I1005" s="4" t="str">
        <f>IFERROR(__xludf.DUMMYFUNCTION("""COMPUTED_VALUE"""),"")</f>
        <v/>
      </c>
    </row>
    <row r="1006">
      <c r="A1006" s="4" t="str">
        <f>IFERROR(__xludf.DUMMYFUNCTION("""COMPUTED_VALUE"""),"")</f>
        <v/>
      </c>
      <c r="B1006" s="4" t="str">
        <f>IFERROR(__xludf.DUMMYFUNCTION("""COMPUTED_VALUE"""),"")</f>
        <v/>
      </c>
      <c r="C1006" s="4" t="str">
        <f>IFERROR(__xludf.DUMMYFUNCTION("""COMPUTED_VALUE"""),"")</f>
        <v/>
      </c>
      <c r="D1006" s="4" t="str">
        <f>IFERROR(__xludf.DUMMYFUNCTION("""COMPUTED_VALUE"""),"")</f>
        <v/>
      </c>
      <c r="E1006" s="4" t="str">
        <f>IFERROR(__xludf.DUMMYFUNCTION("""COMPUTED_VALUE"""),"")</f>
        <v/>
      </c>
      <c r="F1006" s="4" t="str">
        <f>IFERROR(__xludf.DUMMYFUNCTION("""COMPUTED_VALUE"""),"")</f>
        <v/>
      </c>
      <c r="G1006" s="4" t="str">
        <f>IFERROR(__xludf.DUMMYFUNCTION("""COMPUTED_VALUE"""),"")</f>
        <v/>
      </c>
      <c r="H1006" s="4" t="str">
        <f>IFERROR(__xludf.DUMMYFUNCTION("""COMPUTED_VALUE"""),"")</f>
        <v/>
      </c>
      <c r="I1006" s="4" t="str">
        <f>IFERROR(__xludf.DUMMYFUNCTION("""COMPUTED_VALUE"""),"")</f>
        <v/>
      </c>
    </row>
    <row r="1007">
      <c r="A1007" s="4" t="str">
        <f>IFERROR(__xludf.DUMMYFUNCTION("""COMPUTED_VALUE"""),"")</f>
        <v/>
      </c>
      <c r="B1007" s="4" t="str">
        <f>IFERROR(__xludf.DUMMYFUNCTION("""COMPUTED_VALUE"""),"")</f>
        <v/>
      </c>
      <c r="C1007" s="4" t="str">
        <f>IFERROR(__xludf.DUMMYFUNCTION("""COMPUTED_VALUE"""),"")</f>
        <v/>
      </c>
      <c r="D1007" s="4" t="str">
        <f>IFERROR(__xludf.DUMMYFUNCTION("""COMPUTED_VALUE"""),"")</f>
        <v/>
      </c>
      <c r="E1007" s="4" t="str">
        <f>IFERROR(__xludf.DUMMYFUNCTION("""COMPUTED_VALUE"""),"")</f>
        <v/>
      </c>
      <c r="F1007" s="4" t="str">
        <f>IFERROR(__xludf.DUMMYFUNCTION("""COMPUTED_VALUE"""),"")</f>
        <v/>
      </c>
      <c r="G1007" s="4" t="str">
        <f>IFERROR(__xludf.DUMMYFUNCTION("""COMPUTED_VALUE"""),"")</f>
        <v/>
      </c>
      <c r="H1007" s="4" t="str">
        <f>IFERROR(__xludf.DUMMYFUNCTION("""COMPUTED_VALUE"""),"")</f>
        <v/>
      </c>
      <c r="I1007" s="4" t="str">
        <f>IFERROR(__xludf.DUMMYFUNCTION("""COMPUTED_VALUE"""),"")</f>
        <v/>
      </c>
    </row>
    <row r="1008">
      <c r="A1008" s="4" t="str">
        <f>IFERROR(__xludf.DUMMYFUNCTION("""COMPUTED_VALUE"""),"")</f>
        <v/>
      </c>
      <c r="B1008" s="4" t="str">
        <f>IFERROR(__xludf.DUMMYFUNCTION("""COMPUTED_VALUE"""),"")</f>
        <v/>
      </c>
      <c r="C1008" s="4" t="str">
        <f>IFERROR(__xludf.DUMMYFUNCTION("""COMPUTED_VALUE"""),"")</f>
        <v/>
      </c>
      <c r="D1008" s="4" t="str">
        <f>IFERROR(__xludf.DUMMYFUNCTION("""COMPUTED_VALUE"""),"")</f>
        <v/>
      </c>
      <c r="E1008" s="4" t="str">
        <f>IFERROR(__xludf.DUMMYFUNCTION("""COMPUTED_VALUE"""),"")</f>
        <v/>
      </c>
      <c r="F1008" s="4" t="str">
        <f>IFERROR(__xludf.DUMMYFUNCTION("""COMPUTED_VALUE"""),"")</f>
        <v/>
      </c>
      <c r="G1008" s="4" t="str">
        <f>IFERROR(__xludf.DUMMYFUNCTION("""COMPUTED_VALUE"""),"")</f>
        <v/>
      </c>
      <c r="H1008" s="4" t="str">
        <f>IFERROR(__xludf.DUMMYFUNCTION("""COMPUTED_VALUE"""),"")</f>
        <v/>
      </c>
      <c r="I1008" s="4" t="str">
        <f>IFERROR(__xludf.DUMMYFUNCTION("""COMPUTED_VALUE"""),"")</f>
        <v/>
      </c>
    </row>
    <row r="1009">
      <c r="A1009" s="4" t="str">
        <f>IFERROR(__xludf.DUMMYFUNCTION("""COMPUTED_VALUE"""),"")</f>
        <v/>
      </c>
      <c r="B1009" s="4" t="str">
        <f>IFERROR(__xludf.DUMMYFUNCTION("""COMPUTED_VALUE"""),"")</f>
        <v/>
      </c>
      <c r="C1009" s="4" t="str">
        <f>IFERROR(__xludf.DUMMYFUNCTION("""COMPUTED_VALUE"""),"")</f>
        <v/>
      </c>
      <c r="D1009" s="4" t="str">
        <f>IFERROR(__xludf.DUMMYFUNCTION("""COMPUTED_VALUE"""),"")</f>
        <v/>
      </c>
      <c r="E1009" s="4" t="str">
        <f>IFERROR(__xludf.DUMMYFUNCTION("""COMPUTED_VALUE"""),"")</f>
        <v/>
      </c>
      <c r="F1009" s="4" t="str">
        <f>IFERROR(__xludf.DUMMYFUNCTION("""COMPUTED_VALUE"""),"")</f>
        <v/>
      </c>
      <c r="G1009" s="4" t="str">
        <f>IFERROR(__xludf.DUMMYFUNCTION("""COMPUTED_VALUE"""),"")</f>
        <v/>
      </c>
      <c r="H1009" s="4" t="str">
        <f>IFERROR(__xludf.DUMMYFUNCTION("""COMPUTED_VALUE"""),"")</f>
        <v/>
      </c>
      <c r="I1009" s="4" t="str">
        <f>IFERROR(__xludf.DUMMYFUNCTION("""COMPUTED_VALUE"""),"")</f>
        <v/>
      </c>
    </row>
    <row r="1010">
      <c r="A1010" s="4" t="str">
        <f>IFERROR(__xludf.DUMMYFUNCTION("""COMPUTED_VALUE"""),"")</f>
        <v/>
      </c>
      <c r="B1010" s="4" t="str">
        <f>IFERROR(__xludf.DUMMYFUNCTION("""COMPUTED_VALUE"""),"")</f>
        <v/>
      </c>
      <c r="C1010" s="4" t="str">
        <f>IFERROR(__xludf.DUMMYFUNCTION("""COMPUTED_VALUE"""),"")</f>
        <v/>
      </c>
      <c r="D1010" s="4" t="str">
        <f>IFERROR(__xludf.DUMMYFUNCTION("""COMPUTED_VALUE"""),"")</f>
        <v/>
      </c>
      <c r="E1010" s="4" t="str">
        <f>IFERROR(__xludf.DUMMYFUNCTION("""COMPUTED_VALUE"""),"")</f>
        <v/>
      </c>
      <c r="F1010" s="4" t="str">
        <f>IFERROR(__xludf.DUMMYFUNCTION("""COMPUTED_VALUE"""),"")</f>
        <v/>
      </c>
      <c r="G1010" s="4" t="str">
        <f>IFERROR(__xludf.DUMMYFUNCTION("""COMPUTED_VALUE"""),"")</f>
        <v/>
      </c>
      <c r="H1010" s="4" t="str">
        <f>IFERROR(__xludf.DUMMYFUNCTION("""COMPUTED_VALUE"""),"")</f>
        <v/>
      </c>
      <c r="I1010" s="4" t="str">
        <f>IFERROR(__xludf.DUMMYFUNCTION("""COMPUTED_VALUE"""),"")</f>
        <v/>
      </c>
    </row>
    <row r="1011">
      <c r="A1011" s="4" t="str">
        <f>IFERROR(__xludf.DUMMYFUNCTION("""COMPUTED_VALUE"""),"")</f>
        <v/>
      </c>
      <c r="B1011" s="4" t="str">
        <f>IFERROR(__xludf.DUMMYFUNCTION("""COMPUTED_VALUE"""),"")</f>
        <v/>
      </c>
      <c r="C1011" s="4" t="str">
        <f>IFERROR(__xludf.DUMMYFUNCTION("""COMPUTED_VALUE"""),"")</f>
        <v/>
      </c>
      <c r="D1011" s="4" t="str">
        <f>IFERROR(__xludf.DUMMYFUNCTION("""COMPUTED_VALUE"""),"")</f>
        <v/>
      </c>
      <c r="E1011" s="4" t="str">
        <f>IFERROR(__xludf.DUMMYFUNCTION("""COMPUTED_VALUE"""),"")</f>
        <v/>
      </c>
      <c r="F1011" s="4" t="str">
        <f>IFERROR(__xludf.DUMMYFUNCTION("""COMPUTED_VALUE"""),"")</f>
        <v/>
      </c>
      <c r="G1011" s="4" t="str">
        <f>IFERROR(__xludf.DUMMYFUNCTION("""COMPUTED_VALUE"""),"")</f>
        <v/>
      </c>
      <c r="H1011" s="4" t="str">
        <f>IFERROR(__xludf.DUMMYFUNCTION("""COMPUTED_VALUE"""),"")</f>
        <v/>
      </c>
      <c r="I1011" s="4" t="str">
        <f>IFERROR(__xludf.DUMMYFUNCTION("""COMPUTED_VALUE"""),"")</f>
        <v/>
      </c>
    </row>
    <row r="1012">
      <c r="A1012" s="4" t="str">
        <f>IFERROR(__xludf.DUMMYFUNCTION("""COMPUTED_VALUE"""),"")</f>
        <v/>
      </c>
      <c r="B1012" s="4" t="str">
        <f>IFERROR(__xludf.DUMMYFUNCTION("""COMPUTED_VALUE"""),"")</f>
        <v/>
      </c>
      <c r="C1012" s="4" t="str">
        <f>IFERROR(__xludf.DUMMYFUNCTION("""COMPUTED_VALUE"""),"")</f>
        <v/>
      </c>
      <c r="D1012" s="4" t="str">
        <f>IFERROR(__xludf.DUMMYFUNCTION("""COMPUTED_VALUE"""),"")</f>
        <v/>
      </c>
      <c r="E1012" s="4" t="str">
        <f>IFERROR(__xludf.DUMMYFUNCTION("""COMPUTED_VALUE"""),"")</f>
        <v/>
      </c>
      <c r="F1012" s="4" t="str">
        <f>IFERROR(__xludf.DUMMYFUNCTION("""COMPUTED_VALUE"""),"")</f>
        <v/>
      </c>
      <c r="G1012" s="4" t="str">
        <f>IFERROR(__xludf.DUMMYFUNCTION("""COMPUTED_VALUE"""),"")</f>
        <v/>
      </c>
      <c r="H1012" s="4" t="str">
        <f>IFERROR(__xludf.DUMMYFUNCTION("""COMPUTED_VALUE"""),"")</f>
        <v/>
      </c>
      <c r="I1012" s="4" t="str">
        <f>IFERROR(__xludf.DUMMYFUNCTION("""COMPUTED_VALUE"""),"")</f>
        <v/>
      </c>
    </row>
    <row r="1013">
      <c r="A1013" s="4" t="str">
        <f>IFERROR(__xludf.DUMMYFUNCTION("""COMPUTED_VALUE"""),"")</f>
        <v/>
      </c>
      <c r="B1013" s="4" t="str">
        <f>IFERROR(__xludf.DUMMYFUNCTION("""COMPUTED_VALUE"""),"")</f>
        <v/>
      </c>
      <c r="C1013" s="4" t="str">
        <f>IFERROR(__xludf.DUMMYFUNCTION("""COMPUTED_VALUE"""),"")</f>
        <v/>
      </c>
      <c r="D1013" s="4" t="str">
        <f>IFERROR(__xludf.DUMMYFUNCTION("""COMPUTED_VALUE"""),"")</f>
        <v/>
      </c>
      <c r="E1013" s="4" t="str">
        <f>IFERROR(__xludf.DUMMYFUNCTION("""COMPUTED_VALUE"""),"")</f>
        <v/>
      </c>
      <c r="F1013" s="4" t="str">
        <f>IFERROR(__xludf.DUMMYFUNCTION("""COMPUTED_VALUE"""),"")</f>
        <v/>
      </c>
      <c r="G1013" s="4" t="str">
        <f>IFERROR(__xludf.DUMMYFUNCTION("""COMPUTED_VALUE"""),"")</f>
        <v/>
      </c>
      <c r="H1013" s="4" t="str">
        <f>IFERROR(__xludf.DUMMYFUNCTION("""COMPUTED_VALUE"""),"")</f>
        <v/>
      </c>
      <c r="I1013" s="4" t="str">
        <f>IFERROR(__xludf.DUMMYFUNCTION("""COMPUTED_VALUE"""),"")</f>
        <v/>
      </c>
    </row>
    <row r="1014">
      <c r="A1014" s="4" t="str">
        <f>IFERROR(__xludf.DUMMYFUNCTION("""COMPUTED_VALUE"""),"")</f>
        <v/>
      </c>
      <c r="B1014" s="4" t="str">
        <f>IFERROR(__xludf.DUMMYFUNCTION("""COMPUTED_VALUE"""),"")</f>
        <v/>
      </c>
      <c r="C1014" s="4" t="str">
        <f>IFERROR(__xludf.DUMMYFUNCTION("""COMPUTED_VALUE"""),"")</f>
        <v/>
      </c>
      <c r="D1014" s="4" t="str">
        <f>IFERROR(__xludf.DUMMYFUNCTION("""COMPUTED_VALUE"""),"")</f>
        <v/>
      </c>
      <c r="E1014" s="4" t="str">
        <f>IFERROR(__xludf.DUMMYFUNCTION("""COMPUTED_VALUE"""),"")</f>
        <v/>
      </c>
      <c r="F1014" s="4" t="str">
        <f>IFERROR(__xludf.DUMMYFUNCTION("""COMPUTED_VALUE"""),"")</f>
        <v/>
      </c>
      <c r="G1014" s="4" t="str">
        <f>IFERROR(__xludf.DUMMYFUNCTION("""COMPUTED_VALUE"""),"")</f>
        <v/>
      </c>
      <c r="H1014" s="4" t="str">
        <f>IFERROR(__xludf.DUMMYFUNCTION("""COMPUTED_VALUE"""),"")</f>
        <v/>
      </c>
      <c r="I1014" s="4" t="str">
        <f>IFERROR(__xludf.DUMMYFUNCTION("""COMPUTED_VALUE"""),"")</f>
        <v/>
      </c>
    </row>
    <row r="1015">
      <c r="A1015" s="4" t="str">
        <f>IFERROR(__xludf.DUMMYFUNCTION("""COMPUTED_VALUE"""),"")</f>
        <v/>
      </c>
      <c r="B1015" s="4" t="str">
        <f>IFERROR(__xludf.DUMMYFUNCTION("""COMPUTED_VALUE"""),"")</f>
        <v/>
      </c>
      <c r="C1015" s="4" t="str">
        <f>IFERROR(__xludf.DUMMYFUNCTION("""COMPUTED_VALUE"""),"")</f>
        <v/>
      </c>
      <c r="D1015" s="4" t="str">
        <f>IFERROR(__xludf.DUMMYFUNCTION("""COMPUTED_VALUE"""),"")</f>
        <v/>
      </c>
      <c r="E1015" s="4" t="str">
        <f>IFERROR(__xludf.DUMMYFUNCTION("""COMPUTED_VALUE"""),"")</f>
        <v/>
      </c>
      <c r="F1015" s="4" t="str">
        <f>IFERROR(__xludf.DUMMYFUNCTION("""COMPUTED_VALUE"""),"")</f>
        <v/>
      </c>
      <c r="G1015" s="4" t="str">
        <f>IFERROR(__xludf.DUMMYFUNCTION("""COMPUTED_VALUE"""),"")</f>
        <v/>
      </c>
      <c r="H1015" s="4" t="str">
        <f>IFERROR(__xludf.DUMMYFUNCTION("""COMPUTED_VALUE"""),"")</f>
        <v/>
      </c>
      <c r="I1015" s="4" t="str">
        <f>IFERROR(__xludf.DUMMYFUNCTION("""COMPUTED_VALUE"""),"")</f>
        <v/>
      </c>
    </row>
    <row r="1016">
      <c r="A1016" s="4" t="str">
        <f>IFERROR(__xludf.DUMMYFUNCTION("""COMPUTED_VALUE"""),"")</f>
        <v/>
      </c>
      <c r="B1016" s="4" t="str">
        <f>IFERROR(__xludf.DUMMYFUNCTION("""COMPUTED_VALUE"""),"")</f>
        <v/>
      </c>
      <c r="C1016" s="4" t="str">
        <f>IFERROR(__xludf.DUMMYFUNCTION("""COMPUTED_VALUE"""),"")</f>
        <v/>
      </c>
      <c r="D1016" s="4" t="str">
        <f>IFERROR(__xludf.DUMMYFUNCTION("""COMPUTED_VALUE"""),"")</f>
        <v/>
      </c>
      <c r="E1016" s="4" t="str">
        <f>IFERROR(__xludf.DUMMYFUNCTION("""COMPUTED_VALUE"""),"")</f>
        <v/>
      </c>
      <c r="F1016" s="4" t="str">
        <f>IFERROR(__xludf.DUMMYFUNCTION("""COMPUTED_VALUE"""),"")</f>
        <v/>
      </c>
      <c r="G1016" s="4" t="str">
        <f>IFERROR(__xludf.DUMMYFUNCTION("""COMPUTED_VALUE"""),"")</f>
        <v/>
      </c>
      <c r="H1016" s="4" t="str">
        <f>IFERROR(__xludf.DUMMYFUNCTION("""COMPUTED_VALUE"""),"")</f>
        <v/>
      </c>
      <c r="I1016" s="4" t="str">
        <f>IFERROR(__xludf.DUMMYFUNCTION("""COMPUTED_VALUE"""),"")</f>
        <v/>
      </c>
    </row>
    <row r="1017">
      <c r="A1017" s="4" t="str">
        <f>IFERROR(__xludf.DUMMYFUNCTION("""COMPUTED_VALUE"""),"")</f>
        <v/>
      </c>
      <c r="B1017" s="4" t="str">
        <f>IFERROR(__xludf.DUMMYFUNCTION("""COMPUTED_VALUE"""),"")</f>
        <v/>
      </c>
      <c r="C1017" s="4" t="str">
        <f>IFERROR(__xludf.DUMMYFUNCTION("""COMPUTED_VALUE"""),"")</f>
        <v/>
      </c>
      <c r="D1017" s="4" t="str">
        <f>IFERROR(__xludf.DUMMYFUNCTION("""COMPUTED_VALUE"""),"")</f>
        <v/>
      </c>
      <c r="E1017" s="4" t="str">
        <f>IFERROR(__xludf.DUMMYFUNCTION("""COMPUTED_VALUE"""),"")</f>
        <v/>
      </c>
      <c r="F1017" s="4" t="str">
        <f>IFERROR(__xludf.DUMMYFUNCTION("""COMPUTED_VALUE"""),"")</f>
        <v/>
      </c>
      <c r="G1017" s="4" t="str">
        <f>IFERROR(__xludf.DUMMYFUNCTION("""COMPUTED_VALUE"""),"")</f>
        <v/>
      </c>
      <c r="H1017" s="4" t="str">
        <f>IFERROR(__xludf.DUMMYFUNCTION("""COMPUTED_VALUE"""),"")</f>
        <v/>
      </c>
      <c r="I1017" s="4" t="str">
        <f>IFERROR(__xludf.DUMMYFUNCTION("""COMPUTED_VALUE"""),"")</f>
        <v/>
      </c>
    </row>
    <row r="1018">
      <c r="A1018" s="4" t="str">
        <f>IFERROR(__xludf.DUMMYFUNCTION("""COMPUTED_VALUE"""),"")</f>
        <v/>
      </c>
      <c r="B1018" s="4" t="str">
        <f>IFERROR(__xludf.DUMMYFUNCTION("""COMPUTED_VALUE"""),"")</f>
        <v/>
      </c>
      <c r="C1018" s="4" t="str">
        <f>IFERROR(__xludf.DUMMYFUNCTION("""COMPUTED_VALUE"""),"")</f>
        <v/>
      </c>
      <c r="D1018" s="4" t="str">
        <f>IFERROR(__xludf.DUMMYFUNCTION("""COMPUTED_VALUE"""),"")</f>
        <v/>
      </c>
      <c r="E1018" s="4" t="str">
        <f>IFERROR(__xludf.DUMMYFUNCTION("""COMPUTED_VALUE"""),"")</f>
        <v/>
      </c>
      <c r="F1018" s="4" t="str">
        <f>IFERROR(__xludf.DUMMYFUNCTION("""COMPUTED_VALUE"""),"")</f>
        <v/>
      </c>
      <c r="G1018" s="4" t="str">
        <f>IFERROR(__xludf.DUMMYFUNCTION("""COMPUTED_VALUE"""),"")</f>
        <v/>
      </c>
      <c r="H1018" s="4" t="str">
        <f>IFERROR(__xludf.DUMMYFUNCTION("""COMPUTED_VALUE"""),"")</f>
        <v/>
      </c>
      <c r="I1018" s="4" t="str">
        <f>IFERROR(__xludf.DUMMYFUNCTION("""COMPUTED_VALUE"""),"")</f>
        <v/>
      </c>
    </row>
    <row r="1019">
      <c r="A1019" s="4" t="str">
        <f>IFERROR(__xludf.DUMMYFUNCTION("""COMPUTED_VALUE"""),"")</f>
        <v/>
      </c>
      <c r="B1019" s="4" t="str">
        <f>IFERROR(__xludf.DUMMYFUNCTION("""COMPUTED_VALUE"""),"")</f>
        <v/>
      </c>
      <c r="C1019" s="4" t="str">
        <f>IFERROR(__xludf.DUMMYFUNCTION("""COMPUTED_VALUE"""),"")</f>
        <v/>
      </c>
      <c r="D1019" s="4" t="str">
        <f>IFERROR(__xludf.DUMMYFUNCTION("""COMPUTED_VALUE"""),"")</f>
        <v/>
      </c>
      <c r="E1019" s="4" t="str">
        <f>IFERROR(__xludf.DUMMYFUNCTION("""COMPUTED_VALUE"""),"")</f>
        <v/>
      </c>
      <c r="F1019" s="4" t="str">
        <f>IFERROR(__xludf.DUMMYFUNCTION("""COMPUTED_VALUE"""),"")</f>
        <v/>
      </c>
      <c r="G1019" s="4" t="str">
        <f>IFERROR(__xludf.DUMMYFUNCTION("""COMPUTED_VALUE"""),"")</f>
        <v/>
      </c>
      <c r="H1019" s="4" t="str">
        <f>IFERROR(__xludf.DUMMYFUNCTION("""COMPUTED_VALUE"""),"")</f>
        <v/>
      </c>
      <c r="I1019" s="4" t="str">
        <f>IFERROR(__xludf.DUMMYFUNCTION("""COMPUTED_VALUE"""),"")</f>
        <v/>
      </c>
    </row>
    <row r="1020">
      <c r="A1020" s="4" t="str">
        <f>IFERROR(__xludf.DUMMYFUNCTION("""COMPUTED_VALUE"""),"")</f>
        <v/>
      </c>
      <c r="B1020" s="4" t="str">
        <f>IFERROR(__xludf.DUMMYFUNCTION("""COMPUTED_VALUE"""),"")</f>
        <v/>
      </c>
      <c r="C1020" s="4" t="str">
        <f>IFERROR(__xludf.DUMMYFUNCTION("""COMPUTED_VALUE"""),"")</f>
        <v/>
      </c>
      <c r="D1020" s="4" t="str">
        <f>IFERROR(__xludf.DUMMYFUNCTION("""COMPUTED_VALUE"""),"")</f>
        <v/>
      </c>
      <c r="E1020" s="4" t="str">
        <f>IFERROR(__xludf.DUMMYFUNCTION("""COMPUTED_VALUE"""),"")</f>
        <v/>
      </c>
      <c r="F1020" s="4" t="str">
        <f>IFERROR(__xludf.DUMMYFUNCTION("""COMPUTED_VALUE"""),"")</f>
        <v/>
      </c>
      <c r="G1020" s="4" t="str">
        <f>IFERROR(__xludf.DUMMYFUNCTION("""COMPUTED_VALUE"""),"")</f>
        <v/>
      </c>
      <c r="H1020" s="4" t="str">
        <f>IFERROR(__xludf.DUMMYFUNCTION("""COMPUTED_VALUE"""),"")</f>
        <v/>
      </c>
      <c r="I1020" s="4" t="str">
        <f>IFERROR(__xludf.DUMMYFUNCTION("""COMPUTED_VALUE"""),"")</f>
        <v/>
      </c>
    </row>
    <row r="1021">
      <c r="A1021" s="4" t="str">
        <f>IFERROR(__xludf.DUMMYFUNCTION("""COMPUTED_VALUE"""),"")</f>
        <v/>
      </c>
      <c r="B1021" s="4" t="str">
        <f>IFERROR(__xludf.DUMMYFUNCTION("""COMPUTED_VALUE"""),"")</f>
        <v/>
      </c>
      <c r="C1021" s="4" t="str">
        <f>IFERROR(__xludf.DUMMYFUNCTION("""COMPUTED_VALUE"""),"")</f>
        <v/>
      </c>
      <c r="D1021" s="4" t="str">
        <f>IFERROR(__xludf.DUMMYFUNCTION("""COMPUTED_VALUE"""),"")</f>
        <v/>
      </c>
      <c r="E1021" s="4" t="str">
        <f>IFERROR(__xludf.DUMMYFUNCTION("""COMPUTED_VALUE"""),"")</f>
        <v/>
      </c>
      <c r="F1021" s="4" t="str">
        <f>IFERROR(__xludf.DUMMYFUNCTION("""COMPUTED_VALUE"""),"")</f>
        <v/>
      </c>
      <c r="G1021" s="4" t="str">
        <f>IFERROR(__xludf.DUMMYFUNCTION("""COMPUTED_VALUE"""),"")</f>
        <v/>
      </c>
      <c r="H1021" s="4" t="str">
        <f>IFERROR(__xludf.DUMMYFUNCTION("""COMPUTED_VALUE"""),"")</f>
        <v/>
      </c>
      <c r="I1021" s="4" t="str">
        <f>IFERROR(__xludf.DUMMYFUNCTION("""COMPUTED_VALUE"""),"")</f>
        <v/>
      </c>
    </row>
    <row r="1022">
      <c r="A1022" s="4" t="str">
        <f>IFERROR(__xludf.DUMMYFUNCTION("""COMPUTED_VALUE"""),"")</f>
        <v/>
      </c>
      <c r="B1022" s="4" t="str">
        <f>IFERROR(__xludf.DUMMYFUNCTION("""COMPUTED_VALUE"""),"")</f>
        <v/>
      </c>
      <c r="C1022" s="4" t="str">
        <f>IFERROR(__xludf.DUMMYFUNCTION("""COMPUTED_VALUE"""),"")</f>
        <v/>
      </c>
      <c r="D1022" s="4" t="str">
        <f>IFERROR(__xludf.DUMMYFUNCTION("""COMPUTED_VALUE"""),"")</f>
        <v/>
      </c>
      <c r="E1022" s="4" t="str">
        <f>IFERROR(__xludf.DUMMYFUNCTION("""COMPUTED_VALUE"""),"")</f>
        <v/>
      </c>
      <c r="F1022" s="4" t="str">
        <f>IFERROR(__xludf.DUMMYFUNCTION("""COMPUTED_VALUE"""),"")</f>
        <v/>
      </c>
      <c r="G1022" s="4" t="str">
        <f>IFERROR(__xludf.DUMMYFUNCTION("""COMPUTED_VALUE"""),"")</f>
        <v/>
      </c>
      <c r="H1022" s="4" t="str">
        <f>IFERROR(__xludf.DUMMYFUNCTION("""COMPUTED_VALUE"""),"")</f>
        <v/>
      </c>
      <c r="I1022" s="4" t="str">
        <f>IFERROR(__xludf.DUMMYFUNCTION("""COMPUTED_VALUE"""),"")</f>
        <v/>
      </c>
    </row>
    <row r="1023">
      <c r="A1023" s="4" t="str">
        <f>IFERROR(__xludf.DUMMYFUNCTION("""COMPUTED_VALUE"""),"")</f>
        <v/>
      </c>
      <c r="B1023" s="4" t="str">
        <f>IFERROR(__xludf.DUMMYFUNCTION("""COMPUTED_VALUE"""),"")</f>
        <v/>
      </c>
      <c r="C1023" s="4" t="str">
        <f>IFERROR(__xludf.DUMMYFUNCTION("""COMPUTED_VALUE"""),"")</f>
        <v/>
      </c>
      <c r="D1023" s="4" t="str">
        <f>IFERROR(__xludf.DUMMYFUNCTION("""COMPUTED_VALUE"""),"")</f>
        <v/>
      </c>
      <c r="E1023" s="4" t="str">
        <f>IFERROR(__xludf.DUMMYFUNCTION("""COMPUTED_VALUE"""),"")</f>
        <v/>
      </c>
      <c r="F1023" s="4" t="str">
        <f>IFERROR(__xludf.DUMMYFUNCTION("""COMPUTED_VALUE"""),"")</f>
        <v/>
      </c>
      <c r="G1023" s="4" t="str">
        <f>IFERROR(__xludf.DUMMYFUNCTION("""COMPUTED_VALUE"""),"")</f>
        <v/>
      </c>
      <c r="H1023" s="4" t="str">
        <f>IFERROR(__xludf.DUMMYFUNCTION("""COMPUTED_VALUE"""),"")</f>
        <v/>
      </c>
      <c r="I1023" s="4" t="str">
        <f>IFERROR(__xludf.DUMMYFUNCTION("""COMPUTED_VALUE"""),"")</f>
        <v/>
      </c>
    </row>
    <row r="1024">
      <c r="A1024" s="4" t="str">
        <f>IFERROR(__xludf.DUMMYFUNCTION("""COMPUTED_VALUE"""),"")</f>
        <v/>
      </c>
      <c r="B1024" s="4" t="str">
        <f>IFERROR(__xludf.DUMMYFUNCTION("""COMPUTED_VALUE"""),"")</f>
        <v/>
      </c>
      <c r="C1024" s="4" t="str">
        <f>IFERROR(__xludf.DUMMYFUNCTION("""COMPUTED_VALUE"""),"")</f>
        <v/>
      </c>
      <c r="D1024" s="4" t="str">
        <f>IFERROR(__xludf.DUMMYFUNCTION("""COMPUTED_VALUE"""),"")</f>
        <v/>
      </c>
      <c r="E1024" s="4" t="str">
        <f>IFERROR(__xludf.DUMMYFUNCTION("""COMPUTED_VALUE"""),"")</f>
        <v/>
      </c>
      <c r="F1024" s="4" t="str">
        <f>IFERROR(__xludf.DUMMYFUNCTION("""COMPUTED_VALUE"""),"")</f>
        <v/>
      </c>
      <c r="G1024" s="4" t="str">
        <f>IFERROR(__xludf.DUMMYFUNCTION("""COMPUTED_VALUE"""),"")</f>
        <v/>
      </c>
      <c r="H1024" s="4" t="str">
        <f>IFERROR(__xludf.DUMMYFUNCTION("""COMPUTED_VALUE"""),"")</f>
        <v/>
      </c>
      <c r="I1024" s="4" t="str">
        <f>IFERROR(__xludf.DUMMYFUNCTION("""COMPUTED_VALUE"""),"")</f>
        <v/>
      </c>
    </row>
    <row r="1025">
      <c r="A1025" s="4" t="str">
        <f>IFERROR(__xludf.DUMMYFUNCTION("""COMPUTED_VALUE"""),"")</f>
        <v/>
      </c>
      <c r="B1025" s="4" t="str">
        <f>IFERROR(__xludf.DUMMYFUNCTION("""COMPUTED_VALUE"""),"")</f>
        <v/>
      </c>
      <c r="C1025" s="4" t="str">
        <f>IFERROR(__xludf.DUMMYFUNCTION("""COMPUTED_VALUE"""),"")</f>
        <v/>
      </c>
      <c r="D1025" s="4" t="str">
        <f>IFERROR(__xludf.DUMMYFUNCTION("""COMPUTED_VALUE"""),"")</f>
        <v/>
      </c>
      <c r="E1025" s="4" t="str">
        <f>IFERROR(__xludf.DUMMYFUNCTION("""COMPUTED_VALUE"""),"")</f>
        <v/>
      </c>
      <c r="F1025" s="4" t="str">
        <f>IFERROR(__xludf.DUMMYFUNCTION("""COMPUTED_VALUE"""),"")</f>
        <v/>
      </c>
      <c r="G1025" s="4" t="str">
        <f>IFERROR(__xludf.DUMMYFUNCTION("""COMPUTED_VALUE"""),"")</f>
        <v/>
      </c>
      <c r="H1025" s="4" t="str">
        <f>IFERROR(__xludf.DUMMYFUNCTION("""COMPUTED_VALUE"""),"")</f>
        <v/>
      </c>
      <c r="I1025" s="4" t="str">
        <f>IFERROR(__xludf.DUMMYFUNCTION("""COMPUTED_VALUE"""),"")</f>
        <v/>
      </c>
    </row>
    <row r="1026">
      <c r="A1026" s="4" t="str">
        <f>IFERROR(__xludf.DUMMYFUNCTION("""COMPUTED_VALUE"""),"")</f>
        <v/>
      </c>
      <c r="B1026" s="4" t="str">
        <f>IFERROR(__xludf.DUMMYFUNCTION("""COMPUTED_VALUE"""),"")</f>
        <v/>
      </c>
      <c r="C1026" s="4" t="str">
        <f>IFERROR(__xludf.DUMMYFUNCTION("""COMPUTED_VALUE"""),"")</f>
        <v/>
      </c>
      <c r="D1026" s="4" t="str">
        <f>IFERROR(__xludf.DUMMYFUNCTION("""COMPUTED_VALUE"""),"")</f>
        <v/>
      </c>
      <c r="E1026" s="4" t="str">
        <f>IFERROR(__xludf.DUMMYFUNCTION("""COMPUTED_VALUE"""),"")</f>
        <v/>
      </c>
      <c r="F1026" s="4" t="str">
        <f>IFERROR(__xludf.DUMMYFUNCTION("""COMPUTED_VALUE"""),"")</f>
        <v/>
      </c>
      <c r="G1026" s="4" t="str">
        <f>IFERROR(__xludf.DUMMYFUNCTION("""COMPUTED_VALUE"""),"")</f>
        <v/>
      </c>
      <c r="H1026" s="4" t="str">
        <f>IFERROR(__xludf.DUMMYFUNCTION("""COMPUTED_VALUE"""),"")</f>
        <v/>
      </c>
      <c r="I1026" s="4" t="str">
        <f>IFERROR(__xludf.DUMMYFUNCTION("""COMPUTED_VALUE"""),"")</f>
        <v/>
      </c>
    </row>
    <row r="1027">
      <c r="A1027" s="4" t="str">
        <f>IFERROR(__xludf.DUMMYFUNCTION("""COMPUTED_VALUE"""),"")</f>
        <v/>
      </c>
      <c r="B1027" s="4" t="str">
        <f>IFERROR(__xludf.DUMMYFUNCTION("""COMPUTED_VALUE"""),"")</f>
        <v/>
      </c>
      <c r="C1027" s="4" t="str">
        <f>IFERROR(__xludf.DUMMYFUNCTION("""COMPUTED_VALUE"""),"")</f>
        <v/>
      </c>
      <c r="D1027" s="4" t="str">
        <f>IFERROR(__xludf.DUMMYFUNCTION("""COMPUTED_VALUE"""),"")</f>
        <v/>
      </c>
      <c r="E1027" s="4" t="str">
        <f>IFERROR(__xludf.DUMMYFUNCTION("""COMPUTED_VALUE"""),"")</f>
        <v/>
      </c>
      <c r="F1027" s="4" t="str">
        <f>IFERROR(__xludf.DUMMYFUNCTION("""COMPUTED_VALUE"""),"")</f>
        <v/>
      </c>
      <c r="G1027" s="4" t="str">
        <f>IFERROR(__xludf.DUMMYFUNCTION("""COMPUTED_VALUE"""),"")</f>
        <v/>
      </c>
      <c r="H1027" s="4" t="str">
        <f>IFERROR(__xludf.DUMMYFUNCTION("""COMPUTED_VALUE"""),"")</f>
        <v/>
      </c>
      <c r="I1027" s="4" t="str">
        <f>IFERROR(__xludf.DUMMYFUNCTION("""COMPUTED_VALUE"""),"")</f>
        <v/>
      </c>
    </row>
    <row r="1028">
      <c r="A1028" s="4" t="str">
        <f>IFERROR(__xludf.DUMMYFUNCTION("""COMPUTED_VALUE"""),"")</f>
        <v/>
      </c>
      <c r="B1028" s="4" t="str">
        <f>IFERROR(__xludf.DUMMYFUNCTION("""COMPUTED_VALUE"""),"")</f>
        <v/>
      </c>
      <c r="C1028" s="4" t="str">
        <f>IFERROR(__xludf.DUMMYFUNCTION("""COMPUTED_VALUE"""),"")</f>
        <v/>
      </c>
      <c r="D1028" s="4" t="str">
        <f>IFERROR(__xludf.DUMMYFUNCTION("""COMPUTED_VALUE"""),"")</f>
        <v/>
      </c>
      <c r="E1028" s="4" t="str">
        <f>IFERROR(__xludf.DUMMYFUNCTION("""COMPUTED_VALUE"""),"")</f>
        <v/>
      </c>
      <c r="F1028" s="4" t="str">
        <f>IFERROR(__xludf.DUMMYFUNCTION("""COMPUTED_VALUE"""),"")</f>
        <v/>
      </c>
      <c r="G1028" s="4" t="str">
        <f>IFERROR(__xludf.DUMMYFUNCTION("""COMPUTED_VALUE"""),"")</f>
        <v/>
      </c>
      <c r="H1028" s="4" t="str">
        <f>IFERROR(__xludf.DUMMYFUNCTION("""COMPUTED_VALUE"""),"")</f>
        <v/>
      </c>
      <c r="I1028" s="4" t="str">
        <f>IFERROR(__xludf.DUMMYFUNCTION("""COMPUTED_VALUE"""),"")</f>
        <v/>
      </c>
    </row>
    <row r="1029">
      <c r="A1029" s="4" t="str">
        <f>IFERROR(__xludf.DUMMYFUNCTION("""COMPUTED_VALUE"""),"")</f>
        <v/>
      </c>
      <c r="B1029" s="4" t="str">
        <f>IFERROR(__xludf.DUMMYFUNCTION("""COMPUTED_VALUE"""),"")</f>
        <v/>
      </c>
      <c r="C1029" s="4" t="str">
        <f>IFERROR(__xludf.DUMMYFUNCTION("""COMPUTED_VALUE"""),"")</f>
        <v/>
      </c>
      <c r="D1029" s="4" t="str">
        <f>IFERROR(__xludf.DUMMYFUNCTION("""COMPUTED_VALUE"""),"")</f>
        <v/>
      </c>
      <c r="E1029" s="4" t="str">
        <f>IFERROR(__xludf.DUMMYFUNCTION("""COMPUTED_VALUE"""),"")</f>
        <v/>
      </c>
      <c r="F1029" s="4" t="str">
        <f>IFERROR(__xludf.DUMMYFUNCTION("""COMPUTED_VALUE"""),"")</f>
        <v/>
      </c>
      <c r="G1029" s="4" t="str">
        <f>IFERROR(__xludf.DUMMYFUNCTION("""COMPUTED_VALUE"""),"")</f>
        <v/>
      </c>
      <c r="H1029" s="4" t="str">
        <f>IFERROR(__xludf.DUMMYFUNCTION("""COMPUTED_VALUE"""),"")</f>
        <v/>
      </c>
      <c r="I1029" s="4" t="str">
        <f>IFERROR(__xludf.DUMMYFUNCTION("""COMPUTED_VALUE"""),"")</f>
        <v/>
      </c>
    </row>
    <row r="1030">
      <c r="A1030" s="4" t="str">
        <f>IFERROR(__xludf.DUMMYFUNCTION("""COMPUTED_VALUE"""),"")</f>
        <v/>
      </c>
      <c r="B1030" s="4" t="str">
        <f>IFERROR(__xludf.DUMMYFUNCTION("""COMPUTED_VALUE"""),"")</f>
        <v/>
      </c>
      <c r="C1030" s="4" t="str">
        <f>IFERROR(__xludf.DUMMYFUNCTION("""COMPUTED_VALUE"""),"")</f>
        <v/>
      </c>
      <c r="D1030" s="4" t="str">
        <f>IFERROR(__xludf.DUMMYFUNCTION("""COMPUTED_VALUE"""),"")</f>
        <v/>
      </c>
      <c r="E1030" s="4" t="str">
        <f>IFERROR(__xludf.DUMMYFUNCTION("""COMPUTED_VALUE"""),"")</f>
        <v/>
      </c>
      <c r="F1030" s="4" t="str">
        <f>IFERROR(__xludf.DUMMYFUNCTION("""COMPUTED_VALUE"""),"")</f>
        <v/>
      </c>
      <c r="G1030" s="4" t="str">
        <f>IFERROR(__xludf.DUMMYFUNCTION("""COMPUTED_VALUE"""),"")</f>
        <v/>
      </c>
      <c r="H1030" s="4" t="str">
        <f>IFERROR(__xludf.DUMMYFUNCTION("""COMPUTED_VALUE"""),"")</f>
        <v/>
      </c>
      <c r="I1030" s="4" t="str">
        <f>IFERROR(__xludf.DUMMYFUNCTION("""COMPUTED_VALUE"""),"")</f>
        <v/>
      </c>
    </row>
    <row r="1031">
      <c r="A1031" s="4" t="str">
        <f>IFERROR(__xludf.DUMMYFUNCTION("""COMPUTED_VALUE"""),"")</f>
        <v/>
      </c>
      <c r="B1031" s="4" t="str">
        <f>IFERROR(__xludf.DUMMYFUNCTION("""COMPUTED_VALUE"""),"")</f>
        <v/>
      </c>
      <c r="C1031" s="4" t="str">
        <f>IFERROR(__xludf.DUMMYFUNCTION("""COMPUTED_VALUE"""),"")</f>
        <v/>
      </c>
      <c r="D1031" s="4" t="str">
        <f>IFERROR(__xludf.DUMMYFUNCTION("""COMPUTED_VALUE"""),"")</f>
        <v/>
      </c>
      <c r="E1031" s="4" t="str">
        <f>IFERROR(__xludf.DUMMYFUNCTION("""COMPUTED_VALUE"""),"")</f>
        <v/>
      </c>
      <c r="F1031" s="4" t="str">
        <f>IFERROR(__xludf.DUMMYFUNCTION("""COMPUTED_VALUE"""),"")</f>
        <v/>
      </c>
      <c r="G1031" s="4" t="str">
        <f>IFERROR(__xludf.DUMMYFUNCTION("""COMPUTED_VALUE"""),"")</f>
        <v/>
      </c>
      <c r="H1031" s="4" t="str">
        <f>IFERROR(__xludf.DUMMYFUNCTION("""COMPUTED_VALUE"""),"")</f>
        <v/>
      </c>
      <c r="I1031" s="4" t="str">
        <f>IFERROR(__xludf.DUMMYFUNCTION("""COMPUTED_VALUE"""),"")</f>
        <v/>
      </c>
    </row>
    <row r="1032">
      <c r="A1032" s="4" t="str">
        <f>IFERROR(__xludf.DUMMYFUNCTION("""COMPUTED_VALUE"""),"")</f>
        <v/>
      </c>
      <c r="B1032" s="4" t="str">
        <f>IFERROR(__xludf.DUMMYFUNCTION("""COMPUTED_VALUE"""),"")</f>
        <v/>
      </c>
      <c r="C1032" s="4" t="str">
        <f>IFERROR(__xludf.DUMMYFUNCTION("""COMPUTED_VALUE"""),"")</f>
        <v/>
      </c>
      <c r="D1032" s="4" t="str">
        <f>IFERROR(__xludf.DUMMYFUNCTION("""COMPUTED_VALUE"""),"")</f>
        <v/>
      </c>
      <c r="E1032" s="4" t="str">
        <f>IFERROR(__xludf.DUMMYFUNCTION("""COMPUTED_VALUE"""),"")</f>
        <v/>
      </c>
      <c r="F1032" s="4" t="str">
        <f>IFERROR(__xludf.DUMMYFUNCTION("""COMPUTED_VALUE"""),"")</f>
        <v/>
      </c>
      <c r="G1032" s="4" t="str">
        <f>IFERROR(__xludf.DUMMYFUNCTION("""COMPUTED_VALUE"""),"")</f>
        <v/>
      </c>
      <c r="H1032" s="4" t="str">
        <f>IFERROR(__xludf.DUMMYFUNCTION("""COMPUTED_VALUE"""),"")</f>
        <v/>
      </c>
      <c r="I1032" s="4" t="str">
        <f>IFERROR(__xludf.DUMMYFUNCTION("""COMPUTED_VALUE"""),"")</f>
        <v/>
      </c>
    </row>
    <row r="1033">
      <c r="A1033" s="4" t="str">
        <f>IFERROR(__xludf.DUMMYFUNCTION("""COMPUTED_VALUE"""),"")</f>
        <v/>
      </c>
      <c r="B1033" s="4" t="str">
        <f>IFERROR(__xludf.DUMMYFUNCTION("""COMPUTED_VALUE"""),"")</f>
        <v/>
      </c>
      <c r="C1033" s="4" t="str">
        <f>IFERROR(__xludf.DUMMYFUNCTION("""COMPUTED_VALUE"""),"")</f>
        <v/>
      </c>
      <c r="D1033" s="4" t="str">
        <f>IFERROR(__xludf.DUMMYFUNCTION("""COMPUTED_VALUE"""),"")</f>
        <v/>
      </c>
      <c r="E1033" s="4" t="str">
        <f>IFERROR(__xludf.DUMMYFUNCTION("""COMPUTED_VALUE"""),"")</f>
        <v/>
      </c>
      <c r="F1033" s="4" t="str">
        <f>IFERROR(__xludf.DUMMYFUNCTION("""COMPUTED_VALUE"""),"")</f>
        <v/>
      </c>
      <c r="G1033" s="4" t="str">
        <f>IFERROR(__xludf.DUMMYFUNCTION("""COMPUTED_VALUE"""),"")</f>
        <v/>
      </c>
      <c r="H1033" s="4" t="str">
        <f>IFERROR(__xludf.DUMMYFUNCTION("""COMPUTED_VALUE"""),"")</f>
        <v/>
      </c>
      <c r="I1033" s="4" t="str">
        <f>IFERROR(__xludf.DUMMYFUNCTION("""COMPUTED_VALUE"""),"")</f>
        <v/>
      </c>
    </row>
    <row r="1034">
      <c r="A1034" s="4" t="str">
        <f>IFERROR(__xludf.DUMMYFUNCTION("""COMPUTED_VALUE"""),"")</f>
        <v/>
      </c>
      <c r="B1034" s="4" t="str">
        <f>IFERROR(__xludf.DUMMYFUNCTION("""COMPUTED_VALUE"""),"")</f>
        <v/>
      </c>
      <c r="C1034" s="4" t="str">
        <f>IFERROR(__xludf.DUMMYFUNCTION("""COMPUTED_VALUE"""),"")</f>
        <v/>
      </c>
      <c r="D1034" s="4" t="str">
        <f>IFERROR(__xludf.DUMMYFUNCTION("""COMPUTED_VALUE"""),"")</f>
        <v/>
      </c>
      <c r="E1034" s="4" t="str">
        <f>IFERROR(__xludf.DUMMYFUNCTION("""COMPUTED_VALUE"""),"")</f>
        <v/>
      </c>
      <c r="F1034" s="4" t="str">
        <f>IFERROR(__xludf.DUMMYFUNCTION("""COMPUTED_VALUE"""),"")</f>
        <v/>
      </c>
      <c r="G1034" s="4" t="str">
        <f>IFERROR(__xludf.DUMMYFUNCTION("""COMPUTED_VALUE"""),"")</f>
        <v/>
      </c>
      <c r="H1034" s="4" t="str">
        <f>IFERROR(__xludf.DUMMYFUNCTION("""COMPUTED_VALUE"""),"")</f>
        <v/>
      </c>
      <c r="I1034" s="4" t="str">
        <f>IFERROR(__xludf.DUMMYFUNCTION("""COMPUTED_VALUE"""),"")</f>
        <v/>
      </c>
    </row>
    <row r="1035">
      <c r="A1035" s="4" t="str">
        <f>IFERROR(__xludf.DUMMYFUNCTION("""COMPUTED_VALUE"""),"")</f>
        <v/>
      </c>
      <c r="B1035" s="4" t="str">
        <f>IFERROR(__xludf.DUMMYFUNCTION("""COMPUTED_VALUE"""),"")</f>
        <v/>
      </c>
      <c r="C1035" s="4" t="str">
        <f>IFERROR(__xludf.DUMMYFUNCTION("""COMPUTED_VALUE"""),"")</f>
        <v/>
      </c>
      <c r="D1035" s="4" t="str">
        <f>IFERROR(__xludf.DUMMYFUNCTION("""COMPUTED_VALUE"""),"")</f>
        <v/>
      </c>
      <c r="E1035" s="4" t="str">
        <f>IFERROR(__xludf.DUMMYFUNCTION("""COMPUTED_VALUE"""),"")</f>
        <v/>
      </c>
      <c r="F1035" s="4" t="str">
        <f>IFERROR(__xludf.DUMMYFUNCTION("""COMPUTED_VALUE"""),"")</f>
        <v/>
      </c>
      <c r="G1035" s="4" t="str">
        <f>IFERROR(__xludf.DUMMYFUNCTION("""COMPUTED_VALUE"""),"")</f>
        <v/>
      </c>
      <c r="H1035" s="4" t="str">
        <f>IFERROR(__xludf.DUMMYFUNCTION("""COMPUTED_VALUE"""),"")</f>
        <v/>
      </c>
      <c r="I1035" s="4" t="str">
        <f>IFERROR(__xludf.DUMMYFUNCTION("""COMPUTED_VALUE"""),"")</f>
        <v/>
      </c>
    </row>
    <row r="1036">
      <c r="A1036" s="4" t="str">
        <f>IFERROR(__xludf.DUMMYFUNCTION("""COMPUTED_VALUE"""),"")</f>
        <v/>
      </c>
      <c r="B1036" s="4" t="str">
        <f>IFERROR(__xludf.DUMMYFUNCTION("""COMPUTED_VALUE"""),"")</f>
        <v/>
      </c>
      <c r="C1036" s="4" t="str">
        <f>IFERROR(__xludf.DUMMYFUNCTION("""COMPUTED_VALUE"""),"")</f>
        <v/>
      </c>
      <c r="D1036" s="4" t="str">
        <f>IFERROR(__xludf.DUMMYFUNCTION("""COMPUTED_VALUE"""),"")</f>
        <v/>
      </c>
      <c r="E1036" s="4" t="str">
        <f>IFERROR(__xludf.DUMMYFUNCTION("""COMPUTED_VALUE"""),"")</f>
        <v/>
      </c>
      <c r="F1036" s="4" t="str">
        <f>IFERROR(__xludf.DUMMYFUNCTION("""COMPUTED_VALUE"""),"")</f>
        <v/>
      </c>
      <c r="G1036" s="4" t="str">
        <f>IFERROR(__xludf.DUMMYFUNCTION("""COMPUTED_VALUE"""),"")</f>
        <v/>
      </c>
      <c r="H1036" s="4" t="str">
        <f>IFERROR(__xludf.DUMMYFUNCTION("""COMPUTED_VALUE"""),"")</f>
        <v/>
      </c>
      <c r="I1036" s="4" t="str">
        <f>IFERROR(__xludf.DUMMYFUNCTION("""COMPUTED_VALUE"""),"")</f>
        <v/>
      </c>
    </row>
    <row r="1037">
      <c r="A1037" s="4" t="str">
        <f>IFERROR(__xludf.DUMMYFUNCTION("""COMPUTED_VALUE"""),"")</f>
        <v/>
      </c>
      <c r="B1037" s="4" t="str">
        <f>IFERROR(__xludf.DUMMYFUNCTION("""COMPUTED_VALUE"""),"")</f>
        <v/>
      </c>
      <c r="C1037" s="4" t="str">
        <f>IFERROR(__xludf.DUMMYFUNCTION("""COMPUTED_VALUE"""),"")</f>
        <v/>
      </c>
      <c r="D1037" s="4" t="str">
        <f>IFERROR(__xludf.DUMMYFUNCTION("""COMPUTED_VALUE"""),"")</f>
        <v/>
      </c>
      <c r="E1037" s="4" t="str">
        <f>IFERROR(__xludf.DUMMYFUNCTION("""COMPUTED_VALUE"""),"")</f>
        <v/>
      </c>
      <c r="F1037" s="4" t="str">
        <f>IFERROR(__xludf.DUMMYFUNCTION("""COMPUTED_VALUE"""),"")</f>
        <v/>
      </c>
      <c r="G1037" s="4" t="str">
        <f>IFERROR(__xludf.DUMMYFUNCTION("""COMPUTED_VALUE"""),"")</f>
        <v/>
      </c>
      <c r="H1037" s="4" t="str">
        <f>IFERROR(__xludf.DUMMYFUNCTION("""COMPUTED_VALUE"""),"")</f>
        <v/>
      </c>
      <c r="I1037" s="4" t="str">
        <f>IFERROR(__xludf.DUMMYFUNCTION("""COMPUTED_VALUE"""),"")</f>
        <v/>
      </c>
    </row>
    <row r="1038">
      <c r="A1038" s="4" t="str">
        <f>IFERROR(__xludf.DUMMYFUNCTION("""COMPUTED_VALUE"""),"")</f>
        <v/>
      </c>
      <c r="B1038" s="4" t="str">
        <f>IFERROR(__xludf.DUMMYFUNCTION("""COMPUTED_VALUE"""),"")</f>
        <v/>
      </c>
      <c r="C1038" s="4" t="str">
        <f>IFERROR(__xludf.DUMMYFUNCTION("""COMPUTED_VALUE"""),"")</f>
        <v/>
      </c>
      <c r="D1038" s="4" t="str">
        <f>IFERROR(__xludf.DUMMYFUNCTION("""COMPUTED_VALUE"""),"")</f>
        <v/>
      </c>
      <c r="E1038" s="4" t="str">
        <f>IFERROR(__xludf.DUMMYFUNCTION("""COMPUTED_VALUE"""),"")</f>
        <v/>
      </c>
      <c r="F1038" s="4" t="str">
        <f>IFERROR(__xludf.DUMMYFUNCTION("""COMPUTED_VALUE"""),"")</f>
        <v/>
      </c>
      <c r="G1038" s="4" t="str">
        <f>IFERROR(__xludf.DUMMYFUNCTION("""COMPUTED_VALUE"""),"")</f>
        <v/>
      </c>
      <c r="H1038" s="4" t="str">
        <f>IFERROR(__xludf.DUMMYFUNCTION("""COMPUTED_VALUE"""),"")</f>
        <v/>
      </c>
      <c r="I1038" s="4" t="str">
        <f>IFERROR(__xludf.DUMMYFUNCTION("""COMPUTED_VALUE"""),"")</f>
        <v/>
      </c>
    </row>
    <row r="1039">
      <c r="A1039" s="4" t="str">
        <f>IFERROR(__xludf.DUMMYFUNCTION("""COMPUTED_VALUE"""),"")</f>
        <v/>
      </c>
      <c r="B1039" s="4" t="str">
        <f>IFERROR(__xludf.DUMMYFUNCTION("""COMPUTED_VALUE"""),"")</f>
        <v/>
      </c>
      <c r="C1039" s="4" t="str">
        <f>IFERROR(__xludf.DUMMYFUNCTION("""COMPUTED_VALUE"""),"")</f>
        <v/>
      </c>
      <c r="D1039" s="4" t="str">
        <f>IFERROR(__xludf.DUMMYFUNCTION("""COMPUTED_VALUE"""),"")</f>
        <v/>
      </c>
      <c r="E1039" s="4" t="str">
        <f>IFERROR(__xludf.DUMMYFUNCTION("""COMPUTED_VALUE"""),"")</f>
        <v/>
      </c>
      <c r="F1039" s="4" t="str">
        <f>IFERROR(__xludf.DUMMYFUNCTION("""COMPUTED_VALUE"""),"")</f>
        <v/>
      </c>
      <c r="G1039" s="4" t="str">
        <f>IFERROR(__xludf.DUMMYFUNCTION("""COMPUTED_VALUE"""),"")</f>
        <v/>
      </c>
      <c r="H1039" s="4" t="str">
        <f>IFERROR(__xludf.DUMMYFUNCTION("""COMPUTED_VALUE"""),"")</f>
        <v/>
      </c>
      <c r="I1039" s="4" t="str">
        <f>IFERROR(__xludf.DUMMYFUNCTION("""COMPUTED_VALUE"""),"")</f>
        <v/>
      </c>
    </row>
    <row r="1040">
      <c r="A1040" s="4" t="str">
        <f>IFERROR(__xludf.DUMMYFUNCTION("""COMPUTED_VALUE"""),"")</f>
        <v/>
      </c>
      <c r="B1040" s="4" t="str">
        <f>IFERROR(__xludf.DUMMYFUNCTION("""COMPUTED_VALUE"""),"")</f>
        <v/>
      </c>
      <c r="C1040" s="4" t="str">
        <f>IFERROR(__xludf.DUMMYFUNCTION("""COMPUTED_VALUE"""),"")</f>
        <v/>
      </c>
      <c r="D1040" s="4" t="str">
        <f>IFERROR(__xludf.DUMMYFUNCTION("""COMPUTED_VALUE"""),"")</f>
        <v/>
      </c>
      <c r="E1040" s="4" t="str">
        <f>IFERROR(__xludf.DUMMYFUNCTION("""COMPUTED_VALUE"""),"")</f>
        <v/>
      </c>
      <c r="F1040" s="4" t="str">
        <f>IFERROR(__xludf.DUMMYFUNCTION("""COMPUTED_VALUE"""),"")</f>
        <v/>
      </c>
      <c r="G1040" s="4" t="str">
        <f>IFERROR(__xludf.DUMMYFUNCTION("""COMPUTED_VALUE"""),"")</f>
        <v/>
      </c>
      <c r="H1040" s="4" t="str">
        <f>IFERROR(__xludf.DUMMYFUNCTION("""COMPUTED_VALUE"""),"")</f>
        <v/>
      </c>
      <c r="I1040" s="4" t="str">
        <f>IFERROR(__xludf.DUMMYFUNCTION("""COMPUTED_VALUE"""),"")</f>
        <v/>
      </c>
    </row>
    <row r="1041">
      <c r="A1041" s="4" t="str">
        <f>IFERROR(__xludf.DUMMYFUNCTION("""COMPUTED_VALUE"""),"")</f>
        <v/>
      </c>
      <c r="B1041" s="4" t="str">
        <f>IFERROR(__xludf.DUMMYFUNCTION("""COMPUTED_VALUE"""),"")</f>
        <v/>
      </c>
      <c r="C1041" s="4" t="str">
        <f>IFERROR(__xludf.DUMMYFUNCTION("""COMPUTED_VALUE"""),"")</f>
        <v/>
      </c>
      <c r="D1041" s="4" t="str">
        <f>IFERROR(__xludf.DUMMYFUNCTION("""COMPUTED_VALUE"""),"")</f>
        <v/>
      </c>
      <c r="E1041" s="4" t="str">
        <f>IFERROR(__xludf.DUMMYFUNCTION("""COMPUTED_VALUE"""),"")</f>
        <v/>
      </c>
      <c r="F1041" s="4" t="str">
        <f>IFERROR(__xludf.DUMMYFUNCTION("""COMPUTED_VALUE"""),"")</f>
        <v/>
      </c>
      <c r="G1041" s="4" t="str">
        <f>IFERROR(__xludf.DUMMYFUNCTION("""COMPUTED_VALUE"""),"")</f>
        <v/>
      </c>
      <c r="H1041" s="4" t="str">
        <f>IFERROR(__xludf.DUMMYFUNCTION("""COMPUTED_VALUE"""),"")</f>
        <v/>
      </c>
      <c r="I1041" s="4" t="str">
        <f>IFERROR(__xludf.DUMMYFUNCTION("""COMPUTED_VALUE"""),"")</f>
        <v/>
      </c>
    </row>
    <row r="1042">
      <c r="A1042" s="4" t="str">
        <f>IFERROR(__xludf.DUMMYFUNCTION("""COMPUTED_VALUE"""),"")</f>
        <v/>
      </c>
      <c r="B1042" s="4" t="str">
        <f>IFERROR(__xludf.DUMMYFUNCTION("""COMPUTED_VALUE"""),"")</f>
        <v/>
      </c>
      <c r="C1042" s="4" t="str">
        <f>IFERROR(__xludf.DUMMYFUNCTION("""COMPUTED_VALUE"""),"")</f>
        <v/>
      </c>
      <c r="D1042" s="4" t="str">
        <f>IFERROR(__xludf.DUMMYFUNCTION("""COMPUTED_VALUE"""),"")</f>
        <v/>
      </c>
      <c r="E1042" s="4" t="str">
        <f>IFERROR(__xludf.DUMMYFUNCTION("""COMPUTED_VALUE"""),"")</f>
        <v/>
      </c>
      <c r="F1042" s="4" t="str">
        <f>IFERROR(__xludf.DUMMYFUNCTION("""COMPUTED_VALUE"""),"")</f>
        <v/>
      </c>
      <c r="G1042" s="4" t="str">
        <f>IFERROR(__xludf.DUMMYFUNCTION("""COMPUTED_VALUE"""),"")</f>
        <v/>
      </c>
      <c r="H1042" s="4" t="str">
        <f>IFERROR(__xludf.DUMMYFUNCTION("""COMPUTED_VALUE"""),"")</f>
        <v/>
      </c>
      <c r="I1042" s="4" t="str">
        <f>IFERROR(__xludf.DUMMYFUNCTION("""COMPUTED_VALUE"""),"")</f>
        <v/>
      </c>
    </row>
    <row r="1043">
      <c r="A1043" s="4" t="str">
        <f>IFERROR(__xludf.DUMMYFUNCTION("""COMPUTED_VALUE"""),"")</f>
        <v/>
      </c>
      <c r="B1043" s="4" t="str">
        <f>IFERROR(__xludf.DUMMYFUNCTION("""COMPUTED_VALUE"""),"")</f>
        <v/>
      </c>
      <c r="C1043" s="4" t="str">
        <f>IFERROR(__xludf.DUMMYFUNCTION("""COMPUTED_VALUE"""),"")</f>
        <v/>
      </c>
      <c r="D1043" s="4" t="str">
        <f>IFERROR(__xludf.DUMMYFUNCTION("""COMPUTED_VALUE"""),"")</f>
        <v/>
      </c>
      <c r="E1043" s="4" t="str">
        <f>IFERROR(__xludf.DUMMYFUNCTION("""COMPUTED_VALUE"""),"")</f>
        <v/>
      </c>
      <c r="F1043" s="4" t="str">
        <f>IFERROR(__xludf.DUMMYFUNCTION("""COMPUTED_VALUE"""),"")</f>
        <v/>
      </c>
      <c r="G1043" s="4" t="str">
        <f>IFERROR(__xludf.DUMMYFUNCTION("""COMPUTED_VALUE"""),"")</f>
        <v/>
      </c>
      <c r="H1043" s="4" t="str">
        <f>IFERROR(__xludf.DUMMYFUNCTION("""COMPUTED_VALUE"""),"")</f>
        <v/>
      </c>
      <c r="I1043" s="4" t="str">
        <f>IFERROR(__xludf.DUMMYFUNCTION("""COMPUTED_VALUE"""),"")</f>
        <v/>
      </c>
    </row>
    <row r="1044">
      <c r="A1044" s="4" t="str">
        <f>IFERROR(__xludf.DUMMYFUNCTION("""COMPUTED_VALUE"""),"")</f>
        <v/>
      </c>
      <c r="B1044" s="4" t="str">
        <f>IFERROR(__xludf.DUMMYFUNCTION("""COMPUTED_VALUE"""),"")</f>
        <v/>
      </c>
      <c r="C1044" s="4" t="str">
        <f>IFERROR(__xludf.DUMMYFUNCTION("""COMPUTED_VALUE"""),"")</f>
        <v/>
      </c>
      <c r="D1044" s="4" t="str">
        <f>IFERROR(__xludf.DUMMYFUNCTION("""COMPUTED_VALUE"""),"")</f>
        <v/>
      </c>
      <c r="E1044" s="4" t="str">
        <f>IFERROR(__xludf.DUMMYFUNCTION("""COMPUTED_VALUE"""),"")</f>
        <v/>
      </c>
      <c r="F1044" s="4" t="str">
        <f>IFERROR(__xludf.DUMMYFUNCTION("""COMPUTED_VALUE"""),"")</f>
        <v/>
      </c>
      <c r="G1044" s="4" t="str">
        <f>IFERROR(__xludf.DUMMYFUNCTION("""COMPUTED_VALUE"""),"")</f>
        <v/>
      </c>
      <c r="H1044" s="4" t="str">
        <f>IFERROR(__xludf.DUMMYFUNCTION("""COMPUTED_VALUE"""),"")</f>
        <v/>
      </c>
      <c r="I1044" s="4" t="str">
        <f>IFERROR(__xludf.DUMMYFUNCTION("""COMPUTED_VALUE"""),"")</f>
        <v/>
      </c>
    </row>
    <row r="1045">
      <c r="A1045" s="4" t="str">
        <f>IFERROR(__xludf.DUMMYFUNCTION("""COMPUTED_VALUE"""),"")</f>
        <v/>
      </c>
      <c r="B1045" s="4" t="str">
        <f>IFERROR(__xludf.DUMMYFUNCTION("""COMPUTED_VALUE"""),"")</f>
        <v/>
      </c>
      <c r="C1045" s="4" t="str">
        <f>IFERROR(__xludf.DUMMYFUNCTION("""COMPUTED_VALUE"""),"")</f>
        <v/>
      </c>
      <c r="D1045" s="4" t="str">
        <f>IFERROR(__xludf.DUMMYFUNCTION("""COMPUTED_VALUE"""),"")</f>
        <v/>
      </c>
      <c r="E1045" s="4" t="str">
        <f>IFERROR(__xludf.DUMMYFUNCTION("""COMPUTED_VALUE"""),"")</f>
        <v/>
      </c>
      <c r="F1045" s="4" t="str">
        <f>IFERROR(__xludf.DUMMYFUNCTION("""COMPUTED_VALUE"""),"")</f>
        <v/>
      </c>
      <c r="G1045" s="4" t="str">
        <f>IFERROR(__xludf.DUMMYFUNCTION("""COMPUTED_VALUE"""),"")</f>
        <v/>
      </c>
      <c r="H1045" s="4" t="str">
        <f>IFERROR(__xludf.DUMMYFUNCTION("""COMPUTED_VALUE"""),"")</f>
        <v/>
      </c>
      <c r="I1045" s="4" t="str">
        <f>IFERROR(__xludf.DUMMYFUNCTION("""COMPUTED_VALUE"""),"")</f>
        <v/>
      </c>
    </row>
    <row r="1046">
      <c r="A1046" s="4" t="str">
        <f>IFERROR(__xludf.DUMMYFUNCTION("""COMPUTED_VALUE"""),"")</f>
        <v/>
      </c>
      <c r="B1046" s="4" t="str">
        <f>IFERROR(__xludf.DUMMYFUNCTION("""COMPUTED_VALUE"""),"")</f>
        <v/>
      </c>
      <c r="C1046" s="4" t="str">
        <f>IFERROR(__xludf.DUMMYFUNCTION("""COMPUTED_VALUE"""),"")</f>
        <v/>
      </c>
      <c r="D1046" s="4" t="str">
        <f>IFERROR(__xludf.DUMMYFUNCTION("""COMPUTED_VALUE"""),"")</f>
        <v/>
      </c>
      <c r="E1046" s="4" t="str">
        <f>IFERROR(__xludf.DUMMYFUNCTION("""COMPUTED_VALUE"""),"")</f>
        <v/>
      </c>
      <c r="F1046" s="4" t="str">
        <f>IFERROR(__xludf.DUMMYFUNCTION("""COMPUTED_VALUE"""),"")</f>
        <v/>
      </c>
      <c r="G1046" s="4" t="str">
        <f>IFERROR(__xludf.DUMMYFUNCTION("""COMPUTED_VALUE"""),"")</f>
        <v/>
      </c>
      <c r="H1046" s="4" t="str">
        <f>IFERROR(__xludf.DUMMYFUNCTION("""COMPUTED_VALUE"""),"")</f>
        <v/>
      </c>
      <c r="I1046" s="4" t="str">
        <f>IFERROR(__xludf.DUMMYFUNCTION("""COMPUTED_VALUE"""),"")</f>
        <v/>
      </c>
    </row>
    <row r="1047">
      <c r="A1047" s="4" t="str">
        <f>IFERROR(__xludf.DUMMYFUNCTION("""COMPUTED_VALUE"""),"")</f>
        <v/>
      </c>
      <c r="B1047" s="4" t="str">
        <f>IFERROR(__xludf.DUMMYFUNCTION("""COMPUTED_VALUE"""),"")</f>
        <v/>
      </c>
      <c r="C1047" s="4" t="str">
        <f>IFERROR(__xludf.DUMMYFUNCTION("""COMPUTED_VALUE"""),"")</f>
        <v/>
      </c>
      <c r="D1047" s="4" t="str">
        <f>IFERROR(__xludf.DUMMYFUNCTION("""COMPUTED_VALUE"""),"")</f>
        <v/>
      </c>
      <c r="E1047" s="4" t="str">
        <f>IFERROR(__xludf.DUMMYFUNCTION("""COMPUTED_VALUE"""),"")</f>
        <v/>
      </c>
      <c r="F1047" s="4" t="str">
        <f>IFERROR(__xludf.DUMMYFUNCTION("""COMPUTED_VALUE"""),"")</f>
        <v/>
      </c>
      <c r="G1047" s="4" t="str">
        <f>IFERROR(__xludf.DUMMYFUNCTION("""COMPUTED_VALUE"""),"")</f>
        <v/>
      </c>
      <c r="H1047" s="4" t="str">
        <f>IFERROR(__xludf.DUMMYFUNCTION("""COMPUTED_VALUE"""),"")</f>
        <v/>
      </c>
      <c r="I1047" s="4" t="str">
        <f>IFERROR(__xludf.DUMMYFUNCTION("""COMPUTED_VALUE"""),"")</f>
        <v/>
      </c>
    </row>
    <row r="1048">
      <c r="A1048" s="4" t="str">
        <f>IFERROR(__xludf.DUMMYFUNCTION("""COMPUTED_VALUE"""),"")</f>
        <v/>
      </c>
      <c r="B1048" s="4" t="str">
        <f>IFERROR(__xludf.DUMMYFUNCTION("""COMPUTED_VALUE"""),"")</f>
        <v/>
      </c>
      <c r="C1048" s="4" t="str">
        <f>IFERROR(__xludf.DUMMYFUNCTION("""COMPUTED_VALUE"""),"")</f>
        <v/>
      </c>
      <c r="D1048" s="4" t="str">
        <f>IFERROR(__xludf.DUMMYFUNCTION("""COMPUTED_VALUE"""),"")</f>
        <v/>
      </c>
      <c r="E1048" s="4" t="str">
        <f>IFERROR(__xludf.DUMMYFUNCTION("""COMPUTED_VALUE"""),"")</f>
        <v/>
      </c>
      <c r="F1048" s="4" t="str">
        <f>IFERROR(__xludf.DUMMYFUNCTION("""COMPUTED_VALUE"""),"")</f>
        <v/>
      </c>
      <c r="G1048" s="4" t="str">
        <f>IFERROR(__xludf.DUMMYFUNCTION("""COMPUTED_VALUE"""),"")</f>
        <v/>
      </c>
      <c r="H1048" s="4" t="str">
        <f>IFERROR(__xludf.DUMMYFUNCTION("""COMPUTED_VALUE"""),"")</f>
        <v/>
      </c>
      <c r="I1048" s="4" t="str">
        <f>IFERROR(__xludf.DUMMYFUNCTION("""COMPUTED_VALUE"""),"")</f>
        <v/>
      </c>
    </row>
    <row r="1049">
      <c r="A1049" s="4" t="str">
        <f>IFERROR(__xludf.DUMMYFUNCTION("""COMPUTED_VALUE"""),"")</f>
        <v/>
      </c>
      <c r="B1049" s="4" t="str">
        <f>IFERROR(__xludf.DUMMYFUNCTION("""COMPUTED_VALUE"""),"")</f>
        <v/>
      </c>
      <c r="C1049" s="4" t="str">
        <f>IFERROR(__xludf.DUMMYFUNCTION("""COMPUTED_VALUE"""),"")</f>
        <v/>
      </c>
      <c r="D1049" s="4" t="str">
        <f>IFERROR(__xludf.DUMMYFUNCTION("""COMPUTED_VALUE"""),"")</f>
        <v/>
      </c>
      <c r="E1049" s="4" t="str">
        <f>IFERROR(__xludf.DUMMYFUNCTION("""COMPUTED_VALUE"""),"")</f>
        <v/>
      </c>
      <c r="F1049" s="4" t="str">
        <f>IFERROR(__xludf.DUMMYFUNCTION("""COMPUTED_VALUE"""),"")</f>
        <v/>
      </c>
      <c r="G1049" s="4" t="str">
        <f>IFERROR(__xludf.DUMMYFUNCTION("""COMPUTED_VALUE"""),"")</f>
        <v/>
      </c>
      <c r="H1049" s="4" t="str">
        <f>IFERROR(__xludf.DUMMYFUNCTION("""COMPUTED_VALUE"""),"")</f>
        <v/>
      </c>
      <c r="I1049" s="4" t="str">
        <f>IFERROR(__xludf.DUMMYFUNCTION("""COMPUTED_VALUE"""),"")</f>
        <v/>
      </c>
    </row>
    <row r="1050">
      <c r="A1050" s="4" t="str">
        <f>IFERROR(__xludf.DUMMYFUNCTION("""COMPUTED_VALUE"""),"")</f>
        <v/>
      </c>
      <c r="B1050" s="4" t="str">
        <f>IFERROR(__xludf.DUMMYFUNCTION("""COMPUTED_VALUE"""),"")</f>
        <v/>
      </c>
      <c r="C1050" s="4" t="str">
        <f>IFERROR(__xludf.DUMMYFUNCTION("""COMPUTED_VALUE"""),"")</f>
        <v/>
      </c>
      <c r="D1050" s="4" t="str">
        <f>IFERROR(__xludf.DUMMYFUNCTION("""COMPUTED_VALUE"""),"")</f>
        <v/>
      </c>
      <c r="E1050" s="4" t="str">
        <f>IFERROR(__xludf.DUMMYFUNCTION("""COMPUTED_VALUE"""),"")</f>
        <v/>
      </c>
      <c r="F1050" s="4" t="str">
        <f>IFERROR(__xludf.DUMMYFUNCTION("""COMPUTED_VALUE"""),"")</f>
        <v/>
      </c>
      <c r="G1050" s="4" t="str">
        <f>IFERROR(__xludf.DUMMYFUNCTION("""COMPUTED_VALUE"""),"")</f>
        <v/>
      </c>
      <c r="H1050" s="4" t="str">
        <f>IFERROR(__xludf.DUMMYFUNCTION("""COMPUTED_VALUE"""),"")</f>
        <v/>
      </c>
      <c r="I1050" s="4" t="str">
        <f>IFERROR(__xludf.DUMMYFUNCTION("""COMPUTED_VALUE"""),"")</f>
        <v/>
      </c>
    </row>
    <row r="1051">
      <c r="A1051" s="4" t="str">
        <f>IFERROR(__xludf.DUMMYFUNCTION("""COMPUTED_VALUE"""),"")</f>
        <v/>
      </c>
      <c r="B1051" s="4" t="str">
        <f>IFERROR(__xludf.DUMMYFUNCTION("""COMPUTED_VALUE"""),"")</f>
        <v/>
      </c>
      <c r="C1051" s="4" t="str">
        <f>IFERROR(__xludf.DUMMYFUNCTION("""COMPUTED_VALUE"""),"")</f>
        <v/>
      </c>
      <c r="D1051" s="4" t="str">
        <f>IFERROR(__xludf.DUMMYFUNCTION("""COMPUTED_VALUE"""),"")</f>
        <v/>
      </c>
      <c r="E1051" s="4" t="str">
        <f>IFERROR(__xludf.DUMMYFUNCTION("""COMPUTED_VALUE"""),"")</f>
        <v/>
      </c>
      <c r="F1051" s="4" t="str">
        <f>IFERROR(__xludf.DUMMYFUNCTION("""COMPUTED_VALUE"""),"")</f>
        <v/>
      </c>
      <c r="G1051" s="4" t="str">
        <f>IFERROR(__xludf.DUMMYFUNCTION("""COMPUTED_VALUE"""),"")</f>
        <v/>
      </c>
      <c r="H1051" s="4" t="str">
        <f>IFERROR(__xludf.DUMMYFUNCTION("""COMPUTED_VALUE"""),"")</f>
        <v/>
      </c>
      <c r="I1051" s="4" t="str">
        <f>IFERROR(__xludf.DUMMYFUNCTION("""COMPUTED_VALUE"""),"")</f>
        <v/>
      </c>
    </row>
    <row r="1052">
      <c r="A1052" s="4" t="str">
        <f>IFERROR(__xludf.DUMMYFUNCTION("""COMPUTED_VALUE"""),"")</f>
        <v/>
      </c>
      <c r="B1052" s="4" t="str">
        <f>IFERROR(__xludf.DUMMYFUNCTION("""COMPUTED_VALUE"""),"")</f>
        <v/>
      </c>
      <c r="C1052" s="4" t="str">
        <f>IFERROR(__xludf.DUMMYFUNCTION("""COMPUTED_VALUE"""),"")</f>
        <v/>
      </c>
      <c r="D1052" s="4" t="str">
        <f>IFERROR(__xludf.DUMMYFUNCTION("""COMPUTED_VALUE"""),"")</f>
        <v/>
      </c>
      <c r="E1052" s="4" t="str">
        <f>IFERROR(__xludf.DUMMYFUNCTION("""COMPUTED_VALUE"""),"")</f>
        <v/>
      </c>
      <c r="F1052" s="4" t="str">
        <f>IFERROR(__xludf.DUMMYFUNCTION("""COMPUTED_VALUE"""),"")</f>
        <v/>
      </c>
      <c r="G1052" s="4" t="str">
        <f>IFERROR(__xludf.DUMMYFUNCTION("""COMPUTED_VALUE"""),"")</f>
        <v/>
      </c>
      <c r="H1052" s="4" t="str">
        <f>IFERROR(__xludf.DUMMYFUNCTION("""COMPUTED_VALUE"""),"")</f>
        <v/>
      </c>
      <c r="I1052" s="4" t="str">
        <f>IFERROR(__xludf.DUMMYFUNCTION("""COMPUTED_VALUE"""),"")</f>
        <v/>
      </c>
    </row>
    <row r="1053">
      <c r="A1053" s="4" t="str">
        <f>IFERROR(__xludf.DUMMYFUNCTION("""COMPUTED_VALUE"""),"")</f>
        <v/>
      </c>
      <c r="B1053" s="4" t="str">
        <f>IFERROR(__xludf.DUMMYFUNCTION("""COMPUTED_VALUE"""),"")</f>
        <v/>
      </c>
      <c r="C1053" s="4" t="str">
        <f>IFERROR(__xludf.DUMMYFUNCTION("""COMPUTED_VALUE"""),"")</f>
        <v/>
      </c>
      <c r="D1053" s="4" t="str">
        <f>IFERROR(__xludf.DUMMYFUNCTION("""COMPUTED_VALUE"""),"")</f>
        <v/>
      </c>
      <c r="E1053" s="4" t="str">
        <f>IFERROR(__xludf.DUMMYFUNCTION("""COMPUTED_VALUE"""),"")</f>
        <v/>
      </c>
      <c r="F1053" s="4" t="str">
        <f>IFERROR(__xludf.DUMMYFUNCTION("""COMPUTED_VALUE"""),"")</f>
        <v/>
      </c>
      <c r="G1053" s="4" t="str">
        <f>IFERROR(__xludf.DUMMYFUNCTION("""COMPUTED_VALUE"""),"")</f>
        <v/>
      </c>
      <c r="H1053" s="4" t="str">
        <f>IFERROR(__xludf.DUMMYFUNCTION("""COMPUTED_VALUE"""),"")</f>
        <v/>
      </c>
      <c r="I1053" s="4" t="str">
        <f>IFERROR(__xludf.DUMMYFUNCTION("""COMPUTED_VALUE"""),"")</f>
        <v/>
      </c>
    </row>
    <row r="1054">
      <c r="A1054" s="4" t="str">
        <f>IFERROR(__xludf.DUMMYFUNCTION("""COMPUTED_VALUE"""),"")</f>
        <v/>
      </c>
      <c r="B1054" s="4" t="str">
        <f>IFERROR(__xludf.DUMMYFUNCTION("""COMPUTED_VALUE"""),"")</f>
        <v/>
      </c>
      <c r="C1054" s="4" t="str">
        <f>IFERROR(__xludf.DUMMYFUNCTION("""COMPUTED_VALUE"""),"")</f>
        <v/>
      </c>
      <c r="D1054" s="4" t="str">
        <f>IFERROR(__xludf.DUMMYFUNCTION("""COMPUTED_VALUE"""),"")</f>
        <v/>
      </c>
      <c r="E1054" s="4" t="str">
        <f>IFERROR(__xludf.DUMMYFUNCTION("""COMPUTED_VALUE"""),"")</f>
        <v/>
      </c>
      <c r="F1054" s="4" t="str">
        <f>IFERROR(__xludf.DUMMYFUNCTION("""COMPUTED_VALUE"""),"")</f>
        <v/>
      </c>
      <c r="G1054" s="4" t="str">
        <f>IFERROR(__xludf.DUMMYFUNCTION("""COMPUTED_VALUE"""),"")</f>
        <v/>
      </c>
      <c r="H1054" s="4" t="str">
        <f>IFERROR(__xludf.DUMMYFUNCTION("""COMPUTED_VALUE"""),"")</f>
        <v/>
      </c>
      <c r="I1054" s="4" t="str">
        <f>IFERROR(__xludf.DUMMYFUNCTION("""COMPUTED_VALUE"""),"")</f>
        <v/>
      </c>
    </row>
    <row r="1055">
      <c r="A1055" s="4" t="str">
        <f>IFERROR(__xludf.DUMMYFUNCTION("""COMPUTED_VALUE"""),"")</f>
        <v/>
      </c>
      <c r="B1055" s="4" t="str">
        <f>IFERROR(__xludf.DUMMYFUNCTION("""COMPUTED_VALUE"""),"")</f>
        <v/>
      </c>
      <c r="C1055" s="4" t="str">
        <f>IFERROR(__xludf.DUMMYFUNCTION("""COMPUTED_VALUE"""),"")</f>
        <v/>
      </c>
      <c r="D1055" s="4" t="str">
        <f>IFERROR(__xludf.DUMMYFUNCTION("""COMPUTED_VALUE"""),"")</f>
        <v/>
      </c>
      <c r="E1055" s="4" t="str">
        <f>IFERROR(__xludf.DUMMYFUNCTION("""COMPUTED_VALUE"""),"")</f>
        <v/>
      </c>
      <c r="F1055" s="4" t="str">
        <f>IFERROR(__xludf.DUMMYFUNCTION("""COMPUTED_VALUE"""),"")</f>
        <v/>
      </c>
      <c r="G1055" s="4" t="str">
        <f>IFERROR(__xludf.DUMMYFUNCTION("""COMPUTED_VALUE"""),"")</f>
        <v/>
      </c>
      <c r="H1055" s="4" t="str">
        <f>IFERROR(__xludf.DUMMYFUNCTION("""COMPUTED_VALUE"""),"")</f>
        <v/>
      </c>
      <c r="I1055" s="4" t="str">
        <f>IFERROR(__xludf.DUMMYFUNCTION("""COMPUTED_VALUE"""),"")</f>
        <v/>
      </c>
    </row>
    <row r="1056">
      <c r="A1056" s="4" t="str">
        <f>IFERROR(__xludf.DUMMYFUNCTION("""COMPUTED_VALUE"""),"")</f>
        <v/>
      </c>
      <c r="B1056" s="4" t="str">
        <f>IFERROR(__xludf.DUMMYFUNCTION("""COMPUTED_VALUE"""),"")</f>
        <v/>
      </c>
      <c r="C1056" s="4" t="str">
        <f>IFERROR(__xludf.DUMMYFUNCTION("""COMPUTED_VALUE"""),"")</f>
        <v/>
      </c>
      <c r="D1056" s="4" t="str">
        <f>IFERROR(__xludf.DUMMYFUNCTION("""COMPUTED_VALUE"""),"")</f>
        <v/>
      </c>
      <c r="E1056" s="4" t="str">
        <f>IFERROR(__xludf.DUMMYFUNCTION("""COMPUTED_VALUE"""),"")</f>
        <v/>
      </c>
      <c r="F1056" s="4" t="str">
        <f>IFERROR(__xludf.DUMMYFUNCTION("""COMPUTED_VALUE"""),"")</f>
        <v/>
      </c>
      <c r="G1056" s="4" t="str">
        <f>IFERROR(__xludf.DUMMYFUNCTION("""COMPUTED_VALUE"""),"")</f>
        <v/>
      </c>
      <c r="H1056" s="4" t="str">
        <f>IFERROR(__xludf.DUMMYFUNCTION("""COMPUTED_VALUE"""),"")</f>
        <v/>
      </c>
      <c r="I1056" s="4" t="str">
        <f>IFERROR(__xludf.DUMMYFUNCTION("""COMPUTED_VALUE"""),"")</f>
        <v/>
      </c>
    </row>
    <row r="1057">
      <c r="A1057" s="4" t="str">
        <f>IFERROR(__xludf.DUMMYFUNCTION("""COMPUTED_VALUE"""),"")</f>
        <v/>
      </c>
      <c r="B1057" s="4" t="str">
        <f>IFERROR(__xludf.DUMMYFUNCTION("""COMPUTED_VALUE"""),"")</f>
        <v/>
      </c>
      <c r="C1057" s="4" t="str">
        <f>IFERROR(__xludf.DUMMYFUNCTION("""COMPUTED_VALUE"""),"")</f>
        <v/>
      </c>
      <c r="D1057" s="4" t="str">
        <f>IFERROR(__xludf.DUMMYFUNCTION("""COMPUTED_VALUE"""),"")</f>
        <v/>
      </c>
      <c r="E1057" s="4" t="str">
        <f>IFERROR(__xludf.DUMMYFUNCTION("""COMPUTED_VALUE"""),"")</f>
        <v/>
      </c>
      <c r="F1057" s="4" t="str">
        <f>IFERROR(__xludf.DUMMYFUNCTION("""COMPUTED_VALUE"""),"")</f>
        <v/>
      </c>
      <c r="G1057" s="4" t="str">
        <f>IFERROR(__xludf.DUMMYFUNCTION("""COMPUTED_VALUE"""),"")</f>
        <v/>
      </c>
      <c r="H1057" s="4" t="str">
        <f>IFERROR(__xludf.DUMMYFUNCTION("""COMPUTED_VALUE"""),"")</f>
        <v/>
      </c>
      <c r="I1057" s="4" t="str">
        <f>IFERROR(__xludf.DUMMYFUNCTION("""COMPUTED_VALUE"""),"")</f>
        <v/>
      </c>
    </row>
    <row r="1058">
      <c r="A1058" s="4" t="str">
        <f>IFERROR(__xludf.DUMMYFUNCTION("""COMPUTED_VALUE"""),"")</f>
        <v/>
      </c>
      <c r="B1058" s="4" t="str">
        <f>IFERROR(__xludf.DUMMYFUNCTION("""COMPUTED_VALUE"""),"")</f>
        <v/>
      </c>
      <c r="C1058" s="4" t="str">
        <f>IFERROR(__xludf.DUMMYFUNCTION("""COMPUTED_VALUE"""),"")</f>
        <v/>
      </c>
      <c r="D1058" s="4" t="str">
        <f>IFERROR(__xludf.DUMMYFUNCTION("""COMPUTED_VALUE"""),"")</f>
        <v/>
      </c>
      <c r="E1058" s="4" t="str">
        <f>IFERROR(__xludf.DUMMYFUNCTION("""COMPUTED_VALUE"""),"")</f>
        <v/>
      </c>
      <c r="F1058" s="4" t="str">
        <f>IFERROR(__xludf.DUMMYFUNCTION("""COMPUTED_VALUE"""),"")</f>
        <v/>
      </c>
      <c r="G1058" s="4" t="str">
        <f>IFERROR(__xludf.DUMMYFUNCTION("""COMPUTED_VALUE"""),"")</f>
        <v/>
      </c>
      <c r="H1058" s="4" t="str">
        <f>IFERROR(__xludf.DUMMYFUNCTION("""COMPUTED_VALUE"""),"")</f>
        <v/>
      </c>
      <c r="I1058" s="4" t="str">
        <f>IFERROR(__xludf.DUMMYFUNCTION("""COMPUTED_VALUE"""),"")</f>
        <v/>
      </c>
    </row>
    <row r="1059">
      <c r="A1059" s="4" t="str">
        <f>IFERROR(__xludf.DUMMYFUNCTION("""COMPUTED_VALUE"""),"")</f>
        <v/>
      </c>
      <c r="B1059" s="4" t="str">
        <f>IFERROR(__xludf.DUMMYFUNCTION("""COMPUTED_VALUE"""),"")</f>
        <v/>
      </c>
      <c r="C1059" s="4" t="str">
        <f>IFERROR(__xludf.DUMMYFUNCTION("""COMPUTED_VALUE"""),"")</f>
        <v/>
      </c>
      <c r="D1059" s="4" t="str">
        <f>IFERROR(__xludf.DUMMYFUNCTION("""COMPUTED_VALUE"""),"")</f>
        <v/>
      </c>
      <c r="E1059" s="4" t="str">
        <f>IFERROR(__xludf.DUMMYFUNCTION("""COMPUTED_VALUE"""),"")</f>
        <v/>
      </c>
      <c r="F1059" s="4" t="str">
        <f>IFERROR(__xludf.DUMMYFUNCTION("""COMPUTED_VALUE"""),"")</f>
        <v/>
      </c>
      <c r="G1059" s="4" t="str">
        <f>IFERROR(__xludf.DUMMYFUNCTION("""COMPUTED_VALUE"""),"")</f>
        <v/>
      </c>
      <c r="H1059" s="4" t="str">
        <f>IFERROR(__xludf.DUMMYFUNCTION("""COMPUTED_VALUE"""),"")</f>
        <v/>
      </c>
      <c r="I1059" s="4" t="str">
        <f>IFERROR(__xludf.DUMMYFUNCTION("""COMPUTED_VALUE"""),"")</f>
        <v/>
      </c>
    </row>
    <row r="1060">
      <c r="A1060" s="4" t="str">
        <f>IFERROR(__xludf.DUMMYFUNCTION("""COMPUTED_VALUE"""),"")</f>
        <v/>
      </c>
      <c r="B1060" s="4" t="str">
        <f>IFERROR(__xludf.DUMMYFUNCTION("""COMPUTED_VALUE"""),"")</f>
        <v/>
      </c>
      <c r="C1060" s="4" t="str">
        <f>IFERROR(__xludf.DUMMYFUNCTION("""COMPUTED_VALUE"""),"")</f>
        <v/>
      </c>
      <c r="D1060" s="4" t="str">
        <f>IFERROR(__xludf.DUMMYFUNCTION("""COMPUTED_VALUE"""),"")</f>
        <v/>
      </c>
      <c r="E1060" s="4" t="str">
        <f>IFERROR(__xludf.DUMMYFUNCTION("""COMPUTED_VALUE"""),"")</f>
        <v/>
      </c>
      <c r="F1060" s="4" t="str">
        <f>IFERROR(__xludf.DUMMYFUNCTION("""COMPUTED_VALUE"""),"")</f>
        <v/>
      </c>
      <c r="G1060" s="4" t="str">
        <f>IFERROR(__xludf.DUMMYFUNCTION("""COMPUTED_VALUE"""),"")</f>
        <v/>
      </c>
      <c r="H1060" s="4" t="str">
        <f>IFERROR(__xludf.DUMMYFUNCTION("""COMPUTED_VALUE"""),"")</f>
        <v/>
      </c>
      <c r="I1060" s="4" t="str">
        <f>IFERROR(__xludf.DUMMYFUNCTION("""COMPUTED_VALUE"""),"")</f>
        <v/>
      </c>
    </row>
    <row r="1061">
      <c r="A1061" s="4" t="str">
        <f>IFERROR(__xludf.DUMMYFUNCTION("""COMPUTED_VALUE"""),"")</f>
        <v/>
      </c>
      <c r="B1061" s="4" t="str">
        <f>IFERROR(__xludf.DUMMYFUNCTION("""COMPUTED_VALUE"""),"")</f>
        <v/>
      </c>
      <c r="C1061" s="4" t="str">
        <f>IFERROR(__xludf.DUMMYFUNCTION("""COMPUTED_VALUE"""),"")</f>
        <v/>
      </c>
      <c r="D1061" s="4" t="str">
        <f>IFERROR(__xludf.DUMMYFUNCTION("""COMPUTED_VALUE"""),"")</f>
        <v/>
      </c>
      <c r="E1061" s="4" t="str">
        <f>IFERROR(__xludf.DUMMYFUNCTION("""COMPUTED_VALUE"""),"")</f>
        <v/>
      </c>
      <c r="F1061" s="4" t="str">
        <f>IFERROR(__xludf.DUMMYFUNCTION("""COMPUTED_VALUE"""),"")</f>
        <v/>
      </c>
      <c r="G1061" s="4" t="str">
        <f>IFERROR(__xludf.DUMMYFUNCTION("""COMPUTED_VALUE"""),"")</f>
        <v/>
      </c>
      <c r="H1061" s="4" t="str">
        <f>IFERROR(__xludf.DUMMYFUNCTION("""COMPUTED_VALUE"""),"")</f>
        <v/>
      </c>
      <c r="I1061" s="4" t="str">
        <f>IFERROR(__xludf.DUMMYFUNCTION("""COMPUTED_VALUE"""),"")</f>
        <v/>
      </c>
    </row>
    <row r="1062">
      <c r="A1062" s="4" t="str">
        <f>IFERROR(__xludf.DUMMYFUNCTION("""COMPUTED_VALUE"""),"")</f>
        <v/>
      </c>
      <c r="B1062" s="4" t="str">
        <f>IFERROR(__xludf.DUMMYFUNCTION("""COMPUTED_VALUE"""),"")</f>
        <v/>
      </c>
      <c r="C1062" s="4" t="str">
        <f>IFERROR(__xludf.DUMMYFUNCTION("""COMPUTED_VALUE"""),"")</f>
        <v/>
      </c>
      <c r="D1062" s="4" t="str">
        <f>IFERROR(__xludf.DUMMYFUNCTION("""COMPUTED_VALUE"""),"")</f>
        <v/>
      </c>
      <c r="E1062" s="4" t="str">
        <f>IFERROR(__xludf.DUMMYFUNCTION("""COMPUTED_VALUE"""),"")</f>
        <v/>
      </c>
      <c r="F1062" s="4" t="str">
        <f>IFERROR(__xludf.DUMMYFUNCTION("""COMPUTED_VALUE"""),"")</f>
        <v/>
      </c>
      <c r="G1062" s="4" t="str">
        <f>IFERROR(__xludf.DUMMYFUNCTION("""COMPUTED_VALUE"""),"")</f>
        <v/>
      </c>
      <c r="H1062" s="4" t="str">
        <f>IFERROR(__xludf.DUMMYFUNCTION("""COMPUTED_VALUE"""),"")</f>
        <v/>
      </c>
      <c r="I1062" s="4" t="str">
        <f>IFERROR(__xludf.DUMMYFUNCTION("""COMPUTED_VALUE"""),"")</f>
        <v/>
      </c>
    </row>
    <row r="1063">
      <c r="A1063" s="4" t="str">
        <f>IFERROR(__xludf.DUMMYFUNCTION("""COMPUTED_VALUE"""),"")</f>
        <v/>
      </c>
      <c r="B1063" s="4" t="str">
        <f>IFERROR(__xludf.DUMMYFUNCTION("""COMPUTED_VALUE"""),"")</f>
        <v/>
      </c>
      <c r="C1063" s="4" t="str">
        <f>IFERROR(__xludf.DUMMYFUNCTION("""COMPUTED_VALUE"""),"")</f>
        <v/>
      </c>
      <c r="D1063" s="4" t="str">
        <f>IFERROR(__xludf.DUMMYFUNCTION("""COMPUTED_VALUE"""),"")</f>
        <v/>
      </c>
      <c r="E1063" s="4" t="str">
        <f>IFERROR(__xludf.DUMMYFUNCTION("""COMPUTED_VALUE"""),"")</f>
        <v/>
      </c>
      <c r="F1063" s="4" t="str">
        <f>IFERROR(__xludf.DUMMYFUNCTION("""COMPUTED_VALUE"""),"")</f>
        <v/>
      </c>
      <c r="G1063" s="4" t="str">
        <f>IFERROR(__xludf.DUMMYFUNCTION("""COMPUTED_VALUE"""),"")</f>
        <v/>
      </c>
      <c r="H1063" s="4" t="str">
        <f>IFERROR(__xludf.DUMMYFUNCTION("""COMPUTED_VALUE"""),"")</f>
        <v/>
      </c>
      <c r="I1063" s="4" t="str">
        <f>IFERROR(__xludf.DUMMYFUNCTION("""COMPUTED_VALUE"""),"")</f>
        <v/>
      </c>
    </row>
    <row r="1064">
      <c r="A1064" s="4" t="str">
        <f>IFERROR(__xludf.DUMMYFUNCTION("""COMPUTED_VALUE"""),"")</f>
        <v/>
      </c>
      <c r="B1064" s="4" t="str">
        <f>IFERROR(__xludf.DUMMYFUNCTION("""COMPUTED_VALUE"""),"")</f>
        <v/>
      </c>
      <c r="C1064" s="4" t="str">
        <f>IFERROR(__xludf.DUMMYFUNCTION("""COMPUTED_VALUE"""),"")</f>
        <v/>
      </c>
      <c r="D1064" s="4" t="str">
        <f>IFERROR(__xludf.DUMMYFUNCTION("""COMPUTED_VALUE"""),"")</f>
        <v/>
      </c>
      <c r="E1064" s="4" t="str">
        <f>IFERROR(__xludf.DUMMYFUNCTION("""COMPUTED_VALUE"""),"")</f>
        <v/>
      </c>
      <c r="F1064" s="4" t="str">
        <f>IFERROR(__xludf.DUMMYFUNCTION("""COMPUTED_VALUE"""),"")</f>
        <v/>
      </c>
      <c r="G1064" s="4" t="str">
        <f>IFERROR(__xludf.DUMMYFUNCTION("""COMPUTED_VALUE"""),"")</f>
        <v/>
      </c>
      <c r="H1064" s="4" t="str">
        <f>IFERROR(__xludf.DUMMYFUNCTION("""COMPUTED_VALUE"""),"")</f>
        <v/>
      </c>
      <c r="I1064" s="4" t="str">
        <f>IFERROR(__xludf.DUMMYFUNCTION("""COMPUTED_VALUE"""),"")</f>
        <v/>
      </c>
    </row>
    <row r="1065">
      <c r="A1065" s="4" t="str">
        <f>IFERROR(__xludf.DUMMYFUNCTION("""COMPUTED_VALUE"""),"")</f>
        <v/>
      </c>
      <c r="B1065" s="4" t="str">
        <f>IFERROR(__xludf.DUMMYFUNCTION("""COMPUTED_VALUE"""),"")</f>
        <v/>
      </c>
      <c r="C1065" s="4" t="str">
        <f>IFERROR(__xludf.DUMMYFUNCTION("""COMPUTED_VALUE"""),"")</f>
        <v/>
      </c>
      <c r="D1065" s="4" t="str">
        <f>IFERROR(__xludf.DUMMYFUNCTION("""COMPUTED_VALUE"""),"")</f>
        <v/>
      </c>
      <c r="E1065" s="4" t="str">
        <f>IFERROR(__xludf.DUMMYFUNCTION("""COMPUTED_VALUE"""),"")</f>
        <v/>
      </c>
      <c r="F1065" s="4" t="str">
        <f>IFERROR(__xludf.DUMMYFUNCTION("""COMPUTED_VALUE"""),"")</f>
        <v/>
      </c>
      <c r="G1065" s="4" t="str">
        <f>IFERROR(__xludf.DUMMYFUNCTION("""COMPUTED_VALUE"""),"")</f>
        <v/>
      </c>
      <c r="H1065" s="4" t="str">
        <f>IFERROR(__xludf.DUMMYFUNCTION("""COMPUTED_VALUE"""),"")</f>
        <v/>
      </c>
      <c r="I1065" s="4" t="str">
        <f>IFERROR(__xludf.DUMMYFUNCTION("""COMPUTED_VALUE"""),"")</f>
        <v/>
      </c>
    </row>
    <row r="1066">
      <c r="A1066" s="4" t="str">
        <f>IFERROR(__xludf.DUMMYFUNCTION("""COMPUTED_VALUE"""),"")</f>
        <v/>
      </c>
      <c r="B1066" s="4" t="str">
        <f>IFERROR(__xludf.DUMMYFUNCTION("""COMPUTED_VALUE"""),"")</f>
        <v/>
      </c>
      <c r="C1066" s="4" t="str">
        <f>IFERROR(__xludf.DUMMYFUNCTION("""COMPUTED_VALUE"""),"")</f>
        <v/>
      </c>
      <c r="D1066" s="4" t="str">
        <f>IFERROR(__xludf.DUMMYFUNCTION("""COMPUTED_VALUE"""),"")</f>
        <v/>
      </c>
      <c r="E1066" s="4" t="str">
        <f>IFERROR(__xludf.DUMMYFUNCTION("""COMPUTED_VALUE"""),"")</f>
        <v/>
      </c>
      <c r="F1066" s="4" t="str">
        <f>IFERROR(__xludf.DUMMYFUNCTION("""COMPUTED_VALUE"""),"")</f>
        <v/>
      </c>
      <c r="G1066" s="4" t="str">
        <f>IFERROR(__xludf.DUMMYFUNCTION("""COMPUTED_VALUE"""),"")</f>
        <v/>
      </c>
      <c r="H1066" s="4" t="str">
        <f>IFERROR(__xludf.DUMMYFUNCTION("""COMPUTED_VALUE"""),"")</f>
        <v/>
      </c>
      <c r="I1066" s="4" t="str">
        <f>IFERROR(__xludf.DUMMYFUNCTION("""COMPUTED_VALUE"""),"")</f>
        <v/>
      </c>
    </row>
    <row r="1067">
      <c r="A1067" s="4" t="str">
        <f>IFERROR(__xludf.DUMMYFUNCTION("""COMPUTED_VALUE"""),"")</f>
        <v/>
      </c>
      <c r="B1067" s="4" t="str">
        <f>IFERROR(__xludf.DUMMYFUNCTION("""COMPUTED_VALUE"""),"")</f>
        <v/>
      </c>
      <c r="C1067" s="4" t="str">
        <f>IFERROR(__xludf.DUMMYFUNCTION("""COMPUTED_VALUE"""),"")</f>
        <v/>
      </c>
      <c r="D1067" s="4" t="str">
        <f>IFERROR(__xludf.DUMMYFUNCTION("""COMPUTED_VALUE"""),"")</f>
        <v/>
      </c>
      <c r="E1067" s="4" t="str">
        <f>IFERROR(__xludf.DUMMYFUNCTION("""COMPUTED_VALUE"""),"")</f>
        <v/>
      </c>
      <c r="F1067" s="4" t="str">
        <f>IFERROR(__xludf.DUMMYFUNCTION("""COMPUTED_VALUE"""),"")</f>
        <v/>
      </c>
      <c r="G1067" s="4" t="str">
        <f>IFERROR(__xludf.DUMMYFUNCTION("""COMPUTED_VALUE"""),"")</f>
        <v/>
      </c>
      <c r="H1067" s="4" t="str">
        <f>IFERROR(__xludf.DUMMYFUNCTION("""COMPUTED_VALUE"""),"")</f>
        <v/>
      </c>
      <c r="I1067" s="4" t="str">
        <f>IFERROR(__xludf.DUMMYFUNCTION("""COMPUTED_VALUE"""),"")</f>
        <v/>
      </c>
    </row>
    <row r="1068">
      <c r="A1068" s="4" t="str">
        <f>IFERROR(__xludf.DUMMYFUNCTION("""COMPUTED_VALUE"""),"")</f>
        <v/>
      </c>
      <c r="B1068" s="4" t="str">
        <f>IFERROR(__xludf.DUMMYFUNCTION("""COMPUTED_VALUE"""),"")</f>
        <v/>
      </c>
      <c r="C1068" s="4" t="str">
        <f>IFERROR(__xludf.DUMMYFUNCTION("""COMPUTED_VALUE"""),"")</f>
        <v/>
      </c>
      <c r="D1068" s="4" t="str">
        <f>IFERROR(__xludf.DUMMYFUNCTION("""COMPUTED_VALUE"""),"")</f>
        <v/>
      </c>
      <c r="E1068" s="4" t="str">
        <f>IFERROR(__xludf.DUMMYFUNCTION("""COMPUTED_VALUE"""),"")</f>
        <v/>
      </c>
      <c r="F1068" s="4" t="str">
        <f>IFERROR(__xludf.DUMMYFUNCTION("""COMPUTED_VALUE"""),"")</f>
        <v/>
      </c>
      <c r="G1068" s="4" t="str">
        <f>IFERROR(__xludf.DUMMYFUNCTION("""COMPUTED_VALUE"""),"")</f>
        <v/>
      </c>
      <c r="H1068" s="4" t="str">
        <f>IFERROR(__xludf.DUMMYFUNCTION("""COMPUTED_VALUE"""),"")</f>
        <v/>
      </c>
      <c r="I1068" s="4" t="str">
        <f>IFERROR(__xludf.DUMMYFUNCTION("""COMPUTED_VALUE"""),"")</f>
        <v/>
      </c>
    </row>
    <row r="1069">
      <c r="A1069" s="4" t="str">
        <f>IFERROR(__xludf.DUMMYFUNCTION("""COMPUTED_VALUE"""),"")</f>
        <v/>
      </c>
      <c r="B1069" s="4" t="str">
        <f>IFERROR(__xludf.DUMMYFUNCTION("""COMPUTED_VALUE"""),"")</f>
        <v/>
      </c>
      <c r="C1069" s="4" t="str">
        <f>IFERROR(__xludf.DUMMYFUNCTION("""COMPUTED_VALUE"""),"")</f>
        <v/>
      </c>
      <c r="D1069" s="4" t="str">
        <f>IFERROR(__xludf.DUMMYFUNCTION("""COMPUTED_VALUE"""),"")</f>
        <v/>
      </c>
      <c r="E1069" s="4" t="str">
        <f>IFERROR(__xludf.DUMMYFUNCTION("""COMPUTED_VALUE"""),"")</f>
        <v/>
      </c>
      <c r="F1069" s="4" t="str">
        <f>IFERROR(__xludf.DUMMYFUNCTION("""COMPUTED_VALUE"""),"")</f>
        <v/>
      </c>
      <c r="G1069" s="4" t="str">
        <f>IFERROR(__xludf.DUMMYFUNCTION("""COMPUTED_VALUE"""),"")</f>
        <v/>
      </c>
      <c r="H1069" s="4" t="str">
        <f>IFERROR(__xludf.DUMMYFUNCTION("""COMPUTED_VALUE"""),"")</f>
        <v/>
      </c>
      <c r="I1069" s="4" t="str">
        <f>IFERROR(__xludf.DUMMYFUNCTION("""COMPUTED_VALUE"""),"")</f>
        <v/>
      </c>
    </row>
    <row r="1070">
      <c r="A1070" s="4" t="str">
        <f>IFERROR(__xludf.DUMMYFUNCTION("""COMPUTED_VALUE"""),"")</f>
        <v/>
      </c>
      <c r="B1070" s="4" t="str">
        <f>IFERROR(__xludf.DUMMYFUNCTION("""COMPUTED_VALUE"""),"")</f>
        <v/>
      </c>
      <c r="C1070" s="4" t="str">
        <f>IFERROR(__xludf.DUMMYFUNCTION("""COMPUTED_VALUE"""),"")</f>
        <v/>
      </c>
      <c r="D1070" s="4" t="str">
        <f>IFERROR(__xludf.DUMMYFUNCTION("""COMPUTED_VALUE"""),"")</f>
        <v/>
      </c>
      <c r="E1070" s="4" t="str">
        <f>IFERROR(__xludf.DUMMYFUNCTION("""COMPUTED_VALUE"""),"")</f>
        <v/>
      </c>
      <c r="F1070" s="4" t="str">
        <f>IFERROR(__xludf.DUMMYFUNCTION("""COMPUTED_VALUE"""),"")</f>
        <v/>
      </c>
      <c r="G1070" s="4" t="str">
        <f>IFERROR(__xludf.DUMMYFUNCTION("""COMPUTED_VALUE"""),"")</f>
        <v/>
      </c>
      <c r="H1070" s="4" t="str">
        <f>IFERROR(__xludf.DUMMYFUNCTION("""COMPUTED_VALUE"""),"")</f>
        <v/>
      </c>
      <c r="I1070" s="4" t="str">
        <f>IFERROR(__xludf.DUMMYFUNCTION("""COMPUTED_VALUE"""),"")</f>
        <v/>
      </c>
    </row>
    <row r="1071">
      <c r="A1071" s="4" t="str">
        <f>IFERROR(__xludf.DUMMYFUNCTION("""COMPUTED_VALUE"""),"")</f>
        <v/>
      </c>
      <c r="B1071" s="4" t="str">
        <f>IFERROR(__xludf.DUMMYFUNCTION("""COMPUTED_VALUE"""),"")</f>
        <v/>
      </c>
      <c r="C1071" s="4" t="str">
        <f>IFERROR(__xludf.DUMMYFUNCTION("""COMPUTED_VALUE"""),"")</f>
        <v/>
      </c>
      <c r="D1071" s="4" t="str">
        <f>IFERROR(__xludf.DUMMYFUNCTION("""COMPUTED_VALUE"""),"")</f>
        <v/>
      </c>
      <c r="E1071" s="4" t="str">
        <f>IFERROR(__xludf.DUMMYFUNCTION("""COMPUTED_VALUE"""),"")</f>
        <v/>
      </c>
      <c r="F1071" s="4" t="str">
        <f>IFERROR(__xludf.DUMMYFUNCTION("""COMPUTED_VALUE"""),"")</f>
        <v/>
      </c>
      <c r="G1071" s="4" t="str">
        <f>IFERROR(__xludf.DUMMYFUNCTION("""COMPUTED_VALUE"""),"")</f>
        <v/>
      </c>
      <c r="H1071" s="4" t="str">
        <f>IFERROR(__xludf.DUMMYFUNCTION("""COMPUTED_VALUE"""),"")</f>
        <v/>
      </c>
      <c r="I1071" s="4" t="str">
        <f>IFERROR(__xludf.DUMMYFUNCTION("""COMPUTED_VALUE"""),"")</f>
        <v/>
      </c>
    </row>
    <row r="1072">
      <c r="A1072" s="4" t="str">
        <f>IFERROR(__xludf.DUMMYFUNCTION("""COMPUTED_VALUE"""),"")</f>
        <v/>
      </c>
      <c r="B1072" s="4" t="str">
        <f>IFERROR(__xludf.DUMMYFUNCTION("""COMPUTED_VALUE"""),"")</f>
        <v/>
      </c>
      <c r="C1072" s="4" t="str">
        <f>IFERROR(__xludf.DUMMYFUNCTION("""COMPUTED_VALUE"""),"")</f>
        <v/>
      </c>
      <c r="D1072" s="4" t="str">
        <f>IFERROR(__xludf.DUMMYFUNCTION("""COMPUTED_VALUE"""),"")</f>
        <v/>
      </c>
      <c r="E1072" s="4" t="str">
        <f>IFERROR(__xludf.DUMMYFUNCTION("""COMPUTED_VALUE"""),"")</f>
        <v/>
      </c>
      <c r="F1072" s="4" t="str">
        <f>IFERROR(__xludf.DUMMYFUNCTION("""COMPUTED_VALUE"""),"")</f>
        <v/>
      </c>
      <c r="G1072" s="4" t="str">
        <f>IFERROR(__xludf.DUMMYFUNCTION("""COMPUTED_VALUE"""),"")</f>
        <v/>
      </c>
      <c r="H1072" s="4" t="str">
        <f>IFERROR(__xludf.DUMMYFUNCTION("""COMPUTED_VALUE"""),"")</f>
        <v/>
      </c>
      <c r="I1072" s="4" t="str">
        <f>IFERROR(__xludf.DUMMYFUNCTION("""COMPUTED_VALUE"""),"")</f>
        <v/>
      </c>
    </row>
    <row r="1073">
      <c r="A1073" s="4" t="str">
        <f>IFERROR(__xludf.DUMMYFUNCTION("""COMPUTED_VALUE"""),"")</f>
        <v/>
      </c>
      <c r="B1073" s="4" t="str">
        <f>IFERROR(__xludf.DUMMYFUNCTION("""COMPUTED_VALUE"""),"")</f>
        <v/>
      </c>
      <c r="C1073" s="4" t="str">
        <f>IFERROR(__xludf.DUMMYFUNCTION("""COMPUTED_VALUE"""),"")</f>
        <v/>
      </c>
      <c r="D1073" s="4" t="str">
        <f>IFERROR(__xludf.DUMMYFUNCTION("""COMPUTED_VALUE"""),"")</f>
        <v/>
      </c>
      <c r="E1073" s="4" t="str">
        <f>IFERROR(__xludf.DUMMYFUNCTION("""COMPUTED_VALUE"""),"")</f>
        <v/>
      </c>
      <c r="F1073" s="4" t="str">
        <f>IFERROR(__xludf.DUMMYFUNCTION("""COMPUTED_VALUE"""),"")</f>
        <v/>
      </c>
      <c r="G1073" s="4" t="str">
        <f>IFERROR(__xludf.DUMMYFUNCTION("""COMPUTED_VALUE"""),"")</f>
        <v/>
      </c>
      <c r="H1073" s="4" t="str">
        <f>IFERROR(__xludf.DUMMYFUNCTION("""COMPUTED_VALUE"""),"")</f>
        <v/>
      </c>
      <c r="I1073" s="4" t="str">
        <f>IFERROR(__xludf.DUMMYFUNCTION("""COMPUTED_VALUE"""),"")</f>
        <v/>
      </c>
    </row>
    <row r="1074">
      <c r="A1074" s="4" t="str">
        <f>IFERROR(__xludf.DUMMYFUNCTION("""COMPUTED_VALUE"""),"")</f>
        <v/>
      </c>
      <c r="B1074" s="4" t="str">
        <f>IFERROR(__xludf.DUMMYFUNCTION("""COMPUTED_VALUE"""),"")</f>
        <v/>
      </c>
      <c r="C1074" s="4" t="str">
        <f>IFERROR(__xludf.DUMMYFUNCTION("""COMPUTED_VALUE"""),"")</f>
        <v/>
      </c>
      <c r="D1074" s="4" t="str">
        <f>IFERROR(__xludf.DUMMYFUNCTION("""COMPUTED_VALUE"""),"")</f>
        <v/>
      </c>
      <c r="E1074" s="4" t="str">
        <f>IFERROR(__xludf.DUMMYFUNCTION("""COMPUTED_VALUE"""),"")</f>
        <v/>
      </c>
      <c r="F1074" s="4" t="str">
        <f>IFERROR(__xludf.DUMMYFUNCTION("""COMPUTED_VALUE"""),"")</f>
        <v/>
      </c>
      <c r="G1074" s="4" t="str">
        <f>IFERROR(__xludf.DUMMYFUNCTION("""COMPUTED_VALUE"""),"")</f>
        <v/>
      </c>
      <c r="H1074" s="4" t="str">
        <f>IFERROR(__xludf.DUMMYFUNCTION("""COMPUTED_VALUE"""),"")</f>
        <v/>
      </c>
      <c r="I1074" s="4" t="str">
        <f>IFERROR(__xludf.DUMMYFUNCTION("""COMPUTED_VALUE"""),"")</f>
        <v/>
      </c>
    </row>
    <row r="1075">
      <c r="A1075" s="4" t="str">
        <f>IFERROR(__xludf.DUMMYFUNCTION("""COMPUTED_VALUE"""),"")</f>
        <v/>
      </c>
      <c r="B1075" s="4" t="str">
        <f>IFERROR(__xludf.DUMMYFUNCTION("""COMPUTED_VALUE"""),"")</f>
        <v/>
      </c>
      <c r="C1075" s="4" t="str">
        <f>IFERROR(__xludf.DUMMYFUNCTION("""COMPUTED_VALUE"""),"")</f>
        <v/>
      </c>
      <c r="D1075" s="4" t="str">
        <f>IFERROR(__xludf.DUMMYFUNCTION("""COMPUTED_VALUE"""),"")</f>
        <v/>
      </c>
      <c r="E1075" s="4" t="str">
        <f>IFERROR(__xludf.DUMMYFUNCTION("""COMPUTED_VALUE"""),"")</f>
        <v/>
      </c>
      <c r="F1075" s="4" t="str">
        <f>IFERROR(__xludf.DUMMYFUNCTION("""COMPUTED_VALUE"""),"")</f>
        <v/>
      </c>
      <c r="G1075" s="4" t="str">
        <f>IFERROR(__xludf.DUMMYFUNCTION("""COMPUTED_VALUE"""),"")</f>
        <v/>
      </c>
      <c r="H1075" s="4" t="str">
        <f>IFERROR(__xludf.DUMMYFUNCTION("""COMPUTED_VALUE"""),"")</f>
        <v/>
      </c>
      <c r="I1075" s="4" t="str">
        <f>IFERROR(__xludf.DUMMYFUNCTION("""COMPUTED_VALUE"""),"")</f>
        <v/>
      </c>
    </row>
    <row r="1076">
      <c r="A1076" s="4" t="str">
        <f>IFERROR(__xludf.DUMMYFUNCTION("""COMPUTED_VALUE"""),"")</f>
        <v/>
      </c>
      <c r="B1076" s="4" t="str">
        <f>IFERROR(__xludf.DUMMYFUNCTION("""COMPUTED_VALUE"""),"")</f>
        <v/>
      </c>
      <c r="C1076" s="4" t="str">
        <f>IFERROR(__xludf.DUMMYFUNCTION("""COMPUTED_VALUE"""),"")</f>
        <v/>
      </c>
      <c r="D1076" s="4" t="str">
        <f>IFERROR(__xludf.DUMMYFUNCTION("""COMPUTED_VALUE"""),"")</f>
        <v/>
      </c>
      <c r="E1076" s="4" t="str">
        <f>IFERROR(__xludf.DUMMYFUNCTION("""COMPUTED_VALUE"""),"")</f>
        <v/>
      </c>
      <c r="F1076" s="4" t="str">
        <f>IFERROR(__xludf.DUMMYFUNCTION("""COMPUTED_VALUE"""),"")</f>
        <v/>
      </c>
      <c r="G1076" s="4" t="str">
        <f>IFERROR(__xludf.DUMMYFUNCTION("""COMPUTED_VALUE"""),"")</f>
        <v/>
      </c>
      <c r="H1076" s="4" t="str">
        <f>IFERROR(__xludf.DUMMYFUNCTION("""COMPUTED_VALUE"""),"")</f>
        <v/>
      </c>
      <c r="I1076" s="4" t="str">
        <f>IFERROR(__xludf.DUMMYFUNCTION("""COMPUTED_VALUE"""),"")</f>
        <v/>
      </c>
    </row>
    <row r="1077">
      <c r="A1077" s="4" t="str">
        <f>IFERROR(__xludf.DUMMYFUNCTION("""COMPUTED_VALUE"""),"")</f>
        <v/>
      </c>
      <c r="B1077" s="4" t="str">
        <f>IFERROR(__xludf.DUMMYFUNCTION("""COMPUTED_VALUE"""),"")</f>
        <v/>
      </c>
      <c r="C1077" s="4" t="str">
        <f>IFERROR(__xludf.DUMMYFUNCTION("""COMPUTED_VALUE"""),"")</f>
        <v/>
      </c>
      <c r="D1077" s="4" t="str">
        <f>IFERROR(__xludf.DUMMYFUNCTION("""COMPUTED_VALUE"""),"")</f>
        <v/>
      </c>
      <c r="E1077" s="4" t="str">
        <f>IFERROR(__xludf.DUMMYFUNCTION("""COMPUTED_VALUE"""),"")</f>
        <v/>
      </c>
      <c r="F1077" s="4" t="str">
        <f>IFERROR(__xludf.DUMMYFUNCTION("""COMPUTED_VALUE"""),"")</f>
        <v/>
      </c>
      <c r="G1077" s="4" t="str">
        <f>IFERROR(__xludf.DUMMYFUNCTION("""COMPUTED_VALUE"""),"")</f>
        <v/>
      </c>
      <c r="H1077" s="4" t="str">
        <f>IFERROR(__xludf.DUMMYFUNCTION("""COMPUTED_VALUE"""),"")</f>
        <v/>
      </c>
      <c r="I1077" s="4" t="str">
        <f>IFERROR(__xludf.DUMMYFUNCTION("""COMPUTED_VALUE"""),"")</f>
        <v/>
      </c>
    </row>
    <row r="1078">
      <c r="A1078" s="4" t="str">
        <f>IFERROR(__xludf.DUMMYFUNCTION("""COMPUTED_VALUE"""),"")</f>
        <v/>
      </c>
      <c r="B1078" s="4" t="str">
        <f>IFERROR(__xludf.DUMMYFUNCTION("""COMPUTED_VALUE"""),"")</f>
        <v/>
      </c>
      <c r="C1078" s="4" t="str">
        <f>IFERROR(__xludf.DUMMYFUNCTION("""COMPUTED_VALUE"""),"")</f>
        <v/>
      </c>
      <c r="D1078" s="4" t="str">
        <f>IFERROR(__xludf.DUMMYFUNCTION("""COMPUTED_VALUE"""),"")</f>
        <v/>
      </c>
      <c r="E1078" s="4" t="str">
        <f>IFERROR(__xludf.DUMMYFUNCTION("""COMPUTED_VALUE"""),"")</f>
        <v/>
      </c>
      <c r="F1078" s="4" t="str">
        <f>IFERROR(__xludf.DUMMYFUNCTION("""COMPUTED_VALUE"""),"")</f>
        <v/>
      </c>
      <c r="G1078" s="4" t="str">
        <f>IFERROR(__xludf.DUMMYFUNCTION("""COMPUTED_VALUE"""),"")</f>
        <v/>
      </c>
      <c r="H1078" s="4" t="str">
        <f>IFERROR(__xludf.DUMMYFUNCTION("""COMPUTED_VALUE"""),"")</f>
        <v/>
      </c>
      <c r="I1078" s="4" t="str">
        <f>IFERROR(__xludf.DUMMYFUNCTION("""COMPUTED_VALUE"""),"")</f>
        <v/>
      </c>
    </row>
    <row r="1079">
      <c r="A1079" s="4" t="str">
        <f>IFERROR(__xludf.DUMMYFUNCTION("""COMPUTED_VALUE"""),"")</f>
        <v/>
      </c>
      <c r="B1079" s="4" t="str">
        <f>IFERROR(__xludf.DUMMYFUNCTION("""COMPUTED_VALUE"""),"")</f>
        <v/>
      </c>
      <c r="C1079" s="4" t="str">
        <f>IFERROR(__xludf.DUMMYFUNCTION("""COMPUTED_VALUE"""),"")</f>
        <v/>
      </c>
      <c r="D1079" s="4" t="str">
        <f>IFERROR(__xludf.DUMMYFUNCTION("""COMPUTED_VALUE"""),"")</f>
        <v/>
      </c>
      <c r="E1079" s="4" t="str">
        <f>IFERROR(__xludf.DUMMYFUNCTION("""COMPUTED_VALUE"""),"")</f>
        <v/>
      </c>
      <c r="F1079" s="4" t="str">
        <f>IFERROR(__xludf.DUMMYFUNCTION("""COMPUTED_VALUE"""),"")</f>
        <v/>
      </c>
      <c r="G1079" s="4" t="str">
        <f>IFERROR(__xludf.DUMMYFUNCTION("""COMPUTED_VALUE"""),"")</f>
        <v/>
      </c>
      <c r="H1079" s="4" t="str">
        <f>IFERROR(__xludf.DUMMYFUNCTION("""COMPUTED_VALUE"""),"")</f>
        <v/>
      </c>
      <c r="I1079" s="4" t="str">
        <f>IFERROR(__xludf.DUMMYFUNCTION("""COMPUTED_VALUE"""),"")</f>
        <v/>
      </c>
    </row>
    <row r="1080">
      <c r="A1080" s="4" t="str">
        <f>IFERROR(__xludf.DUMMYFUNCTION("""COMPUTED_VALUE"""),"")</f>
        <v/>
      </c>
      <c r="B1080" s="4" t="str">
        <f>IFERROR(__xludf.DUMMYFUNCTION("""COMPUTED_VALUE"""),"")</f>
        <v/>
      </c>
      <c r="C1080" s="4" t="str">
        <f>IFERROR(__xludf.DUMMYFUNCTION("""COMPUTED_VALUE"""),"")</f>
        <v/>
      </c>
      <c r="D1080" s="4" t="str">
        <f>IFERROR(__xludf.DUMMYFUNCTION("""COMPUTED_VALUE"""),"")</f>
        <v/>
      </c>
      <c r="E1080" s="4" t="str">
        <f>IFERROR(__xludf.DUMMYFUNCTION("""COMPUTED_VALUE"""),"")</f>
        <v/>
      </c>
      <c r="F1080" s="4" t="str">
        <f>IFERROR(__xludf.DUMMYFUNCTION("""COMPUTED_VALUE"""),"")</f>
        <v/>
      </c>
      <c r="G1080" s="4" t="str">
        <f>IFERROR(__xludf.DUMMYFUNCTION("""COMPUTED_VALUE"""),"")</f>
        <v/>
      </c>
      <c r="H1080" s="4" t="str">
        <f>IFERROR(__xludf.DUMMYFUNCTION("""COMPUTED_VALUE"""),"")</f>
        <v/>
      </c>
      <c r="I1080" s="4" t="str">
        <f>IFERROR(__xludf.DUMMYFUNCTION("""COMPUTED_VALUE"""),"")</f>
        <v/>
      </c>
    </row>
    <row r="1081">
      <c r="A1081" s="4" t="str">
        <f>IFERROR(__xludf.DUMMYFUNCTION("""COMPUTED_VALUE"""),"")</f>
        <v/>
      </c>
      <c r="B1081" s="4" t="str">
        <f>IFERROR(__xludf.DUMMYFUNCTION("""COMPUTED_VALUE"""),"")</f>
        <v/>
      </c>
      <c r="C1081" s="4" t="str">
        <f>IFERROR(__xludf.DUMMYFUNCTION("""COMPUTED_VALUE"""),"")</f>
        <v/>
      </c>
      <c r="D1081" s="4" t="str">
        <f>IFERROR(__xludf.DUMMYFUNCTION("""COMPUTED_VALUE"""),"")</f>
        <v/>
      </c>
      <c r="E1081" s="4" t="str">
        <f>IFERROR(__xludf.DUMMYFUNCTION("""COMPUTED_VALUE"""),"")</f>
        <v/>
      </c>
      <c r="F1081" s="4" t="str">
        <f>IFERROR(__xludf.DUMMYFUNCTION("""COMPUTED_VALUE"""),"")</f>
        <v/>
      </c>
      <c r="G1081" s="4" t="str">
        <f>IFERROR(__xludf.DUMMYFUNCTION("""COMPUTED_VALUE"""),"")</f>
        <v/>
      </c>
      <c r="H1081" s="4" t="str">
        <f>IFERROR(__xludf.DUMMYFUNCTION("""COMPUTED_VALUE"""),"")</f>
        <v/>
      </c>
      <c r="I1081" s="4" t="str">
        <f>IFERROR(__xludf.DUMMYFUNCTION("""COMPUTED_VALUE"""),"")</f>
        <v/>
      </c>
    </row>
    <row r="1082">
      <c r="A1082" s="4" t="str">
        <f>IFERROR(__xludf.DUMMYFUNCTION("""COMPUTED_VALUE"""),"")</f>
        <v/>
      </c>
      <c r="B1082" s="4" t="str">
        <f>IFERROR(__xludf.DUMMYFUNCTION("""COMPUTED_VALUE"""),"")</f>
        <v/>
      </c>
      <c r="C1082" s="4" t="str">
        <f>IFERROR(__xludf.DUMMYFUNCTION("""COMPUTED_VALUE"""),"")</f>
        <v/>
      </c>
      <c r="D1082" s="4" t="str">
        <f>IFERROR(__xludf.DUMMYFUNCTION("""COMPUTED_VALUE"""),"")</f>
        <v/>
      </c>
      <c r="E1082" s="4" t="str">
        <f>IFERROR(__xludf.DUMMYFUNCTION("""COMPUTED_VALUE"""),"")</f>
        <v/>
      </c>
      <c r="F1082" s="4" t="str">
        <f>IFERROR(__xludf.DUMMYFUNCTION("""COMPUTED_VALUE"""),"")</f>
        <v/>
      </c>
      <c r="G1082" s="4" t="str">
        <f>IFERROR(__xludf.DUMMYFUNCTION("""COMPUTED_VALUE"""),"")</f>
        <v/>
      </c>
      <c r="H1082" s="4" t="str">
        <f>IFERROR(__xludf.DUMMYFUNCTION("""COMPUTED_VALUE"""),"")</f>
        <v/>
      </c>
      <c r="I1082" s="4" t="str">
        <f>IFERROR(__xludf.DUMMYFUNCTION("""COMPUTED_VALUE"""),"")</f>
        <v/>
      </c>
    </row>
    <row r="1083">
      <c r="A1083" s="4" t="str">
        <f>IFERROR(__xludf.DUMMYFUNCTION("""COMPUTED_VALUE"""),"")</f>
        <v/>
      </c>
      <c r="B1083" s="4" t="str">
        <f>IFERROR(__xludf.DUMMYFUNCTION("""COMPUTED_VALUE"""),"")</f>
        <v/>
      </c>
      <c r="C1083" s="4" t="str">
        <f>IFERROR(__xludf.DUMMYFUNCTION("""COMPUTED_VALUE"""),"")</f>
        <v/>
      </c>
      <c r="D1083" s="4" t="str">
        <f>IFERROR(__xludf.DUMMYFUNCTION("""COMPUTED_VALUE"""),"")</f>
        <v/>
      </c>
      <c r="E1083" s="4" t="str">
        <f>IFERROR(__xludf.DUMMYFUNCTION("""COMPUTED_VALUE"""),"")</f>
        <v/>
      </c>
      <c r="F1083" s="4" t="str">
        <f>IFERROR(__xludf.DUMMYFUNCTION("""COMPUTED_VALUE"""),"")</f>
        <v/>
      </c>
      <c r="G1083" s="4" t="str">
        <f>IFERROR(__xludf.DUMMYFUNCTION("""COMPUTED_VALUE"""),"")</f>
        <v/>
      </c>
      <c r="H1083" s="4" t="str">
        <f>IFERROR(__xludf.DUMMYFUNCTION("""COMPUTED_VALUE"""),"")</f>
        <v/>
      </c>
      <c r="I1083" s="4" t="str">
        <f>IFERROR(__xludf.DUMMYFUNCTION("""COMPUTED_VALUE"""),"")</f>
        <v/>
      </c>
    </row>
    <row r="1084">
      <c r="A1084" s="4" t="str">
        <f>IFERROR(__xludf.DUMMYFUNCTION("""COMPUTED_VALUE"""),"")</f>
        <v/>
      </c>
      <c r="B1084" s="4" t="str">
        <f>IFERROR(__xludf.DUMMYFUNCTION("""COMPUTED_VALUE"""),"")</f>
        <v/>
      </c>
      <c r="C1084" s="4" t="str">
        <f>IFERROR(__xludf.DUMMYFUNCTION("""COMPUTED_VALUE"""),"")</f>
        <v/>
      </c>
      <c r="D1084" s="4" t="str">
        <f>IFERROR(__xludf.DUMMYFUNCTION("""COMPUTED_VALUE"""),"")</f>
        <v/>
      </c>
      <c r="E1084" s="4" t="str">
        <f>IFERROR(__xludf.DUMMYFUNCTION("""COMPUTED_VALUE"""),"")</f>
        <v/>
      </c>
      <c r="F1084" s="4" t="str">
        <f>IFERROR(__xludf.DUMMYFUNCTION("""COMPUTED_VALUE"""),"")</f>
        <v/>
      </c>
      <c r="G1084" s="4" t="str">
        <f>IFERROR(__xludf.DUMMYFUNCTION("""COMPUTED_VALUE"""),"")</f>
        <v/>
      </c>
      <c r="H1084" s="4" t="str">
        <f>IFERROR(__xludf.DUMMYFUNCTION("""COMPUTED_VALUE"""),"")</f>
        <v/>
      </c>
      <c r="I1084" s="4" t="str">
        <f>IFERROR(__xludf.DUMMYFUNCTION("""COMPUTED_VALUE"""),"")</f>
        <v/>
      </c>
    </row>
    <row r="1085">
      <c r="A1085" s="4" t="str">
        <f>IFERROR(__xludf.DUMMYFUNCTION("""COMPUTED_VALUE"""),"")</f>
        <v/>
      </c>
      <c r="B1085" s="4" t="str">
        <f>IFERROR(__xludf.DUMMYFUNCTION("""COMPUTED_VALUE"""),"")</f>
        <v/>
      </c>
      <c r="C1085" s="4" t="str">
        <f>IFERROR(__xludf.DUMMYFUNCTION("""COMPUTED_VALUE"""),"")</f>
        <v/>
      </c>
      <c r="D1085" s="4" t="str">
        <f>IFERROR(__xludf.DUMMYFUNCTION("""COMPUTED_VALUE"""),"")</f>
        <v/>
      </c>
      <c r="E1085" s="4" t="str">
        <f>IFERROR(__xludf.DUMMYFUNCTION("""COMPUTED_VALUE"""),"")</f>
        <v/>
      </c>
      <c r="F1085" s="4" t="str">
        <f>IFERROR(__xludf.DUMMYFUNCTION("""COMPUTED_VALUE"""),"")</f>
        <v/>
      </c>
      <c r="G1085" s="4" t="str">
        <f>IFERROR(__xludf.DUMMYFUNCTION("""COMPUTED_VALUE"""),"")</f>
        <v/>
      </c>
      <c r="H1085" s="4" t="str">
        <f>IFERROR(__xludf.DUMMYFUNCTION("""COMPUTED_VALUE"""),"")</f>
        <v/>
      </c>
      <c r="I1085" s="4" t="str">
        <f>IFERROR(__xludf.DUMMYFUNCTION("""COMPUTED_VALUE"""),"")</f>
        <v/>
      </c>
    </row>
    <row r="1086">
      <c r="A1086" s="4" t="str">
        <f>IFERROR(__xludf.DUMMYFUNCTION("""COMPUTED_VALUE"""),"")</f>
        <v/>
      </c>
      <c r="B1086" s="4" t="str">
        <f>IFERROR(__xludf.DUMMYFUNCTION("""COMPUTED_VALUE"""),"")</f>
        <v/>
      </c>
      <c r="C1086" s="4" t="str">
        <f>IFERROR(__xludf.DUMMYFUNCTION("""COMPUTED_VALUE"""),"")</f>
        <v/>
      </c>
      <c r="D1086" s="4" t="str">
        <f>IFERROR(__xludf.DUMMYFUNCTION("""COMPUTED_VALUE"""),"")</f>
        <v/>
      </c>
      <c r="E1086" s="4" t="str">
        <f>IFERROR(__xludf.DUMMYFUNCTION("""COMPUTED_VALUE"""),"")</f>
        <v/>
      </c>
      <c r="F1086" s="4" t="str">
        <f>IFERROR(__xludf.DUMMYFUNCTION("""COMPUTED_VALUE"""),"")</f>
        <v/>
      </c>
      <c r="G1086" s="4" t="str">
        <f>IFERROR(__xludf.DUMMYFUNCTION("""COMPUTED_VALUE"""),"")</f>
        <v/>
      </c>
      <c r="H1086" s="4" t="str">
        <f>IFERROR(__xludf.DUMMYFUNCTION("""COMPUTED_VALUE"""),"")</f>
        <v/>
      </c>
      <c r="I1086" s="4" t="str">
        <f>IFERROR(__xludf.DUMMYFUNCTION("""COMPUTED_VALUE"""),"")</f>
        <v/>
      </c>
    </row>
    <row r="1087">
      <c r="A1087" s="4" t="str">
        <f>IFERROR(__xludf.DUMMYFUNCTION("""COMPUTED_VALUE"""),"")</f>
        <v/>
      </c>
      <c r="B1087" s="4" t="str">
        <f>IFERROR(__xludf.DUMMYFUNCTION("""COMPUTED_VALUE"""),"")</f>
        <v/>
      </c>
      <c r="C1087" s="4" t="str">
        <f>IFERROR(__xludf.DUMMYFUNCTION("""COMPUTED_VALUE"""),"")</f>
        <v/>
      </c>
      <c r="D1087" s="4" t="str">
        <f>IFERROR(__xludf.DUMMYFUNCTION("""COMPUTED_VALUE"""),"")</f>
        <v/>
      </c>
      <c r="E1087" s="4" t="str">
        <f>IFERROR(__xludf.DUMMYFUNCTION("""COMPUTED_VALUE"""),"")</f>
        <v/>
      </c>
      <c r="F1087" s="4" t="str">
        <f>IFERROR(__xludf.DUMMYFUNCTION("""COMPUTED_VALUE"""),"")</f>
        <v/>
      </c>
      <c r="G1087" s="4" t="str">
        <f>IFERROR(__xludf.DUMMYFUNCTION("""COMPUTED_VALUE"""),"")</f>
        <v/>
      </c>
      <c r="H1087" s="4" t="str">
        <f>IFERROR(__xludf.DUMMYFUNCTION("""COMPUTED_VALUE"""),"")</f>
        <v/>
      </c>
      <c r="I1087" s="4" t="str">
        <f>IFERROR(__xludf.DUMMYFUNCTION("""COMPUTED_VALUE"""),"")</f>
        <v/>
      </c>
    </row>
    <row r="1088">
      <c r="A1088" s="4" t="str">
        <f>IFERROR(__xludf.DUMMYFUNCTION("""COMPUTED_VALUE"""),"")</f>
        <v/>
      </c>
      <c r="B1088" s="4" t="str">
        <f>IFERROR(__xludf.DUMMYFUNCTION("""COMPUTED_VALUE"""),"")</f>
        <v/>
      </c>
      <c r="C1088" s="4" t="str">
        <f>IFERROR(__xludf.DUMMYFUNCTION("""COMPUTED_VALUE"""),"")</f>
        <v/>
      </c>
      <c r="D1088" s="4" t="str">
        <f>IFERROR(__xludf.DUMMYFUNCTION("""COMPUTED_VALUE"""),"")</f>
        <v/>
      </c>
      <c r="E1088" s="4" t="str">
        <f>IFERROR(__xludf.DUMMYFUNCTION("""COMPUTED_VALUE"""),"")</f>
        <v/>
      </c>
      <c r="F1088" s="4" t="str">
        <f>IFERROR(__xludf.DUMMYFUNCTION("""COMPUTED_VALUE"""),"")</f>
        <v/>
      </c>
      <c r="G1088" s="4" t="str">
        <f>IFERROR(__xludf.DUMMYFUNCTION("""COMPUTED_VALUE"""),"")</f>
        <v/>
      </c>
      <c r="H1088" s="4" t="str">
        <f>IFERROR(__xludf.DUMMYFUNCTION("""COMPUTED_VALUE"""),"")</f>
        <v/>
      </c>
      <c r="I1088" s="4" t="str">
        <f>IFERROR(__xludf.DUMMYFUNCTION("""COMPUTED_VALUE"""),"")</f>
        <v/>
      </c>
    </row>
    <row r="1089">
      <c r="A1089" s="4" t="str">
        <f>IFERROR(__xludf.DUMMYFUNCTION("""COMPUTED_VALUE"""),"")</f>
        <v/>
      </c>
      <c r="B1089" s="4" t="str">
        <f>IFERROR(__xludf.DUMMYFUNCTION("""COMPUTED_VALUE"""),"")</f>
        <v/>
      </c>
      <c r="C1089" s="4" t="str">
        <f>IFERROR(__xludf.DUMMYFUNCTION("""COMPUTED_VALUE"""),"")</f>
        <v/>
      </c>
      <c r="D1089" s="4" t="str">
        <f>IFERROR(__xludf.DUMMYFUNCTION("""COMPUTED_VALUE"""),"")</f>
        <v/>
      </c>
      <c r="E1089" s="4" t="str">
        <f>IFERROR(__xludf.DUMMYFUNCTION("""COMPUTED_VALUE"""),"")</f>
        <v/>
      </c>
      <c r="F1089" s="4" t="str">
        <f>IFERROR(__xludf.DUMMYFUNCTION("""COMPUTED_VALUE"""),"")</f>
        <v/>
      </c>
      <c r="G1089" s="4" t="str">
        <f>IFERROR(__xludf.DUMMYFUNCTION("""COMPUTED_VALUE"""),"")</f>
        <v/>
      </c>
      <c r="H1089" s="4" t="str">
        <f>IFERROR(__xludf.DUMMYFUNCTION("""COMPUTED_VALUE"""),"")</f>
        <v/>
      </c>
      <c r="I1089" s="4" t="str">
        <f>IFERROR(__xludf.DUMMYFUNCTION("""COMPUTED_VALUE"""),"")</f>
        <v/>
      </c>
    </row>
    <row r="1090">
      <c r="A1090" s="4" t="str">
        <f>IFERROR(__xludf.DUMMYFUNCTION("""COMPUTED_VALUE"""),"")</f>
        <v/>
      </c>
      <c r="B1090" s="4" t="str">
        <f>IFERROR(__xludf.DUMMYFUNCTION("""COMPUTED_VALUE"""),"")</f>
        <v/>
      </c>
      <c r="C1090" s="4" t="str">
        <f>IFERROR(__xludf.DUMMYFUNCTION("""COMPUTED_VALUE"""),"")</f>
        <v/>
      </c>
      <c r="D1090" s="4" t="str">
        <f>IFERROR(__xludf.DUMMYFUNCTION("""COMPUTED_VALUE"""),"")</f>
        <v/>
      </c>
      <c r="E1090" s="4" t="str">
        <f>IFERROR(__xludf.DUMMYFUNCTION("""COMPUTED_VALUE"""),"")</f>
        <v/>
      </c>
      <c r="F1090" s="4" t="str">
        <f>IFERROR(__xludf.DUMMYFUNCTION("""COMPUTED_VALUE"""),"")</f>
        <v/>
      </c>
      <c r="G1090" s="4" t="str">
        <f>IFERROR(__xludf.DUMMYFUNCTION("""COMPUTED_VALUE"""),"")</f>
        <v/>
      </c>
      <c r="H1090" s="4" t="str">
        <f>IFERROR(__xludf.DUMMYFUNCTION("""COMPUTED_VALUE"""),"")</f>
        <v/>
      </c>
      <c r="I1090" s="4" t="str">
        <f>IFERROR(__xludf.DUMMYFUNCTION("""COMPUTED_VALUE"""),"")</f>
        <v/>
      </c>
    </row>
    <row r="1091">
      <c r="A1091" s="4" t="str">
        <f>IFERROR(__xludf.DUMMYFUNCTION("""COMPUTED_VALUE"""),"")</f>
        <v/>
      </c>
      <c r="B1091" s="4" t="str">
        <f>IFERROR(__xludf.DUMMYFUNCTION("""COMPUTED_VALUE"""),"")</f>
        <v/>
      </c>
      <c r="C1091" s="4" t="str">
        <f>IFERROR(__xludf.DUMMYFUNCTION("""COMPUTED_VALUE"""),"")</f>
        <v/>
      </c>
      <c r="D1091" s="4" t="str">
        <f>IFERROR(__xludf.DUMMYFUNCTION("""COMPUTED_VALUE"""),"")</f>
        <v/>
      </c>
      <c r="E1091" s="4" t="str">
        <f>IFERROR(__xludf.DUMMYFUNCTION("""COMPUTED_VALUE"""),"")</f>
        <v/>
      </c>
      <c r="F1091" s="4" t="str">
        <f>IFERROR(__xludf.DUMMYFUNCTION("""COMPUTED_VALUE"""),"")</f>
        <v/>
      </c>
      <c r="G1091" s="4" t="str">
        <f>IFERROR(__xludf.DUMMYFUNCTION("""COMPUTED_VALUE"""),"")</f>
        <v/>
      </c>
      <c r="H1091" s="4" t="str">
        <f>IFERROR(__xludf.DUMMYFUNCTION("""COMPUTED_VALUE"""),"")</f>
        <v/>
      </c>
      <c r="I1091" s="4" t="str">
        <f>IFERROR(__xludf.DUMMYFUNCTION("""COMPUTED_VALUE"""),"")</f>
        <v/>
      </c>
    </row>
    <row r="1092">
      <c r="A1092" s="4" t="str">
        <f>IFERROR(__xludf.DUMMYFUNCTION("""COMPUTED_VALUE"""),"")</f>
        <v/>
      </c>
      <c r="B1092" s="4" t="str">
        <f>IFERROR(__xludf.DUMMYFUNCTION("""COMPUTED_VALUE"""),"")</f>
        <v/>
      </c>
      <c r="C1092" s="4" t="str">
        <f>IFERROR(__xludf.DUMMYFUNCTION("""COMPUTED_VALUE"""),"")</f>
        <v/>
      </c>
      <c r="D1092" s="4" t="str">
        <f>IFERROR(__xludf.DUMMYFUNCTION("""COMPUTED_VALUE"""),"")</f>
        <v/>
      </c>
      <c r="E1092" s="4" t="str">
        <f>IFERROR(__xludf.DUMMYFUNCTION("""COMPUTED_VALUE"""),"")</f>
        <v/>
      </c>
      <c r="F1092" s="4" t="str">
        <f>IFERROR(__xludf.DUMMYFUNCTION("""COMPUTED_VALUE"""),"")</f>
        <v/>
      </c>
      <c r="G1092" s="4" t="str">
        <f>IFERROR(__xludf.DUMMYFUNCTION("""COMPUTED_VALUE"""),"")</f>
        <v/>
      </c>
      <c r="H1092" s="4" t="str">
        <f>IFERROR(__xludf.DUMMYFUNCTION("""COMPUTED_VALUE"""),"")</f>
        <v/>
      </c>
      <c r="I1092" s="4" t="str">
        <f>IFERROR(__xludf.DUMMYFUNCTION("""COMPUTED_VALUE"""),"")</f>
        <v/>
      </c>
    </row>
    <row r="1093">
      <c r="A1093" s="4" t="str">
        <f>IFERROR(__xludf.DUMMYFUNCTION("""COMPUTED_VALUE"""),"")</f>
        <v/>
      </c>
      <c r="B1093" s="4" t="str">
        <f>IFERROR(__xludf.DUMMYFUNCTION("""COMPUTED_VALUE"""),"")</f>
        <v/>
      </c>
      <c r="C1093" s="4" t="str">
        <f>IFERROR(__xludf.DUMMYFUNCTION("""COMPUTED_VALUE"""),"")</f>
        <v/>
      </c>
      <c r="D1093" s="4" t="str">
        <f>IFERROR(__xludf.DUMMYFUNCTION("""COMPUTED_VALUE"""),"")</f>
        <v/>
      </c>
      <c r="E1093" s="4" t="str">
        <f>IFERROR(__xludf.DUMMYFUNCTION("""COMPUTED_VALUE"""),"")</f>
        <v/>
      </c>
      <c r="F1093" s="4" t="str">
        <f>IFERROR(__xludf.DUMMYFUNCTION("""COMPUTED_VALUE"""),"")</f>
        <v/>
      </c>
      <c r="G1093" s="4" t="str">
        <f>IFERROR(__xludf.DUMMYFUNCTION("""COMPUTED_VALUE"""),"")</f>
        <v/>
      </c>
      <c r="H1093" s="4" t="str">
        <f>IFERROR(__xludf.DUMMYFUNCTION("""COMPUTED_VALUE"""),"")</f>
        <v/>
      </c>
      <c r="I1093" s="4" t="str">
        <f>IFERROR(__xludf.DUMMYFUNCTION("""COMPUTED_VALUE"""),"")</f>
        <v/>
      </c>
    </row>
    <row r="1094">
      <c r="A1094" s="4" t="str">
        <f>IFERROR(__xludf.DUMMYFUNCTION("""COMPUTED_VALUE"""),"")</f>
        <v/>
      </c>
      <c r="B1094" s="4" t="str">
        <f>IFERROR(__xludf.DUMMYFUNCTION("""COMPUTED_VALUE"""),"")</f>
        <v/>
      </c>
      <c r="C1094" s="4" t="str">
        <f>IFERROR(__xludf.DUMMYFUNCTION("""COMPUTED_VALUE"""),"")</f>
        <v/>
      </c>
      <c r="D1094" s="4" t="str">
        <f>IFERROR(__xludf.DUMMYFUNCTION("""COMPUTED_VALUE"""),"")</f>
        <v/>
      </c>
      <c r="E1094" s="4" t="str">
        <f>IFERROR(__xludf.DUMMYFUNCTION("""COMPUTED_VALUE"""),"")</f>
        <v/>
      </c>
      <c r="F1094" s="4" t="str">
        <f>IFERROR(__xludf.DUMMYFUNCTION("""COMPUTED_VALUE"""),"")</f>
        <v/>
      </c>
      <c r="G1094" s="4" t="str">
        <f>IFERROR(__xludf.DUMMYFUNCTION("""COMPUTED_VALUE"""),"")</f>
        <v/>
      </c>
      <c r="H1094" s="4" t="str">
        <f>IFERROR(__xludf.DUMMYFUNCTION("""COMPUTED_VALUE"""),"")</f>
        <v/>
      </c>
      <c r="I1094" s="4" t="str">
        <f>IFERROR(__xludf.DUMMYFUNCTION("""COMPUTED_VALUE"""),"")</f>
        <v/>
      </c>
    </row>
    <row r="1095">
      <c r="A1095" s="4" t="str">
        <f>IFERROR(__xludf.DUMMYFUNCTION("""COMPUTED_VALUE"""),"")</f>
        <v/>
      </c>
      <c r="B1095" s="4" t="str">
        <f>IFERROR(__xludf.DUMMYFUNCTION("""COMPUTED_VALUE"""),"")</f>
        <v/>
      </c>
      <c r="C1095" s="4" t="str">
        <f>IFERROR(__xludf.DUMMYFUNCTION("""COMPUTED_VALUE"""),"")</f>
        <v/>
      </c>
      <c r="D1095" s="4" t="str">
        <f>IFERROR(__xludf.DUMMYFUNCTION("""COMPUTED_VALUE"""),"")</f>
        <v/>
      </c>
      <c r="E1095" s="4" t="str">
        <f>IFERROR(__xludf.DUMMYFUNCTION("""COMPUTED_VALUE"""),"")</f>
        <v/>
      </c>
      <c r="F1095" s="4" t="str">
        <f>IFERROR(__xludf.DUMMYFUNCTION("""COMPUTED_VALUE"""),"")</f>
        <v/>
      </c>
      <c r="G1095" s="4" t="str">
        <f>IFERROR(__xludf.DUMMYFUNCTION("""COMPUTED_VALUE"""),"")</f>
        <v/>
      </c>
      <c r="H1095" s="4" t="str">
        <f>IFERROR(__xludf.DUMMYFUNCTION("""COMPUTED_VALUE"""),"")</f>
        <v/>
      </c>
      <c r="I1095" s="4" t="str">
        <f>IFERROR(__xludf.DUMMYFUNCTION("""COMPUTED_VALUE"""),"")</f>
        <v/>
      </c>
    </row>
    <row r="1096">
      <c r="A1096" s="4" t="str">
        <f>IFERROR(__xludf.DUMMYFUNCTION("""COMPUTED_VALUE"""),"")</f>
        <v/>
      </c>
      <c r="B1096" s="4" t="str">
        <f>IFERROR(__xludf.DUMMYFUNCTION("""COMPUTED_VALUE"""),"")</f>
        <v/>
      </c>
      <c r="C1096" s="4" t="str">
        <f>IFERROR(__xludf.DUMMYFUNCTION("""COMPUTED_VALUE"""),"")</f>
        <v/>
      </c>
      <c r="D1096" s="4" t="str">
        <f>IFERROR(__xludf.DUMMYFUNCTION("""COMPUTED_VALUE"""),"")</f>
        <v/>
      </c>
      <c r="E1096" s="4" t="str">
        <f>IFERROR(__xludf.DUMMYFUNCTION("""COMPUTED_VALUE"""),"")</f>
        <v/>
      </c>
      <c r="F1096" s="4" t="str">
        <f>IFERROR(__xludf.DUMMYFUNCTION("""COMPUTED_VALUE"""),"")</f>
        <v/>
      </c>
      <c r="G1096" s="4" t="str">
        <f>IFERROR(__xludf.DUMMYFUNCTION("""COMPUTED_VALUE"""),"")</f>
        <v/>
      </c>
      <c r="H1096" s="4" t="str">
        <f>IFERROR(__xludf.DUMMYFUNCTION("""COMPUTED_VALUE"""),"")</f>
        <v/>
      </c>
      <c r="I1096" s="4" t="str">
        <f>IFERROR(__xludf.DUMMYFUNCTION("""COMPUTED_VALUE"""),"")</f>
        <v/>
      </c>
    </row>
    <row r="1097">
      <c r="A1097" s="4" t="str">
        <f>IFERROR(__xludf.DUMMYFUNCTION("""COMPUTED_VALUE"""),"")</f>
        <v/>
      </c>
      <c r="B1097" s="4" t="str">
        <f>IFERROR(__xludf.DUMMYFUNCTION("""COMPUTED_VALUE"""),"")</f>
        <v/>
      </c>
      <c r="C1097" s="4" t="str">
        <f>IFERROR(__xludf.DUMMYFUNCTION("""COMPUTED_VALUE"""),"")</f>
        <v/>
      </c>
      <c r="D1097" s="4" t="str">
        <f>IFERROR(__xludf.DUMMYFUNCTION("""COMPUTED_VALUE"""),"")</f>
        <v/>
      </c>
      <c r="E1097" s="4" t="str">
        <f>IFERROR(__xludf.DUMMYFUNCTION("""COMPUTED_VALUE"""),"")</f>
        <v/>
      </c>
      <c r="F1097" s="4" t="str">
        <f>IFERROR(__xludf.DUMMYFUNCTION("""COMPUTED_VALUE"""),"")</f>
        <v/>
      </c>
      <c r="G1097" s="4" t="str">
        <f>IFERROR(__xludf.DUMMYFUNCTION("""COMPUTED_VALUE"""),"")</f>
        <v/>
      </c>
      <c r="H1097" s="4" t="str">
        <f>IFERROR(__xludf.DUMMYFUNCTION("""COMPUTED_VALUE"""),"")</f>
        <v/>
      </c>
      <c r="I1097" s="4" t="str">
        <f>IFERROR(__xludf.DUMMYFUNCTION("""COMPUTED_VALUE"""),"")</f>
        <v/>
      </c>
    </row>
    <row r="1098">
      <c r="A1098" s="4" t="str">
        <f>IFERROR(__xludf.DUMMYFUNCTION("""COMPUTED_VALUE"""),"")</f>
        <v/>
      </c>
      <c r="B1098" s="4" t="str">
        <f>IFERROR(__xludf.DUMMYFUNCTION("""COMPUTED_VALUE"""),"")</f>
        <v/>
      </c>
      <c r="C1098" s="4" t="str">
        <f>IFERROR(__xludf.DUMMYFUNCTION("""COMPUTED_VALUE"""),"")</f>
        <v/>
      </c>
      <c r="D1098" s="4" t="str">
        <f>IFERROR(__xludf.DUMMYFUNCTION("""COMPUTED_VALUE"""),"")</f>
        <v/>
      </c>
      <c r="E1098" s="4" t="str">
        <f>IFERROR(__xludf.DUMMYFUNCTION("""COMPUTED_VALUE"""),"")</f>
        <v/>
      </c>
      <c r="F1098" s="4" t="str">
        <f>IFERROR(__xludf.DUMMYFUNCTION("""COMPUTED_VALUE"""),"")</f>
        <v/>
      </c>
      <c r="G1098" s="4" t="str">
        <f>IFERROR(__xludf.DUMMYFUNCTION("""COMPUTED_VALUE"""),"")</f>
        <v/>
      </c>
      <c r="H1098" s="4" t="str">
        <f>IFERROR(__xludf.DUMMYFUNCTION("""COMPUTED_VALUE"""),"")</f>
        <v/>
      </c>
      <c r="I1098" s="4" t="str">
        <f>IFERROR(__xludf.DUMMYFUNCTION("""COMPUTED_VALUE"""),"")</f>
        <v/>
      </c>
    </row>
    <row r="1099">
      <c r="A1099" s="4" t="str">
        <f>IFERROR(__xludf.DUMMYFUNCTION("""COMPUTED_VALUE"""),"")</f>
        <v/>
      </c>
      <c r="B1099" s="4" t="str">
        <f>IFERROR(__xludf.DUMMYFUNCTION("""COMPUTED_VALUE"""),"")</f>
        <v/>
      </c>
      <c r="C1099" s="4" t="str">
        <f>IFERROR(__xludf.DUMMYFUNCTION("""COMPUTED_VALUE"""),"")</f>
        <v/>
      </c>
      <c r="D1099" s="4" t="str">
        <f>IFERROR(__xludf.DUMMYFUNCTION("""COMPUTED_VALUE"""),"")</f>
        <v/>
      </c>
      <c r="E1099" s="4" t="str">
        <f>IFERROR(__xludf.DUMMYFUNCTION("""COMPUTED_VALUE"""),"")</f>
        <v/>
      </c>
      <c r="F1099" s="4" t="str">
        <f>IFERROR(__xludf.DUMMYFUNCTION("""COMPUTED_VALUE"""),"")</f>
        <v/>
      </c>
      <c r="G1099" s="4" t="str">
        <f>IFERROR(__xludf.DUMMYFUNCTION("""COMPUTED_VALUE"""),"")</f>
        <v/>
      </c>
      <c r="H1099" s="4" t="str">
        <f>IFERROR(__xludf.DUMMYFUNCTION("""COMPUTED_VALUE"""),"")</f>
        <v/>
      </c>
      <c r="I1099" s="4" t="str">
        <f>IFERROR(__xludf.DUMMYFUNCTION("""COMPUTED_VALUE"""),"")</f>
        <v/>
      </c>
    </row>
    <row r="1100">
      <c r="A1100" s="4" t="str">
        <f>IFERROR(__xludf.DUMMYFUNCTION("""COMPUTED_VALUE"""),"")</f>
        <v/>
      </c>
      <c r="B1100" s="4" t="str">
        <f>IFERROR(__xludf.DUMMYFUNCTION("""COMPUTED_VALUE"""),"")</f>
        <v/>
      </c>
      <c r="C1100" s="4" t="str">
        <f>IFERROR(__xludf.DUMMYFUNCTION("""COMPUTED_VALUE"""),"")</f>
        <v/>
      </c>
      <c r="D1100" s="4" t="str">
        <f>IFERROR(__xludf.DUMMYFUNCTION("""COMPUTED_VALUE"""),"")</f>
        <v/>
      </c>
      <c r="E1100" s="4" t="str">
        <f>IFERROR(__xludf.DUMMYFUNCTION("""COMPUTED_VALUE"""),"")</f>
        <v/>
      </c>
      <c r="F1100" s="4" t="str">
        <f>IFERROR(__xludf.DUMMYFUNCTION("""COMPUTED_VALUE"""),"")</f>
        <v/>
      </c>
      <c r="G1100" s="4" t="str">
        <f>IFERROR(__xludf.DUMMYFUNCTION("""COMPUTED_VALUE"""),"")</f>
        <v/>
      </c>
      <c r="H1100" s="4" t="str">
        <f>IFERROR(__xludf.DUMMYFUNCTION("""COMPUTED_VALUE"""),"")</f>
        <v/>
      </c>
      <c r="I1100" s="4" t="str">
        <f>IFERROR(__xludf.DUMMYFUNCTION("""COMPUTED_VALUE"""),"")</f>
        <v/>
      </c>
    </row>
    <row r="1101">
      <c r="A1101" s="4" t="str">
        <f>IFERROR(__xludf.DUMMYFUNCTION("""COMPUTED_VALUE"""),"")</f>
        <v/>
      </c>
      <c r="B1101" s="4" t="str">
        <f>IFERROR(__xludf.DUMMYFUNCTION("""COMPUTED_VALUE"""),"")</f>
        <v/>
      </c>
      <c r="C1101" s="4" t="str">
        <f>IFERROR(__xludf.DUMMYFUNCTION("""COMPUTED_VALUE"""),"")</f>
        <v/>
      </c>
      <c r="D1101" s="4" t="str">
        <f>IFERROR(__xludf.DUMMYFUNCTION("""COMPUTED_VALUE"""),"")</f>
        <v/>
      </c>
      <c r="E1101" s="4" t="str">
        <f>IFERROR(__xludf.DUMMYFUNCTION("""COMPUTED_VALUE"""),"")</f>
        <v/>
      </c>
      <c r="F1101" s="4" t="str">
        <f>IFERROR(__xludf.DUMMYFUNCTION("""COMPUTED_VALUE"""),"")</f>
        <v/>
      </c>
      <c r="G1101" s="4" t="str">
        <f>IFERROR(__xludf.DUMMYFUNCTION("""COMPUTED_VALUE"""),"")</f>
        <v/>
      </c>
      <c r="H1101" s="4" t="str">
        <f>IFERROR(__xludf.DUMMYFUNCTION("""COMPUTED_VALUE"""),"")</f>
        <v/>
      </c>
      <c r="I1101" s="4" t="str">
        <f>IFERROR(__xludf.DUMMYFUNCTION("""COMPUTED_VALUE"""),"")</f>
        <v/>
      </c>
    </row>
    <row r="1102">
      <c r="A1102" s="4" t="str">
        <f>IFERROR(__xludf.DUMMYFUNCTION("""COMPUTED_VALUE"""),"")</f>
        <v/>
      </c>
      <c r="B1102" s="4" t="str">
        <f>IFERROR(__xludf.DUMMYFUNCTION("""COMPUTED_VALUE"""),"")</f>
        <v/>
      </c>
      <c r="C1102" s="4" t="str">
        <f>IFERROR(__xludf.DUMMYFUNCTION("""COMPUTED_VALUE"""),"")</f>
        <v/>
      </c>
      <c r="D1102" s="4" t="str">
        <f>IFERROR(__xludf.DUMMYFUNCTION("""COMPUTED_VALUE"""),"")</f>
        <v/>
      </c>
      <c r="E1102" s="4" t="str">
        <f>IFERROR(__xludf.DUMMYFUNCTION("""COMPUTED_VALUE"""),"")</f>
        <v/>
      </c>
      <c r="F1102" s="4" t="str">
        <f>IFERROR(__xludf.DUMMYFUNCTION("""COMPUTED_VALUE"""),"")</f>
        <v/>
      </c>
      <c r="G1102" s="4" t="str">
        <f>IFERROR(__xludf.DUMMYFUNCTION("""COMPUTED_VALUE"""),"")</f>
        <v/>
      </c>
      <c r="H1102" s="4" t="str">
        <f>IFERROR(__xludf.DUMMYFUNCTION("""COMPUTED_VALUE"""),"")</f>
        <v/>
      </c>
      <c r="I1102" s="4" t="str">
        <f>IFERROR(__xludf.DUMMYFUNCTION("""COMPUTED_VALUE"""),"")</f>
        <v/>
      </c>
    </row>
    <row r="1103">
      <c r="A1103" s="4" t="str">
        <f>IFERROR(__xludf.DUMMYFUNCTION("""COMPUTED_VALUE"""),"")</f>
        <v/>
      </c>
      <c r="B1103" s="4" t="str">
        <f>IFERROR(__xludf.DUMMYFUNCTION("""COMPUTED_VALUE"""),"")</f>
        <v/>
      </c>
      <c r="C1103" s="4" t="str">
        <f>IFERROR(__xludf.DUMMYFUNCTION("""COMPUTED_VALUE"""),"")</f>
        <v/>
      </c>
      <c r="D1103" s="4" t="str">
        <f>IFERROR(__xludf.DUMMYFUNCTION("""COMPUTED_VALUE"""),"")</f>
        <v/>
      </c>
      <c r="E1103" s="4" t="str">
        <f>IFERROR(__xludf.DUMMYFUNCTION("""COMPUTED_VALUE"""),"")</f>
        <v/>
      </c>
      <c r="F1103" s="4" t="str">
        <f>IFERROR(__xludf.DUMMYFUNCTION("""COMPUTED_VALUE"""),"")</f>
        <v/>
      </c>
      <c r="G1103" s="4" t="str">
        <f>IFERROR(__xludf.DUMMYFUNCTION("""COMPUTED_VALUE"""),"")</f>
        <v/>
      </c>
      <c r="H1103" s="4" t="str">
        <f>IFERROR(__xludf.DUMMYFUNCTION("""COMPUTED_VALUE"""),"")</f>
        <v/>
      </c>
      <c r="I1103" s="4" t="str">
        <f>IFERROR(__xludf.DUMMYFUNCTION("""COMPUTED_VALUE"""),"")</f>
        <v/>
      </c>
    </row>
    <row r="1104">
      <c r="A1104" s="4" t="str">
        <f>IFERROR(__xludf.DUMMYFUNCTION("""COMPUTED_VALUE"""),"")</f>
        <v/>
      </c>
      <c r="B1104" s="4" t="str">
        <f>IFERROR(__xludf.DUMMYFUNCTION("""COMPUTED_VALUE"""),"")</f>
        <v/>
      </c>
      <c r="C1104" s="4" t="str">
        <f>IFERROR(__xludf.DUMMYFUNCTION("""COMPUTED_VALUE"""),"")</f>
        <v/>
      </c>
      <c r="D1104" s="4" t="str">
        <f>IFERROR(__xludf.DUMMYFUNCTION("""COMPUTED_VALUE"""),"")</f>
        <v/>
      </c>
      <c r="E1104" s="4" t="str">
        <f>IFERROR(__xludf.DUMMYFUNCTION("""COMPUTED_VALUE"""),"")</f>
        <v/>
      </c>
      <c r="F1104" s="4" t="str">
        <f>IFERROR(__xludf.DUMMYFUNCTION("""COMPUTED_VALUE"""),"")</f>
        <v/>
      </c>
      <c r="G1104" s="4" t="str">
        <f>IFERROR(__xludf.DUMMYFUNCTION("""COMPUTED_VALUE"""),"")</f>
        <v/>
      </c>
      <c r="H1104" s="4" t="str">
        <f>IFERROR(__xludf.DUMMYFUNCTION("""COMPUTED_VALUE"""),"")</f>
        <v/>
      </c>
      <c r="I1104" s="4" t="str">
        <f>IFERROR(__xludf.DUMMYFUNCTION("""COMPUTED_VALUE"""),"")</f>
        <v/>
      </c>
    </row>
    <row r="1105">
      <c r="A1105" s="4" t="str">
        <f>IFERROR(__xludf.DUMMYFUNCTION("""COMPUTED_VALUE"""),"")</f>
        <v/>
      </c>
      <c r="B1105" s="4" t="str">
        <f>IFERROR(__xludf.DUMMYFUNCTION("""COMPUTED_VALUE"""),"")</f>
        <v/>
      </c>
      <c r="C1105" s="4" t="str">
        <f>IFERROR(__xludf.DUMMYFUNCTION("""COMPUTED_VALUE"""),"")</f>
        <v/>
      </c>
      <c r="D1105" s="4" t="str">
        <f>IFERROR(__xludf.DUMMYFUNCTION("""COMPUTED_VALUE"""),"")</f>
        <v/>
      </c>
      <c r="E1105" s="4" t="str">
        <f>IFERROR(__xludf.DUMMYFUNCTION("""COMPUTED_VALUE"""),"")</f>
        <v/>
      </c>
      <c r="F1105" s="4" t="str">
        <f>IFERROR(__xludf.DUMMYFUNCTION("""COMPUTED_VALUE"""),"")</f>
        <v/>
      </c>
      <c r="G1105" s="4" t="str">
        <f>IFERROR(__xludf.DUMMYFUNCTION("""COMPUTED_VALUE"""),"")</f>
        <v/>
      </c>
      <c r="H1105" s="4" t="str">
        <f>IFERROR(__xludf.DUMMYFUNCTION("""COMPUTED_VALUE"""),"")</f>
        <v/>
      </c>
      <c r="I1105" s="4" t="str">
        <f>IFERROR(__xludf.DUMMYFUNCTION("""COMPUTED_VALUE"""),"")</f>
        <v/>
      </c>
    </row>
    <row r="1106">
      <c r="A1106" s="4" t="str">
        <f>IFERROR(__xludf.DUMMYFUNCTION("""COMPUTED_VALUE"""),"")</f>
        <v/>
      </c>
      <c r="B1106" s="4" t="str">
        <f>IFERROR(__xludf.DUMMYFUNCTION("""COMPUTED_VALUE"""),"")</f>
        <v/>
      </c>
      <c r="C1106" s="4" t="str">
        <f>IFERROR(__xludf.DUMMYFUNCTION("""COMPUTED_VALUE"""),"")</f>
        <v/>
      </c>
      <c r="D1106" s="4" t="str">
        <f>IFERROR(__xludf.DUMMYFUNCTION("""COMPUTED_VALUE"""),"")</f>
        <v/>
      </c>
      <c r="E1106" s="4" t="str">
        <f>IFERROR(__xludf.DUMMYFUNCTION("""COMPUTED_VALUE"""),"")</f>
        <v/>
      </c>
      <c r="F1106" s="4" t="str">
        <f>IFERROR(__xludf.DUMMYFUNCTION("""COMPUTED_VALUE"""),"")</f>
        <v/>
      </c>
      <c r="G1106" s="4" t="str">
        <f>IFERROR(__xludf.DUMMYFUNCTION("""COMPUTED_VALUE"""),"")</f>
        <v/>
      </c>
      <c r="H1106" s="4" t="str">
        <f>IFERROR(__xludf.DUMMYFUNCTION("""COMPUTED_VALUE"""),"")</f>
        <v/>
      </c>
      <c r="I1106" s="4" t="str">
        <f>IFERROR(__xludf.DUMMYFUNCTION("""COMPUTED_VALUE"""),"")</f>
        <v/>
      </c>
    </row>
    <row r="1107">
      <c r="A1107" s="4" t="str">
        <f>IFERROR(__xludf.DUMMYFUNCTION("""COMPUTED_VALUE"""),"")</f>
        <v/>
      </c>
      <c r="B1107" s="4" t="str">
        <f>IFERROR(__xludf.DUMMYFUNCTION("""COMPUTED_VALUE"""),"")</f>
        <v/>
      </c>
      <c r="C1107" s="4" t="str">
        <f>IFERROR(__xludf.DUMMYFUNCTION("""COMPUTED_VALUE"""),"")</f>
        <v/>
      </c>
      <c r="D1107" s="4" t="str">
        <f>IFERROR(__xludf.DUMMYFUNCTION("""COMPUTED_VALUE"""),"")</f>
        <v/>
      </c>
      <c r="E1107" s="4" t="str">
        <f>IFERROR(__xludf.DUMMYFUNCTION("""COMPUTED_VALUE"""),"")</f>
        <v/>
      </c>
      <c r="F1107" s="4" t="str">
        <f>IFERROR(__xludf.DUMMYFUNCTION("""COMPUTED_VALUE"""),"")</f>
        <v/>
      </c>
      <c r="G1107" s="4" t="str">
        <f>IFERROR(__xludf.DUMMYFUNCTION("""COMPUTED_VALUE"""),"")</f>
        <v/>
      </c>
      <c r="H1107" s="4" t="str">
        <f>IFERROR(__xludf.DUMMYFUNCTION("""COMPUTED_VALUE"""),"")</f>
        <v/>
      </c>
      <c r="I1107" s="4" t="str">
        <f>IFERROR(__xludf.DUMMYFUNCTION("""COMPUTED_VALUE"""),"")</f>
        <v/>
      </c>
    </row>
    <row r="1108">
      <c r="A1108" s="4" t="str">
        <f>IFERROR(__xludf.DUMMYFUNCTION("""COMPUTED_VALUE"""),"")</f>
        <v/>
      </c>
      <c r="B1108" s="4" t="str">
        <f>IFERROR(__xludf.DUMMYFUNCTION("""COMPUTED_VALUE"""),"")</f>
        <v/>
      </c>
      <c r="C1108" s="4" t="str">
        <f>IFERROR(__xludf.DUMMYFUNCTION("""COMPUTED_VALUE"""),"")</f>
        <v/>
      </c>
      <c r="D1108" s="4" t="str">
        <f>IFERROR(__xludf.DUMMYFUNCTION("""COMPUTED_VALUE"""),"")</f>
        <v/>
      </c>
      <c r="E1108" s="4" t="str">
        <f>IFERROR(__xludf.DUMMYFUNCTION("""COMPUTED_VALUE"""),"")</f>
        <v/>
      </c>
      <c r="F1108" s="4" t="str">
        <f>IFERROR(__xludf.DUMMYFUNCTION("""COMPUTED_VALUE"""),"")</f>
        <v/>
      </c>
      <c r="G1108" s="4" t="str">
        <f>IFERROR(__xludf.DUMMYFUNCTION("""COMPUTED_VALUE"""),"")</f>
        <v/>
      </c>
      <c r="H1108" s="4" t="str">
        <f>IFERROR(__xludf.DUMMYFUNCTION("""COMPUTED_VALUE"""),"")</f>
        <v/>
      </c>
      <c r="I1108" s="4" t="str">
        <f>IFERROR(__xludf.DUMMYFUNCTION("""COMPUTED_VALUE"""),"")</f>
        <v/>
      </c>
    </row>
    <row r="1109">
      <c r="A1109" s="4" t="str">
        <f>IFERROR(__xludf.DUMMYFUNCTION("""COMPUTED_VALUE"""),"")</f>
        <v/>
      </c>
      <c r="B1109" s="4" t="str">
        <f>IFERROR(__xludf.DUMMYFUNCTION("""COMPUTED_VALUE"""),"")</f>
        <v/>
      </c>
      <c r="C1109" s="4" t="str">
        <f>IFERROR(__xludf.DUMMYFUNCTION("""COMPUTED_VALUE"""),"")</f>
        <v/>
      </c>
      <c r="D1109" s="4" t="str">
        <f>IFERROR(__xludf.DUMMYFUNCTION("""COMPUTED_VALUE"""),"")</f>
        <v/>
      </c>
      <c r="E1109" s="4" t="str">
        <f>IFERROR(__xludf.DUMMYFUNCTION("""COMPUTED_VALUE"""),"")</f>
        <v/>
      </c>
      <c r="F1109" s="4" t="str">
        <f>IFERROR(__xludf.DUMMYFUNCTION("""COMPUTED_VALUE"""),"")</f>
        <v/>
      </c>
      <c r="G1109" s="4" t="str">
        <f>IFERROR(__xludf.DUMMYFUNCTION("""COMPUTED_VALUE"""),"")</f>
        <v/>
      </c>
      <c r="H1109" s="4" t="str">
        <f>IFERROR(__xludf.DUMMYFUNCTION("""COMPUTED_VALUE"""),"")</f>
        <v/>
      </c>
      <c r="I1109" s="4" t="str">
        <f>IFERROR(__xludf.DUMMYFUNCTION("""COMPUTED_VALUE"""),"")</f>
        <v/>
      </c>
    </row>
    <row r="1110">
      <c r="A1110" s="4" t="str">
        <f>IFERROR(__xludf.DUMMYFUNCTION("""COMPUTED_VALUE"""),"")</f>
        <v/>
      </c>
      <c r="B1110" s="4" t="str">
        <f>IFERROR(__xludf.DUMMYFUNCTION("""COMPUTED_VALUE"""),"")</f>
        <v/>
      </c>
      <c r="C1110" s="4" t="str">
        <f>IFERROR(__xludf.DUMMYFUNCTION("""COMPUTED_VALUE"""),"")</f>
        <v/>
      </c>
      <c r="D1110" s="4" t="str">
        <f>IFERROR(__xludf.DUMMYFUNCTION("""COMPUTED_VALUE"""),"")</f>
        <v/>
      </c>
      <c r="E1110" s="4" t="str">
        <f>IFERROR(__xludf.DUMMYFUNCTION("""COMPUTED_VALUE"""),"")</f>
        <v/>
      </c>
      <c r="F1110" s="4" t="str">
        <f>IFERROR(__xludf.DUMMYFUNCTION("""COMPUTED_VALUE"""),"")</f>
        <v/>
      </c>
      <c r="G1110" s="4" t="str">
        <f>IFERROR(__xludf.DUMMYFUNCTION("""COMPUTED_VALUE"""),"")</f>
        <v/>
      </c>
      <c r="H1110" s="4" t="str">
        <f>IFERROR(__xludf.DUMMYFUNCTION("""COMPUTED_VALUE"""),"")</f>
        <v/>
      </c>
      <c r="I1110" s="4" t="str">
        <f>IFERROR(__xludf.DUMMYFUNCTION("""COMPUTED_VALUE"""),"")</f>
        <v/>
      </c>
    </row>
    <row r="1111">
      <c r="A1111" s="4" t="str">
        <f>IFERROR(__xludf.DUMMYFUNCTION("""COMPUTED_VALUE"""),"")</f>
        <v/>
      </c>
      <c r="B1111" s="4" t="str">
        <f>IFERROR(__xludf.DUMMYFUNCTION("""COMPUTED_VALUE"""),"")</f>
        <v/>
      </c>
      <c r="C1111" s="4" t="str">
        <f>IFERROR(__xludf.DUMMYFUNCTION("""COMPUTED_VALUE"""),"")</f>
        <v/>
      </c>
      <c r="D1111" s="4" t="str">
        <f>IFERROR(__xludf.DUMMYFUNCTION("""COMPUTED_VALUE"""),"")</f>
        <v/>
      </c>
      <c r="E1111" s="4" t="str">
        <f>IFERROR(__xludf.DUMMYFUNCTION("""COMPUTED_VALUE"""),"")</f>
        <v/>
      </c>
      <c r="F1111" s="4" t="str">
        <f>IFERROR(__xludf.DUMMYFUNCTION("""COMPUTED_VALUE"""),"")</f>
        <v/>
      </c>
      <c r="G1111" s="4" t="str">
        <f>IFERROR(__xludf.DUMMYFUNCTION("""COMPUTED_VALUE"""),"")</f>
        <v/>
      </c>
      <c r="H1111" s="4" t="str">
        <f>IFERROR(__xludf.DUMMYFUNCTION("""COMPUTED_VALUE"""),"")</f>
        <v/>
      </c>
      <c r="I1111" s="4" t="str">
        <f>IFERROR(__xludf.DUMMYFUNCTION("""COMPUTED_VALUE"""),"")</f>
        <v/>
      </c>
    </row>
    <row r="1112">
      <c r="A1112" s="4" t="str">
        <f>IFERROR(__xludf.DUMMYFUNCTION("""COMPUTED_VALUE"""),"")</f>
        <v/>
      </c>
      <c r="B1112" s="4" t="str">
        <f>IFERROR(__xludf.DUMMYFUNCTION("""COMPUTED_VALUE"""),"")</f>
        <v/>
      </c>
      <c r="C1112" s="4" t="str">
        <f>IFERROR(__xludf.DUMMYFUNCTION("""COMPUTED_VALUE"""),"")</f>
        <v/>
      </c>
      <c r="D1112" s="4" t="str">
        <f>IFERROR(__xludf.DUMMYFUNCTION("""COMPUTED_VALUE"""),"")</f>
        <v/>
      </c>
      <c r="E1112" s="4" t="str">
        <f>IFERROR(__xludf.DUMMYFUNCTION("""COMPUTED_VALUE"""),"")</f>
        <v/>
      </c>
      <c r="F1112" s="4" t="str">
        <f>IFERROR(__xludf.DUMMYFUNCTION("""COMPUTED_VALUE"""),"")</f>
        <v/>
      </c>
      <c r="G1112" s="4" t="str">
        <f>IFERROR(__xludf.DUMMYFUNCTION("""COMPUTED_VALUE"""),"")</f>
        <v/>
      </c>
      <c r="H1112" s="4" t="str">
        <f>IFERROR(__xludf.DUMMYFUNCTION("""COMPUTED_VALUE"""),"")</f>
        <v/>
      </c>
      <c r="I1112" s="4" t="str">
        <f>IFERROR(__xludf.DUMMYFUNCTION("""COMPUTED_VALUE"""),"")</f>
        <v/>
      </c>
    </row>
    <row r="1113">
      <c r="A1113" s="4" t="str">
        <f>IFERROR(__xludf.DUMMYFUNCTION("""COMPUTED_VALUE"""),"")</f>
        <v/>
      </c>
      <c r="B1113" s="4" t="str">
        <f>IFERROR(__xludf.DUMMYFUNCTION("""COMPUTED_VALUE"""),"")</f>
        <v/>
      </c>
      <c r="C1113" s="4" t="str">
        <f>IFERROR(__xludf.DUMMYFUNCTION("""COMPUTED_VALUE"""),"")</f>
        <v/>
      </c>
      <c r="D1113" s="4" t="str">
        <f>IFERROR(__xludf.DUMMYFUNCTION("""COMPUTED_VALUE"""),"")</f>
        <v/>
      </c>
      <c r="E1113" s="4" t="str">
        <f>IFERROR(__xludf.DUMMYFUNCTION("""COMPUTED_VALUE"""),"")</f>
        <v/>
      </c>
      <c r="F1113" s="4" t="str">
        <f>IFERROR(__xludf.DUMMYFUNCTION("""COMPUTED_VALUE"""),"")</f>
        <v/>
      </c>
      <c r="G1113" s="4" t="str">
        <f>IFERROR(__xludf.DUMMYFUNCTION("""COMPUTED_VALUE"""),"")</f>
        <v/>
      </c>
      <c r="H1113" s="4" t="str">
        <f>IFERROR(__xludf.DUMMYFUNCTION("""COMPUTED_VALUE"""),"")</f>
        <v/>
      </c>
      <c r="I1113" s="4" t="str">
        <f>IFERROR(__xludf.DUMMYFUNCTION("""COMPUTED_VALUE"""),"")</f>
        <v/>
      </c>
    </row>
    <row r="1114">
      <c r="A1114" s="4" t="str">
        <f>IFERROR(__xludf.DUMMYFUNCTION("""COMPUTED_VALUE"""),"")</f>
        <v/>
      </c>
      <c r="B1114" s="4" t="str">
        <f>IFERROR(__xludf.DUMMYFUNCTION("""COMPUTED_VALUE"""),"")</f>
        <v/>
      </c>
      <c r="C1114" s="4" t="str">
        <f>IFERROR(__xludf.DUMMYFUNCTION("""COMPUTED_VALUE"""),"")</f>
        <v/>
      </c>
      <c r="D1114" s="4" t="str">
        <f>IFERROR(__xludf.DUMMYFUNCTION("""COMPUTED_VALUE"""),"")</f>
        <v/>
      </c>
      <c r="E1114" s="4" t="str">
        <f>IFERROR(__xludf.DUMMYFUNCTION("""COMPUTED_VALUE"""),"")</f>
        <v/>
      </c>
      <c r="F1114" s="4" t="str">
        <f>IFERROR(__xludf.DUMMYFUNCTION("""COMPUTED_VALUE"""),"")</f>
        <v/>
      </c>
      <c r="G1114" s="4" t="str">
        <f>IFERROR(__xludf.DUMMYFUNCTION("""COMPUTED_VALUE"""),"")</f>
        <v/>
      </c>
      <c r="H1114" s="4" t="str">
        <f>IFERROR(__xludf.DUMMYFUNCTION("""COMPUTED_VALUE"""),"")</f>
        <v/>
      </c>
      <c r="I1114" s="4" t="str">
        <f>IFERROR(__xludf.DUMMYFUNCTION("""COMPUTED_VALUE"""),"")</f>
        <v/>
      </c>
    </row>
    <row r="1115">
      <c r="A1115" s="4" t="str">
        <f>IFERROR(__xludf.DUMMYFUNCTION("""COMPUTED_VALUE"""),"")</f>
        <v/>
      </c>
      <c r="B1115" s="4" t="str">
        <f>IFERROR(__xludf.DUMMYFUNCTION("""COMPUTED_VALUE"""),"")</f>
        <v/>
      </c>
      <c r="C1115" s="4" t="str">
        <f>IFERROR(__xludf.DUMMYFUNCTION("""COMPUTED_VALUE"""),"")</f>
        <v/>
      </c>
      <c r="D1115" s="4" t="str">
        <f>IFERROR(__xludf.DUMMYFUNCTION("""COMPUTED_VALUE"""),"")</f>
        <v/>
      </c>
      <c r="E1115" s="4" t="str">
        <f>IFERROR(__xludf.DUMMYFUNCTION("""COMPUTED_VALUE"""),"")</f>
        <v/>
      </c>
      <c r="F1115" s="4" t="str">
        <f>IFERROR(__xludf.DUMMYFUNCTION("""COMPUTED_VALUE"""),"")</f>
        <v/>
      </c>
      <c r="G1115" s="4" t="str">
        <f>IFERROR(__xludf.DUMMYFUNCTION("""COMPUTED_VALUE"""),"")</f>
        <v/>
      </c>
      <c r="H1115" s="4" t="str">
        <f>IFERROR(__xludf.DUMMYFUNCTION("""COMPUTED_VALUE"""),"")</f>
        <v/>
      </c>
      <c r="I1115" s="4" t="str">
        <f>IFERROR(__xludf.DUMMYFUNCTION("""COMPUTED_VALUE"""),"")</f>
        <v/>
      </c>
    </row>
    <row r="1116">
      <c r="A1116" s="4" t="str">
        <f>IFERROR(__xludf.DUMMYFUNCTION("""COMPUTED_VALUE"""),"")</f>
        <v/>
      </c>
      <c r="B1116" s="4" t="str">
        <f>IFERROR(__xludf.DUMMYFUNCTION("""COMPUTED_VALUE"""),"")</f>
        <v/>
      </c>
      <c r="C1116" s="4" t="str">
        <f>IFERROR(__xludf.DUMMYFUNCTION("""COMPUTED_VALUE"""),"")</f>
        <v/>
      </c>
      <c r="D1116" s="4" t="str">
        <f>IFERROR(__xludf.DUMMYFUNCTION("""COMPUTED_VALUE"""),"")</f>
        <v/>
      </c>
      <c r="E1116" s="4" t="str">
        <f>IFERROR(__xludf.DUMMYFUNCTION("""COMPUTED_VALUE"""),"")</f>
        <v/>
      </c>
      <c r="F1116" s="4" t="str">
        <f>IFERROR(__xludf.DUMMYFUNCTION("""COMPUTED_VALUE"""),"")</f>
        <v/>
      </c>
      <c r="G1116" s="4" t="str">
        <f>IFERROR(__xludf.DUMMYFUNCTION("""COMPUTED_VALUE"""),"")</f>
        <v/>
      </c>
      <c r="H1116" s="4" t="str">
        <f>IFERROR(__xludf.DUMMYFUNCTION("""COMPUTED_VALUE"""),"")</f>
        <v/>
      </c>
      <c r="I1116" s="4" t="str">
        <f>IFERROR(__xludf.DUMMYFUNCTION("""COMPUTED_VALUE"""),"")</f>
        <v/>
      </c>
    </row>
    <row r="1117">
      <c r="A1117" s="4" t="str">
        <f>IFERROR(__xludf.DUMMYFUNCTION("""COMPUTED_VALUE"""),"")</f>
        <v/>
      </c>
      <c r="B1117" s="4" t="str">
        <f>IFERROR(__xludf.DUMMYFUNCTION("""COMPUTED_VALUE"""),"")</f>
        <v/>
      </c>
      <c r="C1117" s="4" t="str">
        <f>IFERROR(__xludf.DUMMYFUNCTION("""COMPUTED_VALUE"""),"")</f>
        <v/>
      </c>
      <c r="D1117" s="4" t="str">
        <f>IFERROR(__xludf.DUMMYFUNCTION("""COMPUTED_VALUE"""),"")</f>
        <v/>
      </c>
      <c r="E1117" s="4" t="str">
        <f>IFERROR(__xludf.DUMMYFUNCTION("""COMPUTED_VALUE"""),"")</f>
        <v/>
      </c>
      <c r="F1117" s="4" t="str">
        <f>IFERROR(__xludf.DUMMYFUNCTION("""COMPUTED_VALUE"""),"")</f>
        <v/>
      </c>
      <c r="G1117" s="4" t="str">
        <f>IFERROR(__xludf.DUMMYFUNCTION("""COMPUTED_VALUE"""),"")</f>
        <v/>
      </c>
      <c r="H1117" s="4" t="str">
        <f>IFERROR(__xludf.DUMMYFUNCTION("""COMPUTED_VALUE"""),"")</f>
        <v/>
      </c>
      <c r="I1117" s="4" t="str">
        <f>IFERROR(__xludf.DUMMYFUNCTION("""COMPUTED_VALUE"""),"")</f>
        <v/>
      </c>
    </row>
    <row r="1118">
      <c r="A1118" s="4" t="str">
        <f>IFERROR(__xludf.DUMMYFUNCTION("""COMPUTED_VALUE"""),"")</f>
        <v/>
      </c>
      <c r="B1118" s="4" t="str">
        <f>IFERROR(__xludf.DUMMYFUNCTION("""COMPUTED_VALUE"""),"")</f>
        <v/>
      </c>
      <c r="C1118" s="4" t="str">
        <f>IFERROR(__xludf.DUMMYFUNCTION("""COMPUTED_VALUE"""),"")</f>
        <v/>
      </c>
      <c r="D1118" s="4" t="str">
        <f>IFERROR(__xludf.DUMMYFUNCTION("""COMPUTED_VALUE"""),"")</f>
        <v/>
      </c>
      <c r="E1118" s="4" t="str">
        <f>IFERROR(__xludf.DUMMYFUNCTION("""COMPUTED_VALUE"""),"")</f>
        <v/>
      </c>
      <c r="F1118" s="4" t="str">
        <f>IFERROR(__xludf.DUMMYFUNCTION("""COMPUTED_VALUE"""),"")</f>
        <v/>
      </c>
      <c r="G1118" s="4" t="str">
        <f>IFERROR(__xludf.DUMMYFUNCTION("""COMPUTED_VALUE"""),"")</f>
        <v/>
      </c>
      <c r="H1118" s="4" t="str">
        <f>IFERROR(__xludf.DUMMYFUNCTION("""COMPUTED_VALUE"""),"")</f>
        <v/>
      </c>
      <c r="I1118" s="4" t="str">
        <f>IFERROR(__xludf.DUMMYFUNCTION("""COMPUTED_VALUE"""),"")</f>
        <v/>
      </c>
    </row>
    <row r="1119">
      <c r="A1119" s="4" t="str">
        <f>IFERROR(__xludf.DUMMYFUNCTION("""COMPUTED_VALUE"""),"")</f>
        <v/>
      </c>
      <c r="B1119" s="4" t="str">
        <f>IFERROR(__xludf.DUMMYFUNCTION("""COMPUTED_VALUE"""),"")</f>
        <v/>
      </c>
      <c r="C1119" s="4" t="str">
        <f>IFERROR(__xludf.DUMMYFUNCTION("""COMPUTED_VALUE"""),"")</f>
        <v/>
      </c>
      <c r="D1119" s="4" t="str">
        <f>IFERROR(__xludf.DUMMYFUNCTION("""COMPUTED_VALUE"""),"")</f>
        <v/>
      </c>
      <c r="E1119" s="4" t="str">
        <f>IFERROR(__xludf.DUMMYFUNCTION("""COMPUTED_VALUE"""),"")</f>
        <v/>
      </c>
      <c r="F1119" s="4" t="str">
        <f>IFERROR(__xludf.DUMMYFUNCTION("""COMPUTED_VALUE"""),"")</f>
        <v/>
      </c>
      <c r="G1119" s="4" t="str">
        <f>IFERROR(__xludf.DUMMYFUNCTION("""COMPUTED_VALUE"""),"")</f>
        <v/>
      </c>
      <c r="H1119" s="4" t="str">
        <f>IFERROR(__xludf.DUMMYFUNCTION("""COMPUTED_VALUE"""),"")</f>
        <v/>
      </c>
      <c r="I1119" s="4" t="str">
        <f>IFERROR(__xludf.DUMMYFUNCTION("""COMPUTED_VALUE"""),"")</f>
        <v/>
      </c>
    </row>
    <row r="1120">
      <c r="A1120" s="4" t="str">
        <f>IFERROR(__xludf.DUMMYFUNCTION("""COMPUTED_VALUE"""),"")</f>
        <v/>
      </c>
      <c r="B1120" s="4" t="str">
        <f>IFERROR(__xludf.DUMMYFUNCTION("""COMPUTED_VALUE"""),"")</f>
        <v/>
      </c>
      <c r="C1120" s="4" t="str">
        <f>IFERROR(__xludf.DUMMYFUNCTION("""COMPUTED_VALUE"""),"")</f>
        <v/>
      </c>
      <c r="D1120" s="4" t="str">
        <f>IFERROR(__xludf.DUMMYFUNCTION("""COMPUTED_VALUE"""),"")</f>
        <v/>
      </c>
      <c r="E1120" s="4" t="str">
        <f>IFERROR(__xludf.DUMMYFUNCTION("""COMPUTED_VALUE"""),"")</f>
        <v/>
      </c>
      <c r="F1120" s="4" t="str">
        <f>IFERROR(__xludf.DUMMYFUNCTION("""COMPUTED_VALUE"""),"")</f>
        <v/>
      </c>
      <c r="G1120" s="4" t="str">
        <f>IFERROR(__xludf.DUMMYFUNCTION("""COMPUTED_VALUE"""),"")</f>
        <v/>
      </c>
      <c r="H1120" s="4" t="str">
        <f>IFERROR(__xludf.DUMMYFUNCTION("""COMPUTED_VALUE"""),"")</f>
        <v/>
      </c>
      <c r="I1120" s="4" t="str">
        <f>IFERROR(__xludf.DUMMYFUNCTION("""COMPUTED_VALUE"""),"")</f>
        <v/>
      </c>
    </row>
    <row r="1121">
      <c r="A1121" s="4" t="str">
        <f>IFERROR(__xludf.DUMMYFUNCTION("""COMPUTED_VALUE"""),"")</f>
        <v/>
      </c>
      <c r="B1121" s="4" t="str">
        <f>IFERROR(__xludf.DUMMYFUNCTION("""COMPUTED_VALUE"""),"")</f>
        <v/>
      </c>
      <c r="C1121" s="4" t="str">
        <f>IFERROR(__xludf.DUMMYFUNCTION("""COMPUTED_VALUE"""),"")</f>
        <v/>
      </c>
      <c r="D1121" s="4" t="str">
        <f>IFERROR(__xludf.DUMMYFUNCTION("""COMPUTED_VALUE"""),"")</f>
        <v/>
      </c>
      <c r="E1121" s="4" t="str">
        <f>IFERROR(__xludf.DUMMYFUNCTION("""COMPUTED_VALUE"""),"")</f>
        <v/>
      </c>
      <c r="F1121" s="4" t="str">
        <f>IFERROR(__xludf.DUMMYFUNCTION("""COMPUTED_VALUE"""),"")</f>
        <v/>
      </c>
      <c r="G1121" s="4" t="str">
        <f>IFERROR(__xludf.DUMMYFUNCTION("""COMPUTED_VALUE"""),"")</f>
        <v/>
      </c>
      <c r="H1121" s="4" t="str">
        <f>IFERROR(__xludf.DUMMYFUNCTION("""COMPUTED_VALUE"""),"")</f>
        <v/>
      </c>
      <c r="I1121" s="4" t="str">
        <f>IFERROR(__xludf.DUMMYFUNCTION("""COMPUTED_VALUE"""),"")</f>
        <v/>
      </c>
    </row>
    <row r="1122">
      <c r="A1122" s="4" t="str">
        <f>IFERROR(__xludf.DUMMYFUNCTION("""COMPUTED_VALUE"""),"")</f>
        <v/>
      </c>
      <c r="B1122" s="4" t="str">
        <f>IFERROR(__xludf.DUMMYFUNCTION("""COMPUTED_VALUE"""),"")</f>
        <v/>
      </c>
      <c r="C1122" s="4" t="str">
        <f>IFERROR(__xludf.DUMMYFUNCTION("""COMPUTED_VALUE"""),"")</f>
        <v/>
      </c>
      <c r="D1122" s="4" t="str">
        <f>IFERROR(__xludf.DUMMYFUNCTION("""COMPUTED_VALUE"""),"")</f>
        <v/>
      </c>
      <c r="E1122" s="4" t="str">
        <f>IFERROR(__xludf.DUMMYFUNCTION("""COMPUTED_VALUE"""),"")</f>
        <v/>
      </c>
      <c r="F1122" s="4" t="str">
        <f>IFERROR(__xludf.DUMMYFUNCTION("""COMPUTED_VALUE"""),"")</f>
        <v/>
      </c>
      <c r="G1122" s="4" t="str">
        <f>IFERROR(__xludf.DUMMYFUNCTION("""COMPUTED_VALUE"""),"")</f>
        <v/>
      </c>
      <c r="H1122" s="4" t="str">
        <f>IFERROR(__xludf.DUMMYFUNCTION("""COMPUTED_VALUE"""),"")</f>
        <v/>
      </c>
      <c r="I1122" s="4" t="str">
        <f>IFERROR(__xludf.DUMMYFUNCTION("""COMPUTED_VALUE"""),"")</f>
        <v/>
      </c>
    </row>
    <row r="1123">
      <c r="A1123" s="4" t="str">
        <f>IFERROR(__xludf.DUMMYFUNCTION("""COMPUTED_VALUE"""),"")</f>
        <v/>
      </c>
      <c r="B1123" s="4" t="str">
        <f>IFERROR(__xludf.DUMMYFUNCTION("""COMPUTED_VALUE"""),"")</f>
        <v/>
      </c>
      <c r="C1123" s="4" t="str">
        <f>IFERROR(__xludf.DUMMYFUNCTION("""COMPUTED_VALUE"""),"")</f>
        <v/>
      </c>
      <c r="D1123" s="4" t="str">
        <f>IFERROR(__xludf.DUMMYFUNCTION("""COMPUTED_VALUE"""),"")</f>
        <v/>
      </c>
      <c r="E1123" s="4" t="str">
        <f>IFERROR(__xludf.DUMMYFUNCTION("""COMPUTED_VALUE"""),"")</f>
        <v/>
      </c>
      <c r="F1123" s="4" t="str">
        <f>IFERROR(__xludf.DUMMYFUNCTION("""COMPUTED_VALUE"""),"")</f>
        <v/>
      </c>
      <c r="G1123" s="4" t="str">
        <f>IFERROR(__xludf.DUMMYFUNCTION("""COMPUTED_VALUE"""),"")</f>
        <v/>
      </c>
      <c r="H1123" s="4" t="str">
        <f>IFERROR(__xludf.DUMMYFUNCTION("""COMPUTED_VALUE"""),"")</f>
        <v/>
      </c>
      <c r="I1123" s="4" t="str">
        <f>IFERROR(__xludf.DUMMYFUNCTION("""COMPUTED_VALUE"""),"")</f>
        <v/>
      </c>
    </row>
    <row r="1124">
      <c r="A1124" s="4" t="str">
        <f>IFERROR(__xludf.DUMMYFUNCTION("""COMPUTED_VALUE"""),"")</f>
        <v/>
      </c>
      <c r="B1124" s="4" t="str">
        <f>IFERROR(__xludf.DUMMYFUNCTION("""COMPUTED_VALUE"""),"")</f>
        <v/>
      </c>
      <c r="C1124" s="4" t="str">
        <f>IFERROR(__xludf.DUMMYFUNCTION("""COMPUTED_VALUE"""),"")</f>
        <v/>
      </c>
      <c r="D1124" s="4" t="str">
        <f>IFERROR(__xludf.DUMMYFUNCTION("""COMPUTED_VALUE"""),"")</f>
        <v/>
      </c>
      <c r="E1124" s="4" t="str">
        <f>IFERROR(__xludf.DUMMYFUNCTION("""COMPUTED_VALUE"""),"")</f>
        <v/>
      </c>
      <c r="F1124" s="4" t="str">
        <f>IFERROR(__xludf.DUMMYFUNCTION("""COMPUTED_VALUE"""),"")</f>
        <v/>
      </c>
      <c r="G1124" s="4" t="str">
        <f>IFERROR(__xludf.DUMMYFUNCTION("""COMPUTED_VALUE"""),"")</f>
        <v/>
      </c>
      <c r="H1124" s="4" t="str">
        <f>IFERROR(__xludf.DUMMYFUNCTION("""COMPUTED_VALUE"""),"")</f>
        <v/>
      </c>
      <c r="I1124" s="4" t="str">
        <f>IFERROR(__xludf.DUMMYFUNCTION("""COMPUTED_VALUE"""),"")</f>
        <v/>
      </c>
    </row>
    <row r="1125">
      <c r="A1125" s="4" t="str">
        <f>IFERROR(__xludf.DUMMYFUNCTION("""COMPUTED_VALUE"""),"")</f>
        <v/>
      </c>
      <c r="B1125" s="4" t="str">
        <f>IFERROR(__xludf.DUMMYFUNCTION("""COMPUTED_VALUE"""),"")</f>
        <v/>
      </c>
      <c r="C1125" s="4" t="str">
        <f>IFERROR(__xludf.DUMMYFUNCTION("""COMPUTED_VALUE"""),"")</f>
        <v/>
      </c>
      <c r="D1125" s="4" t="str">
        <f>IFERROR(__xludf.DUMMYFUNCTION("""COMPUTED_VALUE"""),"")</f>
        <v/>
      </c>
      <c r="E1125" s="4" t="str">
        <f>IFERROR(__xludf.DUMMYFUNCTION("""COMPUTED_VALUE"""),"")</f>
        <v/>
      </c>
      <c r="F1125" s="4" t="str">
        <f>IFERROR(__xludf.DUMMYFUNCTION("""COMPUTED_VALUE"""),"")</f>
        <v/>
      </c>
      <c r="G1125" s="4" t="str">
        <f>IFERROR(__xludf.DUMMYFUNCTION("""COMPUTED_VALUE"""),"")</f>
        <v/>
      </c>
      <c r="H1125" s="4" t="str">
        <f>IFERROR(__xludf.DUMMYFUNCTION("""COMPUTED_VALUE"""),"")</f>
        <v/>
      </c>
      <c r="I1125" s="4" t="str">
        <f>IFERROR(__xludf.DUMMYFUNCTION("""COMPUTED_VALUE"""),"")</f>
        <v/>
      </c>
    </row>
    <row r="1126">
      <c r="A1126" s="4" t="str">
        <f>IFERROR(__xludf.DUMMYFUNCTION("""COMPUTED_VALUE"""),"")</f>
        <v/>
      </c>
      <c r="B1126" s="4" t="str">
        <f>IFERROR(__xludf.DUMMYFUNCTION("""COMPUTED_VALUE"""),"")</f>
        <v/>
      </c>
      <c r="C1126" s="4" t="str">
        <f>IFERROR(__xludf.DUMMYFUNCTION("""COMPUTED_VALUE"""),"")</f>
        <v/>
      </c>
      <c r="D1126" s="4" t="str">
        <f>IFERROR(__xludf.DUMMYFUNCTION("""COMPUTED_VALUE"""),"")</f>
        <v/>
      </c>
      <c r="E1126" s="4" t="str">
        <f>IFERROR(__xludf.DUMMYFUNCTION("""COMPUTED_VALUE"""),"")</f>
        <v/>
      </c>
      <c r="F1126" s="4" t="str">
        <f>IFERROR(__xludf.DUMMYFUNCTION("""COMPUTED_VALUE"""),"")</f>
        <v/>
      </c>
      <c r="G1126" s="4" t="str">
        <f>IFERROR(__xludf.DUMMYFUNCTION("""COMPUTED_VALUE"""),"")</f>
        <v/>
      </c>
      <c r="H1126" s="4" t="str">
        <f>IFERROR(__xludf.DUMMYFUNCTION("""COMPUTED_VALUE"""),"")</f>
        <v/>
      </c>
      <c r="I1126" s="4" t="str">
        <f>IFERROR(__xludf.DUMMYFUNCTION("""COMPUTED_VALUE"""),"")</f>
        <v/>
      </c>
    </row>
    <row r="1127">
      <c r="A1127" s="4" t="str">
        <f>IFERROR(__xludf.DUMMYFUNCTION("""COMPUTED_VALUE"""),"")</f>
        <v/>
      </c>
      <c r="B1127" s="4" t="str">
        <f>IFERROR(__xludf.DUMMYFUNCTION("""COMPUTED_VALUE"""),"")</f>
        <v/>
      </c>
      <c r="C1127" s="4" t="str">
        <f>IFERROR(__xludf.DUMMYFUNCTION("""COMPUTED_VALUE"""),"")</f>
        <v/>
      </c>
      <c r="D1127" s="4" t="str">
        <f>IFERROR(__xludf.DUMMYFUNCTION("""COMPUTED_VALUE"""),"")</f>
        <v/>
      </c>
      <c r="E1127" s="4" t="str">
        <f>IFERROR(__xludf.DUMMYFUNCTION("""COMPUTED_VALUE"""),"")</f>
        <v/>
      </c>
      <c r="F1127" s="4" t="str">
        <f>IFERROR(__xludf.DUMMYFUNCTION("""COMPUTED_VALUE"""),"")</f>
        <v/>
      </c>
      <c r="G1127" s="4" t="str">
        <f>IFERROR(__xludf.DUMMYFUNCTION("""COMPUTED_VALUE"""),"")</f>
        <v/>
      </c>
      <c r="H1127" s="4" t="str">
        <f>IFERROR(__xludf.DUMMYFUNCTION("""COMPUTED_VALUE"""),"")</f>
        <v/>
      </c>
      <c r="I1127" s="4" t="str">
        <f>IFERROR(__xludf.DUMMYFUNCTION("""COMPUTED_VALUE"""),"")</f>
        <v/>
      </c>
    </row>
    <row r="1128">
      <c r="A1128" s="4" t="str">
        <f>IFERROR(__xludf.DUMMYFUNCTION("""COMPUTED_VALUE"""),"")</f>
        <v/>
      </c>
      <c r="B1128" s="4" t="str">
        <f>IFERROR(__xludf.DUMMYFUNCTION("""COMPUTED_VALUE"""),"")</f>
        <v/>
      </c>
      <c r="C1128" s="4" t="str">
        <f>IFERROR(__xludf.DUMMYFUNCTION("""COMPUTED_VALUE"""),"")</f>
        <v/>
      </c>
      <c r="D1128" s="4" t="str">
        <f>IFERROR(__xludf.DUMMYFUNCTION("""COMPUTED_VALUE"""),"")</f>
        <v/>
      </c>
      <c r="E1128" s="4" t="str">
        <f>IFERROR(__xludf.DUMMYFUNCTION("""COMPUTED_VALUE"""),"")</f>
        <v/>
      </c>
      <c r="F1128" s="4" t="str">
        <f>IFERROR(__xludf.DUMMYFUNCTION("""COMPUTED_VALUE"""),"")</f>
        <v/>
      </c>
      <c r="G1128" s="4" t="str">
        <f>IFERROR(__xludf.DUMMYFUNCTION("""COMPUTED_VALUE"""),"")</f>
        <v/>
      </c>
      <c r="H1128" s="4" t="str">
        <f>IFERROR(__xludf.DUMMYFUNCTION("""COMPUTED_VALUE"""),"")</f>
        <v/>
      </c>
      <c r="I1128" s="4" t="str">
        <f>IFERROR(__xludf.DUMMYFUNCTION("""COMPUTED_VALUE"""),"")</f>
        <v/>
      </c>
    </row>
    <row r="1129">
      <c r="A1129" s="4" t="str">
        <f>IFERROR(__xludf.DUMMYFUNCTION("""COMPUTED_VALUE"""),"")</f>
        <v/>
      </c>
      <c r="B1129" s="4" t="str">
        <f>IFERROR(__xludf.DUMMYFUNCTION("""COMPUTED_VALUE"""),"")</f>
        <v/>
      </c>
      <c r="C1129" s="4" t="str">
        <f>IFERROR(__xludf.DUMMYFUNCTION("""COMPUTED_VALUE"""),"")</f>
        <v/>
      </c>
      <c r="D1129" s="4" t="str">
        <f>IFERROR(__xludf.DUMMYFUNCTION("""COMPUTED_VALUE"""),"")</f>
        <v/>
      </c>
      <c r="E1129" s="4" t="str">
        <f>IFERROR(__xludf.DUMMYFUNCTION("""COMPUTED_VALUE"""),"")</f>
        <v/>
      </c>
      <c r="F1129" s="4" t="str">
        <f>IFERROR(__xludf.DUMMYFUNCTION("""COMPUTED_VALUE"""),"")</f>
        <v/>
      </c>
      <c r="G1129" s="4" t="str">
        <f>IFERROR(__xludf.DUMMYFUNCTION("""COMPUTED_VALUE"""),"")</f>
        <v/>
      </c>
      <c r="H1129" s="4" t="str">
        <f>IFERROR(__xludf.DUMMYFUNCTION("""COMPUTED_VALUE"""),"")</f>
        <v/>
      </c>
      <c r="I1129" s="4" t="str">
        <f>IFERROR(__xludf.DUMMYFUNCTION("""COMPUTED_VALUE"""),"")</f>
        <v/>
      </c>
    </row>
    <row r="1130">
      <c r="A1130" s="4" t="str">
        <f>IFERROR(__xludf.DUMMYFUNCTION("""COMPUTED_VALUE"""),"")</f>
        <v/>
      </c>
      <c r="B1130" s="4" t="str">
        <f>IFERROR(__xludf.DUMMYFUNCTION("""COMPUTED_VALUE"""),"")</f>
        <v/>
      </c>
      <c r="C1130" s="4" t="str">
        <f>IFERROR(__xludf.DUMMYFUNCTION("""COMPUTED_VALUE"""),"")</f>
        <v/>
      </c>
      <c r="D1130" s="4" t="str">
        <f>IFERROR(__xludf.DUMMYFUNCTION("""COMPUTED_VALUE"""),"")</f>
        <v/>
      </c>
      <c r="E1130" s="4" t="str">
        <f>IFERROR(__xludf.DUMMYFUNCTION("""COMPUTED_VALUE"""),"")</f>
        <v/>
      </c>
      <c r="F1130" s="4" t="str">
        <f>IFERROR(__xludf.DUMMYFUNCTION("""COMPUTED_VALUE"""),"")</f>
        <v/>
      </c>
      <c r="G1130" s="4" t="str">
        <f>IFERROR(__xludf.DUMMYFUNCTION("""COMPUTED_VALUE"""),"")</f>
        <v/>
      </c>
      <c r="H1130" s="4" t="str">
        <f>IFERROR(__xludf.DUMMYFUNCTION("""COMPUTED_VALUE"""),"")</f>
        <v/>
      </c>
      <c r="I1130" s="4" t="str">
        <f>IFERROR(__xludf.DUMMYFUNCTION("""COMPUTED_VALUE"""),"")</f>
        <v/>
      </c>
    </row>
    <row r="1131">
      <c r="A1131" s="4" t="str">
        <f>IFERROR(__xludf.DUMMYFUNCTION("""COMPUTED_VALUE"""),"")</f>
        <v/>
      </c>
      <c r="B1131" s="4" t="str">
        <f>IFERROR(__xludf.DUMMYFUNCTION("""COMPUTED_VALUE"""),"")</f>
        <v/>
      </c>
      <c r="C1131" s="4" t="str">
        <f>IFERROR(__xludf.DUMMYFUNCTION("""COMPUTED_VALUE"""),"")</f>
        <v/>
      </c>
      <c r="D1131" s="4" t="str">
        <f>IFERROR(__xludf.DUMMYFUNCTION("""COMPUTED_VALUE"""),"")</f>
        <v/>
      </c>
      <c r="E1131" s="4" t="str">
        <f>IFERROR(__xludf.DUMMYFUNCTION("""COMPUTED_VALUE"""),"")</f>
        <v/>
      </c>
      <c r="F1131" s="4" t="str">
        <f>IFERROR(__xludf.DUMMYFUNCTION("""COMPUTED_VALUE"""),"")</f>
        <v/>
      </c>
      <c r="G1131" s="4" t="str">
        <f>IFERROR(__xludf.DUMMYFUNCTION("""COMPUTED_VALUE"""),"")</f>
        <v/>
      </c>
      <c r="H1131" s="4" t="str">
        <f>IFERROR(__xludf.DUMMYFUNCTION("""COMPUTED_VALUE"""),"")</f>
        <v/>
      </c>
      <c r="I1131" s="4" t="str">
        <f>IFERROR(__xludf.DUMMYFUNCTION("""COMPUTED_VALUE"""),"")</f>
        <v/>
      </c>
    </row>
    <row r="1132">
      <c r="A1132" s="4" t="str">
        <f>IFERROR(__xludf.DUMMYFUNCTION("""COMPUTED_VALUE"""),"")</f>
        <v/>
      </c>
      <c r="B1132" s="4" t="str">
        <f>IFERROR(__xludf.DUMMYFUNCTION("""COMPUTED_VALUE"""),"")</f>
        <v/>
      </c>
      <c r="C1132" s="4" t="str">
        <f>IFERROR(__xludf.DUMMYFUNCTION("""COMPUTED_VALUE"""),"")</f>
        <v/>
      </c>
      <c r="D1132" s="4" t="str">
        <f>IFERROR(__xludf.DUMMYFUNCTION("""COMPUTED_VALUE"""),"")</f>
        <v/>
      </c>
      <c r="E1132" s="4" t="str">
        <f>IFERROR(__xludf.DUMMYFUNCTION("""COMPUTED_VALUE"""),"")</f>
        <v/>
      </c>
      <c r="F1132" s="4" t="str">
        <f>IFERROR(__xludf.DUMMYFUNCTION("""COMPUTED_VALUE"""),"")</f>
        <v/>
      </c>
      <c r="G1132" s="4" t="str">
        <f>IFERROR(__xludf.DUMMYFUNCTION("""COMPUTED_VALUE"""),"")</f>
        <v/>
      </c>
      <c r="H1132" s="4" t="str">
        <f>IFERROR(__xludf.DUMMYFUNCTION("""COMPUTED_VALUE"""),"")</f>
        <v/>
      </c>
      <c r="I1132" s="4" t="str">
        <f>IFERROR(__xludf.DUMMYFUNCTION("""COMPUTED_VALUE"""),"")</f>
        <v/>
      </c>
    </row>
    <row r="1133">
      <c r="A1133" s="4" t="str">
        <f>IFERROR(__xludf.DUMMYFUNCTION("""COMPUTED_VALUE"""),"")</f>
        <v/>
      </c>
      <c r="B1133" s="4" t="str">
        <f>IFERROR(__xludf.DUMMYFUNCTION("""COMPUTED_VALUE"""),"")</f>
        <v/>
      </c>
      <c r="C1133" s="4" t="str">
        <f>IFERROR(__xludf.DUMMYFUNCTION("""COMPUTED_VALUE"""),"")</f>
        <v/>
      </c>
      <c r="D1133" s="4" t="str">
        <f>IFERROR(__xludf.DUMMYFUNCTION("""COMPUTED_VALUE"""),"")</f>
        <v/>
      </c>
      <c r="E1133" s="4" t="str">
        <f>IFERROR(__xludf.DUMMYFUNCTION("""COMPUTED_VALUE"""),"")</f>
        <v/>
      </c>
      <c r="F1133" s="4" t="str">
        <f>IFERROR(__xludf.DUMMYFUNCTION("""COMPUTED_VALUE"""),"")</f>
        <v/>
      </c>
      <c r="G1133" s="4" t="str">
        <f>IFERROR(__xludf.DUMMYFUNCTION("""COMPUTED_VALUE"""),"")</f>
        <v/>
      </c>
      <c r="H1133" s="4" t="str">
        <f>IFERROR(__xludf.DUMMYFUNCTION("""COMPUTED_VALUE"""),"")</f>
        <v/>
      </c>
      <c r="I1133" s="4" t="str">
        <f>IFERROR(__xludf.DUMMYFUNCTION("""COMPUTED_VALUE"""),"")</f>
        <v/>
      </c>
    </row>
    <row r="1134">
      <c r="A1134" s="4" t="str">
        <f>IFERROR(__xludf.DUMMYFUNCTION("""COMPUTED_VALUE"""),"")</f>
        <v/>
      </c>
      <c r="B1134" s="4" t="str">
        <f>IFERROR(__xludf.DUMMYFUNCTION("""COMPUTED_VALUE"""),"")</f>
        <v/>
      </c>
      <c r="C1134" s="4" t="str">
        <f>IFERROR(__xludf.DUMMYFUNCTION("""COMPUTED_VALUE"""),"")</f>
        <v/>
      </c>
      <c r="D1134" s="4" t="str">
        <f>IFERROR(__xludf.DUMMYFUNCTION("""COMPUTED_VALUE"""),"")</f>
        <v/>
      </c>
      <c r="E1134" s="4" t="str">
        <f>IFERROR(__xludf.DUMMYFUNCTION("""COMPUTED_VALUE"""),"")</f>
        <v/>
      </c>
      <c r="F1134" s="4" t="str">
        <f>IFERROR(__xludf.DUMMYFUNCTION("""COMPUTED_VALUE"""),"")</f>
        <v/>
      </c>
      <c r="G1134" s="4" t="str">
        <f>IFERROR(__xludf.DUMMYFUNCTION("""COMPUTED_VALUE"""),"")</f>
        <v/>
      </c>
      <c r="H1134" s="4" t="str">
        <f>IFERROR(__xludf.DUMMYFUNCTION("""COMPUTED_VALUE"""),"")</f>
        <v/>
      </c>
      <c r="I1134" s="4" t="str">
        <f>IFERROR(__xludf.DUMMYFUNCTION("""COMPUTED_VALUE"""),"")</f>
        <v/>
      </c>
    </row>
    <row r="1135">
      <c r="A1135" s="4" t="str">
        <f>IFERROR(__xludf.DUMMYFUNCTION("""COMPUTED_VALUE"""),"")</f>
        <v/>
      </c>
      <c r="B1135" s="4" t="str">
        <f>IFERROR(__xludf.DUMMYFUNCTION("""COMPUTED_VALUE"""),"")</f>
        <v/>
      </c>
      <c r="C1135" s="4" t="str">
        <f>IFERROR(__xludf.DUMMYFUNCTION("""COMPUTED_VALUE"""),"")</f>
        <v/>
      </c>
      <c r="D1135" s="4" t="str">
        <f>IFERROR(__xludf.DUMMYFUNCTION("""COMPUTED_VALUE"""),"")</f>
        <v/>
      </c>
      <c r="E1135" s="4" t="str">
        <f>IFERROR(__xludf.DUMMYFUNCTION("""COMPUTED_VALUE"""),"")</f>
        <v/>
      </c>
      <c r="F1135" s="4" t="str">
        <f>IFERROR(__xludf.DUMMYFUNCTION("""COMPUTED_VALUE"""),"")</f>
        <v/>
      </c>
      <c r="G1135" s="4" t="str">
        <f>IFERROR(__xludf.DUMMYFUNCTION("""COMPUTED_VALUE"""),"")</f>
        <v/>
      </c>
      <c r="H1135" s="4" t="str">
        <f>IFERROR(__xludf.DUMMYFUNCTION("""COMPUTED_VALUE"""),"")</f>
        <v/>
      </c>
      <c r="I1135" s="4" t="str">
        <f>IFERROR(__xludf.DUMMYFUNCTION("""COMPUTED_VALUE"""),"")</f>
        <v/>
      </c>
    </row>
    <row r="1136">
      <c r="A1136" s="4" t="str">
        <f>IFERROR(__xludf.DUMMYFUNCTION("""COMPUTED_VALUE"""),"")</f>
        <v/>
      </c>
      <c r="B1136" s="4" t="str">
        <f>IFERROR(__xludf.DUMMYFUNCTION("""COMPUTED_VALUE"""),"")</f>
        <v/>
      </c>
      <c r="C1136" s="4" t="str">
        <f>IFERROR(__xludf.DUMMYFUNCTION("""COMPUTED_VALUE"""),"")</f>
        <v/>
      </c>
      <c r="D1136" s="4" t="str">
        <f>IFERROR(__xludf.DUMMYFUNCTION("""COMPUTED_VALUE"""),"")</f>
        <v/>
      </c>
      <c r="E1136" s="4" t="str">
        <f>IFERROR(__xludf.DUMMYFUNCTION("""COMPUTED_VALUE"""),"")</f>
        <v/>
      </c>
      <c r="F1136" s="4" t="str">
        <f>IFERROR(__xludf.DUMMYFUNCTION("""COMPUTED_VALUE"""),"")</f>
        <v/>
      </c>
      <c r="G1136" s="4" t="str">
        <f>IFERROR(__xludf.DUMMYFUNCTION("""COMPUTED_VALUE"""),"")</f>
        <v/>
      </c>
      <c r="H1136" s="4" t="str">
        <f>IFERROR(__xludf.DUMMYFUNCTION("""COMPUTED_VALUE"""),"")</f>
        <v/>
      </c>
      <c r="I1136" s="4" t="str">
        <f>IFERROR(__xludf.DUMMYFUNCTION("""COMPUTED_VALUE"""),"")</f>
        <v/>
      </c>
    </row>
    <row r="1137">
      <c r="A1137" s="4" t="str">
        <f>IFERROR(__xludf.DUMMYFUNCTION("""COMPUTED_VALUE"""),"")</f>
        <v/>
      </c>
      <c r="B1137" s="4" t="str">
        <f>IFERROR(__xludf.DUMMYFUNCTION("""COMPUTED_VALUE"""),"")</f>
        <v/>
      </c>
      <c r="C1137" s="4" t="str">
        <f>IFERROR(__xludf.DUMMYFUNCTION("""COMPUTED_VALUE"""),"")</f>
        <v/>
      </c>
      <c r="D1137" s="4" t="str">
        <f>IFERROR(__xludf.DUMMYFUNCTION("""COMPUTED_VALUE"""),"")</f>
        <v/>
      </c>
      <c r="E1137" s="4" t="str">
        <f>IFERROR(__xludf.DUMMYFUNCTION("""COMPUTED_VALUE"""),"")</f>
        <v/>
      </c>
      <c r="F1137" s="4" t="str">
        <f>IFERROR(__xludf.DUMMYFUNCTION("""COMPUTED_VALUE"""),"")</f>
        <v/>
      </c>
      <c r="G1137" s="4" t="str">
        <f>IFERROR(__xludf.DUMMYFUNCTION("""COMPUTED_VALUE"""),"")</f>
        <v/>
      </c>
      <c r="H1137" s="4" t="str">
        <f>IFERROR(__xludf.DUMMYFUNCTION("""COMPUTED_VALUE"""),"")</f>
        <v/>
      </c>
      <c r="I1137" s="4" t="str">
        <f>IFERROR(__xludf.DUMMYFUNCTION("""COMPUTED_VALUE"""),"")</f>
        <v/>
      </c>
    </row>
    <row r="1138">
      <c r="A1138" s="4" t="str">
        <f>IFERROR(__xludf.DUMMYFUNCTION("""COMPUTED_VALUE"""),"")</f>
        <v/>
      </c>
      <c r="B1138" s="4" t="str">
        <f>IFERROR(__xludf.DUMMYFUNCTION("""COMPUTED_VALUE"""),"")</f>
        <v/>
      </c>
      <c r="C1138" s="4" t="str">
        <f>IFERROR(__xludf.DUMMYFUNCTION("""COMPUTED_VALUE"""),"")</f>
        <v/>
      </c>
      <c r="D1138" s="4" t="str">
        <f>IFERROR(__xludf.DUMMYFUNCTION("""COMPUTED_VALUE"""),"")</f>
        <v/>
      </c>
      <c r="E1138" s="4" t="str">
        <f>IFERROR(__xludf.DUMMYFUNCTION("""COMPUTED_VALUE"""),"")</f>
        <v/>
      </c>
      <c r="F1138" s="4" t="str">
        <f>IFERROR(__xludf.DUMMYFUNCTION("""COMPUTED_VALUE"""),"")</f>
        <v/>
      </c>
      <c r="G1138" s="4" t="str">
        <f>IFERROR(__xludf.DUMMYFUNCTION("""COMPUTED_VALUE"""),"")</f>
        <v/>
      </c>
      <c r="H1138" s="4" t="str">
        <f>IFERROR(__xludf.DUMMYFUNCTION("""COMPUTED_VALUE"""),"")</f>
        <v/>
      </c>
      <c r="I1138" s="4" t="str">
        <f>IFERROR(__xludf.DUMMYFUNCTION("""COMPUTED_VALUE"""),"")</f>
        <v/>
      </c>
    </row>
    <row r="1139">
      <c r="A1139" s="4" t="str">
        <f>IFERROR(__xludf.DUMMYFUNCTION("""COMPUTED_VALUE"""),"")</f>
        <v/>
      </c>
      <c r="B1139" s="4" t="str">
        <f>IFERROR(__xludf.DUMMYFUNCTION("""COMPUTED_VALUE"""),"")</f>
        <v/>
      </c>
      <c r="C1139" s="4" t="str">
        <f>IFERROR(__xludf.DUMMYFUNCTION("""COMPUTED_VALUE"""),"")</f>
        <v/>
      </c>
      <c r="D1139" s="4" t="str">
        <f>IFERROR(__xludf.DUMMYFUNCTION("""COMPUTED_VALUE"""),"")</f>
        <v/>
      </c>
      <c r="E1139" s="4" t="str">
        <f>IFERROR(__xludf.DUMMYFUNCTION("""COMPUTED_VALUE"""),"")</f>
        <v/>
      </c>
      <c r="F1139" s="4" t="str">
        <f>IFERROR(__xludf.DUMMYFUNCTION("""COMPUTED_VALUE"""),"")</f>
        <v/>
      </c>
      <c r="G1139" s="4" t="str">
        <f>IFERROR(__xludf.DUMMYFUNCTION("""COMPUTED_VALUE"""),"")</f>
        <v/>
      </c>
      <c r="H1139" s="4" t="str">
        <f>IFERROR(__xludf.DUMMYFUNCTION("""COMPUTED_VALUE"""),"")</f>
        <v/>
      </c>
      <c r="I1139" s="4" t="str">
        <f>IFERROR(__xludf.DUMMYFUNCTION("""COMPUTED_VALUE"""),"")</f>
        <v/>
      </c>
    </row>
    <row r="1140">
      <c r="A1140" s="4" t="str">
        <f>IFERROR(__xludf.DUMMYFUNCTION("""COMPUTED_VALUE"""),"")</f>
        <v/>
      </c>
      <c r="B1140" s="4" t="str">
        <f>IFERROR(__xludf.DUMMYFUNCTION("""COMPUTED_VALUE"""),"")</f>
        <v/>
      </c>
      <c r="C1140" s="4" t="str">
        <f>IFERROR(__xludf.DUMMYFUNCTION("""COMPUTED_VALUE"""),"")</f>
        <v/>
      </c>
      <c r="D1140" s="4" t="str">
        <f>IFERROR(__xludf.DUMMYFUNCTION("""COMPUTED_VALUE"""),"")</f>
        <v/>
      </c>
      <c r="E1140" s="4" t="str">
        <f>IFERROR(__xludf.DUMMYFUNCTION("""COMPUTED_VALUE"""),"")</f>
        <v/>
      </c>
      <c r="F1140" s="4" t="str">
        <f>IFERROR(__xludf.DUMMYFUNCTION("""COMPUTED_VALUE"""),"")</f>
        <v/>
      </c>
      <c r="G1140" s="4" t="str">
        <f>IFERROR(__xludf.DUMMYFUNCTION("""COMPUTED_VALUE"""),"")</f>
        <v/>
      </c>
      <c r="H1140" s="4" t="str">
        <f>IFERROR(__xludf.DUMMYFUNCTION("""COMPUTED_VALUE"""),"")</f>
        <v/>
      </c>
      <c r="I1140" s="4" t="str">
        <f>IFERROR(__xludf.DUMMYFUNCTION("""COMPUTED_VALUE"""),"")</f>
        <v/>
      </c>
    </row>
    <row r="1141">
      <c r="A1141" s="4" t="str">
        <f>IFERROR(__xludf.DUMMYFUNCTION("""COMPUTED_VALUE"""),"")</f>
        <v/>
      </c>
      <c r="B1141" s="4" t="str">
        <f>IFERROR(__xludf.DUMMYFUNCTION("""COMPUTED_VALUE"""),"")</f>
        <v/>
      </c>
      <c r="C1141" s="4" t="str">
        <f>IFERROR(__xludf.DUMMYFUNCTION("""COMPUTED_VALUE"""),"")</f>
        <v/>
      </c>
      <c r="D1141" s="4" t="str">
        <f>IFERROR(__xludf.DUMMYFUNCTION("""COMPUTED_VALUE"""),"")</f>
        <v/>
      </c>
      <c r="E1141" s="4" t="str">
        <f>IFERROR(__xludf.DUMMYFUNCTION("""COMPUTED_VALUE"""),"")</f>
        <v/>
      </c>
      <c r="F1141" s="4" t="str">
        <f>IFERROR(__xludf.DUMMYFUNCTION("""COMPUTED_VALUE"""),"")</f>
        <v/>
      </c>
      <c r="G1141" s="4" t="str">
        <f>IFERROR(__xludf.DUMMYFUNCTION("""COMPUTED_VALUE"""),"")</f>
        <v/>
      </c>
      <c r="H1141" s="4" t="str">
        <f>IFERROR(__xludf.DUMMYFUNCTION("""COMPUTED_VALUE"""),"")</f>
        <v/>
      </c>
      <c r="I1141" s="4" t="str">
        <f>IFERROR(__xludf.DUMMYFUNCTION("""COMPUTED_VALUE"""),"")</f>
        <v/>
      </c>
    </row>
    <row r="1142">
      <c r="A1142" s="4" t="str">
        <f>IFERROR(__xludf.DUMMYFUNCTION("""COMPUTED_VALUE"""),"")</f>
        <v/>
      </c>
      <c r="B1142" s="4" t="str">
        <f>IFERROR(__xludf.DUMMYFUNCTION("""COMPUTED_VALUE"""),"")</f>
        <v/>
      </c>
      <c r="C1142" s="4" t="str">
        <f>IFERROR(__xludf.DUMMYFUNCTION("""COMPUTED_VALUE"""),"")</f>
        <v/>
      </c>
      <c r="D1142" s="4" t="str">
        <f>IFERROR(__xludf.DUMMYFUNCTION("""COMPUTED_VALUE"""),"")</f>
        <v/>
      </c>
      <c r="E1142" s="4" t="str">
        <f>IFERROR(__xludf.DUMMYFUNCTION("""COMPUTED_VALUE"""),"")</f>
        <v/>
      </c>
      <c r="F1142" s="4" t="str">
        <f>IFERROR(__xludf.DUMMYFUNCTION("""COMPUTED_VALUE"""),"")</f>
        <v/>
      </c>
      <c r="G1142" s="4" t="str">
        <f>IFERROR(__xludf.DUMMYFUNCTION("""COMPUTED_VALUE"""),"")</f>
        <v/>
      </c>
      <c r="H1142" s="4" t="str">
        <f>IFERROR(__xludf.DUMMYFUNCTION("""COMPUTED_VALUE"""),"")</f>
        <v/>
      </c>
      <c r="I1142" s="4" t="str">
        <f>IFERROR(__xludf.DUMMYFUNCTION("""COMPUTED_VALUE"""),"")</f>
        <v/>
      </c>
    </row>
    <row r="1143">
      <c r="A1143" s="4" t="str">
        <f>IFERROR(__xludf.DUMMYFUNCTION("""COMPUTED_VALUE"""),"")</f>
        <v/>
      </c>
      <c r="B1143" s="4" t="str">
        <f>IFERROR(__xludf.DUMMYFUNCTION("""COMPUTED_VALUE"""),"")</f>
        <v/>
      </c>
      <c r="C1143" s="4" t="str">
        <f>IFERROR(__xludf.DUMMYFUNCTION("""COMPUTED_VALUE"""),"")</f>
        <v/>
      </c>
      <c r="D1143" s="4" t="str">
        <f>IFERROR(__xludf.DUMMYFUNCTION("""COMPUTED_VALUE"""),"")</f>
        <v/>
      </c>
      <c r="E1143" s="4" t="str">
        <f>IFERROR(__xludf.DUMMYFUNCTION("""COMPUTED_VALUE"""),"")</f>
        <v/>
      </c>
      <c r="F1143" s="4" t="str">
        <f>IFERROR(__xludf.DUMMYFUNCTION("""COMPUTED_VALUE"""),"")</f>
        <v/>
      </c>
      <c r="G1143" s="4" t="str">
        <f>IFERROR(__xludf.DUMMYFUNCTION("""COMPUTED_VALUE"""),"")</f>
        <v/>
      </c>
      <c r="H1143" s="4" t="str">
        <f>IFERROR(__xludf.DUMMYFUNCTION("""COMPUTED_VALUE"""),"")</f>
        <v/>
      </c>
      <c r="I1143" s="4" t="str">
        <f>IFERROR(__xludf.DUMMYFUNCTION("""COMPUTED_VALUE"""),"")</f>
        <v/>
      </c>
    </row>
    <row r="1144">
      <c r="A1144" s="4" t="str">
        <f>IFERROR(__xludf.DUMMYFUNCTION("""COMPUTED_VALUE"""),"")</f>
        <v/>
      </c>
      <c r="B1144" s="4" t="str">
        <f>IFERROR(__xludf.DUMMYFUNCTION("""COMPUTED_VALUE"""),"")</f>
        <v/>
      </c>
      <c r="C1144" s="4" t="str">
        <f>IFERROR(__xludf.DUMMYFUNCTION("""COMPUTED_VALUE"""),"")</f>
        <v/>
      </c>
      <c r="D1144" s="4" t="str">
        <f>IFERROR(__xludf.DUMMYFUNCTION("""COMPUTED_VALUE"""),"")</f>
        <v/>
      </c>
      <c r="E1144" s="4" t="str">
        <f>IFERROR(__xludf.DUMMYFUNCTION("""COMPUTED_VALUE"""),"")</f>
        <v/>
      </c>
      <c r="F1144" s="4" t="str">
        <f>IFERROR(__xludf.DUMMYFUNCTION("""COMPUTED_VALUE"""),"")</f>
        <v/>
      </c>
      <c r="G1144" s="4" t="str">
        <f>IFERROR(__xludf.DUMMYFUNCTION("""COMPUTED_VALUE"""),"")</f>
        <v/>
      </c>
      <c r="H1144" s="4" t="str">
        <f>IFERROR(__xludf.DUMMYFUNCTION("""COMPUTED_VALUE"""),"")</f>
        <v/>
      </c>
      <c r="I1144" s="4" t="str">
        <f>IFERROR(__xludf.DUMMYFUNCTION("""COMPUTED_VALUE"""),"")</f>
        <v/>
      </c>
    </row>
    <row r="1145">
      <c r="A1145" s="4" t="str">
        <f>IFERROR(__xludf.DUMMYFUNCTION("""COMPUTED_VALUE"""),"")</f>
        <v/>
      </c>
      <c r="B1145" s="4" t="str">
        <f>IFERROR(__xludf.DUMMYFUNCTION("""COMPUTED_VALUE"""),"")</f>
        <v/>
      </c>
      <c r="C1145" s="4" t="str">
        <f>IFERROR(__xludf.DUMMYFUNCTION("""COMPUTED_VALUE"""),"")</f>
        <v/>
      </c>
      <c r="D1145" s="4" t="str">
        <f>IFERROR(__xludf.DUMMYFUNCTION("""COMPUTED_VALUE"""),"")</f>
        <v/>
      </c>
      <c r="E1145" s="4" t="str">
        <f>IFERROR(__xludf.DUMMYFUNCTION("""COMPUTED_VALUE"""),"")</f>
        <v/>
      </c>
      <c r="F1145" s="4" t="str">
        <f>IFERROR(__xludf.DUMMYFUNCTION("""COMPUTED_VALUE"""),"")</f>
        <v/>
      </c>
      <c r="G1145" s="4" t="str">
        <f>IFERROR(__xludf.DUMMYFUNCTION("""COMPUTED_VALUE"""),"")</f>
        <v/>
      </c>
      <c r="H1145" s="4" t="str">
        <f>IFERROR(__xludf.DUMMYFUNCTION("""COMPUTED_VALUE"""),"")</f>
        <v/>
      </c>
      <c r="I1145" s="4" t="str">
        <f>IFERROR(__xludf.DUMMYFUNCTION("""COMPUTED_VALUE"""),"")</f>
        <v/>
      </c>
    </row>
    <row r="1146">
      <c r="A1146" s="4" t="str">
        <f>IFERROR(__xludf.DUMMYFUNCTION("""COMPUTED_VALUE"""),"")</f>
        <v/>
      </c>
      <c r="B1146" s="4" t="str">
        <f>IFERROR(__xludf.DUMMYFUNCTION("""COMPUTED_VALUE"""),"")</f>
        <v/>
      </c>
      <c r="C1146" s="4" t="str">
        <f>IFERROR(__xludf.DUMMYFUNCTION("""COMPUTED_VALUE"""),"")</f>
        <v/>
      </c>
      <c r="D1146" s="4" t="str">
        <f>IFERROR(__xludf.DUMMYFUNCTION("""COMPUTED_VALUE"""),"")</f>
        <v/>
      </c>
      <c r="E1146" s="4" t="str">
        <f>IFERROR(__xludf.DUMMYFUNCTION("""COMPUTED_VALUE"""),"")</f>
        <v/>
      </c>
      <c r="F1146" s="4" t="str">
        <f>IFERROR(__xludf.DUMMYFUNCTION("""COMPUTED_VALUE"""),"")</f>
        <v/>
      </c>
      <c r="G1146" s="4" t="str">
        <f>IFERROR(__xludf.DUMMYFUNCTION("""COMPUTED_VALUE"""),"")</f>
        <v/>
      </c>
      <c r="H1146" s="4" t="str">
        <f>IFERROR(__xludf.DUMMYFUNCTION("""COMPUTED_VALUE"""),"")</f>
        <v/>
      </c>
      <c r="I1146" s="4" t="str">
        <f>IFERROR(__xludf.DUMMYFUNCTION("""COMPUTED_VALUE"""),"")</f>
        <v/>
      </c>
    </row>
    <row r="1147">
      <c r="A1147" s="4" t="str">
        <f>IFERROR(__xludf.DUMMYFUNCTION("""COMPUTED_VALUE"""),"")</f>
        <v/>
      </c>
      <c r="B1147" s="4" t="str">
        <f>IFERROR(__xludf.DUMMYFUNCTION("""COMPUTED_VALUE"""),"")</f>
        <v/>
      </c>
      <c r="C1147" s="4" t="str">
        <f>IFERROR(__xludf.DUMMYFUNCTION("""COMPUTED_VALUE"""),"")</f>
        <v/>
      </c>
      <c r="D1147" s="4" t="str">
        <f>IFERROR(__xludf.DUMMYFUNCTION("""COMPUTED_VALUE"""),"")</f>
        <v/>
      </c>
      <c r="E1147" s="4" t="str">
        <f>IFERROR(__xludf.DUMMYFUNCTION("""COMPUTED_VALUE"""),"")</f>
        <v/>
      </c>
      <c r="F1147" s="4" t="str">
        <f>IFERROR(__xludf.DUMMYFUNCTION("""COMPUTED_VALUE"""),"")</f>
        <v/>
      </c>
      <c r="G1147" s="4" t="str">
        <f>IFERROR(__xludf.DUMMYFUNCTION("""COMPUTED_VALUE"""),"")</f>
        <v/>
      </c>
      <c r="H1147" s="4" t="str">
        <f>IFERROR(__xludf.DUMMYFUNCTION("""COMPUTED_VALUE"""),"")</f>
        <v/>
      </c>
      <c r="I1147" s="4" t="str">
        <f>IFERROR(__xludf.DUMMYFUNCTION("""COMPUTED_VALUE"""),"")</f>
        <v/>
      </c>
    </row>
    <row r="1148">
      <c r="A1148" s="4" t="str">
        <f>IFERROR(__xludf.DUMMYFUNCTION("""COMPUTED_VALUE"""),"")</f>
        <v/>
      </c>
      <c r="B1148" s="4" t="str">
        <f>IFERROR(__xludf.DUMMYFUNCTION("""COMPUTED_VALUE"""),"")</f>
        <v/>
      </c>
      <c r="C1148" s="4" t="str">
        <f>IFERROR(__xludf.DUMMYFUNCTION("""COMPUTED_VALUE"""),"")</f>
        <v/>
      </c>
      <c r="D1148" s="4" t="str">
        <f>IFERROR(__xludf.DUMMYFUNCTION("""COMPUTED_VALUE"""),"")</f>
        <v/>
      </c>
      <c r="E1148" s="4" t="str">
        <f>IFERROR(__xludf.DUMMYFUNCTION("""COMPUTED_VALUE"""),"")</f>
        <v/>
      </c>
      <c r="F1148" s="4" t="str">
        <f>IFERROR(__xludf.DUMMYFUNCTION("""COMPUTED_VALUE"""),"")</f>
        <v/>
      </c>
      <c r="G1148" s="4" t="str">
        <f>IFERROR(__xludf.DUMMYFUNCTION("""COMPUTED_VALUE"""),"")</f>
        <v/>
      </c>
      <c r="H1148" s="4" t="str">
        <f>IFERROR(__xludf.DUMMYFUNCTION("""COMPUTED_VALUE"""),"")</f>
        <v/>
      </c>
      <c r="I1148" s="4" t="str">
        <f>IFERROR(__xludf.DUMMYFUNCTION("""COMPUTED_VALUE"""),"")</f>
        <v/>
      </c>
    </row>
    <row r="1149">
      <c r="A1149" s="4" t="str">
        <f>IFERROR(__xludf.DUMMYFUNCTION("""COMPUTED_VALUE"""),"")</f>
        <v/>
      </c>
      <c r="B1149" s="4" t="str">
        <f>IFERROR(__xludf.DUMMYFUNCTION("""COMPUTED_VALUE"""),"")</f>
        <v/>
      </c>
      <c r="C1149" s="4" t="str">
        <f>IFERROR(__xludf.DUMMYFUNCTION("""COMPUTED_VALUE"""),"")</f>
        <v/>
      </c>
      <c r="D1149" s="4" t="str">
        <f>IFERROR(__xludf.DUMMYFUNCTION("""COMPUTED_VALUE"""),"")</f>
        <v/>
      </c>
      <c r="E1149" s="4" t="str">
        <f>IFERROR(__xludf.DUMMYFUNCTION("""COMPUTED_VALUE"""),"")</f>
        <v/>
      </c>
      <c r="F1149" s="4" t="str">
        <f>IFERROR(__xludf.DUMMYFUNCTION("""COMPUTED_VALUE"""),"")</f>
        <v/>
      </c>
      <c r="G1149" s="4" t="str">
        <f>IFERROR(__xludf.DUMMYFUNCTION("""COMPUTED_VALUE"""),"")</f>
        <v/>
      </c>
      <c r="H1149" s="4" t="str">
        <f>IFERROR(__xludf.DUMMYFUNCTION("""COMPUTED_VALUE"""),"")</f>
        <v/>
      </c>
      <c r="I1149" s="4" t="str">
        <f>IFERROR(__xludf.DUMMYFUNCTION("""COMPUTED_VALUE"""),"")</f>
        <v/>
      </c>
    </row>
    <row r="1150">
      <c r="A1150" s="4" t="str">
        <f>IFERROR(__xludf.DUMMYFUNCTION("""COMPUTED_VALUE"""),"")</f>
        <v/>
      </c>
      <c r="B1150" s="4" t="str">
        <f>IFERROR(__xludf.DUMMYFUNCTION("""COMPUTED_VALUE"""),"")</f>
        <v/>
      </c>
      <c r="C1150" s="4" t="str">
        <f>IFERROR(__xludf.DUMMYFUNCTION("""COMPUTED_VALUE"""),"")</f>
        <v/>
      </c>
      <c r="D1150" s="4" t="str">
        <f>IFERROR(__xludf.DUMMYFUNCTION("""COMPUTED_VALUE"""),"")</f>
        <v/>
      </c>
      <c r="E1150" s="4" t="str">
        <f>IFERROR(__xludf.DUMMYFUNCTION("""COMPUTED_VALUE"""),"")</f>
        <v/>
      </c>
      <c r="F1150" s="4" t="str">
        <f>IFERROR(__xludf.DUMMYFUNCTION("""COMPUTED_VALUE"""),"")</f>
        <v/>
      </c>
      <c r="G1150" s="4" t="str">
        <f>IFERROR(__xludf.DUMMYFUNCTION("""COMPUTED_VALUE"""),"")</f>
        <v/>
      </c>
      <c r="H1150" s="4" t="str">
        <f>IFERROR(__xludf.DUMMYFUNCTION("""COMPUTED_VALUE"""),"")</f>
        <v/>
      </c>
      <c r="I1150" s="4" t="str">
        <f>IFERROR(__xludf.DUMMYFUNCTION("""COMPUTED_VALUE"""),"")</f>
        <v/>
      </c>
    </row>
    <row r="1151">
      <c r="A1151" s="4" t="str">
        <f>IFERROR(__xludf.DUMMYFUNCTION("""COMPUTED_VALUE"""),"")</f>
        <v/>
      </c>
      <c r="B1151" s="4" t="str">
        <f>IFERROR(__xludf.DUMMYFUNCTION("""COMPUTED_VALUE"""),"")</f>
        <v/>
      </c>
      <c r="C1151" s="4" t="str">
        <f>IFERROR(__xludf.DUMMYFUNCTION("""COMPUTED_VALUE"""),"")</f>
        <v/>
      </c>
      <c r="D1151" s="4" t="str">
        <f>IFERROR(__xludf.DUMMYFUNCTION("""COMPUTED_VALUE"""),"")</f>
        <v/>
      </c>
      <c r="E1151" s="4" t="str">
        <f>IFERROR(__xludf.DUMMYFUNCTION("""COMPUTED_VALUE"""),"")</f>
        <v/>
      </c>
      <c r="F1151" s="4" t="str">
        <f>IFERROR(__xludf.DUMMYFUNCTION("""COMPUTED_VALUE"""),"")</f>
        <v/>
      </c>
      <c r="G1151" s="4" t="str">
        <f>IFERROR(__xludf.DUMMYFUNCTION("""COMPUTED_VALUE"""),"")</f>
        <v/>
      </c>
      <c r="H1151" s="4" t="str">
        <f>IFERROR(__xludf.DUMMYFUNCTION("""COMPUTED_VALUE"""),"")</f>
        <v/>
      </c>
      <c r="I1151" s="4" t="str">
        <f>IFERROR(__xludf.DUMMYFUNCTION("""COMPUTED_VALUE"""),"")</f>
        <v/>
      </c>
    </row>
    <row r="1152">
      <c r="A1152" s="4" t="str">
        <f>IFERROR(__xludf.DUMMYFUNCTION("""COMPUTED_VALUE"""),"")</f>
        <v/>
      </c>
      <c r="B1152" s="4" t="str">
        <f>IFERROR(__xludf.DUMMYFUNCTION("""COMPUTED_VALUE"""),"")</f>
        <v/>
      </c>
      <c r="C1152" s="4" t="str">
        <f>IFERROR(__xludf.DUMMYFUNCTION("""COMPUTED_VALUE"""),"")</f>
        <v/>
      </c>
      <c r="D1152" s="4" t="str">
        <f>IFERROR(__xludf.DUMMYFUNCTION("""COMPUTED_VALUE"""),"")</f>
        <v/>
      </c>
      <c r="E1152" s="4" t="str">
        <f>IFERROR(__xludf.DUMMYFUNCTION("""COMPUTED_VALUE"""),"")</f>
        <v/>
      </c>
      <c r="F1152" s="4" t="str">
        <f>IFERROR(__xludf.DUMMYFUNCTION("""COMPUTED_VALUE"""),"")</f>
        <v/>
      </c>
      <c r="G1152" s="4" t="str">
        <f>IFERROR(__xludf.DUMMYFUNCTION("""COMPUTED_VALUE"""),"")</f>
        <v/>
      </c>
      <c r="H1152" s="4" t="str">
        <f>IFERROR(__xludf.DUMMYFUNCTION("""COMPUTED_VALUE"""),"")</f>
        <v/>
      </c>
      <c r="I1152" s="4" t="str">
        <f>IFERROR(__xludf.DUMMYFUNCTION("""COMPUTED_VALUE"""),"")</f>
        <v/>
      </c>
    </row>
    <row r="1153">
      <c r="A1153" s="4" t="str">
        <f>IFERROR(__xludf.DUMMYFUNCTION("""COMPUTED_VALUE"""),"")</f>
        <v/>
      </c>
      <c r="B1153" s="4" t="str">
        <f>IFERROR(__xludf.DUMMYFUNCTION("""COMPUTED_VALUE"""),"")</f>
        <v/>
      </c>
      <c r="C1153" s="4" t="str">
        <f>IFERROR(__xludf.DUMMYFUNCTION("""COMPUTED_VALUE"""),"")</f>
        <v/>
      </c>
      <c r="D1153" s="4" t="str">
        <f>IFERROR(__xludf.DUMMYFUNCTION("""COMPUTED_VALUE"""),"")</f>
        <v/>
      </c>
      <c r="E1153" s="4" t="str">
        <f>IFERROR(__xludf.DUMMYFUNCTION("""COMPUTED_VALUE"""),"")</f>
        <v/>
      </c>
      <c r="F1153" s="4" t="str">
        <f>IFERROR(__xludf.DUMMYFUNCTION("""COMPUTED_VALUE"""),"")</f>
        <v/>
      </c>
      <c r="G1153" s="4" t="str">
        <f>IFERROR(__xludf.DUMMYFUNCTION("""COMPUTED_VALUE"""),"")</f>
        <v/>
      </c>
      <c r="H1153" s="4" t="str">
        <f>IFERROR(__xludf.DUMMYFUNCTION("""COMPUTED_VALUE"""),"")</f>
        <v/>
      </c>
      <c r="I1153" s="4" t="str">
        <f>IFERROR(__xludf.DUMMYFUNCTION("""COMPUTED_VALUE"""),"")</f>
        <v/>
      </c>
    </row>
    <row r="1154">
      <c r="A1154" s="4" t="str">
        <f>IFERROR(__xludf.DUMMYFUNCTION("""COMPUTED_VALUE"""),"")</f>
        <v/>
      </c>
      <c r="B1154" s="4" t="str">
        <f>IFERROR(__xludf.DUMMYFUNCTION("""COMPUTED_VALUE"""),"")</f>
        <v/>
      </c>
      <c r="C1154" s="4" t="str">
        <f>IFERROR(__xludf.DUMMYFUNCTION("""COMPUTED_VALUE"""),"")</f>
        <v/>
      </c>
      <c r="D1154" s="4" t="str">
        <f>IFERROR(__xludf.DUMMYFUNCTION("""COMPUTED_VALUE"""),"")</f>
        <v/>
      </c>
      <c r="E1154" s="4" t="str">
        <f>IFERROR(__xludf.DUMMYFUNCTION("""COMPUTED_VALUE"""),"")</f>
        <v/>
      </c>
      <c r="F1154" s="4" t="str">
        <f>IFERROR(__xludf.DUMMYFUNCTION("""COMPUTED_VALUE"""),"")</f>
        <v/>
      </c>
      <c r="G1154" s="4" t="str">
        <f>IFERROR(__xludf.DUMMYFUNCTION("""COMPUTED_VALUE"""),"")</f>
        <v/>
      </c>
      <c r="H1154" s="4" t="str">
        <f>IFERROR(__xludf.DUMMYFUNCTION("""COMPUTED_VALUE"""),"")</f>
        <v/>
      </c>
      <c r="I1154" s="4" t="str">
        <f>IFERROR(__xludf.DUMMYFUNCTION("""COMPUTED_VALUE"""),"")</f>
        <v/>
      </c>
    </row>
    <row r="1155">
      <c r="A1155" s="4" t="str">
        <f>IFERROR(__xludf.DUMMYFUNCTION("""COMPUTED_VALUE"""),"")</f>
        <v/>
      </c>
      <c r="B1155" s="4" t="str">
        <f>IFERROR(__xludf.DUMMYFUNCTION("""COMPUTED_VALUE"""),"")</f>
        <v/>
      </c>
      <c r="C1155" s="4" t="str">
        <f>IFERROR(__xludf.DUMMYFUNCTION("""COMPUTED_VALUE"""),"")</f>
        <v/>
      </c>
      <c r="D1155" s="4" t="str">
        <f>IFERROR(__xludf.DUMMYFUNCTION("""COMPUTED_VALUE"""),"")</f>
        <v/>
      </c>
      <c r="E1155" s="4" t="str">
        <f>IFERROR(__xludf.DUMMYFUNCTION("""COMPUTED_VALUE"""),"")</f>
        <v/>
      </c>
      <c r="F1155" s="4" t="str">
        <f>IFERROR(__xludf.DUMMYFUNCTION("""COMPUTED_VALUE"""),"")</f>
        <v/>
      </c>
      <c r="G1155" s="4" t="str">
        <f>IFERROR(__xludf.DUMMYFUNCTION("""COMPUTED_VALUE"""),"")</f>
        <v/>
      </c>
      <c r="H1155" s="4" t="str">
        <f>IFERROR(__xludf.DUMMYFUNCTION("""COMPUTED_VALUE"""),"")</f>
        <v/>
      </c>
      <c r="I1155" s="4" t="str">
        <f>IFERROR(__xludf.DUMMYFUNCTION("""COMPUTED_VALUE"""),"")</f>
        <v/>
      </c>
    </row>
    <row r="1156">
      <c r="A1156" s="4" t="str">
        <f>IFERROR(__xludf.DUMMYFUNCTION("""COMPUTED_VALUE"""),"")</f>
        <v/>
      </c>
      <c r="B1156" s="4" t="str">
        <f>IFERROR(__xludf.DUMMYFUNCTION("""COMPUTED_VALUE"""),"")</f>
        <v/>
      </c>
      <c r="C1156" s="4" t="str">
        <f>IFERROR(__xludf.DUMMYFUNCTION("""COMPUTED_VALUE"""),"")</f>
        <v/>
      </c>
      <c r="D1156" s="4" t="str">
        <f>IFERROR(__xludf.DUMMYFUNCTION("""COMPUTED_VALUE"""),"")</f>
        <v/>
      </c>
      <c r="E1156" s="4" t="str">
        <f>IFERROR(__xludf.DUMMYFUNCTION("""COMPUTED_VALUE"""),"")</f>
        <v/>
      </c>
      <c r="F1156" s="4" t="str">
        <f>IFERROR(__xludf.DUMMYFUNCTION("""COMPUTED_VALUE"""),"")</f>
        <v/>
      </c>
      <c r="G1156" s="4" t="str">
        <f>IFERROR(__xludf.DUMMYFUNCTION("""COMPUTED_VALUE"""),"")</f>
        <v/>
      </c>
      <c r="H1156" s="4" t="str">
        <f>IFERROR(__xludf.DUMMYFUNCTION("""COMPUTED_VALUE"""),"")</f>
        <v/>
      </c>
      <c r="I1156" s="4" t="str">
        <f>IFERROR(__xludf.DUMMYFUNCTION("""COMPUTED_VALUE"""),"")</f>
        <v/>
      </c>
    </row>
    <row r="1157">
      <c r="A1157" s="4" t="str">
        <f>IFERROR(__xludf.DUMMYFUNCTION("""COMPUTED_VALUE"""),"")</f>
        <v/>
      </c>
      <c r="B1157" s="4" t="str">
        <f>IFERROR(__xludf.DUMMYFUNCTION("""COMPUTED_VALUE"""),"")</f>
        <v/>
      </c>
      <c r="C1157" s="4" t="str">
        <f>IFERROR(__xludf.DUMMYFUNCTION("""COMPUTED_VALUE"""),"")</f>
        <v/>
      </c>
      <c r="D1157" s="4" t="str">
        <f>IFERROR(__xludf.DUMMYFUNCTION("""COMPUTED_VALUE"""),"")</f>
        <v/>
      </c>
      <c r="E1157" s="4" t="str">
        <f>IFERROR(__xludf.DUMMYFUNCTION("""COMPUTED_VALUE"""),"")</f>
        <v/>
      </c>
      <c r="F1157" s="4" t="str">
        <f>IFERROR(__xludf.DUMMYFUNCTION("""COMPUTED_VALUE"""),"")</f>
        <v/>
      </c>
      <c r="G1157" s="4" t="str">
        <f>IFERROR(__xludf.DUMMYFUNCTION("""COMPUTED_VALUE"""),"")</f>
        <v/>
      </c>
      <c r="H1157" s="4" t="str">
        <f>IFERROR(__xludf.DUMMYFUNCTION("""COMPUTED_VALUE"""),"")</f>
        <v/>
      </c>
      <c r="I1157" s="4" t="str">
        <f>IFERROR(__xludf.DUMMYFUNCTION("""COMPUTED_VALUE"""),"")</f>
        <v/>
      </c>
    </row>
    <row r="1158">
      <c r="A1158" s="4" t="str">
        <f>IFERROR(__xludf.DUMMYFUNCTION("""COMPUTED_VALUE"""),"")</f>
        <v/>
      </c>
      <c r="B1158" s="4" t="str">
        <f>IFERROR(__xludf.DUMMYFUNCTION("""COMPUTED_VALUE"""),"")</f>
        <v/>
      </c>
      <c r="C1158" s="4" t="str">
        <f>IFERROR(__xludf.DUMMYFUNCTION("""COMPUTED_VALUE"""),"")</f>
        <v/>
      </c>
      <c r="D1158" s="4" t="str">
        <f>IFERROR(__xludf.DUMMYFUNCTION("""COMPUTED_VALUE"""),"")</f>
        <v/>
      </c>
      <c r="E1158" s="4" t="str">
        <f>IFERROR(__xludf.DUMMYFUNCTION("""COMPUTED_VALUE"""),"")</f>
        <v/>
      </c>
      <c r="F1158" s="4" t="str">
        <f>IFERROR(__xludf.DUMMYFUNCTION("""COMPUTED_VALUE"""),"")</f>
        <v/>
      </c>
      <c r="G1158" s="4" t="str">
        <f>IFERROR(__xludf.DUMMYFUNCTION("""COMPUTED_VALUE"""),"")</f>
        <v/>
      </c>
      <c r="H1158" s="4" t="str">
        <f>IFERROR(__xludf.DUMMYFUNCTION("""COMPUTED_VALUE"""),"")</f>
        <v/>
      </c>
      <c r="I1158" s="4" t="str">
        <f>IFERROR(__xludf.DUMMYFUNCTION("""COMPUTED_VALUE"""),"")</f>
        <v/>
      </c>
    </row>
    <row r="1159">
      <c r="A1159" s="4" t="str">
        <f>IFERROR(__xludf.DUMMYFUNCTION("""COMPUTED_VALUE"""),"")</f>
        <v/>
      </c>
      <c r="B1159" s="4" t="str">
        <f>IFERROR(__xludf.DUMMYFUNCTION("""COMPUTED_VALUE"""),"")</f>
        <v/>
      </c>
      <c r="C1159" s="4" t="str">
        <f>IFERROR(__xludf.DUMMYFUNCTION("""COMPUTED_VALUE"""),"")</f>
        <v/>
      </c>
      <c r="D1159" s="4" t="str">
        <f>IFERROR(__xludf.DUMMYFUNCTION("""COMPUTED_VALUE"""),"")</f>
        <v/>
      </c>
      <c r="E1159" s="4" t="str">
        <f>IFERROR(__xludf.DUMMYFUNCTION("""COMPUTED_VALUE"""),"")</f>
        <v/>
      </c>
      <c r="F1159" s="4" t="str">
        <f>IFERROR(__xludf.DUMMYFUNCTION("""COMPUTED_VALUE"""),"")</f>
        <v/>
      </c>
      <c r="G1159" s="4" t="str">
        <f>IFERROR(__xludf.DUMMYFUNCTION("""COMPUTED_VALUE"""),"")</f>
        <v/>
      </c>
      <c r="H1159" s="4" t="str">
        <f>IFERROR(__xludf.DUMMYFUNCTION("""COMPUTED_VALUE"""),"")</f>
        <v/>
      </c>
      <c r="I1159" s="4" t="str">
        <f>IFERROR(__xludf.DUMMYFUNCTION("""COMPUTED_VALUE"""),"")</f>
        <v/>
      </c>
    </row>
    <row r="1160">
      <c r="A1160" s="4" t="str">
        <f>IFERROR(__xludf.DUMMYFUNCTION("""COMPUTED_VALUE"""),"")</f>
        <v/>
      </c>
      <c r="B1160" s="4" t="str">
        <f>IFERROR(__xludf.DUMMYFUNCTION("""COMPUTED_VALUE"""),"")</f>
        <v/>
      </c>
      <c r="C1160" s="4" t="str">
        <f>IFERROR(__xludf.DUMMYFUNCTION("""COMPUTED_VALUE"""),"")</f>
        <v/>
      </c>
      <c r="D1160" s="4" t="str">
        <f>IFERROR(__xludf.DUMMYFUNCTION("""COMPUTED_VALUE"""),"")</f>
        <v/>
      </c>
      <c r="E1160" s="4" t="str">
        <f>IFERROR(__xludf.DUMMYFUNCTION("""COMPUTED_VALUE"""),"")</f>
        <v/>
      </c>
      <c r="F1160" s="4" t="str">
        <f>IFERROR(__xludf.DUMMYFUNCTION("""COMPUTED_VALUE"""),"")</f>
        <v/>
      </c>
      <c r="G1160" s="4" t="str">
        <f>IFERROR(__xludf.DUMMYFUNCTION("""COMPUTED_VALUE"""),"")</f>
        <v/>
      </c>
      <c r="H1160" s="4" t="str">
        <f>IFERROR(__xludf.DUMMYFUNCTION("""COMPUTED_VALUE"""),"")</f>
        <v/>
      </c>
      <c r="I1160" s="4" t="str">
        <f>IFERROR(__xludf.DUMMYFUNCTION("""COMPUTED_VALUE"""),"")</f>
        <v/>
      </c>
    </row>
    <row r="1161">
      <c r="A1161" s="4" t="str">
        <f>IFERROR(__xludf.DUMMYFUNCTION("""COMPUTED_VALUE"""),"")</f>
        <v/>
      </c>
      <c r="B1161" s="4" t="str">
        <f>IFERROR(__xludf.DUMMYFUNCTION("""COMPUTED_VALUE"""),"")</f>
        <v/>
      </c>
      <c r="C1161" s="4" t="str">
        <f>IFERROR(__xludf.DUMMYFUNCTION("""COMPUTED_VALUE"""),"")</f>
        <v/>
      </c>
      <c r="D1161" s="4" t="str">
        <f>IFERROR(__xludf.DUMMYFUNCTION("""COMPUTED_VALUE"""),"")</f>
        <v/>
      </c>
      <c r="E1161" s="4" t="str">
        <f>IFERROR(__xludf.DUMMYFUNCTION("""COMPUTED_VALUE"""),"")</f>
        <v/>
      </c>
      <c r="F1161" s="4" t="str">
        <f>IFERROR(__xludf.DUMMYFUNCTION("""COMPUTED_VALUE"""),"")</f>
        <v/>
      </c>
      <c r="G1161" s="4" t="str">
        <f>IFERROR(__xludf.DUMMYFUNCTION("""COMPUTED_VALUE"""),"")</f>
        <v/>
      </c>
      <c r="H1161" s="4" t="str">
        <f>IFERROR(__xludf.DUMMYFUNCTION("""COMPUTED_VALUE"""),"")</f>
        <v/>
      </c>
      <c r="I1161" s="4" t="str">
        <f>IFERROR(__xludf.DUMMYFUNCTION("""COMPUTED_VALUE"""),"")</f>
        <v/>
      </c>
    </row>
    <row r="1162">
      <c r="A1162" s="4" t="str">
        <f>IFERROR(__xludf.DUMMYFUNCTION("""COMPUTED_VALUE"""),"")</f>
        <v/>
      </c>
      <c r="B1162" s="4" t="str">
        <f>IFERROR(__xludf.DUMMYFUNCTION("""COMPUTED_VALUE"""),"")</f>
        <v/>
      </c>
      <c r="C1162" s="4" t="str">
        <f>IFERROR(__xludf.DUMMYFUNCTION("""COMPUTED_VALUE"""),"")</f>
        <v/>
      </c>
      <c r="D1162" s="4" t="str">
        <f>IFERROR(__xludf.DUMMYFUNCTION("""COMPUTED_VALUE"""),"")</f>
        <v/>
      </c>
      <c r="E1162" s="4" t="str">
        <f>IFERROR(__xludf.DUMMYFUNCTION("""COMPUTED_VALUE"""),"")</f>
        <v/>
      </c>
      <c r="F1162" s="4" t="str">
        <f>IFERROR(__xludf.DUMMYFUNCTION("""COMPUTED_VALUE"""),"")</f>
        <v/>
      </c>
      <c r="G1162" s="4" t="str">
        <f>IFERROR(__xludf.DUMMYFUNCTION("""COMPUTED_VALUE"""),"")</f>
        <v/>
      </c>
      <c r="H1162" s="4" t="str">
        <f>IFERROR(__xludf.DUMMYFUNCTION("""COMPUTED_VALUE"""),"")</f>
        <v/>
      </c>
      <c r="I1162" s="4" t="str">
        <f>IFERROR(__xludf.DUMMYFUNCTION("""COMPUTED_VALUE"""),"")</f>
        <v/>
      </c>
    </row>
    <row r="1163">
      <c r="A1163" s="4" t="str">
        <f>IFERROR(__xludf.DUMMYFUNCTION("""COMPUTED_VALUE"""),"")</f>
        <v/>
      </c>
      <c r="B1163" s="4" t="str">
        <f>IFERROR(__xludf.DUMMYFUNCTION("""COMPUTED_VALUE"""),"")</f>
        <v/>
      </c>
      <c r="C1163" s="4" t="str">
        <f>IFERROR(__xludf.DUMMYFUNCTION("""COMPUTED_VALUE"""),"")</f>
        <v/>
      </c>
      <c r="D1163" s="4" t="str">
        <f>IFERROR(__xludf.DUMMYFUNCTION("""COMPUTED_VALUE"""),"")</f>
        <v/>
      </c>
      <c r="E1163" s="4" t="str">
        <f>IFERROR(__xludf.DUMMYFUNCTION("""COMPUTED_VALUE"""),"")</f>
        <v/>
      </c>
      <c r="F1163" s="4" t="str">
        <f>IFERROR(__xludf.DUMMYFUNCTION("""COMPUTED_VALUE"""),"")</f>
        <v/>
      </c>
      <c r="G1163" s="4" t="str">
        <f>IFERROR(__xludf.DUMMYFUNCTION("""COMPUTED_VALUE"""),"")</f>
        <v/>
      </c>
      <c r="H1163" s="4" t="str">
        <f>IFERROR(__xludf.DUMMYFUNCTION("""COMPUTED_VALUE"""),"")</f>
        <v/>
      </c>
      <c r="I1163" s="4" t="str">
        <f>IFERROR(__xludf.DUMMYFUNCTION("""COMPUTED_VALUE"""),"")</f>
        <v/>
      </c>
    </row>
    <row r="1164">
      <c r="A1164" s="4" t="str">
        <f>IFERROR(__xludf.DUMMYFUNCTION("""COMPUTED_VALUE"""),"")</f>
        <v/>
      </c>
      <c r="B1164" s="4" t="str">
        <f>IFERROR(__xludf.DUMMYFUNCTION("""COMPUTED_VALUE"""),"")</f>
        <v/>
      </c>
      <c r="C1164" s="4" t="str">
        <f>IFERROR(__xludf.DUMMYFUNCTION("""COMPUTED_VALUE"""),"")</f>
        <v/>
      </c>
      <c r="D1164" s="4" t="str">
        <f>IFERROR(__xludf.DUMMYFUNCTION("""COMPUTED_VALUE"""),"")</f>
        <v/>
      </c>
      <c r="E1164" s="4" t="str">
        <f>IFERROR(__xludf.DUMMYFUNCTION("""COMPUTED_VALUE"""),"")</f>
        <v/>
      </c>
      <c r="F1164" s="4" t="str">
        <f>IFERROR(__xludf.DUMMYFUNCTION("""COMPUTED_VALUE"""),"")</f>
        <v/>
      </c>
      <c r="G1164" s="4" t="str">
        <f>IFERROR(__xludf.DUMMYFUNCTION("""COMPUTED_VALUE"""),"")</f>
        <v/>
      </c>
      <c r="H1164" s="4" t="str">
        <f>IFERROR(__xludf.DUMMYFUNCTION("""COMPUTED_VALUE"""),"")</f>
        <v/>
      </c>
      <c r="I1164" s="4" t="str">
        <f>IFERROR(__xludf.DUMMYFUNCTION("""COMPUTED_VALUE"""),"")</f>
        <v/>
      </c>
    </row>
    <row r="1165">
      <c r="A1165" s="4" t="str">
        <f>IFERROR(__xludf.DUMMYFUNCTION("""COMPUTED_VALUE"""),"")</f>
        <v/>
      </c>
      <c r="B1165" s="4" t="str">
        <f>IFERROR(__xludf.DUMMYFUNCTION("""COMPUTED_VALUE"""),"")</f>
        <v/>
      </c>
      <c r="C1165" s="4" t="str">
        <f>IFERROR(__xludf.DUMMYFUNCTION("""COMPUTED_VALUE"""),"")</f>
        <v/>
      </c>
      <c r="D1165" s="4" t="str">
        <f>IFERROR(__xludf.DUMMYFUNCTION("""COMPUTED_VALUE"""),"")</f>
        <v/>
      </c>
      <c r="E1165" s="4" t="str">
        <f>IFERROR(__xludf.DUMMYFUNCTION("""COMPUTED_VALUE"""),"")</f>
        <v/>
      </c>
      <c r="F1165" s="4" t="str">
        <f>IFERROR(__xludf.DUMMYFUNCTION("""COMPUTED_VALUE"""),"")</f>
        <v/>
      </c>
      <c r="G1165" s="4" t="str">
        <f>IFERROR(__xludf.DUMMYFUNCTION("""COMPUTED_VALUE"""),"")</f>
        <v/>
      </c>
      <c r="H1165" s="4" t="str">
        <f>IFERROR(__xludf.DUMMYFUNCTION("""COMPUTED_VALUE"""),"")</f>
        <v/>
      </c>
      <c r="I1165" s="4" t="str">
        <f>IFERROR(__xludf.DUMMYFUNCTION("""COMPUTED_VALUE"""),"")</f>
        <v/>
      </c>
    </row>
    <row r="1166">
      <c r="A1166" s="4" t="str">
        <f>IFERROR(__xludf.DUMMYFUNCTION("""COMPUTED_VALUE"""),"")</f>
        <v/>
      </c>
      <c r="B1166" s="4" t="str">
        <f>IFERROR(__xludf.DUMMYFUNCTION("""COMPUTED_VALUE"""),"")</f>
        <v/>
      </c>
      <c r="C1166" s="4" t="str">
        <f>IFERROR(__xludf.DUMMYFUNCTION("""COMPUTED_VALUE"""),"")</f>
        <v/>
      </c>
      <c r="D1166" s="4" t="str">
        <f>IFERROR(__xludf.DUMMYFUNCTION("""COMPUTED_VALUE"""),"")</f>
        <v/>
      </c>
      <c r="E1166" s="4" t="str">
        <f>IFERROR(__xludf.DUMMYFUNCTION("""COMPUTED_VALUE"""),"")</f>
        <v/>
      </c>
      <c r="F1166" s="4" t="str">
        <f>IFERROR(__xludf.DUMMYFUNCTION("""COMPUTED_VALUE"""),"")</f>
        <v/>
      </c>
      <c r="G1166" s="4" t="str">
        <f>IFERROR(__xludf.DUMMYFUNCTION("""COMPUTED_VALUE"""),"")</f>
        <v/>
      </c>
      <c r="H1166" s="4" t="str">
        <f>IFERROR(__xludf.DUMMYFUNCTION("""COMPUTED_VALUE"""),"")</f>
        <v/>
      </c>
      <c r="I1166" s="4" t="str">
        <f>IFERROR(__xludf.DUMMYFUNCTION("""COMPUTED_VALUE"""),"")</f>
        <v/>
      </c>
    </row>
    <row r="1167">
      <c r="A1167" s="4" t="str">
        <f>IFERROR(__xludf.DUMMYFUNCTION("""COMPUTED_VALUE"""),"")</f>
        <v/>
      </c>
      <c r="B1167" s="4" t="str">
        <f>IFERROR(__xludf.DUMMYFUNCTION("""COMPUTED_VALUE"""),"")</f>
        <v/>
      </c>
      <c r="C1167" s="4" t="str">
        <f>IFERROR(__xludf.DUMMYFUNCTION("""COMPUTED_VALUE"""),"")</f>
        <v/>
      </c>
      <c r="D1167" s="4" t="str">
        <f>IFERROR(__xludf.DUMMYFUNCTION("""COMPUTED_VALUE"""),"")</f>
        <v/>
      </c>
      <c r="E1167" s="4" t="str">
        <f>IFERROR(__xludf.DUMMYFUNCTION("""COMPUTED_VALUE"""),"")</f>
        <v/>
      </c>
      <c r="F1167" s="4" t="str">
        <f>IFERROR(__xludf.DUMMYFUNCTION("""COMPUTED_VALUE"""),"")</f>
        <v/>
      </c>
      <c r="G1167" s="4" t="str">
        <f>IFERROR(__xludf.DUMMYFUNCTION("""COMPUTED_VALUE"""),"")</f>
        <v/>
      </c>
      <c r="H1167" s="4" t="str">
        <f>IFERROR(__xludf.DUMMYFUNCTION("""COMPUTED_VALUE"""),"")</f>
        <v/>
      </c>
      <c r="I1167" s="4" t="str">
        <f>IFERROR(__xludf.DUMMYFUNCTION("""COMPUTED_VALUE"""),"")</f>
        <v/>
      </c>
    </row>
    <row r="1168">
      <c r="A1168" s="4" t="str">
        <f>IFERROR(__xludf.DUMMYFUNCTION("""COMPUTED_VALUE"""),"")</f>
        <v/>
      </c>
      <c r="B1168" s="4" t="str">
        <f>IFERROR(__xludf.DUMMYFUNCTION("""COMPUTED_VALUE"""),"")</f>
        <v/>
      </c>
      <c r="C1168" s="4" t="str">
        <f>IFERROR(__xludf.DUMMYFUNCTION("""COMPUTED_VALUE"""),"")</f>
        <v/>
      </c>
      <c r="D1168" s="4" t="str">
        <f>IFERROR(__xludf.DUMMYFUNCTION("""COMPUTED_VALUE"""),"")</f>
        <v/>
      </c>
      <c r="E1168" s="4" t="str">
        <f>IFERROR(__xludf.DUMMYFUNCTION("""COMPUTED_VALUE"""),"")</f>
        <v/>
      </c>
      <c r="F1168" s="4" t="str">
        <f>IFERROR(__xludf.DUMMYFUNCTION("""COMPUTED_VALUE"""),"")</f>
        <v/>
      </c>
      <c r="G1168" s="4" t="str">
        <f>IFERROR(__xludf.DUMMYFUNCTION("""COMPUTED_VALUE"""),"")</f>
        <v/>
      </c>
      <c r="H1168" s="4" t="str">
        <f>IFERROR(__xludf.DUMMYFUNCTION("""COMPUTED_VALUE"""),"")</f>
        <v/>
      </c>
      <c r="I1168" s="4" t="str">
        <f>IFERROR(__xludf.DUMMYFUNCTION("""COMPUTED_VALUE"""),"")</f>
        <v/>
      </c>
    </row>
    <row r="1169">
      <c r="A1169" s="4" t="str">
        <f>IFERROR(__xludf.DUMMYFUNCTION("""COMPUTED_VALUE"""),"")</f>
        <v/>
      </c>
      <c r="B1169" s="4" t="str">
        <f>IFERROR(__xludf.DUMMYFUNCTION("""COMPUTED_VALUE"""),"")</f>
        <v/>
      </c>
      <c r="C1169" s="4" t="str">
        <f>IFERROR(__xludf.DUMMYFUNCTION("""COMPUTED_VALUE"""),"")</f>
        <v/>
      </c>
      <c r="D1169" s="4" t="str">
        <f>IFERROR(__xludf.DUMMYFUNCTION("""COMPUTED_VALUE"""),"")</f>
        <v/>
      </c>
      <c r="E1169" s="4" t="str">
        <f>IFERROR(__xludf.DUMMYFUNCTION("""COMPUTED_VALUE"""),"")</f>
        <v/>
      </c>
      <c r="F1169" s="4" t="str">
        <f>IFERROR(__xludf.DUMMYFUNCTION("""COMPUTED_VALUE"""),"")</f>
        <v/>
      </c>
      <c r="G1169" s="4" t="str">
        <f>IFERROR(__xludf.DUMMYFUNCTION("""COMPUTED_VALUE"""),"")</f>
        <v/>
      </c>
      <c r="H1169" s="4" t="str">
        <f>IFERROR(__xludf.DUMMYFUNCTION("""COMPUTED_VALUE"""),"")</f>
        <v/>
      </c>
      <c r="I1169" s="4" t="str">
        <f>IFERROR(__xludf.DUMMYFUNCTION("""COMPUTED_VALUE"""),"")</f>
        <v/>
      </c>
    </row>
    <row r="1170">
      <c r="A1170" s="4" t="str">
        <f>IFERROR(__xludf.DUMMYFUNCTION("""COMPUTED_VALUE"""),"")</f>
        <v/>
      </c>
      <c r="B1170" s="4" t="str">
        <f>IFERROR(__xludf.DUMMYFUNCTION("""COMPUTED_VALUE"""),"")</f>
        <v/>
      </c>
      <c r="C1170" s="4" t="str">
        <f>IFERROR(__xludf.DUMMYFUNCTION("""COMPUTED_VALUE"""),"")</f>
        <v/>
      </c>
      <c r="D1170" s="4" t="str">
        <f>IFERROR(__xludf.DUMMYFUNCTION("""COMPUTED_VALUE"""),"")</f>
        <v/>
      </c>
      <c r="E1170" s="4" t="str">
        <f>IFERROR(__xludf.DUMMYFUNCTION("""COMPUTED_VALUE"""),"")</f>
        <v/>
      </c>
      <c r="F1170" s="4" t="str">
        <f>IFERROR(__xludf.DUMMYFUNCTION("""COMPUTED_VALUE"""),"")</f>
        <v/>
      </c>
      <c r="G1170" s="4" t="str">
        <f>IFERROR(__xludf.DUMMYFUNCTION("""COMPUTED_VALUE"""),"")</f>
        <v/>
      </c>
      <c r="H1170" s="4" t="str">
        <f>IFERROR(__xludf.DUMMYFUNCTION("""COMPUTED_VALUE"""),"")</f>
        <v/>
      </c>
      <c r="I1170" s="4" t="str">
        <f>IFERROR(__xludf.DUMMYFUNCTION("""COMPUTED_VALUE"""),"")</f>
        <v/>
      </c>
    </row>
    <row r="1171">
      <c r="A1171" s="4" t="str">
        <f>IFERROR(__xludf.DUMMYFUNCTION("""COMPUTED_VALUE"""),"")</f>
        <v/>
      </c>
      <c r="B1171" s="4" t="str">
        <f>IFERROR(__xludf.DUMMYFUNCTION("""COMPUTED_VALUE"""),"")</f>
        <v/>
      </c>
      <c r="C1171" s="4" t="str">
        <f>IFERROR(__xludf.DUMMYFUNCTION("""COMPUTED_VALUE"""),"")</f>
        <v/>
      </c>
      <c r="D1171" s="4" t="str">
        <f>IFERROR(__xludf.DUMMYFUNCTION("""COMPUTED_VALUE"""),"")</f>
        <v/>
      </c>
      <c r="E1171" s="4" t="str">
        <f>IFERROR(__xludf.DUMMYFUNCTION("""COMPUTED_VALUE"""),"")</f>
        <v/>
      </c>
      <c r="F1171" s="4" t="str">
        <f>IFERROR(__xludf.DUMMYFUNCTION("""COMPUTED_VALUE"""),"")</f>
        <v/>
      </c>
      <c r="G1171" s="4" t="str">
        <f>IFERROR(__xludf.DUMMYFUNCTION("""COMPUTED_VALUE"""),"")</f>
        <v/>
      </c>
      <c r="H1171" s="4" t="str">
        <f>IFERROR(__xludf.DUMMYFUNCTION("""COMPUTED_VALUE"""),"")</f>
        <v/>
      </c>
      <c r="I1171" s="4" t="str">
        <f>IFERROR(__xludf.DUMMYFUNCTION("""COMPUTED_VALUE"""),"")</f>
        <v/>
      </c>
    </row>
    <row r="1172">
      <c r="A1172" s="4" t="str">
        <f>IFERROR(__xludf.DUMMYFUNCTION("""COMPUTED_VALUE"""),"")</f>
        <v/>
      </c>
      <c r="B1172" s="4" t="str">
        <f>IFERROR(__xludf.DUMMYFUNCTION("""COMPUTED_VALUE"""),"")</f>
        <v/>
      </c>
      <c r="C1172" s="4" t="str">
        <f>IFERROR(__xludf.DUMMYFUNCTION("""COMPUTED_VALUE"""),"")</f>
        <v/>
      </c>
      <c r="D1172" s="4" t="str">
        <f>IFERROR(__xludf.DUMMYFUNCTION("""COMPUTED_VALUE"""),"")</f>
        <v/>
      </c>
      <c r="E1172" s="4" t="str">
        <f>IFERROR(__xludf.DUMMYFUNCTION("""COMPUTED_VALUE"""),"")</f>
        <v/>
      </c>
      <c r="F1172" s="4" t="str">
        <f>IFERROR(__xludf.DUMMYFUNCTION("""COMPUTED_VALUE"""),"")</f>
        <v/>
      </c>
      <c r="G1172" s="4" t="str">
        <f>IFERROR(__xludf.DUMMYFUNCTION("""COMPUTED_VALUE"""),"")</f>
        <v/>
      </c>
      <c r="H1172" s="4" t="str">
        <f>IFERROR(__xludf.DUMMYFUNCTION("""COMPUTED_VALUE"""),"")</f>
        <v/>
      </c>
      <c r="I1172" s="4" t="str">
        <f>IFERROR(__xludf.DUMMYFUNCTION("""COMPUTED_VALUE"""),"")</f>
        <v/>
      </c>
    </row>
    <row r="1173">
      <c r="A1173" s="4" t="str">
        <f>IFERROR(__xludf.DUMMYFUNCTION("""COMPUTED_VALUE"""),"")</f>
        <v/>
      </c>
      <c r="B1173" s="4" t="str">
        <f>IFERROR(__xludf.DUMMYFUNCTION("""COMPUTED_VALUE"""),"")</f>
        <v/>
      </c>
      <c r="C1173" s="4" t="str">
        <f>IFERROR(__xludf.DUMMYFUNCTION("""COMPUTED_VALUE"""),"")</f>
        <v/>
      </c>
      <c r="D1173" s="4" t="str">
        <f>IFERROR(__xludf.DUMMYFUNCTION("""COMPUTED_VALUE"""),"")</f>
        <v/>
      </c>
      <c r="E1173" s="4" t="str">
        <f>IFERROR(__xludf.DUMMYFUNCTION("""COMPUTED_VALUE"""),"")</f>
        <v/>
      </c>
      <c r="F1173" s="4" t="str">
        <f>IFERROR(__xludf.DUMMYFUNCTION("""COMPUTED_VALUE"""),"")</f>
        <v/>
      </c>
      <c r="G1173" s="4" t="str">
        <f>IFERROR(__xludf.DUMMYFUNCTION("""COMPUTED_VALUE"""),"")</f>
        <v/>
      </c>
      <c r="H1173" s="4" t="str">
        <f>IFERROR(__xludf.DUMMYFUNCTION("""COMPUTED_VALUE"""),"")</f>
        <v/>
      </c>
      <c r="I1173" s="4" t="str">
        <f>IFERROR(__xludf.DUMMYFUNCTION("""COMPUTED_VALUE"""),"")</f>
        <v/>
      </c>
    </row>
    <row r="1174">
      <c r="A1174" s="4" t="str">
        <f>IFERROR(__xludf.DUMMYFUNCTION("""COMPUTED_VALUE"""),"")</f>
        <v/>
      </c>
      <c r="B1174" s="4" t="str">
        <f>IFERROR(__xludf.DUMMYFUNCTION("""COMPUTED_VALUE"""),"")</f>
        <v/>
      </c>
      <c r="C1174" s="4" t="str">
        <f>IFERROR(__xludf.DUMMYFUNCTION("""COMPUTED_VALUE"""),"")</f>
        <v/>
      </c>
      <c r="D1174" s="4" t="str">
        <f>IFERROR(__xludf.DUMMYFUNCTION("""COMPUTED_VALUE"""),"")</f>
        <v/>
      </c>
      <c r="E1174" s="4" t="str">
        <f>IFERROR(__xludf.DUMMYFUNCTION("""COMPUTED_VALUE"""),"")</f>
        <v/>
      </c>
      <c r="F1174" s="4" t="str">
        <f>IFERROR(__xludf.DUMMYFUNCTION("""COMPUTED_VALUE"""),"")</f>
        <v/>
      </c>
      <c r="G1174" s="4" t="str">
        <f>IFERROR(__xludf.DUMMYFUNCTION("""COMPUTED_VALUE"""),"")</f>
        <v/>
      </c>
      <c r="H1174" s="4" t="str">
        <f>IFERROR(__xludf.DUMMYFUNCTION("""COMPUTED_VALUE"""),"")</f>
        <v/>
      </c>
      <c r="I1174" s="4" t="str">
        <f>IFERROR(__xludf.DUMMYFUNCTION("""COMPUTED_VALUE"""),"")</f>
        <v/>
      </c>
    </row>
    <row r="1175">
      <c r="A1175" s="4" t="str">
        <f>IFERROR(__xludf.DUMMYFUNCTION("""COMPUTED_VALUE"""),"")</f>
        <v/>
      </c>
      <c r="B1175" s="4" t="str">
        <f>IFERROR(__xludf.DUMMYFUNCTION("""COMPUTED_VALUE"""),"")</f>
        <v/>
      </c>
      <c r="C1175" s="4" t="str">
        <f>IFERROR(__xludf.DUMMYFUNCTION("""COMPUTED_VALUE"""),"")</f>
        <v/>
      </c>
      <c r="D1175" s="4" t="str">
        <f>IFERROR(__xludf.DUMMYFUNCTION("""COMPUTED_VALUE"""),"")</f>
        <v/>
      </c>
      <c r="E1175" s="4" t="str">
        <f>IFERROR(__xludf.DUMMYFUNCTION("""COMPUTED_VALUE"""),"")</f>
        <v/>
      </c>
      <c r="F1175" s="4" t="str">
        <f>IFERROR(__xludf.DUMMYFUNCTION("""COMPUTED_VALUE"""),"")</f>
        <v/>
      </c>
      <c r="G1175" s="4" t="str">
        <f>IFERROR(__xludf.DUMMYFUNCTION("""COMPUTED_VALUE"""),"")</f>
        <v/>
      </c>
      <c r="H1175" s="4" t="str">
        <f>IFERROR(__xludf.DUMMYFUNCTION("""COMPUTED_VALUE"""),"")</f>
        <v/>
      </c>
      <c r="I1175" s="4" t="str">
        <f>IFERROR(__xludf.DUMMYFUNCTION("""COMPUTED_VALUE"""),"")</f>
        <v/>
      </c>
    </row>
    <row r="1176">
      <c r="A1176" s="4" t="str">
        <f>IFERROR(__xludf.DUMMYFUNCTION("""COMPUTED_VALUE"""),"")</f>
        <v/>
      </c>
      <c r="B1176" s="4" t="str">
        <f>IFERROR(__xludf.DUMMYFUNCTION("""COMPUTED_VALUE"""),"")</f>
        <v/>
      </c>
      <c r="C1176" s="4" t="str">
        <f>IFERROR(__xludf.DUMMYFUNCTION("""COMPUTED_VALUE"""),"")</f>
        <v/>
      </c>
      <c r="D1176" s="4" t="str">
        <f>IFERROR(__xludf.DUMMYFUNCTION("""COMPUTED_VALUE"""),"")</f>
        <v/>
      </c>
      <c r="E1176" s="4" t="str">
        <f>IFERROR(__xludf.DUMMYFUNCTION("""COMPUTED_VALUE"""),"")</f>
        <v/>
      </c>
      <c r="F1176" s="4" t="str">
        <f>IFERROR(__xludf.DUMMYFUNCTION("""COMPUTED_VALUE"""),"")</f>
        <v/>
      </c>
      <c r="G1176" s="4" t="str">
        <f>IFERROR(__xludf.DUMMYFUNCTION("""COMPUTED_VALUE"""),"")</f>
        <v/>
      </c>
      <c r="H1176" s="4" t="str">
        <f>IFERROR(__xludf.DUMMYFUNCTION("""COMPUTED_VALUE"""),"")</f>
        <v/>
      </c>
      <c r="I1176" s="4" t="str">
        <f>IFERROR(__xludf.DUMMYFUNCTION("""COMPUTED_VALUE"""),"")</f>
        <v/>
      </c>
    </row>
    <row r="1177">
      <c r="A1177" s="4" t="str">
        <f>IFERROR(__xludf.DUMMYFUNCTION("""COMPUTED_VALUE"""),"")</f>
        <v/>
      </c>
      <c r="B1177" s="4" t="str">
        <f>IFERROR(__xludf.DUMMYFUNCTION("""COMPUTED_VALUE"""),"")</f>
        <v/>
      </c>
      <c r="C1177" s="4" t="str">
        <f>IFERROR(__xludf.DUMMYFUNCTION("""COMPUTED_VALUE"""),"")</f>
        <v/>
      </c>
      <c r="D1177" s="4" t="str">
        <f>IFERROR(__xludf.DUMMYFUNCTION("""COMPUTED_VALUE"""),"")</f>
        <v/>
      </c>
      <c r="E1177" s="4" t="str">
        <f>IFERROR(__xludf.DUMMYFUNCTION("""COMPUTED_VALUE"""),"")</f>
        <v/>
      </c>
      <c r="F1177" s="4" t="str">
        <f>IFERROR(__xludf.DUMMYFUNCTION("""COMPUTED_VALUE"""),"")</f>
        <v/>
      </c>
      <c r="G1177" s="4" t="str">
        <f>IFERROR(__xludf.DUMMYFUNCTION("""COMPUTED_VALUE"""),"")</f>
        <v/>
      </c>
      <c r="H1177" s="4" t="str">
        <f>IFERROR(__xludf.DUMMYFUNCTION("""COMPUTED_VALUE"""),"")</f>
        <v/>
      </c>
      <c r="I1177" s="4" t="str">
        <f>IFERROR(__xludf.DUMMYFUNCTION("""COMPUTED_VALUE"""),"")</f>
        <v/>
      </c>
    </row>
    <row r="1178">
      <c r="A1178" s="4" t="str">
        <f>IFERROR(__xludf.DUMMYFUNCTION("""COMPUTED_VALUE"""),"")</f>
        <v/>
      </c>
      <c r="B1178" s="4" t="str">
        <f>IFERROR(__xludf.DUMMYFUNCTION("""COMPUTED_VALUE"""),"")</f>
        <v/>
      </c>
      <c r="C1178" s="4" t="str">
        <f>IFERROR(__xludf.DUMMYFUNCTION("""COMPUTED_VALUE"""),"")</f>
        <v/>
      </c>
      <c r="D1178" s="4" t="str">
        <f>IFERROR(__xludf.DUMMYFUNCTION("""COMPUTED_VALUE"""),"")</f>
        <v/>
      </c>
      <c r="E1178" s="4" t="str">
        <f>IFERROR(__xludf.DUMMYFUNCTION("""COMPUTED_VALUE"""),"")</f>
        <v/>
      </c>
      <c r="F1178" s="4" t="str">
        <f>IFERROR(__xludf.DUMMYFUNCTION("""COMPUTED_VALUE"""),"")</f>
        <v/>
      </c>
      <c r="G1178" s="4" t="str">
        <f>IFERROR(__xludf.DUMMYFUNCTION("""COMPUTED_VALUE"""),"")</f>
        <v/>
      </c>
      <c r="H1178" s="4" t="str">
        <f>IFERROR(__xludf.DUMMYFUNCTION("""COMPUTED_VALUE"""),"")</f>
        <v/>
      </c>
      <c r="I1178" s="4" t="str">
        <f>IFERROR(__xludf.DUMMYFUNCTION("""COMPUTED_VALUE"""),"")</f>
        <v/>
      </c>
    </row>
    <row r="1179">
      <c r="A1179" s="4" t="str">
        <f>IFERROR(__xludf.DUMMYFUNCTION("""COMPUTED_VALUE"""),"")</f>
        <v/>
      </c>
      <c r="B1179" s="4" t="str">
        <f>IFERROR(__xludf.DUMMYFUNCTION("""COMPUTED_VALUE"""),"")</f>
        <v/>
      </c>
      <c r="C1179" s="4" t="str">
        <f>IFERROR(__xludf.DUMMYFUNCTION("""COMPUTED_VALUE"""),"")</f>
        <v/>
      </c>
      <c r="D1179" s="4" t="str">
        <f>IFERROR(__xludf.DUMMYFUNCTION("""COMPUTED_VALUE"""),"")</f>
        <v/>
      </c>
      <c r="E1179" s="4" t="str">
        <f>IFERROR(__xludf.DUMMYFUNCTION("""COMPUTED_VALUE"""),"")</f>
        <v/>
      </c>
      <c r="F1179" s="4" t="str">
        <f>IFERROR(__xludf.DUMMYFUNCTION("""COMPUTED_VALUE"""),"")</f>
        <v/>
      </c>
      <c r="G1179" s="4" t="str">
        <f>IFERROR(__xludf.DUMMYFUNCTION("""COMPUTED_VALUE"""),"")</f>
        <v/>
      </c>
      <c r="H1179" s="4" t="str">
        <f>IFERROR(__xludf.DUMMYFUNCTION("""COMPUTED_VALUE"""),"")</f>
        <v/>
      </c>
      <c r="I1179" s="4" t="str">
        <f>IFERROR(__xludf.DUMMYFUNCTION("""COMPUTED_VALUE"""),"")</f>
        <v/>
      </c>
    </row>
    <row r="1180">
      <c r="A1180" s="4" t="str">
        <f>IFERROR(__xludf.DUMMYFUNCTION("""COMPUTED_VALUE"""),"")</f>
        <v/>
      </c>
      <c r="B1180" s="4" t="str">
        <f>IFERROR(__xludf.DUMMYFUNCTION("""COMPUTED_VALUE"""),"")</f>
        <v/>
      </c>
      <c r="C1180" s="4" t="str">
        <f>IFERROR(__xludf.DUMMYFUNCTION("""COMPUTED_VALUE"""),"")</f>
        <v/>
      </c>
      <c r="D1180" s="4" t="str">
        <f>IFERROR(__xludf.DUMMYFUNCTION("""COMPUTED_VALUE"""),"")</f>
        <v/>
      </c>
      <c r="E1180" s="4" t="str">
        <f>IFERROR(__xludf.DUMMYFUNCTION("""COMPUTED_VALUE"""),"")</f>
        <v/>
      </c>
      <c r="F1180" s="4" t="str">
        <f>IFERROR(__xludf.DUMMYFUNCTION("""COMPUTED_VALUE"""),"")</f>
        <v/>
      </c>
      <c r="G1180" s="4" t="str">
        <f>IFERROR(__xludf.DUMMYFUNCTION("""COMPUTED_VALUE"""),"")</f>
        <v/>
      </c>
      <c r="H1180" s="4" t="str">
        <f>IFERROR(__xludf.DUMMYFUNCTION("""COMPUTED_VALUE"""),"")</f>
        <v/>
      </c>
      <c r="I1180" s="4" t="str">
        <f>IFERROR(__xludf.DUMMYFUNCTION("""COMPUTED_VALUE"""),"")</f>
        <v/>
      </c>
    </row>
    <row r="1181">
      <c r="A1181" s="4" t="str">
        <f>IFERROR(__xludf.DUMMYFUNCTION("""COMPUTED_VALUE"""),"")</f>
        <v/>
      </c>
      <c r="B1181" s="4" t="str">
        <f>IFERROR(__xludf.DUMMYFUNCTION("""COMPUTED_VALUE"""),"")</f>
        <v/>
      </c>
      <c r="C1181" s="4" t="str">
        <f>IFERROR(__xludf.DUMMYFUNCTION("""COMPUTED_VALUE"""),"")</f>
        <v/>
      </c>
      <c r="D1181" s="4" t="str">
        <f>IFERROR(__xludf.DUMMYFUNCTION("""COMPUTED_VALUE"""),"")</f>
        <v/>
      </c>
      <c r="E1181" s="4" t="str">
        <f>IFERROR(__xludf.DUMMYFUNCTION("""COMPUTED_VALUE"""),"")</f>
        <v/>
      </c>
      <c r="F1181" s="4" t="str">
        <f>IFERROR(__xludf.DUMMYFUNCTION("""COMPUTED_VALUE"""),"")</f>
        <v/>
      </c>
      <c r="G1181" s="4" t="str">
        <f>IFERROR(__xludf.DUMMYFUNCTION("""COMPUTED_VALUE"""),"")</f>
        <v/>
      </c>
      <c r="H1181" s="4" t="str">
        <f>IFERROR(__xludf.DUMMYFUNCTION("""COMPUTED_VALUE"""),"")</f>
        <v/>
      </c>
      <c r="I1181" s="4" t="str">
        <f>IFERROR(__xludf.DUMMYFUNCTION("""COMPUTED_VALUE"""),"")</f>
        <v/>
      </c>
    </row>
    <row r="1182">
      <c r="A1182" s="4" t="str">
        <f>IFERROR(__xludf.DUMMYFUNCTION("""COMPUTED_VALUE"""),"")</f>
        <v/>
      </c>
      <c r="B1182" s="4" t="str">
        <f>IFERROR(__xludf.DUMMYFUNCTION("""COMPUTED_VALUE"""),"")</f>
        <v/>
      </c>
      <c r="C1182" s="4" t="str">
        <f>IFERROR(__xludf.DUMMYFUNCTION("""COMPUTED_VALUE"""),"")</f>
        <v/>
      </c>
      <c r="D1182" s="4" t="str">
        <f>IFERROR(__xludf.DUMMYFUNCTION("""COMPUTED_VALUE"""),"")</f>
        <v/>
      </c>
      <c r="E1182" s="4" t="str">
        <f>IFERROR(__xludf.DUMMYFUNCTION("""COMPUTED_VALUE"""),"")</f>
        <v/>
      </c>
      <c r="F1182" s="4" t="str">
        <f>IFERROR(__xludf.DUMMYFUNCTION("""COMPUTED_VALUE"""),"")</f>
        <v/>
      </c>
      <c r="G1182" s="4" t="str">
        <f>IFERROR(__xludf.DUMMYFUNCTION("""COMPUTED_VALUE"""),"")</f>
        <v/>
      </c>
      <c r="H1182" s="4" t="str">
        <f>IFERROR(__xludf.DUMMYFUNCTION("""COMPUTED_VALUE"""),"")</f>
        <v/>
      </c>
      <c r="I1182" s="4" t="str">
        <f>IFERROR(__xludf.DUMMYFUNCTION("""COMPUTED_VALUE"""),"")</f>
        <v/>
      </c>
    </row>
    <row r="1183">
      <c r="A1183" s="4" t="str">
        <f>IFERROR(__xludf.DUMMYFUNCTION("""COMPUTED_VALUE"""),"")</f>
        <v/>
      </c>
      <c r="B1183" s="4" t="str">
        <f>IFERROR(__xludf.DUMMYFUNCTION("""COMPUTED_VALUE"""),"")</f>
        <v/>
      </c>
      <c r="C1183" s="4" t="str">
        <f>IFERROR(__xludf.DUMMYFUNCTION("""COMPUTED_VALUE"""),"")</f>
        <v/>
      </c>
      <c r="D1183" s="4" t="str">
        <f>IFERROR(__xludf.DUMMYFUNCTION("""COMPUTED_VALUE"""),"")</f>
        <v/>
      </c>
      <c r="E1183" s="4" t="str">
        <f>IFERROR(__xludf.DUMMYFUNCTION("""COMPUTED_VALUE"""),"")</f>
        <v/>
      </c>
      <c r="F1183" s="4" t="str">
        <f>IFERROR(__xludf.DUMMYFUNCTION("""COMPUTED_VALUE"""),"")</f>
        <v/>
      </c>
      <c r="G1183" s="4" t="str">
        <f>IFERROR(__xludf.DUMMYFUNCTION("""COMPUTED_VALUE"""),"")</f>
        <v/>
      </c>
      <c r="H1183" s="4" t="str">
        <f>IFERROR(__xludf.DUMMYFUNCTION("""COMPUTED_VALUE"""),"")</f>
        <v/>
      </c>
      <c r="I1183" s="4" t="str">
        <f>IFERROR(__xludf.DUMMYFUNCTION("""COMPUTED_VALUE"""),"")</f>
        <v/>
      </c>
    </row>
    <row r="1184">
      <c r="A1184" s="4" t="str">
        <f>IFERROR(__xludf.DUMMYFUNCTION("""COMPUTED_VALUE"""),"")</f>
        <v/>
      </c>
      <c r="B1184" s="4" t="str">
        <f>IFERROR(__xludf.DUMMYFUNCTION("""COMPUTED_VALUE"""),"")</f>
        <v/>
      </c>
      <c r="C1184" s="4" t="str">
        <f>IFERROR(__xludf.DUMMYFUNCTION("""COMPUTED_VALUE"""),"")</f>
        <v/>
      </c>
      <c r="D1184" s="4" t="str">
        <f>IFERROR(__xludf.DUMMYFUNCTION("""COMPUTED_VALUE"""),"")</f>
        <v/>
      </c>
      <c r="E1184" s="4" t="str">
        <f>IFERROR(__xludf.DUMMYFUNCTION("""COMPUTED_VALUE"""),"")</f>
        <v/>
      </c>
      <c r="F1184" s="4" t="str">
        <f>IFERROR(__xludf.DUMMYFUNCTION("""COMPUTED_VALUE"""),"")</f>
        <v/>
      </c>
      <c r="G1184" s="4" t="str">
        <f>IFERROR(__xludf.DUMMYFUNCTION("""COMPUTED_VALUE"""),"")</f>
        <v/>
      </c>
      <c r="H1184" s="4" t="str">
        <f>IFERROR(__xludf.DUMMYFUNCTION("""COMPUTED_VALUE"""),"")</f>
        <v/>
      </c>
      <c r="I1184" s="4" t="str">
        <f>IFERROR(__xludf.DUMMYFUNCTION("""COMPUTED_VALUE"""),"")</f>
        <v/>
      </c>
    </row>
    <row r="1185">
      <c r="A1185" s="4" t="str">
        <f>IFERROR(__xludf.DUMMYFUNCTION("""COMPUTED_VALUE"""),"")</f>
        <v/>
      </c>
      <c r="B1185" s="4" t="str">
        <f>IFERROR(__xludf.DUMMYFUNCTION("""COMPUTED_VALUE"""),"")</f>
        <v/>
      </c>
      <c r="C1185" s="4" t="str">
        <f>IFERROR(__xludf.DUMMYFUNCTION("""COMPUTED_VALUE"""),"")</f>
        <v/>
      </c>
      <c r="D1185" s="4" t="str">
        <f>IFERROR(__xludf.DUMMYFUNCTION("""COMPUTED_VALUE"""),"")</f>
        <v/>
      </c>
      <c r="E1185" s="4" t="str">
        <f>IFERROR(__xludf.DUMMYFUNCTION("""COMPUTED_VALUE"""),"")</f>
        <v/>
      </c>
      <c r="F1185" s="4" t="str">
        <f>IFERROR(__xludf.DUMMYFUNCTION("""COMPUTED_VALUE"""),"")</f>
        <v/>
      </c>
      <c r="G1185" s="4" t="str">
        <f>IFERROR(__xludf.DUMMYFUNCTION("""COMPUTED_VALUE"""),"")</f>
        <v/>
      </c>
      <c r="H1185" s="4" t="str">
        <f>IFERROR(__xludf.DUMMYFUNCTION("""COMPUTED_VALUE"""),"")</f>
        <v/>
      </c>
      <c r="I1185" s="4" t="str">
        <f>IFERROR(__xludf.DUMMYFUNCTION("""COMPUTED_VALUE"""),"")</f>
        <v/>
      </c>
    </row>
    <row r="1186">
      <c r="A1186" s="4" t="str">
        <f>IFERROR(__xludf.DUMMYFUNCTION("""COMPUTED_VALUE"""),"")</f>
        <v/>
      </c>
      <c r="B1186" s="4" t="str">
        <f>IFERROR(__xludf.DUMMYFUNCTION("""COMPUTED_VALUE"""),"")</f>
        <v/>
      </c>
      <c r="C1186" s="4" t="str">
        <f>IFERROR(__xludf.DUMMYFUNCTION("""COMPUTED_VALUE"""),"")</f>
        <v/>
      </c>
      <c r="D1186" s="4" t="str">
        <f>IFERROR(__xludf.DUMMYFUNCTION("""COMPUTED_VALUE"""),"")</f>
        <v/>
      </c>
      <c r="E1186" s="4" t="str">
        <f>IFERROR(__xludf.DUMMYFUNCTION("""COMPUTED_VALUE"""),"")</f>
        <v/>
      </c>
      <c r="F1186" s="4" t="str">
        <f>IFERROR(__xludf.DUMMYFUNCTION("""COMPUTED_VALUE"""),"")</f>
        <v/>
      </c>
      <c r="G1186" s="4" t="str">
        <f>IFERROR(__xludf.DUMMYFUNCTION("""COMPUTED_VALUE"""),"")</f>
        <v/>
      </c>
      <c r="H1186" s="4" t="str">
        <f>IFERROR(__xludf.DUMMYFUNCTION("""COMPUTED_VALUE"""),"")</f>
        <v/>
      </c>
      <c r="I1186" s="4" t="str">
        <f>IFERROR(__xludf.DUMMYFUNCTION("""COMPUTED_VALUE"""),"")</f>
        <v/>
      </c>
    </row>
    <row r="1187">
      <c r="A1187" s="4" t="str">
        <f>IFERROR(__xludf.DUMMYFUNCTION("""COMPUTED_VALUE"""),"")</f>
        <v/>
      </c>
      <c r="B1187" s="4" t="str">
        <f>IFERROR(__xludf.DUMMYFUNCTION("""COMPUTED_VALUE"""),"")</f>
        <v/>
      </c>
      <c r="C1187" s="4" t="str">
        <f>IFERROR(__xludf.DUMMYFUNCTION("""COMPUTED_VALUE"""),"")</f>
        <v/>
      </c>
      <c r="D1187" s="4" t="str">
        <f>IFERROR(__xludf.DUMMYFUNCTION("""COMPUTED_VALUE"""),"")</f>
        <v/>
      </c>
      <c r="E1187" s="4" t="str">
        <f>IFERROR(__xludf.DUMMYFUNCTION("""COMPUTED_VALUE"""),"")</f>
        <v/>
      </c>
      <c r="F1187" s="4" t="str">
        <f>IFERROR(__xludf.DUMMYFUNCTION("""COMPUTED_VALUE"""),"")</f>
        <v/>
      </c>
      <c r="G1187" s="4" t="str">
        <f>IFERROR(__xludf.DUMMYFUNCTION("""COMPUTED_VALUE"""),"")</f>
        <v/>
      </c>
      <c r="H1187" s="4" t="str">
        <f>IFERROR(__xludf.DUMMYFUNCTION("""COMPUTED_VALUE"""),"")</f>
        <v/>
      </c>
      <c r="I1187" s="4" t="str">
        <f>IFERROR(__xludf.DUMMYFUNCTION("""COMPUTED_VALUE"""),"")</f>
        <v/>
      </c>
    </row>
    <row r="1188">
      <c r="A1188" s="4" t="str">
        <f>IFERROR(__xludf.DUMMYFUNCTION("""COMPUTED_VALUE"""),"")</f>
        <v/>
      </c>
      <c r="B1188" s="4" t="str">
        <f>IFERROR(__xludf.DUMMYFUNCTION("""COMPUTED_VALUE"""),"")</f>
        <v/>
      </c>
      <c r="C1188" s="4" t="str">
        <f>IFERROR(__xludf.DUMMYFUNCTION("""COMPUTED_VALUE"""),"")</f>
        <v/>
      </c>
      <c r="D1188" s="4" t="str">
        <f>IFERROR(__xludf.DUMMYFUNCTION("""COMPUTED_VALUE"""),"")</f>
        <v/>
      </c>
      <c r="E1188" s="4" t="str">
        <f>IFERROR(__xludf.DUMMYFUNCTION("""COMPUTED_VALUE"""),"")</f>
        <v/>
      </c>
      <c r="F1188" s="4" t="str">
        <f>IFERROR(__xludf.DUMMYFUNCTION("""COMPUTED_VALUE"""),"")</f>
        <v/>
      </c>
      <c r="G1188" s="4" t="str">
        <f>IFERROR(__xludf.DUMMYFUNCTION("""COMPUTED_VALUE"""),"")</f>
        <v/>
      </c>
      <c r="H1188" s="4" t="str">
        <f>IFERROR(__xludf.DUMMYFUNCTION("""COMPUTED_VALUE"""),"")</f>
        <v/>
      </c>
      <c r="I1188" s="4" t="str">
        <f>IFERROR(__xludf.DUMMYFUNCTION("""COMPUTED_VALUE"""),"")</f>
        <v/>
      </c>
    </row>
    <row r="1189">
      <c r="A1189" s="4" t="str">
        <f>IFERROR(__xludf.DUMMYFUNCTION("""COMPUTED_VALUE"""),"")</f>
        <v/>
      </c>
      <c r="B1189" s="4" t="str">
        <f>IFERROR(__xludf.DUMMYFUNCTION("""COMPUTED_VALUE"""),"")</f>
        <v/>
      </c>
      <c r="C1189" s="4" t="str">
        <f>IFERROR(__xludf.DUMMYFUNCTION("""COMPUTED_VALUE"""),"")</f>
        <v/>
      </c>
      <c r="D1189" s="4" t="str">
        <f>IFERROR(__xludf.DUMMYFUNCTION("""COMPUTED_VALUE"""),"")</f>
        <v/>
      </c>
      <c r="E1189" s="4" t="str">
        <f>IFERROR(__xludf.DUMMYFUNCTION("""COMPUTED_VALUE"""),"")</f>
        <v/>
      </c>
      <c r="F1189" s="4" t="str">
        <f>IFERROR(__xludf.DUMMYFUNCTION("""COMPUTED_VALUE"""),"")</f>
        <v/>
      </c>
      <c r="G1189" s="4" t="str">
        <f>IFERROR(__xludf.DUMMYFUNCTION("""COMPUTED_VALUE"""),"")</f>
        <v/>
      </c>
      <c r="H1189" s="4" t="str">
        <f>IFERROR(__xludf.DUMMYFUNCTION("""COMPUTED_VALUE"""),"")</f>
        <v/>
      </c>
      <c r="I1189" s="4" t="str">
        <f>IFERROR(__xludf.DUMMYFUNCTION("""COMPUTED_VALUE"""),"")</f>
        <v/>
      </c>
    </row>
    <row r="1190">
      <c r="A1190" s="4" t="str">
        <f>IFERROR(__xludf.DUMMYFUNCTION("""COMPUTED_VALUE"""),"")</f>
        <v/>
      </c>
      <c r="B1190" s="4" t="str">
        <f>IFERROR(__xludf.DUMMYFUNCTION("""COMPUTED_VALUE"""),"")</f>
        <v/>
      </c>
      <c r="C1190" s="4" t="str">
        <f>IFERROR(__xludf.DUMMYFUNCTION("""COMPUTED_VALUE"""),"")</f>
        <v/>
      </c>
      <c r="D1190" s="4" t="str">
        <f>IFERROR(__xludf.DUMMYFUNCTION("""COMPUTED_VALUE"""),"")</f>
        <v/>
      </c>
      <c r="E1190" s="4" t="str">
        <f>IFERROR(__xludf.DUMMYFUNCTION("""COMPUTED_VALUE"""),"")</f>
        <v/>
      </c>
      <c r="F1190" s="4" t="str">
        <f>IFERROR(__xludf.DUMMYFUNCTION("""COMPUTED_VALUE"""),"")</f>
        <v/>
      </c>
      <c r="G1190" s="4" t="str">
        <f>IFERROR(__xludf.DUMMYFUNCTION("""COMPUTED_VALUE"""),"")</f>
        <v/>
      </c>
      <c r="H1190" s="4" t="str">
        <f>IFERROR(__xludf.DUMMYFUNCTION("""COMPUTED_VALUE"""),"")</f>
        <v/>
      </c>
      <c r="I1190" s="4" t="str">
        <f>IFERROR(__xludf.DUMMYFUNCTION("""COMPUTED_VALUE"""),"")</f>
        <v/>
      </c>
    </row>
    <row r="1191">
      <c r="A1191" s="4" t="str">
        <f>IFERROR(__xludf.DUMMYFUNCTION("""COMPUTED_VALUE"""),"")</f>
        <v/>
      </c>
      <c r="B1191" s="4" t="str">
        <f>IFERROR(__xludf.DUMMYFUNCTION("""COMPUTED_VALUE"""),"")</f>
        <v/>
      </c>
      <c r="C1191" s="4" t="str">
        <f>IFERROR(__xludf.DUMMYFUNCTION("""COMPUTED_VALUE"""),"")</f>
        <v/>
      </c>
      <c r="D1191" s="4" t="str">
        <f>IFERROR(__xludf.DUMMYFUNCTION("""COMPUTED_VALUE"""),"")</f>
        <v/>
      </c>
      <c r="E1191" s="4" t="str">
        <f>IFERROR(__xludf.DUMMYFUNCTION("""COMPUTED_VALUE"""),"")</f>
        <v/>
      </c>
      <c r="F1191" s="4" t="str">
        <f>IFERROR(__xludf.DUMMYFUNCTION("""COMPUTED_VALUE"""),"")</f>
        <v/>
      </c>
      <c r="G1191" s="4" t="str">
        <f>IFERROR(__xludf.DUMMYFUNCTION("""COMPUTED_VALUE"""),"")</f>
        <v/>
      </c>
      <c r="H1191" s="4" t="str">
        <f>IFERROR(__xludf.DUMMYFUNCTION("""COMPUTED_VALUE"""),"")</f>
        <v/>
      </c>
      <c r="I1191" s="4" t="str">
        <f>IFERROR(__xludf.DUMMYFUNCTION("""COMPUTED_VALUE"""),"")</f>
        <v/>
      </c>
    </row>
    <row r="1192">
      <c r="A1192" s="4" t="str">
        <f>IFERROR(__xludf.DUMMYFUNCTION("""COMPUTED_VALUE"""),"")</f>
        <v/>
      </c>
      <c r="B1192" s="4" t="str">
        <f>IFERROR(__xludf.DUMMYFUNCTION("""COMPUTED_VALUE"""),"")</f>
        <v/>
      </c>
      <c r="C1192" s="4" t="str">
        <f>IFERROR(__xludf.DUMMYFUNCTION("""COMPUTED_VALUE"""),"")</f>
        <v/>
      </c>
      <c r="D1192" s="4" t="str">
        <f>IFERROR(__xludf.DUMMYFUNCTION("""COMPUTED_VALUE"""),"")</f>
        <v/>
      </c>
      <c r="E1192" s="4" t="str">
        <f>IFERROR(__xludf.DUMMYFUNCTION("""COMPUTED_VALUE"""),"")</f>
        <v/>
      </c>
      <c r="F1192" s="4" t="str">
        <f>IFERROR(__xludf.DUMMYFUNCTION("""COMPUTED_VALUE"""),"")</f>
        <v/>
      </c>
      <c r="G1192" s="4" t="str">
        <f>IFERROR(__xludf.DUMMYFUNCTION("""COMPUTED_VALUE"""),"")</f>
        <v/>
      </c>
      <c r="H1192" s="4" t="str">
        <f>IFERROR(__xludf.DUMMYFUNCTION("""COMPUTED_VALUE"""),"")</f>
        <v/>
      </c>
      <c r="I1192" s="4" t="str">
        <f>IFERROR(__xludf.DUMMYFUNCTION("""COMPUTED_VALUE"""),"")</f>
        <v/>
      </c>
    </row>
    <row r="1193">
      <c r="A1193" s="4" t="str">
        <f>IFERROR(__xludf.DUMMYFUNCTION("""COMPUTED_VALUE"""),"")</f>
        <v/>
      </c>
      <c r="B1193" s="4" t="str">
        <f>IFERROR(__xludf.DUMMYFUNCTION("""COMPUTED_VALUE"""),"")</f>
        <v/>
      </c>
      <c r="C1193" s="4" t="str">
        <f>IFERROR(__xludf.DUMMYFUNCTION("""COMPUTED_VALUE"""),"")</f>
        <v/>
      </c>
      <c r="D1193" s="4" t="str">
        <f>IFERROR(__xludf.DUMMYFUNCTION("""COMPUTED_VALUE"""),"")</f>
        <v/>
      </c>
      <c r="E1193" s="4" t="str">
        <f>IFERROR(__xludf.DUMMYFUNCTION("""COMPUTED_VALUE"""),"")</f>
        <v/>
      </c>
      <c r="F1193" s="4" t="str">
        <f>IFERROR(__xludf.DUMMYFUNCTION("""COMPUTED_VALUE"""),"")</f>
        <v/>
      </c>
      <c r="G1193" s="4" t="str">
        <f>IFERROR(__xludf.DUMMYFUNCTION("""COMPUTED_VALUE"""),"")</f>
        <v/>
      </c>
      <c r="H1193" s="4" t="str">
        <f>IFERROR(__xludf.DUMMYFUNCTION("""COMPUTED_VALUE"""),"")</f>
        <v/>
      </c>
      <c r="I1193" s="4" t="str">
        <f>IFERROR(__xludf.DUMMYFUNCTION("""COMPUTED_VALUE"""),"")</f>
        <v/>
      </c>
    </row>
    <row r="1194">
      <c r="A1194" s="4" t="str">
        <f>IFERROR(__xludf.DUMMYFUNCTION("""COMPUTED_VALUE"""),"")</f>
        <v/>
      </c>
      <c r="B1194" s="4" t="str">
        <f>IFERROR(__xludf.DUMMYFUNCTION("""COMPUTED_VALUE"""),"")</f>
        <v/>
      </c>
      <c r="C1194" s="4" t="str">
        <f>IFERROR(__xludf.DUMMYFUNCTION("""COMPUTED_VALUE"""),"")</f>
        <v/>
      </c>
      <c r="D1194" s="4" t="str">
        <f>IFERROR(__xludf.DUMMYFUNCTION("""COMPUTED_VALUE"""),"")</f>
        <v/>
      </c>
      <c r="E1194" s="4" t="str">
        <f>IFERROR(__xludf.DUMMYFUNCTION("""COMPUTED_VALUE"""),"")</f>
        <v/>
      </c>
      <c r="F1194" s="4" t="str">
        <f>IFERROR(__xludf.DUMMYFUNCTION("""COMPUTED_VALUE"""),"")</f>
        <v/>
      </c>
      <c r="G1194" s="4" t="str">
        <f>IFERROR(__xludf.DUMMYFUNCTION("""COMPUTED_VALUE"""),"")</f>
        <v/>
      </c>
      <c r="H1194" s="4" t="str">
        <f>IFERROR(__xludf.DUMMYFUNCTION("""COMPUTED_VALUE"""),"")</f>
        <v/>
      </c>
      <c r="I1194" s="4" t="str">
        <f>IFERROR(__xludf.DUMMYFUNCTION("""COMPUTED_VALUE"""),"")</f>
        <v/>
      </c>
    </row>
    <row r="1195">
      <c r="A1195" s="4" t="str">
        <f>IFERROR(__xludf.DUMMYFUNCTION("""COMPUTED_VALUE"""),"")</f>
        <v/>
      </c>
      <c r="B1195" s="4" t="str">
        <f>IFERROR(__xludf.DUMMYFUNCTION("""COMPUTED_VALUE"""),"")</f>
        <v/>
      </c>
      <c r="C1195" s="4" t="str">
        <f>IFERROR(__xludf.DUMMYFUNCTION("""COMPUTED_VALUE"""),"")</f>
        <v/>
      </c>
      <c r="D1195" s="4" t="str">
        <f>IFERROR(__xludf.DUMMYFUNCTION("""COMPUTED_VALUE"""),"")</f>
        <v/>
      </c>
      <c r="E1195" s="4" t="str">
        <f>IFERROR(__xludf.DUMMYFUNCTION("""COMPUTED_VALUE"""),"")</f>
        <v/>
      </c>
      <c r="F1195" s="4" t="str">
        <f>IFERROR(__xludf.DUMMYFUNCTION("""COMPUTED_VALUE"""),"")</f>
        <v/>
      </c>
      <c r="G1195" s="4" t="str">
        <f>IFERROR(__xludf.DUMMYFUNCTION("""COMPUTED_VALUE"""),"")</f>
        <v/>
      </c>
      <c r="H1195" s="4" t="str">
        <f>IFERROR(__xludf.DUMMYFUNCTION("""COMPUTED_VALUE"""),"")</f>
        <v/>
      </c>
      <c r="I1195" s="4" t="str">
        <f>IFERROR(__xludf.DUMMYFUNCTION("""COMPUTED_VALUE"""),"")</f>
        <v/>
      </c>
    </row>
    <row r="1196">
      <c r="A1196" s="4" t="str">
        <f>IFERROR(__xludf.DUMMYFUNCTION("""COMPUTED_VALUE"""),"")</f>
        <v/>
      </c>
      <c r="B1196" s="4" t="str">
        <f>IFERROR(__xludf.DUMMYFUNCTION("""COMPUTED_VALUE"""),"")</f>
        <v/>
      </c>
      <c r="C1196" s="4" t="str">
        <f>IFERROR(__xludf.DUMMYFUNCTION("""COMPUTED_VALUE"""),"")</f>
        <v/>
      </c>
      <c r="D1196" s="4" t="str">
        <f>IFERROR(__xludf.DUMMYFUNCTION("""COMPUTED_VALUE"""),"")</f>
        <v/>
      </c>
      <c r="E1196" s="4" t="str">
        <f>IFERROR(__xludf.DUMMYFUNCTION("""COMPUTED_VALUE"""),"")</f>
        <v/>
      </c>
      <c r="F1196" s="4" t="str">
        <f>IFERROR(__xludf.DUMMYFUNCTION("""COMPUTED_VALUE"""),"")</f>
        <v/>
      </c>
      <c r="G1196" s="4" t="str">
        <f>IFERROR(__xludf.DUMMYFUNCTION("""COMPUTED_VALUE"""),"")</f>
        <v/>
      </c>
      <c r="H1196" s="4" t="str">
        <f>IFERROR(__xludf.DUMMYFUNCTION("""COMPUTED_VALUE"""),"")</f>
        <v/>
      </c>
      <c r="I1196" s="4" t="str">
        <f>IFERROR(__xludf.DUMMYFUNCTION("""COMPUTED_VALUE"""),"")</f>
        <v/>
      </c>
    </row>
    <row r="1197">
      <c r="A1197" s="4" t="str">
        <f>IFERROR(__xludf.DUMMYFUNCTION("""COMPUTED_VALUE"""),"")</f>
        <v/>
      </c>
      <c r="B1197" s="4" t="str">
        <f>IFERROR(__xludf.DUMMYFUNCTION("""COMPUTED_VALUE"""),"")</f>
        <v/>
      </c>
      <c r="C1197" s="4" t="str">
        <f>IFERROR(__xludf.DUMMYFUNCTION("""COMPUTED_VALUE"""),"")</f>
        <v/>
      </c>
      <c r="D1197" s="4" t="str">
        <f>IFERROR(__xludf.DUMMYFUNCTION("""COMPUTED_VALUE"""),"")</f>
        <v/>
      </c>
      <c r="E1197" s="4" t="str">
        <f>IFERROR(__xludf.DUMMYFUNCTION("""COMPUTED_VALUE"""),"")</f>
        <v/>
      </c>
      <c r="F1197" s="4" t="str">
        <f>IFERROR(__xludf.DUMMYFUNCTION("""COMPUTED_VALUE"""),"")</f>
        <v/>
      </c>
      <c r="G1197" s="4" t="str">
        <f>IFERROR(__xludf.DUMMYFUNCTION("""COMPUTED_VALUE"""),"")</f>
        <v/>
      </c>
      <c r="H1197" s="4" t="str">
        <f>IFERROR(__xludf.DUMMYFUNCTION("""COMPUTED_VALUE"""),"")</f>
        <v/>
      </c>
      <c r="I1197" s="4" t="str">
        <f>IFERROR(__xludf.DUMMYFUNCTION("""COMPUTED_VALUE"""),"")</f>
        <v/>
      </c>
    </row>
    <row r="1198">
      <c r="A1198" s="4" t="str">
        <f>IFERROR(__xludf.DUMMYFUNCTION("""COMPUTED_VALUE"""),"")</f>
        <v/>
      </c>
      <c r="B1198" s="4" t="str">
        <f>IFERROR(__xludf.DUMMYFUNCTION("""COMPUTED_VALUE"""),"")</f>
        <v/>
      </c>
      <c r="C1198" s="4" t="str">
        <f>IFERROR(__xludf.DUMMYFUNCTION("""COMPUTED_VALUE"""),"")</f>
        <v/>
      </c>
      <c r="D1198" s="4" t="str">
        <f>IFERROR(__xludf.DUMMYFUNCTION("""COMPUTED_VALUE"""),"")</f>
        <v/>
      </c>
      <c r="E1198" s="4" t="str">
        <f>IFERROR(__xludf.DUMMYFUNCTION("""COMPUTED_VALUE"""),"")</f>
        <v/>
      </c>
      <c r="F1198" s="4" t="str">
        <f>IFERROR(__xludf.DUMMYFUNCTION("""COMPUTED_VALUE"""),"")</f>
        <v/>
      </c>
      <c r="G1198" s="4" t="str">
        <f>IFERROR(__xludf.DUMMYFUNCTION("""COMPUTED_VALUE"""),"")</f>
        <v/>
      </c>
      <c r="H1198" s="4" t="str">
        <f>IFERROR(__xludf.DUMMYFUNCTION("""COMPUTED_VALUE"""),"")</f>
        <v/>
      </c>
      <c r="I1198" s="4" t="str">
        <f>IFERROR(__xludf.DUMMYFUNCTION("""COMPUTED_VALUE"""),"")</f>
        <v/>
      </c>
    </row>
    <row r="1199">
      <c r="A1199" s="4" t="str">
        <f>IFERROR(__xludf.DUMMYFUNCTION("""COMPUTED_VALUE"""),"")</f>
        <v/>
      </c>
      <c r="B1199" s="4" t="str">
        <f>IFERROR(__xludf.DUMMYFUNCTION("""COMPUTED_VALUE"""),"")</f>
        <v/>
      </c>
      <c r="C1199" s="4" t="str">
        <f>IFERROR(__xludf.DUMMYFUNCTION("""COMPUTED_VALUE"""),"")</f>
        <v/>
      </c>
      <c r="D1199" s="4" t="str">
        <f>IFERROR(__xludf.DUMMYFUNCTION("""COMPUTED_VALUE"""),"")</f>
        <v/>
      </c>
      <c r="E1199" s="4" t="str">
        <f>IFERROR(__xludf.DUMMYFUNCTION("""COMPUTED_VALUE"""),"")</f>
        <v/>
      </c>
      <c r="F1199" s="4" t="str">
        <f>IFERROR(__xludf.DUMMYFUNCTION("""COMPUTED_VALUE"""),"")</f>
        <v/>
      </c>
      <c r="G1199" s="4" t="str">
        <f>IFERROR(__xludf.DUMMYFUNCTION("""COMPUTED_VALUE"""),"")</f>
        <v/>
      </c>
      <c r="H1199" s="4" t="str">
        <f>IFERROR(__xludf.DUMMYFUNCTION("""COMPUTED_VALUE"""),"")</f>
        <v/>
      </c>
      <c r="I1199" s="4" t="str">
        <f>IFERROR(__xludf.DUMMYFUNCTION("""COMPUTED_VALUE"""),"")</f>
        <v/>
      </c>
    </row>
    <row r="1200">
      <c r="A1200" s="4" t="str">
        <f>IFERROR(__xludf.DUMMYFUNCTION("""COMPUTED_VALUE"""),"")</f>
        <v/>
      </c>
      <c r="B1200" s="4" t="str">
        <f>IFERROR(__xludf.DUMMYFUNCTION("""COMPUTED_VALUE"""),"")</f>
        <v/>
      </c>
      <c r="C1200" s="4" t="str">
        <f>IFERROR(__xludf.DUMMYFUNCTION("""COMPUTED_VALUE"""),"")</f>
        <v/>
      </c>
      <c r="D1200" s="4" t="str">
        <f>IFERROR(__xludf.DUMMYFUNCTION("""COMPUTED_VALUE"""),"")</f>
        <v/>
      </c>
      <c r="E1200" s="4" t="str">
        <f>IFERROR(__xludf.DUMMYFUNCTION("""COMPUTED_VALUE"""),"")</f>
        <v/>
      </c>
      <c r="F1200" s="4" t="str">
        <f>IFERROR(__xludf.DUMMYFUNCTION("""COMPUTED_VALUE"""),"")</f>
        <v/>
      </c>
      <c r="G1200" s="4" t="str">
        <f>IFERROR(__xludf.DUMMYFUNCTION("""COMPUTED_VALUE"""),"")</f>
        <v/>
      </c>
      <c r="H1200" s="4" t="str">
        <f>IFERROR(__xludf.DUMMYFUNCTION("""COMPUTED_VALUE"""),"")</f>
        <v/>
      </c>
      <c r="I1200" s="4" t="str">
        <f>IFERROR(__xludf.DUMMYFUNCTION("""COMPUTED_VALUE"""),"")</f>
        <v/>
      </c>
    </row>
    <row r="1201">
      <c r="A1201" s="4" t="str">
        <f>IFERROR(__xludf.DUMMYFUNCTION("""COMPUTED_VALUE"""),"")</f>
        <v/>
      </c>
      <c r="B1201" s="4" t="str">
        <f>IFERROR(__xludf.DUMMYFUNCTION("""COMPUTED_VALUE"""),"")</f>
        <v/>
      </c>
      <c r="C1201" s="4" t="str">
        <f>IFERROR(__xludf.DUMMYFUNCTION("""COMPUTED_VALUE"""),"")</f>
        <v/>
      </c>
      <c r="D1201" s="4" t="str">
        <f>IFERROR(__xludf.DUMMYFUNCTION("""COMPUTED_VALUE"""),"")</f>
        <v/>
      </c>
      <c r="E1201" s="4" t="str">
        <f>IFERROR(__xludf.DUMMYFUNCTION("""COMPUTED_VALUE"""),"")</f>
        <v/>
      </c>
      <c r="F1201" s="4" t="str">
        <f>IFERROR(__xludf.DUMMYFUNCTION("""COMPUTED_VALUE"""),"")</f>
        <v/>
      </c>
      <c r="G1201" s="4" t="str">
        <f>IFERROR(__xludf.DUMMYFUNCTION("""COMPUTED_VALUE"""),"")</f>
        <v/>
      </c>
      <c r="H1201" s="4" t="str">
        <f>IFERROR(__xludf.DUMMYFUNCTION("""COMPUTED_VALUE"""),"")</f>
        <v/>
      </c>
      <c r="I1201" s="4" t="str">
        <f>IFERROR(__xludf.DUMMYFUNCTION("""COMPUTED_VALUE"""),"")</f>
        <v/>
      </c>
    </row>
    <row r="1202">
      <c r="A1202" s="4" t="str">
        <f>IFERROR(__xludf.DUMMYFUNCTION("""COMPUTED_VALUE"""),"")</f>
        <v/>
      </c>
      <c r="B1202" s="4" t="str">
        <f>IFERROR(__xludf.DUMMYFUNCTION("""COMPUTED_VALUE"""),"")</f>
        <v/>
      </c>
      <c r="C1202" s="4" t="str">
        <f>IFERROR(__xludf.DUMMYFUNCTION("""COMPUTED_VALUE"""),"")</f>
        <v/>
      </c>
      <c r="D1202" s="4" t="str">
        <f>IFERROR(__xludf.DUMMYFUNCTION("""COMPUTED_VALUE"""),"")</f>
        <v/>
      </c>
      <c r="E1202" s="4" t="str">
        <f>IFERROR(__xludf.DUMMYFUNCTION("""COMPUTED_VALUE"""),"")</f>
        <v/>
      </c>
      <c r="F1202" s="4" t="str">
        <f>IFERROR(__xludf.DUMMYFUNCTION("""COMPUTED_VALUE"""),"")</f>
        <v/>
      </c>
      <c r="G1202" s="4" t="str">
        <f>IFERROR(__xludf.DUMMYFUNCTION("""COMPUTED_VALUE"""),"")</f>
        <v/>
      </c>
      <c r="H1202" s="4" t="str">
        <f>IFERROR(__xludf.DUMMYFUNCTION("""COMPUTED_VALUE"""),"")</f>
        <v/>
      </c>
      <c r="I1202" s="4" t="str">
        <f>IFERROR(__xludf.DUMMYFUNCTION("""COMPUTED_VALUE"""),"")</f>
        <v/>
      </c>
    </row>
    <row r="1203">
      <c r="A1203" s="4" t="str">
        <f>IFERROR(__xludf.DUMMYFUNCTION("""COMPUTED_VALUE"""),"")</f>
        <v/>
      </c>
      <c r="B1203" s="4" t="str">
        <f>IFERROR(__xludf.DUMMYFUNCTION("""COMPUTED_VALUE"""),"")</f>
        <v/>
      </c>
      <c r="C1203" s="4" t="str">
        <f>IFERROR(__xludf.DUMMYFUNCTION("""COMPUTED_VALUE"""),"")</f>
        <v/>
      </c>
      <c r="D1203" s="4" t="str">
        <f>IFERROR(__xludf.DUMMYFUNCTION("""COMPUTED_VALUE"""),"")</f>
        <v/>
      </c>
      <c r="E1203" s="4" t="str">
        <f>IFERROR(__xludf.DUMMYFUNCTION("""COMPUTED_VALUE"""),"")</f>
        <v/>
      </c>
      <c r="F1203" s="4" t="str">
        <f>IFERROR(__xludf.DUMMYFUNCTION("""COMPUTED_VALUE"""),"")</f>
        <v/>
      </c>
      <c r="G1203" s="4" t="str">
        <f>IFERROR(__xludf.DUMMYFUNCTION("""COMPUTED_VALUE"""),"")</f>
        <v/>
      </c>
      <c r="H1203" s="4" t="str">
        <f>IFERROR(__xludf.DUMMYFUNCTION("""COMPUTED_VALUE"""),"")</f>
        <v/>
      </c>
      <c r="I1203" s="4" t="str">
        <f>IFERROR(__xludf.DUMMYFUNCTION("""COMPUTED_VALUE"""),"")</f>
        <v/>
      </c>
    </row>
    <row r="1204">
      <c r="A1204" s="4" t="str">
        <f>IFERROR(__xludf.DUMMYFUNCTION("""COMPUTED_VALUE"""),"")</f>
        <v/>
      </c>
      <c r="B1204" s="4" t="str">
        <f>IFERROR(__xludf.DUMMYFUNCTION("""COMPUTED_VALUE"""),"")</f>
        <v/>
      </c>
      <c r="C1204" s="4" t="str">
        <f>IFERROR(__xludf.DUMMYFUNCTION("""COMPUTED_VALUE"""),"")</f>
        <v/>
      </c>
      <c r="D1204" s="4" t="str">
        <f>IFERROR(__xludf.DUMMYFUNCTION("""COMPUTED_VALUE"""),"")</f>
        <v/>
      </c>
      <c r="E1204" s="4" t="str">
        <f>IFERROR(__xludf.DUMMYFUNCTION("""COMPUTED_VALUE"""),"")</f>
        <v/>
      </c>
      <c r="F1204" s="4" t="str">
        <f>IFERROR(__xludf.DUMMYFUNCTION("""COMPUTED_VALUE"""),"")</f>
        <v/>
      </c>
      <c r="G1204" s="4" t="str">
        <f>IFERROR(__xludf.DUMMYFUNCTION("""COMPUTED_VALUE"""),"")</f>
        <v/>
      </c>
      <c r="H1204" s="4" t="str">
        <f>IFERROR(__xludf.DUMMYFUNCTION("""COMPUTED_VALUE"""),"")</f>
        <v/>
      </c>
      <c r="I1204" s="4" t="str">
        <f>IFERROR(__xludf.DUMMYFUNCTION("""COMPUTED_VALUE"""),"")</f>
        <v/>
      </c>
    </row>
    <row r="1205">
      <c r="A1205" s="4" t="str">
        <f>IFERROR(__xludf.DUMMYFUNCTION("""COMPUTED_VALUE"""),"")</f>
        <v/>
      </c>
      <c r="B1205" s="4" t="str">
        <f>IFERROR(__xludf.DUMMYFUNCTION("""COMPUTED_VALUE"""),"")</f>
        <v/>
      </c>
      <c r="C1205" s="4" t="str">
        <f>IFERROR(__xludf.DUMMYFUNCTION("""COMPUTED_VALUE"""),"")</f>
        <v/>
      </c>
      <c r="D1205" s="4" t="str">
        <f>IFERROR(__xludf.DUMMYFUNCTION("""COMPUTED_VALUE"""),"")</f>
        <v/>
      </c>
      <c r="E1205" s="4" t="str">
        <f>IFERROR(__xludf.DUMMYFUNCTION("""COMPUTED_VALUE"""),"")</f>
        <v/>
      </c>
      <c r="F1205" s="4" t="str">
        <f>IFERROR(__xludf.DUMMYFUNCTION("""COMPUTED_VALUE"""),"")</f>
        <v/>
      </c>
      <c r="G1205" s="4" t="str">
        <f>IFERROR(__xludf.DUMMYFUNCTION("""COMPUTED_VALUE"""),"")</f>
        <v/>
      </c>
      <c r="H1205" s="4" t="str">
        <f>IFERROR(__xludf.DUMMYFUNCTION("""COMPUTED_VALUE"""),"")</f>
        <v/>
      </c>
      <c r="I1205" s="4" t="str">
        <f>IFERROR(__xludf.DUMMYFUNCTION("""COMPUTED_VALUE"""),"")</f>
        <v/>
      </c>
    </row>
    <row r="1206">
      <c r="A1206" s="4" t="str">
        <f>IFERROR(__xludf.DUMMYFUNCTION("""COMPUTED_VALUE"""),"")</f>
        <v/>
      </c>
      <c r="B1206" s="4" t="str">
        <f>IFERROR(__xludf.DUMMYFUNCTION("""COMPUTED_VALUE"""),"")</f>
        <v/>
      </c>
      <c r="C1206" s="4" t="str">
        <f>IFERROR(__xludf.DUMMYFUNCTION("""COMPUTED_VALUE"""),"")</f>
        <v/>
      </c>
      <c r="D1206" s="4" t="str">
        <f>IFERROR(__xludf.DUMMYFUNCTION("""COMPUTED_VALUE"""),"")</f>
        <v/>
      </c>
      <c r="E1206" s="4" t="str">
        <f>IFERROR(__xludf.DUMMYFUNCTION("""COMPUTED_VALUE"""),"")</f>
        <v/>
      </c>
      <c r="F1206" s="4" t="str">
        <f>IFERROR(__xludf.DUMMYFUNCTION("""COMPUTED_VALUE"""),"")</f>
        <v/>
      </c>
      <c r="G1206" s="4" t="str">
        <f>IFERROR(__xludf.DUMMYFUNCTION("""COMPUTED_VALUE"""),"")</f>
        <v/>
      </c>
      <c r="H1206" s="4" t="str">
        <f>IFERROR(__xludf.DUMMYFUNCTION("""COMPUTED_VALUE"""),"")</f>
        <v/>
      </c>
      <c r="I1206" s="4" t="str">
        <f>IFERROR(__xludf.DUMMYFUNCTION("""COMPUTED_VALUE"""),"")</f>
        <v/>
      </c>
    </row>
    <row r="1207">
      <c r="A1207" s="4" t="str">
        <f>IFERROR(__xludf.DUMMYFUNCTION("""COMPUTED_VALUE"""),"")</f>
        <v/>
      </c>
      <c r="B1207" s="4" t="str">
        <f>IFERROR(__xludf.DUMMYFUNCTION("""COMPUTED_VALUE"""),"")</f>
        <v/>
      </c>
      <c r="C1207" s="4" t="str">
        <f>IFERROR(__xludf.DUMMYFUNCTION("""COMPUTED_VALUE"""),"")</f>
        <v/>
      </c>
      <c r="D1207" s="4" t="str">
        <f>IFERROR(__xludf.DUMMYFUNCTION("""COMPUTED_VALUE"""),"")</f>
        <v/>
      </c>
      <c r="E1207" s="4" t="str">
        <f>IFERROR(__xludf.DUMMYFUNCTION("""COMPUTED_VALUE"""),"")</f>
        <v/>
      </c>
      <c r="F1207" s="4" t="str">
        <f>IFERROR(__xludf.DUMMYFUNCTION("""COMPUTED_VALUE"""),"")</f>
        <v/>
      </c>
      <c r="G1207" s="4" t="str">
        <f>IFERROR(__xludf.DUMMYFUNCTION("""COMPUTED_VALUE"""),"")</f>
        <v/>
      </c>
      <c r="H1207" s="4" t="str">
        <f>IFERROR(__xludf.DUMMYFUNCTION("""COMPUTED_VALUE"""),"")</f>
        <v/>
      </c>
      <c r="I1207" s="4" t="str">
        <f>IFERROR(__xludf.DUMMYFUNCTION("""COMPUTED_VALUE"""),"")</f>
        <v/>
      </c>
    </row>
    <row r="1208">
      <c r="A1208" s="4" t="str">
        <f>IFERROR(__xludf.DUMMYFUNCTION("""COMPUTED_VALUE"""),"")</f>
        <v/>
      </c>
      <c r="B1208" s="4" t="str">
        <f>IFERROR(__xludf.DUMMYFUNCTION("""COMPUTED_VALUE"""),"")</f>
        <v/>
      </c>
      <c r="C1208" s="4" t="str">
        <f>IFERROR(__xludf.DUMMYFUNCTION("""COMPUTED_VALUE"""),"")</f>
        <v/>
      </c>
      <c r="D1208" s="4" t="str">
        <f>IFERROR(__xludf.DUMMYFUNCTION("""COMPUTED_VALUE"""),"")</f>
        <v/>
      </c>
      <c r="E1208" s="4" t="str">
        <f>IFERROR(__xludf.DUMMYFUNCTION("""COMPUTED_VALUE"""),"")</f>
        <v/>
      </c>
      <c r="F1208" s="4" t="str">
        <f>IFERROR(__xludf.DUMMYFUNCTION("""COMPUTED_VALUE"""),"")</f>
        <v/>
      </c>
      <c r="G1208" s="4" t="str">
        <f>IFERROR(__xludf.DUMMYFUNCTION("""COMPUTED_VALUE"""),"")</f>
        <v/>
      </c>
      <c r="H1208" s="4" t="str">
        <f>IFERROR(__xludf.DUMMYFUNCTION("""COMPUTED_VALUE"""),"")</f>
        <v/>
      </c>
      <c r="I1208" s="4" t="str">
        <f>IFERROR(__xludf.DUMMYFUNCTION("""COMPUTED_VALUE"""),"")</f>
        <v/>
      </c>
    </row>
    <row r="1209">
      <c r="A1209" s="4" t="str">
        <f>IFERROR(__xludf.DUMMYFUNCTION("""COMPUTED_VALUE"""),"")</f>
        <v/>
      </c>
      <c r="B1209" s="4" t="str">
        <f>IFERROR(__xludf.DUMMYFUNCTION("""COMPUTED_VALUE"""),"")</f>
        <v/>
      </c>
      <c r="C1209" s="4" t="str">
        <f>IFERROR(__xludf.DUMMYFUNCTION("""COMPUTED_VALUE"""),"")</f>
        <v/>
      </c>
      <c r="D1209" s="4" t="str">
        <f>IFERROR(__xludf.DUMMYFUNCTION("""COMPUTED_VALUE"""),"")</f>
        <v/>
      </c>
      <c r="E1209" s="4" t="str">
        <f>IFERROR(__xludf.DUMMYFUNCTION("""COMPUTED_VALUE"""),"")</f>
        <v/>
      </c>
      <c r="F1209" s="4" t="str">
        <f>IFERROR(__xludf.DUMMYFUNCTION("""COMPUTED_VALUE"""),"")</f>
        <v/>
      </c>
      <c r="G1209" s="4" t="str">
        <f>IFERROR(__xludf.DUMMYFUNCTION("""COMPUTED_VALUE"""),"")</f>
        <v/>
      </c>
      <c r="H1209" s="4" t="str">
        <f>IFERROR(__xludf.DUMMYFUNCTION("""COMPUTED_VALUE"""),"")</f>
        <v/>
      </c>
      <c r="I1209" s="4" t="str">
        <f>IFERROR(__xludf.DUMMYFUNCTION("""COMPUTED_VALUE"""),"")</f>
        <v/>
      </c>
    </row>
    <row r="1210">
      <c r="A1210" s="4" t="str">
        <f>IFERROR(__xludf.DUMMYFUNCTION("""COMPUTED_VALUE"""),"")</f>
        <v/>
      </c>
      <c r="B1210" s="4" t="str">
        <f>IFERROR(__xludf.DUMMYFUNCTION("""COMPUTED_VALUE"""),"")</f>
        <v/>
      </c>
      <c r="C1210" s="4" t="str">
        <f>IFERROR(__xludf.DUMMYFUNCTION("""COMPUTED_VALUE"""),"")</f>
        <v/>
      </c>
      <c r="D1210" s="4" t="str">
        <f>IFERROR(__xludf.DUMMYFUNCTION("""COMPUTED_VALUE"""),"")</f>
        <v/>
      </c>
      <c r="E1210" s="4" t="str">
        <f>IFERROR(__xludf.DUMMYFUNCTION("""COMPUTED_VALUE"""),"")</f>
        <v/>
      </c>
      <c r="F1210" s="4" t="str">
        <f>IFERROR(__xludf.DUMMYFUNCTION("""COMPUTED_VALUE"""),"")</f>
        <v/>
      </c>
      <c r="G1210" s="4" t="str">
        <f>IFERROR(__xludf.DUMMYFUNCTION("""COMPUTED_VALUE"""),"")</f>
        <v/>
      </c>
      <c r="H1210" s="4" t="str">
        <f>IFERROR(__xludf.DUMMYFUNCTION("""COMPUTED_VALUE"""),"")</f>
        <v/>
      </c>
      <c r="I1210" s="4" t="str">
        <f>IFERROR(__xludf.DUMMYFUNCTION("""COMPUTED_VALUE"""),"")</f>
        <v/>
      </c>
    </row>
    <row r="1211">
      <c r="A1211" s="4" t="str">
        <f>IFERROR(__xludf.DUMMYFUNCTION("""COMPUTED_VALUE"""),"")</f>
        <v/>
      </c>
      <c r="B1211" s="4" t="str">
        <f>IFERROR(__xludf.DUMMYFUNCTION("""COMPUTED_VALUE"""),"")</f>
        <v/>
      </c>
      <c r="C1211" s="4" t="str">
        <f>IFERROR(__xludf.DUMMYFUNCTION("""COMPUTED_VALUE"""),"")</f>
        <v/>
      </c>
      <c r="D1211" s="4" t="str">
        <f>IFERROR(__xludf.DUMMYFUNCTION("""COMPUTED_VALUE"""),"")</f>
        <v/>
      </c>
      <c r="E1211" s="4" t="str">
        <f>IFERROR(__xludf.DUMMYFUNCTION("""COMPUTED_VALUE"""),"")</f>
        <v/>
      </c>
      <c r="F1211" s="4" t="str">
        <f>IFERROR(__xludf.DUMMYFUNCTION("""COMPUTED_VALUE"""),"")</f>
        <v/>
      </c>
      <c r="G1211" s="4" t="str">
        <f>IFERROR(__xludf.DUMMYFUNCTION("""COMPUTED_VALUE"""),"")</f>
        <v/>
      </c>
      <c r="H1211" s="4" t="str">
        <f>IFERROR(__xludf.DUMMYFUNCTION("""COMPUTED_VALUE"""),"")</f>
        <v/>
      </c>
      <c r="I1211" s="4" t="str">
        <f>IFERROR(__xludf.DUMMYFUNCTION("""COMPUTED_VALUE"""),"")</f>
        <v/>
      </c>
    </row>
    <row r="1212">
      <c r="A1212" s="4" t="str">
        <f>IFERROR(__xludf.DUMMYFUNCTION("""COMPUTED_VALUE"""),"")</f>
        <v/>
      </c>
      <c r="B1212" s="4" t="str">
        <f>IFERROR(__xludf.DUMMYFUNCTION("""COMPUTED_VALUE"""),"")</f>
        <v/>
      </c>
      <c r="C1212" s="4" t="str">
        <f>IFERROR(__xludf.DUMMYFUNCTION("""COMPUTED_VALUE"""),"")</f>
        <v/>
      </c>
      <c r="D1212" s="4" t="str">
        <f>IFERROR(__xludf.DUMMYFUNCTION("""COMPUTED_VALUE"""),"")</f>
        <v/>
      </c>
      <c r="E1212" s="4" t="str">
        <f>IFERROR(__xludf.DUMMYFUNCTION("""COMPUTED_VALUE"""),"")</f>
        <v/>
      </c>
      <c r="F1212" s="4" t="str">
        <f>IFERROR(__xludf.DUMMYFUNCTION("""COMPUTED_VALUE"""),"")</f>
        <v/>
      </c>
      <c r="G1212" s="4" t="str">
        <f>IFERROR(__xludf.DUMMYFUNCTION("""COMPUTED_VALUE"""),"")</f>
        <v/>
      </c>
      <c r="H1212" s="4" t="str">
        <f>IFERROR(__xludf.DUMMYFUNCTION("""COMPUTED_VALUE"""),"")</f>
        <v/>
      </c>
      <c r="I1212" s="4" t="str">
        <f>IFERROR(__xludf.DUMMYFUNCTION("""COMPUTED_VALUE"""),"")</f>
        <v/>
      </c>
    </row>
    <row r="1213">
      <c r="A1213" s="4" t="str">
        <f>IFERROR(__xludf.DUMMYFUNCTION("""COMPUTED_VALUE"""),"")</f>
        <v/>
      </c>
      <c r="B1213" s="4" t="str">
        <f>IFERROR(__xludf.DUMMYFUNCTION("""COMPUTED_VALUE"""),"")</f>
        <v/>
      </c>
      <c r="C1213" s="4" t="str">
        <f>IFERROR(__xludf.DUMMYFUNCTION("""COMPUTED_VALUE"""),"")</f>
        <v/>
      </c>
      <c r="D1213" s="4" t="str">
        <f>IFERROR(__xludf.DUMMYFUNCTION("""COMPUTED_VALUE"""),"")</f>
        <v/>
      </c>
      <c r="E1213" s="4" t="str">
        <f>IFERROR(__xludf.DUMMYFUNCTION("""COMPUTED_VALUE"""),"")</f>
        <v/>
      </c>
      <c r="F1213" s="4" t="str">
        <f>IFERROR(__xludf.DUMMYFUNCTION("""COMPUTED_VALUE"""),"")</f>
        <v/>
      </c>
      <c r="G1213" s="4" t="str">
        <f>IFERROR(__xludf.DUMMYFUNCTION("""COMPUTED_VALUE"""),"")</f>
        <v/>
      </c>
      <c r="H1213" s="4" t="str">
        <f>IFERROR(__xludf.DUMMYFUNCTION("""COMPUTED_VALUE"""),"")</f>
        <v/>
      </c>
      <c r="I1213" s="4" t="str">
        <f>IFERROR(__xludf.DUMMYFUNCTION("""COMPUTED_VALUE"""),"")</f>
        <v/>
      </c>
    </row>
    <row r="1214">
      <c r="A1214" s="4" t="str">
        <f>IFERROR(__xludf.DUMMYFUNCTION("""COMPUTED_VALUE"""),"")</f>
        <v/>
      </c>
      <c r="B1214" s="4" t="str">
        <f>IFERROR(__xludf.DUMMYFUNCTION("""COMPUTED_VALUE"""),"")</f>
        <v/>
      </c>
      <c r="C1214" s="4" t="str">
        <f>IFERROR(__xludf.DUMMYFUNCTION("""COMPUTED_VALUE"""),"")</f>
        <v/>
      </c>
      <c r="D1214" s="4" t="str">
        <f>IFERROR(__xludf.DUMMYFUNCTION("""COMPUTED_VALUE"""),"")</f>
        <v/>
      </c>
      <c r="E1214" s="4" t="str">
        <f>IFERROR(__xludf.DUMMYFUNCTION("""COMPUTED_VALUE"""),"")</f>
        <v/>
      </c>
      <c r="F1214" s="4" t="str">
        <f>IFERROR(__xludf.DUMMYFUNCTION("""COMPUTED_VALUE"""),"")</f>
        <v/>
      </c>
      <c r="G1214" s="4" t="str">
        <f>IFERROR(__xludf.DUMMYFUNCTION("""COMPUTED_VALUE"""),"")</f>
        <v/>
      </c>
      <c r="H1214" s="4" t="str">
        <f>IFERROR(__xludf.DUMMYFUNCTION("""COMPUTED_VALUE"""),"")</f>
        <v/>
      </c>
      <c r="I1214" s="4" t="str">
        <f>IFERROR(__xludf.DUMMYFUNCTION("""COMPUTED_VALUE"""),"")</f>
        <v/>
      </c>
    </row>
    <row r="1215">
      <c r="A1215" s="4" t="str">
        <f>IFERROR(__xludf.DUMMYFUNCTION("""COMPUTED_VALUE"""),"")</f>
        <v/>
      </c>
      <c r="B1215" s="4" t="str">
        <f>IFERROR(__xludf.DUMMYFUNCTION("""COMPUTED_VALUE"""),"")</f>
        <v/>
      </c>
      <c r="C1215" s="4" t="str">
        <f>IFERROR(__xludf.DUMMYFUNCTION("""COMPUTED_VALUE"""),"")</f>
        <v/>
      </c>
      <c r="D1215" s="4" t="str">
        <f>IFERROR(__xludf.DUMMYFUNCTION("""COMPUTED_VALUE"""),"")</f>
        <v/>
      </c>
      <c r="E1215" s="4" t="str">
        <f>IFERROR(__xludf.DUMMYFUNCTION("""COMPUTED_VALUE"""),"")</f>
        <v/>
      </c>
      <c r="F1215" s="4" t="str">
        <f>IFERROR(__xludf.DUMMYFUNCTION("""COMPUTED_VALUE"""),"")</f>
        <v/>
      </c>
      <c r="G1215" s="4" t="str">
        <f>IFERROR(__xludf.DUMMYFUNCTION("""COMPUTED_VALUE"""),"")</f>
        <v/>
      </c>
      <c r="H1215" s="4" t="str">
        <f>IFERROR(__xludf.DUMMYFUNCTION("""COMPUTED_VALUE"""),"")</f>
        <v/>
      </c>
      <c r="I1215" s="4" t="str">
        <f>IFERROR(__xludf.DUMMYFUNCTION("""COMPUTED_VALUE"""),"")</f>
        <v/>
      </c>
    </row>
    <row r="1216">
      <c r="A1216" s="4" t="str">
        <f>IFERROR(__xludf.DUMMYFUNCTION("""COMPUTED_VALUE"""),"")</f>
        <v/>
      </c>
      <c r="B1216" s="4" t="str">
        <f>IFERROR(__xludf.DUMMYFUNCTION("""COMPUTED_VALUE"""),"")</f>
        <v/>
      </c>
      <c r="C1216" s="4" t="str">
        <f>IFERROR(__xludf.DUMMYFUNCTION("""COMPUTED_VALUE"""),"")</f>
        <v/>
      </c>
      <c r="D1216" s="4" t="str">
        <f>IFERROR(__xludf.DUMMYFUNCTION("""COMPUTED_VALUE"""),"")</f>
        <v/>
      </c>
      <c r="E1216" s="4" t="str">
        <f>IFERROR(__xludf.DUMMYFUNCTION("""COMPUTED_VALUE"""),"")</f>
        <v/>
      </c>
      <c r="F1216" s="4" t="str">
        <f>IFERROR(__xludf.DUMMYFUNCTION("""COMPUTED_VALUE"""),"")</f>
        <v/>
      </c>
      <c r="G1216" s="4" t="str">
        <f>IFERROR(__xludf.DUMMYFUNCTION("""COMPUTED_VALUE"""),"")</f>
        <v/>
      </c>
      <c r="H1216" s="4" t="str">
        <f>IFERROR(__xludf.DUMMYFUNCTION("""COMPUTED_VALUE"""),"")</f>
        <v/>
      </c>
      <c r="I1216" s="4" t="str">
        <f>IFERROR(__xludf.DUMMYFUNCTION("""COMPUTED_VALUE"""),"")</f>
        <v/>
      </c>
    </row>
    <row r="1217">
      <c r="A1217" s="4" t="str">
        <f>IFERROR(__xludf.DUMMYFUNCTION("""COMPUTED_VALUE"""),"")</f>
        <v/>
      </c>
      <c r="B1217" s="4" t="str">
        <f>IFERROR(__xludf.DUMMYFUNCTION("""COMPUTED_VALUE"""),"")</f>
        <v/>
      </c>
      <c r="C1217" s="4" t="str">
        <f>IFERROR(__xludf.DUMMYFUNCTION("""COMPUTED_VALUE"""),"")</f>
        <v/>
      </c>
      <c r="D1217" s="4" t="str">
        <f>IFERROR(__xludf.DUMMYFUNCTION("""COMPUTED_VALUE"""),"")</f>
        <v/>
      </c>
      <c r="E1217" s="4" t="str">
        <f>IFERROR(__xludf.DUMMYFUNCTION("""COMPUTED_VALUE"""),"")</f>
        <v/>
      </c>
      <c r="F1217" s="4" t="str">
        <f>IFERROR(__xludf.DUMMYFUNCTION("""COMPUTED_VALUE"""),"")</f>
        <v/>
      </c>
      <c r="G1217" s="4" t="str">
        <f>IFERROR(__xludf.DUMMYFUNCTION("""COMPUTED_VALUE"""),"")</f>
        <v/>
      </c>
      <c r="H1217" s="4" t="str">
        <f>IFERROR(__xludf.DUMMYFUNCTION("""COMPUTED_VALUE"""),"")</f>
        <v/>
      </c>
      <c r="I1217" s="4" t="str">
        <f>IFERROR(__xludf.DUMMYFUNCTION("""COMPUTED_VALUE"""),"")</f>
        <v/>
      </c>
    </row>
    <row r="1218">
      <c r="A1218" s="4" t="str">
        <f>IFERROR(__xludf.DUMMYFUNCTION("""COMPUTED_VALUE"""),"")</f>
        <v/>
      </c>
      <c r="B1218" s="4" t="str">
        <f>IFERROR(__xludf.DUMMYFUNCTION("""COMPUTED_VALUE"""),"")</f>
        <v/>
      </c>
      <c r="C1218" s="4" t="str">
        <f>IFERROR(__xludf.DUMMYFUNCTION("""COMPUTED_VALUE"""),"")</f>
        <v/>
      </c>
      <c r="D1218" s="4" t="str">
        <f>IFERROR(__xludf.DUMMYFUNCTION("""COMPUTED_VALUE"""),"")</f>
        <v/>
      </c>
      <c r="E1218" s="4" t="str">
        <f>IFERROR(__xludf.DUMMYFUNCTION("""COMPUTED_VALUE"""),"")</f>
        <v/>
      </c>
      <c r="F1218" s="4" t="str">
        <f>IFERROR(__xludf.DUMMYFUNCTION("""COMPUTED_VALUE"""),"")</f>
        <v/>
      </c>
      <c r="G1218" s="4" t="str">
        <f>IFERROR(__xludf.DUMMYFUNCTION("""COMPUTED_VALUE"""),"")</f>
        <v/>
      </c>
      <c r="H1218" s="4" t="str">
        <f>IFERROR(__xludf.DUMMYFUNCTION("""COMPUTED_VALUE"""),"")</f>
        <v/>
      </c>
      <c r="I1218" s="4" t="str">
        <f>IFERROR(__xludf.DUMMYFUNCTION("""COMPUTED_VALUE"""),"")</f>
        <v/>
      </c>
    </row>
    <row r="1219">
      <c r="A1219" s="4" t="str">
        <f>IFERROR(__xludf.DUMMYFUNCTION("""COMPUTED_VALUE"""),"")</f>
        <v/>
      </c>
      <c r="B1219" s="4" t="str">
        <f>IFERROR(__xludf.DUMMYFUNCTION("""COMPUTED_VALUE"""),"")</f>
        <v/>
      </c>
      <c r="C1219" s="4" t="str">
        <f>IFERROR(__xludf.DUMMYFUNCTION("""COMPUTED_VALUE"""),"")</f>
        <v/>
      </c>
      <c r="D1219" s="4" t="str">
        <f>IFERROR(__xludf.DUMMYFUNCTION("""COMPUTED_VALUE"""),"")</f>
        <v/>
      </c>
      <c r="E1219" s="4" t="str">
        <f>IFERROR(__xludf.DUMMYFUNCTION("""COMPUTED_VALUE"""),"")</f>
        <v/>
      </c>
      <c r="F1219" s="4" t="str">
        <f>IFERROR(__xludf.DUMMYFUNCTION("""COMPUTED_VALUE"""),"")</f>
        <v/>
      </c>
      <c r="G1219" s="4" t="str">
        <f>IFERROR(__xludf.DUMMYFUNCTION("""COMPUTED_VALUE"""),"")</f>
        <v/>
      </c>
      <c r="H1219" s="4" t="str">
        <f>IFERROR(__xludf.DUMMYFUNCTION("""COMPUTED_VALUE"""),"")</f>
        <v/>
      </c>
      <c r="I1219" s="4" t="str">
        <f>IFERROR(__xludf.DUMMYFUNCTION("""COMPUTED_VALUE"""),"")</f>
        <v/>
      </c>
    </row>
    <row r="1220">
      <c r="A1220" s="4" t="str">
        <f>IFERROR(__xludf.DUMMYFUNCTION("""COMPUTED_VALUE"""),"")</f>
        <v/>
      </c>
      <c r="B1220" s="4" t="str">
        <f>IFERROR(__xludf.DUMMYFUNCTION("""COMPUTED_VALUE"""),"")</f>
        <v/>
      </c>
      <c r="C1220" s="4" t="str">
        <f>IFERROR(__xludf.DUMMYFUNCTION("""COMPUTED_VALUE"""),"")</f>
        <v/>
      </c>
      <c r="D1220" s="4" t="str">
        <f>IFERROR(__xludf.DUMMYFUNCTION("""COMPUTED_VALUE"""),"")</f>
        <v/>
      </c>
      <c r="E1220" s="4" t="str">
        <f>IFERROR(__xludf.DUMMYFUNCTION("""COMPUTED_VALUE"""),"")</f>
        <v/>
      </c>
      <c r="F1220" s="4" t="str">
        <f>IFERROR(__xludf.DUMMYFUNCTION("""COMPUTED_VALUE"""),"")</f>
        <v/>
      </c>
      <c r="G1220" s="4" t="str">
        <f>IFERROR(__xludf.DUMMYFUNCTION("""COMPUTED_VALUE"""),"")</f>
        <v/>
      </c>
      <c r="H1220" s="4" t="str">
        <f>IFERROR(__xludf.DUMMYFUNCTION("""COMPUTED_VALUE"""),"")</f>
        <v/>
      </c>
      <c r="I1220" s="4" t="str">
        <f>IFERROR(__xludf.DUMMYFUNCTION("""COMPUTED_VALUE"""),"")</f>
        <v/>
      </c>
    </row>
    <row r="1221">
      <c r="A1221" s="4" t="str">
        <f>IFERROR(__xludf.DUMMYFUNCTION("""COMPUTED_VALUE"""),"")</f>
        <v/>
      </c>
      <c r="B1221" s="4" t="str">
        <f>IFERROR(__xludf.DUMMYFUNCTION("""COMPUTED_VALUE"""),"")</f>
        <v/>
      </c>
      <c r="C1221" s="4" t="str">
        <f>IFERROR(__xludf.DUMMYFUNCTION("""COMPUTED_VALUE"""),"")</f>
        <v/>
      </c>
      <c r="D1221" s="4" t="str">
        <f>IFERROR(__xludf.DUMMYFUNCTION("""COMPUTED_VALUE"""),"")</f>
        <v/>
      </c>
      <c r="E1221" s="4" t="str">
        <f>IFERROR(__xludf.DUMMYFUNCTION("""COMPUTED_VALUE"""),"")</f>
        <v/>
      </c>
      <c r="F1221" s="4" t="str">
        <f>IFERROR(__xludf.DUMMYFUNCTION("""COMPUTED_VALUE"""),"")</f>
        <v/>
      </c>
      <c r="G1221" s="4" t="str">
        <f>IFERROR(__xludf.DUMMYFUNCTION("""COMPUTED_VALUE"""),"")</f>
        <v/>
      </c>
      <c r="H1221" s="4" t="str">
        <f>IFERROR(__xludf.DUMMYFUNCTION("""COMPUTED_VALUE"""),"")</f>
        <v/>
      </c>
      <c r="I1221" s="4" t="str">
        <f>IFERROR(__xludf.DUMMYFUNCTION("""COMPUTED_VALUE"""),"")</f>
        <v/>
      </c>
    </row>
    <row r="1222">
      <c r="A1222" s="4" t="str">
        <f>IFERROR(__xludf.DUMMYFUNCTION("""COMPUTED_VALUE"""),"")</f>
        <v/>
      </c>
      <c r="B1222" s="4" t="str">
        <f>IFERROR(__xludf.DUMMYFUNCTION("""COMPUTED_VALUE"""),"")</f>
        <v/>
      </c>
      <c r="C1222" s="4" t="str">
        <f>IFERROR(__xludf.DUMMYFUNCTION("""COMPUTED_VALUE"""),"")</f>
        <v/>
      </c>
      <c r="D1222" s="4" t="str">
        <f>IFERROR(__xludf.DUMMYFUNCTION("""COMPUTED_VALUE"""),"")</f>
        <v/>
      </c>
      <c r="E1222" s="4" t="str">
        <f>IFERROR(__xludf.DUMMYFUNCTION("""COMPUTED_VALUE"""),"")</f>
        <v/>
      </c>
      <c r="F1222" s="4" t="str">
        <f>IFERROR(__xludf.DUMMYFUNCTION("""COMPUTED_VALUE"""),"")</f>
        <v/>
      </c>
      <c r="G1222" s="4" t="str">
        <f>IFERROR(__xludf.DUMMYFUNCTION("""COMPUTED_VALUE"""),"")</f>
        <v/>
      </c>
      <c r="H1222" s="4" t="str">
        <f>IFERROR(__xludf.DUMMYFUNCTION("""COMPUTED_VALUE"""),"")</f>
        <v/>
      </c>
      <c r="I1222" s="4" t="str">
        <f>IFERROR(__xludf.DUMMYFUNCTION("""COMPUTED_VALUE"""),"")</f>
        <v/>
      </c>
    </row>
    <row r="1223">
      <c r="A1223" s="4" t="str">
        <f>IFERROR(__xludf.DUMMYFUNCTION("""COMPUTED_VALUE"""),"")</f>
        <v/>
      </c>
      <c r="B1223" s="4" t="str">
        <f>IFERROR(__xludf.DUMMYFUNCTION("""COMPUTED_VALUE"""),"")</f>
        <v/>
      </c>
      <c r="C1223" s="4" t="str">
        <f>IFERROR(__xludf.DUMMYFUNCTION("""COMPUTED_VALUE"""),"")</f>
        <v/>
      </c>
      <c r="D1223" s="4" t="str">
        <f>IFERROR(__xludf.DUMMYFUNCTION("""COMPUTED_VALUE"""),"")</f>
        <v/>
      </c>
      <c r="E1223" s="4" t="str">
        <f>IFERROR(__xludf.DUMMYFUNCTION("""COMPUTED_VALUE"""),"")</f>
        <v/>
      </c>
      <c r="F1223" s="4" t="str">
        <f>IFERROR(__xludf.DUMMYFUNCTION("""COMPUTED_VALUE"""),"")</f>
        <v/>
      </c>
      <c r="G1223" s="4" t="str">
        <f>IFERROR(__xludf.DUMMYFUNCTION("""COMPUTED_VALUE"""),"")</f>
        <v/>
      </c>
      <c r="H1223" s="4" t="str">
        <f>IFERROR(__xludf.DUMMYFUNCTION("""COMPUTED_VALUE"""),"")</f>
        <v/>
      </c>
      <c r="I1223" s="4" t="str">
        <f>IFERROR(__xludf.DUMMYFUNCTION("""COMPUTED_VALUE"""),"")</f>
        <v/>
      </c>
    </row>
    <row r="1224">
      <c r="A1224" s="4" t="str">
        <f>IFERROR(__xludf.DUMMYFUNCTION("""COMPUTED_VALUE"""),"")</f>
        <v/>
      </c>
      <c r="B1224" s="4" t="str">
        <f>IFERROR(__xludf.DUMMYFUNCTION("""COMPUTED_VALUE"""),"")</f>
        <v/>
      </c>
      <c r="C1224" s="4" t="str">
        <f>IFERROR(__xludf.DUMMYFUNCTION("""COMPUTED_VALUE"""),"")</f>
        <v/>
      </c>
      <c r="D1224" s="4" t="str">
        <f>IFERROR(__xludf.DUMMYFUNCTION("""COMPUTED_VALUE"""),"")</f>
        <v/>
      </c>
      <c r="E1224" s="4" t="str">
        <f>IFERROR(__xludf.DUMMYFUNCTION("""COMPUTED_VALUE"""),"")</f>
        <v/>
      </c>
      <c r="F1224" s="4" t="str">
        <f>IFERROR(__xludf.DUMMYFUNCTION("""COMPUTED_VALUE"""),"")</f>
        <v/>
      </c>
      <c r="G1224" s="4" t="str">
        <f>IFERROR(__xludf.DUMMYFUNCTION("""COMPUTED_VALUE"""),"")</f>
        <v/>
      </c>
      <c r="H1224" s="4" t="str">
        <f>IFERROR(__xludf.DUMMYFUNCTION("""COMPUTED_VALUE"""),"")</f>
        <v/>
      </c>
      <c r="I1224" s="4" t="str">
        <f>IFERROR(__xludf.DUMMYFUNCTION("""COMPUTED_VALUE"""),"")</f>
        <v/>
      </c>
    </row>
    <row r="1225">
      <c r="A1225" s="4" t="str">
        <f>IFERROR(__xludf.DUMMYFUNCTION("""COMPUTED_VALUE"""),"")</f>
        <v/>
      </c>
      <c r="B1225" s="4" t="str">
        <f>IFERROR(__xludf.DUMMYFUNCTION("""COMPUTED_VALUE"""),"")</f>
        <v/>
      </c>
      <c r="C1225" s="4" t="str">
        <f>IFERROR(__xludf.DUMMYFUNCTION("""COMPUTED_VALUE"""),"")</f>
        <v/>
      </c>
      <c r="D1225" s="4" t="str">
        <f>IFERROR(__xludf.DUMMYFUNCTION("""COMPUTED_VALUE"""),"")</f>
        <v/>
      </c>
      <c r="E1225" s="4" t="str">
        <f>IFERROR(__xludf.DUMMYFUNCTION("""COMPUTED_VALUE"""),"")</f>
        <v/>
      </c>
      <c r="F1225" s="4" t="str">
        <f>IFERROR(__xludf.DUMMYFUNCTION("""COMPUTED_VALUE"""),"")</f>
        <v/>
      </c>
      <c r="G1225" s="4" t="str">
        <f>IFERROR(__xludf.DUMMYFUNCTION("""COMPUTED_VALUE"""),"")</f>
        <v/>
      </c>
      <c r="H1225" s="4" t="str">
        <f>IFERROR(__xludf.DUMMYFUNCTION("""COMPUTED_VALUE"""),"")</f>
        <v/>
      </c>
      <c r="I1225" s="4" t="str">
        <f>IFERROR(__xludf.DUMMYFUNCTION("""COMPUTED_VALUE"""),"")</f>
        <v/>
      </c>
    </row>
    <row r="1226">
      <c r="A1226" s="4" t="str">
        <f>IFERROR(__xludf.DUMMYFUNCTION("""COMPUTED_VALUE"""),"")</f>
        <v/>
      </c>
      <c r="B1226" s="4" t="str">
        <f>IFERROR(__xludf.DUMMYFUNCTION("""COMPUTED_VALUE"""),"")</f>
        <v/>
      </c>
      <c r="C1226" s="4" t="str">
        <f>IFERROR(__xludf.DUMMYFUNCTION("""COMPUTED_VALUE"""),"")</f>
        <v/>
      </c>
      <c r="D1226" s="4" t="str">
        <f>IFERROR(__xludf.DUMMYFUNCTION("""COMPUTED_VALUE"""),"")</f>
        <v/>
      </c>
      <c r="E1226" s="4" t="str">
        <f>IFERROR(__xludf.DUMMYFUNCTION("""COMPUTED_VALUE"""),"")</f>
        <v/>
      </c>
      <c r="F1226" s="4" t="str">
        <f>IFERROR(__xludf.DUMMYFUNCTION("""COMPUTED_VALUE"""),"")</f>
        <v/>
      </c>
      <c r="G1226" s="4" t="str">
        <f>IFERROR(__xludf.DUMMYFUNCTION("""COMPUTED_VALUE"""),"")</f>
        <v/>
      </c>
      <c r="H1226" s="4" t="str">
        <f>IFERROR(__xludf.DUMMYFUNCTION("""COMPUTED_VALUE"""),"")</f>
        <v/>
      </c>
      <c r="I1226" s="4" t="str">
        <f>IFERROR(__xludf.DUMMYFUNCTION("""COMPUTED_VALUE"""),"")</f>
        <v/>
      </c>
    </row>
    <row r="1227">
      <c r="A1227" s="4" t="str">
        <f>IFERROR(__xludf.DUMMYFUNCTION("""COMPUTED_VALUE"""),"")</f>
        <v/>
      </c>
      <c r="B1227" s="4" t="str">
        <f>IFERROR(__xludf.DUMMYFUNCTION("""COMPUTED_VALUE"""),"")</f>
        <v/>
      </c>
      <c r="C1227" s="4" t="str">
        <f>IFERROR(__xludf.DUMMYFUNCTION("""COMPUTED_VALUE"""),"")</f>
        <v/>
      </c>
      <c r="D1227" s="4" t="str">
        <f>IFERROR(__xludf.DUMMYFUNCTION("""COMPUTED_VALUE"""),"")</f>
        <v/>
      </c>
      <c r="E1227" s="4" t="str">
        <f>IFERROR(__xludf.DUMMYFUNCTION("""COMPUTED_VALUE"""),"")</f>
        <v/>
      </c>
      <c r="F1227" s="4" t="str">
        <f>IFERROR(__xludf.DUMMYFUNCTION("""COMPUTED_VALUE"""),"")</f>
        <v/>
      </c>
      <c r="G1227" s="4" t="str">
        <f>IFERROR(__xludf.DUMMYFUNCTION("""COMPUTED_VALUE"""),"")</f>
        <v/>
      </c>
      <c r="H1227" s="4" t="str">
        <f>IFERROR(__xludf.DUMMYFUNCTION("""COMPUTED_VALUE"""),"")</f>
        <v/>
      </c>
      <c r="I1227" s="4" t="str">
        <f>IFERROR(__xludf.DUMMYFUNCTION("""COMPUTED_VALUE"""),"")</f>
        <v/>
      </c>
    </row>
    <row r="1228">
      <c r="A1228" s="4" t="str">
        <f>IFERROR(__xludf.DUMMYFUNCTION("""COMPUTED_VALUE"""),"")</f>
        <v/>
      </c>
      <c r="B1228" s="4" t="str">
        <f>IFERROR(__xludf.DUMMYFUNCTION("""COMPUTED_VALUE"""),"")</f>
        <v/>
      </c>
      <c r="C1228" s="4" t="str">
        <f>IFERROR(__xludf.DUMMYFUNCTION("""COMPUTED_VALUE"""),"")</f>
        <v/>
      </c>
      <c r="D1228" s="4" t="str">
        <f>IFERROR(__xludf.DUMMYFUNCTION("""COMPUTED_VALUE"""),"")</f>
        <v/>
      </c>
      <c r="E1228" s="4" t="str">
        <f>IFERROR(__xludf.DUMMYFUNCTION("""COMPUTED_VALUE"""),"")</f>
        <v/>
      </c>
      <c r="F1228" s="4" t="str">
        <f>IFERROR(__xludf.DUMMYFUNCTION("""COMPUTED_VALUE"""),"")</f>
        <v/>
      </c>
      <c r="G1228" s="4" t="str">
        <f>IFERROR(__xludf.DUMMYFUNCTION("""COMPUTED_VALUE"""),"")</f>
        <v/>
      </c>
      <c r="H1228" s="4" t="str">
        <f>IFERROR(__xludf.DUMMYFUNCTION("""COMPUTED_VALUE"""),"")</f>
        <v/>
      </c>
      <c r="I1228" s="4" t="str">
        <f>IFERROR(__xludf.DUMMYFUNCTION("""COMPUTED_VALUE"""),"")</f>
        <v/>
      </c>
    </row>
    <row r="1229">
      <c r="A1229" s="4" t="str">
        <f>IFERROR(__xludf.DUMMYFUNCTION("""COMPUTED_VALUE"""),"")</f>
        <v/>
      </c>
      <c r="B1229" s="4" t="str">
        <f>IFERROR(__xludf.DUMMYFUNCTION("""COMPUTED_VALUE"""),"")</f>
        <v/>
      </c>
      <c r="C1229" s="4" t="str">
        <f>IFERROR(__xludf.DUMMYFUNCTION("""COMPUTED_VALUE"""),"")</f>
        <v/>
      </c>
      <c r="D1229" s="4" t="str">
        <f>IFERROR(__xludf.DUMMYFUNCTION("""COMPUTED_VALUE"""),"")</f>
        <v/>
      </c>
      <c r="E1229" s="4" t="str">
        <f>IFERROR(__xludf.DUMMYFUNCTION("""COMPUTED_VALUE"""),"")</f>
        <v/>
      </c>
      <c r="F1229" s="4" t="str">
        <f>IFERROR(__xludf.DUMMYFUNCTION("""COMPUTED_VALUE"""),"")</f>
        <v/>
      </c>
      <c r="G1229" s="4" t="str">
        <f>IFERROR(__xludf.DUMMYFUNCTION("""COMPUTED_VALUE"""),"")</f>
        <v/>
      </c>
      <c r="H1229" s="4" t="str">
        <f>IFERROR(__xludf.DUMMYFUNCTION("""COMPUTED_VALUE"""),"")</f>
        <v/>
      </c>
      <c r="I1229" s="4" t="str">
        <f>IFERROR(__xludf.DUMMYFUNCTION("""COMPUTED_VALUE"""),"")</f>
        <v/>
      </c>
    </row>
    <row r="1230">
      <c r="A1230" s="4" t="str">
        <f>IFERROR(__xludf.DUMMYFUNCTION("""COMPUTED_VALUE"""),"")</f>
        <v/>
      </c>
      <c r="B1230" s="4" t="str">
        <f>IFERROR(__xludf.DUMMYFUNCTION("""COMPUTED_VALUE"""),"")</f>
        <v/>
      </c>
      <c r="C1230" s="4" t="str">
        <f>IFERROR(__xludf.DUMMYFUNCTION("""COMPUTED_VALUE"""),"")</f>
        <v/>
      </c>
      <c r="D1230" s="4" t="str">
        <f>IFERROR(__xludf.DUMMYFUNCTION("""COMPUTED_VALUE"""),"")</f>
        <v/>
      </c>
      <c r="E1230" s="4" t="str">
        <f>IFERROR(__xludf.DUMMYFUNCTION("""COMPUTED_VALUE"""),"")</f>
        <v/>
      </c>
      <c r="F1230" s="4" t="str">
        <f>IFERROR(__xludf.DUMMYFUNCTION("""COMPUTED_VALUE"""),"")</f>
        <v/>
      </c>
      <c r="G1230" s="4" t="str">
        <f>IFERROR(__xludf.DUMMYFUNCTION("""COMPUTED_VALUE"""),"")</f>
        <v/>
      </c>
      <c r="H1230" s="4" t="str">
        <f>IFERROR(__xludf.DUMMYFUNCTION("""COMPUTED_VALUE"""),"")</f>
        <v/>
      </c>
      <c r="I1230" s="4" t="str">
        <f>IFERROR(__xludf.DUMMYFUNCTION("""COMPUTED_VALUE"""),"")</f>
        <v/>
      </c>
    </row>
    <row r="1231">
      <c r="A1231" s="4" t="str">
        <f>IFERROR(__xludf.DUMMYFUNCTION("""COMPUTED_VALUE"""),"")</f>
        <v/>
      </c>
      <c r="B1231" s="4" t="str">
        <f>IFERROR(__xludf.DUMMYFUNCTION("""COMPUTED_VALUE"""),"")</f>
        <v/>
      </c>
      <c r="C1231" s="4" t="str">
        <f>IFERROR(__xludf.DUMMYFUNCTION("""COMPUTED_VALUE"""),"")</f>
        <v/>
      </c>
      <c r="D1231" s="4" t="str">
        <f>IFERROR(__xludf.DUMMYFUNCTION("""COMPUTED_VALUE"""),"")</f>
        <v/>
      </c>
      <c r="E1231" s="4" t="str">
        <f>IFERROR(__xludf.DUMMYFUNCTION("""COMPUTED_VALUE"""),"")</f>
        <v/>
      </c>
      <c r="F1231" s="4" t="str">
        <f>IFERROR(__xludf.DUMMYFUNCTION("""COMPUTED_VALUE"""),"")</f>
        <v/>
      </c>
      <c r="G1231" s="4" t="str">
        <f>IFERROR(__xludf.DUMMYFUNCTION("""COMPUTED_VALUE"""),"")</f>
        <v/>
      </c>
      <c r="H1231" s="4" t="str">
        <f>IFERROR(__xludf.DUMMYFUNCTION("""COMPUTED_VALUE"""),"")</f>
        <v/>
      </c>
      <c r="I1231" s="4" t="str">
        <f>IFERROR(__xludf.DUMMYFUNCTION("""COMPUTED_VALUE"""),"")</f>
        <v/>
      </c>
    </row>
    <row r="1232">
      <c r="A1232" s="4" t="str">
        <f>IFERROR(__xludf.DUMMYFUNCTION("""COMPUTED_VALUE"""),"")</f>
        <v/>
      </c>
      <c r="B1232" s="4" t="str">
        <f>IFERROR(__xludf.DUMMYFUNCTION("""COMPUTED_VALUE"""),"")</f>
        <v/>
      </c>
      <c r="C1232" s="4" t="str">
        <f>IFERROR(__xludf.DUMMYFUNCTION("""COMPUTED_VALUE"""),"")</f>
        <v/>
      </c>
      <c r="D1232" s="4" t="str">
        <f>IFERROR(__xludf.DUMMYFUNCTION("""COMPUTED_VALUE"""),"")</f>
        <v/>
      </c>
      <c r="E1232" s="4" t="str">
        <f>IFERROR(__xludf.DUMMYFUNCTION("""COMPUTED_VALUE"""),"")</f>
        <v/>
      </c>
      <c r="F1232" s="4" t="str">
        <f>IFERROR(__xludf.DUMMYFUNCTION("""COMPUTED_VALUE"""),"")</f>
        <v/>
      </c>
      <c r="G1232" s="4" t="str">
        <f>IFERROR(__xludf.DUMMYFUNCTION("""COMPUTED_VALUE"""),"")</f>
        <v/>
      </c>
      <c r="H1232" s="4" t="str">
        <f>IFERROR(__xludf.DUMMYFUNCTION("""COMPUTED_VALUE"""),"")</f>
        <v/>
      </c>
      <c r="I1232" s="4" t="str">
        <f>IFERROR(__xludf.DUMMYFUNCTION("""COMPUTED_VALUE"""),"")</f>
        <v/>
      </c>
    </row>
    <row r="1233">
      <c r="A1233" s="4" t="str">
        <f>IFERROR(__xludf.DUMMYFUNCTION("""COMPUTED_VALUE"""),"")</f>
        <v/>
      </c>
      <c r="B1233" s="4" t="str">
        <f>IFERROR(__xludf.DUMMYFUNCTION("""COMPUTED_VALUE"""),"")</f>
        <v/>
      </c>
      <c r="C1233" s="4" t="str">
        <f>IFERROR(__xludf.DUMMYFUNCTION("""COMPUTED_VALUE"""),"")</f>
        <v/>
      </c>
      <c r="D1233" s="4" t="str">
        <f>IFERROR(__xludf.DUMMYFUNCTION("""COMPUTED_VALUE"""),"")</f>
        <v/>
      </c>
      <c r="E1233" s="4" t="str">
        <f>IFERROR(__xludf.DUMMYFUNCTION("""COMPUTED_VALUE"""),"")</f>
        <v/>
      </c>
      <c r="F1233" s="4" t="str">
        <f>IFERROR(__xludf.DUMMYFUNCTION("""COMPUTED_VALUE"""),"")</f>
        <v/>
      </c>
      <c r="G1233" s="4" t="str">
        <f>IFERROR(__xludf.DUMMYFUNCTION("""COMPUTED_VALUE"""),"")</f>
        <v/>
      </c>
      <c r="H1233" s="4" t="str">
        <f>IFERROR(__xludf.DUMMYFUNCTION("""COMPUTED_VALUE"""),"")</f>
        <v/>
      </c>
      <c r="I1233" s="4" t="str">
        <f>IFERROR(__xludf.DUMMYFUNCTION("""COMPUTED_VALUE"""),"")</f>
        <v/>
      </c>
    </row>
    <row r="1234">
      <c r="A1234" s="4" t="str">
        <f>IFERROR(__xludf.DUMMYFUNCTION("""COMPUTED_VALUE"""),"")</f>
        <v/>
      </c>
      <c r="B1234" s="4" t="str">
        <f>IFERROR(__xludf.DUMMYFUNCTION("""COMPUTED_VALUE"""),"")</f>
        <v/>
      </c>
      <c r="C1234" s="4" t="str">
        <f>IFERROR(__xludf.DUMMYFUNCTION("""COMPUTED_VALUE"""),"")</f>
        <v/>
      </c>
      <c r="D1234" s="4" t="str">
        <f>IFERROR(__xludf.DUMMYFUNCTION("""COMPUTED_VALUE"""),"")</f>
        <v/>
      </c>
      <c r="E1234" s="4" t="str">
        <f>IFERROR(__xludf.DUMMYFUNCTION("""COMPUTED_VALUE"""),"")</f>
        <v/>
      </c>
      <c r="F1234" s="4" t="str">
        <f>IFERROR(__xludf.DUMMYFUNCTION("""COMPUTED_VALUE"""),"")</f>
        <v/>
      </c>
      <c r="G1234" s="4" t="str">
        <f>IFERROR(__xludf.DUMMYFUNCTION("""COMPUTED_VALUE"""),"")</f>
        <v/>
      </c>
      <c r="H1234" s="4" t="str">
        <f>IFERROR(__xludf.DUMMYFUNCTION("""COMPUTED_VALUE"""),"")</f>
        <v/>
      </c>
      <c r="I1234" s="4" t="str">
        <f>IFERROR(__xludf.DUMMYFUNCTION("""COMPUTED_VALUE"""),"")</f>
        <v/>
      </c>
    </row>
    <row r="1235">
      <c r="A1235" s="4" t="str">
        <f>IFERROR(__xludf.DUMMYFUNCTION("""COMPUTED_VALUE"""),"")</f>
        <v/>
      </c>
      <c r="B1235" s="4" t="str">
        <f>IFERROR(__xludf.DUMMYFUNCTION("""COMPUTED_VALUE"""),"")</f>
        <v/>
      </c>
      <c r="C1235" s="4" t="str">
        <f>IFERROR(__xludf.DUMMYFUNCTION("""COMPUTED_VALUE"""),"")</f>
        <v/>
      </c>
      <c r="D1235" s="4" t="str">
        <f>IFERROR(__xludf.DUMMYFUNCTION("""COMPUTED_VALUE"""),"")</f>
        <v/>
      </c>
      <c r="E1235" s="4" t="str">
        <f>IFERROR(__xludf.DUMMYFUNCTION("""COMPUTED_VALUE"""),"")</f>
        <v/>
      </c>
      <c r="F1235" s="4" t="str">
        <f>IFERROR(__xludf.DUMMYFUNCTION("""COMPUTED_VALUE"""),"")</f>
        <v/>
      </c>
      <c r="G1235" s="4" t="str">
        <f>IFERROR(__xludf.DUMMYFUNCTION("""COMPUTED_VALUE"""),"")</f>
        <v/>
      </c>
      <c r="H1235" s="4" t="str">
        <f>IFERROR(__xludf.DUMMYFUNCTION("""COMPUTED_VALUE"""),"")</f>
        <v/>
      </c>
      <c r="I1235" s="4" t="str">
        <f>IFERROR(__xludf.DUMMYFUNCTION("""COMPUTED_VALUE"""),"")</f>
        <v/>
      </c>
    </row>
    <row r="1236">
      <c r="A1236" s="4" t="str">
        <f>IFERROR(__xludf.DUMMYFUNCTION("""COMPUTED_VALUE"""),"")</f>
        <v/>
      </c>
      <c r="B1236" s="4" t="str">
        <f>IFERROR(__xludf.DUMMYFUNCTION("""COMPUTED_VALUE"""),"")</f>
        <v/>
      </c>
      <c r="C1236" s="4" t="str">
        <f>IFERROR(__xludf.DUMMYFUNCTION("""COMPUTED_VALUE"""),"")</f>
        <v/>
      </c>
      <c r="D1236" s="4" t="str">
        <f>IFERROR(__xludf.DUMMYFUNCTION("""COMPUTED_VALUE"""),"")</f>
        <v/>
      </c>
      <c r="E1236" s="4" t="str">
        <f>IFERROR(__xludf.DUMMYFUNCTION("""COMPUTED_VALUE"""),"")</f>
        <v/>
      </c>
      <c r="F1236" s="4" t="str">
        <f>IFERROR(__xludf.DUMMYFUNCTION("""COMPUTED_VALUE"""),"")</f>
        <v/>
      </c>
      <c r="G1236" s="4" t="str">
        <f>IFERROR(__xludf.DUMMYFUNCTION("""COMPUTED_VALUE"""),"")</f>
        <v/>
      </c>
      <c r="H1236" s="4" t="str">
        <f>IFERROR(__xludf.DUMMYFUNCTION("""COMPUTED_VALUE"""),"")</f>
        <v/>
      </c>
      <c r="I1236" s="4" t="str">
        <f>IFERROR(__xludf.DUMMYFUNCTION("""COMPUTED_VALUE"""),"")</f>
        <v/>
      </c>
    </row>
    <row r="1237">
      <c r="A1237" s="4" t="str">
        <f>IFERROR(__xludf.DUMMYFUNCTION("""COMPUTED_VALUE"""),"")</f>
        <v/>
      </c>
      <c r="B1237" s="4" t="str">
        <f>IFERROR(__xludf.DUMMYFUNCTION("""COMPUTED_VALUE"""),"")</f>
        <v/>
      </c>
      <c r="C1237" s="4" t="str">
        <f>IFERROR(__xludf.DUMMYFUNCTION("""COMPUTED_VALUE"""),"")</f>
        <v/>
      </c>
      <c r="D1237" s="4" t="str">
        <f>IFERROR(__xludf.DUMMYFUNCTION("""COMPUTED_VALUE"""),"")</f>
        <v/>
      </c>
      <c r="E1237" s="4" t="str">
        <f>IFERROR(__xludf.DUMMYFUNCTION("""COMPUTED_VALUE"""),"")</f>
        <v/>
      </c>
      <c r="F1237" s="4" t="str">
        <f>IFERROR(__xludf.DUMMYFUNCTION("""COMPUTED_VALUE"""),"")</f>
        <v/>
      </c>
      <c r="G1237" s="4" t="str">
        <f>IFERROR(__xludf.DUMMYFUNCTION("""COMPUTED_VALUE"""),"")</f>
        <v/>
      </c>
      <c r="H1237" s="4" t="str">
        <f>IFERROR(__xludf.DUMMYFUNCTION("""COMPUTED_VALUE"""),"")</f>
        <v/>
      </c>
      <c r="I1237" s="4" t="str">
        <f>IFERROR(__xludf.DUMMYFUNCTION("""COMPUTED_VALUE"""),"")</f>
        <v/>
      </c>
    </row>
    <row r="1238">
      <c r="A1238" s="4" t="str">
        <f>IFERROR(__xludf.DUMMYFUNCTION("""COMPUTED_VALUE"""),"")</f>
        <v/>
      </c>
      <c r="B1238" s="4" t="str">
        <f>IFERROR(__xludf.DUMMYFUNCTION("""COMPUTED_VALUE"""),"")</f>
        <v/>
      </c>
      <c r="C1238" s="4" t="str">
        <f>IFERROR(__xludf.DUMMYFUNCTION("""COMPUTED_VALUE"""),"")</f>
        <v/>
      </c>
      <c r="D1238" s="4" t="str">
        <f>IFERROR(__xludf.DUMMYFUNCTION("""COMPUTED_VALUE"""),"")</f>
        <v/>
      </c>
      <c r="E1238" s="4" t="str">
        <f>IFERROR(__xludf.DUMMYFUNCTION("""COMPUTED_VALUE"""),"")</f>
        <v/>
      </c>
      <c r="F1238" s="4" t="str">
        <f>IFERROR(__xludf.DUMMYFUNCTION("""COMPUTED_VALUE"""),"")</f>
        <v/>
      </c>
      <c r="G1238" s="4" t="str">
        <f>IFERROR(__xludf.DUMMYFUNCTION("""COMPUTED_VALUE"""),"")</f>
        <v/>
      </c>
      <c r="H1238" s="4" t="str">
        <f>IFERROR(__xludf.DUMMYFUNCTION("""COMPUTED_VALUE"""),"")</f>
        <v/>
      </c>
      <c r="I1238" s="4" t="str">
        <f>IFERROR(__xludf.DUMMYFUNCTION("""COMPUTED_VALUE"""),"")</f>
        <v/>
      </c>
    </row>
    <row r="1239">
      <c r="A1239" s="4" t="str">
        <f>IFERROR(__xludf.DUMMYFUNCTION("""COMPUTED_VALUE"""),"")</f>
        <v/>
      </c>
      <c r="B1239" s="4" t="str">
        <f>IFERROR(__xludf.DUMMYFUNCTION("""COMPUTED_VALUE"""),"")</f>
        <v/>
      </c>
      <c r="C1239" s="4" t="str">
        <f>IFERROR(__xludf.DUMMYFUNCTION("""COMPUTED_VALUE"""),"")</f>
        <v/>
      </c>
      <c r="D1239" s="4" t="str">
        <f>IFERROR(__xludf.DUMMYFUNCTION("""COMPUTED_VALUE"""),"")</f>
        <v/>
      </c>
      <c r="E1239" s="4" t="str">
        <f>IFERROR(__xludf.DUMMYFUNCTION("""COMPUTED_VALUE"""),"")</f>
        <v/>
      </c>
      <c r="F1239" s="4" t="str">
        <f>IFERROR(__xludf.DUMMYFUNCTION("""COMPUTED_VALUE"""),"")</f>
        <v/>
      </c>
      <c r="G1239" s="4" t="str">
        <f>IFERROR(__xludf.DUMMYFUNCTION("""COMPUTED_VALUE"""),"")</f>
        <v/>
      </c>
      <c r="H1239" s="4" t="str">
        <f>IFERROR(__xludf.DUMMYFUNCTION("""COMPUTED_VALUE"""),"")</f>
        <v/>
      </c>
      <c r="I1239" s="4" t="str">
        <f>IFERROR(__xludf.DUMMYFUNCTION("""COMPUTED_VALUE"""),"")</f>
        <v/>
      </c>
    </row>
    <row r="1240">
      <c r="A1240" s="4" t="str">
        <f>IFERROR(__xludf.DUMMYFUNCTION("""COMPUTED_VALUE"""),"")</f>
        <v/>
      </c>
      <c r="B1240" s="4" t="str">
        <f>IFERROR(__xludf.DUMMYFUNCTION("""COMPUTED_VALUE"""),"")</f>
        <v/>
      </c>
      <c r="C1240" s="4" t="str">
        <f>IFERROR(__xludf.DUMMYFUNCTION("""COMPUTED_VALUE"""),"")</f>
        <v/>
      </c>
      <c r="D1240" s="4" t="str">
        <f>IFERROR(__xludf.DUMMYFUNCTION("""COMPUTED_VALUE"""),"")</f>
        <v/>
      </c>
      <c r="E1240" s="4" t="str">
        <f>IFERROR(__xludf.DUMMYFUNCTION("""COMPUTED_VALUE"""),"")</f>
        <v/>
      </c>
      <c r="F1240" s="4" t="str">
        <f>IFERROR(__xludf.DUMMYFUNCTION("""COMPUTED_VALUE"""),"")</f>
        <v/>
      </c>
      <c r="G1240" s="4" t="str">
        <f>IFERROR(__xludf.DUMMYFUNCTION("""COMPUTED_VALUE"""),"")</f>
        <v/>
      </c>
      <c r="H1240" s="4" t="str">
        <f>IFERROR(__xludf.DUMMYFUNCTION("""COMPUTED_VALUE"""),"")</f>
        <v/>
      </c>
      <c r="I1240" s="4" t="str">
        <f>IFERROR(__xludf.DUMMYFUNCTION("""COMPUTED_VALUE"""),"")</f>
        <v/>
      </c>
    </row>
    <row r="1241">
      <c r="A1241" s="4" t="str">
        <f>IFERROR(__xludf.DUMMYFUNCTION("""COMPUTED_VALUE"""),"")</f>
        <v/>
      </c>
      <c r="B1241" s="4" t="str">
        <f>IFERROR(__xludf.DUMMYFUNCTION("""COMPUTED_VALUE"""),"")</f>
        <v/>
      </c>
      <c r="C1241" s="4" t="str">
        <f>IFERROR(__xludf.DUMMYFUNCTION("""COMPUTED_VALUE"""),"")</f>
        <v/>
      </c>
      <c r="D1241" s="4" t="str">
        <f>IFERROR(__xludf.DUMMYFUNCTION("""COMPUTED_VALUE"""),"")</f>
        <v/>
      </c>
      <c r="E1241" s="4" t="str">
        <f>IFERROR(__xludf.DUMMYFUNCTION("""COMPUTED_VALUE"""),"")</f>
        <v/>
      </c>
      <c r="F1241" s="4" t="str">
        <f>IFERROR(__xludf.DUMMYFUNCTION("""COMPUTED_VALUE"""),"")</f>
        <v/>
      </c>
      <c r="G1241" s="4" t="str">
        <f>IFERROR(__xludf.DUMMYFUNCTION("""COMPUTED_VALUE"""),"")</f>
        <v/>
      </c>
      <c r="H1241" s="4" t="str">
        <f>IFERROR(__xludf.DUMMYFUNCTION("""COMPUTED_VALUE"""),"")</f>
        <v/>
      </c>
      <c r="I1241" s="4" t="str">
        <f>IFERROR(__xludf.DUMMYFUNCTION("""COMPUTED_VALUE"""),"")</f>
        <v/>
      </c>
    </row>
    <row r="1242">
      <c r="A1242" s="4" t="str">
        <f>IFERROR(__xludf.DUMMYFUNCTION("""COMPUTED_VALUE"""),"")</f>
        <v/>
      </c>
      <c r="B1242" s="4" t="str">
        <f>IFERROR(__xludf.DUMMYFUNCTION("""COMPUTED_VALUE"""),"")</f>
        <v/>
      </c>
      <c r="C1242" s="4" t="str">
        <f>IFERROR(__xludf.DUMMYFUNCTION("""COMPUTED_VALUE"""),"")</f>
        <v/>
      </c>
      <c r="D1242" s="4" t="str">
        <f>IFERROR(__xludf.DUMMYFUNCTION("""COMPUTED_VALUE"""),"")</f>
        <v/>
      </c>
      <c r="E1242" s="4" t="str">
        <f>IFERROR(__xludf.DUMMYFUNCTION("""COMPUTED_VALUE"""),"")</f>
        <v/>
      </c>
      <c r="F1242" s="4" t="str">
        <f>IFERROR(__xludf.DUMMYFUNCTION("""COMPUTED_VALUE"""),"")</f>
        <v/>
      </c>
      <c r="G1242" s="4" t="str">
        <f>IFERROR(__xludf.DUMMYFUNCTION("""COMPUTED_VALUE"""),"")</f>
        <v/>
      </c>
      <c r="H1242" s="4" t="str">
        <f>IFERROR(__xludf.DUMMYFUNCTION("""COMPUTED_VALUE"""),"")</f>
        <v/>
      </c>
      <c r="I1242" s="4" t="str">
        <f>IFERROR(__xludf.DUMMYFUNCTION("""COMPUTED_VALUE"""),"")</f>
        <v/>
      </c>
    </row>
    <row r="1243">
      <c r="A1243" s="4" t="str">
        <f>IFERROR(__xludf.DUMMYFUNCTION("""COMPUTED_VALUE"""),"")</f>
        <v/>
      </c>
      <c r="B1243" s="4" t="str">
        <f>IFERROR(__xludf.DUMMYFUNCTION("""COMPUTED_VALUE"""),"")</f>
        <v/>
      </c>
      <c r="C1243" s="4" t="str">
        <f>IFERROR(__xludf.DUMMYFUNCTION("""COMPUTED_VALUE"""),"")</f>
        <v/>
      </c>
      <c r="D1243" s="4" t="str">
        <f>IFERROR(__xludf.DUMMYFUNCTION("""COMPUTED_VALUE"""),"")</f>
        <v/>
      </c>
      <c r="E1243" s="4" t="str">
        <f>IFERROR(__xludf.DUMMYFUNCTION("""COMPUTED_VALUE"""),"")</f>
        <v/>
      </c>
      <c r="F1243" s="4" t="str">
        <f>IFERROR(__xludf.DUMMYFUNCTION("""COMPUTED_VALUE"""),"")</f>
        <v/>
      </c>
      <c r="G1243" s="4" t="str">
        <f>IFERROR(__xludf.DUMMYFUNCTION("""COMPUTED_VALUE"""),"")</f>
        <v/>
      </c>
      <c r="H1243" s="4" t="str">
        <f>IFERROR(__xludf.DUMMYFUNCTION("""COMPUTED_VALUE"""),"")</f>
        <v/>
      </c>
      <c r="I1243" s="4" t="str">
        <f>IFERROR(__xludf.DUMMYFUNCTION("""COMPUTED_VALUE"""),"")</f>
        <v/>
      </c>
    </row>
    <row r="1244">
      <c r="A1244" s="4" t="str">
        <f>IFERROR(__xludf.DUMMYFUNCTION("""COMPUTED_VALUE"""),"")</f>
        <v/>
      </c>
      <c r="B1244" s="4" t="str">
        <f>IFERROR(__xludf.DUMMYFUNCTION("""COMPUTED_VALUE"""),"")</f>
        <v/>
      </c>
      <c r="C1244" s="4" t="str">
        <f>IFERROR(__xludf.DUMMYFUNCTION("""COMPUTED_VALUE"""),"")</f>
        <v/>
      </c>
      <c r="D1244" s="4" t="str">
        <f>IFERROR(__xludf.DUMMYFUNCTION("""COMPUTED_VALUE"""),"")</f>
        <v/>
      </c>
      <c r="E1244" s="4" t="str">
        <f>IFERROR(__xludf.DUMMYFUNCTION("""COMPUTED_VALUE"""),"")</f>
        <v/>
      </c>
      <c r="F1244" s="4" t="str">
        <f>IFERROR(__xludf.DUMMYFUNCTION("""COMPUTED_VALUE"""),"")</f>
        <v/>
      </c>
      <c r="G1244" s="4" t="str">
        <f>IFERROR(__xludf.DUMMYFUNCTION("""COMPUTED_VALUE"""),"")</f>
        <v/>
      </c>
      <c r="H1244" s="4" t="str">
        <f>IFERROR(__xludf.DUMMYFUNCTION("""COMPUTED_VALUE"""),"")</f>
        <v/>
      </c>
      <c r="I1244" s="4" t="str">
        <f>IFERROR(__xludf.DUMMYFUNCTION("""COMPUTED_VALUE"""),"")</f>
        <v/>
      </c>
    </row>
    <row r="1245">
      <c r="A1245" s="4" t="str">
        <f>IFERROR(__xludf.DUMMYFUNCTION("""COMPUTED_VALUE"""),"")</f>
        <v/>
      </c>
      <c r="B1245" s="4" t="str">
        <f>IFERROR(__xludf.DUMMYFUNCTION("""COMPUTED_VALUE"""),"")</f>
        <v/>
      </c>
      <c r="C1245" s="4" t="str">
        <f>IFERROR(__xludf.DUMMYFUNCTION("""COMPUTED_VALUE"""),"")</f>
        <v/>
      </c>
      <c r="D1245" s="4" t="str">
        <f>IFERROR(__xludf.DUMMYFUNCTION("""COMPUTED_VALUE"""),"")</f>
        <v/>
      </c>
      <c r="E1245" s="4" t="str">
        <f>IFERROR(__xludf.DUMMYFUNCTION("""COMPUTED_VALUE"""),"")</f>
        <v/>
      </c>
      <c r="F1245" s="4" t="str">
        <f>IFERROR(__xludf.DUMMYFUNCTION("""COMPUTED_VALUE"""),"")</f>
        <v/>
      </c>
      <c r="G1245" s="4" t="str">
        <f>IFERROR(__xludf.DUMMYFUNCTION("""COMPUTED_VALUE"""),"")</f>
        <v/>
      </c>
      <c r="H1245" s="4" t="str">
        <f>IFERROR(__xludf.DUMMYFUNCTION("""COMPUTED_VALUE"""),"")</f>
        <v/>
      </c>
      <c r="I1245" s="4" t="str">
        <f>IFERROR(__xludf.DUMMYFUNCTION("""COMPUTED_VALUE"""),"")</f>
        <v/>
      </c>
    </row>
    <row r="1246">
      <c r="A1246" s="4" t="str">
        <f>IFERROR(__xludf.DUMMYFUNCTION("""COMPUTED_VALUE"""),"")</f>
        <v/>
      </c>
      <c r="B1246" s="4" t="str">
        <f>IFERROR(__xludf.DUMMYFUNCTION("""COMPUTED_VALUE"""),"")</f>
        <v/>
      </c>
      <c r="C1246" s="4" t="str">
        <f>IFERROR(__xludf.DUMMYFUNCTION("""COMPUTED_VALUE"""),"")</f>
        <v/>
      </c>
      <c r="D1246" s="4" t="str">
        <f>IFERROR(__xludf.DUMMYFUNCTION("""COMPUTED_VALUE"""),"")</f>
        <v/>
      </c>
      <c r="E1246" s="4" t="str">
        <f>IFERROR(__xludf.DUMMYFUNCTION("""COMPUTED_VALUE"""),"")</f>
        <v/>
      </c>
      <c r="F1246" s="4" t="str">
        <f>IFERROR(__xludf.DUMMYFUNCTION("""COMPUTED_VALUE"""),"")</f>
        <v/>
      </c>
      <c r="G1246" s="4" t="str">
        <f>IFERROR(__xludf.DUMMYFUNCTION("""COMPUTED_VALUE"""),"")</f>
        <v/>
      </c>
      <c r="H1246" s="4" t="str">
        <f>IFERROR(__xludf.DUMMYFUNCTION("""COMPUTED_VALUE"""),"")</f>
        <v/>
      </c>
      <c r="I1246" s="4" t="str">
        <f>IFERROR(__xludf.DUMMYFUNCTION("""COMPUTED_VALUE"""),"")</f>
        <v/>
      </c>
    </row>
    <row r="1247">
      <c r="A1247" s="4" t="str">
        <f>IFERROR(__xludf.DUMMYFUNCTION("""COMPUTED_VALUE"""),"")</f>
        <v/>
      </c>
      <c r="B1247" s="4" t="str">
        <f>IFERROR(__xludf.DUMMYFUNCTION("""COMPUTED_VALUE"""),"")</f>
        <v/>
      </c>
      <c r="C1247" s="4" t="str">
        <f>IFERROR(__xludf.DUMMYFUNCTION("""COMPUTED_VALUE"""),"")</f>
        <v/>
      </c>
      <c r="D1247" s="4" t="str">
        <f>IFERROR(__xludf.DUMMYFUNCTION("""COMPUTED_VALUE"""),"")</f>
        <v/>
      </c>
      <c r="E1247" s="4" t="str">
        <f>IFERROR(__xludf.DUMMYFUNCTION("""COMPUTED_VALUE"""),"")</f>
        <v/>
      </c>
      <c r="F1247" s="4" t="str">
        <f>IFERROR(__xludf.DUMMYFUNCTION("""COMPUTED_VALUE"""),"")</f>
        <v/>
      </c>
      <c r="G1247" s="4" t="str">
        <f>IFERROR(__xludf.DUMMYFUNCTION("""COMPUTED_VALUE"""),"")</f>
        <v/>
      </c>
      <c r="H1247" s="4" t="str">
        <f>IFERROR(__xludf.DUMMYFUNCTION("""COMPUTED_VALUE"""),"")</f>
        <v/>
      </c>
      <c r="I1247" s="4" t="str">
        <f>IFERROR(__xludf.DUMMYFUNCTION("""COMPUTED_VALUE"""),"")</f>
        <v/>
      </c>
    </row>
    <row r="1248">
      <c r="A1248" s="4" t="str">
        <f>IFERROR(__xludf.DUMMYFUNCTION("""COMPUTED_VALUE"""),"")</f>
        <v/>
      </c>
      <c r="B1248" s="4" t="str">
        <f>IFERROR(__xludf.DUMMYFUNCTION("""COMPUTED_VALUE"""),"")</f>
        <v/>
      </c>
      <c r="C1248" s="4" t="str">
        <f>IFERROR(__xludf.DUMMYFUNCTION("""COMPUTED_VALUE"""),"")</f>
        <v/>
      </c>
      <c r="D1248" s="4" t="str">
        <f>IFERROR(__xludf.DUMMYFUNCTION("""COMPUTED_VALUE"""),"")</f>
        <v/>
      </c>
      <c r="E1248" s="4" t="str">
        <f>IFERROR(__xludf.DUMMYFUNCTION("""COMPUTED_VALUE"""),"")</f>
        <v/>
      </c>
      <c r="F1248" s="4" t="str">
        <f>IFERROR(__xludf.DUMMYFUNCTION("""COMPUTED_VALUE"""),"")</f>
        <v/>
      </c>
      <c r="G1248" s="4" t="str">
        <f>IFERROR(__xludf.DUMMYFUNCTION("""COMPUTED_VALUE"""),"")</f>
        <v/>
      </c>
      <c r="H1248" s="4" t="str">
        <f>IFERROR(__xludf.DUMMYFUNCTION("""COMPUTED_VALUE"""),"")</f>
        <v/>
      </c>
      <c r="I1248" s="4" t="str">
        <f>IFERROR(__xludf.DUMMYFUNCTION("""COMPUTED_VALUE"""),"")</f>
        <v/>
      </c>
    </row>
    <row r="1249">
      <c r="A1249" s="4" t="str">
        <f>IFERROR(__xludf.DUMMYFUNCTION("""COMPUTED_VALUE"""),"")</f>
        <v/>
      </c>
      <c r="B1249" s="4" t="str">
        <f>IFERROR(__xludf.DUMMYFUNCTION("""COMPUTED_VALUE"""),"")</f>
        <v/>
      </c>
      <c r="C1249" s="4" t="str">
        <f>IFERROR(__xludf.DUMMYFUNCTION("""COMPUTED_VALUE"""),"")</f>
        <v/>
      </c>
      <c r="D1249" s="4" t="str">
        <f>IFERROR(__xludf.DUMMYFUNCTION("""COMPUTED_VALUE"""),"")</f>
        <v/>
      </c>
      <c r="E1249" s="4" t="str">
        <f>IFERROR(__xludf.DUMMYFUNCTION("""COMPUTED_VALUE"""),"")</f>
        <v/>
      </c>
      <c r="F1249" s="4" t="str">
        <f>IFERROR(__xludf.DUMMYFUNCTION("""COMPUTED_VALUE"""),"")</f>
        <v/>
      </c>
      <c r="G1249" s="4" t="str">
        <f>IFERROR(__xludf.DUMMYFUNCTION("""COMPUTED_VALUE"""),"")</f>
        <v/>
      </c>
      <c r="H1249" s="4" t="str">
        <f>IFERROR(__xludf.DUMMYFUNCTION("""COMPUTED_VALUE"""),"")</f>
        <v/>
      </c>
      <c r="I1249" s="4" t="str">
        <f>IFERROR(__xludf.DUMMYFUNCTION("""COMPUTED_VALUE"""),"")</f>
        <v/>
      </c>
    </row>
    <row r="1250">
      <c r="A1250" s="4" t="str">
        <f>IFERROR(__xludf.DUMMYFUNCTION("""COMPUTED_VALUE"""),"")</f>
        <v/>
      </c>
      <c r="B1250" s="4" t="str">
        <f>IFERROR(__xludf.DUMMYFUNCTION("""COMPUTED_VALUE"""),"")</f>
        <v/>
      </c>
      <c r="C1250" s="4" t="str">
        <f>IFERROR(__xludf.DUMMYFUNCTION("""COMPUTED_VALUE"""),"")</f>
        <v/>
      </c>
      <c r="D1250" s="4" t="str">
        <f>IFERROR(__xludf.DUMMYFUNCTION("""COMPUTED_VALUE"""),"")</f>
        <v/>
      </c>
      <c r="E1250" s="4" t="str">
        <f>IFERROR(__xludf.DUMMYFUNCTION("""COMPUTED_VALUE"""),"")</f>
        <v/>
      </c>
      <c r="F1250" s="4" t="str">
        <f>IFERROR(__xludf.DUMMYFUNCTION("""COMPUTED_VALUE"""),"")</f>
        <v/>
      </c>
      <c r="G1250" s="4" t="str">
        <f>IFERROR(__xludf.DUMMYFUNCTION("""COMPUTED_VALUE"""),"")</f>
        <v/>
      </c>
      <c r="H1250" s="4" t="str">
        <f>IFERROR(__xludf.DUMMYFUNCTION("""COMPUTED_VALUE"""),"")</f>
        <v/>
      </c>
      <c r="I1250" s="4" t="str">
        <f>IFERROR(__xludf.DUMMYFUNCTION("""COMPUTED_VALUE"""),"")</f>
        <v/>
      </c>
    </row>
    <row r="1251">
      <c r="A1251" s="4" t="str">
        <f>IFERROR(__xludf.DUMMYFUNCTION("""COMPUTED_VALUE"""),"")</f>
        <v/>
      </c>
      <c r="B1251" s="4" t="str">
        <f>IFERROR(__xludf.DUMMYFUNCTION("""COMPUTED_VALUE"""),"")</f>
        <v/>
      </c>
      <c r="C1251" s="4" t="str">
        <f>IFERROR(__xludf.DUMMYFUNCTION("""COMPUTED_VALUE"""),"")</f>
        <v/>
      </c>
      <c r="D1251" s="4" t="str">
        <f>IFERROR(__xludf.DUMMYFUNCTION("""COMPUTED_VALUE"""),"")</f>
        <v/>
      </c>
      <c r="E1251" s="4" t="str">
        <f>IFERROR(__xludf.DUMMYFUNCTION("""COMPUTED_VALUE"""),"")</f>
        <v/>
      </c>
      <c r="F1251" s="4" t="str">
        <f>IFERROR(__xludf.DUMMYFUNCTION("""COMPUTED_VALUE"""),"")</f>
        <v/>
      </c>
      <c r="G1251" s="4" t="str">
        <f>IFERROR(__xludf.DUMMYFUNCTION("""COMPUTED_VALUE"""),"")</f>
        <v/>
      </c>
      <c r="H1251" s="4" t="str">
        <f>IFERROR(__xludf.DUMMYFUNCTION("""COMPUTED_VALUE"""),"")</f>
        <v/>
      </c>
      <c r="I1251" s="4" t="str">
        <f>IFERROR(__xludf.DUMMYFUNCTION("""COMPUTED_VALUE"""),"")</f>
        <v/>
      </c>
    </row>
    <row r="1252">
      <c r="A1252" s="4" t="str">
        <f>IFERROR(__xludf.DUMMYFUNCTION("""COMPUTED_VALUE"""),"")</f>
        <v/>
      </c>
      <c r="B1252" s="4" t="str">
        <f>IFERROR(__xludf.DUMMYFUNCTION("""COMPUTED_VALUE"""),"")</f>
        <v/>
      </c>
      <c r="C1252" s="4" t="str">
        <f>IFERROR(__xludf.DUMMYFUNCTION("""COMPUTED_VALUE"""),"")</f>
        <v/>
      </c>
      <c r="D1252" s="4" t="str">
        <f>IFERROR(__xludf.DUMMYFUNCTION("""COMPUTED_VALUE"""),"")</f>
        <v/>
      </c>
      <c r="E1252" s="4" t="str">
        <f>IFERROR(__xludf.DUMMYFUNCTION("""COMPUTED_VALUE"""),"")</f>
        <v/>
      </c>
      <c r="F1252" s="4" t="str">
        <f>IFERROR(__xludf.DUMMYFUNCTION("""COMPUTED_VALUE"""),"")</f>
        <v/>
      </c>
      <c r="G1252" s="4" t="str">
        <f>IFERROR(__xludf.DUMMYFUNCTION("""COMPUTED_VALUE"""),"")</f>
        <v/>
      </c>
      <c r="H1252" s="4" t="str">
        <f>IFERROR(__xludf.DUMMYFUNCTION("""COMPUTED_VALUE"""),"")</f>
        <v/>
      </c>
      <c r="I1252" s="4" t="str">
        <f>IFERROR(__xludf.DUMMYFUNCTION("""COMPUTED_VALUE"""),"")</f>
        <v/>
      </c>
    </row>
    <row r="1253">
      <c r="A1253" s="4" t="str">
        <f>IFERROR(__xludf.DUMMYFUNCTION("""COMPUTED_VALUE"""),"")</f>
        <v/>
      </c>
      <c r="B1253" s="4" t="str">
        <f>IFERROR(__xludf.DUMMYFUNCTION("""COMPUTED_VALUE"""),"")</f>
        <v/>
      </c>
      <c r="C1253" s="4" t="str">
        <f>IFERROR(__xludf.DUMMYFUNCTION("""COMPUTED_VALUE"""),"")</f>
        <v/>
      </c>
      <c r="D1253" s="4" t="str">
        <f>IFERROR(__xludf.DUMMYFUNCTION("""COMPUTED_VALUE"""),"")</f>
        <v/>
      </c>
      <c r="E1253" s="4" t="str">
        <f>IFERROR(__xludf.DUMMYFUNCTION("""COMPUTED_VALUE"""),"")</f>
        <v/>
      </c>
      <c r="F1253" s="4" t="str">
        <f>IFERROR(__xludf.DUMMYFUNCTION("""COMPUTED_VALUE"""),"")</f>
        <v/>
      </c>
      <c r="G1253" s="4" t="str">
        <f>IFERROR(__xludf.DUMMYFUNCTION("""COMPUTED_VALUE"""),"")</f>
        <v/>
      </c>
      <c r="H1253" s="4" t="str">
        <f>IFERROR(__xludf.DUMMYFUNCTION("""COMPUTED_VALUE"""),"")</f>
        <v/>
      </c>
      <c r="I1253" s="4" t="str">
        <f>IFERROR(__xludf.DUMMYFUNCTION("""COMPUTED_VALUE"""),"")</f>
        <v/>
      </c>
    </row>
    <row r="1254">
      <c r="A1254" s="4" t="str">
        <f>IFERROR(__xludf.DUMMYFUNCTION("""COMPUTED_VALUE"""),"")</f>
        <v/>
      </c>
      <c r="B1254" s="4" t="str">
        <f>IFERROR(__xludf.DUMMYFUNCTION("""COMPUTED_VALUE"""),"")</f>
        <v/>
      </c>
      <c r="C1254" s="4" t="str">
        <f>IFERROR(__xludf.DUMMYFUNCTION("""COMPUTED_VALUE"""),"")</f>
        <v/>
      </c>
      <c r="D1254" s="4" t="str">
        <f>IFERROR(__xludf.DUMMYFUNCTION("""COMPUTED_VALUE"""),"")</f>
        <v/>
      </c>
      <c r="E1254" s="4" t="str">
        <f>IFERROR(__xludf.DUMMYFUNCTION("""COMPUTED_VALUE"""),"")</f>
        <v/>
      </c>
      <c r="F1254" s="4" t="str">
        <f>IFERROR(__xludf.DUMMYFUNCTION("""COMPUTED_VALUE"""),"")</f>
        <v/>
      </c>
      <c r="G1254" s="4" t="str">
        <f>IFERROR(__xludf.DUMMYFUNCTION("""COMPUTED_VALUE"""),"")</f>
        <v/>
      </c>
      <c r="H1254" s="4" t="str">
        <f>IFERROR(__xludf.DUMMYFUNCTION("""COMPUTED_VALUE"""),"")</f>
        <v/>
      </c>
      <c r="I1254" s="4" t="str">
        <f>IFERROR(__xludf.DUMMYFUNCTION("""COMPUTED_VALUE"""),"")</f>
        <v/>
      </c>
    </row>
    <row r="1255">
      <c r="A1255" s="4" t="str">
        <f>IFERROR(__xludf.DUMMYFUNCTION("""COMPUTED_VALUE"""),"")</f>
        <v/>
      </c>
      <c r="B1255" s="4" t="str">
        <f>IFERROR(__xludf.DUMMYFUNCTION("""COMPUTED_VALUE"""),"")</f>
        <v/>
      </c>
      <c r="C1255" s="4" t="str">
        <f>IFERROR(__xludf.DUMMYFUNCTION("""COMPUTED_VALUE"""),"")</f>
        <v/>
      </c>
      <c r="D1255" s="4" t="str">
        <f>IFERROR(__xludf.DUMMYFUNCTION("""COMPUTED_VALUE"""),"")</f>
        <v/>
      </c>
      <c r="E1255" s="4" t="str">
        <f>IFERROR(__xludf.DUMMYFUNCTION("""COMPUTED_VALUE"""),"")</f>
        <v/>
      </c>
      <c r="F1255" s="4" t="str">
        <f>IFERROR(__xludf.DUMMYFUNCTION("""COMPUTED_VALUE"""),"")</f>
        <v/>
      </c>
      <c r="G1255" s="4" t="str">
        <f>IFERROR(__xludf.DUMMYFUNCTION("""COMPUTED_VALUE"""),"")</f>
        <v/>
      </c>
      <c r="H1255" s="4" t="str">
        <f>IFERROR(__xludf.DUMMYFUNCTION("""COMPUTED_VALUE"""),"")</f>
        <v/>
      </c>
      <c r="I1255" s="4" t="str">
        <f>IFERROR(__xludf.DUMMYFUNCTION("""COMPUTED_VALUE"""),"")</f>
        <v/>
      </c>
    </row>
    <row r="1256">
      <c r="A1256" s="4" t="str">
        <f>IFERROR(__xludf.DUMMYFUNCTION("""COMPUTED_VALUE"""),"")</f>
        <v/>
      </c>
      <c r="B1256" s="4" t="str">
        <f>IFERROR(__xludf.DUMMYFUNCTION("""COMPUTED_VALUE"""),"")</f>
        <v/>
      </c>
      <c r="C1256" s="4" t="str">
        <f>IFERROR(__xludf.DUMMYFUNCTION("""COMPUTED_VALUE"""),"")</f>
        <v/>
      </c>
      <c r="D1256" s="4" t="str">
        <f>IFERROR(__xludf.DUMMYFUNCTION("""COMPUTED_VALUE"""),"")</f>
        <v/>
      </c>
      <c r="E1256" s="4" t="str">
        <f>IFERROR(__xludf.DUMMYFUNCTION("""COMPUTED_VALUE"""),"")</f>
        <v/>
      </c>
      <c r="F1256" s="4" t="str">
        <f>IFERROR(__xludf.DUMMYFUNCTION("""COMPUTED_VALUE"""),"")</f>
        <v/>
      </c>
      <c r="G1256" s="4" t="str">
        <f>IFERROR(__xludf.DUMMYFUNCTION("""COMPUTED_VALUE"""),"")</f>
        <v/>
      </c>
      <c r="H1256" s="4" t="str">
        <f>IFERROR(__xludf.DUMMYFUNCTION("""COMPUTED_VALUE"""),"")</f>
        <v/>
      </c>
      <c r="I1256" s="4" t="str">
        <f>IFERROR(__xludf.DUMMYFUNCTION("""COMPUTED_VALUE"""),"")</f>
        <v/>
      </c>
    </row>
    <row r="1257">
      <c r="A1257" s="4" t="str">
        <f>IFERROR(__xludf.DUMMYFUNCTION("""COMPUTED_VALUE"""),"")</f>
        <v/>
      </c>
      <c r="B1257" s="4" t="str">
        <f>IFERROR(__xludf.DUMMYFUNCTION("""COMPUTED_VALUE"""),"")</f>
        <v/>
      </c>
      <c r="C1257" s="4" t="str">
        <f>IFERROR(__xludf.DUMMYFUNCTION("""COMPUTED_VALUE"""),"")</f>
        <v/>
      </c>
      <c r="D1257" s="4" t="str">
        <f>IFERROR(__xludf.DUMMYFUNCTION("""COMPUTED_VALUE"""),"")</f>
        <v/>
      </c>
      <c r="E1257" s="4" t="str">
        <f>IFERROR(__xludf.DUMMYFUNCTION("""COMPUTED_VALUE"""),"")</f>
        <v/>
      </c>
      <c r="F1257" s="4" t="str">
        <f>IFERROR(__xludf.DUMMYFUNCTION("""COMPUTED_VALUE"""),"")</f>
        <v/>
      </c>
      <c r="G1257" s="4" t="str">
        <f>IFERROR(__xludf.DUMMYFUNCTION("""COMPUTED_VALUE"""),"")</f>
        <v/>
      </c>
      <c r="H1257" s="4" t="str">
        <f>IFERROR(__xludf.DUMMYFUNCTION("""COMPUTED_VALUE"""),"")</f>
        <v/>
      </c>
      <c r="I1257" s="4" t="str">
        <f>IFERROR(__xludf.DUMMYFUNCTION("""COMPUTED_VALUE"""),"")</f>
        <v/>
      </c>
    </row>
    <row r="1258">
      <c r="A1258" s="4" t="str">
        <f>IFERROR(__xludf.DUMMYFUNCTION("""COMPUTED_VALUE"""),"")</f>
        <v/>
      </c>
      <c r="B1258" s="4" t="str">
        <f>IFERROR(__xludf.DUMMYFUNCTION("""COMPUTED_VALUE"""),"")</f>
        <v/>
      </c>
      <c r="C1258" s="4" t="str">
        <f>IFERROR(__xludf.DUMMYFUNCTION("""COMPUTED_VALUE"""),"")</f>
        <v/>
      </c>
      <c r="D1258" s="4" t="str">
        <f>IFERROR(__xludf.DUMMYFUNCTION("""COMPUTED_VALUE"""),"")</f>
        <v/>
      </c>
      <c r="E1258" s="4" t="str">
        <f>IFERROR(__xludf.DUMMYFUNCTION("""COMPUTED_VALUE"""),"")</f>
        <v/>
      </c>
      <c r="F1258" s="4" t="str">
        <f>IFERROR(__xludf.DUMMYFUNCTION("""COMPUTED_VALUE"""),"")</f>
        <v/>
      </c>
      <c r="G1258" s="4" t="str">
        <f>IFERROR(__xludf.DUMMYFUNCTION("""COMPUTED_VALUE"""),"")</f>
        <v/>
      </c>
      <c r="H1258" s="4" t="str">
        <f>IFERROR(__xludf.DUMMYFUNCTION("""COMPUTED_VALUE"""),"")</f>
        <v/>
      </c>
      <c r="I1258" s="4" t="str">
        <f>IFERROR(__xludf.DUMMYFUNCTION("""COMPUTED_VALUE"""),"")</f>
        <v/>
      </c>
    </row>
    <row r="1259">
      <c r="A1259" s="4" t="str">
        <f>IFERROR(__xludf.DUMMYFUNCTION("""COMPUTED_VALUE"""),"")</f>
        <v/>
      </c>
      <c r="B1259" s="4" t="str">
        <f>IFERROR(__xludf.DUMMYFUNCTION("""COMPUTED_VALUE"""),"")</f>
        <v/>
      </c>
      <c r="C1259" s="4" t="str">
        <f>IFERROR(__xludf.DUMMYFUNCTION("""COMPUTED_VALUE"""),"")</f>
        <v/>
      </c>
      <c r="D1259" s="4" t="str">
        <f>IFERROR(__xludf.DUMMYFUNCTION("""COMPUTED_VALUE"""),"")</f>
        <v/>
      </c>
      <c r="E1259" s="4" t="str">
        <f>IFERROR(__xludf.DUMMYFUNCTION("""COMPUTED_VALUE"""),"")</f>
        <v/>
      </c>
      <c r="F1259" s="4" t="str">
        <f>IFERROR(__xludf.DUMMYFUNCTION("""COMPUTED_VALUE"""),"")</f>
        <v/>
      </c>
      <c r="G1259" s="4" t="str">
        <f>IFERROR(__xludf.DUMMYFUNCTION("""COMPUTED_VALUE"""),"")</f>
        <v/>
      </c>
      <c r="H1259" s="4" t="str">
        <f>IFERROR(__xludf.DUMMYFUNCTION("""COMPUTED_VALUE"""),"")</f>
        <v/>
      </c>
      <c r="I1259" s="4" t="str">
        <f>IFERROR(__xludf.DUMMYFUNCTION("""COMPUTED_VALUE"""),"")</f>
        <v/>
      </c>
    </row>
    <row r="1260">
      <c r="A1260" s="4" t="str">
        <f>IFERROR(__xludf.DUMMYFUNCTION("""COMPUTED_VALUE"""),"")</f>
        <v/>
      </c>
      <c r="B1260" s="4" t="str">
        <f>IFERROR(__xludf.DUMMYFUNCTION("""COMPUTED_VALUE"""),"")</f>
        <v/>
      </c>
      <c r="C1260" s="4" t="str">
        <f>IFERROR(__xludf.DUMMYFUNCTION("""COMPUTED_VALUE"""),"")</f>
        <v/>
      </c>
      <c r="D1260" s="4" t="str">
        <f>IFERROR(__xludf.DUMMYFUNCTION("""COMPUTED_VALUE"""),"")</f>
        <v/>
      </c>
      <c r="E1260" s="4" t="str">
        <f>IFERROR(__xludf.DUMMYFUNCTION("""COMPUTED_VALUE"""),"")</f>
        <v/>
      </c>
      <c r="F1260" s="4" t="str">
        <f>IFERROR(__xludf.DUMMYFUNCTION("""COMPUTED_VALUE"""),"")</f>
        <v/>
      </c>
      <c r="G1260" s="4" t="str">
        <f>IFERROR(__xludf.DUMMYFUNCTION("""COMPUTED_VALUE"""),"")</f>
        <v/>
      </c>
      <c r="H1260" s="4" t="str">
        <f>IFERROR(__xludf.DUMMYFUNCTION("""COMPUTED_VALUE"""),"")</f>
        <v/>
      </c>
      <c r="I1260" s="4" t="str">
        <f>IFERROR(__xludf.DUMMYFUNCTION("""COMPUTED_VALUE"""),"")</f>
        <v/>
      </c>
    </row>
    <row r="1261">
      <c r="A1261" s="4" t="str">
        <f>IFERROR(__xludf.DUMMYFUNCTION("""COMPUTED_VALUE"""),"")</f>
        <v/>
      </c>
      <c r="B1261" s="4" t="str">
        <f>IFERROR(__xludf.DUMMYFUNCTION("""COMPUTED_VALUE"""),"")</f>
        <v/>
      </c>
      <c r="C1261" s="4" t="str">
        <f>IFERROR(__xludf.DUMMYFUNCTION("""COMPUTED_VALUE"""),"")</f>
        <v/>
      </c>
      <c r="D1261" s="4" t="str">
        <f>IFERROR(__xludf.DUMMYFUNCTION("""COMPUTED_VALUE"""),"")</f>
        <v/>
      </c>
      <c r="E1261" s="4" t="str">
        <f>IFERROR(__xludf.DUMMYFUNCTION("""COMPUTED_VALUE"""),"")</f>
        <v/>
      </c>
      <c r="F1261" s="4" t="str">
        <f>IFERROR(__xludf.DUMMYFUNCTION("""COMPUTED_VALUE"""),"")</f>
        <v/>
      </c>
      <c r="G1261" s="4" t="str">
        <f>IFERROR(__xludf.DUMMYFUNCTION("""COMPUTED_VALUE"""),"")</f>
        <v/>
      </c>
      <c r="H1261" s="4" t="str">
        <f>IFERROR(__xludf.DUMMYFUNCTION("""COMPUTED_VALUE"""),"")</f>
        <v/>
      </c>
      <c r="I1261" s="4" t="str">
        <f>IFERROR(__xludf.DUMMYFUNCTION("""COMPUTED_VALUE"""),"")</f>
        <v/>
      </c>
    </row>
    <row r="1262">
      <c r="A1262" s="4" t="str">
        <f>IFERROR(__xludf.DUMMYFUNCTION("""COMPUTED_VALUE"""),"")</f>
        <v/>
      </c>
      <c r="B1262" s="4" t="str">
        <f>IFERROR(__xludf.DUMMYFUNCTION("""COMPUTED_VALUE"""),"")</f>
        <v/>
      </c>
      <c r="C1262" s="4" t="str">
        <f>IFERROR(__xludf.DUMMYFUNCTION("""COMPUTED_VALUE"""),"")</f>
        <v/>
      </c>
      <c r="D1262" s="4" t="str">
        <f>IFERROR(__xludf.DUMMYFUNCTION("""COMPUTED_VALUE"""),"")</f>
        <v/>
      </c>
      <c r="E1262" s="4" t="str">
        <f>IFERROR(__xludf.DUMMYFUNCTION("""COMPUTED_VALUE"""),"")</f>
        <v/>
      </c>
      <c r="F1262" s="4" t="str">
        <f>IFERROR(__xludf.DUMMYFUNCTION("""COMPUTED_VALUE"""),"")</f>
        <v/>
      </c>
      <c r="G1262" s="4" t="str">
        <f>IFERROR(__xludf.DUMMYFUNCTION("""COMPUTED_VALUE"""),"")</f>
        <v/>
      </c>
      <c r="H1262" s="4" t="str">
        <f>IFERROR(__xludf.DUMMYFUNCTION("""COMPUTED_VALUE"""),"")</f>
        <v/>
      </c>
      <c r="I1262" s="4" t="str">
        <f>IFERROR(__xludf.DUMMYFUNCTION("""COMPUTED_VALUE"""),"")</f>
        <v/>
      </c>
    </row>
    <row r="1263">
      <c r="A1263" s="4" t="str">
        <f>IFERROR(__xludf.DUMMYFUNCTION("""COMPUTED_VALUE"""),"")</f>
        <v/>
      </c>
      <c r="B1263" s="4" t="str">
        <f>IFERROR(__xludf.DUMMYFUNCTION("""COMPUTED_VALUE"""),"")</f>
        <v/>
      </c>
      <c r="C1263" s="4" t="str">
        <f>IFERROR(__xludf.DUMMYFUNCTION("""COMPUTED_VALUE"""),"")</f>
        <v/>
      </c>
      <c r="D1263" s="4" t="str">
        <f>IFERROR(__xludf.DUMMYFUNCTION("""COMPUTED_VALUE"""),"")</f>
        <v/>
      </c>
      <c r="E1263" s="4" t="str">
        <f>IFERROR(__xludf.DUMMYFUNCTION("""COMPUTED_VALUE"""),"")</f>
        <v/>
      </c>
      <c r="F1263" s="4" t="str">
        <f>IFERROR(__xludf.DUMMYFUNCTION("""COMPUTED_VALUE"""),"")</f>
        <v/>
      </c>
      <c r="G1263" s="4" t="str">
        <f>IFERROR(__xludf.DUMMYFUNCTION("""COMPUTED_VALUE"""),"")</f>
        <v/>
      </c>
      <c r="H1263" s="4" t="str">
        <f>IFERROR(__xludf.DUMMYFUNCTION("""COMPUTED_VALUE"""),"")</f>
        <v/>
      </c>
      <c r="I1263" s="4" t="str">
        <f>IFERROR(__xludf.DUMMYFUNCTION("""COMPUTED_VALUE"""),"")</f>
        <v/>
      </c>
    </row>
    <row r="1264">
      <c r="A1264" s="4" t="str">
        <f>IFERROR(__xludf.DUMMYFUNCTION("""COMPUTED_VALUE"""),"")</f>
        <v/>
      </c>
      <c r="B1264" s="4" t="str">
        <f>IFERROR(__xludf.DUMMYFUNCTION("""COMPUTED_VALUE"""),"")</f>
        <v/>
      </c>
      <c r="C1264" s="4" t="str">
        <f>IFERROR(__xludf.DUMMYFUNCTION("""COMPUTED_VALUE"""),"")</f>
        <v/>
      </c>
      <c r="D1264" s="4" t="str">
        <f>IFERROR(__xludf.DUMMYFUNCTION("""COMPUTED_VALUE"""),"")</f>
        <v/>
      </c>
      <c r="E1264" s="4" t="str">
        <f>IFERROR(__xludf.DUMMYFUNCTION("""COMPUTED_VALUE"""),"")</f>
        <v/>
      </c>
      <c r="F1264" s="4" t="str">
        <f>IFERROR(__xludf.DUMMYFUNCTION("""COMPUTED_VALUE"""),"")</f>
        <v/>
      </c>
      <c r="G1264" s="4" t="str">
        <f>IFERROR(__xludf.DUMMYFUNCTION("""COMPUTED_VALUE"""),"")</f>
        <v/>
      </c>
      <c r="H1264" s="4" t="str">
        <f>IFERROR(__xludf.DUMMYFUNCTION("""COMPUTED_VALUE"""),"")</f>
        <v/>
      </c>
      <c r="I1264" s="4" t="str">
        <f>IFERROR(__xludf.DUMMYFUNCTION("""COMPUTED_VALUE"""),"")</f>
        <v/>
      </c>
    </row>
    <row r="1265">
      <c r="A1265" s="4" t="str">
        <f>IFERROR(__xludf.DUMMYFUNCTION("""COMPUTED_VALUE"""),"")</f>
        <v/>
      </c>
      <c r="B1265" s="4" t="str">
        <f>IFERROR(__xludf.DUMMYFUNCTION("""COMPUTED_VALUE"""),"")</f>
        <v/>
      </c>
      <c r="C1265" s="4" t="str">
        <f>IFERROR(__xludf.DUMMYFUNCTION("""COMPUTED_VALUE"""),"")</f>
        <v/>
      </c>
      <c r="D1265" s="4" t="str">
        <f>IFERROR(__xludf.DUMMYFUNCTION("""COMPUTED_VALUE"""),"")</f>
        <v/>
      </c>
      <c r="E1265" s="4" t="str">
        <f>IFERROR(__xludf.DUMMYFUNCTION("""COMPUTED_VALUE"""),"")</f>
        <v/>
      </c>
      <c r="F1265" s="4" t="str">
        <f>IFERROR(__xludf.DUMMYFUNCTION("""COMPUTED_VALUE"""),"")</f>
        <v/>
      </c>
      <c r="G1265" s="4" t="str">
        <f>IFERROR(__xludf.DUMMYFUNCTION("""COMPUTED_VALUE"""),"")</f>
        <v/>
      </c>
      <c r="H1265" s="4" t="str">
        <f>IFERROR(__xludf.DUMMYFUNCTION("""COMPUTED_VALUE"""),"")</f>
        <v/>
      </c>
      <c r="I1265" s="4" t="str">
        <f>IFERROR(__xludf.DUMMYFUNCTION("""COMPUTED_VALUE"""),"")</f>
        <v/>
      </c>
    </row>
    <row r="1266">
      <c r="A1266" s="4" t="str">
        <f>IFERROR(__xludf.DUMMYFUNCTION("""COMPUTED_VALUE"""),"")</f>
        <v/>
      </c>
      <c r="B1266" s="4" t="str">
        <f>IFERROR(__xludf.DUMMYFUNCTION("""COMPUTED_VALUE"""),"")</f>
        <v/>
      </c>
      <c r="C1266" s="4" t="str">
        <f>IFERROR(__xludf.DUMMYFUNCTION("""COMPUTED_VALUE"""),"")</f>
        <v/>
      </c>
      <c r="D1266" s="4" t="str">
        <f>IFERROR(__xludf.DUMMYFUNCTION("""COMPUTED_VALUE"""),"")</f>
        <v/>
      </c>
      <c r="E1266" s="4" t="str">
        <f>IFERROR(__xludf.DUMMYFUNCTION("""COMPUTED_VALUE"""),"")</f>
        <v/>
      </c>
      <c r="F1266" s="4" t="str">
        <f>IFERROR(__xludf.DUMMYFUNCTION("""COMPUTED_VALUE"""),"")</f>
        <v/>
      </c>
      <c r="G1266" s="4" t="str">
        <f>IFERROR(__xludf.DUMMYFUNCTION("""COMPUTED_VALUE"""),"")</f>
        <v/>
      </c>
      <c r="H1266" s="4" t="str">
        <f>IFERROR(__xludf.DUMMYFUNCTION("""COMPUTED_VALUE"""),"")</f>
        <v/>
      </c>
      <c r="I1266" s="4" t="str">
        <f>IFERROR(__xludf.DUMMYFUNCTION("""COMPUTED_VALUE"""),"")</f>
        <v/>
      </c>
    </row>
    <row r="1267">
      <c r="A1267" s="4" t="str">
        <f>IFERROR(__xludf.DUMMYFUNCTION("""COMPUTED_VALUE"""),"")</f>
        <v/>
      </c>
      <c r="B1267" s="4" t="str">
        <f>IFERROR(__xludf.DUMMYFUNCTION("""COMPUTED_VALUE"""),"")</f>
        <v/>
      </c>
      <c r="C1267" s="4" t="str">
        <f>IFERROR(__xludf.DUMMYFUNCTION("""COMPUTED_VALUE"""),"")</f>
        <v/>
      </c>
      <c r="D1267" s="4" t="str">
        <f>IFERROR(__xludf.DUMMYFUNCTION("""COMPUTED_VALUE"""),"")</f>
        <v/>
      </c>
      <c r="E1267" s="4" t="str">
        <f>IFERROR(__xludf.DUMMYFUNCTION("""COMPUTED_VALUE"""),"")</f>
        <v/>
      </c>
      <c r="F1267" s="4" t="str">
        <f>IFERROR(__xludf.DUMMYFUNCTION("""COMPUTED_VALUE"""),"")</f>
        <v/>
      </c>
      <c r="G1267" s="4" t="str">
        <f>IFERROR(__xludf.DUMMYFUNCTION("""COMPUTED_VALUE"""),"")</f>
        <v/>
      </c>
      <c r="H1267" s="4" t="str">
        <f>IFERROR(__xludf.DUMMYFUNCTION("""COMPUTED_VALUE"""),"")</f>
        <v/>
      </c>
      <c r="I1267" s="4" t="str">
        <f>IFERROR(__xludf.DUMMYFUNCTION("""COMPUTED_VALUE"""),"")</f>
        <v/>
      </c>
    </row>
    <row r="1268">
      <c r="A1268" s="4" t="str">
        <f>IFERROR(__xludf.DUMMYFUNCTION("""COMPUTED_VALUE"""),"")</f>
        <v/>
      </c>
      <c r="B1268" s="4" t="str">
        <f>IFERROR(__xludf.DUMMYFUNCTION("""COMPUTED_VALUE"""),"")</f>
        <v/>
      </c>
      <c r="C1268" s="4" t="str">
        <f>IFERROR(__xludf.DUMMYFUNCTION("""COMPUTED_VALUE"""),"")</f>
        <v/>
      </c>
      <c r="D1268" s="4" t="str">
        <f>IFERROR(__xludf.DUMMYFUNCTION("""COMPUTED_VALUE"""),"")</f>
        <v/>
      </c>
      <c r="E1268" s="4" t="str">
        <f>IFERROR(__xludf.DUMMYFUNCTION("""COMPUTED_VALUE"""),"")</f>
        <v/>
      </c>
      <c r="F1268" s="4" t="str">
        <f>IFERROR(__xludf.DUMMYFUNCTION("""COMPUTED_VALUE"""),"")</f>
        <v/>
      </c>
      <c r="G1268" s="4" t="str">
        <f>IFERROR(__xludf.DUMMYFUNCTION("""COMPUTED_VALUE"""),"")</f>
        <v/>
      </c>
      <c r="H1268" s="4" t="str">
        <f>IFERROR(__xludf.DUMMYFUNCTION("""COMPUTED_VALUE"""),"")</f>
        <v/>
      </c>
      <c r="I1268" s="4" t="str">
        <f>IFERROR(__xludf.DUMMYFUNCTION("""COMPUTED_VALUE"""),"")</f>
        <v/>
      </c>
    </row>
    <row r="1269">
      <c r="A1269" s="4" t="str">
        <f>IFERROR(__xludf.DUMMYFUNCTION("""COMPUTED_VALUE"""),"")</f>
        <v/>
      </c>
      <c r="B1269" s="4" t="str">
        <f>IFERROR(__xludf.DUMMYFUNCTION("""COMPUTED_VALUE"""),"")</f>
        <v/>
      </c>
      <c r="C1269" s="4" t="str">
        <f>IFERROR(__xludf.DUMMYFUNCTION("""COMPUTED_VALUE"""),"")</f>
        <v/>
      </c>
      <c r="D1269" s="4" t="str">
        <f>IFERROR(__xludf.DUMMYFUNCTION("""COMPUTED_VALUE"""),"")</f>
        <v/>
      </c>
      <c r="E1269" s="4" t="str">
        <f>IFERROR(__xludf.DUMMYFUNCTION("""COMPUTED_VALUE"""),"")</f>
        <v/>
      </c>
      <c r="F1269" s="4" t="str">
        <f>IFERROR(__xludf.DUMMYFUNCTION("""COMPUTED_VALUE"""),"")</f>
        <v/>
      </c>
      <c r="G1269" s="4" t="str">
        <f>IFERROR(__xludf.DUMMYFUNCTION("""COMPUTED_VALUE"""),"")</f>
        <v/>
      </c>
      <c r="H1269" s="4" t="str">
        <f>IFERROR(__xludf.DUMMYFUNCTION("""COMPUTED_VALUE"""),"")</f>
        <v/>
      </c>
      <c r="I1269" s="4" t="str">
        <f>IFERROR(__xludf.DUMMYFUNCTION("""COMPUTED_VALUE"""),"")</f>
        <v/>
      </c>
    </row>
    <row r="1270">
      <c r="A1270" s="4" t="str">
        <f>IFERROR(__xludf.DUMMYFUNCTION("""COMPUTED_VALUE"""),"")</f>
        <v/>
      </c>
      <c r="B1270" s="4" t="str">
        <f>IFERROR(__xludf.DUMMYFUNCTION("""COMPUTED_VALUE"""),"")</f>
        <v/>
      </c>
      <c r="C1270" s="4" t="str">
        <f>IFERROR(__xludf.DUMMYFUNCTION("""COMPUTED_VALUE"""),"")</f>
        <v/>
      </c>
      <c r="D1270" s="4" t="str">
        <f>IFERROR(__xludf.DUMMYFUNCTION("""COMPUTED_VALUE"""),"")</f>
        <v/>
      </c>
      <c r="E1270" s="4" t="str">
        <f>IFERROR(__xludf.DUMMYFUNCTION("""COMPUTED_VALUE"""),"")</f>
        <v/>
      </c>
      <c r="F1270" s="4" t="str">
        <f>IFERROR(__xludf.DUMMYFUNCTION("""COMPUTED_VALUE"""),"")</f>
        <v/>
      </c>
      <c r="G1270" s="4" t="str">
        <f>IFERROR(__xludf.DUMMYFUNCTION("""COMPUTED_VALUE"""),"")</f>
        <v/>
      </c>
      <c r="H1270" s="4" t="str">
        <f>IFERROR(__xludf.DUMMYFUNCTION("""COMPUTED_VALUE"""),"")</f>
        <v/>
      </c>
      <c r="I1270" s="4" t="str">
        <f>IFERROR(__xludf.DUMMYFUNCTION("""COMPUTED_VALUE"""),"")</f>
        <v/>
      </c>
    </row>
    <row r="1271">
      <c r="A1271" s="4" t="str">
        <f>IFERROR(__xludf.DUMMYFUNCTION("""COMPUTED_VALUE"""),"")</f>
        <v/>
      </c>
      <c r="B1271" s="4" t="str">
        <f>IFERROR(__xludf.DUMMYFUNCTION("""COMPUTED_VALUE"""),"")</f>
        <v/>
      </c>
      <c r="C1271" s="4" t="str">
        <f>IFERROR(__xludf.DUMMYFUNCTION("""COMPUTED_VALUE"""),"")</f>
        <v/>
      </c>
      <c r="D1271" s="4" t="str">
        <f>IFERROR(__xludf.DUMMYFUNCTION("""COMPUTED_VALUE"""),"")</f>
        <v/>
      </c>
      <c r="E1271" s="4" t="str">
        <f>IFERROR(__xludf.DUMMYFUNCTION("""COMPUTED_VALUE"""),"")</f>
        <v/>
      </c>
      <c r="F1271" s="4" t="str">
        <f>IFERROR(__xludf.DUMMYFUNCTION("""COMPUTED_VALUE"""),"")</f>
        <v/>
      </c>
      <c r="G1271" s="4" t="str">
        <f>IFERROR(__xludf.DUMMYFUNCTION("""COMPUTED_VALUE"""),"")</f>
        <v/>
      </c>
      <c r="H1271" s="4" t="str">
        <f>IFERROR(__xludf.DUMMYFUNCTION("""COMPUTED_VALUE"""),"")</f>
        <v/>
      </c>
      <c r="I1271" s="4" t="str">
        <f>IFERROR(__xludf.DUMMYFUNCTION("""COMPUTED_VALUE"""),"")</f>
        <v/>
      </c>
    </row>
    <row r="1272">
      <c r="A1272" s="4" t="str">
        <f>IFERROR(__xludf.DUMMYFUNCTION("""COMPUTED_VALUE"""),"")</f>
        <v/>
      </c>
      <c r="B1272" s="4" t="str">
        <f>IFERROR(__xludf.DUMMYFUNCTION("""COMPUTED_VALUE"""),"")</f>
        <v/>
      </c>
      <c r="C1272" s="4" t="str">
        <f>IFERROR(__xludf.DUMMYFUNCTION("""COMPUTED_VALUE"""),"")</f>
        <v/>
      </c>
      <c r="D1272" s="4" t="str">
        <f>IFERROR(__xludf.DUMMYFUNCTION("""COMPUTED_VALUE"""),"")</f>
        <v/>
      </c>
      <c r="E1272" s="4" t="str">
        <f>IFERROR(__xludf.DUMMYFUNCTION("""COMPUTED_VALUE"""),"")</f>
        <v/>
      </c>
      <c r="F1272" s="4" t="str">
        <f>IFERROR(__xludf.DUMMYFUNCTION("""COMPUTED_VALUE"""),"")</f>
        <v/>
      </c>
      <c r="G1272" s="4" t="str">
        <f>IFERROR(__xludf.DUMMYFUNCTION("""COMPUTED_VALUE"""),"")</f>
        <v/>
      </c>
      <c r="H1272" s="4" t="str">
        <f>IFERROR(__xludf.DUMMYFUNCTION("""COMPUTED_VALUE"""),"")</f>
        <v/>
      </c>
      <c r="I1272" s="4" t="str">
        <f>IFERROR(__xludf.DUMMYFUNCTION("""COMPUTED_VALUE"""),"")</f>
        <v/>
      </c>
    </row>
    <row r="1273">
      <c r="A1273" s="4" t="str">
        <f>IFERROR(__xludf.DUMMYFUNCTION("""COMPUTED_VALUE"""),"")</f>
        <v/>
      </c>
      <c r="B1273" s="4" t="str">
        <f>IFERROR(__xludf.DUMMYFUNCTION("""COMPUTED_VALUE"""),"")</f>
        <v/>
      </c>
      <c r="C1273" s="4" t="str">
        <f>IFERROR(__xludf.DUMMYFUNCTION("""COMPUTED_VALUE"""),"")</f>
        <v/>
      </c>
      <c r="D1273" s="4" t="str">
        <f>IFERROR(__xludf.DUMMYFUNCTION("""COMPUTED_VALUE"""),"")</f>
        <v/>
      </c>
      <c r="E1273" s="4" t="str">
        <f>IFERROR(__xludf.DUMMYFUNCTION("""COMPUTED_VALUE"""),"")</f>
        <v/>
      </c>
      <c r="F1273" s="4" t="str">
        <f>IFERROR(__xludf.DUMMYFUNCTION("""COMPUTED_VALUE"""),"")</f>
        <v/>
      </c>
      <c r="G1273" s="4" t="str">
        <f>IFERROR(__xludf.DUMMYFUNCTION("""COMPUTED_VALUE"""),"")</f>
        <v/>
      </c>
      <c r="H1273" s="4" t="str">
        <f>IFERROR(__xludf.DUMMYFUNCTION("""COMPUTED_VALUE"""),"")</f>
        <v/>
      </c>
      <c r="I1273" s="4" t="str">
        <f>IFERROR(__xludf.DUMMYFUNCTION("""COMPUTED_VALUE"""),"")</f>
        <v/>
      </c>
    </row>
    <row r="1274">
      <c r="A1274" s="4" t="str">
        <f>IFERROR(__xludf.DUMMYFUNCTION("""COMPUTED_VALUE"""),"")</f>
        <v/>
      </c>
      <c r="B1274" s="4" t="str">
        <f>IFERROR(__xludf.DUMMYFUNCTION("""COMPUTED_VALUE"""),"")</f>
        <v/>
      </c>
      <c r="C1274" s="4" t="str">
        <f>IFERROR(__xludf.DUMMYFUNCTION("""COMPUTED_VALUE"""),"")</f>
        <v/>
      </c>
      <c r="D1274" s="4" t="str">
        <f>IFERROR(__xludf.DUMMYFUNCTION("""COMPUTED_VALUE"""),"")</f>
        <v/>
      </c>
      <c r="E1274" s="4" t="str">
        <f>IFERROR(__xludf.DUMMYFUNCTION("""COMPUTED_VALUE"""),"")</f>
        <v/>
      </c>
      <c r="F1274" s="4" t="str">
        <f>IFERROR(__xludf.DUMMYFUNCTION("""COMPUTED_VALUE"""),"")</f>
        <v/>
      </c>
      <c r="G1274" s="4" t="str">
        <f>IFERROR(__xludf.DUMMYFUNCTION("""COMPUTED_VALUE"""),"")</f>
        <v/>
      </c>
      <c r="H1274" s="4" t="str">
        <f>IFERROR(__xludf.DUMMYFUNCTION("""COMPUTED_VALUE"""),"")</f>
        <v/>
      </c>
      <c r="I1274" s="4" t="str">
        <f>IFERROR(__xludf.DUMMYFUNCTION("""COMPUTED_VALUE"""),"")</f>
        <v/>
      </c>
    </row>
    <row r="1275">
      <c r="A1275" s="4" t="str">
        <f>IFERROR(__xludf.DUMMYFUNCTION("""COMPUTED_VALUE"""),"")</f>
        <v/>
      </c>
      <c r="B1275" s="4" t="str">
        <f>IFERROR(__xludf.DUMMYFUNCTION("""COMPUTED_VALUE"""),"")</f>
        <v/>
      </c>
      <c r="C1275" s="4" t="str">
        <f>IFERROR(__xludf.DUMMYFUNCTION("""COMPUTED_VALUE"""),"")</f>
        <v/>
      </c>
      <c r="D1275" s="4" t="str">
        <f>IFERROR(__xludf.DUMMYFUNCTION("""COMPUTED_VALUE"""),"")</f>
        <v/>
      </c>
      <c r="E1275" s="4" t="str">
        <f>IFERROR(__xludf.DUMMYFUNCTION("""COMPUTED_VALUE"""),"")</f>
        <v/>
      </c>
      <c r="F1275" s="4" t="str">
        <f>IFERROR(__xludf.DUMMYFUNCTION("""COMPUTED_VALUE"""),"")</f>
        <v/>
      </c>
      <c r="G1275" s="4" t="str">
        <f>IFERROR(__xludf.DUMMYFUNCTION("""COMPUTED_VALUE"""),"")</f>
        <v/>
      </c>
      <c r="H1275" s="4" t="str">
        <f>IFERROR(__xludf.DUMMYFUNCTION("""COMPUTED_VALUE"""),"")</f>
        <v/>
      </c>
      <c r="I1275" s="4" t="str">
        <f>IFERROR(__xludf.DUMMYFUNCTION("""COMPUTED_VALUE"""),"")</f>
        <v/>
      </c>
    </row>
    <row r="1276">
      <c r="A1276" s="4" t="str">
        <f>IFERROR(__xludf.DUMMYFUNCTION("""COMPUTED_VALUE"""),"")</f>
        <v/>
      </c>
      <c r="B1276" s="4" t="str">
        <f>IFERROR(__xludf.DUMMYFUNCTION("""COMPUTED_VALUE"""),"")</f>
        <v/>
      </c>
      <c r="C1276" s="4" t="str">
        <f>IFERROR(__xludf.DUMMYFUNCTION("""COMPUTED_VALUE"""),"")</f>
        <v/>
      </c>
      <c r="D1276" s="4" t="str">
        <f>IFERROR(__xludf.DUMMYFUNCTION("""COMPUTED_VALUE"""),"")</f>
        <v/>
      </c>
      <c r="E1276" s="4" t="str">
        <f>IFERROR(__xludf.DUMMYFUNCTION("""COMPUTED_VALUE"""),"")</f>
        <v/>
      </c>
      <c r="F1276" s="4" t="str">
        <f>IFERROR(__xludf.DUMMYFUNCTION("""COMPUTED_VALUE"""),"")</f>
        <v/>
      </c>
      <c r="G1276" s="4" t="str">
        <f>IFERROR(__xludf.DUMMYFUNCTION("""COMPUTED_VALUE"""),"")</f>
        <v/>
      </c>
      <c r="H1276" s="4" t="str">
        <f>IFERROR(__xludf.DUMMYFUNCTION("""COMPUTED_VALUE"""),"")</f>
        <v/>
      </c>
      <c r="I1276" s="4" t="str">
        <f>IFERROR(__xludf.DUMMYFUNCTION("""COMPUTED_VALUE"""),"")</f>
        <v/>
      </c>
    </row>
    <row r="1277">
      <c r="A1277" s="4" t="str">
        <f>IFERROR(__xludf.DUMMYFUNCTION("""COMPUTED_VALUE"""),"")</f>
        <v/>
      </c>
      <c r="B1277" s="4" t="str">
        <f>IFERROR(__xludf.DUMMYFUNCTION("""COMPUTED_VALUE"""),"")</f>
        <v/>
      </c>
      <c r="C1277" s="4" t="str">
        <f>IFERROR(__xludf.DUMMYFUNCTION("""COMPUTED_VALUE"""),"")</f>
        <v/>
      </c>
      <c r="D1277" s="4" t="str">
        <f>IFERROR(__xludf.DUMMYFUNCTION("""COMPUTED_VALUE"""),"")</f>
        <v/>
      </c>
      <c r="E1277" s="4" t="str">
        <f>IFERROR(__xludf.DUMMYFUNCTION("""COMPUTED_VALUE"""),"")</f>
        <v/>
      </c>
      <c r="F1277" s="4" t="str">
        <f>IFERROR(__xludf.DUMMYFUNCTION("""COMPUTED_VALUE"""),"")</f>
        <v/>
      </c>
      <c r="G1277" s="4" t="str">
        <f>IFERROR(__xludf.DUMMYFUNCTION("""COMPUTED_VALUE"""),"")</f>
        <v/>
      </c>
      <c r="H1277" s="4" t="str">
        <f>IFERROR(__xludf.DUMMYFUNCTION("""COMPUTED_VALUE"""),"")</f>
        <v/>
      </c>
      <c r="I1277" s="4" t="str">
        <f>IFERROR(__xludf.DUMMYFUNCTION("""COMPUTED_VALUE"""),"")</f>
        <v/>
      </c>
    </row>
    <row r="1278">
      <c r="A1278" s="4" t="str">
        <f>IFERROR(__xludf.DUMMYFUNCTION("""COMPUTED_VALUE"""),"")</f>
        <v/>
      </c>
      <c r="B1278" s="4" t="str">
        <f>IFERROR(__xludf.DUMMYFUNCTION("""COMPUTED_VALUE"""),"")</f>
        <v/>
      </c>
      <c r="C1278" s="4" t="str">
        <f>IFERROR(__xludf.DUMMYFUNCTION("""COMPUTED_VALUE"""),"")</f>
        <v/>
      </c>
      <c r="D1278" s="4" t="str">
        <f>IFERROR(__xludf.DUMMYFUNCTION("""COMPUTED_VALUE"""),"")</f>
        <v/>
      </c>
      <c r="E1278" s="4" t="str">
        <f>IFERROR(__xludf.DUMMYFUNCTION("""COMPUTED_VALUE"""),"")</f>
        <v/>
      </c>
      <c r="F1278" s="4" t="str">
        <f>IFERROR(__xludf.DUMMYFUNCTION("""COMPUTED_VALUE"""),"")</f>
        <v/>
      </c>
      <c r="G1278" s="4" t="str">
        <f>IFERROR(__xludf.DUMMYFUNCTION("""COMPUTED_VALUE"""),"")</f>
        <v/>
      </c>
      <c r="H1278" s="4" t="str">
        <f>IFERROR(__xludf.DUMMYFUNCTION("""COMPUTED_VALUE"""),"")</f>
        <v/>
      </c>
      <c r="I1278" s="4" t="str">
        <f>IFERROR(__xludf.DUMMYFUNCTION("""COMPUTED_VALUE"""),"")</f>
        <v/>
      </c>
    </row>
    <row r="1279">
      <c r="A1279" s="4" t="str">
        <f>IFERROR(__xludf.DUMMYFUNCTION("""COMPUTED_VALUE"""),"")</f>
        <v/>
      </c>
      <c r="B1279" s="4" t="str">
        <f>IFERROR(__xludf.DUMMYFUNCTION("""COMPUTED_VALUE"""),"")</f>
        <v/>
      </c>
      <c r="C1279" s="4" t="str">
        <f>IFERROR(__xludf.DUMMYFUNCTION("""COMPUTED_VALUE"""),"")</f>
        <v/>
      </c>
      <c r="D1279" s="4" t="str">
        <f>IFERROR(__xludf.DUMMYFUNCTION("""COMPUTED_VALUE"""),"")</f>
        <v/>
      </c>
      <c r="E1279" s="4" t="str">
        <f>IFERROR(__xludf.DUMMYFUNCTION("""COMPUTED_VALUE"""),"")</f>
        <v/>
      </c>
      <c r="F1279" s="4" t="str">
        <f>IFERROR(__xludf.DUMMYFUNCTION("""COMPUTED_VALUE"""),"")</f>
        <v/>
      </c>
      <c r="G1279" s="4" t="str">
        <f>IFERROR(__xludf.DUMMYFUNCTION("""COMPUTED_VALUE"""),"")</f>
        <v/>
      </c>
      <c r="H1279" s="4" t="str">
        <f>IFERROR(__xludf.DUMMYFUNCTION("""COMPUTED_VALUE"""),"")</f>
        <v/>
      </c>
      <c r="I1279" s="4" t="str">
        <f>IFERROR(__xludf.DUMMYFUNCTION("""COMPUTED_VALUE"""),"")</f>
        <v/>
      </c>
    </row>
    <row r="1280">
      <c r="A1280" s="4" t="str">
        <f>IFERROR(__xludf.DUMMYFUNCTION("""COMPUTED_VALUE"""),"")</f>
        <v/>
      </c>
      <c r="B1280" s="4" t="str">
        <f>IFERROR(__xludf.DUMMYFUNCTION("""COMPUTED_VALUE"""),"")</f>
        <v/>
      </c>
      <c r="C1280" s="4" t="str">
        <f>IFERROR(__xludf.DUMMYFUNCTION("""COMPUTED_VALUE"""),"")</f>
        <v/>
      </c>
      <c r="D1280" s="4" t="str">
        <f>IFERROR(__xludf.DUMMYFUNCTION("""COMPUTED_VALUE"""),"")</f>
        <v/>
      </c>
      <c r="E1280" s="4" t="str">
        <f>IFERROR(__xludf.DUMMYFUNCTION("""COMPUTED_VALUE"""),"")</f>
        <v/>
      </c>
      <c r="F1280" s="4" t="str">
        <f>IFERROR(__xludf.DUMMYFUNCTION("""COMPUTED_VALUE"""),"")</f>
        <v/>
      </c>
      <c r="G1280" s="4" t="str">
        <f>IFERROR(__xludf.DUMMYFUNCTION("""COMPUTED_VALUE"""),"")</f>
        <v/>
      </c>
      <c r="H1280" s="4" t="str">
        <f>IFERROR(__xludf.DUMMYFUNCTION("""COMPUTED_VALUE"""),"")</f>
        <v/>
      </c>
      <c r="I1280" s="4" t="str">
        <f>IFERROR(__xludf.DUMMYFUNCTION("""COMPUTED_VALUE"""),"")</f>
        <v/>
      </c>
    </row>
    <row r="1281">
      <c r="A1281" s="4" t="str">
        <f>IFERROR(__xludf.DUMMYFUNCTION("""COMPUTED_VALUE"""),"")</f>
        <v/>
      </c>
      <c r="B1281" s="4" t="str">
        <f>IFERROR(__xludf.DUMMYFUNCTION("""COMPUTED_VALUE"""),"")</f>
        <v/>
      </c>
      <c r="C1281" s="4" t="str">
        <f>IFERROR(__xludf.DUMMYFUNCTION("""COMPUTED_VALUE"""),"")</f>
        <v/>
      </c>
      <c r="D1281" s="4" t="str">
        <f>IFERROR(__xludf.DUMMYFUNCTION("""COMPUTED_VALUE"""),"")</f>
        <v/>
      </c>
      <c r="E1281" s="4" t="str">
        <f>IFERROR(__xludf.DUMMYFUNCTION("""COMPUTED_VALUE"""),"")</f>
        <v/>
      </c>
      <c r="F1281" s="4" t="str">
        <f>IFERROR(__xludf.DUMMYFUNCTION("""COMPUTED_VALUE"""),"")</f>
        <v/>
      </c>
      <c r="G1281" s="4" t="str">
        <f>IFERROR(__xludf.DUMMYFUNCTION("""COMPUTED_VALUE"""),"")</f>
        <v/>
      </c>
      <c r="H1281" s="4" t="str">
        <f>IFERROR(__xludf.DUMMYFUNCTION("""COMPUTED_VALUE"""),"")</f>
        <v/>
      </c>
      <c r="I1281" s="4" t="str">
        <f>IFERROR(__xludf.DUMMYFUNCTION("""COMPUTED_VALUE"""),"")</f>
        <v/>
      </c>
    </row>
    <row r="1282">
      <c r="A1282" s="4" t="str">
        <f>IFERROR(__xludf.DUMMYFUNCTION("""COMPUTED_VALUE"""),"")</f>
        <v/>
      </c>
      <c r="B1282" s="4" t="str">
        <f>IFERROR(__xludf.DUMMYFUNCTION("""COMPUTED_VALUE"""),"")</f>
        <v/>
      </c>
      <c r="C1282" s="4" t="str">
        <f>IFERROR(__xludf.DUMMYFUNCTION("""COMPUTED_VALUE"""),"")</f>
        <v/>
      </c>
      <c r="D1282" s="4" t="str">
        <f>IFERROR(__xludf.DUMMYFUNCTION("""COMPUTED_VALUE"""),"")</f>
        <v/>
      </c>
      <c r="E1282" s="4" t="str">
        <f>IFERROR(__xludf.DUMMYFUNCTION("""COMPUTED_VALUE"""),"")</f>
        <v/>
      </c>
      <c r="F1282" s="4" t="str">
        <f>IFERROR(__xludf.DUMMYFUNCTION("""COMPUTED_VALUE"""),"")</f>
        <v/>
      </c>
      <c r="G1282" s="4" t="str">
        <f>IFERROR(__xludf.DUMMYFUNCTION("""COMPUTED_VALUE"""),"")</f>
        <v/>
      </c>
      <c r="H1282" s="4" t="str">
        <f>IFERROR(__xludf.DUMMYFUNCTION("""COMPUTED_VALUE"""),"")</f>
        <v/>
      </c>
      <c r="I1282" s="4" t="str">
        <f>IFERROR(__xludf.DUMMYFUNCTION("""COMPUTED_VALUE"""),"")</f>
        <v/>
      </c>
    </row>
    <row r="1283">
      <c r="A1283" s="4" t="str">
        <f>IFERROR(__xludf.DUMMYFUNCTION("""COMPUTED_VALUE"""),"")</f>
        <v/>
      </c>
      <c r="B1283" s="4" t="str">
        <f>IFERROR(__xludf.DUMMYFUNCTION("""COMPUTED_VALUE"""),"")</f>
        <v/>
      </c>
      <c r="C1283" s="4" t="str">
        <f>IFERROR(__xludf.DUMMYFUNCTION("""COMPUTED_VALUE"""),"")</f>
        <v/>
      </c>
      <c r="D1283" s="4" t="str">
        <f>IFERROR(__xludf.DUMMYFUNCTION("""COMPUTED_VALUE"""),"")</f>
        <v/>
      </c>
      <c r="E1283" s="4" t="str">
        <f>IFERROR(__xludf.DUMMYFUNCTION("""COMPUTED_VALUE"""),"")</f>
        <v/>
      </c>
      <c r="F1283" s="4" t="str">
        <f>IFERROR(__xludf.DUMMYFUNCTION("""COMPUTED_VALUE"""),"")</f>
        <v/>
      </c>
      <c r="G1283" s="4" t="str">
        <f>IFERROR(__xludf.DUMMYFUNCTION("""COMPUTED_VALUE"""),"")</f>
        <v/>
      </c>
      <c r="H1283" s="4" t="str">
        <f>IFERROR(__xludf.DUMMYFUNCTION("""COMPUTED_VALUE"""),"")</f>
        <v/>
      </c>
      <c r="I1283" s="4" t="str">
        <f>IFERROR(__xludf.DUMMYFUNCTION("""COMPUTED_VALUE"""),"")</f>
        <v/>
      </c>
    </row>
    <row r="1284">
      <c r="A1284" s="4" t="str">
        <f>IFERROR(__xludf.DUMMYFUNCTION("""COMPUTED_VALUE"""),"")</f>
        <v/>
      </c>
      <c r="B1284" s="4" t="str">
        <f>IFERROR(__xludf.DUMMYFUNCTION("""COMPUTED_VALUE"""),"")</f>
        <v/>
      </c>
      <c r="C1284" s="4" t="str">
        <f>IFERROR(__xludf.DUMMYFUNCTION("""COMPUTED_VALUE"""),"")</f>
        <v/>
      </c>
      <c r="D1284" s="4" t="str">
        <f>IFERROR(__xludf.DUMMYFUNCTION("""COMPUTED_VALUE"""),"")</f>
        <v/>
      </c>
      <c r="E1284" s="4" t="str">
        <f>IFERROR(__xludf.DUMMYFUNCTION("""COMPUTED_VALUE"""),"")</f>
        <v/>
      </c>
      <c r="F1284" s="4" t="str">
        <f>IFERROR(__xludf.DUMMYFUNCTION("""COMPUTED_VALUE"""),"")</f>
        <v/>
      </c>
      <c r="G1284" s="4" t="str">
        <f>IFERROR(__xludf.DUMMYFUNCTION("""COMPUTED_VALUE"""),"")</f>
        <v/>
      </c>
      <c r="H1284" s="4" t="str">
        <f>IFERROR(__xludf.DUMMYFUNCTION("""COMPUTED_VALUE"""),"")</f>
        <v/>
      </c>
      <c r="I1284" s="4" t="str">
        <f>IFERROR(__xludf.DUMMYFUNCTION("""COMPUTED_VALUE"""),"")</f>
        <v/>
      </c>
    </row>
    <row r="1285">
      <c r="A1285" s="4" t="str">
        <f>IFERROR(__xludf.DUMMYFUNCTION("""COMPUTED_VALUE"""),"")</f>
        <v/>
      </c>
      <c r="B1285" s="4" t="str">
        <f>IFERROR(__xludf.DUMMYFUNCTION("""COMPUTED_VALUE"""),"")</f>
        <v/>
      </c>
      <c r="C1285" s="4" t="str">
        <f>IFERROR(__xludf.DUMMYFUNCTION("""COMPUTED_VALUE"""),"")</f>
        <v/>
      </c>
      <c r="D1285" s="4" t="str">
        <f>IFERROR(__xludf.DUMMYFUNCTION("""COMPUTED_VALUE"""),"")</f>
        <v/>
      </c>
      <c r="E1285" s="4" t="str">
        <f>IFERROR(__xludf.DUMMYFUNCTION("""COMPUTED_VALUE"""),"")</f>
        <v/>
      </c>
      <c r="F1285" s="4" t="str">
        <f>IFERROR(__xludf.DUMMYFUNCTION("""COMPUTED_VALUE"""),"")</f>
        <v/>
      </c>
      <c r="G1285" s="4" t="str">
        <f>IFERROR(__xludf.DUMMYFUNCTION("""COMPUTED_VALUE"""),"")</f>
        <v/>
      </c>
      <c r="H1285" s="4" t="str">
        <f>IFERROR(__xludf.DUMMYFUNCTION("""COMPUTED_VALUE"""),"")</f>
        <v/>
      </c>
      <c r="I1285" s="4" t="str">
        <f>IFERROR(__xludf.DUMMYFUNCTION("""COMPUTED_VALUE"""),"")</f>
        <v/>
      </c>
    </row>
    <row r="1286">
      <c r="A1286" s="4" t="str">
        <f>IFERROR(__xludf.DUMMYFUNCTION("""COMPUTED_VALUE"""),"")</f>
        <v/>
      </c>
      <c r="B1286" s="4" t="str">
        <f>IFERROR(__xludf.DUMMYFUNCTION("""COMPUTED_VALUE"""),"")</f>
        <v/>
      </c>
      <c r="C1286" s="4" t="str">
        <f>IFERROR(__xludf.DUMMYFUNCTION("""COMPUTED_VALUE"""),"")</f>
        <v/>
      </c>
      <c r="D1286" s="4" t="str">
        <f>IFERROR(__xludf.DUMMYFUNCTION("""COMPUTED_VALUE"""),"")</f>
        <v/>
      </c>
      <c r="E1286" s="4" t="str">
        <f>IFERROR(__xludf.DUMMYFUNCTION("""COMPUTED_VALUE"""),"")</f>
        <v/>
      </c>
      <c r="F1286" s="4" t="str">
        <f>IFERROR(__xludf.DUMMYFUNCTION("""COMPUTED_VALUE"""),"")</f>
        <v/>
      </c>
      <c r="G1286" s="4" t="str">
        <f>IFERROR(__xludf.DUMMYFUNCTION("""COMPUTED_VALUE"""),"")</f>
        <v/>
      </c>
      <c r="H1286" s="4" t="str">
        <f>IFERROR(__xludf.DUMMYFUNCTION("""COMPUTED_VALUE"""),"")</f>
        <v/>
      </c>
      <c r="I1286" s="4" t="str">
        <f>IFERROR(__xludf.DUMMYFUNCTION("""COMPUTED_VALUE"""),"")</f>
        <v/>
      </c>
    </row>
    <row r="1287">
      <c r="A1287" s="4" t="str">
        <f>IFERROR(__xludf.DUMMYFUNCTION("""COMPUTED_VALUE"""),"")</f>
        <v/>
      </c>
      <c r="B1287" s="4" t="str">
        <f>IFERROR(__xludf.DUMMYFUNCTION("""COMPUTED_VALUE"""),"")</f>
        <v/>
      </c>
      <c r="C1287" s="4" t="str">
        <f>IFERROR(__xludf.DUMMYFUNCTION("""COMPUTED_VALUE"""),"")</f>
        <v/>
      </c>
      <c r="D1287" s="4" t="str">
        <f>IFERROR(__xludf.DUMMYFUNCTION("""COMPUTED_VALUE"""),"")</f>
        <v/>
      </c>
      <c r="E1287" s="4" t="str">
        <f>IFERROR(__xludf.DUMMYFUNCTION("""COMPUTED_VALUE"""),"")</f>
        <v/>
      </c>
      <c r="F1287" s="4" t="str">
        <f>IFERROR(__xludf.DUMMYFUNCTION("""COMPUTED_VALUE"""),"")</f>
        <v/>
      </c>
      <c r="G1287" s="4" t="str">
        <f>IFERROR(__xludf.DUMMYFUNCTION("""COMPUTED_VALUE"""),"")</f>
        <v/>
      </c>
      <c r="H1287" s="4" t="str">
        <f>IFERROR(__xludf.DUMMYFUNCTION("""COMPUTED_VALUE"""),"")</f>
        <v/>
      </c>
      <c r="I1287" s="4" t="str">
        <f>IFERROR(__xludf.DUMMYFUNCTION("""COMPUTED_VALUE"""),"")</f>
        <v/>
      </c>
    </row>
    <row r="1288">
      <c r="A1288" s="4" t="str">
        <f>IFERROR(__xludf.DUMMYFUNCTION("""COMPUTED_VALUE"""),"")</f>
        <v/>
      </c>
      <c r="B1288" s="4" t="str">
        <f>IFERROR(__xludf.DUMMYFUNCTION("""COMPUTED_VALUE"""),"")</f>
        <v/>
      </c>
      <c r="C1288" s="4" t="str">
        <f>IFERROR(__xludf.DUMMYFUNCTION("""COMPUTED_VALUE"""),"")</f>
        <v/>
      </c>
      <c r="D1288" s="4" t="str">
        <f>IFERROR(__xludf.DUMMYFUNCTION("""COMPUTED_VALUE"""),"")</f>
        <v/>
      </c>
      <c r="E1288" s="4" t="str">
        <f>IFERROR(__xludf.DUMMYFUNCTION("""COMPUTED_VALUE"""),"")</f>
        <v/>
      </c>
      <c r="F1288" s="4" t="str">
        <f>IFERROR(__xludf.DUMMYFUNCTION("""COMPUTED_VALUE"""),"")</f>
        <v/>
      </c>
      <c r="G1288" s="4" t="str">
        <f>IFERROR(__xludf.DUMMYFUNCTION("""COMPUTED_VALUE"""),"")</f>
        <v/>
      </c>
      <c r="H1288" s="4" t="str">
        <f>IFERROR(__xludf.DUMMYFUNCTION("""COMPUTED_VALUE"""),"")</f>
        <v/>
      </c>
      <c r="I1288" s="4" t="str">
        <f>IFERROR(__xludf.DUMMYFUNCTION("""COMPUTED_VALUE"""),"")</f>
        <v/>
      </c>
    </row>
    <row r="1289">
      <c r="A1289" s="4" t="str">
        <f>IFERROR(__xludf.DUMMYFUNCTION("""COMPUTED_VALUE"""),"")</f>
        <v/>
      </c>
      <c r="B1289" s="4" t="str">
        <f>IFERROR(__xludf.DUMMYFUNCTION("""COMPUTED_VALUE"""),"")</f>
        <v/>
      </c>
      <c r="C1289" s="4" t="str">
        <f>IFERROR(__xludf.DUMMYFUNCTION("""COMPUTED_VALUE"""),"")</f>
        <v/>
      </c>
      <c r="D1289" s="4" t="str">
        <f>IFERROR(__xludf.DUMMYFUNCTION("""COMPUTED_VALUE"""),"")</f>
        <v/>
      </c>
      <c r="E1289" s="4" t="str">
        <f>IFERROR(__xludf.DUMMYFUNCTION("""COMPUTED_VALUE"""),"")</f>
        <v/>
      </c>
      <c r="F1289" s="4" t="str">
        <f>IFERROR(__xludf.DUMMYFUNCTION("""COMPUTED_VALUE"""),"")</f>
        <v/>
      </c>
      <c r="G1289" s="4" t="str">
        <f>IFERROR(__xludf.DUMMYFUNCTION("""COMPUTED_VALUE"""),"")</f>
        <v/>
      </c>
      <c r="H1289" s="4" t="str">
        <f>IFERROR(__xludf.DUMMYFUNCTION("""COMPUTED_VALUE"""),"")</f>
        <v/>
      </c>
      <c r="I1289" s="4" t="str">
        <f>IFERROR(__xludf.DUMMYFUNCTION("""COMPUTED_VALUE"""),"")</f>
        <v/>
      </c>
    </row>
    <row r="1290">
      <c r="A1290" s="4" t="str">
        <f>IFERROR(__xludf.DUMMYFUNCTION("""COMPUTED_VALUE"""),"")</f>
        <v/>
      </c>
      <c r="B1290" s="4" t="str">
        <f>IFERROR(__xludf.DUMMYFUNCTION("""COMPUTED_VALUE"""),"")</f>
        <v/>
      </c>
      <c r="C1290" s="4" t="str">
        <f>IFERROR(__xludf.DUMMYFUNCTION("""COMPUTED_VALUE"""),"")</f>
        <v/>
      </c>
      <c r="D1290" s="4" t="str">
        <f>IFERROR(__xludf.DUMMYFUNCTION("""COMPUTED_VALUE"""),"")</f>
        <v/>
      </c>
      <c r="E1290" s="4" t="str">
        <f>IFERROR(__xludf.DUMMYFUNCTION("""COMPUTED_VALUE"""),"")</f>
        <v/>
      </c>
      <c r="F1290" s="4" t="str">
        <f>IFERROR(__xludf.DUMMYFUNCTION("""COMPUTED_VALUE"""),"")</f>
        <v/>
      </c>
      <c r="G1290" s="4" t="str">
        <f>IFERROR(__xludf.DUMMYFUNCTION("""COMPUTED_VALUE"""),"")</f>
        <v/>
      </c>
      <c r="H1290" s="4" t="str">
        <f>IFERROR(__xludf.DUMMYFUNCTION("""COMPUTED_VALUE"""),"")</f>
        <v/>
      </c>
      <c r="I1290" s="4" t="str">
        <f>IFERROR(__xludf.DUMMYFUNCTION("""COMPUTED_VALUE"""),"")</f>
        <v/>
      </c>
    </row>
    <row r="1291">
      <c r="A1291" s="4" t="str">
        <f>IFERROR(__xludf.DUMMYFUNCTION("""COMPUTED_VALUE"""),"")</f>
        <v/>
      </c>
      <c r="B1291" s="4" t="str">
        <f>IFERROR(__xludf.DUMMYFUNCTION("""COMPUTED_VALUE"""),"")</f>
        <v/>
      </c>
      <c r="C1291" s="4" t="str">
        <f>IFERROR(__xludf.DUMMYFUNCTION("""COMPUTED_VALUE"""),"")</f>
        <v/>
      </c>
      <c r="D1291" s="4" t="str">
        <f>IFERROR(__xludf.DUMMYFUNCTION("""COMPUTED_VALUE"""),"")</f>
        <v/>
      </c>
      <c r="E1291" s="4" t="str">
        <f>IFERROR(__xludf.DUMMYFUNCTION("""COMPUTED_VALUE"""),"")</f>
        <v/>
      </c>
      <c r="F1291" s="4" t="str">
        <f>IFERROR(__xludf.DUMMYFUNCTION("""COMPUTED_VALUE"""),"")</f>
        <v/>
      </c>
      <c r="G1291" s="4" t="str">
        <f>IFERROR(__xludf.DUMMYFUNCTION("""COMPUTED_VALUE"""),"")</f>
        <v/>
      </c>
      <c r="H1291" s="4" t="str">
        <f>IFERROR(__xludf.DUMMYFUNCTION("""COMPUTED_VALUE"""),"")</f>
        <v/>
      </c>
      <c r="I1291" s="4" t="str">
        <f>IFERROR(__xludf.DUMMYFUNCTION("""COMPUTED_VALUE"""),"")</f>
        <v/>
      </c>
    </row>
    <row r="1292">
      <c r="A1292" s="4" t="str">
        <f>IFERROR(__xludf.DUMMYFUNCTION("""COMPUTED_VALUE"""),"")</f>
        <v/>
      </c>
      <c r="B1292" s="4" t="str">
        <f>IFERROR(__xludf.DUMMYFUNCTION("""COMPUTED_VALUE"""),"")</f>
        <v/>
      </c>
      <c r="C1292" s="4" t="str">
        <f>IFERROR(__xludf.DUMMYFUNCTION("""COMPUTED_VALUE"""),"")</f>
        <v/>
      </c>
      <c r="D1292" s="4" t="str">
        <f>IFERROR(__xludf.DUMMYFUNCTION("""COMPUTED_VALUE"""),"")</f>
        <v/>
      </c>
      <c r="E1292" s="4" t="str">
        <f>IFERROR(__xludf.DUMMYFUNCTION("""COMPUTED_VALUE"""),"")</f>
        <v/>
      </c>
      <c r="F1292" s="4" t="str">
        <f>IFERROR(__xludf.DUMMYFUNCTION("""COMPUTED_VALUE"""),"")</f>
        <v/>
      </c>
      <c r="G1292" s="4" t="str">
        <f>IFERROR(__xludf.DUMMYFUNCTION("""COMPUTED_VALUE"""),"")</f>
        <v/>
      </c>
      <c r="H1292" s="4" t="str">
        <f>IFERROR(__xludf.DUMMYFUNCTION("""COMPUTED_VALUE"""),"")</f>
        <v/>
      </c>
      <c r="I1292" s="4" t="str">
        <f>IFERROR(__xludf.DUMMYFUNCTION("""COMPUTED_VALUE"""),"")</f>
        <v/>
      </c>
    </row>
    <row r="1293">
      <c r="A1293" s="4" t="str">
        <f>IFERROR(__xludf.DUMMYFUNCTION("""COMPUTED_VALUE"""),"")</f>
        <v/>
      </c>
      <c r="B1293" s="4" t="str">
        <f>IFERROR(__xludf.DUMMYFUNCTION("""COMPUTED_VALUE"""),"")</f>
        <v/>
      </c>
      <c r="C1293" s="4" t="str">
        <f>IFERROR(__xludf.DUMMYFUNCTION("""COMPUTED_VALUE"""),"")</f>
        <v/>
      </c>
      <c r="D1293" s="4" t="str">
        <f>IFERROR(__xludf.DUMMYFUNCTION("""COMPUTED_VALUE"""),"")</f>
        <v/>
      </c>
      <c r="E1293" s="4" t="str">
        <f>IFERROR(__xludf.DUMMYFUNCTION("""COMPUTED_VALUE"""),"")</f>
        <v/>
      </c>
      <c r="F1293" s="4" t="str">
        <f>IFERROR(__xludf.DUMMYFUNCTION("""COMPUTED_VALUE"""),"")</f>
        <v/>
      </c>
      <c r="G1293" s="4" t="str">
        <f>IFERROR(__xludf.DUMMYFUNCTION("""COMPUTED_VALUE"""),"")</f>
        <v/>
      </c>
      <c r="H1293" s="4" t="str">
        <f>IFERROR(__xludf.DUMMYFUNCTION("""COMPUTED_VALUE"""),"")</f>
        <v/>
      </c>
      <c r="I1293" s="4" t="str">
        <f>IFERROR(__xludf.DUMMYFUNCTION("""COMPUTED_VALUE"""),"")</f>
        <v/>
      </c>
    </row>
    <row r="1294">
      <c r="A1294" s="4" t="str">
        <f>IFERROR(__xludf.DUMMYFUNCTION("""COMPUTED_VALUE"""),"")</f>
        <v/>
      </c>
      <c r="B1294" s="4" t="str">
        <f>IFERROR(__xludf.DUMMYFUNCTION("""COMPUTED_VALUE"""),"")</f>
        <v/>
      </c>
      <c r="C1294" s="4" t="str">
        <f>IFERROR(__xludf.DUMMYFUNCTION("""COMPUTED_VALUE"""),"")</f>
        <v/>
      </c>
      <c r="D1294" s="4" t="str">
        <f>IFERROR(__xludf.DUMMYFUNCTION("""COMPUTED_VALUE"""),"")</f>
        <v/>
      </c>
      <c r="E1294" s="4" t="str">
        <f>IFERROR(__xludf.DUMMYFUNCTION("""COMPUTED_VALUE"""),"")</f>
        <v/>
      </c>
      <c r="F1294" s="4" t="str">
        <f>IFERROR(__xludf.DUMMYFUNCTION("""COMPUTED_VALUE"""),"")</f>
        <v/>
      </c>
      <c r="G1294" s="4" t="str">
        <f>IFERROR(__xludf.DUMMYFUNCTION("""COMPUTED_VALUE"""),"")</f>
        <v/>
      </c>
      <c r="H1294" s="4" t="str">
        <f>IFERROR(__xludf.DUMMYFUNCTION("""COMPUTED_VALUE"""),"")</f>
        <v/>
      </c>
      <c r="I1294" s="4" t="str">
        <f>IFERROR(__xludf.DUMMYFUNCTION("""COMPUTED_VALUE"""),"")</f>
        <v/>
      </c>
    </row>
    <row r="1295">
      <c r="A1295" s="4" t="str">
        <f>IFERROR(__xludf.DUMMYFUNCTION("""COMPUTED_VALUE"""),"")</f>
        <v/>
      </c>
      <c r="B1295" s="4" t="str">
        <f>IFERROR(__xludf.DUMMYFUNCTION("""COMPUTED_VALUE"""),"")</f>
        <v/>
      </c>
      <c r="C1295" s="4" t="str">
        <f>IFERROR(__xludf.DUMMYFUNCTION("""COMPUTED_VALUE"""),"")</f>
        <v/>
      </c>
      <c r="D1295" s="4" t="str">
        <f>IFERROR(__xludf.DUMMYFUNCTION("""COMPUTED_VALUE"""),"")</f>
        <v/>
      </c>
      <c r="E1295" s="4" t="str">
        <f>IFERROR(__xludf.DUMMYFUNCTION("""COMPUTED_VALUE"""),"")</f>
        <v/>
      </c>
      <c r="F1295" s="4" t="str">
        <f>IFERROR(__xludf.DUMMYFUNCTION("""COMPUTED_VALUE"""),"")</f>
        <v/>
      </c>
      <c r="G1295" s="4" t="str">
        <f>IFERROR(__xludf.DUMMYFUNCTION("""COMPUTED_VALUE"""),"")</f>
        <v/>
      </c>
      <c r="H1295" s="4" t="str">
        <f>IFERROR(__xludf.DUMMYFUNCTION("""COMPUTED_VALUE"""),"")</f>
        <v/>
      </c>
      <c r="I1295" s="4" t="str">
        <f>IFERROR(__xludf.DUMMYFUNCTION("""COMPUTED_VALUE"""),"")</f>
        <v/>
      </c>
    </row>
    <row r="1296">
      <c r="A1296" s="4" t="str">
        <f>IFERROR(__xludf.DUMMYFUNCTION("""COMPUTED_VALUE"""),"")</f>
        <v/>
      </c>
      <c r="B1296" s="4" t="str">
        <f>IFERROR(__xludf.DUMMYFUNCTION("""COMPUTED_VALUE"""),"")</f>
        <v/>
      </c>
      <c r="C1296" s="4" t="str">
        <f>IFERROR(__xludf.DUMMYFUNCTION("""COMPUTED_VALUE"""),"")</f>
        <v/>
      </c>
      <c r="D1296" s="4" t="str">
        <f>IFERROR(__xludf.DUMMYFUNCTION("""COMPUTED_VALUE"""),"")</f>
        <v/>
      </c>
      <c r="E1296" s="4" t="str">
        <f>IFERROR(__xludf.DUMMYFUNCTION("""COMPUTED_VALUE"""),"")</f>
        <v/>
      </c>
      <c r="F1296" s="4" t="str">
        <f>IFERROR(__xludf.DUMMYFUNCTION("""COMPUTED_VALUE"""),"")</f>
        <v/>
      </c>
      <c r="G1296" s="4" t="str">
        <f>IFERROR(__xludf.DUMMYFUNCTION("""COMPUTED_VALUE"""),"")</f>
        <v/>
      </c>
      <c r="H1296" s="4" t="str">
        <f>IFERROR(__xludf.DUMMYFUNCTION("""COMPUTED_VALUE"""),"")</f>
        <v/>
      </c>
      <c r="I1296" s="4" t="str">
        <f>IFERROR(__xludf.DUMMYFUNCTION("""COMPUTED_VALUE"""),"")</f>
        <v/>
      </c>
    </row>
    <row r="1297">
      <c r="A1297" s="4" t="str">
        <f>IFERROR(__xludf.DUMMYFUNCTION("""COMPUTED_VALUE"""),"")</f>
        <v/>
      </c>
      <c r="B1297" s="4" t="str">
        <f>IFERROR(__xludf.DUMMYFUNCTION("""COMPUTED_VALUE"""),"")</f>
        <v/>
      </c>
      <c r="C1297" s="4" t="str">
        <f>IFERROR(__xludf.DUMMYFUNCTION("""COMPUTED_VALUE"""),"")</f>
        <v/>
      </c>
      <c r="D1297" s="4" t="str">
        <f>IFERROR(__xludf.DUMMYFUNCTION("""COMPUTED_VALUE"""),"")</f>
        <v/>
      </c>
      <c r="E1297" s="4" t="str">
        <f>IFERROR(__xludf.DUMMYFUNCTION("""COMPUTED_VALUE"""),"")</f>
        <v/>
      </c>
      <c r="F1297" s="4" t="str">
        <f>IFERROR(__xludf.DUMMYFUNCTION("""COMPUTED_VALUE"""),"")</f>
        <v/>
      </c>
      <c r="G1297" s="4" t="str">
        <f>IFERROR(__xludf.DUMMYFUNCTION("""COMPUTED_VALUE"""),"")</f>
        <v/>
      </c>
      <c r="H1297" s="4" t="str">
        <f>IFERROR(__xludf.DUMMYFUNCTION("""COMPUTED_VALUE"""),"")</f>
        <v/>
      </c>
      <c r="I1297" s="4" t="str">
        <f>IFERROR(__xludf.DUMMYFUNCTION("""COMPUTED_VALUE"""),"")</f>
        <v/>
      </c>
    </row>
    <row r="1298">
      <c r="A1298" s="4" t="str">
        <f>IFERROR(__xludf.DUMMYFUNCTION("""COMPUTED_VALUE"""),"")</f>
        <v/>
      </c>
      <c r="B1298" s="4" t="str">
        <f>IFERROR(__xludf.DUMMYFUNCTION("""COMPUTED_VALUE"""),"")</f>
        <v/>
      </c>
      <c r="C1298" s="4" t="str">
        <f>IFERROR(__xludf.DUMMYFUNCTION("""COMPUTED_VALUE"""),"")</f>
        <v/>
      </c>
      <c r="D1298" s="4" t="str">
        <f>IFERROR(__xludf.DUMMYFUNCTION("""COMPUTED_VALUE"""),"")</f>
        <v/>
      </c>
      <c r="E1298" s="4" t="str">
        <f>IFERROR(__xludf.DUMMYFUNCTION("""COMPUTED_VALUE"""),"")</f>
        <v/>
      </c>
      <c r="F1298" s="4" t="str">
        <f>IFERROR(__xludf.DUMMYFUNCTION("""COMPUTED_VALUE"""),"")</f>
        <v/>
      </c>
      <c r="G1298" s="4" t="str">
        <f>IFERROR(__xludf.DUMMYFUNCTION("""COMPUTED_VALUE"""),"")</f>
        <v/>
      </c>
      <c r="H1298" s="4" t="str">
        <f>IFERROR(__xludf.DUMMYFUNCTION("""COMPUTED_VALUE"""),"")</f>
        <v/>
      </c>
      <c r="I1298" s="4" t="str">
        <f>IFERROR(__xludf.DUMMYFUNCTION("""COMPUTED_VALUE"""),"")</f>
        <v/>
      </c>
    </row>
    <row r="1299">
      <c r="A1299" s="4" t="str">
        <f>IFERROR(__xludf.DUMMYFUNCTION("""COMPUTED_VALUE"""),"")</f>
        <v/>
      </c>
      <c r="B1299" s="4" t="str">
        <f>IFERROR(__xludf.DUMMYFUNCTION("""COMPUTED_VALUE"""),"")</f>
        <v/>
      </c>
      <c r="C1299" s="4" t="str">
        <f>IFERROR(__xludf.DUMMYFUNCTION("""COMPUTED_VALUE"""),"")</f>
        <v/>
      </c>
      <c r="D1299" s="4" t="str">
        <f>IFERROR(__xludf.DUMMYFUNCTION("""COMPUTED_VALUE"""),"")</f>
        <v/>
      </c>
      <c r="E1299" s="4" t="str">
        <f>IFERROR(__xludf.DUMMYFUNCTION("""COMPUTED_VALUE"""),"")</f>
        <v/>
      </c>
      <c r="F1299" s="4" t="str">
        <f>IFERROR(__xludf.DUMMYFUNCTION("""COMPUTED_VALUE"""),"")</f>
        <v/>
      </c>
      <c r="G1299" s="4" t="str">
        <f>IFERROR(__xludf.DUMMYFUNCTION("""COMPUTED_VALUE"""),"")</f>
        <v/>
      </c>
      <c r="H1299" s="4" t="str">
        <f>IFERROR(__xludf.DUMMYFUNCTION("""COMPUTED_VALUE"""),"")</f>
        <v/>
      </c>
      <c r="I1299" s="4" t="str">
        <f>IFERROR(__xludf.DUMMYFUNCTION("""COMPUTED_VALUE"""),"")</f>
        <v/>
      </c>
    </row>
    <row r="1300">
      <c r="A1300" s="4" t="str">
        <f>IFERROR(__xludf.DUMMYFUNCTION("""COMPUTED_VALUE"""),"")</f>
        <v/>
      </c>
      <c r="B1300" s="4" t="str">
        <f>IFERROR(__xludf.DUMMYFUNCTION("""COMPUTED_VALUE"""),"")</f>
        <v/>
      </c>
      <c r="C1300" s="4" t="str">
        <f>IFERROR(__xludf.DUMMYFUNCTION("""COMPUTED_VALUE"""),"")</f>
        <v/>
      </c>
      <c r="D1300" s="4" t="str">
        <f>IFERROR(__xludf.DUMMYFUNCTION("""COMPUTED_VALUE"""),"")</f>
        <v/>
      </c>
      <c r="E1300" s="4" t="str">
        <f>IFERROR(__xludf.DUMMYFUNCTION("""COMPUTED_VALUE"""),"")</f>
        <v/>
      </c>
      <c r="F1300" s="4" t="str">
        <f>IFERROR(__xludf.DUMMYFUNCTION("""COMPUTED_VALUE"""),"")</f>
        <v/>
      </c>
      <c r="G1300" s="4" t="str">
        <f>IFERROR(__xludf.DUMMYFUNCTION("""COMPUTED_VALUE"""),"")</f>
        <v/>
      </c>
      <c r="H1300" s="4" t="str">
        <f>IFERROR(__xludf.DUMMYFUNCTION("""COMPUTED_VALUE"""),"")</f>
        <v/>
      </c>
      <c r="I1300" s="4" t="str">
        <f>IFERROR(__xludf.DUMMYFUNCTION("""COMPUTED_VALUE"""),"")</f>
        <v/>
      </c>
    </row>
    <row r="1301">
      <c r="A1301" s="4" t="str">
        <f>IFERROR(__xludf.DUMMYFUNCTION("""COMPUTED_VALUE"""),"")</f>
        <v/>
      </c>
      <c r="B1301" s="4" t="str">
        <f>IFERROR(__xludf.DUMMYFUNCTION("""COMPUTED_VALUE"""),"")</f>
        <v/>
      </c>
      <c r="C1301" s="4" t="str">
        <f>IFERROR(__xludf.DUMMYFUNCTION("""COMPUTED_VALUE"""),"")</f>
        <v/>
      </c>
      <c r="D1301" s="4" t="str">
        <f>IFERROR(__xludf.DUMMYFUNCTION("""COMPUTED_VALUE"""),"")</f>
        <v/>
      </c>
      <c r="E1301" s="4" t="str">
        <f>IFERROR(__xludf.DUMMYFUNCTION("""COMPUTED_VALUE"""),"")</f>
        <v/>
      </c>
      <c r="F1301" s="4" t="str">
        <f>IFERROR(__xludf.DUMMYFUNCTION("""COMPUTED_VALUE"""),"")</f>
        <v/>
      </c>
      <c r="G1301" s="4" t="str">
        <f>IFERROR(__xludf.DUMMYFUNCTION("""COMPUTED_VALUE"""),"")</f>
        <v/>
      </c>
      <c r="H1301" s="4" t="str">
        <f>IFERROR(__xludf.DUMMYFUNCTION("""COMPUTED_VALUE"""),"")</f>
        <v/>
      </c>
      <c r="I1301" s="4" t="str">
        <f>IFERROR(__xludf.DUMMYFUNCTION("""COMPUTED_VALUE"""),"")</f>
        <v/>
      </c>
    </row>
    <row r="1302">
      <c r="A1302" s="4" t="str">
        <f>IFERROR(__xludf.DUMMYFUNCTION("""COMPUTED_VALUE"""),"")</f>
        <v/>
      </c>
      <c r="B1302" s="4" t="str">
        <f>IFERROR(__xludf.DUMMYFUNCTION("""COMPUTED_VALUE"""),"")</f>
        <v/>
      </c>
      <c r="C1302" s="4" t="str">
        <f>IFERROR(__xludf.DUMMYFUNCTION("""COMPUTED_VALUE"""),"")</f>
        <v/>
      </c>
      <c r="D1302" s="4" t="str">
        <f>IFERROR(__xludf.DUMMYFUNCTION("""COMPUTED_VALUE"""),"")</f>
        <v/>
      </c>
      <c r="E1302" s="4" t="str">
        <f>IFERROR(__xludf.DUMMYFUNCTION("""COMPUTED_VALUE"""),"")</f>
        <v/>
      </c>
      <c r="F1302" s="4" t="str">
        <f>IFERROR(__xludf.DUMMYFUNCTION("""COMPUTED_VALUE"""),"")</f>
        <v/>
      </c>
      <c r="G1302" s="4" t="str">
        <f>IFERROR(__xludf.DUMMYFUNCTION("""COMPUTED_VALUE"""),"")</f>
        <v/>
      </c>
      <c r="H1302" s="4" t="str">
        <f>IFERROR(__xludf.DUMMYFUNCTION("""COMPUTED_VALUE"""),"")</f>
        <v/>
      </c>
      <c r="I1302" s="4" t="str">
        <f>IFERROR(__xludf.DUMMYFUNCTION("""COMPUTED_VALUE"""),"")</f>
        <v/>
      </c>
    </row>
    <row r="1303">
      <c r="A1303" s="4" t="str">
        <f>IFERROR(__xludf.DUMMYFUNCTION("""COMPUTED_VALUE"""),"")</f>
        <v/>
      </c>
      <c r="B1303" s="4" t="str">
        <f>IFERROR(__xludf.DUMMYFUNCTION("""COMPUTED_VALUE"""),"")</f>
        <v/>
      </c>
      <c r="C1303" s="4" t="str">
        <f>IFERROR(__xludf.DUMMYFUNCTION("""COMPUTED_VALUE"""),"")</f>
        <v/>
      </c>
      <c r="D1303" s="4" t="str">
        <f>IFERROR(__xludf.DUMMYFUNCTION("""COMPUTED_VALUE"""),"")</f>
        <v/>
      </c>
      <c r="E1303" s="4" t="str">
        <f>IFERROR(__xludf.DUMMYFUNCTION("""COMPUTED_VALUE"""),"")</f>
        <v/>
      </c>
      <c r="F1303" s="4" t="str">
        <f>IFERROR(__xludf.DUMMYFUNCTION("""COMPUTED_VALUE"""),"")</f>
        <v/>
      </c>
      <c r="G1303" s="4" t="str">
        <f>IFERROR(__xludf.DUMMYFUNCTION("""COMPUTED_VALUE"""),"")</f>
        <v/>
      </c>
      <c r="H1303" s="4" t="str">
        <f>IFERROR(__xludf.DUMMYFUNCTION("""COMPUTED_VALUE"""),"")</f>
        <v/>
      </c>
      <c r="I1303" s="4" t="str">
        <f>IFERROR(__xludf.DUMMYFUNCTION("""COMPUTED_VALUE"""),"")</f>
        <v/>
      </c>
    </row>
    <row r="1304">
      <c r="A1304" s="4" t="str">
        <f>IFERROR(__xludf.DUMMYFUNCTION("""COMPUTED_VALUE"""),"")</f>
        <v/>
      </c>
      <c r="B1304" s="4" t="str">
        <f>IFERROR(__xludf.DUMMYFUNCTION("""COMPUTED_VALUE"""),"")</f>
        <v/>
      </c>
      <c r="C1304" s="4" t="str">
        <f>IFERROR(__xludf.DUMMYFUNCTION("""COMPUTED_VALUE"""),"")</f>
        <v/>
      </c>
      <c r="D1304" s="4" t="str">
        <f>IFERROR(__xludf.DUMMYFUNCTION("""COMPUTED_VALUE"""),"")</f>
        <v/>
      </c>
      <c r="E1304" s="4" t="str">
        <f>IFERROR(__xludf.DUMMYFUNCTION("""COMPUTED_VALUE"""),"")</f>
        <v/>
      </c>
      <c r="F1304" s="4" t="str">
        <f>IFERROR(__xludf.DUMMYFUNCTION("""COMPUTED_VALUE"""),"")</f>
        <v/>
      </c>
      <c r="G1304" s="4" t="str">
        <f>IFERROR(__xludf.DUMMYFUNCTION("""COMPUTED_VALUE"""),"")</f>
        <v/>
      </c>
      <c r="H1304" s="4" t="str">
        <f>IFERROR(__xludf.DUMMYFUNCTION("""COMPUTED_VALUE"""),"")</f>
        <v/>
      </c>
      <c r="I1304" s="4" t="str">
        <f>IFERROR(__xludf.DUMMYFUNCTION("""COMPUTED_VALUE"""),"")</f>
        <v/>
      </c>
    </row>
    <row r="1305">
      <c r="A1305" s="4" t="str">
        <f>IFERROR(__xludf.DUMMYFUNCTION("""COMPUTED_VALUE"""),"")</f>
        <v/>
      </c>
      <c r="B1305" s="4" t="str">
        <f>IFERROR(__xludf.DUMMYFUNCTION("""COMPUTED_VALUE"""),"")</f>
        <v/>
      </c>
      <c r="C1305" s="4" t="str">
        <f>IFERROR(__xludf.DUMMYFUNCTION("""COMPUTED_VALUE"""),"")</f>
        <v/>
      </c>
      <c r="D1305" s="4" t="str">
        <f>IFERROR(__xludf.DUMMYFUNCTION("""COMPUTED_VALUE"""),"")</f>
        <v/>
      </c>
      <c r="E1305" s="4" t="str">
        <f>IFERROR(__xludf.DUMMYFUNCTION("""COMPUTED_VALUE"""),"")</f>
        <v/>
      </c>
      <c r="F1305" s="4" t="str">
        <f>IFERROR(__xludf.DUMMYFUNCTION("""COMPUTED_VALUE"""),"")</f>
        <v/>
      </c>
      <c r="G1305" s="4" t="str">
        <f>IFERROR(__xludf.DUMMYFUNCTION("""COMPUTED_VALUE"""),"")</f>
        <v/>
      </c>
      <c r="H1305" s="4" t="str">
        <f>IFERROR(__xludf.DUMMYFUNCTION("""COMPUTED_VALUE"""),"")</f>
        <v/>
      </c>
      <c r="I1305" s="4" t="str">
        <f>IFERROR(__xludf.DUMMYFUNCTION("""COMPUTED_VALUE"""),"")</f>
        <v/>
      </c>
    </row>
    <row r="1306">
      <c r="A1306" s="4" t="str">
        <f>IFERROR(__xludf.DUMMYFUNCTION("""COMPUTED_VALUE"""),"")</f>
        <v/>
      </c>
      <c r="B1306" s="4" t="str">
        <f>IFERROR(__xludf.DUMMYFUNCTION("""COMPUTED_VALUE"""),"")</f>
        <v/>
      </c>
      <c r="C1306" s="4" t="str">
        <f>IFERROR(__xludf.DUMMYFUNCTION("""COMPUTED_VALUE"""),"")</f>
        <v/>
      </c>
      <c r="D1306" s="4" t="str">
        <f>IFERROR(__xludf.DUMMYFUNCTION("""COMPUTED_VALUE"""),"")</f>
        <v/>
      </c>
      <c r="E1306" s="4" t="str">
        <f>IFERROR(__xludf.DUMMYFUNCTION("""COMPUTED_VALUE"""),"")</f>
        <v/>
      </c>
      <c r="F1306" s="4" t="str">
        <f>IFERROR(__xludf.DUMMYFUNCTION("""COMPUTED_VALUE"""),"")</f>
        <v/>
      </c>
      <c r="G1306" s="4" t="str">
        <f>IFERROR(__xludf.DUMMYFUNCTION("""COMPUTED_VALUE"""),"")</f>
        <v/>
      </c>
      <c r="H1306" s="4" t="str">
        <f>IFERROR(__xludf.DUMMYFUNCTION("""COMPUTED_VALUE"""),"")</f>
        <v/>
      </c>
      <c r="I1306" s="4" t="str">
        <f>IFERROR(__xludf.DUMMYFUNCTION("""COMPUTED_VALUE"""),"")</f>
        <v/>
      </c>
    </row>
    <row r="1307">
      <c r="A1307" s="4" t="str">
        <f>IFERROR(__xludf.DUMMYFUNCTION("""COMPUTED_VALUE"""),"")</f>
        <v/>
      </c>
      <c r="B1307" s="4" t="str">
        <f>IFERROR(__xludf.DUMMYFUNCTION("""COMPUTED_VALUE"""),"")</f>
        <v/>
      </c>
      <c r="C1307" s="4" t="str">
        <f>IFERROR(__xludf.DUMMYFUNCTION("""COMPUTED_VALUE"""),"")</f>
        <v/>
      </c>
      <c r="D1307" s="4" t="str">
        <f>IFERROR(__xludf.DUMMYFUNCTION("""COMPUTED_VALUE"""),"")</f>
        <v/>
      </c>
      <c r="E1307" s="4" t="str">
        <f>IFERROR(__xludf.DUMMYFUNCTION("""COMPUTED_VALUE"""),"")</f>
        <v/>
      </c>
      <c r="F1307" s="4" t="str">
        <f>IFERROR(__xludf.DUMMYFUNCTION("""COMPUTED_VALUE"""),"")</f>
        <v/>
      </c>
      <c r="G1307" s="4" t="str">
        <f>IFERROR(__xludf.DUMMYFUNCTION("""COMPUTED_VALUE"""),"")</f>
        <v/>
      </c>
      <c r="H1307" s="4" t="str">
        <f>IFERROR(__xludf.DUMMYFUNCTION("""COMPUTED_VALUE"""),"")</f>
        <v/>
      </c>
      <c r="I1307" s="4" t="str">
        <f>IFERROR(__xludf.DUMMYFUNCTION("""COMPUTED_VALUE"""),"")</f>
        <v/>
      </c>
    </row>
    <row r="1308">
      <c r="A1308" s="4" t="str">
        <f>IFERROR(__xludf.DUMMYFUNCTION("""COMPUTED_VALUE"""),"")</f>
        <v/>
      </c>
      <c r="B1308" s="4" t="str">
        <f>IFERROR(__xludf.DUMMYFUNCTION("""COMPUTED_VALUE"""),"")</f>
        <v/>
      </c>
      <c r="C1308" s="4" t="str">
        <f>IFERROR(__xludf.DUMMYFUNCTION("""COMPUTED_VALUE"""),"")</f>
        <v/>
      </c>
      <c r="D1308" s="4" t="str">
        <f>IFERROR(__xludf.DUMMYFUNCTION("""COMPUTED_VALUE"""),"")</f>
        <v/>
      </c>
      <c r="E1308" s="4" t="str">
        <f>IFERROR(__xludf.DUMMYFUNCTION("""COMPUTED_VALUE"""),"")</f>
        <v/>
      </c>
      <c r="F1308" s="4" t="str">
        <f>IFERROR(__xludf.DUMMYFUNCTION("""COMPUTED_VALUE"""),"")</f>
        <v/>
      </c>
      <c r="G1308" s="4" t="str">
        <f>IFERROR(__xludf.DUMMYFUNCTION("""COMPUTED_VALUE"""),"")</f>
        <v/>
      </c>
      <c r="H1308" s="4" t="str">
        <f>IFERROR(__xludf.DUMMYFUNCTION("""COMPUTED_VALUE"""),"")</f>
        <v/>
      </c>
      <c r="I1308" s="4" t="str">
        <f>IFERROR(__xludf.DUMMYFUNCTION("""COMPUTED_VALUE"""),"")</f>
        <v/>
      </c>
    </row>
    <row r="1309">
      <c r="A1309" s="4" t="str">
        <f>IFERROR(__xludf.DUMMYFUNCTION("""COMPUTED_VALUE"""),"")</f>
        <v/>
      </c>
      <c r="B1309" s="4" t="str">
        <f>IFERROR(__xludf.DUMMYFUNCTION("""COMPUTED_VALUE"""),"")</f>
        <v/>
      </c>
      <c r="C1309" s="4" t="str">
        <f>IFERROR(__xludf.DUMMYFUNCTION("""COMPUTED_VALUE"""),"")</f>
        <v/>
      </c>
      <c r="D1309" s="4" t="str">
        <f>IFERROR(__xludf.DUMMYFUNCTION("""COMPUTED_VALUE"""),"")</f>
        <v/>
      </c>
      <c r="E1309" s="4" t="str">
        <f>IFERROR(__xludf.DUMMYFUNCTION("""COMPUTED_VALUE"""),"")</f>
        <v/>
      </c>
      <c r="F1309" s="4" t="str">
        <f>IFERROR(__xludf.DUMMYFUNCTION("""COMPUTED_VALUE"""),"")</f>
        <v/>
      </c>
      <c r="G1309" s="4" t="str">
        <f>IFERROR(__xludf.DUMMYFUNCTION("""COMPUTED_VALUE"""),"")</f>
        <v/>
      </c>
      <c r="H1309" s="4" t="str">
        <f>IFERROR(__xludf.DUMMYFUNCTION("""COMPUTED_VALUE"""),"")</f>
        <v/>
      </c>
      <c r="I1309" s="4" t="str">
        <f>IFERROR(__xludf.DUMMYFUNCTION("""COMPUTED_VALUE"""),"")</f>
        <v/>
      </c>
    </row>
    <row r="1310">
      <c r="A1310" s="4" t="str">
        <f>IFERROR(__xludf.DUMMYFUNCTION("""COMPUTED_VALUE"""),"")</f>
        <v/>
      </c>
      <c r="B1310" s="4" t="str">
        <f>IFERROR(__xludf.DUMMYFUNCTION("""COMPUTED_VALUE"""),"")</f>
        <v/>
      </c>
      <c r="C1310" s="4" t="str">
        <f>IFERROR(__xludf.DUMMYFUNCTION("""COMPUTED_VALUE"""),"")</f>
        <v/>
      </c>
      <c r="D1310" s="4" t="str">
        <f>IFERROR(__xludf.DUMMYFUNCTION("""COMPUTED_VALUE"""),"")</f>
        <v/>
      </c>
      <c r="E1310" s="4" t="str">
        <f>IFERROR(__xludf.DUMMYFUNCTION("""COMPUTED_VALUE"""),"")</f>
        <v/>
      </c>
      <c r="F1310" s="4" t="str">
        <f>IFERROR(__xludf.DUMMYFUNCTION("""COMPUTED_VALUE"""),"")</f>
        <v/>
      </c>
      <c r="G1310" s="4" t="str">
        <f>IFERROR(__xludf.DUMMYFUNCTION("""COMPUTED_VALUE"""),"")</f>
        <v/>
      </c>
      <c r="H1310" s="4" t="str">
        <f>IFERROR(__xludf.DUMMYFUNCTION("""COMPUTED_VALUE"""),"")</f>
        <v/>
      </c>
      <c r="I1310" s="4" t="str">
        <f>IFERROR(__xludf.DUMMYFUNCTION("""COMPUTED_VALUE"""),"")</f>
        <v/>
      </c>
    </row>
    <row r="1311">
      <c r="A1311" s="4" t="str">
        <f>IFERROR(__xludf.DUMMYFUNCTION("""COMPUTED_VALUE"""),"")</f>
        <v/>
      </c>
      <c r="B1311" s="4" t="str">
        <f>IFERROR(__xludf.DUMMYFUNCTION("""COMPUTED_VALUE"""),"")</f>
        <v/>
      </c>
      <c r="C1311" s="4" t="str">
        <f>IFERROR(__xludf.DUMMYFUNCTION("""COMPUTED_VALUE"""),"")</f>
        <v/>
      </c>
      <c r="D1311" s="4" t="str">
        <f>IFERROR(__xludf.DUMMYFUNCTION("""COMPUTED_VALUE"""),"")</f>
        <v/>
      </c>
      <c r="E1311" s="4" t="str">
        <f>IFERROR(__xludf.DUMMYFUNCTION("""COMPUTED_VALUE"""),"")</f>
        <v/>
      </c>
      <c r="F1311" s="4" t="str">
        <f>IFERROR(__xludf.DUMMYFUNCTION("""COMPUTED_VALUE"""),"")</f>
        <v/>
      </c>
      <c r="G1311" s="4" t="str">
        <f>IFERROR(__xludf.DUMMYFUNCTION("""COMPUTED_VALUE"""),"")</f>
        <v/>
      </c>
      <c r="H1311" s="4" t="str">
        <f>IFERROR(__xludf.DUMMYFUNCTION("""COMPUTED_VALUE"""),"")</f>
        <v/>
      </c>
      <c r="I1311" s="4" t="str">
        <f>IFERROR(__xludf.DUMMYFUNCTION("""COMPUTED_VALUE"""),"")</f>
        <v/>
      </c>
    </row>
    <row r="1312">
      <c r="A1312" s="4" t="str">
        <f>IFERROR(__xludf.DUMMYFUNCTION("""COMPUTED_VALUE"""),"")</f>
        <v/>
      </c>
      <c r="B1312" s="4" t="str">
        <f>IFERROR(__xludf.DUMMYFUNCTION("""COMPUTED_VALUE"""),"")</f>
        <v/>
      </c>
      <c r="C1312" s="4" t="str">
        <f>IFERROR(__xludf.DUMMYFUNCTION("""COMPUTED_VALUE"""),"")</f>
        <v/>
      </c>
      <c r="D1312" s="4" t="str">
        <f>IFERROR(__xludf.DUMMYFUNCTION("""COMPUTED_VALUE"""),"")</f>
        <v/>
      </c>
      <c r="E1312" s="4" t="str">
        <f>IFERROR(__xludf.DUMMYFUNCTION("""COMPUTED_VALUE"""),"")</f>
        <v/>
      </c>
      <c r="F1312" s="4" t="str">
        <f>IFERROR(__xludf.DUMMYFUNCTION("""COMPUTED_VALUE"""),"")</f>
        <v/>
      </c>
      <c r="G1312" s="4" t="str">
        <f>IFERROR(__xludf.DUMMYFUNCTION("""COMPUTED_VALUE"""),"")</f>
        <v/>
      </c>
      <c r="H1312" s="4" t="str">
        <f>IFERROR(__xludf.DUMMYFUNCTION("""COMPUTED_VALUE"""),"")</f>
        <v/>
      </c>
      <c r="I1312" s="4" t="str">
        <f>IFERROR(__xludf.DUMMYFUNCTION("""COMPUTED_VALUE"""),"")</f>
        <v/>
      </c>
    </row>
    <row r="1313">
      <c r="A1313" s="4" t="str">
        <f>IFERROR(__xludf.DUMMYFUNCTION("""COMPUTED_VALUE"""),"")</f>
        <v/>
      </c>
      <c r="B1313" s="4" t="str">
        <f>IFERROR(__xludf.DUMMYFUNCTION("""COMPUTED_VALUE"""),"")</f>
        <v/>
      </c>
      <c r="C1313" s="4" t="str">
        <f>IFERROR(__xludf.DUMMYFUNCTION("""COMPUTED_VALUE"""),"")</f>
        <v/>
      </c>
      <c r="D1313" s="4" t="str">
        <f>IFERROR(__xludf.DUMMYFUNCTION("""COMPUTED_VALUE"""),"")</f>
        <v/>
      </c>
      <c r="E1313" s="4" t="str">
        <f>IFERROR(__xludf.DUMMYFUNCTION("""COMPUTED_VALUE"""),"")</f>
        <v/>
      </c>
      <c r="F1313" s="4" t="str">
        <f>IFERROR(__xludf.DUMMYFUNCTION("""COMPUTED_VALUE"""),"")</f>
        <v/>
      </c>
      <c r="G1313" s="4" t="str">
        <f>IFERROR(__xludf.DUMMYFUNCTION("""COMPUTED_VALUE"""),"")</f>
        <v/>
      </c>
      <c r="H1313" s="4" t="str">
        <f>IFERROR(__xludf.DUMMYFUNCTION("""COMPUTED_VALUE"""),"")</f>
        <v/>
      </c>
      <c r="I1313" s="4" t="str">
        <f>IFERROR(__xludf.DUMMYFUNCTION("""COMPUTED_VALUE"""),"")</f>
        <v/>
      </c>
    </row>
    <row r="1314">
      <c r="A1314" s="4" t="str">
        <f>IFERROR(__xludf.DUMMYFUNCTION("""COMPUTED_VALUE"""),"")</f>
        <v/>
      </c>
      <c r="B1314" s="4" t="str">
        <f>IFERROR(__xludf.DUMMYFUNCTION("""COMPUTED_VALUE"""),"")</f>
        <v/>
      </c>
      <c r="C1314" s="4" t="str">
        <f>IFERROR(__xludf.DUMMYFUNCTION("""COMPUTED_VALUE"""),"")</f>
        <v/>
      </c>
      <c r="D1314" s="4" t="str">
        <f>IFERROR(__xludf.DUMMYFUNCTION("""COMPUTED_VALUE"""),"")</f>
        <v/>
      </c>
      <c r="E1314" s="4" t="str">
        <f>IFERROR(__xludf.DUMMYFUNCTION("""COMPUTED_VALUE"""),"")</f>
        <v/>
      </c>
      <c r="F1314" s="4" t="str">
        <f>IFERROR(__xludf.DUMMYFUNCTION("""COMPUTED_VALUE"""),"")</f>
        <v/>
      </c>
      <c r="G1314" s="4" t="str">
        <f>IFERROR(__xludf.DUMMYFUNCTION("""COMPUTED_VALUE"""),"")</f>
        <v/>
      </c>
      <c r="H1314" s="4" t="str">
        <f>IFERROR(__xludf.DUMMYFUNCTION("""COMPUTED_VALUE"""),"")</f>
        <v/>
      </c>
      <c r="I1314" s="4" t="str">
        <f>IFERROR(__xludf.DUMMYFUNCTION("""COMPUTED_VALUE"""),"")</f>
        <v/>
      </c>
    </row>
    <row r="1315">
      <c r="A1315" s="4" t="str">
        <f>IFERROR(__xludf.DUMMYFUNCTION("""COMPUTED_VALUE"""),"")</f>
        <v/>
      </c>
      <c r="B1315" s="4" t="str">
        <f>IFERROR(__xludf.DUMMYFUNCTION("""COMPUTED_VALUE"""),"")</f>
        <v/>
      </c>
      <c r="C1315" s="4" t="str">
        <f>IFERROR(__xludf.DUMMYFUNCTION("""COMPUTED_VALUE"""),"")</f>
        <v/>
      </c>
      <c r="D1315" s="4" t="str">
        <f>IFERROR(__xludf.DUMMYFUNCTION("""COMPUTED_VALUE"""),"")</f>
        <v/>
      </c>
      <c r="E1315" s="4" t="str">
        <f>IFERROR(__xludf.DUMMYFUNCTION("""COMPUTED_VALUE"""),"")</f>
        <v/>
      </c>
      <c r="F1315" s="4" t="str">
        <f>IFERROR(__xludf.DUMMYFUNCTION("""COMPUTED_VALUE"""),"")</f>
        <v/>
      </c>
      <c r="G1315" s="4" t="str">
        <f>IFERROR(__xludf.DUMMYFUNCTION("""COMPUTED_VALUE"""),"")</f>
        <v/>
      </c>
      <c r="H1315" s="4" t="str">
        <f>IFERROR(__xludf.DUMMYFUNCTION("""COMPUTED_VALUE"""),"")</f>
        <v/>
      </c>
      <c r="I1315" s="4" t="str">
        <f>IFERROR(__xludf.DUMMYFUNCTION("""COMPUTED_VALUE"""),"")</f>
        <v/>
      </c>
    </row>
    <row r="1316">
      <c r="A1316" s="4" t="str">
        <f>IFERROR(__xludf.DUMMYFUNCTION("""COMPUTED_VALUE"""),"")</f>
        <v/>
      </c>
      <c r="B1316" s="4" t="str">
        <f>IFERROR(__xludf.DUMMYFUNCTION("""COMPUTED_VALUE"""),"")</f>
        <v/>
      </c>
      <c r="C1316" s="4" t="str">
        <f>IFERROR(__xludf.DUMMYFUNCTION("""COMPUTED_VALUE"""),"")</f>
        <v/>
      </c>
      <c r="D1316" s="4" t="str">
        <f>IFERROR(__xludf.DUMMYFUNCTION("""COMPUTED_VALUE"""),"")</f>
        <v/>
      </c>
      <c r="E1316" s="4" t="str">
        <f>IFERROR(__xludf.DUMMYFUNCTION("""COMPUTED_VALUE"""),"")</f>
        <v/>
      </c>
      <c r="F1316" s="4" t="str">
        <f>IFERROR(__xludf.DUMMYFUNCTION("""COMPUTED_VALUE"""),"")</f>
        <v/>
      </c>
      <c r="G1316" s="4" t="str">
        <f>IFERROR(__xludf.DUMMYFUNCTION("""COMPUTED_VALUE"""),"")</f>
        <v/>
      </c>
      <c r="H1316" s="4" t="str">
        <f>IFERROR(__xludf.DUMMYFUNCTION("""COMPUTED_VALUE"""),"")</f>
        <v/>
      </c>
      <c r="I1316" s="4" t="str">
        <f>IFERROR(__xludf.DUMMYFUNCTION("""COMPUTED_VALUE"""),"")</f>
        <v/>
      </c>
    </row>
    <row r="1317">
      <c r="A1317" s="4" t="str">
        <f>IFERROR(__xludf.DUMMYFUNCTION("""COMPUTED_VALUE"""),"")</f>
        <v/>
      </c>
      <c r="B1317" s="4" t="str">
        <f>IFERROR(__xludf.DUMMYFUNCTION("""COMPUTED_VALUE"""),"")</f>
        <v/>
      </c>
      <c r="C1317" s="4" t="str">
        <f>IFERROR(__xludf.DUMMYFUNCTION("""COMPUTED_VALUE"""),"")</f>
        <v/>
      </c>
      <c r="D1317" s="4" t="str">
        <f>IFERROR(__xludf.DUMMYFUNCTION("""COMPUTED_VALUE"""),"")</f>
        <v/>
      </c>
      <c r="E1317" s="4" t="str">
        <f>IFERROR(__xludf.DUMMYFUNCTION("""COMPUTED_VALUE"""),"")</f>
        <v/>
      </c>
      <c r="F1317" s="4" t="str">
        <f>IFERROR(__xludf.DUMMYFUNCTION("""COMPUTED_VALUE"""),"")</f>
        <v/>
      </c>
      <c r="G1317" s="4" t="str">
        <f>IFERROR(__xludf.DUMMYFUNCTION("""COMPUTED_VALUE"""),"")</f>
        <v/>
      </c>
      <c r="H1317" s="4" t="str">
        <f>IFERROR(__xludf.DUMMYFUNCTION("""COMPUTED_VALUE"""),"")</f>
        <v/>
      </c>
      <c r="I1317" s="4" t="str">
        <f>IFERROR(__xludf.DUMMYFUNCTION("""COMPUTED_VALUE"""),"")</f>
        <v/>
      </c>
    </row>
    <row r="1318">
      <c r="A1318" s="4" t="str">
        <f>IFERROR(__xludf.DUMMYFUNCTION("""COMPUTED_VALUE"""),"")</f>
        <v/>
      </c>
      <c r="B1318" s="4" t="str">
        <f>IFERROR(__xludf.DUMMYFUNCTION("""COMPUTED_VALUE"""),"")</f>
        <v/>
      </c>
      <c r="C1318" s="4" t="str">
        <f>IFERROR(__xludf.DUMMYFUNCTION("""COMPUTED_VALUE"""),"")</f>
        <v/>
      </c>
      <c r="D1318" s="4" t="str">
        <f>IFERROR(__xludf.DUMMYFUNCTION("""COMPUTED_VALUE"""),"")</f>
        <v/>
      </c>
      <c r="E1318" s="4" t="str">
        <f>IFERROR(__xludf.DUMMYFUNCTION("""COMPUTED_VALUE"""),"")</f>
        <v/>
      </c>
      <c r="F1318" s="4" t="str">
        <f>IFERROR(__xludf.DUMMYFUNCTION("""COMPUTED_VALUE"""),"")</f>
        <v/>
      </c>
      <c r="G1318" s="4" t="str">
        <f>IFERROR(__xludf.DUMMYFUNCTION("""COMPUTED_VALUE"""),"")</f>
        <v/>
      </c>
      <c r="H1318" s="4" t="str">
        <f>IFERROR(__xludf.DUMMYFUNCTION("""COMPUTED_VALUE"""),"")</f>
        <v/>
      </c>
      <c r="I1318" s="4" t="str">
        <f>IFERROR(__xludf.DUMMYFUNCTION("""COMPUTED_VALUE"""),"")</f>
        <v/>
      </c>
    </row>
    <row r="1319">
      <c r="A1319" s="4" t="str">
        <f>IFERROR(__xludf.DUMMYFUNCTION("""COMPUTED_VALUE"""),"")</f>
        <v/>
      </c>
      <c r="B1319" s="4" t="str">
        <f>IFERROR(__xludf.DUMMYFUNCTION("""COMPUTED_VALUE"""),"")</f>
        <v/>
      </c>
      <c r="C1319" s="4" t="str">
        <f>IFERROR(__xludf.DUMMYFUNCTION("""COMPUTED_VALUE"""),"")</f>
        <v/>
      </c>
      <c r="D1319" s="4" t="str">
        <f>IFERROR(__xludf.DUMMYFUNCTION("""COMPUTED_VALUE"""),"")</f>
        <v/>
      </c>
      <c r="E1319" s="4" t="str">
        <f>IFERROR(__xludf.DUMMYFUNCTION("""COMPUTED_VALUE"""),"")</f>
        <v/>
      </c>
      <c r="F1319" s="4" t="str">
        <f>IFERROR(__xludf.DUMMYFUNCTION("""COMPUTED_VALUE"""),"")</f>
        <v/>
      </c>
      <c r="G1319" s="4" t="str">
        <f>IFERROR(__xludf.DUMMYFUNCTION("""COMPUTED_VALUE"""),"")</f>
        <v/>
      </c>
      <c r="H1319" s="4" t="str">
        <f>IFERROR(__xludf.DUMMYFUNCTION("""COMPUTED_VALUE"""),"")</f>
        <v/>
      </c>
      <c r="I1319" s="4" t="str">
        <f>IFERROR(__xludf.DUMMYFUNCTION("""COMPUTED_VALUE"""),"")</f>
        <v/>
      </c>
    </row>
    <row r="1320">
      <c r="A1320" s="4" t="str">
        <f>IFERROR(__xludf.DUMMYFUNCTION("""COMPUTED_VALUE"""),"")</f>
        <v/>
      </c>
      <c r="B1320" s="4" t="str">
        <f>IFERROR(__xludf.DUMMYFUNCTION("""COMPUTED_VALUE"""),"")</f>
        <v/>
      </c>
      <c r="C1320" s="4" t="str">
        <f>IFERROR(__xludf.DUMMYFUNCTION("""COMPUTED_VALUE"""),"")</f>
        <v/>
      </c>
      <c r="D1320" s="4" t="str">
        <f>IFERROR(__xludf.DUMMYFUNCTION("""COMPUTED_VALUE"""),"")</f>
        <v/>
      </c>
      <c r="E1320" s="4" t="str">
        <f>IFERROR(__xludf.DUMMYFUNCTION("""COMPUTED_VALUE"""),"")</f>
        <v/>
      </c>
      <c r="F1320" s="4" t="str">
        <f>IFERROR(__xludf.DUMMYFUNCTION("""COMPUTED_VALUE"""),"")</f>
        <v/>
      </c>
      <c r="G1320" s="4" t="str">
        <f>IFERROR(__xludf.DUMMYFUNCTION("""COMPUTED_VALUE"""),"")</f>
        <v/>
      </c>
      <c r="H1320" s="4" t="str">
        <f>IFERROR(__xludf.DUMMYFUNCTION("""COMPUTED_VALUE"""),"")</f>
        <v/>
      </c>
      <c r="I1320" s="4" t="str">
        <f>IFERROR(__xludf.DUMMYFUNCTION("""COMPUTED_VALUE"""),"")</f>
        <v/>
      </c>
    </row>
    <row r="1321">
      <c r="A1321" s="4" t="str">
        <f>IFERROR(__xludf.DUMMYFUNCTION("""COMPUTED_VALUE"""),"")</f>
        <v/>
      </c>
      <c r="B1321" s="4" t="str">
        <f>IFERROR(__xludf.DUMMYFUNCTION("""COMPUTED_VALUE"""),"")</f>
        <v/>
      </c>
      <c r="C1321" s="4" t="str">
        <f>IFERROR(__xludf.DUMMYFUNCTION("""COMPUTED_VALUE"""),"")</f>
        <v/>
      </c>
      <c r="D1321" s="4" t="str">
        <f>IFERROR(__xludf.DUMMYFUNCTION("""COMPUTED_VALUE"""),"")</f>
        <v/>
      </c>
      <c r="E1321" s="4" t="str">
        <f>IFERROR(__xludf.DUMMYFUNCTION("""COMPUTED_VALUE"""),"")</f>
        <v/>
      </c>
      <c r="F1321" s="4" t="str">
        <f>IFERROR(__xludf.DUMMYFUNCTION("""COMPUTED_VALUE"""),"")</f>
        <v/>
      </c>
      <c r="G1321" s="4" t="str">
        <f>IFERROR(__xludf.DUMMYFUNCTION("""COMPUTED_VALUE"""),"")</f>
        <v/>
      </c>
      <c r="H1321" s="4" t="str">
        <f>IFERROR(__xludf.DUMMYFUNCTION("""COMPUTED_VALUE"""),"")</f>
        <v/>
      </c>
      <c r="I1321" s="4" t="str">
        <f>IFERROR(__xludf.DUMMYFUNCTION("""COMPUTED_VALUE"""),"")</f>
        <v/>
      </c>
    </row>
    <row r="1322">
      <c r="A1322" s="4" t="str">
        <f>IFERROR(__xludf.DUMMYFUNCTION("""COMPUTED_VALUE"""),"")</f>
        <v/>
      </c>
      <c r="B1322" s="4" t="str">
        <f>IFERROR(__xludf.DUMMYFUNCTION("""COMPUTED_VALUE"""),"")</f>
        <v/>
      </c>
      <c r="C1322" s="4" t="str">
        <f>IFERROR(__xludf.DUMMYFUNCTION("""COMPUTED_VALUE"""),"")</f>
        <v/>
      </c>
      <c r="D1322" s="4" t="str">
        <f>IFERROR(__xludf.DUMMYFUNCTION("""COMPUTED_VALUE"""),"")</f>
        <v/>
      </c>
      <c r="E1322" s="4" t="str">
        <f>IFERROR(__xludf.DUMMYFUNCTION("""COMPUTED_VALUE"""),"")</f>
        <v/>
      </c>
      <c r="F1322" s="4" t="str">
        <f>IFERROR(__xludf.DUMMYFUNCTION("""COMPUTED_VALUE"""),"")</f>
        <v/>
      </c>
      <c r="G1322" s="4" t="str">
        <f>IFERROR(__xludf.DUMMYFUNCTION("""COMPUTED_VALUE"""),"")</f>
        <v/>
      </c>
      <c r="H1322" s="4" t="str">
        <f>IFERROR(__xludf.DUMMYFUNCTION("""COMPUTED_VALUE"""),"")</f>
        <v/>
      </c>
      <c r="I1322" s="4" t="str">
        <f>IFERROR(__xludf.DUMMYFUNCTION("""COMPUTED_VALUE"""),"")</f>
        <v/>
      </c>
    </row>
    <row r="1323">
      <c r="A1323" s="4" t="str">
        <f>IFERROR(__xludf.DUMMYFUNCTION("""COMPUTED_VALUE"""),"")</f>
        <v/>
      </c>
      <c r="B1323" s="4" t="str">
        <f>IFERROR(__xludf.DUMMYFUNCTION("""COMPUTED_VALUE"""),"")</f>
        <v/>
      </c>
      <c r="C1323" s="4" t="str">
        <f>IFERROR(__xludf.DUMMYFUNCTION("""COMPUTED_VALUE"""),"")</f>
        <v/>
      </c>
      <c r="D1323" s="4" t="str">
        <f>IFERROR(__xludf.DUMMYFUNCTION("""COMPUTED_VALUE"""),"")</f>
        <v/>
      </c>
      <c r="E1323" s="4" t="str">
        <f>IFERROR(__xludf.DUMMYFUNCTION("""COMPUTED_VALUE"""),"")</f>
        <v/>
      </c>
      <c r="F1323" s="4" t="str">
        <f>IFERROR(__xludf.DUMMYFUNCTION("""COMPUTED_VALUE"""),"")</f>
        <v/>
      </c>
      <c r="G1323" s="4" t="str">
        <f>IFERROR(__xludf.DUMMYFUNCTION("""COMPUTED_VALUE"""),"")</f>
        <v/>
      </c>
      <c r="H1323" s="4" t="str">
        <f>IFERROR(__xludf.DUMMYFUNCTION("""COMPUTED_VALUE"""),"")</f>
        <v/>
      </c>
      <c r="I1323" s="4" t="str">
        <f>IFERROR(__xludf.DUMMYFUNCTION("""COMPUTED_VALUE"""),"")</f>
        <v/>
      </c>
    </row>
    <row r="1324">
      <c r="A1324" s="4" t="str">
        <f>IFERROR(__xludf.DUMMYFUNCTION("""COMPUTED_VALUE"""),"")</f>
        <v/>
      </c>
      <c r="B1324" s="4" t="str">
        <f>IFERROR(__xludf.DUMMYFUNCTION("""COMPUTED_VALUE"""),"")</f>
        <v/>
      </c>
      <c r="C1324" s="4" t="str">
        <f>IFERROR(__xludf.DUMMYFUNCTION("""COMPUTED_VALUE"""),"")</f>
        <v/>
      </c>
      <c r="D1324" s="4" t="str">
        <f>IFERROR(__xludf.DUMMYFUNCTION("""COMPUTED_VALUE"""),"")</f>
        <v/>
      </c>
      <c r="E1324" s="4" t="str">
        <f>IFERROR(__xludf.DUMMYFUNCTION("""COMPUTED_VALUE"""),"")</f>
        <v/>
      </c>
      <c r="F1324" s="4" t="str">
        <f>IFERROR(__xludf.DUMMYFUNCTION("""COMPUTED_VALUE"""),"")</f>
        <v/>
      </c>
      <c r="G1324" s="4" t="str">
        <f>IFERROR(__xludf.DUMMYFUNCTION("""COMPUTED_VALUE"""),"")</f>
        <v/>
      </c>
      <c r="H1324" s="4" t="str">
        <f>IFERROR(__xludf.DUMMYFUNCTION("""COMPUTED_VALUE"""),"")</f>
        <v/>
      </c>
      <c r="I1324" s="4" t="str">
        <f>IFERROR(__xludf.DUMMYFUNCTION("""COMPUTED_VALUE"""),"")</f>
        <v/>
      </c>
    </row>
    <row r="1325">
      <c r="A1325" s="4" t="str">
        <f>IFERROR(__xludf.DUMMYFUNCTION("""COMPUTED_VALUE"""),"")</f>
        <v/>
      </c>
      <c r="B1325" s="4" t="str">
        <f>IFERROR(__xludf.DUMMYFUNCTION("""COMPUTED_VALUE"""),"")</f>
        <v/>
      </c>
      <c r="C1325" s="4" t="str">
        <f>IFERROR(__xludf.DUMMYFUNCTION("""COMPUTED_VALUE"""),"")</f>
        <v/>
      </c>
      <c r="D1325" s="4" t="str">
        <f>IFERROR(__xludf.DUMMYFUNCTION("""COMPUTED_VALUE"""),"")</f>
        <v/>
      </c>
      <c r="E1325" s="4" t="str">
        <f>IFERROR(__xludf.DUMMYFUNCTION("""COMPUTED_VALUE"""),"")</f>
        <v/>
      </c>
      <c r="F1325" s="4" t="str">
        <f>IFERROR(__xludf.DUMMYFUNCTION("""COMPUTED_VALUE"""),"")</f>
        <v/>
      </c>
      <c r="G1325" s="4" t="str">
        <f>IFERROR(__xludf.DUMMYFUNCTION("""COMPUTED_VALUE"""),"")</f>
        <v/>
      </c>
      <c r="H1325" s="4" t="str">
        <f>IFERROR(__xludf.DUMMYFUNCTION("""COMPUTED_VALUE"""),"")</f>
        <v/>
      </c>
      <c r="I1325" s="4" t="str">
        <f>IFERROR(__xludf.DUMMYFUNCTION("""COMPUTED_VALUE"""),"")</f>
        <v/>
      </c>
    </row>
    <row r="1326">
      <c r="A1326" s="4" t="str">
        <f>IFERROR(__xludf.DUMMYFUNCTION("""COMPUTED_VALUE"""),"")</f>
        <v/>
      </c>
      <c r="B1326" s="4" t="str">
        <f>IFERROR(__xludf.DUMMYFUNCTION("""COMPUTED_VALUE"""),"")</f>
        <v/>
      </c>
      <c r="C1326" s="4" t="str">
        <f>IFERROR(__xludf.DUMMYFUNCTION("""COMPUTED_VALUE"""),"")</f>
        <v/>
      </c>
      <c r="D1326" s="4" t="str">
        <f>IFERROR(__xludf.DUMMYFUNCTION("""COMPUTED_VALUE"""),"")</f>
        <v/>
      </c>
      <c r="E1326" s="4" t="str">
        <f>IFERROR(__xludf.DUMMYFUNCTION("""COMPUTED_VALUE"""),"")</f>
        <v/>
      </c>
      <c r="F1326" s="4" t="str">
        <f>IFERROR(__xludf.DUMMYFUNCTION("""COMPUTED_VALUE"""),"")</f>
        <v/>
      </c>
      <c r="G1326" s="4" t="str">
        <f>IFERROR(__xludf.DUMMYFUNCTION("""COMPUTED_VALUE"""),"")</f>
        <v/>
      </c>
      <c r="H1326" s="4" t="str">
        <f>IFERROR(__xludf.DUMMYFUNCTION("""COMPUTED_VALUE"""),"")</f>
        <v/>
      </c>
      <c r="I1326" s="4" t="str">
        <f>IFERROR(__xludf.DUMMYFUNCTION("""COMPUTED_VALUE"""),"")</f>
        <v/>
      </c>
    </row>
    <row r="1327">
      <c r="A1327" s="4" t="str">
        <f>IFERROR(__xludf.DUMMYFUNCTION("""COMPUTED_VALUE"""),"")</f>
        <v/>
      </c>
      <c r="B1327" s="4" t="str">
        <f>IFERROR(__xludf.DUMMYFUNCTION("""COMPUTED_VALUE"""),"")</f>
        <v/>
      </c>
      <c r="C1327" s="4" t="str">
        <f>IFERROR(__xludf.DUMMYFUNCTION("""COMPUTED_VALUE"""),"")</f>
        <v/>
      </c>
      <c r="D1327" s="4" t="str">
        <f>IFERROR(__xludf.DUMMYFUNCTION("""COMPUTED_VALUE"""),"")</f>
        <v/>
      </c>
      <c r="E1327" s="4" t="str">
        <f>IFERROR(__xludf.DUMMYFUNCTION("""COMPUTED_VALUE"""),"")</f>
        <v/>
      </c>
      <c r="F1327" s="4" t="str">
        <f>IFERROR(__xludf.DUMMYFUNCTION("""COMPUTED_VALUE"""),"")</f>
        <v/>
      </c>
      <c r="G1327" s="4" t="str">
        <f>IFERROR(__xludf.DUMMYFUNCTION("""COMPUTED_VALUE"""),"")</f>
        <v/>
      </c>
      <c r="H1327" s="4" t="str">
        <f>IFERROR(__xludf.DUMMYFUNCTION("""COMPUTED_VALUE"""),"")</f>
        <v/>
      </c>
      <c r="I1327" s="4" t="str">
        <f>IFERROR(__xludf.DUMMYFUNCTION("""COMPUTED_VALUE"""),"")</f>
        <v/>
      </c>
    </row>
    <row r="1328">
      <c r="A1328" s="4" t="str">
        <f>IFERROR(__xludf.DUMMYFUNCTION("""COMPUTED_VALUE"""),"")</f>
        <v/>
      </c>
      <c r="B1328" s="4" t="str">
        <f>IFERROR(__xludf.DUMMYFUNCTION("""COMPUTED_VALUE"""),"")</f>
        <v/>
      </c>
      <c r="C1328" s="4" t="str">
        <f>IFERROR(__xludf.DUMMYFUNCTION("""COMPUTED_VALUE"""),"")</f>
        <v/>
      </c>
      <c r="D1328" s="4" t="str">
        <f>IFERROR(__xludf.DUMMYFUNCTION("""COMPUTED_VALUE"""),"")</f>
        <v/>
      </c>
      <c r="E1328" s="4" t="str">
        <f>IFERROR(__xludf.DUMMYFUNCTION("""COMPUTED_VALUE"""),"")</f>
        <v/>
      </c>
      <c r="F1328" s="4" t="str">
        <f>IFERROR(__xludf.DUMMYFUNCTION("""COMPUTED_VALUE"""),"")</f>
        <v/>
      </c>
      <c r="G1328" s="4" t="str">
        <f>IFERROR(__xludf.DUMMYFUNCTION("""COMPUTED_VALUE"""),"")</f>
        <v/>
      </c>
      <c r="H1328" s="4" t="str">
        <f>IFERROR(__xludf.DUMMYFUNCTION("""COMPUTED_VALUE"""),"")</f>
        <v/>
      </c>
      <c r="I1328" s="4" t="str">
        <f>IFERROR(__xludf.DUMMYFUNCTION("""COMPUTED_VALUE"""),"")</f>
        <v/>
      </c>
    </row>
    <row r="1329">
      <c r="A1329" s="4" t="str">
        <f>IFERROR(__xludf.DUMMYFUNCTION("""COMPUTED_VALUE"""),"")</f>
        <v/>
      </c>
      <c r="B1329" s="4" t="str">
        <f>IFERROR(__xludf.DUMMYFUNCTION("""COMPUTED_VALUE"""),"")</f>
        <v/>
      </c>
      <c r="C1329" s="4" t="str">
        <f>IFERROR(__xludf.DUMMYFUNCTION("""COMPUTED_VALUE"""),"")</f>
        <v/>
      </c>
      <c r="D1329" s="4" t="str">
        <f>IFERROR(__xludf.DUMMYFUNCTION("""COMPUTED_VALUE"""),"")</f>
        <v/>
      </c>
      <c r="E1329" s="4" t="str">
        <f>IFERROR(__xludf.DUMMYFUNCTION("""COMPUTED_VALUE"""),"")</f>
        <v/>
      </c>
      <c r="F1329" s="4" t="str">
        <f>IFERROR(__xludf.DUMMYFUNCTION("""COMPUTED_VALUE"""),"")</f>
        <v/>
      </c>
      <c r="G1329" s="4" t="str">
        <f>IFERROR(__xludf.DUMMYFUNCTION("""COMPUTED_VALUE"""),"")</f>
        <v/>
      </c>
      <c r="H1329" s="4" t="str">
        <f>IFERROR(__xludf.DUMMYFUNCTION("""COMPUTED_VALUE"""),"")</f>
        <v/>
      </c>
      <c r="I1329" s="4" t="str">
        <f>IFERROR(__xludf.DUMMYFUNCTION("""COMPUTED_VALUE"""),"")</f>
        <v/>
      </c>
    </row>
    <row r="1330">
      <c r="A1330" s="4" t="str">
        <f>IFERROR(__xludf.DUMMYFUNCTION("""COMPUTED_VALUE"""),"")</f>
        <v/>
      </c>
      <c r="B1330" s="4" t="str">
        <f>IFERROR(__xludf.DUMMYFUNCTION("""COMPUTED_VALUE"""),"")</f>
        <v/>
      </c>
      <c r="C1330" s="4" t="str">
        <f>IFERROR(__xludf.DUMMYFUNCTION("""COMPUTED_VALUE"""),"")</f>
        <v/>
      </c>
      <c r="D1330" s="4" t="str">
        <f>IFERROR(__xludf.DUMMYFUNCTION("""COMPUTED_VALUE"""),"")</f>
        <v/>
      </c>
      <c r="E1330" s="4" t="str">
        <f>IFERROR(__xludf.DUMMYFUNCTION("""COMPUTED_VALUE"""),"")</f>
        <v/>
      </c>
      <c r="F1330" s="4" t="str">
        <f>IFERROR(__xludf.DUMMYFUNCTION("""COMPUTED_VALUE"""),"")</f>
        <v/>
      </c>
      <c r="G1330" s="4" t="str">
        <f>IFERROR(__xludf.DUMMYFUNCTION("""COMPUTED_VALUE"""),"")</f>
        <v/>
      </c>
      <c r="H1330" s="4" t="str">
        <f>IFERROR(__xludf.DUMMYFUNCTION("""COMPUTED_VALUE"""),"")</f>
        <v/>
      </c>
      <c r="I1330" s="4" t="str">
        <f>IFERROR(__xludf.DUMMYFUNCTION("""COMPUTED_VALUE"""),"")</f>
        <v/>
      </c>
    </row>
    <row r="1331">
      <c r="A1331" s="4" t="str">
        <f>IFERROR(__xludf.DUMMYFUNCTION("""COMPUTED_VALUE"""),"")</f>
        <v/>
      </c>
      <c r="B1331" s="4" t="str">
        <f>IFERROR(__xludf.DUMMYFUNCTION("""COMPUTED_VALUE"""),"")</f>
        <v/>
      </c>
      <c r="C1331" s="4" t="str">
        <f>IFERROR(__xludf.DUMMYFUNCTION("""COMPUTED_VALUE"""),"")</f>
        <v/>
      </c>
      <c r="D1331" s="4" t="str">
        <f>IFERROR(__xludf.DUMMYFUNCTION("""COMPUTED_VALUE"""),"")</f>
        <v/>
      </c>
      <c r="E1331" s="4" t="str">
        <f>IFERROR(__xludf.DUMMYFUNCTION("""COMPUTED_VALUE"""),"")</f>
        <v/>
      </c>
      <c r="F1331" s="4" t="str">
        <f>IFERROR(__xludf.DUMMYFUNCTION("""COMPUTED_VALUE"""),"")</f>
        <v/>
      </c>
      <c r="G1331" s="4" t="str">
        <f>IFERROR(__xludf.DUMMYFUNCTION("""COMPUTED_VALUE"""),"")</f>
        <v/>
      </c>
      <c r="H1331" s="4" t="str">
        <f>IFERROR(__xludf.DUMMYFUNCTION("""COMPUTED_VALUE"""),"")</f>
        <v/>
      </c>
      <c r="I1331" s="4" t="str">
        <f>IFERROR(__xludf.DUMMYFUNCTION("""COMPUTED_VALUE"""),"")</f>
        <v/>
      </c>
    </row>
    <row r="1332">
      <c r="A1332" s="4" t="str">
        <f>IFERROR(__xludf.DUMMYFUNCTION("""COMPUTED_VALUE"""),"")</f>
        <v/>
      </c>
      <c r="B1332" s="4" t="str">
        <f>IFERROR(__xludf.DUMMYFUNCTION("""COMPUTED_VALUE"""),"")</f>
        <v/>
      </c>
      <c r="C1332" s="4" t="str">
        <f>IFERROR(__xludf.DUMMYFUNCTION("""COMPUTED_VALUE"""),"")</f>
        <v/>
      </c>
      <c r="D1332" s="4" t="str">
        <f>IFERROR(__xludf.DUMMYFUNCTION("""COMPUTED_VALUE"""),"")</f>
        <v/>
      </c>
      <c r="E1332" s="4" t="str">
        <f>IFERROR(__xludf.DUMMYFUNCTION("""COMPUTED_VALUE"""),"")</f>
        <v/>
      </c>
      <c r="F1332" s="4" t="str">
        <f>IFERROR(__xludf.DUMMYFUNCTION("""COMPUTED_VALUE"""),"")</f>
        <v/>
      </c>
      <c r="G1332" s="4" t="str">
        <f>IFERROR(__xludf.DUMMYFUNCTION("""COMPUTED_VALUE"""),"")</f>
        <v/>
      </c>
      <c r="H1332" s="4" t="str">
        <f>IFERROR(__xludf.DUMMYFUNCTION("""COMPUTED_VALUE"""),"")</f>
        <v/>
      </c>
      <c r="I1332" s="4" t="str">
        <f>IFERROR(__xludf.DUMMYFUNCTION("""COMPUTED_VALUE"""),"")</f>
        <v/>
      </c>
    </row>
    <row r="1333">
      <c r="A1333" s="4" t="str">
        <f>IFERROR(__xludf.DUMMYFUNCTION("""COMPUTED_VALUE"""),"")</f>
        <v/>
      </c>
      <c r="B1333" s="4" t="str">
        <f>IFERROR(__xludf.DUMMYFUNCTION("""COMPUTED_VALUE"""),"")</f>
        <v/>
      </c>
      <c r="C1333" s="4" t="str">
        <f>IFERROR(__xludf.DUMMYFUNCTION("""COMPUTED_VALUE"""),"")</f>
        <v/>
      </c>
      <c r="D1333" s="4" t="str">
        <f>IFERROR(__xludf.DUMMYFUNCTION("""COMPUTED_VALUE"""),"")</f>
        <v/>
      </c>
      <c r="E1333" s="4" t="str">
        <f>IFERROR(__xludf.DUMMYFUNCTION("""COMPUTED_VALUE"""),"")</f>
        <v/>
      </c>
      <c r="F1333" s="4" t="str">
        <f>IFERROR(__xludf.DUMMYFUNCTION("""COMPUTED_VALUE"""),"")</f>
        <v/>
      </c>
      <c r="G1333" s="4" t="str">
        <f>IFERROR(__xludf.DUMMYFUNCTION("""COMPUTED_VALUE"""),"")</f>
        <v/>
      </c>
      <c r="H1333" s="4" t="str">
        <f>IFERROR(__xludf.DUMMYFUNCTION("""COMPUTED_VALUE"""),"")</f>
        <v/>
      </c>
      <c r="I1333" s="4" t="str">
        <f>IFERROR(__xludf.DUMMYFUNCTION("""COMPUTED_VALUE"""),"")</f>
        <v/>
      </c>
    </row>
    <row r="1334">
      <c r="A1334" s="4" t="str">
        <f>IFERROR(__xludf.DUMMYFUNCTION("""COMPUTED_VALUE"""),"")</f>
        <v/>
      </c>
      <c r="B1334" s="4" t="str">
        <f>IFERROR(__xludf.DUMMYFUNCTION("""COMPUTED_VALUE"""),"")</f>
        <v/>
      </c>
      <c r="C1334" s="4" t="str">
        <f>IFERROR(__xludf.DUMMYFUNCTION("""COMPUTED_VALUE"""),"")</f>
        <v/>
      </c>
      <c r="D1334" s="4" t="str">
        <f>IFERROR(__xludf.DUMMYFUNCTION("""COMPUTED_VALUE"""),"")</f>
        <v/>
      </c>
      <c r="E1334" s="4" t="str">
        <f>IFERROR(__xludf.DUMMYFUNCTION("""COMPUTED_VALUE"""),"")</f>
        <v/>
      </c>
      <c r="F1334" s="4" t="str">
        <f>IFERROR(__xludf.DUMMYFUNCTION("""COMPUTED_VALUE"""),"")</f>
        <v/>
      </c>
      <c r="G1334" s="4" t="str">
        <f>IFERROR(__xludf.DUMMYFUNCTION("""COMPUTED_VALUE"""),"")</f>
        <v/>
      </c>
      <c r="H1334" s="4" t="str">
        <f>IFERROR(__xludf.DUMMYFUNCTION("""COMPUTED_VALUE"""),"")</f>
        <v/>
      </c>
      <c r="I1334" s="4" t="str">
        <f>IFERROR(__xludf.DUMMYFUNCTION("""COMPUTED_VALUE"""),"")</f>
        <v/>
      </c>
    </row>
    <row r="1335">
      <c r="A1335" s="4" t="str">
        <f>IFERROR(__xludf.DUMMYFUNCTION("""COMPUTED_VALUE"""),"")</f>
        <v/>
      </c>
      <c r="B1335" s="4" t="str">
        <f>IFERROR(__xludf.DUMMYFUNCTION("""COMPUTED_VALUE"""),"")</f>
        <v/>
      </c>
      <c r="C1335" s="4" t="str">
        <f>IFERROR(__xludf.DUMMYFUNCTION("""COMPUTED_VALUE"""),"")</f>
        <v/>
      </c>
      <c r="D1335" s="4" t="str">
        <f>IFERROR(__xludf.DUMMYFUNCTION("""COMPUTED_VALUE"""),"")</f>
        <v/>
      </c>
      <c r="E1335" s="4" t="str">
        <f>IFERROR(__xludf.DUMMYFUNCTION("""COMPUTED_VALUE"""),"")</f>
        <v/>
      </c>
      <c r="F1335" s="4" t="str">
        <f>IFERROR(__xludf.DUMMYFUNCTION("""COMPUTED_VALUE"""),"")</f>
        <v/>
      </c>
      <c r="G1335" s="4" t="str">
        <f>IFERROR(__xludf.DUMMYFUNCTION("""COMPUTED_VALUE"""),"")</f>
        <v/>
      </c>
      <c r="H1335" s="4" t="str">
        <f>IFERROR(__xludf.DUMMYFUNCTION("""COMPUTED_VALUE"""),"")</f>
        <v/>
      </c>
      <c r="I1335" s="4" t="str">
        <f>IFERROR(__xludf.DUMMYFUNCTION("""COMPUTED_VALUE"""),"")</f>
        <v/>
      </c>
    </row>
    <row r="1336">
      <c r="A1336" s="4" t="str">
        <f>IFERROR(__xludf.DUMMYFUNCTION("""COMPUTED_VALUE"""),"")</f>
        <v/>
      </c>
      <c r="B1336" s="4" t="str">
        <f>IFERROR(__xludf.DUMMYFUNCTION("""COMPUTED_VALUE"""),"")</f>
        <v/>
      </c>
      <c r="C1336" s="4" t="str">
        <f>IFERROR(__xludf.DUMMYFUNCTION("""COMPUTED_VALUE"""),"")</f>
        <v/>
      </c>
      <c r="D1336" s="4" t="str">
        <f>IFERROR(__xludf.DUMMYFUNCTION("""COMPUTED_VALUE"""),"")</f>
        <v/>
      </c>
      <c r="E1336" s="4" t="str">
        <f>IFERROR(__xludf.DUMMYFUNCTION("""COMPUTED_VALUE"""),"")</f>
        <v/>
      </c>
      <c r="F1336" s="4" t="str">
        <f>IFERROR(__xludf.DUMMYFUNCTION("""COMPUTED_VALUE"""),"")</f>
        <v/>
      </c>
      <c r="G1336" s="4" t="str">
        <f>IFERROR(__xludf.DUMMYFUNCTION("""COMPUTED_VALUE"""),"")</f>
        <v/>
      </c>
      <c r="H1336" s="4" t="str">
        <f>IFERROR(__xludf.DUMMYFUNCTION("""COMPUTED_VALUE"""),"")</f>
        <v/>
      </c>
      <c r="I1336" s="4" t="str">
        <f>IFERROR(__xludf.DUMMYFUNCTION("""COMPUTED_VALUE"""),"")</f>
        <v/>
      </c>
    </row>
    <row r="1337">
      <c r="A1337" s="4" t="str">
        <f>IFERROR(__xludf.DUMMYFUNCTION("""COMPUTED_VALUE"""),"")</f>
        <v/>
      </c>
      <c r="B1337" s="4" t="str">
        <f>IFERROR(__xludf.DUMMYFUNCTION("""COMPUTED_VALUE"""),"")</f>
        <v/>
      </c>
      <c r="C1337" s="4" t="str">
        <f>IFERROR(__xludf.DUMMYFUNCTION("""COMPUTED_VALUE"""),"")</f>
        <v/>
      </c>
      <c r="D1337" s="4" t="str">
        <f>IFERROR(__xludf.DUMMYFUNCTION("""COMPUTED_VALUE"""),"")</f>
        <v/>
      </c>
      <c r="E1337" s="4" t="str">
        <f>IFERROR(__xludf.DUMMYFUNCTION("""COMPUTED_VALUE"""),"")</f>
        <v/>
      </c>
      <c r="F1337" s="4" t="str">
        <f>IFERROR(__xludf.DUMMYFUNCTION("""COMPUTED_VALUE"""),"")</f>
        <v/>
      </c>
      <c r="G1337" s="4" t="str">
        <f>IFERROR(__xludf.DUMMYFUNCTION("""COMPUTED_VALUE"""),"")</f>
        <v/>
      </c>
      <c r="H1337" s="4" t="str">
        <f>IFERROR(__xludf.DUMMYFUNCTION("""COMPUTED_VALUE"""),"")</f>
        <v/>
      </c>
      <c r="I1337" s="4" t="str">
        <f>IFERROR(__xludf.DUMMYFUNCTION("""COMPUTED_VALUE"""),"")</f>
        <v/>
      </c>
    </row>
    <row r="1338">
      <c r="A1338" s="4" t="str">
        <f>IFERROR(__xludf.DUMMYFUNCTION("""COMPUTED_VALUE"""),"")</f>
        <v/>
      </c>
      <c r="B1338" s="4" t="str">
        <f>IFERROR(__xludf.DUMMYFUNCTION("""COMPUTED_VALUE"""),"")</f>
        <v/>
      </c>
      <c r="C1338" s="4" t="str">
        <f>IFERROR(__xludf.DUMMYFUNCTION("""COMPUTED_VALUE"""),"")</f>
        <v/>
      </c>
      <c r="D1338" s="4" t="str">
        <f>IFERROR(__xludf.DUMMYFUNCTION("""COMPUTED_VALUE"""),"")</f>
        <v/>
      </c>
      <c r="E1338" s="4" t="str">
        <f>IFERROR(__xludf.DUMMYFUNCTION("""COMPUTED_VALUE"""),"")</f>
        <v/>
      </c>
      <c r="F1338" s="4" t="str">
        <f>IFERROR(__xludf.DUMMYFUNCTION("""COMPUTED_VALUE"""),"")</f>
        <v/>
      </c>
      <c r="G1338" s="4" t="str">
        <f>IFERROR(__xludf.DUMMYFUNCTION("""COMPUTED_VALUE"""),"")</f>
        <v/>
      </c>
      <c r="H1338" s="4" t="str">
        <f>IFERROR(__xludf.DUMMYFUNCTION("""COMPUTED_VALUE"""),"")</f>
        <v/>
      </c>
      <c r="I1338" s="4" t="str">
        <f>IFERROR(__xludf.DUMMYFUNCTION("""COMPUTED_VALUE"""),"")</f>
        <v/>
      </c>
    </row>
    <row r="1339">
      <c r="A1339" s="4" t="str">
        <f>IFERROR(__xludf.DUMMYFUNCTION("""COMPUTED_VALUE"""),"")</f>
        <v/>
      </c>
      <c r="B1339" s="4" t="str">
        <f>IFERROR(__xludf.DUMMYFUNCTION("""COMPUTED_VALUE"""),"")</f>
        <v/>
      </c>
      <c r="C1339" s="4" t="str">
        <f>IFERROR(__xludf.DUMMYFUNCTION("""COMPUTED_VALUE"""),"")</f>
        <v/>
      </c>
      <c r="D1339" s="4" t="str">
        <f>IFERROR(__xludf.DUMMYFUNCTION("""COMPUTED_VALUE"""),"")</f>
        <v/>
      </c>
      <c r="E1339" s="4" t="str">
        <f>IFERROR(__xludf.DUMMYFUNCTION("""COMPUTED_VALUE"""),"")</f>
        <v/>
      </c>
      <c r="F1339" s="4" t="str">
        <f>IFERROR(__xludf.DUMMYFUNCTION("""COMPUTED_VALUE"""),"")</f>
        <v/>
      </c>
      <c r="G1339" s="4" t="str">
        <f>IFERROR(__xludf.DUMMYFUNCTION("""COMPUTED_VALUE"""),"")</f>
        <v/>
      </c>
      <c r="H1339" s="4" t="str">
        <f>IFERROR(__xludf.DUMMYFUNCTION("""COMPUTED_VALUE"""),"")</f>
        <v/>
      </c>
      <c r="I1339" s="4" t="str">
        <f>IFERROR(__xludf.DUMMYFUNCTION("""COMPUTED_VALUE"""),"")</f>
        <v/>
      </c>
    </row>
    <row r="1340">
      <c r="A1340" s="4" t="str">
        <f>IFERROR(__xludf.DUMMYFUNCTION("""COMPUTED_VALUE"""),"")</f>
        <v/>
      </c>
      <c r="B1340" s="4" t="str">
        <f>IFERROR(__xludf.DUMMYFUNCTION("""COMPUTED_VALUE"""),"")</f>
        <v/>
      </c>
      <c r="C1340" s="4" t="str">
        <f>IFERROR(__xludf.DUMMYFUNCTION("""COMPUTED_VALUE"""),"")</f>
        <v/>
      </c>
      <c r="D1340" s="4" t="str">
        <f>IFERROR(__xludf.DUMMYFUNCTION("""COMPUTED_VALUE"""),"")</f>
        <v/>
      </c>
      <c r="E1340" s="4" t="str">
        <f>IFERROR(__xludf.DUMMYFUNCTION("""COMPUTED_VALUE"""),"")</f>
        <v/>
      </c>
      <c r="F1340" s="4" t="str">
        <f>IFERROR(__xludf.DUMMYFUNCTION("""COMPUTED_VALUE"""),"")</f>
        <v/>
      </c>
      <c r="G1340" s="4" t="str">
        <f>IFERROR(__xludf.DUMMYFUNCTION("""COMPUTED_VALUE"""),"")</f>
        <v/>
      </c>
      <c r="H1340" s="4" t="str">
        <f>IFERROR(__xludf.DUMMYFUNCTION("""COMPUTED_VALUE"""),"")</f>
        <v/>
      </c>
      <c r="I1340" s="4" t="str">
        <f>IFERROR(__xludf.DUMMYFUNCTION("""COMPUTED_VALUE"""),"")</f>
        <v/>
      </c>
    </row>
    <row r="1341">
      <c r="A1341" s="4" t="str">
        <f>IFERROR(__xludf.DUMMYFUNCTION("""COMPUTED_VALUE"""),"")</f>
        <v/>
      </c>
      <c r="B1341" s="4" t="str">
        <f>IFERROR(__xludf.DUMMYFUNCTION("""COMPUTED_VALUE"""),"")</f>
        <v/>
      </c>
      <c r="C1341" s="4" t="str">
        <f>IFERROR(__xludf.DUMMYFUNCTION("""COMPUTED_VALUE"""),"")</f>
        <v/>
      </c>
      <c r="D1341" s="4" t="str">
        <f>IFERROR(__xludf.DUMMYFUNCTION("""COMPUTED_VALUE"""),"")</f>
        <v/>
      </c>
      <c r="E1341" s="4" t="str">
        <f>IFERROR(__xludf.DUMMYFUNCTION("""COMPUTED_VALUE"""),"")</f>
        <v/>
      </c>
      <c r="F1341" s="4" t="str">
        <f>IFERROR(__xludf.DUMMYFUNCTION("""COMPUTED_VALUE"""),"")</f>
        <v/>
      </c>
      <c r="G1341" s="4" t="str">
        <f>IFERROR(__xludf.DUMMYFUNCTION("""COMPUTED_VALUE"""),"")</f>
        <v/>
      </c>
      <c r="H1341" s="4" t="str">
        <f>IFERROR(__xludf.DUMMYFUNCTION("""COMPUTED_VALUE"""),"")</f>
        <v/>
      </c>
      <c r="I1341" s="4" t="str">
        <f>IFERROR(__xludf.DUMMYFUNCTION("""COMPUTED_VALUE"""),"")</f>
        <v/>
      </c>
    </row>
    <row r="1342">
      <c r="A1342" s="4" t="str">
        <f>IFERROR(__xludf.DUMMYFUNCTION("""COMPUTED_VALUE"""),"")</f>
        <v/>
      </c>
      <c r="B1342" s="4" t="str">
        <f>IFERROR(__xludf.DUMMYFUNCTION("""COMPUTED_VALUE"""),"")</f>
        <v/>
      </c>
      <c r="C1342" s="4" t="str">
        <f>IFERROR(__xludf.DUMMYFUNCTION("""COMPUTED_VALUE"""),"")</f>
        <v/>
      </c>
      <c r="D1342" s="4" t="str">
        <f>IFERROR(__xludf.DUMMYFUNCTION("""COMPUTED_VALUE"""),"")</f>
        <v/>
      </c>
      <c r="E1342" s="4" t="str">
        <f>IFERROR(__xludf.DUMMYFUNCTION("""COMPUTED_VALUE"""),"")</f>
        <v/>
      </c>
      <c r="F1342" s="4" t="str">
        <f>IFERROR(__xludf.DUMMYFUNCTION("""COMPUTED_VALUE"""),"")</f>
        <v/>
      </c>
      <c r="G1342" s="4" t="str">
        <f>IFERROR(__xludf.DUMMYFUNCTION("""COMPUTED_VALUE"""),"")</f>
        <v/>
      </c>
      <c r="H1342" s="4" t="str">
        <f>IFERROR(__xludf.DUMMYFUNCTION("""COMPUTED_VALUE"""),"")</f>
        <v/>
      </c>
      <c r="I1342" s="4" t="str">
        <f>IFERROR(__xludf.DUMMYFUNCTION("""COMPUTED_VALUE"""),"")</f>
        <v/>
      </c>
    </row>
    <row r="1343">
      <c r="A1343" s="4" t="str">
        <f>IFERROR(__xludf.DUMMYFUNCTION("""COMPUTED_VALUE"""),"")</f>
        <v/>
      </c>
      <c r="B1343" s="4" t="str">
        <f>IFERROR(__xludf.DUMMYFUNCTION("""COMPUTED_VALUE"""),"")</f>
        <v/>
      </c>
      <c r="C1343" s="4" t="str">
        <f>IFERROR(__xludf.DUMMYFUNCTION("""COMPUTED_VALUE"""),"")</f>
        <v/>
      </c>
      <c r="D1343" s="4" t="str">
        <f>IFERROR(__xludf.DUMMYFUNCTION("""COMPUTED_VALUE"""),"")</f>
        <v/>
      </c>
      <c r="E1343" s="4" t="str">
        <f>IFERROR(__xludf.DUMMYFUNCTION("""COMPUTED_VALUE"""),"")</f>
        <v/>
      </c>
      <c r="F1343" s="4" t="str">
        <f>IFERROR(__xludf.DUMMYFUNCTION("""COMPUTED_VALUE"""),"")</f>
        <v/>
      </c>
      <c r="G1343" s="4" t="str">
        <f>IFERROR(__xludf.DUMMYFUNCTION("""COMPUTED_VALUE"""),"")</f>
        <v/>
      </c>
      <c r="H1343" s="4" t="str">
        <f>IFERROR(__xludf.DUMMYFUNCTION("""COMPUTED_VALUE"""),"")</f>
        <v/>
      </c>
      <c r="I1343" s="4" t="str">
        <f>IFERROR(__xludf.DUMMYFUNCTION("""COMPUTED_VALUE"""),"")</f>
        <v/>
      </c>
    </row>
    <row r="1344">
      <c r="A1344" s="4" t="str">
        <f>IFERROR(__xludf.DUMMYFUNCTION("""COMPUTED_VALUE"""),"")</f>
        <v/>
      </c>
      <c r="B1344" s="4" t="str">
        <f>IFERROR(__xludf.DUMMYFUNCTION("""COMPUTED_VALUE"""),"")</f>
        <v/>
      </c>
      <c r="C1344" s="4" t="str">
        <f>IFERROR(__xludf.DUMMYFUNCTION("""COMPUTED_VALUE"""),"")</f>
        <v/>
      </c>
      <c r="D1344" s="4" t="str">
        <f>IFERROR(__xludf.DUMMYFUNCTION("""COMPUTED_VALUE"""),"")</f>
        <v/>
      </c>
      <c r="E1344" s="4" t="str">
        <f>IFERROR(__xludf.DUMMYFUNCTION("""COMPUTED_VALUE"""),"")</f>
        <v/>
      </c>
      <c r="F1344" s="4" t="str">
        <f>IFERROR(__xludf.DUMMYFUNCTION("""COMPUTED_VALUE"""),"")</f>
        <v/>
      </c>
      <c r="G1344" s="4" t="str">
        <f>IFERROR(__xludf.DUMMYFUNCTION("""COMPUTED_VALUE"""),"")</f>
        <v/>
      </c>
      <c r="H1344" s="4" t="str">
        <f>IFERROR(__xludf.DUMMYFUNCTION("""COMPUTED_VALUE"""),"")</f>
        <v/>
      </c>
      <c r="I1344" s="4" t="str">
        <f>IFERROR(__xludf.DUMMYFUNCTION("""COMPUTED_VALUE"""),"")</f>
        <v/>
      </c>
    </row>
    <row r="1345">
      <c r="A1345" s="4" t="str">
        <f>IFERROR(__xludf.DUMMYFUNCTION("""COMPUTED_VALUE"""),"")</f>
        <v/>
      </c>
      <c r="B1345" s="4" t="str">
        <f>IFERROR(__xludf.DUMMYFUNCTION("""COMPUTED_VALUE"""),"")</f>
        <v/>
      </c>
      <c r="C1345" s="4" t="str">
        <f>IFERROR(__xludf.DUMMYFUNCTION("""COMPUTED_VALUE"""),"")</f>
        <v/>
      </c>
      <c r="D1345" s="4" t="str">
        <f>IFERROR(__xludf.DUMMYFUNCTION("""COMPUTED_VALUE"""),"")</f>
        <v/>
      </c>
      <c r="E1345" s="4" t="str">
        <f>IFERROR(__xludf.DUMMYFUNCTION("""COMPUTED_VALUE"""),"")</f>
        <v/>
      </c>
      <c r="F1345" s="4" t="str">
        <f>IFERROR(__xludf.DUMMYFUNCTION("""COMPUTED_VALUE"""),"")</f>
        <v/>
      </c>
      <c r="G1345" s="4" t="str">
        <f>IFERROR(__xludf.DUMMYFUNCTION("""COMPUTED_VALUE"""),"")</f>
        <v/>
      </c>
      <c r="H1345" s="4" t="str">
        <f>IFERROR(__xludf.DUMMYFUNCTION("""COMPUTED_VALUE"""),"")</f>
        <v/>
      </c>
      <c r="I1345" s="4" t="str">
        <f>IFERROR(__xludf.DUMMYFUNCTION("""COMPUTED_VALUE"""),"")</f>
        <v/>
      </c>
    </row>
    <row r="1346">
      <c r="A1346" s="4" t="str">
        <f>IFERROR(__xludf.DUMMYFUNCTION("""COMPUTED_VALUE"""),"")</f>
        <v/>
      </c>
      <c r="B1346" s="4" t="str">
        <f>IFERROR(__xludf.DUMMYFUNCTION("""COMPUTED_VALUE"""),"")</f>
        <v/>
      </c>
      <c r="C1346" s="4" t="str">
        <f>IFERROR(__xludf.DUMMYFUNCTION("""COMPUTED_VALUE"""),"")</f>
        <v/>
      </c>
      <c r="D1346" s="4" t="str">
        <f>IFERROR(__xludf.DUMMYFUNCTION("""COMPUTED_VALUE"""),"")</f>
        <v/>
      </c>
      <c r="E1346" s="4" t="str">
        <f>IFERROR(__xludf.DUMMYFUNCTION("""COMPUTED_VALUE"""),"")</f>
        <v/>
      </c>
      <c r="F1346" s="4" t="str">
        <f>IFERROR(__xludf.DUMMYFUNCTION("""COMPUTED_VALUE"""),"")</f>
        <v/>
      </c>
      <c r="G1346" s="4" t="str">
        <f>IFERROR(__xludf.DUMMYFUNCTION("""COMPUTED_VALUE"""),"")</f>
        <v/>
      </c>
      <c r="H1346" s="4" t="str">
        <f>IFERROR(__xludf.DUMMYFUNCTION("""COMPUTED_VALUE"""),"")</f>
        <v/>
      </c>
      <c r="I1346" s="4" t="str">
        <f>IFERROR(__xludf.DUMMYFUNCTION("""COMPUTED_VALUE"""),"")</f>
        <v/>
      </c>
    </row>
    <row r="1347">
      <c r="A1347" s="4" t="str">
        <f>IFERROR(__xludf.DUMMYFUNCTION("""COMPUTED_VALUE"""),"")</f>
        <v/>
      </c>
      <c r="B1347" s="4" t="str">
        <f>IFERROR(__xludf.DUMMYFUNCTION("""COMPUTED_VALUE"""),"")</f>
        <v/>
      </c>
      <c r="C1347" s="4" t="str">
        <f>IFERROR(__xludf.DUMMYFUNCTION("""COMPUTED_VALUE"""),"")</f>
        <v/>
      </c>
      <c r="D1347" s="4" t="str">
        <f>IFERROR(__xludf.DUMMYFUNCTION("""COMPUTED_VALUE"""),"")</f>
        <v/>
      </c>
      <c r="E1347" s="4" t="str">
        <f>IFERROR(__xludf.DUMMYFUNCTION("""COMPUTED_VALUE"""),"")</f>
        <v/>
      </c>
      <c r="F1347" s="4" t="str">
        <f>IFERROR(__xludf.DUMMYFUNCTION("""COMPUTED_VALUE"""),"")</f>
        <v/>
      </c>
      <c r="G1347" s="4" t="str">
        <f>IFERROR(__xludf.DUMMYFUNCTION("""COMPUTED_VALUE"""),"")</f>
        <v/>
      </c>
      <c r="H1347" s="4" t="str">
        <f>IFERROR(__xludf.DUMMYFUNCTION("""COMPUTED_VALUE"""),"")</f>
        <v/>
      </c>
      <c r="I1347" s="4" t="str">
        <f>IFERROR(__xludf.DUMMYFUNCTION("""COMPUTED_VALUE"""),"")</f>
        <v/>
      </c>
    </row>
    <row r="1348">
      <c r="A1348" s="4" t="str">
        <f>IFERROR(__xludf.DUMMYFUNCTION("""COMPUTED_VALUE"""),"")</f>
        <v/>
      </c>
      <c r="B1348" s="4" t="str">
        <f>IFERROR(__xludf.DUMMYFUNCTION("""COMPUTED_VALUE"""),"")</f>
        <v/>
      </c>
      <c r="C1348" s="4" t="str">
        <f>IFERROR(__xludf.DUMMYFUNCTION("""COMPUTED_VALUE"""),"")</f>
        <v/>
      </c>
      <c r="D1348" s="4" t="str">
        <f>IFERROR(__xludf.DUMMYFUNCTION("""COMPUTED_VALUE"""),"")</f>
        <v/>
      </c>
      <c r="E1348" s="4" t="str">
        <f>IFERROR(__xludf.DUMMYFUNCTION("""COMPUTED_VALUE"""),"")</f>
        <v/>
      </c>
      <c r="F1348" s="4" t="str">
        <f>IFERROR(__xludf.DUMMYFUNCTION("""COMPUTED_VALUE"""),"")</f>
        <v/>
      </c>
      <c r="G1348" s="4" t="str">
        <f>IFERROR(__xludf.DUMMYFUNCTION("""COMPUTED_VALUE"""),"")</f>
        <v/>
      </c>
      <c r="H1348" s="4" t="str">
        <f>IFERROR(__xludf.DUMMYFUNCTION("""COMPUTED_VALUE"""),"")</f>
        <v/>
      </c>
      <c r="I1348" s="4" t="str">
        <f>IFERROR(__xludf.DUMMYFUNCTION("""COMPUTED_VALUE"""),"")</f>
        <v/>
      </c>
    </row>
    <row r="1349">
      <c r="A1349" s="4" t="str">
        <f>IFERROR(__xludf.DUMMYFUNCTION("""COMPUTED_VALUE"""),"")</f>
        <v/>
      </c>
      <c r="B1349" s="4" t="str">
        <f>IFERROR(__xludf.DUMMYFUNCTION("""COMPUTED_VALUE"""),"")</f>
        <v/>
      </c>
      <c r="C1349" s="4" t="str">
        <f>IFERROR(__xludf.DUMMYFUNCTION("""COMPUTED_VALUE"""),"")</f>
        <v/>
      </c>
      <c r="D1349" s="4" t="str">
        <f>IFERROR(__xludf.DUMMYFUNCTION("""COMPUTED_VALUE"""),"")</f>
        <v/>
      </c>
      <c r="E1349" s="4" t="str">
        <f>IFERROR(__xludf.DUMMYFUNCTION("""COMPUTED_VALUE"""),"")</f>
        <v/>
      </c>
      <c r="F1349" s="4" t="str">
        <f>IFERROR(__xludf.DUMMYFUNCTION("""COMPUTED_VALUE"""),"")</f>
        <v/>
      </c>
      <c r="G1349" s="4" t="str">
        <f>IFERROR(__xludf.DUMMYFUNCTION("""COMPUTED_VALUE"""),"")</f>
        <v/>
      </c>
      <c r="H1349" s="4" t="str">
        <f>IFERROR(__xludf.DUMMYFUNCTION("""COMPUTED_VALUE"""),"")</f>
        <v/>
      </c>
      <c r="I1349" s="4" t="str">
        <f>IFERROR(__xludf.DUMMYFUNCTION("""COMPUTED_VALUE"""),"")</f>
        <v/>
      </c>
    </row>
    <row r="1350">
      <c r="A1350" s="4" t="str">
        <f>IFERROR(__xludf.DUMMYFUNCTION("""COMPUTED_VALUE"""),"")</f>
        <v/>
      </c>
      <c r="B1350" s="4" t="str">
        <f>IFERROR(__xludf.DUMMYFUNCTION("""COMPUTED_VALUE"""),"")</f>
        <v/>
      </c>
      <c r="C1350" s="4" t="str">
        <f>IFERROR(__xludf.DUMMYFUNCTION("""COMPUTED_VALUE"""),"")</f>
        <v/>
      </c>
      <c r="D1350" s="4" t="str">
        <f>IFERROR(__xludf.DUMMYFUNCTION("""COMPUTED_VALUE"""),"")</f>
        <v/>
      </c>
      <c r="E1350" s="4" t="str">
        <f>IFERROR(__xludf.DUMMYFUNCTION("""COMPUTED_VALUE"""),"")</f>
        <v/>
      </c>
      <c r="F1350" s="4" t="str">
        <f>IFERROR(__xludf.DUMMYFUNCTION("""COMPUTED_VALUE"""),"")</f>
        <v/>
      </c>
      <c r="G1350" s="4" t="str">
        <f>IFERROR(__xludf.DUMMYFUNCTION("""COMPUTED_VALUE"""),"")</f>
        <v/>
      </c>
      <c r="H1350" s="4" t="str">
        <f>IFERROR(__xludf.DUMMYFUNCTION("""COMPUTED_VALUE"""),"")</f>
        <v/>
      </c>
      <c r="I1350" s="4" t="str">
        <f>IFERROR(__xludf.DUMMYFUNCTION("""COMPUTED_VALUE"""),"")</f>
        <v/>
      </c>
    </row>
    <row r="1351">
      <c r="A1351" s="4" t="str">
        <f>IFERROR(__xludf.DUMMYFUNCTION("""COMPUTED_VALUE"""),"")</f>
        <v/>
      </c>
      <c r="B1351" s="4" t="str">
        <f>IFERROR(__xludf.DUMMYFUNCTION("""COMPUTED_VALUE"""),"")</f>
        <v/>
      </c>
      <c r="C1351" s="4" t="str">
        <f>IFERROR(__xludf.DUMMYFUNCTION("""COMPUTED_VALUE"""),"")</f>
        <v/>
      </c>
      <c r="D1351" s="4" t="str">
        <f>IFERROR(__xludf.DUMMYFUNCTION("""COMPUTED_VALUE"""),"")</f>
        <v/>
      </c>
      <c r="E1351" s="4" t="str">
        <f>IFERROR(__xludf.DUMMYFUNCTION("""COMPUTED_VALUE"""),"")</f>
        <v/>
      </c>
      <c r="F1351" s="4" t="str">
        <f>IFERROR(__xludf.DUMMYFUNCTION("""COMPUTED_VALUE"""),"")</f>
        <v/>
      </c>
      <c r="G1351" s="4" t="str">
        <f>IFERROR(__xludf.DUMMYFUNCTION("""COMPUTED_VALUE"""),"")</f>
        <v/>
      </c>
      <c r="H1351" s="4" t="str">
        <f>IFERROR(__xludf.DUMMYFUNCTION("""COMPUTED_VALUE"""),"")</f>
        <v/>
      </c>
      <c r="I1351" s="4" t="str">
        <f>IFERROR(__xludf.DUMMYFUNCTION("""COMPUTED_VALUE"""),"")</f>
        <v/>
      </c>
    </row>
    <row r="1352">
      <c r="A1352" s="4" t="str">
        <f>IFERROR(__xludf.DUMMYFUNCTION("""COMPUTED_VALUE"""),"")</f>
        <v/>
      </c>
      <c r="B1352" s="4" t="str">
        <f>IFERROR(__xludf.DUMMYFUNCTION("""COMPUTED_VALUE"""),"")</f>
        <v/>
      </c>
      <c r="C1352" s="4" t="str">
        <f>IFERROR(__xludf.DUMMYFUNCTION("""COMPUTED_VALUE"""),"")</f>
        <v/>
      </c>
      <c r="D1352" s="4" t="str">
        <f>IFERROR(__xludf.DUMMYFUNCTION("""COMPUTED_VALUE"""),"")</f>
        <v/>
      </c>
      <c r="E1352" s="4" t="str">
        <f>IFERROR(__xludf.DUMMYFUNCTION("""COMPUTED_VALUE"""),"")</f>
        <v/>
      </c>
      <c r="F1352" s="4" t="str">
        <f>IFERROR(__xludf.DUMMYFUNCTION("""COMPUTED_VALUE"""),"")</f>
        <v/>
      </c>
      <c r="G1352" s="4" t="str">
        <f>IFERROR(__xludf.DUMMYFUNCTION("""COMPUTED_VALUE"""),"")</f>
        <v/>
      </c>
      <c r="H1352" s="4" t="str">
        <f>IFERROR(__xludf.DUMMYFUNCTION("""COMPUTED_VALUE"""),"")</f>
        <v/>
      </c>
      <c r="I1352" s="4" t="str">
        <f>IFERROR(__xludf.DUMMYFUNCTION("""COMPUTED_VALUE"""),"")</f>
        <v/>
      </c>
    </row>
    <row r="1353">
      <c r="A1353" s="4" t="str">
        <f>IFERROR(__xludf.DUMMYFUNCTION("""COMPUTED_VALUE"""),"")</f>
        <v/>
      </c>
      <c r="B1353" s="4" t="str">
        <f>IFERROR(__xludf.DUMMYFUNCTION("""COMPUTED_VALUE"""),"")</f>
        <v/>
      </c>
      <c r="C1353" s="4" t="str">
        <f>IFERROR(__xludf.DUMMYFUNCTION("""COMPUTED_VALUE"""),"")</f>
        <v/>
      </c>
      <c r="D1353" s="4" t="str">
        <f>IFERROR(__xludf.DUMMYFUNCTION("""COMPUTED_VALUE"""),"")</f>
        <v/>
      </c>
      <c r="E1353" s="4" t="str">
        <f>IFERROR(__xludf.DUMMYFUNCTION("""COMPUTED_VALUE"""),"")</f>
        <v/>
      </c>
      <c r="F1353" s="4" t="str">
        <f>IFERROR(__xludf.DUMMYFUNCTION("""COMPUTED_VALUE"""),"")</f>
        <v/>
      </c>
      <c r="G1353" s="4" t="str">
        <f>IFERROR(__xludf.DUMMYFUNCTION("""COMPUTED_VALUE"""),"")</f>
        <v/>
      </c>
      <c r="H1353" s="4" t="str">
        <f>IFERROR(__xludf.DUMMYFUNCTION("""COMPUTED_VALUE"""),"")</f>
        <v/>
      </c>
      <c r="I1353" s="4" t="str">
        <f>IFERROR(__xludf.DUMMYFUNCTION("""COMPUTED_VALUE"""),"")</f>
        <v/>
      </c>
    </row>
    <row r="1354">
      <c r="A1354" s="4" t="str">
        <f>IFERROR(__xludf.DUMMYFUNCTION("""COMPUTED_VALUE"""),"")</f>
        <v/>
      </c>
      <c r="B1354" s="4" t="str">
        <f>IFERROR(__xludf.DUMMYFUNCTION("""COMPUTED_VALUE"""),"")</f>
        <v/>
      </c>
      <c r="C1354" s="4" t="str">
        <f>IFERROR(__xludf.DUMMYFUNCTION("""COMPUTED_VALUE"""),"")</f>
        <v/>
      </c>
      <c r="D1354" s="4" t="str">
        <f>IFERROR(__xludf.DUMMYFUNCTION("""COMPUTED_VALUE"""),"")</f>
        <v/>
      </c>
      <c r="E1354" s="4" t="str">
        <f>IFERROR(__xludf.DUMMYFUNCTION("""COMPUTED_VALUE"""),"")</f>
        <v/>
      </c>
      <c r="F1354" s="4" t="str">
        <f>IFERROR(__xludf.DUMMYFUNCTION("""COMPUTED_VALUE"""),"")</f>
        <v/>
      </c>
      <c r="G1354" s="4" t="str">
        <f>IFERROR(__xludf.DUMMYFUNCTION("""COMPUTED_VALUE"""),"")</f>
        <v/>
      </c>
      <c r="H1354" s="4" t="str">
        <f>IFERROR(__xludf.DUMMYFUNCTION("""COMPUTED_VALUE"""),"")</f>
        <v/>
      </c>
      <c r="I1354" s="4" t="str">
        <f>IFERROR(__xludf.DUMMYFUNCTION("""COMPUTED_VALUE"""),"")</f>
        <v/>
      </c>
    </row>
    <row r="1355">
      <c r="A1355" s="4" t="str">
        <f>IFERROR(__xludf.DUMMYFUNCTION("""COMPUTED_VALUE"""),"")</f>
        <v/>
      </c>
      <c r="B1355" s="4" t="str">
        <f>IFERROR(__xludf.DUMMYFUNCTION("""COMPUTED_VALUE"""),"")</f>
        <v/>
      </c>
      <c r="C1355" s="4" t="str">
        <f>IFERROR(__xludf.DUMMYFUNCTION("""COMPUTED_VALUE"""),"")</f>
        <v/>
      </c>
      <c r="D1355" s="4" t="str">
        <f>IFERROR(__xludf.DUMMYFUNCTION("""COMPUTED_VALUE"""),"")</f>
        <v/>
      </c>
      <c r="E1355" s="4" t="str">
        <f>IFERROR(__xludf.DUMMYFUNCTION("""COMPUTED_VALUE"""),"")</f>
        <v/>
      </c>
      <c r="F1355" s="4" t="str">
        <f>IFERROR(__xludf.DUMMYFUNCTION("""COMPUTED_VALUE"""),"")</f>
        <v/>
      </c>
      <c r="G1355" s="4" t="str">
        <f>IFERROR(__xludf.DUMMYFUNCTION("""COMPUTED_VALUE"""),"")</f>
        <v/>
      </c>
      <c r="H1355" s="4" t="str">
        <f>IFERROR(__xludf.DUMMYFUNCTION("""COMPUTED_VALUE"""),"")</f>
        <v/>
      </c>
      <c r="I1355" s="4" t="str">
        <f>IFERROR(__xludf.DUMMYFUNCTION("""COMPUTED_VALUE"""),"")</f>
        <v/>
      </c>
    </row>
    <row r="1356">
      <c r="A1356" s="4" t="str">
        <f>IFERROR(__xludf.DUMMYFUNCTION("""COMPUTED_VALUE"""),"")</f>
        <v/>
      </c>
      <c r="B1356" s="4" t="str">
        <f>IFERROR(__xludf.DUMMYFUNCTION("""COMPUTED_VALUE"""),"")</f>
        <v/>
      </c>
      <c r="C1356" s="4" t="str">
        <f>IFERROR(__xludf.DUMMYFUNCTION("""COMPUTED_VALUE"""),"")</f>
        <v/>
      </c>
      <c r="D1356" s="4" t="str">
        <f>IFERROR(__xludf.DUMMYFUNCTION("""COMPUTED_VALUE"""),"")</f>
        <v/>
      </c>
      <c r="E1356" s="4" t="str">
        <f>IFERROR(__xludf.DUMMYFUNCTION("""COMPUTED_VALUE"""),"")</f>
        <v/>
      </c>
      <c r="F1356" s="4" t="str">
        <f>IFERROR(__xludf.DUMMYFUNCTION("""COMPUTED_VALUE"""),"")</f>
        <v/>
      </c>
      <c r="G1356" s="4" t="str">
        <f>IFERROR(__xludf.DUMMYFUNCTION("""COMPUTED_VALUE"""),"")</f>
        <v/>
      </c>
      <c r="H1356" s="4" t="str">
        <f>IFERROR(__xludf.DUMMYFUNCTION("""COMPUTED_VALUE"""),"")</f>
        <v/>
      </c>
      <c r="I1356" s="4" t="str">
        <f>IFERROR(__xludf.DUMMYFUNCTION("""COMPUTED_VALUE"""),"")</f>
        <v/>
      </c>
    </row>
  </sheetData>
  <hyperlinks>
    <hyperlink r:id="rId1" ref="C2"/>
    <hyperlink r:id="rId2" ref="C22"/>
    <hyperlink r:id="rId3" ref="C187"/>
    <hyperlink r:id="rId4" ref="C199"/>
    <hyperlink r:id="rId5" ref="C313"/>
    <hyperlink r:id="rId6" ref="A468"/>
    <hyperlink r:id="rId7" ref="C527"/>
    <hyperlink r:id="rId8" ref="C578"/>
    <hyperlink r:id="rId9" ref="C588"/>
    <hyperlink r:id="rId10" ref="C608"/>
    <hyperlink r:id="rId11" ref="C755"/>
    <hyperlink r:id="rId12" ref="C769"/>
    <hyperlink r:id="rId13" ref="C811"/>
    <hyperlink r:id="rId14" ref="C881"/>
  </hyperlinks>
  <drawing r:id="rId1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0.57"/>
    <col customWidth="1" min="2" max="2" width="45.43"/>
    <col customWidth="1" min="3" max="3" width="39.29"/>
  </cols>
  <sheetData>
    <row r="1">
      <c r="A1" s="6" t="s">
        <v>1</v>
      </c>
      <c r="B1" s="10"/>
      <c r="C1" s="12"/>
    </row>
    <row r="2">
      <c r="A2" s="14" t="s">
        <v>9</v>
      </c>
      <c r="B2" s="16" t="s">
        <v>11</v>
      </c>
      <c r="C2" s="17"/>
    </row>
    <row r="3">
      <c r="A3" s="19"/>
      <c r="B3" s="21"/>
      <c r="C3" s="17"/>
    </row>
    <row r="4">
      <c r="A4" s="14" t="s">
        <v>14</v>
      </c>
      <c r="B4" s="22" t="s">
        <v>16</v>
      </c>
      <c r="C4" s="24" t="s">
        <v>19</v>
      </c>
    </row>
    <row r="5">
      <c r="A5" s="14" t="s">
        <v>22</v>
      </c>
      <c r="B5" s="26" t="s">
        <v>23</v>
      </c>
      <c r="C5" s="27"/>
    </row>
    <row r="6">
      <c r="A6" s="14" t="s">
        <v>30</v>
      </c>
      <c r="B6" s="26" t="s">
        <v>31</v>
      </c>
      <c r="C6" s="27"/>
    </row>
    <row r="7">
      <c r="A7" s="19"/>
      <c r="B7" s="28"/>
      <c r="C7" s="29"/>
    </row>
    <row r="8">
      <c r="A8" s="31" t="s">
        <v>33</v>
      </c>
      <c r="B8" s="32" t="s">
        <v>36</v>
      </c>
      <c r="C8" s="33"/>
    </row>
    <row r="9">
      <c r="A9" s="34"/>
      <c r="B9" s="35"/>
      <c r="C9" s="35"/>
    </row>
    <row r="10">
      <c r="A10" s="36" t="s">
        <v>44</v>
      </c>
      <c r="B10" s="35"/>
      <c r="C10" s="33"/>
    </row>
    <row r="11">
      <c r="A11" s="31" t="s">
        <v>47</v>
      </c>
      <c r="B11" s="38" t="s">
        <v>48</v>
      </c>
      <c r="C11" s="33"/>
    </row>
    <row r="13">
      <c r="A13" s="40" t="s">
        <v>50</v>
      </c>
      <c r="B13" s="35"/>
      <c r="C13" s="33"/>
    </row>
    <row r="14">
      <c r="A14" s="41" t="s">
        <v>55</v>
      </c>
      <c r="B14" s="42" t="s">
        <v>58</v>
      </c>
      <c r="C14" s="43"/>
    </row>
    <row r="15">
      <c r="A15" s="41" t="s">
        <v>62</v>
      </c>
      <c r="B15" s="42" t="s">
        <v>63</v>
      </c>
      <c r="C15" s="43"/>
    </row>
    <row r="16">
      <c r="A16" s="41" t="s">
        <v>65</v>
      </c>
      <c r="B16" s="42" t="s">
        <v>66</v>
      </c>
      <c r="C16" s="43"/>
    </row>
    <row r="17">
      <c r="A17" s="41" t="s">
        <v>67</v>
      </c>
      <c r="B17" s="42" t="s">
        <v>69</v>
      </c>
      <c r="C17" s="43"/>
    </row>
    <row r="18">
      <c r="A18" s="44" t="s">
        <v>70</v>
      </c>
      <c r="B18" s="45" t="s">
        <v>74</v>
      </c>
      <c r="C18" s="33"/>
    </row>
  </sheetData>
  <mergeCells count="12">
    <mergeCell ref="A10:C10"/>
    <mergeCell ref="B8:C8"/>
    <mergeCell ref="A1:C1"/>
    <mergeCell ref="A9:C9"/>
    <mergeCell ref="B17:C17"/>
    <mergeCell ref="B18:C18"/>
    <mergeCell ref="B11:C11"/>
    <mergeCell ref="A12:C12"/>
    <mergeCell ref="B16:C16"/>
    <mergeCell ref="B14:C14"/>
    <mergeCell ref="B15:C15"/>
    <mergeCell ref="A13:C13"/>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34.71"/>
    <col customWidth="1" min="3" max="3" width="34.43"/>
    <col customWidth="1" min="4" max="4" width="29.14"/>
  </cols>
  <sheetData>
    <row r="1">
      <c r="A1" s="1" t="s">
        <v>0</v>
      </c>
    </row>
    <row r="2">
      <c r="A2" s="3" t="s">
        <v>2</v>
      </c>
      <c r="B2" s="5" t="s">
        <v>3</v>
      </c>
      <c r="C2" s="5" t="s">
        <v>4</v>
      </c>
      <c r="D2" s="7" t="s">
        <v>5</v>
      </c>
    </row>
    <row r="3">
      <c r="A3" s="9">
        <v>1.0</v>
      </c>
      <c r="B3" s="11" t="s">
        <v>6</v>
      </c>
      <c r="C3" s="11" t="s">
        <v>7</v>
      </c>
      <c r="D3" s="11" t="s">
        <v>8</v>
      </c>
    </row>
    <row r="4">
      <c r="A4" s="13">
        <v>2.0</v>
      </c>
      <c r="B4" s="15" t="s">
        <v>10</v>
      </c>
      <c r="C4" s="18" t="s">
        <v>7</v>
      </c>
      <c r="D4" s="11" t="s">
        <v>8</v>
      </c>
    </row>
    <row r="5">
      <c r="A5" s="9">
        <v>3.0</v>
      </c>
      <c r="B5" s="20" t="s">
        <v>12</v>
      </c>
      <c r="C5" s="11" t="s">
        <v>7</v>
      </c>
      <c r="D5" s="20" t="s">
        <v>13</v>
      </c>
    </row>
    <row r="6">
      <c r="A6" s="13">
        <v>4.0</v>
      </c>
      <c r="B6" s="15" t="s">
        <v>15</v>
      </c>
      <c r="C6" s="15" t="s">
        <v>17</v>
      </c>
      <c r="D6" s="11" t="s">
        <v>18</v>
      </c>
    </row>
    <row r="7">
      <c r="A7" s="23">
        <v>4.0</v>
      </c>
      <c r="B7" s="20" t="s">
        <v>20</v>
      </c>
      <c r="C7" s="18" t="s">
        <v>21</v>
      </c>
      <c r="D7" s="11" t="s">
        <v>18</v>
      </c>
    </row>
    <row r="8">
      <c r="A8" s="25">
        <v>5.0</v>
      </c>
      <c r="B8" s="15" t="s">
        <v>24</v>
      </c>
      <c r="C8" s="20" t="s">
        <v>17</v>
      </c>
      <c r="D8" s="18" t="s">
        <v>18</v>
      </c>
    </row>
    <row r="9">
      <c r="A9" s="25">
        <v>5.0</v>
      </c>
      <c r="B9" s="15" t="s">
        <v>25</v>
      </c>
      <c r="C9" s="20" t="s">
        <v>26</v>
      </c>
      <c r="D9" s="15" t="s">
        <v>18</v>
      </c>
    </row>
    <row r="10">
      <c r="A10" s="23">
        <v>5.0</v>
      </c>
      <c r="B10" s="20" t="s">
        <v>27</v>
      </c>
      <c r="C10" s="20" t="s">
        <v>28</v>
      </c>
      <c r="D10" s="11" t="s">
        <v>18</v>
      </c>
    </row>
    <row r="11">
      <c r="A11" s="25">
        <v>6.0</v>
      </c>
      <c r="B11" s="15" t="s">
        <v>29</v>
      </c>
      <c r="C11" s="18" t="s">
        <v>17</v>
      </c>
      <c r="D11" s="18" t="s">
        <v>18</v>
      </c>
    </row>
    <row r="12">
      <c r="A12" s="23">
        <v>6.0</v>
      </c>
      <c r="B12" s="30" t="s">
        <v>32</v>
      </c>
      <c r="C12" s="11" t="s">
        <v>34</v>
      </c>
      <c r="D12" s="11" t="s">
        <v>18</v>
      </c>
    </row>
    <row r="13">
      <c r="A13" s="25">
        <v>6.0</v>
      </c>
      <c r="B13" s="18" t="s">
        <v>35</v>
      </c>
      <c r="C13" s="18" t="s">
        <v>28</v>
      </c>
      <c r="D13" s="18" t="s">
        <v>18</v>
      </c>
    </row>
    <row r="14">
      <c r="A14" s="23">
        <v>7.0</v>
      </c>
      <c r="B14" s="20" t="s">
        <v>37</v>
      </c>
      <c r="C14" s="11" t="s">
        <v>7</v>
      </c>
      <c r="D14" s="11" t="s">
        <v>38</v>
      </c>
    </row>
    <row r="15">
      <c r="A15" s="25">
        <v>8.0</v>
      </c>
      <c r="B15" s="18" t="s">
        <v>39</v>
      </c>
      <c r="C15" s="15" t="s">
        <v>17</v>
      </c>
      <c r="D15" s="18" t="s">
        <v>38</v>
      </c>
    </row>
    <row r="16">
      <c r="A16" s="23">
        <v>8.0</v>
      </c>
      <c r="B16" s="20" t="s">
        <v>40</v>
      </c>
      <c r="C16" s="20" t="s">
        <v>41</v>
      </c>
      <c r="D16" s="11" t="s">
        <v>38</v>
      </c>
    </row>
    <row r="17">
      <c r="A17" s="25">
        <v>9.0</v>
      </c>
      <c r="B17" s="15" t="s">
        <v>42</v>
      </c>
      <c r="C17" s="15" t="s">
        <v>17</v>
      </c>
      <c r="D17" s="18" t="s">
        <v>38</v>
      </c>
    </row>
    <row r="18">
      <c r="A18" s="23">
        <v>9.0</v>
      </c>
      <c r="B18" s="20" t="s">
        <v>43</v>
      </c>
      <c r="C18" s="20" t="s">
        <v>41</v>
      </c>
      <c r="D18" s="11" t="s">
        <v>38</v>
      </c>
    </row>
    <row r="19">
      <c r="A19" s="25">
        <v>10.0</v>
      </c>
      <c r="B19" s="18" t="s">
        <v>45</v>
      </c>
      <c r="C19" s="18" t="s">
        <v>17</v>
      </c>
      <c r="D19" s="37" t="s">
        <v>46</v>
      </c>
    </row>
    <row r="20">
      <c r="A20" s="23">
        <v>10.0</v>
      </c>
      <c r="B20" s="11" t="s">
        <v>49</v>
      </c>
      <c r="C20" s="11" t="s">
        <v>34</v>
      </c>
      <c r="D20" s="39" t="s">
        <v>46</v>
      </c>
    </row>
    <row r="21">
      <c r="A21" s="25">
        <v>10.0</v>
      </c>
      <c r="B21" s="15" t="s">
        <v>51</v>
      </c>
      <c r="C21" s="18" t="s">
        <v>28</v>
      </c>
      <c r="D21" s="37" t="s">
        <v>52</v>
      </c>
    </row>
    <row r="22">
      <c r="A22" s="23">
        <v>11.0</v>
      </c>
      <c r="B22" s="11" t="s">
        <v>53</v>
      </c>
      <c r="C22" s="11" t="s">
        <v>54</v>
      </c>
      <c r="D22" s="11" t="s">
        <v>56</v>
      </c>
    </row>
    <row r="23">
      <c r="A23" s="25">
        <v>11.0</v>
      </c>
      <c r="B23" s="18" t="s">
        <v>57</v>
      </c>
      <c r="C23" s="18" t="s">
        <v>28</v>
      </c>
      <c r="D23" s="18" t="s">
        <v>56</v>
      </c>
    </row>
    <row r="24">
      <c r="A24" s="23">
        <v>12.0</v>
      </c>
      <c r="B24" s="11" t="s">
        <v>59</v>
      </c>
      <c r="C24" s="11" t="s">
        <v>7</v>
      </c>
      <c r="D24" s="11" t="s">
        <v>56</v>
      </c>
    </row>
    <row r="25">
      <c r="A25" s="25">
        <v>13.0</v>
      </c>
      <c r="B25" s="18" t="s">
        <v>60</v>
      </c>
      <c r="C25" s="15" t="s">
        <v>17</v>
      </c>
      <c r="D25" s="15" t="s">
        <v>61</v>
      </c>
    </row>
    <row r="26">
      <c r="A26" s="23">
        <v>13.0</v>
      </c>
      <c r="B26" s="20" t="s">
        <v>64</v>
      </c>
      <c r="C26" s="20" t="s">
        <v>21</v>
      </c>
      <c r="D26" s="15" t="s">
        <v>61</v>
      </c>
    </row>
    <row r="27">
      <c r="A27" s="25">
        <v>14.0</v>
      </c>
      <c r="B27" s="15" t="s">
        <v>68</v>
      </c>
      <c r="C27" s="15" t="s">
        <v>7</v>
      </c>
      <c r="D27" s="15" t="s">
        <v>56</v>
      </c>
    </row>
    <row r="28">
      <c r="A28" s="23">
        <v>15.0</v>
      </c>
      <c r="B28" s="20" t="s">
        <v>71</v>
      </c>
      <c r="C28" s="20" t="s">
        <v>72</v>
      </c>
      <c r="D28" s="11" t="s">
        <v>61</v>
      </c>
    </row>
    <row r="29">
      <c r="A29" s="25">
        <v>15.0</v>
      </c>
      <c r="B29" s="15" t="s">
        <v>73</v>
      </c>
      <c r="C29" s="15" t="s">
        <v>28</v>
      </c>
      <c r="D29" s="18" t="s">
        <v>61</v>
      </c>
    </row>
    <row r="30">
      <c r="A30" s="25">
        <v>16.0</v>
      </c>
      <c r="B30" s="18" t="s">
        <v>75</v>
      </c>
      <c r="C30" s="18" t="s">
        <v>7</v>
      </c>
      <c r="D30" s="15" t="s">
        <v>76</v>
      </c>
    </row>
    <row r="31">
      <c r="A31" s="23">
        <v>17.0</v>
      </c>
      <c r="B31" s="20" t="s">
        <v>77</v>
      </c>
      <c r="C31" s="20" t="s">
        <v>7</v>
      </c>
      <c r="D31" s="20" t="s">
        <v>61</v>
      </c>
    </row>
    <row r="32">
      <c r="A32" s="25">
        <v>18.0</v>
      </c>
      <c r="B32" s="15" t="s">
        <v>78</v>
      </c>
      <c r="C32" s="15" t="s">
        <v>7</v>
      </c>
      <c r="D32" s="15" t="s">
        <v>76</v>
      </c>
    </row>
  </sheetData>
  <mergeCells count="1">
    <mergeCell ref="A1:D1"/>
  </mergeCells>
  <hyperlinks>
    <hyperlink r:id="rId1" ref="B12"/>
  </hyperlinks>
  <drawing r:id="rId2"/>
  <tableParts count="1">
    <tablePart r:id="rId4"/>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1" max="1" width="44.71"/>
    <col customWidth="1" min="3" max="3" width="52.0"/>
    <col hidden="1" min="4" max="5" width="14.43"/>
    <col customWidth="1" min="6" max="6" width="36.71"/>
    <col hidden="1" min="9" max="9" width="14.43"/>
    <col customWidth="1" min="14" max="14" width="73.43"/>
    <col customWidth="1" min="16" max="16" width="19.57"/>
  </cols>
  <sheetData>
    <row r="1">
      <c r="A1" s="46" t="s">
        <v>79</v>
      </c>
      <c r="B1" s="46" t="s">
        <v>80</v>
      </c>
      <c r="C1" s="48" t="s">
        <v>81</v>
      </c>
      <c r="D1" s="46" t="s">
        <v>82</v>
      </c>
      <c r="E1" s="46" t="s">
        <v>83</v>
      </c>
      <c r="F1" s="46" t="s">
        <v>84</v>
      </c>
      <c r="G1" s="46" t="s">
        <v>85</v>
      </c>
      <c r="H1" s="46" t="s">
        <v>86</v>
      </c>
      <c r="I1" s="46" t="s">
        <v>87</v>
      </c>
      <c r="J1" s="46" t="s">
        <v>88</v>
      </c>
      <c r="K1" s="46" t="s">
        <v>89</v>
      </c>
      <c r="L1" s="46" t="s">
        <v>90</v>
      </c>
      <c r="M1" s="46" t="s">
        <v>91</v>
      </c>
      <c r="N1" s="46" t="s">
        <v>92</v>
      </c>
      <c r="O1" s="50" t="s">
        <v>93</v>
      </c>
      <c r="P1" s="50" t="s">
        <v>94</v>
      </c>
      <c r="Q1" s="50" t="s">
        <v>95</v>
      </c>
      <c r="R1" s="51"/>
      <c r="S1" s="51"/>
      <c r="T1" s="51"/>
    </row>
    <row r="2">
      <c r="A2" s="54" t="str">
        <f>IFERROR(__xludf.DUMMYFUNCTION("QUERY(Master!A:H,""SELECT A,C,D,F,G,H where C = 'Centre Stage' ORDER BY F"")"),"Breakout startups group 1")</f>
        <v>Breakout startups group 1</v>
      </c>
      <c r="B2" s="51" t="str">
        <f>IFERROR(__xludf.DUMMYFUNCTION("""COMPUTED_VALUE"""),"Centre Stage")</f>
        <v>Centre Stage</v>
      </c>
      <c r="C2" s="56" t="str">
        <f>IFERROR(__xludf.DUMMYFUNCTION("""COMPUTED_VALUE"""),"Luisa Lima, Veronika Riederle, Andre Jordao, Nils Henning, Shane Curran, Alina Lapusneanu, Dee Coakley, Sarah Sandnes, Jaleh Rezaei, Sunil Sharma and Casey Lau")</f>
        <v>Luisa Lima, Veronika Riederle, Andre Jordao, Nils Henning, Shane Curran, Alina Lapusneanu, Dee Coakley, Sarah Sandnes, Jaleh Rezaei, Sunil Sharma and Casey Lau</v>
      </c>
      <c r="D2" s="51" t="str">
        <f>IFERROR(__xludf.DUMMYFUNCTION("""COMPUTED_VALUE"""),"2019/11/04 17:00:00")</f>
        <v>2019/11/04 17:00:00</v>
      </c>
      <c r="E2" s="51" t="str">
        <f>IFERROR(__xludf.DUMMYFUNCTION("""COMPUTED_VALUE"""),"2019/11/04 17:50:00")</f>
        <v>2019/11/04 17:50:00</v>
      </c>
      <c r="F2" s="51" t="str">
        <f>IFERROR(__xludf.DUMMYFUNCTION("""COMPUTED_VALUE"""),"2e2a8609-5c87-41df-bcce-3724875785f9")</f>
        <v>2e2a8609-5c87-41df-bcce-3724875785f9</v>
      </c>
      <c r="G2" s="58">
        <f>IFERROR(__xludf.DUMMYFUNCTION("ARRAYFORMULA(SPLIT(D2:D621,"" ""))"),43773.0)</f>
        <v>43773</v>
      </c>
      <c r="H2" s="60">
        <f>IFERROR(__xludf.DUMMYFUNCTION("""COMPUTED_VALUE"""),0.7083333333333334)</f>
        <v>0.7083333333</v>
      </c>
      <c r="I2" s="61">
        <f>IFERROR(__xludf.DUMMYFUNCTION("ARRAYFORMULA(SPLIT(E2:E621,"" ""))"),43773.0)</f>
        <v>43773</v>
      </c>
      <c r="J2" s="60">
        <f>IFERROR(__xludf.DUMMYFUNCTION("""COMPUTED_VALUE"""),0.7430555555555556)</f>
        <v>0.7430555556</v>
      </c>
      <c r="K2" s="60">
        <f t="shared" ref="K2:K119" si="1">J2-H2</f>
        <v>0.03472222222</v>
      </c>
      <c r="L2" s="54" t="str">
        <f t="array" ref="L2:L621">TEXT(K2:K621,"hhmmss")</f>
        <v>005000</v>
      </c>
      <c r="M2" s="62" t="s">
        <v>100</v>
      </c>
      <c r="N2" s="62" t="str">
        <f>CONCATENATE(M2,"_",F2,"_","000000_003304.mp4")</f>
        <v>CS_4_1_2e2a8609-5c87-41df-bcce-3724875785f9_000000_003304.mp4</v>
      </c>
      <c r="O2" s="50" t="s">
        <v>101</v>
      </c>
      <c r="P2" s="50" t="s">
        <v>102</v>
      </c>
      <c r="Q2" s="50" t="s">
        <v>102</v>
      </c>
      <c r="R2" s="51"/>
      <c r="S2" s="51"/>
      <c r="T2" s="51"/>
    </row>
    <row r="3">
      <c r="A3" s="51" t="str">
        <f>IFERROR(__xludf.DUMMYFUNCTION("""COMPUTED_VALUE"""),"Breakout startups group 2")</f>
        <v>Breakout startups group 2</v>
      </c>
      <c r="B3" s="51" t="str">
        <f>IFERROR(__xludf.DUMMYFUNCTION("""COMPUTED_VALUE"""),"Centre Stage")</f>
        <v>Centre Stage</v>
      </c>
      <c r="C3" s="56" t="str">
        <f>IFERROR(__xludf.DUMMYFUNCTION("""COMPUTED_VALUE"""),"Rui Sales, Daniela Seixas, Louise Lindblad, Kate Boyle, Catriona Forrest, Els van der Helm, Hanna Marie Asmussen, Nikki Michelsen, Leah Remfry-Peploe, Casey Lau and Sunil Sharma")</f>
        <v>Rui Sales, Daniela Seixas, Louise Lindblad, Kate Boyle, Catriona Forrest, Els van der Helm, Hanna Marie Asmussen, Nikki Michelsen, Leah Remfry-Peploe, Casey Lau and Sunil Sharma</v>
      </c>
      <c r="D3" s="51" t="str">
        <f>IFERROR(__xludf.DUMMYFUNCTION("""COMPUTED_VALUE"""),"2019/11/04 17:50:00")</f>
        <v>2019/11/04 17:50:00</v>
      </c>
      <c r="E3" s="51" t="str">
        <f>IFERROR(__xludf.DUMMYFUNCTION("""COMPUTED_VALUE"""),"2019/11/04 18:15:00")</f>
        <v>2019/11/04 18:15:00</v>
      </c>
      <c r="F3" s="51" t="str">
        <f>IFERROR(__xludf.DUMMYFUNCTION("""COMPUTED_VALUE"""),"d431a181-8d31-4ba9-ac6a-b7b7ec5c7a3b")</f>
        <v>d431a181-8d31-4ba9-ac6a-b7b7ec5c7a3b</v>
      </c>
      <c r="G3" s="58">
        <f>IFERROR(__xludf.DUMMYFUNCTION("""COMPUTED_VALUE"""),43773.0)</f>
        <v>43773</v>
      </c>
      <c r="H3" s="60">
        <f>IFERROR(__xludf.DUMMYFUNCTION("""COMPUTED_VALUE"""),0.7430555555555556)</f>
        <v>0.7430555556</v>
      </c>
      <c r="I3" s="58">
        <f>IFERROR(__xludf.DUMMYFUNCTION("""COMPUTED_VALUE"""),43773.0)</f>
        <v>43773</v>
      </c>
      <c r="J3" s="60">
        <f>IFERROR(__xludf.DUMMYFUNCTION("""COMPUTED_VALUE"""),0.7604166666666666)</f>
        <v>0.7604166667</v>
      </c>
      <c r="K3" s="60">
        <f t="shared" si="1"/>
        <v>0.01736111111</v>
      </c>
      <c r="L3" s="51" t="s">
        <v>107</v>
      </c>
      <c r="M3" s="62" t="s">
        <v>108</v>
      </c>
      <c r="N3" s="62" t="str">
        <f t="shared" ref="N3:N72" si="2">CONCATENATE(M3,"_",F3,"_","000000_000000.mp4")</f>
        <v>CS_4_2_d431a181-8d31-4ba9-ac6a-b7b7ec5c7a3b_000000_000000.mp4</v>
      </c>
      <c r="O3" s="63"/>
      <c r="P3" s="63"/>
      <c r="Q3" s="63"/>
      <c r="R3" s="51"/>
      <c r="S3" s="51"/>
      <c r="T3" s="51"/>
    </row>
    <row r="4">
      <c r="A4" s="51" t="str">
        <f>IFERROR(__xludf.DUMMYFUNCTION("""COMPUTED_VALUE"""),"Opening remarks")</f>
        <v>Opening remarks</v>
      </c>
      <c r="B4" s="51" t="str">
        <f>IFERROR(__xludf.DUMMYFUNCTION("""COMPUTED_VALUE"""),"Centre Stage")</f>
        <v>Centre Stage</v>
      </c>
      <c r="C4" s="56" t="str">
        <f>IFERROR(__xludf.DUMMYFUNCTION("""COMPUTED_VALUE"""),"Paddy Cosgrave")</f>
        <v>Paddy Cosgrave</v>
      </c>
      <c r="D4" s="51" t="str">
        <f>IFERROR(__xludf.DUMMYFUNCTION("""COMPUTED_VALUE"""),"2019/11/04 18:15:00")</f>
        <v>2019/11/04 18:15:00</v>
      </c>
      <c r="E4" s="51" t="str">
        <f>IFERROR(__xludf.DUMMYFUNCTION("""COMPUTED_VALUE"""),"2019/11/04 18:30:00")</f>
        <v>2019/11/04 18:30:00</v>
      </c>
      <c r="F4" s="51" t="str">
        <f>IFERROR(__xludf.DUMMYFUNCTION("""COMPUTED_VALUE"""),"83e3191a-8cc1-4794-82e2-7d7430575cc9")</f>
        <v>83e3191a-8cc1-4794-82e2-7d7430575cc9</v>
      </c>
      <c r="G4" s="58">
        <f>IFERROR(__xludf.DUMMYFUNCTION("""COMPUTED_VALUE"""),43773.0)</f>
        <v>43773</v>
      </c>
      <c r="H4" s="60">
        <f>IFERROR(__xludf.DUMMYFUNCTION("""COMPUTED_VALUE"""),0.7604166666666666)</f>
        <v>0.7604166667</v>
      </c>
      <c r="I4" s="58">
        <f>IFERROR(__xludf.DUMMYFUNCTION("""COMPUTED_VALUE"""),43773.0)</f>
        <v>43773</v>
      </c>
      <c r="J4" s="60">
        <f>IFERROR(__xludf.DUMMYFUNCTION("""COMPUTED_VALUE"""),0.7708333333333334)</f>
        <v>0.7708333333</v>
      </c>
      <c r="K4" s="60">
        <f t="shared" si="1"/>
        <v>0.01041666667</v>
      </c>
      <c r="L4" s="51" t="s">
        <v>116</v>
      </c>
      <c r="M4" s="62" t="s">
        <v>117</v>
      </c>
      <c r="N4" s="62" t="str">
        <f t="shared" si="2"/>
        <v>CS_4_3_83e3191a-8cc1-4794-82e2-7d7430575cc9_000000_000000.mp4</v>
      </c>
      <c r="O4" s="63"/>
      <c r="P4" s="63"/>
      <c r="Q4" s="63"/>
      <c r="R4" s="51"/>
      <c r="S4" s="51"/>
      <c r="T4" s="51"/>
    </row>
    <row r="5">
      <c r="A5" s="51" t="str">
        <f>IFERROR(__xludf.DUMMYFUNCTION("""COMPUTED_VALUE"""),"In conversation with Edward Snowden")</f>
        <v>In conversation with Edward Snowden</v>
      </c>
      <c r="B5" s="51" t="str">
        <f>IFERROR(__xludf.DUMMYFUNCTION("""COMPUTED_VALUE"""),"Centre Stage")</f>
        <v>Centre Stage</v>
      </c>
      <c r="C5" s="56" t="str">
        <f>IFERROR(__xludf.DUMMYFUNCTION("""COMPUTED_VALUE"""),"Edward Snowden and James Ball")</f>
        <v>Edward Snowden and James Ball</v>
      </c>
      <c r="D5" s="51" t="str">
        <f>IFERROR(__xludf.DUMMYFUNCTION("""COMPUTED_VALUE"""),"2019/11/04 18:30:00")</f>
        <v>2019/11/04 18:30:00</v>
      </c>
      <c r="E5" s="51" t="str">
        <f>IFERROR(__xludf.DUMMYFUNCTION("""COMPUTED_VALUE"""),"2019/11/04 18:50:00")</f>
        <v>2019/11/04 18:50:00</v>
      </c>
      <c r="F5" s="51" t="str">
        <f>IFERROR(__xludf.DUMMYFUNCTION("""COMPUTED_VALUE"""),"7687743f-ee40-43a7-9618-4ad73248ab97")</f>
        <v>7687743f-ee40-43a7-9618-4ad73248ab97</v>
      </c>
      <c r="G5" s="58">
        <f>IFERROR(__xludf.DUMMYFUNCTION("""COMPUTED_VALUE"""),43773.0)</f>
        <v>43773</v>
      </c>
      <c r="H5" s="60">
        <f>IFERROR(__xludf.DUMMYFUNCTION("""COMPUTED_VALUE"""),0.7708333333333334)</f>
        <v>0.7708333333</v>
      </c>
      <c r="I5" s="58">
        <f>IFERROR(__xludf.DUMMYFUNCTION("""COMPUTED_VALUE"""),43773.0)</f>
        <v>43773</v>
      </c>
      <c r="J5" s="60">
        <f>IFERROR(__xludf.DUMMYFUNCTION("""COMPUTED_VALUE"""),0.7847222222222222)</f>
        <v>0.7847222222</v>
      </c>
      <c r="K5" s="60">
        <f t="shared" si="1"/>
        <v>0.01388888889</v>
      </c>
      <c r="L5" s="51" t="s">
        <v>111</v>
      </c>
      <c r="M5" s="62" t="s">
        <v>123</v>
      </c>
      <c r="N5" s="62" t="str">
        <f t="shared" si="2"/>
        <v>CS_4_4_7687743f-ee40-43a7-9618-4ad73248ab97_000000_000000.mp4</v>
      </c>
      <c r="O5" s="63"/>
      <c r="P5" s="63"/>
      <c r="Q5" s="63"/>
      <c r="R5" s="51"/>
      <c r="S5" s="51"/>
      <c r="T5" s="51"/>
    </row>
    <row r="6">
      <c r="A6" s="51" t="str">
        <f>IFERROR(__xludf.DUMMYFUNCTION("""COMPUTED_VALUE"""),"A two way street: Portugal &amp; the tech world")</f>
        <v>A two way street: Portugal &amp; the tech world</v>
      </c>
      <c r="B6" s="51" t="str">
        <f>IFERROR(__xludf.DUMMYFUNCTION("""COMPUTED_VALUE"""),"Centre Stage")</f>
        <v>Centre Stage</v>
      </c>
      <c r="C6" s="56" t="str">
        <f>IFERROR(__xludf.DUMMYFUNCTION("""COMPUTED_VALUE"""),"Michelle Zatlyn, Daniela Braga and Filomena Cautela")</f>
        <v>Michelle Zatlyn, Daniela Braga and Filomena Cautela</v>
      </c>
      <c r="D6" s="51" t="str">
        <f>IFERROR(__xludf.DUMMYFUNCTION("""COMPUTED_VALUE"""),"2019/11/04 18:50:00")</f>
        <v>2019/11/04 18:50:00</v>
      </c>
      <c r="E6" s="51" t="str">
        <f>IFERROR(__xludf.DUMMYFUNCTION("""COMPUTED_VALUE"""),"2019/11/04 19:03:00")</f>
        <v>2019/11/04 19:03:00</v>
      </c>
      <c r="F6" s="51" t="str">
        <f>IFERROR(__xludf.DUMMYFUNCTION("""COMPUTED_VALUE"""),"b853c55b-0a49-42a4-a67b-363dc6b95926")</f>
        <v>b853c55b-0a49-42a4-a67b-363dc6b95926</v>
      </c>
      <c r="G6" s="58">
        <f>IFERROR(__xludf.DUMMYFUNCTION("""COMPUTED_VALUE"""),43773.0)</f>
        <v>43773</v>
      </c>
      <c r="H6" s="60">
        <f>IFERROR(__xludf.DUMMYFUNCTION("""COMPUTED_VALUE"""),0.7847222222222222)</f>
        <v>0.7847222222</v>
      </c>
      <c r="I6" s="58">
        <f>IFERROR(__xludf.DUMMYFUNCTION("""COMPUTED_VALUE"""),43773.0)</f>
        <v>43773</v>
      </c>
      <c r="J6" s="60">
        <f>IFERROR(__xludf.DUMMYFUNCTION("""COMPUTED_VALUE"""),0.79375)</f>
        <v>0.79375</v>
      </c>
      <c r="K6" s="60">
        <f t="shared" si="1"/>
        <v>0.009027777778</v>
      </c>
      <c r="L6" s="51" t="s">
        <v>128</v>
      </c>
      <c r="M6" s="62" t="s">
        <v>129</v>
      </c>
      <c r="N6" s="62" t="str">
        <f t="shared" si="2"/>
        <v>CS_4_5_b853c55b-0a49-42a4-a67b-363dc6b95926_000000_000000.mp4</v>
      </c>
      <c r="O6" s="63"/>
      <c r="P6" s="63"/>
      <c r="Q6" s="63"/>
      <c r="R6" s="51"/>
      <c r="S6" s="51"/>
      <c r="T6" s="51"/>
    </row>
    <row r="7">
      <c r="A7" s="51" t="str">
        <f>IFERROR(__xludf.DUMMYFUNCTION("""COMPUTED_VALUE"""),"5G+X: Creating a new era?")</f>
        <v>5G+X: Creating a new era?</v>
      </c>
      <c r="B7" s="51" t="str">
        <f>IFERROR(__xludf.DUMMYFUNCTION("""COMPUTED_VALUE"""),"Centre Stage")</f>
        <v>Centre Stage</v>
      </c>
      <c r="C7" s="56" t="str">
        <f>IFERROR(__xludf.DUMMYFUNCTION("""COMPUTED_VALUE"""),"Guo Ping")</f>
        <v>Guo Ping</v>
      </c>
      <c r="D7" s="51" t="str">
        <f>IFERROR(__xludf.DUMMYFUNCTION("""COMPUTED_VALUE"""),"2019/11/04 19:03:00")</f>
        <v>2019/11/04 19:03:00</v>
      </c>
      <c r="E7" s="51" t="str">
        <f>IFERROR(__xludf.DUMMYFUNCTION("""COMPUTED_VALUE"""),"2019/11/04 19:18:00")</f>
        <v>2019/11/04 19:18:00</v>
      </c>
      <c r="F7" s="51" t="str">
        <f>IFERROR(__xludf.DUMMYFUNCTION("""COMPUTED_VALUE"""),"62e2e333-7dd6-45e3-9fda-60e06af8d01b")</f>
        <v>62e2e333-7dd6-45e3-9fda-60e06af8d01b</v>
      </c>
      <c r="G7" s="58">
        <f>IFERROR(__xludf.DUMMYFUNCTION("""COMPUTED_VALUE"""),43773.0)</f>
        <v>43773</v>
      </c>
      <c r="H7" s="60">
        <f>IFERROR(__xludf.DUMMYFUNCTION("""COMPUTED_VALUE"""),0.79375)</f>
        <v>0.79375</v>
      </c>
      <c r="I7" s="58">
        <f>IFERROR(__xludf.DUMMYFUNCTION("""COMPUTED_VALUE"""),43773.0)</f>
        <v>43773</v>
      </c>
      <c r="J7" s="60">
        <f>IFERROR(__xludf.DUMMYFUNCTION("""COMPUTED_VALUE"""),0.8041666666666667)</f>
        <v>0.8041666667</v>
      </c>
      <c r="K7" s="60">
        <f t="shared" si="1"/>
        <v>0.01041666667</v>
      </c>
      <c r="L7" s="51" t="s">
        <v>116</v>
      </c>
      <c r="M7" s="62" t="s">
        <v>130</v>
      </c>
      <c r="N7" s="62" t="str">
        <f t="shared" si="2"/>
        <v>CS_4_6_62e2e333-7dd6-45e3-9fda-60e06af8d01b_000000_000000.mp4</v>
      </c>
      <c r="O7" s="63"/>
      <c r="P7" s="63"/>
      <c r="Q7" s="63"/>
      <c r="R7" s="51"/>
      <c r="S7" s="51"/>
      <c r="T7" s="51"/>
    </row>
    <row r="8">
      <c r="A8" s="51" t="str">
        <f>IFERROR(__xludf.DUMMYFUNCTION("""COMPUTED_VALUE"""),"Saving the planet, one drop at a time")</f>
        <v>Saving the planet, one drop at a time</v>
      </c>
      <c r="B8" s="51" t="str">
        <f>IFERROR(__xludf.DUMMYFUNCTION("""COMPUTED_VALUE"""),"Centre Stage")</f>
        <v>Centre Stage</v>
      </c>
      <c r="C8" s="56" t="str">
        <f>IFERROR(__xludf.DUMMYFUNCTION("""COMPUTED_VALUE"""),"Jaden Smith, Gary White, Paul O'Callaghan and Laurie Segall")</f>
        <v>Jaden Smith, Gary White, Paul O'Callaghan and Laurie Segall</v>
      </c>
      <c r="D8" s="51" t="str">
        <f>IFERROR(__xludf.DUMMYFUNCTION("""COMPUTED_VALUE"""),"2019/11/04 19:18:00")</f>
        <v>2019/11/04 19:18:00</v>
      </c>
      <c r="E8" s="51" t="str">
        <f>IFERROR(__xludf.DUMMYFUNCTION("""COMPUTED_VALUE"""),"2019/11/04 19:35:00")</f>
        <v>2019/11/04 19:35:00</v>
      </c>
      <c r="F8" s="51" t="str">
        <f>IFERROR(__xludf.DUMMYFUNCTION("""COMPUTED_VALUE"""),"9a152918-ff5d-49ed-869c-0df761510a22")</f>
        <v>9a152918-ff5d-49ed-869c-0df761510a22</v>
      </c>
      <c r="G8" s="58">
        <f>IFERROR(__xludf.DUMMYFUNCTION("""COMPUTED_VALUE"""),43773.0)</f>
        <v>43773</v>
      </c>
      <c r="H8" s="60">
        <f>IFERROR(__xludf.DUMMYFUNCTION("""COMPUTED_VALUE"""),0.8041666666666667)</f>
        <v>0.8041666667</v>
      </c>
      <c r="I8" s="58">
        <f>IFERROR(__xludf.DUMMYFUNCTION("""COMPUTED_VALUE"""),43773.0)</f>
        <v>43773</v>
      </c>
      <c r="J8" s="60">
        <f>IFERROR(__xludf.DUMMYFUNCTION("""COMPUTED_VALUE"""),0.8159722222222222)</f>
        <v>0.8159722222</v>
      </c>
      <c r="K8" s="60">
        <f t="shared" si="1"/>
        <v>0.01180555556</v>
      </c>
      <c r="L8" s="51" t="s">
        <v>135</v>
      </c>
      <c r="M8" s="62" t="s">
        <v>136</v>
      </c>
      <c r="N8" s="62" t="str">
        <f t="shared" si="2"/>
        <v>CS_4_7_9a152918-ff5d-49ed-869c-0df761510a22_000000_000000.mp4</v>
      </c>
      <c r="O8" s="63"/>
      <c r="P8" s="63"/>
      <c r="Q8" s="63"/>
      <c r="R8" s="51"/>
      <c r="S8" s="51"/>
      <c r="T8" s="51"/>
    </row>
    <row r="9">
      <c r="A9" s="51" t="str">
        <f>IFERROR(__xludf.DUMMYFUNCTION("""COMPUTED_VALUE"""),"Official Opening Ceremony")</f>
        <v>Official Opening Ceremony</v>
      </c>
      <c r="B9" s="51" t="str">
        <f>IFERROR(__xludf.DUMMYFUNCTION("""COMPUTED_VALUE"""),"Centre Stage")</f>
        <v>Centre Stage</v>
      </c>
      <c r="C9" s="56" t="str">
        <f>IFERROR(__xludf.DUMMYFUNCTION("""COMPUTED_VALUE"""),"Pedro Siza Vieira, Fernando Medina and Paddy Cosgrave")</f>
        <v>Pedro Siza Vieira, Fernando Medina and Paddy Cosgrave</v>
      </c>
      <c r="D9" s="51" t="str">
        <f>IFERROR(__xludf.DUMMYFUNCTION("""COMPUTED_VALUE"""),"2019/11/04 19:35:00")</f>
        <v>2019/11/04 19:35:00</v>
      </c>
      <c r="E9" s="51" t="str">
        <f>IFERROR(__xludf.DUMMYFUNCTION("""COMPUTED_VALUE"""),"2019/11/04 19:45:00")</f>
        <v>2019/11/04 19:45:00</v>
      </c>
      <c r="F9" s="51" t="str">
        <f>IFERROR(__xludf.DUMMYFUNCTION("""COMPUTED_VALUE"""),"88d43ad8-c396-434a-9b4f-ecea0ab0ea09")</f>
        <v>88d43ad8-c396-434a-9b4f-ecea0ab0ea09</v>
      </c>
      <c r="G9" s="58">
        <f>IFERROR(__xludf.DUMMYFUNCTION("""COMPUTED_VALUE"""),43773.0)</f>
        <v>43773</v>
      </c>
      <c r="H9" s="60">
        <f>IFERROR(__xludf.DUMMYFUNCTION("""COMPUTED_VALUE"""),0.8159722222222222)</f>
        <v>0.8159722222</v>
      </c>
      <c r="I9" s="58">
        <f>IFERROR(__xludf.DUMMYFUNCTION("""COMPUTED_VALUE"""),43773.0)</f>
        <v>43773</v>
      </c>
      <c r="J9" s="60">
        <f>IFERROR(__xludf.DUMMYFUNCTION("""COMPUTED_VALUE"""),0.8229166666666666)</f>
        <v>0.8229166667</v>
      </c>
      <c r="K9" s="60">
        <f t="shared" si="1"/>
        <v>0.006944444444</v>
      </c>
      <c r="L9" s="51" t="s">
        <v>124</v>
      </c>
      <c r="M9" s="62" t="s">
        <v>140</v>
      </c>
      <c r="N9" s="62" t="str">
        <f t="shared" si="2"/>
        <v>CS_4_8_88d43ad8-c396-434a-9b4f-ecea0ab0ea09_000000_000000.mp4</v>
      </c>
      <c r="O9" s="63"/>
      <c r="P9" s="63"/>
      <c r="Q9" s="63"/>
      <c r="R9" s="51"/>
      <c r="S9" s="51"/>
      <c r="T9" s="51"/>
    </row>
    <row r="10">
      <c r="A10" s="51" t="str">
        <f>IFERROR(__xludf.DUMMYFUNCTION("""COMPUTED_VALUE"""),"Breakout startups")</f>
        <v>Breakout startups</v>
      </c>
      <c r="B10" s="51" t="str">
        <f>IFERROR(__xludf.DUMMYFUNCTION("""COMPUTED_VALUE"""),"Centre Stage")</f>
        <v>Centre Stage</v>
      </c>
      <c r="C10" s="56" t="str">
        <f>IFERROR(__xludf.DUMMYFUNCTION("""COMPUTED_VALUE"""),"Nuno Pinto, Andre Jordao, Nuno Fonseca, Josh Lowy, Nils Henning, Sam Al-Mukhtar, Shane Curran, Dev Amratia, Sid Khattri, Bob Moore, Jaleh Rezaei and Els van der Helm")</f>
        <v>Nuno Pinto, Andre Jordao, Nuno Fonseca, Josh Lowy, Nils Henning, Sam Al-Mukhtar, Shane Curran, Dev Amratia, Sid Khattri, Bob Moore, Jaleh Rezaei and Els van der Helm</v>
      </c>
      <c r="D10" s="51" t="str">
        <f>IFERROR(__xludf.DUMMYFUNCTION("""COMPUTED_VALUE"""),"2019/11/05 09:10:00")</f>
        <v>2019/11/05 09:10:00</v>
      </c>
      <c r="E10" s="51" t="str">
        <f>IFERROR(__xludf.DUMMYFUNCTION("""COMPUTED_VALUE"""),"2019/11/05 09:45:00")</f>
        <v>2019/11/05 09:45:00</v>
      </c>
      <c r="F10" s="51" t="str">
        <f>IFERROR(__xludf.DUMMYFUNCTION("""COMPUTED_VALUE"""),"aca07843-a28b-4f66-aa13-e16eb13ee5cf")</f>
        <v>aca07843-a28b-4f66-aa13-e16eb13ee5cf</v>
      </c>
      <c r="G10" s="58">
        <f>IFERROR(__xludf.DUMMYFUNCTION("""COMPUTED_VALUE"""),43774.0)</f>
        <v>43774</v>
      </c>
      <c r="H10" s="60">
        <f>IFERROR(__xludf.DUMMYFUNCTION("""COMPUTED_VALUE"""),0.3819444444444444)</f>
        <v>0.3819444444</v>
      </c>
      <c r="I10" s="58">
        <f>IFERROR(__xludf.DUMMYFUNCTION("""COMPUTED_VALUE"""),43774.0)</f>
        <v>43774</v>
      </c>
      <c r="J10" s="60">
        <f>IFERROR(__xludf.DUMMYFUNCTION("""COMPUTED_VALUE"""),0.40625)</f>
        <v>0.40625</v>
      </c>
      <c r="K10" s="60">
        <f t="shared" si="1"/>
        <v>0.02430555556</v>
      </c>
      <c r="L10" s="51" t="s">
        <v>147</v>
      </c>
      <c r="M10" s="62" t="s">
        <v>148</v>
      </c>
      <c r="N10" s="62" t="str">
        <f t="shared" si="2"/>
        <v>CS_5_1_aca07843-a28b-4f66-aa13-e16eb13ee5cf_000000_000000.mp4</v>
      </c>
      <c r="O10" s="63"/>
      <c r="P10" s="63"/>
      <c r="Q10" s="63"/>
      <c r="R10" s="51"/>
      <c r="S10" s="51"/>
      <c r="T10" s="51"/>
    </row>
    <row r="11">
      <c r="A11" s="51" t="str">
        <f>IFERROR(__xludf.DUMMYFUNCTION("""COMPUTED_VALUE"""),"Opening remarks")</f>
        <v>Opening remarks</v>
      </c>
      <c r="B11" s="51" t="str">
        <f>IFERROR(__xludf.DUMMYFUNCTION("""COMPUTED_VALUE"""),"Centre Stage")</f>
        <v>Centre Stage</v>
      </c>
      <c r="C11" s="56" t="str">
        <f>IFERROR(__xludf.DUMMYFUNCTION("""COMPUTED_VALUE"""),"Paddy Cosgrave")</f>
        <v>Paddy Cosgrave</v>
      </c>
      <c r="D11" s="51" t="str">
        <f>IFERROR(__xludf.DUMMYFUNCTION("""COMPUTED_VALUE"""),"2019/11/05 09:45:00")</f>
        <v>2019/11/05 09:45:00</v>
      </c>
      <c r="E11" s="51" t="str">
        <f>IFERROR(__xludf.DUMMYFUNCTION("""COMPUTED_VALUE"""),"2019/11/05 10:00:00")</f>
        <v>2019/11/05 10:00:00</v>
      </c>
      <c r="F11" s="51" t="str">
        <f>IFERROR(__xludf.DUMMYFUNCTION("""COMPUTED_VALUE"""),"7f1dd639-8f39-470b-bbeb-b20c8f9f7106")</f>
        <v>7f1dd639-8f39-470b-bbeb-b20c8f9f7106</v>
      </c>
      <c r="G11" s="58">
        <f>IFERROR(__xludf.DUMMYFUNCTION("""COMPUTED_VALUE"""),43774.0)</f>
        <v>43774</v>
      </c>
      <c r="H11" s="60">
        <f>IFERROR(__xludf.DUMMYFUNCTION("""COMPUTED_VALUE"""),0.40625)</f>
        <v>0.40625</v>
      </c>
      <c r="I11" s="58">
        <f>IFERROR(__xludf.DUMMYFUNCTION("""COMPUTED_VALUE"""),43774.0)</f>
        <v>43774</v>
      </c>
      <c r="J11" s="60">
        <f>IFERROR(__xludf.DUMMYFUNCTION("""COMPUTED_VALUE"""),0.4166666666666667)</f>
        <v>0.4166666667</v>
      </c>
      <c r="K11" s="60">
        <f t="shared" si="1"/>
        <v>0.01041666667</v>
      </c>
      <c r="L11" s="51" t="s">
        <v>116</v>
      </c>
      <c r="M11" s="62" t="s">
        <v>153</v>
      </c>
      <c r="N11" s="62" t="str">
        <f t="shared" si="2"/>
        <v>CS_5_2_7f1dd639-8f39-470b-bbeb-b20c8f9f7106_000000_000000.mp4</v>
      </c>
      <c r="O11" s="63"/>
      <c r="P11" s="63"/>
      <c r="Q11" s="63"/>
      <c r="R11" s="51"/>
      <c r="S11" s="51"/>
      <c r="T11" s="51"/>
    </row>
    <row r="12">
      <c r="A12" s="51" t="str">
        <f>IFERROR(__xludf.DUMMYFUNCTION("""COMPUTED_VALUE"""),"Are you ready for 5G?")</f>
        <v>Are you ready for 5G?</v>
      </c>
      <c r="B12" s="51" t="str">
        <f>IFERROR(__xludf.DUMMYFUNCTION("""COMPUTED_VALUE"""),"Centre Stage")</f>
        <v>Centre Stage</v>
      </c>
      <c r="C12" s="56" t="str">
        <f>IFERROR(__xludf.DUMMYFUNCTION("""COMPUTED_VALUE"""),"Ronan Dunne")</f>
        <v>Ronan Dunne</v>
      </c>
      <c r="D12" s="51" t="str">
        <f>IFERROR(__xludf.DUMMYFUNCTION("""COMPUTED_VALUE"""),"2019/11/05 10:00:00")</f>
        <v>2019/11/05 10:00:00</v>
      </c>
      <c r="E12" s="51" t="str">
        <f>IFERROR(__xludf.DUMMYFUNCTION("""COMPUTED_VALUE"""),"2019/11/05 10:25:00")</f>
        <v>2019/11/05 10:25:00</v>
      </c>
      <c r="F12" s="51" t="str">
        <f>IFERROR(__xludf.DUMMYFUNCTION("""COMPUTED_VALUE"""),"bf25eb67-8b8e-428d-9bd1-345f15be223c")</f>
        <v>bf25eb67-8b8e-428d-9bd1-345f15be223c</v>
      </c>
      <c r="G12" s="58">
        <f>IFERROR(__xludf.DUMMYFUNCTION("""COMPUTED_VALUE"""),43774.0)</f>
        <v>43774</v>
      </c>
      <c r="H12" s="60">
        <f>IFERROR(__xludf.DUMMYFUNCTION("""COMPUTED_VALUE"""),0.4166666666666667)</f>
        <v>0.4166666667</v>
      </c>
      <c r="I12" s="58">
        <f>IFERROR(__xludf.DUMMYFUNCTION("""COMPUTED_VALUE"""),43774.0)</f>
        <v>43774</v>
      </c>
      <c r="J12" s="60">
        <f>IFERROR(__xludf.DUMMYFUNCTION("""COMPUTED_VALUE"""),0.4340277777777778)</f>
        <v>0.4340277778</v>
      </c>
      <c r="K12" s="60">
        <f t="shared" si="1"/>
        <v>0.01736111111</v>
      </c>
      <c r="L12" s="51" t="s">
        <v>107</v>
      </c>
      <c r="M12" s="62" t="s">
        <v>161</v>
      </c>
      <c r="N12" s="62" t="str">
        <f t="shared" si="2"/>
        <v>CS_5_3_bf25eb67-8b8e-428d-9bd1-345f15be223c_000000_000000.mp4</v>
      </c>
      <c r="O12" s="63"/>
      <c r="P12" s="63"/>
      <c r="Q12" s="63"/>
      <c r="R12" s="51"/>
      <c r="S12" s="51"/>
      <c r="T12" s="51"/>
    </row>
    <row r="13">
      <c r="A13" s="51" t="str">
        <f>IFERROR(__xludf.DUMMYFUNCTION("""COMPUTED_VALUE"""),"Reinventing your brand in a digital era ")</f>
        <v>Reinventing your brand in a digital era </v>
      </c>
      <c r="B13" s="51" t="str">
        <f>IFERROR(__xludf.DUMMYFUNCTION("""COMPUTED_VALUE"""),"Centre Stage")</f>
        <v>Centre Stage</v>
      </c>
      <c r="C13" s="56" t="str">
        <f>IFERROR(__xludf.DUMMYFUNCTION("""COMPUTED_VALUE"""),"Barbara Martin Coppola, Kristin Lemkau and Cheng Lei")</f>
        <v>Barbara Martin Coppola, Kristin Lemkau and Cheng Lei</v>
      </c>
      <c r="D13" s="51" t="str">
        <f>IFERROR(__xludf.DUMMYFUNCTION("""COMPUTED_VALUE"""),"2019/11/05 10:25:00")</f>
        <v>2019/11/05 10:25:00</v>
      </c>
      <c r="E13" s="51" t="str">
        <f>IFERROR(__xludf.DUMMYFUNCTION("""COMPUTED_VALUE"""),"2019/11/05 10:45:00")</f>
        <v>2019/11/05 10:45:00</v>
      </c>
      <c r="F13" s="51" t="str">
        <f>IFERROR(__xludf.DUMMYFUNCTION("""COMPUTED_VALUE"""),"95e83ee7-1575-4b04-90f3-35e69d85efa8")</f>
        <v>95e83ee7-1575-4b04-90f3-35e69d85efa8</v>
      </c>
      <c r="G13" s="58">
        <f>IFERROR(__xludf.DUMMYFUNCTION("""COMPUTED_VALUE"""),43774.0)</f>
        <v>43774</v>
      </c>
      <c r="H13" s="60">
        <f>IFERROR(__xludf.DUMMYFUNCTION("""COMPUTED_VALUE"""),0.4340277777777778)</f>
        <v>0.4340277778</v>
      </c>
      <c r="I13" s="58">
        <f>IFERROR(__xludf.DUMMYFUNCTION("""COMPUTED_VALUE"""),43774.0)</f>
        <v>43774</v>
      </c>
      <c r="J13" s="60">
        <f>IFERROR(__xludf.DUMMYFUNCTION("""COMPUTED_VALUE"""),0.4479166666666667)</f>
        <v>0.4479166667</v>
      </c>
      <c r="K13" s="60">
        <f t="shared" si="1"/>
        <v>0.01388888889</v>
      </c>
      <c r="L13" s="51" t="s">
        <v>111</v>
      </c>
      <c r="M13" s="62" t="s">
        <v>166</v>
      </c>
      <c r="N13" s="62" t="str">
        <f t="shared" si="2"/>
        <v>CS_5_4_95e83ee7-1575-4b04-90f3-35e69d85efa8_000000_000000.mp4</v>
      </c>
      <c r="O13" s="63"/>
      <c r="P13" s="63"/>
      <c r="Q13" s="63"/>
      <c r="R13" s="51"/>
      <c r="S13" s="51"/>
      <c r="T13" s="51"/>
    </row>
    <row r="14">
      <c r="A14" s="51" t="str">
        <f>IFERROR(__xludf.DUMMYFUNCTION("""COMPUTED_VALUE"""),"Building Calibra and increasing access to the global economy")</f>
        <v>Building Calibra and increasing access to the global economy</v>
      </c>
      <c r="B14" s="51" t="str">
        <f>IFERROR(__xludf.DUMMYFUNCTION("""COMPUTED_VALUE"""),"Centre Stage")</f>
        <v>Centre Stage</v>
      </c>
      <c r="C14" s="56" t="str">
        <f>IFERROR(__xludf.DUMMYFUNCTION("""COMPUTED_VALUE"""),"Kevin Weil and Tim Bradshaw")</f>
        <v>Kevin Weil and Tim Bradshaw</v>
      </c>
      <c r="D14" s="51" t="str">
        <f>IFERROR(__xludf.DUMMYFUNCTION("""COMPUTED_VALUE"""),"2019/11/05 10:45:00")</f>
        <v>2019/11/05 10:45:00</v>
      </c>
      <c r="E14" s="51" t="str">
        <f>IFERROR(__xludf.DUMMYFUNCTION("""COMPUTED_VALUE"""),"2019/11/05 11:10:00")</f>
        <v>2019/11/05 11:10:00</v>
      </c>
      <c r="F14" s="51" t="str">
        <f>IFERROR(__xludf.DUMMYFUNCTION("""COMPUTED_VALUE"""),"b644ca03-0d33-47fe-b16b-93d2c0607c1a")</f>
        <v>b644ca03-0d33-47fe-b16b-93d2c0607c1a</v>
      </c>
      <c r="G14" s="58">
        <f>IFERROR(__xludf.DUMMYFUNCTION("""COMPUTED_VALUE"""),43774.0)</f>
        <v>43774</v>
      </c>
      <c r="H14" s="60">
        <f>IFERROR(__xludf.DUMMYFUNCTION("""COMPUTED_VALUE"""),0.4479166666666667)</f>
        <v>0.4479166667</v>
      </c>
      <c r="I14" s="58">
        <f>IFERROR(__xludf.DUMMYFUNCTION("""COMPUTED_VALUE"""),43774.0)</f>
        <v>43774</v>
      </c>
      <c r="J14" s="60">
        <f>IFERROR(__xludf.DUMMYFUNCTION("""COMPUTED_VALUE"""),0.4652777777777778)</f>
        <v>0.4652777778</v>
      </c>
      <c r="K14" s="60">
        <f t="shared" si="1"/>
        <v>0.01736111111</v>
      </c>
      <c r="L14" s="51" t="s">
        <v>107</v>
      </c>
      <c r="M14" s="62" t="s">
        <v>171</v>
      </c>
      <c r="N14" s="62" t="str">
        <f t="shared" si="2"/>
        <v>CS_5_5_b644ca03-0d33-47fe-b16b-93d2c0607c1a_000000_000000.mp4</v>
      </c>
      <c r="O14" s="63"/>
      <c r="P14" s="63"/>
      <c r="Q14" s="63"/>
      <c r="R14" s="51"/>
      <c r="S14" s="51"/>
      <c r="T14" s="51"/>
    </row>
    <row r="15">
      <c r="A15" s="51" t="str">
        <f>IFERROR(__xludf.DUMMYFUNCTION("""COMPUTED_VALUE"""),"Winning in round 1: Exciting the world's best seed investors")</f>
        <v>Winning in round 1: Exciting the world's best seed investors</v>
      </c>
      <c r="B15" s="51" t="str">
        <f>IFERROR(__xludf.DUMMYFUNCTION("""COMPUTED_VALUE"""),"Centre Stage")</f>
        <v>Centre Stage</v>
      </c>
      <c r="C15" s="56" t="str">
        <f>IFERROR(__xludf.DUMMYFUNCTION("""COMPUTED_VALUE"""),"Reshma Sohoni, Saul Klein, David Brown and Mike Butcher")</f>
        <v>Reshma Sohoni, Saul Klein, David Brown and Mike Butcher</v>
      </c>
      <c r="D15" s="51" t="str">
        <f>IFERROR(__xludf.DUMMYFUNCTION("""COMPUTED_VALUE"""),"2019/11/05 11:10:00")</f>
        <v>2019/11/05 11:10:00</v>
      </c>
      <c r="E15" s="51" t="str">
        <f>IFERROR(__xludf.DUMMYFUNCTION("""COMPUTED_VALUE"""),"2019/11/05 11:30:00")</f>
        <v>2019/11/05 11:30:00</v>
      </c>
      <c r="F15" s="51" t="str">
        <f>IFERROR(__xludf.DUMMYFUNCTION("""COMPUTED_VALUE"""),"a421dcf6-c709-47c8-9338-de768cfdb856")</f>
        <v>a421dcf6-c709-47c8-9338-de768cfdb856</v>
      </c>
      <c r="G15" s="58">
        <f>IFERROR(__xludf.DUMMYFUNCTION("""COMPUTED_VALUE"""),43774.0)</f>
        <v>43774</v>
      </c>
      <c r="H15" s="60">
        <f>IFERROR(__xludf.DUMMYFUNCTION("""COMPUTED_VALUE"""),0.4652777777777778)</f>
        <v>0.4652777778</v>
      </c>
      <c r="I15" s="58">
        <f>IFERROR(__xludf.DUMMYFUNCTION("""COMPUTED_VALUE"""),43774.0)</f>
        <v>43774</v>
      </c>
      <c r="J15" s="60">
        <f>IFERROR(__xludf.DUMMYFUNCTION("""COMPUTED_VALUE"""),0.4791666666666667)</f>
        <v>0.4791666667</v>
      </c>
      <c r="K15" s="60">
        <f t="shared" si="1"/>
        <v>0.01388888889</v>
      </c>
      <c r="L15" s="51" t="s">
        <v>111</v>
      </c>
      <c r="M15" s="62" t="s">
        <v>172</v>
      </c>
      <c r="N15" s="62" t="str">
        <f t="shared" si="2"/>
        <v>CS_5_6_a421dcf6-c709-47c8-9338-de768cfdb856_000000_000000.mp4</v>
      </c>
      <c r="O15" s="63"/>
      <c r="P15" s="63"/>
      <c r="Q15" s="63"/>
      <c r="R15" s="51"/>
      <c r="S15" s="51"/>
      <c r="T15" s="51"/>
    </row>
    <row r="16">
      <c r="A16" s="51" t="str">
        <f>IFERROR(__xludf.DUMMYFUNCTION("""COMPUTED_VALUE"""),"The EU after Brexit")</f>
        <v>The EU after Brexit</v>
      </c>
      <c r="B16" s="51" t="str">
        <f>IFERROR(__xludf.DUMMYFUNCTION("""COMPUTED_VALUE"""),"Centre Stage")</f>
        <v>Centre Stage</v>
      </c>
      <c r="C16" s="56" t="str">
        <f>IFERROR(__xludf.DUMMYFUNCTION("""COMPUTED_VALUE"""),"Michel Barnier")</f>
        <v>Michel Barnier</v>
      </c>
      <c r="D16" s="51" t="str">
        <f>IFERROR(__xludf.DUMMYFUNCTION("""COMPUTED_VALUE"""),"2019/11/05 11:30:00")</f>
        <v>2019/11/05 11:30:00</v>
      </c>
      <c r="E16" s="51" t="str">
        <f>IFERROR(__xludf.DUMMYFUNCTION("""COMPUTED_VALUE"""),"2019/11/05 11:55:00")</f>
        <v>2019/11/05 11:55:00</v>
      </c>
      <c r="F16" s="51" t="str">
        <f>IFERROR(__xludf.DUMMYFUNCTION("""COMPUTED_VALUE"""),"713e026f-aaed-45c7-89ed-303e1d902d74")</f>
        <v>713e026f-aaed-45c7-89ed-303e1d902d74</v>
      </c>
      <c r="G16" s="58">
        <f>IFERROR(__xludf.DUMMYFUNCTION("""COMPUTED_VALUE"""),43774.0)</f>
        <v>43774</v>
      </c>
      <c r="H16" s="60">
        <f>IFERROR(__xludf.DUMMYFUNCTION("""COMPUTED_VALUE"""),0.4791666666666667)</f>
        <v>0.4791666667</v>
      </c>
      <c r="I16" s="58">
        <f>IFERROR(__xludf.DUMMYFUNCTION("""COMPUTED_VALUE"""),43774.0)</f>
        <v>43774</v>
      </c>
      <c r="J16" s="60">
        <f>IFERROR(__xludf.DUMMYFUNCTION("""COMPUTED_VALUE"""),0.4965277777777778)</f>
        <v>0.4965277778</v>
      </c>
      <c r="K16" s="60">
        <f t="shared" si="1"/>
        <v>0.01736111111</v>
      </c>
      <c r="L16" s="51" t="s">
        <v>107</v>
      </c>
      <c r="M16" s="62" t="s">
        <v>173</v>
      </c>
      <c r="N16" s="62" t="str">
        <f t="shared" si="2"/>
        <v>CS_5_7_713e026f-aaed-45c7-89ed-303e1d902d74_000000_000000.mp4</v>
      </c>
      <c r="O16" s="63"/>
      <c r="P16" s="63"/>
      <c r="Q16" s="63"/>
      <c r="R16" s="51"/>
      <c r="S16" s="51"/>
      <c r="T16" s="51"/>
    </row>
    <row r="17">
      <c r="A17" s="51" t="str">
        <f>IFERROR(__xludf.DUMMYFUNCTION("""COMPUTED_VALUE"""),"Thinking outside the box")</f>
        <v>Thinking outside the box</v>
      </c>
      <c r="B17" s="51" t="str">
        <f>IFERROR(__xludf.DUMMYFUNCTION("""COMPUTED_VALUE"""),"Centre Stage")</f>
        <v>Centre Stage</v>
      </c>
      <c r="C17" s="56" t="str">
        <f>IFERROR(__xludf.DUMMYFUNCTION("""COMPUTED_VALUE"""),"Wladimir Klitschko, Kristen Garcia Dumont and Halsey Minor")</f>
        <v>Wladimir Klitschko, Kristen Garcia Dumont and Halsey Minor</v>
      </c>
      <c r="D17" s="51" t="str">
        <f>IFERROR(__xludf.DUMMYFUNCTION("""COMPUTED_VALUE"""),"2019/11/05 11:55:00")</f>
        <v>2019/11/05 11:55:00</v>
      </c>
      <c r="E17" s="51" t="str">
        <f>IFERROR(__xludf.DUMMYFUNCTION("""COMPUTED_VALUE"""),"2019/11/05 12:15:00")</f>
        <v>2019/11/05 12:15:00</v>
      </c>
      <c r="F17" s="51" t="str">
        <f>IFERROR(__xludf.DUMMYFUNCTION("""COMPUTED_VALUE"""),"29f68515-a259-4271-8f36-0b378ef8ce8f")</f>
        <v>29f68515-a259-4271-8f36-0b378ef8ce8f</v>
      </c>
      <c r="G17" s="58">
        <f>IFERROR(__xludf.DUMMYFUNCTION("""COMPUTED_VALUE"""),43774.0)</f>
        <v>43774</v>
      </c>
      <c r="H17" s="60">
        <f>IFERROR(__xludf.DUMMYFUNCTION("""COMPUTED_VALUE"""),0.4965277777777778)</f>
        <v>0.4965277778</v>
      </c>
      <c r="I17" s="58">
        <f>IFERROR(__xludf.DUMMYFUNCTION("""COMPUTED_VALUE"""),43774.0)</f>
        <v>43774</v>
      </c>
      <c r="J17" s="60">
        <f>IFERROR(__xludf.DUMMYFUNCTION("""COMPUTED_VALUE"""),0.5104166666666666)</f>
        <v>0.5104166667</v>
      </c>
      <c r="K17" s="60">
        <f t="shared" si="1"/>
        <v>0.01388888889</v>
      </c>
      <c r="L17" s="51" t="s">
        <v>111</v>
      </c>
      <c r="M17" s="62" t="s">
        <v>174</v>
      </c>
      <c r="N17" s="62" t="str">
        <f t="shared" si="2"/>
        <v>CS_5_8_29f68515-a259-4271-8f36-0b378ef8ce8f_000000_000000.mp4</v>
      </c>
      <c r="O17" s="63"/>
      <c r="P17" s="63"/>
      <c r="Q17" s="63"/>
      <c r="R17" s="51"/>
      <c r="S17" s="51"/>
      <c r="T17" s="51"/>
    </row>
    <row r="18">
      <c r="A18" s="51" t="str">
        <f>IFERROR(__xludf.DUMMYFUNCTION("""COMPUTED_VALUE"""),"One year out: Will Trump be re-elected?")</f>
        <v>One year out: Will Trump be re-elected?</v>
      </c>
      <c r="B18" s="51" t="str">
        <f>IFERROR(__xludf.DUMMYFUNCTION("""COMPUTED_VALUE"""),"Centre Stage")</f>
        <v>Centre Stage</v>
      </c>
      <c r="C18" s="56" t="str">
        <f>IFERROR(__xludf.DUMMYFUNCTION("""COMPUTED_VALUE"""),"Joe Pounder, Neal Katyal, Brittany Kaiser and Tim Alberta")</f>
        <v>Joe Pounder, Neal Katyal, Brittany Kaiser and Tim Alberta</v>
      </c>
      <c r="D18" s="51" t="str">
        <f>IFERROR(__xludf.DUMMYFUNCTION("""COMPUTED_VALUE"""),"2019/11/05 12:15:00")</f>
        <v>2019/11/05 12:15:00</v>
      </c>
      <c r="E18" s="51" t="str">
        <f>IFERROR(__xludf.DUMMYFUNCTION("""COMPUTED_VALUE"""),"2019/11/05 12:35:00")</f>
        <v>2019/11/05 12:35:00</v>
      </c>
      <c r="F18" s="51" t="str">
        <f>IFERROR(__xludf.DUMMYFUNCTION("""COMPUTED_VALUE"""),"09d75071-c2d2-4ef4-a484-453ac13f9bb7")</f>
        <v>09d75071-c2d2-4ef4-a484-453ac13f9bb7</v>
      </c>
      <c r="G18" s="58">
        <f>IFERROR(__xludf.DUMMYFUNCTION("""COMPUTED_VALUE"""),43774.0)</f>
        <v>43774</v>
      </c>
      <c r="H18" s="60">
        <f>IFERROR(__xludf.DUMMYFUNCTION("""COMPUTED_VALUE"""),0.5104166666666666)</f>
        <v>0.5104166667</v>
      </c>
      <c r="I18" s="58">
        <f>IFERROR(__xludf.DUMMYFUNCTION("""COMPUTED_VALUE"""),43774.0)</f>
        <v>43774</v>
      </c>
      <c r="J18" s="60">
        <f>IFERROR(__xludf.DUMMYFUNCTION("""COMPUTED_VALUE"""),0.5243055555555556)</f>
        <v>0.5243055556</v>
      </c>
      <c r="K18" s="60">
        <f t="shared" si="1"/>
        <v>0.01388888889</v>
      </c>
      <c r="L18" s="51" t="s">
        <v>111</v>
      </c>
      <c r="M18" s="62" t="s">
        <v>175</v>
      </c>
      <c r="N18" s="62" t="str">
        <f t="shared" si="2"/>
        <v>CS_5_9_09d75071-c2d2-4ef4-a484-453ac13f9bb7_000000_000000.mp4</v>
      </c>
      <c r="O18" s="63"/>
      <c r="P18" s="63"/>
      <c r="Q18" s="63"/>
      <c r="R18" s="51"/>
      <c r="S18" s="51"/>
      <c r="T18" s="51"/>
    </row>
    <row r="19">
      <c r="A19" s="51" t="str">
        <f>IFERROR(__xludf.DUMMYFUNCTION("""COMPUTED_VALUE"""),"Your Home in 2025")</f>
        <v>Your Home in 2025</v>
      </c>
      <c r="B19" s="51" t="str">
        <f>IFERROR(__xludf.DUMMYFUNCTION("""COMPUTED_VALUE"""),"Centre Stage")</f>
        <v>Centre Stage</v>
      </c>
      <c r="C19" s="56" t="str">
        <f>IFERROR(__xludf.DUMMYFUNCTION("""COMPUTED_VALUE"""),"David Eun")</f>
        <v>David Eun</v>
      </c>
      <c r="D19" s="51" t="str">
        <f>IFERROR(__xludf.DUMMYFUNCTION("""COMPUTED_VALUE"""),"2019/11/05 12:35:00")</f>
        <v>2019/11/05 12:35:00</v>
      </c>
      <c r="E19" s="51" t="str">
        <f>IFERROR(__xludf.DUMMYFUNCTION("""COMPUTED_VALUE"""),"2019/11/05 13:00:00")</f>
        <v>2019/11/05 13:00:00</v>
      </c>
      <c r="F19" s="51" t="str">
        <f>IFERROR(__xludf.DUMMYFUNCTION("""COMPUTED_VALUE"""),"55cc8fc2-2f0e-49dd-bc33-3ae6c6263206")</f>
        <v>55cc8fc2-2f0e-49dd-bc33-3ae6c6263206</v>
      </c>
      <c r="G19" s="58">
        <f>IFERROR(__xludf.DUMMYFUNCTION("""COMPUTED_VALUE"""),43774.0)</f>
        <v>43774</v>
      </c>
      <c r="H19" s="60">
        <f>IFERROR(__xludf.DUMMYFUNCTION("""COMPUTED_VALUE"""),0.5243055555555556)</f>
        <v>0.5243055556</v>
      </c>
      <c r="I19" s="58">
        <f>IFERROR(__xludf.DUMMYFUNCTION("""COMPUTED_VALUE"""),43774.0)</f>
        <v>43774</v>
      </c>
      <c r="J19" s="60">
        <f>IFERROR(__xludf.DUMMYFUNCTION("""COMPUTED_VALUE"""),0.5416666666666666)</f>
        <v>0.5416666667</v>
      </c>
      <c r="K19" s="60">
        <f t="shared" si="1"/>
        <v>0.01736111111</v>
      </c>
      <c r="L19" s="51" t="s">
        <v>107</v>
      </c>
      <c r="M19" s="62" t="s">
        <v>176</v>
      </c>
      <c r="N19" s="62" t="str">
        <f t="shared" si="2"/>
        <v>CS_5_10_55cc8fc2-2f0e-49dd-bc33-3ae6c6263206_000000_000000.mp4</v>
      </c>
      <c r="O19" s="63"/>
      <c r="P19" s="63"/>
      <c r="Q19" s="63"/>
      <c r="R19" s="51"/>
      <c r="S19" s="51"/>
      <c r="T19" s="51"/>
    </row>
    <row r="20">
      <c r="A20" s="51" t="str">
        <f>IFERROR(__xludf.DUMMYFUNCTION("""COMPUTED_VALUE"""),"Lunch break")</f>
        <v>Lunch break</v>
      </c>
      <c r="B20" s="51" t="str">
        <f>IFERROR(__xludf.DUMMYFUNCTION("""COMPUTED_VALUE"""),"Centre Stage")</f>
        <v>Centre Stage</v>
      </c>
      <c r="C20" s="56" t="str">
        <f>IFERROR(__xludf.DUMMYFUNCTION("""COMPUTED_VALUE"""),"")</f>
        <v/>
      </c>
      <c r="D20" s="51" t="str">
        <f>IFERROR(__xludf.DUMMYFUNCTION("""COMPUTED_VALUE"""),"2019/11/05 13:00:00")</f>
        <v>2019/11/05 13:00:00</v>
      </c>
      <c r="E20" s="51" t="str">
        <f>IFERROR(__xludf.DUMMYFUNCTION("""COMPUTED_VALUE"""),"2019/11/05 13:15:00")</f>
        <v>2019/11/05 13:15:00</v>
      </c>
      <c r="F20" s="51" t="str">
        <f>IFERROR(__xludf.DUMMYFUNCTION("""COMPUTED_VALUE"""),"a0526514-34b3-4075-a2e7-26e8c2fcb1a6")</f>
        <v>a0526514-34b3-4075-a2e7-26e8c2fcb1a6</v>
      </c>
      <c r="G20" s="58">
        <f>IFERROR(__xludf.DUMMYFUNCTION("""COMPUTED_VALUE"""),43774.0)</f>
        <v>43774</v>
      </c>
      <c r="H20" s="60">
        <f>IFERROR(__xludf.DUMMYFUNCTION("""COMPUTED_VALUE"""),0.5416666666666666)</f>
        <v>0.5416666667</v>
      </c>
      <c r="I20" s="58">
        <f>IFERROR(__xludf.DUMMYFUNCTION("""COMPUTED_VALUE"""),43774.0)</f>
        <v>43774</v>
      </c>
      <c r="J20" s="60">
        <f>IFERROR(__xludf.DUMMYFUNCTION("""COMPUTED_VALUE"""),0.5520833333333334)</f>
        <v>0.5520833333</v>
      </c>
      <c r="K20" s="60">
        <f t="shared" si="1"/>
        <v>0.01041666667</v>
      </c>
      <c r="L20" s="51" t="s">
        <v>116</v>
      </c>
      <c r="M20" s="62"/>
      <c r="N20" s="62" t="str">
        <f t="shared" si="2"/>
        <v>_a0526514-34b3-4075-a2e7-26e8c2fcb1a6_000000_000000.mp4</v>
      </c>
      <c r="O20" s="63"/>
      <c r="P20" s="63"/>
      <c r="Q20" s="63"/>
      <c r="R20" s="51"/>
      <c r="S20" s="51"/>
      <c r="T20" s="51"/>
    </row>
    <row r="21">
      <c r="A21" s="51" t="str">
        <f>IFERROR(__xludf.DUMMYFUNCTION("""COMPUTED_VALUE"""),"Breakout startups")</f>
        <v>Breakout startups</v>
      </c>
      <c r="B21" s="51" t="str">
        <f>IFERROR(__xludf.DUMMYFUNCTION("""COMPUTED_VALUE"""),"Centre Stage")</f>
        <v>Centre Stage</v>
      </c>
      <c r="C21" s="56" t="str">
        <f>IFERROR(__xludf.DUMMYFUNCTION("""COMPUTED_VALUE"""),"John Wolanin, Lingjia Tang, Kate Rosenbluth, Aba Schubert, Alex Barrotti, Firmin Zocchetto and Laura Urquizu")</f>
        <v>John Wolanin, Lingjia Tang, Kate Rosenbluth, Aba Schubert, Alex Barrotti, Firmin Zocchetto and Laura Urquizu</v>
      </c>
      <c r="D21" s="51" t="str">
        <f>IFERROR(__xludf.DUMMYFUNCTION("""COMPUTED_VALUE"""),"2019/11/05 13:15:00")</f>
        <v>2019/11/05 13:15:00</v>
      </c>
      <c r="E21" s="51" t="str">
        <f>IFERROR(__xludf.DUMMYFUNCTION("""COMPUTED_VALUE"""),"2019/11/05 13:50:00")</f>
        <v>2019/11/05 13:50:00</v>
      </c>
      <c r="F21" s="51" t="str">
        <f>IFERROR(__xludf.DUMMYFUNCTION("""COMPUTED_VALUE"""),"90a12fa3-4f2c-4e14-a26f-5a9dcf6b1c6c")</f>
        <v>90a12fa3-4f2c-4e14-a26f-5a9dcf6b1c6c</v>
      </c>
      <c r="G21" s="58">
        <f>IFERROR(__xludf.DUMMYFUNCTION("""COMPUTED_VALUE"""),43774.0)</f>
        <v>43774</v>
      </c>
      <c r="H21" s="60">
        <f>IFERROR(__xludf.DUMMYFUNCTION("""COMPUTED_VALUE"""),0.5520833333333334)</f>
        <v>0.5520833333</v>
      </c>
      <c r="I21" s="58">
        <f>IFERROR(__xludf.DUMMYFUNCTION("""COMPUTED_VALUE"""),43774.0)</f>
        <v>43774</v>
      </c>
      <c r="J21" s="60">
        <f>IFERROR(__xludf.DUMMYFUNCTION("""COMPUTED_VALUE"""),0.5763888888888888)</f>
        <v>0.5763888889</v>
      </c>
      <c r="K21" s="60">
        <f t="shared" si="1"/>
        <v>0.02430555556</v>
      </c>
      <c r="L21" s="51" t="s">
        <v>147</v>
      </c>
      <c r="M21" s="62" t="s">
        <v>177</v>
      </c>
      <c r="N21" s="62" t="str">
        <f t="shared" si="2"/>
        <v>CS_5_11_90a12fa3-4f2c-4e14-a26f-5a9dcf6b1c6c_000000_000000.mp4</v>
      </c>
      <c r="O21" s="63"/>
      <c r="P21" s="63"/>
      <c r="Q21" s="63"/>
      <c r="R21" s="51"/>
      <c r="S21" s="51"/>
      <c r="T21" s="51"/>
    </row>
    <row r="22">
      <c r="A22" s="51" t="str">
        <f>IFERROR(__xludf.DUMMYFUNCTION("""COMPUTED_VALUE"""),"Opening remarks")</f>
        <v>Opening remarks</v>
      </c>
      <c r="B22" s="51" t="str">
        <f>IFERROR(__xludf.DUMMYFUNCTION("""COMPUTED_VALUE"""),"Centre Stage")</f>
        <v>Centre Stage</v>
      </c>
      <c r="C22" s="56" t="str">
        <f>IFERROR(__xludf.DUMMYFUNCTION("""COMPUTED_VALUE"""),"Paddy Cosgrave")</f>
        <v>Paddy Cosgrave</v>
      </c>
      <c r="D22" s="51" t="str">
        <f>IFERROR(__xludf.DUMMYFUNCTION("""COMPUTED_VALUE"""),"2019/11/05 13:50:00")</f>
        <v>2019/11/05 13:50:00</v>
      </c>
      <c r="E22" s="51" t="str">
        <f>IFERROR(__xludf.DUMMYFUNCTION("""COMPUTED_VALUE"""),"2019/11/05 14:00:00")</f>
        <v>2019/11/05 14:00:00</v>
      </c>
      <c r="F22" s="51" t="str">
        <f>IFERROR(__xludf.DUMMYFUNCTION("""COMPUTED_VALUE"""),"16886558-af9f-4e02-9596-3585f14d0455")</f>
        <v>16886558-af9f-4e02-9596-3585f14d0455</v>
      </c>
      <c r="G22" s="58">
        <f>IFERROR(__xludf.DUMMYFUNCTION("""COMPUTED_VALUE"""),43774.0)</f>
        <v>43774</v>
      </c>
      <c r="H22" s="60">
        <f>IFERROR(__xludf.DUMMYFUNCTION("""COMPUTED_VALUE"""),0.5763888888888888)</f>
        <v>0.5763888889</v>
      </c>
      <c r="I22" s="58">
        <f>IFERROR(__xludf.DUMMYFUNCTION("""COMPUTED_VALUE"""),43774.0)</f>
        <v>43774</v>
      </c>
      <c r="J22" s="60">
        <f>IFERROR(__xludf.DUMMYFUNCTION("""COMPUTED_VALUE"""),0.5833333333333334)</f>
        <v>0.5833333333</v>
      </c>
      <c r="K22" s="60">
        <f t="shared" si="1"/>
        <v>0.006944444444</v>
      </c>
      <c r="L22" s="51" t="s">
        <v>124</v>
      </c>
      <c r="M22" s="62" t="s">
        <v>178</v>
      </c>
      <c r="N22" s="62" t="str">
        <f t="shared" si="2"/>
        <v>CS_5_12_16886558-af9f-4e02-9596-3585f14d0455_000000_000000.mp4</v>
      </c>
      <c r="O22" s="63"/>
      <c r="P22" s="63"/>
      <c r="Q22" s="63"/>
      <c r="R22" s="51"/>
      <c r="S22" s="51"/>
      <c r="T22" s="51"/>
    </row>
    <row r="23">
      <c r="A23" s="51" t="str">
        <f>IFERROR(__xludf.DUMMYFUNCTION("""COMPUTED_VALUE"""),"Uber's road ahead")</f>
        <v>Uber's road ahead</v>
      </c>
      <c r="B23" s="51" t="str">
        <f>IFERROR(__xludf.DUMMYFUNCTION("""COMPUTED_VALUE"""),"Centre Stage")</f>
        <v>Centre Stage</v>
      </c>
      <c r="C23" s="56" t="str">
        <f>IFERROR(__xludf.DUMMYFUNCTION("""COMPUTED_VALUE"""),"Manik Gupta and Tim Bradshaw")</f>
        <v>Manik Gupta and Tim Bradshaw</v>
      </c>
      <c r="D23" s="51" t="str">
        <f>IFERROR(__xludf.DUMMYFUNCTION("""COMPUTED_VALUE"""),"2019/11/05 14:00:00")</f>
        <v>2019/11/05 14:00:00</v>
      </c>
      <c r="E23" s="51" t="str">
        <f>IFERROR(__xludf.DUMMYFUNCTION("""COMPUTED_VALUE"""),"2019/11/05 14:25:00")</f>
        <v>2019/11/05 14:25:00</v>
      </c>
      <c r="F23" s="51" t="str">
        <f>IFERROR(__xludf.DUMMYFUNCTION("""COMPUTED_VALUE"""),"adbbdef3-dc7f-4a24-b16e-8606dd0b892d")</f>
        <v>adbbdef3-dc7f-4a24-b16e-8606dd0b892d</v>
      </c>
      <c r="G23" s="58">
        <f>IFERROR(__xludf.DUMMYFUNCTION("""COMPUTED_VALUE"""),43774.0)</f>
        <v>43774</v>
      </c>
      <c r="H23" s="60">
        <f>IFERROR(__xludf.DUMMYFUNCTION("""COMPUTED_VALUE"""),0.5833333333333334)</f>
        <v>0.5833333333</v>
      </c>
      <c r="I23" s="58">
        <f>IFERROR(__xludf.DUMMYFUNCTION("""COMPUTED_VALUE"""),43774.0)</f>
        <v>43774</v>
      </c>
      <c r="J23" s="60">
        <f>IFERROR(__xludf.DUMMYFUNCTION("""COMPUTED_VALUE"""),0.6006944444444444)</f>
        <v>0.6006944444</v>
      </c>
      <c r="K23" s="60">
        <f t="shared" si="1"/>
        <v>0.01736111111</v>
      </c>
      <c r="L23" s="51" t="s">
        <v>107</v>
      </c>
      <c r="M23" s="62" t="s">
        <v>182</v>
      </c>
      <c r="N23" s="62" t="str">
        <f t="shared" si="2"/>
        <v>CS_5_13_adbbdef3-dc7f-4a24-b16e-8606dd0b892d_000000_000000.mp4</v>
      </c>
      <c r="O23" s="63"/>
      <c r="P23" s="63"/>
      <c r="Q23" s="63"/>
      <c r="R23" s="51"/>
      <c r="S23" s="51"/>
      <c r="T23" s="51"/>
    </row>
    <row r="24">
      <c r="A24" s="51" t="str">
        <f>IFERROR(__xludf.DUMMYFUNCTION("""COMPUTED_VALUE"""),"How to win fans and influence people")</f>
        <v>How to win fans and influence people</v>
      </c>
      <c r="B24" s="51" t="str">
        <f>IFERROR(__xludf.DUMMYFUNCTION("""COMPUTED_VALUE"""),"Centre Stage")</f>
        <v>Centre Stage</v>
      </c>
      <c r="C24" s="56" t="str">
        <f>IFERROR(__xludf.DUMMYFUNCTION("""COMPUTED_VALUE"""),"Caspar Lee, Jessica Ennis-Hill, Ian Somerhalder and Laurie Segall")</f>
        <v>Caspar Lee, Jessica Ennis-Hill, Ian Somerhalder and Laurie Segall</v>
      </c>
      <c r="D24" s="51" t="str">
        <f>IFERROR(__xludf.DUMMYFUNCTION("""COMPUTED_VALUE"""),"2019/11/05 14:25:00")</f>
        <v>2019/11/05 14:25:00</v>
      </c>
      <c r="E24" s="51" t="str">
        <f>IFERROR(__xludf.DUMMYFUNCTION("""COMPUTED_VALUE"""),"2019/11/05 14:50:00")</f>
        <v>2019/11/05 14:50:00</v>
      </c>
      <c r="F24" s="51" t="str">
        <f>IFERROR(__xludf.DUMMYFUNCTION("""COMPUTED_VALUE"""),"ebcbe4cb-7230-48e1-9876-78144ce2c890")</f>
        <v>ebcbe4cb-7230-48e1-9876-78144ce2c890</v>
      </c>
      <c r="G24" s="58">
        <f>IFERROR(__xludf.DUMMYFUNCTION("""COMPUTED_VALUE"""),43774.0)</f>
        <v>43774</v>
      </c>
      <c r="H24" s="60">
        <f>IFERROR(__xludf.DUMMYFUNCTION("""COMPUTED_VALUE"""),0.6006944444444444)</f>
        <v>0.6006944444</v>
      </c>
      <c r="I24" s="58">
        <f>IFERROR(__xludf.DUMMYFUNCTION("""COMPUTED_VALUE"""),43774.0)</f>
        <v>43774</v>
      </c>
      <c r="J24" s="60">
        <f>IFERROR(__xludf.DUMMYFUNCTION("""COMPUTED_VALUE"""),0.6180555555555556)</f>
        <v>0.6180555556</v>
      </c>
      <c r="K24" s="60">
        <f t="shared" si="1"/>
        <v>0.01736111111</v>
      </c>
      <c r="L24" s="51" t="s">
        <v>107</v>
      </c>
      <c r="M24" s="62" t="s">
        <v>183</v>
      </c>
      <c r="N24" s="62" t="str">
        <f t="shared" si="2"/>
        <v>CS_5_14_ebcbe4cb-7230-48e1-9876-78144ce2c890_000000_000000.mp4</v>
      </c>
      <c r="O24" s="63"/>
      <c r="P24" s="63"/>
      <c r="Q24" s="63"/>
      <c r="R24" s="51"/>
      <c r="S24" s="51"/>
      <c r="T24" s="51"/>
    </row>
    <row r="25">
      <c r="A25" s="51" t="str">
        <f>IFERROR(__xludf.DUMMYFUNCTION("""COMPUTED_VALUE"""),"The king of capital")</f>
        <v>The king of capital</v>
      </c>
      <c r="B25" s="51" t="str">
        <f>IFERROR(__xludf.DUMMYFUNCTION("""COMPUTED_VALUE"""),"Centre Stage")</f>
        <v>Centre Stage</v>
      </c>
      <c r="C25" s="56" t="str">
        <f>IFERROR(__xludf.DUMMYFUNCTION("""COMPUTED_VALUE"""),"Stephen Schwarzman and Thorold Barker")</f>
        <v>Stephen Schwarzman and Thorold Barker</v>
      </c>
      <c r="D25" s="51" t="str">
        <f>IFERROR(__xludf.DUMMYFUNCTION("""COMPUTED_VALUE"""),"2019/11/05 14:50:00")</f>
        <v>2019/11/05 14:50:00</v>
      </c>
      <c r="E25" s="51" t="str">
        <f>IFERROR(__xludf.DUMMYFUNCTION("""COMPUTED_VALUE"""),"2019/11/05 15:10:00")</f>
        <v>2019/11/05 15:10:00</v>
      </c>
      <c r="F25" s="51" t="str">
        <f>IFERROR(__xludf.DUMMYFUNCTION("""COMPUTED_VALUE"""),"0bcc2520-c55a-4ac6-be76-43340bbf64c7")</f>
        <v>0bcc2520-c55a-4ac6-be76-43340bbf64c7</v>
      </c>
      <c r="G25" s="58">
        <f>IFERROR(__xludf.DUMMYFUNCTION("""COMPUTED_VALUE"""),43774.0)</f>
        <v>43774</v>
      </c>
      <c r="H25" s="60">
        <f>IFERROR(__xludf.DUMMYFUNCTION("""COMPUTED_VALUE"""),0.6180555555555556)</f>
        <v>0.6180555556</v>
      </c>
      <c r="I25" s="58">
        <f>IFERROR(__xludf.DUMMYFUNCTION("""COMPUTED_VALUE"""),43774.0)</f>
        <v>43774</v>
      </c>
      <c r="J25" s="60">
        <f>IFERROR(__xludf.DUMMYFUNCTION("""COMPUTED_VALUE"""),0.6319444444444444)</f>
        <v>0.6319444444</v>
      </c>
      <c r="K25" s="60">
        <f t="shared" si="1"/>
        <v>0.01388888889</v>
      </c>
      <c r="L25" s="51" t="s">
        <v>111</v>
      </c>
      <c r="M25" s="62" t="s">
        <v>186</v>
      </c>
      <c r="N25" s="62" t="str">
        <f t="shared" si="2"/>
        <v>CS_5_15_0bcc2520-c55a-4ac6-be76-43340bbf64c7_000000_000000.mp4</v>
      </c>
      <c r="O25" s="63"/>
      <c r="P25" s="63"/>
      <c r="Q25" s="63"/>
      <c r="R25" s="51"/>
      <c r="S25" s="51"/>
      <c r="T25" s="51"/>
    </row>
    <row r="26">
      <c r="A26" s="51" t="str">
        <f>IFERROR(__xludf.DUMMYFUNCTION("""COMPUTED_VALUE"""),"Building a billion dollar company beyond the Valley")</f>
        <v>Building a billion dollar company beyond the Valley</v>
      </c>
      <c r="B26" s="51" t="str">
        <f>IFERROR(__xludf.DUMMYFUNCTION("""COMPUTED_VALUE"""),"Centre Stage")</f>
        <v>Centre Stage</v>
      </c>
      <c r="C26" s="56" t="str">
        <f>IFERROR(__xludf.DUMMYFUNCTION("""COMPUTED_VALUE"""),"Lucy Liu, Juan Pablo Ortega, Markus Villig, Melanie Perkins and Adam Satariano")</f>
        <v>Lucy Liu, Juan Pablo Ortega, Markus Villig, Melanie Perkins and Adam Satariano</v>
      </c>
      <c r="D26" s="51" t="str">
        <f>IFERROR(__xludf.DUMMYFUNCTION("""COMPUTED_VALUE"""),"2019/11/05 15:10:00")</f>
        <v>2019/11/05 15:10:00</v>
      </c>
      <c r="E26" s="51" t="str">
        <f>IFERROR(__xludf.DUMMYFUNCTION("""COMPUTED_VALUE"""),"2019/11/05 15:30:00")</f>
        <v>2019/11/05 15:30:00</v>
      </c>
      <c r="F26" s="51" t="str">
        <f>IFERROR(__xludf.DUMMYFUNCTION("""COMPUTED_VALUE"""),"211f55b8-8f77-4f80-a749-bdff379377a9")</f>
        <v>211f55b8-8f77-4f80-a749-bdff379377a9</v>
      </c>
      <c r="G26" s="58">
        <f>IFERROR(__xludf.DUMMYFUNCTION("""COMPUTED_VALUE"""),43774.0)</f>
        <v>43774</v>
      </c>
      <c r="H26" s="60">
        <f>IFERROR(__xludf.DUMMYFUNCTION("""COMPUTED_VALUE"""),0.6319444444444444)</f>
        <v>0.6319444444</v>
      </c>
      <c r="I26" s="58">
        <f>IFERROR(__xludf.DUMMYFUNCTION("""COMPUTED_VALUE"""),43774.0)</f>
        <v>43774</v>
      </c>
      <c r="J26" s="60">
        <f>IFERROR(__xludf.DUMMYFUNCTION("""COMPUTED_VALUE"""),0.6458333333333334)</f>
        <v>0.6458333333</v>
      </c>
      <c r="K26" s="60">
        <f t="shared" si="1"/>
        <v>0.01388888889</v>
      </c>
      <c r="L26" s="51" t="s">
        <v>111</v>
      </c>
      <c r="M26" s="62" t="s">
        <v>192</v>
      </c>
      <c r="N26" s="62" t="str">
        <f t="shared" si="2"/>
        <v>CS_5_16_211f55b8-8f77-4f80-a749-bdff379377a9_000000_000000.mp4</v>
      </c>
      <c r="O26" s="63"/>
      <c r="P26" s="63"/>
      <c r="Q26" s="63"/>
      <c r="R26" s="51"/>
      <c r="S26" s="51"/>
      <c r="T26" s="51"/>
    </row>
    <row r="27">
      <c r="A27" s="51" t="str">
        <f>IFERROR(__xludf.DUMMYFUNCTION("""COMPUTED_VALUE"""),"Evolution from keyword searches to AI-enabled conversations")</f>
        <v>Evolution from keyword searches to AI-enabled conversations</v>
      </c>
      <c r="B27" s="51" t="str">
        <f>IFERROR(__xludf.DUMMYFUNCTION("""COMPUTED_VALUE"""),"Centre Stage")</f>
        <v>Centre Stage</v>
      </c>
      <c r="C27" s="56" t="str">
        <f>IFERROR(__xludf.DUMMYFUNCTION("""COMPUTED_VALUE"""),"Rohit Prasad")</f>
        <v>Rohit Prasad</v>
      </c>
      <c r="D27" s="51" t="str">
        <f>IFERROR(__xludf.DUMMYFUNCTION("""COMPUTED_VALUE"""),"2019/11/05 15:30:00")</f>
        <v>2019/11/05 15:30:00</v>
      </c>
      <c r="E27" s="51" t="str">
        <f>IFERROR(__xludf.DUMMYFUNCTION("""COMPUTED_VALUE"""),"2019/11/05 15:50:00")</f>
        <v>2019/11/05 15:50:00</v>
      </c>
      <c r="F27" s="51" t="str">
        <f>IFERROR(__xludf.DUMMYFUNCTION("""COMPUTED_VALUE"""),"422cb568-1b51-4802-bf6e-86f3002c4fb2")</f>
        <v>422cb568-1b51-4802-bf6e-86f3002c4fb2</v>
      </c>
      <c r="G27" s="58">
        <f>IFERROR(__xludf.DUMMYFUNCTION("""COMPUTED_VALUE"""),43774.0)</f>
        <v>43774</v>
      </c>
      <c r="H27" s="60">
        <f>IFERROR(__xludf.DUMMYFUNCTION("""COMPUTED_VALUE"""),0.6458333333333334)</f>
        <v>0.6458333333</v>
      </c>
      <c r="I27" s="58">
        <f>IFERROR(__xludf.DUMMYFUNCTION("""COMPUTED_VALUE"""),43774.0)</f>
        <v>43774</v>
      </c>
      <c r="J27" s="60">
        <f>IFERROR(__xludf.DUMMYFUNCTION("""COMPUTED_VALUE"""),0.6597222222222222)</f>
        <v>0.6597222222</v>
      </c>
      <c r="K27" s="60">
        <f t="shared" si="1"/>
        <v>0.01388888889</v>
      </c>
      <c r="L27" s="51" t="s">
        <v>111</v>
      </c>
      <c r="M27" s="62" t="s">
        <v>199</v>
      </c>
      <c r="N27" s="62" t="str">
        <f t="shared" si="2"/>
        <v>CS_5_17_422cb568-1b51-4802-bf6e-86f3002c4fb2_000000_000000.mp4</v>
      </c>
      <c r="O27" s="63"/>
      <c r="P27" s="63"/>
      <c r="Q27" s="63"/>
      <c r="R27" s="51"/>
      <c r="S27" s="51"/>
      <c r="T27" s="51"/>
    </row>
    <row r="28">
      <c r="A28" s="51" t="str">
        <f>IFERROR(__xludf.DUMMYFUNCTION("""COMPUTED_VALUE"""),"Keep on creating")</f>
        <v>Keep on creating</v>
      </c>
      <c r="B28" s="51" t="str">
        <f>IFERROR(__xludf.DUMMYFUNCTION("""COMPUTED_VALUE"""),"Centre Stage")</f>
        <v>Centre Stage</v>
      </c>
      <c r="C28" s="56" t="str">
        <f>IFERROR(__xludf.DUMMYFUNCTION("""COMPUTED_VALUE"""),"  and Viktor Huszar")</f>
        <v>  and Viktor Huszar</v>
      </c>
      <c r="D28" s="51" t="str">
        <f>IFERROR(__xludf.DUMMYFUNCTION("""COMPUTED_VALUE"""),"2019/11/05 15:50:00")</f>
        <v>2019/11/05 15:50:00</v>
      </c>
      <c r="E28" s="51" t="str">
        <f>IFERROR(__xludf.DUMMYFUNCTION("""COMPUTED_VALUE"""),"2019/11/05 16:00:00")</f>
        <v>2019/11/05 16:00:00</v>
      </c>
      <c r="F28" s="51" t="str">
        <f>IFERROR(__xludf.DUMMYFUNCTION("""COMPUTED_VALUE"""),"c16e1b67-6054-472e-a051-c5b94870d36a")</f>
        <v>c16e1b67-6054-472e-a051-c5b94870d36a</v>
      </c>
      <c r="G28" s="58">
        <f>IFERROR(__xludf.DUMMYFUNCTION("""COMPUTED_VALUE"""),43774.0)</f>
        <v>43774</v>
      </c>
      <c r="H28" s="60">
        <f>IFERROR(__xludf.DUMMYFUNCTION("""COMPUTED_VALUE"""),0.6597222222222222)</f>
        <v>0.6597222222</v>
      </c>
      <c r="I28" s="58">
        <f>IFERROR(__xludf.DUMMYFUNCTION("""COMPUTED_VALUE"""),43774.0)</f>
        <v>43774</v>
      </c>
      <c r="J28" s="60">
        <f>IFERROR(__xludf.DUMMYFUNCTION("""COMPUTED_VALUE"""),0.6666666666666666)</f>
        <v>0.6666666667</v>
      </c>
      <c r="K28" s="60">
        <f t="shared" si="1"/>
        <v>0.006944444444</v>
      </c>
      <c r="L28" s="51" t="s">
        <v>124</v>
      </c>
      <c r="M28" s="62" t="s">
        <v>203</v>
      </c>
      <c r="N28" s="62" t="str">
        <f t="shared" si="2"/>
        <v>CS_5_18_c16e1b67-6054-472e-a051-c5b94870d36a_000000_000000.mp4</v>
      </c>
      <c r="O28" s="63"/>
      <c r="P28" s="63"/>
      <c r="Q28" s="63"/>
      <c r="R28" s="51"/>
      <c r="S28" s="51"/>
      <c r="T28" s="51"/>
    </row>
    <row r="29">
      <c r="A29" s="51" t="str">
        <f>IFERROR(__xludf.DUMMYFUNCTION("""COMPUTED_VALUE"""),"Setting company values ")</f>
        <v>Setting company values </v>
      </c>
      <c r="B29" s="51" t="str">
        <f>IFERROR(__xludf.DUMMYFUNCTION("""COMPUTED_VALUE"""),"Centre Stage")</f>
        <v>Centre Stage</v>
      </c>
      <c r="C29" s="56" t="str">
        <f>IFERROR(__xludf.DUMMYFUNCTION("""COMPUTED_VALUE"""),"Gillian Tans, Simon Segars, Adaire Fox-Martin and Mark Scott")</f>
        <v>Gillian Tans, Simon Segars, Adaire Fox-Martin and Mark Scott</v>
      </c>
      <c r="D29" s="51" t="str">
        <f>IFERROR(__xludf.DUMMYFUNCTION("""COMPUTED_VALUE"""),"2019/11/05 16:00:00")</f>
        <v>2019/11/05 16:00:00</v>
      </c>
      <c r="E29" s="51" t="str">
        <f>IFERROR(__xludf.DUMMYFUNCTION("""COMPUTED_VALUE"""),"2019/11/05 16:25:00")</f>
        <v>2019/11/05 16:25:00</v>
      </c>
      <c r="F29" s="51" t="str">
        <f>IFERROR(__xludf.DUMMYFUNCTION("""COMPUTED_VALUE"""),"cfebc897-dc7c-427b-85d6-090b3fa5e287")</f>
        <v>cfebc897-dc7c-427b-85d6-090b3fa5e287</v>
      </c>
      <c r="G29" s="58">
        <f>IFERROR(__xludf.DUMMYFUNCTION("""COMPUTED_VALUE"""),43774.0)</f>
        <v>43774</v>
      </c>
      <c r="H29" s="60">
        <f>IFERROR(__xludf.DUMMYFUNCTION("""COMPUTED_VALUE"""),0.6666666666666666)</f>
        <v>0.6666666667</v>
      </c>
      <c r="I29" s="58">
        <f>IFERROR(__xludf.DUMMYFUNCTION("""COMPUTED_VALUE"""),43774.0)</f>
        <v>43774</v>
      </c>
      <c r="J29" s="60">
        <f>IFERROR(__xludf.DUMMYFUNCTION("""COMPUTED_VALUE"""),0.6840277777777778)</f>
        <v>0.6840277778</v>
      </c>
      <c r="K29" s="60">
        <f t="shared" si="1"/>
        <v>0.01736111111</v>
      </c>
      <c r="L29" s="51" t="s">
        <v>107</v>
      </c>
      <c r="M29" s="62" t="s">
        <v>204</v>
      </c>
      <c r="N29" s="62" t="str">
        <f t="shared" si="2"/>
        <v>CS_5_19_cfebc897-dc7c-427b-85d6-090b3fa5e287_000000_000000.mp4</v>
      </c>
      <c r="O29" s="63"/>
      <c r="P29" s="63"/>
      <c r="Q29" s="63"/>
      <c r="R29" s="51"/>
      <c r="S29" s="51"/>
      <c r="T29" s="51"/>
    </row>
    <row r="30">
      <c r="A30" s="51" t="str">
        <f>IFERROR(__xludf.DUMMYFUNCTION("""COMPUTED_VALUE"""),"Changing the world 1% at a time")</f>
        <v>Changing the world 1% at a time</v>
      </c>
      <c r="B30" s="51" t="str">
        <f>IFERROR(__xludf.DUMMYFUNCTION("""COMPUTED_VALUE"""),"Centre Stage")</f>
        <v>Centre Stage</v>
      </c>
      <c r="C30" s="56" t="str">
        <f>IFERROR(__xludf.DUMMYFUNCTION("""COMPUTED_VALUE"""),"Eric Cantona and Jürgen Griesbeck")</f>
        <v>Eric Cantona and Jürgen Griesbeck</v>
      </c>
      <c r="D30" s="51" t="str">
        <f>IFERROR(__xludf.DUMMYFUNCTION("""COMPUTED_VALUE"""),"2019/11/05 16:25:00")</f>
        <v>2019/11/05 16:25:00</v>
      </c>
      <c r="E30" s="51" t="str">
        <f>IFERROR(__xludf.DUMMYFUNCTION("""COMPUTED_VALUE"""),"2019/11/05 16:40:00")</f>
        <v>2019/11/05 16:40:00</v>
      </c>
      <c r="F30" s="51" t="str">
        <f>IFERROR(__xludf.DUMMYFUNCTION("""COMPUTED_VALUE"""),"6b0de29c-adf7-41cc-bacf-9d6c24de379b")</f>
        <v>6b0de29c-adf7-41cc-bacf-9d6c24de379b</v>
      </c>
      <c r="G30" s="58">
        <f>IFERROR(__xludf.DUMMYFUNCTION("""COMPUTED_VALUE"""),43774.0)</f>
        <v>43774</v>
      </c>
      <c r="H30" s="60">
        <f>IFERROR(__xludf.DUMMYFUNCTION("""COMPUTED_VALUE"""),0.6840277777777778)</f>
        <v>0.6840277778</v>
      </c>
      <c r="I30" s="58">
        <f>IFERROR(__xludf.DUMMYFUNCTION("""COMPUTED_VALUE"""),43774.0)</f>
        <v>43774</v>
      </c>
      <c r="J30" s="60">
        <f>IFERROR(__xludf.DUMMYFUNCTION("""COMPUTED_VALUE"""),0.6944444444444444)</f>
        <v>0.6944444444</v>
      </c>
      <c r="K30" s="60">
        <f t="shared" si="1"/>
        <v>0.01041666667</v>
      </c>
      <c r="L30" s="51" t="s">
        <v>116</v>
      </c>
      <c r="M30" s="62" t="s">
        <v>205</v>
      </c>
      <c r="N30" s="62" t="str">
        <f t="shared" si="2"/>
        <v>CS_5_20_6b0de29c-adf7-41cc-bacf-9d6c24de379b_000000_000000.mp4</v>
      </c>
      <c r="O30" s="63"/>
      <c r="P30" s="63"/>
      <c r="Q30" s="63"/>
      <c r="R30" s="51"/>
      <c r="S30" s="51"/>
      <c r="T30" s="51"/>
    </row>
    <row r="31">
      <c r="A31" s="51" t="str">
        <f>IFERROR(__xludf.DUMMYFUNCTION("""COMPUTED_VALUE"""),"The future we build needs to be open")</f>
        <v>The future we build needs to be open</v>
      </c>
      <c r="B31" s="51" t="str">
        <f>IFERROR(__xludf.DUMMYFUNCTION("""COMPUTED_VALUE"""),"Centre Stage")</f>
        <v>Centre Stage</v>
      </c>
      <c r="C31" s="56" t="str">
        <f>IFERROR(__xludf.DUMMYFUNCTION("""COMPUTED_VALUE"""),"Katherine Maher")</f>
        <v>Katherine Maher</v>
      </c>
      <c r="D31" s="51" t="str">
        <f>IFERROR(__xludf.DUMMYFUNCTION("""COMPUTED_VALUE"""),"2019/11/05 16:40:00")</f>
        <v>2019/11/05 16:40:00</v>
      </c>
      <c r="E31" s="51" t="str">
        <f>IFERROR(__xludf.DUMMYFUNCTION("""COMPUTED_VALUE"""),"2019/11/05 17:00:00")</f>
        <v>2019/11/05 17:00:00</v>
      </c>
      <c r="F31" s="51" t="str">
        <f>IFERROR(__xludf.DUMMYFUNCTION("""COMPUTED_VALUE"""),"1e907ac3-9926-4ad8-85bc-ab11babf09e9")</f>
        <v>1e907ac3-9926-4ad8-85bc-ab11babf09e9</v>
      </c>
      <c r="G31" s="58">
        <f>IFERROR(__xludf.DUMMYFUNCTION("""COMPUTED_VALUE"""),43774.0)</f>
        <v>43774</v>
      </c>
      <c r="H31" s="60">
        <f>IFERROR(__xludf.DUMMYFUNCTION("""COMPUTED_VALUE"""),0.6944444444444444)</f>
        <v>0.6944444444</v>
      </c>
      <c r="I31" s="58">
        <f>IFERROR(__xludf.DUMMYFUNCTION("""COMPUTED_VALUE"""),43774.0)</f>
        <v>43774</v>
      </c>
      <c r="J31" s="60">
        <f>IFERROR(__xludf.DUMMYFUNCTION("""COMPUTED_VALUE"""),0.7083333333333334)</f>
        <v>0.7083333333</v>
      </c>
      <c r="K31" s="60">
        <f t="shared" si="1"/>
        <v>0.01388888889</v>
      </c>
      <c r="L31" s="51" t="s">
        <v>111</v>
      </c>
      <c r="M31" s="62" t="s">
        <v>206</v>
      </c>
      <c r="N31" s="62" t="str">
        <f t="shared" si="2"/>
        <v>CS_5_21_1e907ac3-9926-4ad8-85bc-ab11babf09e9_000000_000000.mp4</v>
      </c>
      <c r="O31" s="63"/>
      <c r="P31" s="63"/>
      <c r="Q31" s="63"/>
      <c r="R31" s="51"/>
      <c r="S31" s="51"/>
      <c r="T31" s="51"/>
    </row>
    <row r="32">
      <c r="A32" s="51" t="str">
        <f>IFERROR(__xludf.DUMMYFUNCTION("""COMPUTED_VALUE"""),"Breakout startups")</f>
        <v>Breakout startups</v>
      </c>
      <c r="B32" s="51" t="str">
        <f>IFERROR(__xludf.DUMMYFUNCTION("""COMPUTED_VALUE"""),"Centre Stage")</f>
        <v>Centre Stage</v>
      </c>
      <c r="C32" s="56" t="str">
        <f>IFERROR(__xludf.DUMMYFUNCTION("""COMPUTED_VALUE"""),"Luisa Lima, Manoj Harasgama, Amir Bozorgzadeh, Louise Lindblad, Julia Salasky, Alina Lapusneanu, Emmanuel Straschnov, Rui Sales, Victor Riparbelli, Bobby Healy, Hanna Marie Asmussen and Shiran Yaroslavsky")</f>
        <v>Luisa Lima, Manoj Harasgama, Amir Bozorgzadeh, Louise Lindblad, Julia Salasky, Alina Lapusneanu, Emmanuel Straschnov, Rui Sales, Victor Riparbelli, Bobby Healy, Hanna Marie Asmussen and Shiran Yaroslavsky</v>
      </c>
      <c r="D32" s="51" t="str">
        <f>IFERROR(__xludf.DUMMYFUNCTION("""COMPUTED_VALUE"""),"2019/11/06 09:30:00")</f>
        <v>2019/11/06 09:30:00</v>
      </c>
      <c r="E32" s="51" t="str">
        <f>IFERROR(__xludf.DUMMYFUNCTION("""COMPUTED_VALUE"""),"2019/11/06 10:15:00")</f>
        <v>2019/11/06 10:15:00</v>
      </c>
      <c r="F32" s="51" t="str">
        <f>IFERROR(__xludf.DUMMYFUNCTION("""COMPUTED_VALUE"""),"e4b9aa37-f551-4471-b9c6-65e56f0b4f3b")</f>
        <v>e4b9aa37-f551-4471-b9c6-65e56f0b4f3b</v>
      </c>
      <c r="G32" s="58">
        <f>IFERROR(__xludf.DUMMYFUNCTION("""COMPUTED_VALUE"""),43775.0)</f>
        <v>43775</v>
      </c>
      <c r="H32" s="60">
        <f>IFERROR(__xludf.DUMMYFUNCTION("""COMPUTED_VALUE"""),0.3958333333333333)</f>
        <v>0.3958333333</v>
      </c>
      <c r="I32" s="58">
        <f>IFERROR(__xludf.DUMMYFUNCTION("""COMPUTED_VALUE"""),43775.0)</f>
        <v>43775</v>
      </c>
      <c r="J32" s="60">
        <f>IFERROR(__xludf.DUMMYFUNCTION("""COMPUTED_VALUE"""),0.4270833333333333)</f>
        <v>0.4270833333</v>
      </c>
      <c r="K32" s="60">
        <f t="shared" si="1"/>
        <v>0.03125</v>
      </c>
      <c r="L32" s="51" t="s">
        <v>131</v>
      </c>
      <c r="M32" s="62" t="s">
        <v>207</v>
      </c>
      <c r="N32" s="62" t="str">
        <f t="shared" si="2"/>
        <v>CS_6_1_e4b9aa37-f551-4471-b9c6-65e56f0b4f3b_000000_000000.mp4</v>
      </c>
      <c r="O32" s="63"/>
      <c r="P32" s="63"/>
      <c r="Q32" s="63"/>
      <c r="R32" s="51"/>
      <c r="S32" s="51"/>
      <c r="T32" s="51"/>
    </row>
    <row r="33">
      <c r="A33" s="51" t="str">
        <f>IFERROR(__xludf.DUMMYFUNCTION("""COMPUTED_VALUE"""),"Opening remarks")</f>
        <v>Opening remarks</v>
      </c>
      <c r="B33" s="51" t="str">
        <f>IFERROR(__xludf.DUMMYFUNCTION("""COMPUTED_VALUE"""),"Centre Stage")</f>
        <v>Centre Stage</v>
      </c>
      <c r="C33" s="56" t="str">
        <f>IFERROR(__xludf.DUMMYFUNCTION("""COMPUTED_VALUE"""),"Paddy Cosgrave")</f>
        <v>Paddy Cosgrave</v>
      </c>
      <c r="D33" s="51" t="str">
        <f>IFERROR(__xludf.DUMMYFUNCTION("""COMPUTED_VALUE"""),"2019/11/06 10:15:00")</f>
        <v>2019/11/06 10:15:00</v>
      </c>
      <c r="E33" s="51" t="str">
        <f>IFERROR(__xludf.DUMMYFUNCTION("""COMPUTED_VALUE"""),"2019/11/06 10:30:00")</f>
        <v>2019/11/06 10:30:00</v>
      </c>
      <c r="F33" s="51" t="str">
        <f>IFERROR(__xludf.DUMMYFUNCTION("""COMPUTED_VALUE"""),"0e73253c-63d1-4a96-811d-3e941a802080")</f>
        <v>0e73253c-63d1-4a96-811d-3e941a802080</v>
      </c>
      <c r="G33" s="58">
        <f>IFERROR(__xludf.DUMMYFUNCTION("""COMPUTED_VALUE"""),43775.0)</f>
        <v>43775</v>
      </c>
      <c r="H33" s="60">
        <f>IFERROR(__xludf.DUMMYFUNCTION("""COMPUTED_VALUE"""),0.4270833333333333)</f>
        <v>0.4270833333</v>
      </c>
      <c r="I33" s="58">
        <f>IFERROR(__xludf.DUMMYFUNCTION("""COMPUTED_VALUE"""),43775.0)</f>
        <v>43775</v>
      </c>
      <c r="J33" s="60">
        <f>IFERROR(__xludf.DUMMYFUNCTION("""COMPUTED_VALUE"""),0.4375)</f>
        <v>0.4375</v>
      </c>
      <c r="K33" s="60">
        <f t="shared" si="1"/>
        <v>0.01041666667</v>
      </c>
      <c r="L33" s="51" t="s">
        <v>116</v>
      </c>
      <c r="M33" s="62" t="s">
        <v>208</v>
      </c>
      <c r="N33" s="62" t="str">
        <f t="shared" si="2"/>
        <v>CS_6_2_0e73253c-63d1-4a96-811d-3e941a802080_000000_000000.mp4</v>
      </c>
      <c r="O33" s="63"/>
      <c r="P33" s="63"/>
      <c r="Q33" s="63"/>
      <c r="R33" s="51"/>
      <c r="S33" s="51"/>
      <c r="T33" s="51"/>
    </row>
    <row r="34">
      <c r="A34" s="51" t="str">
        <f>IFERROR(__xludf.DUMMYFUNCTION("""COMPUTED_VALUE"""),"The promise and peril of the digital age")</f>
        <v>The promise and peril of the digital age</v>
      </c>
      <c r="B34" s="51" t="str">
        <f>IFERROR(__xludf.DUMMYFUNCTION("""COMPUTED_VALUE"""),"Centre Stage")</f>
        <v>Centre Stage</v>
      </c>
      <c r="C34" s="56" t="str">
        <f>IFERROR(__xludf.DUMMYFUNCTION("""COMPUTED_VALUE"""),"Brad Smith")</f>
        <v>Brad Smith</v>
      </c>
      <c r="D34" s="51" t="str">
        <f>IFERROR(__xludf.DUMMYFUNCTION("""COMPUTED_VALUE"""),"2019/11/06 10:30:00")</f>
        <v>2019/11/06 10:30:00</v>
      </c>
      <c r="E34" s="51" t="str">
        <f>IFERROR(__xludf.DUMMYFUNCTION("""COMPUTED_VALUE"""),"2019/11/06 10:55:00")</f>
        <v>2019/11/06 10:55:00</v>
      </c>
      <c r="F34" s="51" t="str">
        <f>IFERROR(__xludf.DUMMYFUNCTION("""COMPUTED_VALUE"""),"3899947d-2af3-4f5d-a770-f358abce0435")</f>
        <v>3899947d-2af3-4f5d-a770-f358abce0435</v>
      </c>
      <c r="G34" s="58">
        <f>IFERROR(__xludf.DUMMYFUNCTION("""COMPUTED_VALUE"""),43775.0)</f>
        <v>43775</v>
      </c>
      <c r="H34" s="60">
        <f>IFERROR(__xludf.DUMMYFUNCTION("""COMPUTED_VALUE"""),0.4375)</f>
        <v>0.4375</v>
      </c>
      <c r="I34" s="58">
        <f>IFERROR(__xludf.DUMMYFUNCTION("""COMPUTED_VALUE"""),43775.0)</f>
        <v>43775</v>
      </c>
      <c r="J34" s="60">
        <f>IFERROR(__xludf.DUMMYFUNCTION("""COMPUTED_VALUE"""),0.4548611111111111)</f>
        <v>0.4548611111</v>
      </c>
      <c r="K34" s="60">
        <f t="shared" si="1"/>
        <v>0.01736111111</v>
      </c>
      <c r="L34" s="51" t="s">
        <v>107</v>
      </c>
      <c r="M34" s="62" t="s">
        <v>209</v>
      </c>
      <c r="N34" s="62" t="str">
        <f t="shared" si="2"/>
        <v>CS_6_3_3899947d-2af3-4f5d-a770-f358abce0435_000000_000000.mp4</v>
      </c>
      <c r="O34" s="63"/>
      <c r="P34" s="63"/>
      <c r="Q34" s="63"/>
      <c r="R34" s="51"/>
      <c r="S34" s="51"/>
      <c r="T34" s="51"/>
    </row>
    <row r="35">
      <c r="A35" s="51" t="str">
        <f>IFERROR(__xludf.DUMMYFUNCTION("""COMPUTED_VALUE"""),"None left behind: Making tech work for the many")</f>
        <v>None left behind: Making tech work for the many</v>
      </c>
      <c r="B35" s="51" t="str">
        <f>IFERROR(__xludf.DUMMYFUNCTION("""COMPUTED_VALUE"""),"Centre Stage")</f>
        <v>Centre Stage</v>
      </c>
      <c r="C35" s="56" t="str">
        <f>IFERROR(__xludf.DUMMYFUNCTION("""COMPUTED_VALUE"""),"Tony Blair, Ro Khanna and Hadas Gold")</f>
        <v>Tony Blair, Ro Khanna and Hadas Gold</v>
      </c>
      <c r="D35" s="51" t="str">
        <f>IFERROR(__xludf.DUMMYFUNCTION("""COMPUTED_VALUE"""),"2019/11/06 10:55:00")</f>
        <v>2019/11/06 10:55:00</v>
      </c>
      <c r="E35" s="51" t="str">
        <f>IFERROR(__xludf.DUMMYFUNCTION("""COMPUTED_VALUE"""),"2019/11/06 11:25:00")</f>
        <v>2019/11/06 11:25:00</v>
      </c>
      <c r="F35" s="51" t="str">
        <f>IFERROR(__xludf.DUMMYFUNCTION("""COMPUTED_VALUE"""),"6305e2fe-d840-41ae-89d9-bf00103142a0")</f>
        <v>6305e2fe-d840-41ae-89d9-bf00103142a0</v>
      </c>
      <c r="G35" s="58">
        <f>IFERROR(__xludf.DUMMYFUNCTION("""COMPUTED_VALUE"""),43775.0)</f>
        <v>43775</v>
      </c>
      <c r="H35" s="60">
        <f>IFERROR(__xludf.DUMMYFUNCTION("""COMPUTED_VALUE"""),0.4548611111111111)</f>
        <v>0.4548611111</v>
      </c>
      <c r="I35" s="58">
        <f>IFERROR(__xludf.DUMMYFUNCTION("""COMPUTED_VALUE"""),43775.0)</f>
        <v>43775</v>
      </c>
      <c r="J35" s="60">
        <f>IFERROR(__xludf.DUMMYFUNCTION("""COMPUTED_VALUE"""),0.4756944444444444)</f>
        <v>0.4756944444</v>
      </c>
      <c r="K35" s="60">
        <f t="shared" si="1"/>
        <v>0.02083333333</v>
      </c>
      <c r="L35" s="51" t="s">
        <v>105</v>
      </c>
      <c r="M35" s="62" t="s">
        <v>210</v>
      </c>
      <c r="N35" s="62" t="str">
        <f t="shared" si="2"/>
        <v>CS_6_4_6305e2fe-d840-41ae-89d9-bf00103142a0_000000_000000.mp4</v>
      </c>
      <c r="O35" s="63"/>
      <c r="P35" s="63"/>
      <c r="Q35" s="63"/>
      <c r="R35" s="51"/>
      <c r="S35" s="51"/>
      <c r="T35" s="51"/>
    </row>
    <row r="36">
      <c r="A36" s="51" t="str">
        <f>IFERROR(__xludf.DUMMYFUNCTION("""COMPUTED_VALUE"""),"Where I am putting my money this year")</f>
        <v>Where I am putting my money this year</v>
      </c>
      <c r="B36" s="51" t="str">
        <f>IFERROR(__xludf.DUMMYFUNCTION("""COMPUTED_VALUE"""),"Centre Stage")</f>
        <v>Centre Stage</v>
      </c>
      <c r="C36" s="56" t="str">
        <f>IFERROR(__xludf.DUMMYFUNCTION("""COMPUTED_VALUE"""),"Pär-Jörgen Pärson, Bradley Twohig, Rashmi Gopinath and Felix Salmon")</f>
        <v>Pär-Jörgen Pärson, Bradley Twohig, Rashmi Gopinath and Felix Salmon</v>
      </c>
      <c r="D36" s="51" t="str">
        <f>IFERROR(__xludf.DUMMYFUNCTION("""COMPUTED_VALUE"""),"2019/11/06 11:25:00")</f>
        <v>2019/11/06 11:25:00</v>
      </c>
      <c r="E36" s="51" t="str">
        <f>IFERROR(__xludf.DUMMYFUNCTION("""COMPUTED_VALUE"""),"2019/11/06 11:45:00")</f>
        <v>2019/11/06 11:45:00</v>
      </c>
      <c r="F36" s="51" t="str">
        <f>IFERROR(__xludf.DUMMYFUNCTION("""COMPUTED_VALUE"""),"03635554-751f-4ad7-95ea-05f9e587b0b8")</f>
        <v>03635554-751f-4ad7-95ea-05f9e587b0b8</v>
      </c>
      <c r="G36" s="58">
        <f>IFERROR(__xludf.DUMMYFUNCTION("""COMPUTED_VALUE"""),43775.0)</f>
        <v>43775</v>
      </c>
      <c r="H36" s="60">
        <f>IFERROR(__xludf.DUMMYFUNCTION("""COMPUTED_VALUE"""),0.4756944444444444)</f>
        <v>0.4756944444</v>
      </c>
      <c r="I36" s="58">
        <f>IFERROR(__xludf.DUMMYFUNCTION("""COMPUTED_VALUE"""),43775.0)</f>
        <v>43775</v>
      </c>
      <c r="J36" s="60">
        <f>IFERROR(__xludf.DUMMYFUNCTION("""COMPUTED_VALUE"""),0.4895833333333333)</f>
        <v>0.4895833333</v>
      </c>
      <c r="K36" s="60">
        <f t="shared" si="1"/>
        <v>0.01388888889</v>
      </c>
      <c r="L36" s="51" t="s">
        <v>111</v>
      </c>
      <c r="M36" s="62" t="s">
        <v>211</v>
      </c>
      <c r="N36" s="62" t="str">
        <f t="shared" si="2"/>
        <v>CS_6_5_03635554-751f-4ad7-95ea-05f9e587b0b8_000000_000000.mp4</v>
      </c>
      <c r="O36" s="63"/>
      <c r="P36" s="63"/>
      <c r="Q36" s="63"/>
      <c r="R36" s="51"/>
      <c r="S36" s="51"/>
      <c r="T36" s="51"/>
    </row>
    <row r="37">
      <c r="A37" s="51" t="str">
        <f>IFERROR(__xludf.DUMMYFUNCTION("""COMPUTED_VALUE"""),"How to create awe")</f>
        <v>How to create awe</v>
      </c>
      <c r="B37" s="51" t="str">
        <f>IFERROR(__xludf.DUMMYFUNCTION("""COMPUTED_VALUE"""),"Centre Stage")</f>
        <v>Centre Stage</v>
      </c>
      <c r="C37" s="56" t="str">
        <f>IFERROR(__xludf.DUMMYFUNCTION("""COMPUTED_VALUE"""),"Mike McGee")</f>
        <v>Mike McGee</v>
      </c>
      <c r="D37" s="51" t="str">
        <f>IFERROR(__xludf.DUMMYFUNCTION("""COMPUTED_VALUE"""),"2019/11/06 11:45:00")</f>
        <v>2019/11/06 11:45:00</v>
      </c>
      <c r="E37" s="51" t="str">
        <f>IFERROR(__xludf.DUMMYFUNCTION("""COMPUTED_VALUE"""),"2019/11/06 11:55:00")</f>
        <v>2019/11/06 11:55:00</v>
      </c>
      <c r="F37" s="51" t="str">
        <f>IFERROR(__xludf.DUMMYFUNCTION("""COMPUTED_VALUE"""),"5aec3572-66ef-40d2-91eb-9d3c9af11296")</f>
        <v>5aec3572-66ef-40d2-91eb-9d3c9af11296</v>
      </c>
      <c r="G37" s="58">
        <f>IFERROR(__xludf.DUMMYFUNCTION("""COMPUTED_VALUE"""),43775.0)</f>
        <v>43775</v>
      </c>
      <c r="H37" s="60">
        <f>IFERROR(__xludf.DUMMYFUNCTION("""COMPUTED_VALUE"""),0.4895833333333333)</f>
        <v>0.4895833333</v>
      </c>
      <c r="I37" s="58">
        <f>IFERROR(__xludf.DUMMYFUNCTION("""COMPUTED_VALUE"""),43775.0)</f>
        <v>43775</v>
      </c>
      <c r="J37" s="60">
        <f>IFERROR(__xludf.DUMMYFUNCTION("""COMPUTED_VALUE"""),0.4965277777777778)</f>
        <v>0.4965277778</v>
      </c>
      <c r="K37" s="60">
        <f t="shared" si="1"/>
        <v>0.006944444444</v>
      </c>
      <c r="L37" s="51" t="s">
        <v>124</v>
      </c>
      <c r="M37" s="62" t="s">
        <v>212</v>
      </c>
      <c r="N37" s="62" t="str">
        <f t="shared" si="2"/>
        <v>CS_6_6_5aec3572-66ef-40d2-91eb-9d3c9af11296_000000_000000.mp4</v>
      </c>
      <c r="O37" s="63"/>
      <c r="P37" s="63"/>
      <c r="Q37" s="63"/>
      <c r="R37" s="51"/>
      <c r="S37" s="51"/>
      <c r="T37" s="51"/>
    </row>
    <row r="38">
      <c r="A38" s="51" t="str">
        <f>IFERROR(__xludf.DUMMYFUNCTION("""COMPUTED_VALUE"""),"Unboxing your future smartphone")</f>
        <v>Unboxing your future smartphone</v>
      </c>
      <c r="B38" s="51" t="str">
        <f>IFERROR(__xludf.DUMMYFUNCTION("""COMPUTED_VALUE"""),"Centre Stage")</f>
        <v>Centre Stage</v>
      </c>
      <c r="C38" s="56" t="str">
        <f>IFERROR(__xludf.DUMMYFUNCTION("""COMPUTED_VALUE"""),"Kris Carlon, Tom Honeyands, Jacklyn Dallas, Eli Etherton and Lindsey Turrentine")</f>
        <v>Kris Carlon, Tom Honeyands, Jacklyn Dallas, Eli Etherton and Lindsey Turrentine</v>
      </c>
      <c r="D38" s="51" t="str">
        <f>IFERROR(__xludf.DUMMYFUNCTION("""COMPUTED_VALUE"""),"2019/11/06 11:55:00")</f>
        <v>2019/11/06 11:55:00</v>
      </c>
      <c r="E38" s="51" t="str">
        <f>IFERROR(__xludf.DUMMYFUNCTION("""COMPUTED_VALUE"""),"2019/11/06 12:20:00")</f>
        <v>2019/11/06 12:20:00</v>
      </c>
      <c r="F38" s="51" t="str">
        <f>IFERROR(__xludf.DUMMYFUNCTION("""COMPUTED_VALUE"""),"a0ce662b-cb37-41b9-9e74-9e0b781f25bc")</f>
        <v>a0ce662b-cb37-41b9-9e74-9e0b781f25bc</v>
      </c>
      <c r="G38" s="58">
        <f>IFERROR(__xludf.DUMMYFUNCTION("""COMPUTED_VALUE"""),43775.0)</f>
        <v>43775</v>
      </c>
      <c r="H38" s="60">
        <f>IFERROR(__xludf.DUMMYFUNCTION("""COMPUTED_VALUE"""),0.4965277777777778)</f>
        <v>0.4965277778</v>
      </c>
      <c r="I38" s="58">
        <f>IFERROR(__xludf.DUMMYFUNCTION("""COMPUTED_VALUE"""),43775.0)</f>
        <v>43775</v>
      </c>
      <c r="J38" s="60">
        <f>IFERROR(__xludf.DUMMYFUNCTION("""COMPUTED_VALUE"""),0.5138888888888888)</f>
        <v>0.5138888889</v>
      </c>
      <c r="K38" s="60">
        <f t="shared" si="1"/>
        <v>0.01736111111</v>
      </c>
      <c r="L38" s="51" t="s">
        <v>107</v>
      </c>
      <c r="M38" s="62" t="s">
        <v>213</v>
      </c>
      <c r="N38" s="62" t="str">
        <f t="shared" si="2"/>
        <v>CS_6_7_a0ce662b-cb37-41b9-9e74-9e0b781f25bc_000000_000000.mp4</v>
      </c>
      <c r="O38" s="63"/>
      <c r="P38" s="63"/>
      <c r="Q38" s="63"/>
      <c r="R38" s="51"/>
      <c r="S38" s="51"/>
      <c r="T38" s="51"/>
    </row>
    <row r="39">
      <c r="A39" s="51" t="str">
        <f>IFERROR(__xludf.DUMMYFUNCTION("""COMPUTED_VALUE"""),"The evolution of virtual beings")</f>
        <v>The evolution of virtual beings</v>
      </c>
      <c r="B39" s="51" t="str">
        <f>IFERROR(__xludf.DUMMYFUNCTION("""COMPUTED_VALUE"""),"Centre Stage")</f>
        <v>Centre Stage</v>
      </c>
      <c r="C39" s="56" t="str">
        <f>IFERROR(__xludf.DUMMYFUNCTION("""COMPUTED_VALUE"""),"Eugene Chung")</f>
        <v>Eugene Chung</v>
      </c>
      <c r="D39" s="51" t="str">
        <f>IFERROR(__xludf.DUMMYFUNCTION("""COMPUTED_VALUE"""),"2019/11/06 12:20:00")</f>
        <v>2019/11/06 12:20:00</v>
      </c>
      <c r="E39" s="51" t="str">
        <f>IFERROR(__xludf.DUMMYFUNCTION("""COMPUTED_VALUE"""),"2019/11/06 12:35:00")</f>
        <v>2019/11/06 12:35:00</v>
      </c>
      <c r="F39" s="51" t="str">
        <f>IFERROR(__xludf.DUMMYFUNCTION("""COMPUTED_VALUE"""),"25b269c9-e062-488b-ae06-3f58151379ca")</f>
        <v>25b269c9-e062-488b-ae06-3f58151379ca</v>
      </c>
      <c r="G39" s="58">
        <f>IFERROR(__xludf.DUMMYFUNCTION("""COMPUTED_VALUE"""),43775.0)</f>
        <v>43775</v>
      </c>
      <c r="H39" s="60">
        <f>IFERROR(__xludf.DUMMYFUNCTION("""COMPUTED_VALUE"""),0.5138888888888888)</f>
        <v>0.5138888889</v>
      </c>
      <c r="I39" s="58">
        <f>IFERROR(__xludf.DUMMYFUNCTION("""COMPUTED_VALUE"""),43775.0)</f>
        <v>43775</v>
      </c>
      <c r="J39" s="60">
        <f>IFERROR(__xludf.DUMMYFUNCTION("""COMPUTED_VALUE"""),0.5243055555555556)</f>
        <v>0.5243055556</v>
      </c>
      <c r="K39" s="60">
        <f t="shared" si="1"/>
        <v>0.01041666667</v>
      </c>
      <c r="L39" s="51" t="s">
        <v>116</v>
      </c>
      <c r="M39" s="62" t="s">
        <v>214</v>
      </c>
      <c r="N39" s="62" t="str">
        <f t="shared" si="2"/>
        <v>CS_6_8_25b269c9-e062-488b-ae06-3f58151379ca_000000_000000.mp4</v>
      </c>
      <c r="O39" s="63"/>
      <c r="P39" s="63"/>
      <c r="Q39" s="63"/>
      <c r="R39" s="51"/>
      <c r="S39" s="51"/>
      <c r="T39" s="51"/>
    </row>
    <row r="40">
      <c r="A40" s="51" t="str">
        <f>IFERROR(__xludf.DUMMYFUNCTION("""COMPUTED_VALUE"""),"Dude, where's my flying car?")</f>
        <v>Dude, where's my flying car?</v>
      </c>
      <c r="B40" s="51" t="str">
        <f>IFERROR(__xludf.DUMMYFUNCTION("""COMPUTED_VALUE"""),"Centre Stage")</f>
        <v>Centre Stage</v>
      </c>
      <c r="C40" s="56" t="str">
        <f>IFERROR(__xludf.DUMMYFUNCTION("""COMPUTED_VALUE"""),"David Wallerstein and Daniel Wiegand")</f>
        <v>David Wallerstein and Daniel Wiegand</v>
      </c>
      <c r="D40" s="51" t="str">
        <f>IFERROR(__xludf.DUMMYFUNCTION("""COMPUTED_VALUE"""),"2019/11/06 12:35:00")</f>
        <v>2019/11/06 12:35:00</v>
      </c>
      <c r="E40" s="51" t="str">
        <f>IFERROR(__xludf.DUMMYFUNCTION("""COMPUTED_VALUE"""),"2019/11/06 13:00:00")</f>
        <v>2019/11/06 13:00:00</v>
      </c>
      <c r="F40" s="51" t="str">
        <f>IFERROR(__xludf.DUMMYFUNCTION("""COMPUTED_VALUE"""),"440a77b6-51a2-4941-afb6-162cc94f6ef9")</f>
        <v>440a77b6-51a2-4941-afb6-162cc94f6ef9</v>
      </c>
      <c r="G40" s="58">
        <f>IFERROR(__xludf.DUMMYFUNCTION("""COMPUTED_VALUE"""),43775.0)</f>
        <v>43775</v>
      </c>
      <c r="H40" s="60">
        <f>IFERROR(__xludf.DUMMYFUNCTION("""COMPUTED_VALUE"""),0.5243055555555556)</f>
        <v>0.5243055556</v>
      </c>
      <c r="I40" s="58">
        <f>IFERROR(__xludf.DUMMYFUNCTION("""COMPUTED_VALUE"""),43775.0)</f>
        <v>43775</v>
      </c>
      <c r="J40" s="60">
        <f>IFERROR(__xludf.DUMMYFUNCTION("""COMPUTED_VALUE"""),0.5416666666666666)</f>
        <v>0.5416666667</v>
      </c>
      <c r="K40" s="60">
        <f t="shared" si="1"/>
        <v>0.01736111111</v>
      </c>
      <c r="L40" s="51" t="s">
        <v>107</v>
      </c>
      <c r="M40" s="62" t="s">
        <v>215</v>
      </c>
      <c r="N40" s="62" t="str">
        <f t="shared" si="2"/>
        <v>CS_6_9_440a77b6-51a2-4941-afb6-162cc94f6ef9_000000_000000.mp4</v>
      </c>
      <c r="O40" s="63"/>
      <c r="P40" s="63"/>
      <c r="Q40" s="63"/>
      <c r="R40" s="51"/>
      <c r="S40" s="51"/>
      <c r="T40" s="51"/>
    </row>
    <row r="41">
      <c r="A41" s="51" t="str">
        <f>IFERROR(__xludf.DUMMYFUNCTION("""COMPUTED_VALUE"""),"Lunch break")</f>
        <v>Lunch break</v>
      </c>
      <c r="B41" s="51" t="str">
        <f>IFERROR(__xludf.DUMMYFUNCTION("""COMPUTED_VALUE"""),"Centre Stage")</f>
        <v>Centre Stage</v>
      </c>
      <c r="C41" s="56" t="str">
        <f>IFERROR(__xludf.DUMMYFUNCTION("""COMPUTED_VALUE"""),"")</f>
        <v/>
      </c>
      <c r="D41" s="51" t="str">
        <f>IFERROR(__xludf.DUMMYFUNCTION("""COMPUTED_VALUE"""),"2019/11/06 13:00:00")</f>
        <v>2019/11/06 13:00:00</v>
      </c>
      <c r="E41" s="51" t="str">
        <f>IFERROR(__xludf.DUMMYFUNCTION("""COMPUTED_VALUE"""),"2019/11/06 13:10:00")</f>
        <v>2019/11/06 13:10:00</v>
      </c>
      <c r="F41" s="51" t="str">
        <f>IFERROR(__xludf.DUMMYFUNCTION("""COMPUTED_VALUE"""),"a073ad0e-182e-4925-8032-a00501472885")</f>
        <v>a073ad0e-182e-4925-8032-a00501472885</v>
      </c>
      <c r="G41" s="58">
        <f>IFERROR(__xludf.DUMMYFUNCTION("""COMPUTED_VALUE"""),43775.0)</f>
        <v>43775</v>
      </c>
      <c r="H41" s="60">
        <f>IFERROR(__xludf.DUMMYFUNCTION("""COMPUTED_VALUE"""),0.5416666666666666)</f>
        <v>0.5416666667</v>
      </c>
      <c r="I41" s="58">
        <f>IFERROR(__xludf.DUMMYFUNCTION("""COMPUTED_VALUE"""),43775.0)</f>
        <v>43775</v>
      </c>
      <c r="J41" s="60">
        <f>IFERROR(__xludf.DUMMYFUNCTION("""COMPUTED_VALUE"""),0.5486111111111112)</f>
        <v>0.5486111111</v>
      </c>
      <c r="K41" s="60">
        <f t="shared" si="1"/>
        <v>0.006944444444</v>
      </c>
      <c r="L41" s="51" t="s">
        <v>124</v>
      </c>
      <c r="M41" s="62"/>
      <c r="N41" s="62" t="str">
        <f t="shared" si="2"/>
        <v>_a073ad0e-182e-4925-8032-a00501472885_000000_000000.mp4</v>
      </c>
      <c r="O41" s="63"/>
      <c r="P41" s="63"/>
      <c r="Q41" s="63"/>
      <c r="R41" s="51"/>
      <c r="S41" s="51"/>
      <c r="T41" s="51"/>
    </row>
    <row r="42">
      <c r="A42" s="51" t="str">
        <f>IFERROR(__xludf.DUMMYFUNCTION("""COMPUTED_VALUE"""),"Breakout startups")</f>
        <v>Breakout startups</v>
      </c>
      <c r="B42" s="51" t="str">
        <f>IFERROR(__xludf.DUMMYFUNCTION("""COMPUTED_VALUE"""),"Centre Stage")</f>
        <v>Centre Stage</v>
      </c>
      <c r="C42" s="56" t="str">
        <f>IFERROR(__xludf.DUMMYFUNCTION("""COMPUTED_VALUE"""),"Spenser Skates, Ray Reddy, David Yovanno, Lupina Iturriaga, Sarah Nahm, Linn Tagesson and Polina Montano")</f>
        <v>Spenser Skates, Ray Reddy, David Yovanno, Lupina Iturriaga, Sarah Nahm, Linn Tagesson and Polina Montano</v>
      </c>
      <c r="D42" s="51" t="str">
        <f>IFERROR(__xludf.DUMMYFUNCTION("""COMPUTED_VALUE"""),"2019/11/06 13:10:00")</f>
        <v>2019/11/06 13:10:00</v>
      </c>
      <c r="E42" s="51" t="str">
        <f>IFERROR(__xludf.DUMMYFUNCTION("""COMPUTED_VALUE"""),"2019/11/06 13:45:00")</f>
        <v>2019/11/06 13:45:00</v>
      </c>
      <c r="F42" s="51" t="str">
        <f>IFERROR(__xludf.DUMMYFUNCTION("""COMPUTED_VALUE"""),"d514f782-9271-46f4-b677-86c60e79a5c2")</f>
        <v>d514f782-9271-46f4-b677-86c60e79a5c2</v>
      </c>
      <c r="G42" s="58">
        <f>IFERROR(__xludf.DUMMYFUNCTION("""COMPUTED_VALUE"""),43775.0)</f>
        <v>43775</v>
      </c>
      <c r="H42" s="60">
        <f>IFERROR(__xludf.DUMMYFUNCTION("""COMPUTED_VALUE"""),0.5486111111111112)</f>
        <v>0.5486111111</v>
      </c>
      <c r="I42" s="58">
        <f>IFERROR(__xludf.DUMMYFUNCTION("""COMPUTED_VALUE"""),43775.0)</f>
        <v>43775</v>
      </c>
      <c r="J42" s="60">
        <f>IFERROR(__xludf.DUMMYFUNCTION("""COMPUTED_VALUE"""),0.5729166666666666)</f>
        <v>0.5729166667</v>
      </c>
      <c r="K42" s="60">
        <f t="shared" si="1"/>
        <v>0.02430555556</v>
      </c>
      <c r="L42" s="51" t="s">
        <v>147</v>
      </c>
      <c r="M42" s="62" t="s">
        <v>217</v>
      </c>
      <c r="N42" s="62" t="str">
        <f t="shared" si="2"/>
        <v>CS_6_10_d514f782-9271-46f4-b677-86c60e79a5c2_000000_000000.mp4</v>
      </c>
      <c r="O42" s="63"/>
      <c r="P42" s="63"/>
      <c r="Q42" s="63"/>
      <c r="R42" s="51"/>
      <c r="S42" s="51"/>
      <c r="T42" s="51"/>
    </row>
    <row r="43">
      <c r="A43" s="51" t="str">
        <f>IFERROR(__xludf.DUMMYFUNCTION("""COMPUTED_VALUE"""),"Opening remarks")</f>
        <v>Opening remarks</v>
      </c>
      <c r="B43" s="51" t="str">
        <f>IFERROR(__xludf.DUMMYFUNCTION("""COMPUTED_VALUE"""),"Centre Stage")</f>
        <v>Centre Stage</v>
      </c>
      <c r="C43" s="56" t="str">
        <f>IFERROR(__xludf.DUMMYFUNCTION("""COMPUTED_VALUE"""),"Yvonne Redmond")</f>
        <v>Yvonne Redmond</v>
      </c>
      <c r="D43" s="51" t="str">
        <f>IFERROR(__xludf.DUMMYFUNCTION("""COMPUTED_VALUE"""),"2019/11/06 13:50:00")</f>
        <v>2019/11/06 13:50:00</v>
      </c>
      <c r="E43" s="51" t="str">
        <f>IFERROR(__xludf.DUMMYFUNCTION("""COMPUTED_VALUE"""),"2019/11/06 14:00:00")</f>
        <v>2019/11/06 14:00:00</v>
      </c>
      <c r="F43" s="51" t="str">
        <f>IFERROR(__xludf.DUMMYFUNCTION("""COMPUTED_VALUE"""),"0cf0a640-509c-4e4c-8645-36186884d20e")</f>
        <v>0cf0a640-509c-4e4c-8645-36186884d20e</v>
      </c>
      <c r="G43" s="58">
        <f>IFERROR(__xludf.DUMMYFUNCTION("""COMPUTED_VALUE"""),43775.0)</f>
        <v>43775</v>
      </c>
      <c r="H43" s="60">
        <f>IFERROR(__xludf.DUMMYFUNCTION("""COMPUTED_VALUE"""),0.5763888888888888)</f>
        <v>0.5763888889</v>
      </c>
      <c r="I43" s="58">
        <f>IFERROR(__xludf.DUMMYFUNCTION("""COMPUTED_VALUE"""),43775.0)</f>
        <v>43775</v>
      </c>
      <c r="J43" s="60">
        <f>IFERROR(__xludf.DUMMYFUNCTION("""COMPUTED_VALUE"""),0.5833333333333334)</f>
        <v>0.5833333333</v>
      </c>
      <c r="K43" s="60">
        <f t="shared" si="1"/>
        <v>0.006944444444</v>
      </c>
      <c r="L43" s="51" t="s">
        <v>124</v>
      </c>
      <c r="M43" s="62" t="s">
        <v>218</v>
      </c>
      <c r="N43" s="62" t="str">
        <f t="shared" si="2"/>
        <v>CS_6_11_0cf0a640-509c-4e4c-8645-36186884d20e_000000_000000.mp4</v>
      </c>
      <c r="O43" s="63"/>
      <c r="P43" s="63"/>
      <c r="Q43" s="63"/>
      <c r="R43" s="51"/>
      <c r="S43" s="51"/>
      <c r="T43" s="51"/>
    </row>
    <row r="44">
      <c r="A44" s="51" t="str">
        <f>IFERROR(__xludf.DUMMYFUNCTION("""COMPUTED_VALUE"""),"Robots are dead, long live robots")</f>
        <v>Robots are dead, long live robots</v>
      </c>
      <c r="B44" s="51" t="str">
        <f>IFERROR(__xludf.DUMMYFUNCTION("""COMPUTED_VALUE"""),"Centre Stage")</f>
        <v>Centre Stage</v>
      </c>
      <c r="C44" s="56" t="str">
        <f>IFERROR(__xludf.DUMMYFUNCTION("""COMPUTED_VALUE"""),"David Hanson, Sophia The Robot, Ben Goertzel and Philip K. Dick (robot)")</f>
        <v>David Hanson, Sophia The Robot, Ben Goertzel and Philip K. Dick (robot)</v>
      </c>
      <c r="D44" s="51" t="str">
        <f>IFERROR(__xludf.DUMMYFUNCTION("""COMPUTED_VALUE"""),"2019/11/06 14:00:00")</f>
        <v>2019/11/06 14:00:00</v>
      </c>
      <c r="E44" s="51" t="str">
        <f>IFERROR(__xludf.DUMMYFUNCTION("""COMPUTED_VALUE"""),"2019/11/06 14:25:00")</f>
        <v>2019/11/06 14:25:00</v>
      </c>
      <c r="F44" s="51" t="str">
        <f>IFERROR(__xludf.DUMMYFUNCTION("""COMPUTED_VALUE"""),"62a7378f-54a0-4a03-a376-07e508576ebb")</f>
        <v>62a7378f-54a0-4a03-a376-07e508576ebb</v>
      </c>
      <c r="G44" s="58">
        <f>IFERROR(__xludf.DUMMYFUNCTION("""COMPUTED_VALUE"""),43775.0)</f>
        <v>43775</v>
      </c>
      <c r="H44" s="60">
        <f>IFERROR(__xludf.DUMMYFUNCTION("""COMPUTED_VALUE"""),0.5833333333333334)</f>
        <v>0.5833333333</v>
      </c>
      <c r="I44" s="58">
        <f>IFERROR(__xludf.DUMMYFUNCTION("""COMPUTED_VALUE"""),43775.0)</f>
        <v>43775</v>
      </c>
      <c r="J44" s="60">
        <f>IFERROR(__xludf.DUMMYFUNCTION("""COMPUTED_VALUE"""),0.6006944444444444)</f>
        <v>0.6006944444</v>
      </c>
      <c r="K44" s="60">
        <f t="shared" si="1"/>
        <v>0.01736111111</v>
      </c>
      <c r="L44" s="51" t="s">
        <v>107</v>
      </c>
      <c r="M44" s="62" t="s">
        <v>220</v>
      </c>
      <c r="N44" s="62" t="str">
        <f t="shared" si="2"/>
        <v>CS_6_12_62a7378f-54a0-4a03-a376-07e508576ebb_000000_000000.mp4</v>
      </c>
      <c r="O44" s="63"/>
      <c r="P44" s="63"/>
      <c r="Q44" s="63"/>
      <c r="R44" s="51"/>
      <c r="S44" s="51"/>
      <c r="T44" s="51"/>
    </row>
    <row r="45">
      <c r="A45" s="51" t="str">
        <f>IFERROR(__xludf.DUMMYFUNCTION("""COMPUTED_VALUE"""),"Trade wars: A new world order?")</f>
        <v>Trade wars: A new world order?</v>
      </c>
      <c r="B45" s="51" t="str">
        <f>IFERROR(__xludf.DUMMYFUNCTION("""COMPUTED_VALUE"""),"Centre Stage")</f>
        <v>Centre Stage</v>
      </c>
      <c r="C45" s="56" t="str">
        <f>IFERROR(__xludf.DUMMYFUNCTION("""COMPUTED_VALUE"""),"Michael Pillsbury, Juan Branco and David Rowan")</f>
        <v>Michael Pillsbury, Juan Branco and David Rowan</v>
      </c>
      <c r="D45" s="51" t="str">
        <f>IFERROR(__xludf.DUMMYFUNCTION("""COMPUTED_VALUE"""),"2019/11/06 14:25:00")</f>
        <v>2019/11/06 14:25:00</v>
      </c>
      <c r="E45" s="51" t="str">
        <f>IFERROR(__xludf.DUMMYFUNCTION("""COMPUTED_VALUE"""),"2019/11/06 14:45:00")</f>
        <v>2019/11/06 14:45:00</v>
      </c>
      <c r="F45" s="51" t="str">
        <f>IFERROR(__xludf.DUMMYFUNCTION("""COMPUTED_VALUE"""),"8810b318-8638-4e54-ae92-d10c473d1741")</f>
        <v>8810b318-8638-4e54-ae92-d10c473d1741</v>
      </c>
      <c r="G45" s="58">
        <f>IFERROR(__xludf.DUMMYFUNCTION("""COMPUTED_VALUE"""),43775.0)</f>
        <v>43775</v>
      </c>
      <c r="H45" s="60">
        <f>IFERROR(__xludf.DUMMYFUNCTION("""COMPUTED_VALUE"""),0.6006944444444444)</f>
        <v>0.6006944444</v>
      </c>
      <c r="I45" s="58">
        <f>IFERROR(__xludf.DUMMYFUNCTION("""COMPUTED_VALUE"""),43775.0)</f>
        <v>43775</v>
      </c>
      <c r="J45" s="60">
        <f>IFERROR(__xludf.DUMMYFUNCTION("""COMPUTED_VALUE"""),0.6145833333333334)</f>
        <v>0.6145833333</v>
      </c>
      <c r="K45" s="60">
        <f t="shared" si="1"/>
        <v>0.01388888889</v>
      </c>
      <c r="L45" s="51" t="s">
        <v>111</v>
      </c>
      <c r="M45" s="62" t="s">
        <v>222</v>
      </c>
      <c r="N45" s="62" t="str">
        <f t="shared" si="2"/>
        <v>CS_6_13_8810b318-8638-4e54-ae92-d10c473d1741_000000_000000.mp4</v>
      </c>
      <c r="O45" s="63"/>
      <c r="P45" s="63"/>
      <c r="Q45" s="63"/>
      <c r="R45" s="51"/>
      <c r="S45" s="51"/>
      <c r="T45" s="51"/>
    </row>
    <row r="46">
      <c r="A46" s="51" t="str">
        <f>IFERROR(__xludf.DUMMYFUNCTION("""COMPUTED_VALUE"""),"Is it too late to save the world?")</f>
        <v>Is it too late to save the world?</v>
      </c>
      <c r="B46" s="51" t="str">
        <f>IFERROR(__xludf.DUMMYFUNCTION("""COMPUTED_VALUE"""),"Centre Stage")</f>
        <v>Centre Stage</v>
      </c>
      <c r="C46" s="56" t="str">
        <f>IFERROR(__xludf.DUMMYFUNCTION("""COMPUTED_VALUE"""),"Christiana Figueres, Kate Brandt and Cheng Lei")</f>
        <v>Christiana Figueres, Kate Brandt and Cheng Lei</v>
      </c>
      <c r="D46" s="51" t="str">
        <f>IFERROR(__xludf.DUMMYFUNCTION("""COMPUTED_VALUE"""),"2019/11/06 14:45:00")</f>
        <v>2019/11/06 14:45:00</v>
      </c>
      <c r="E46" s="51" t="str">
        <f>IFERROR(__xludf.DUMMYFUNCTION("""COMPUTED_VALUE"""),"2019/11/06 15:10:00")</f>
        <v>2019/11/06 15:10:00</v>
      </c>
      <c r="F46" s="51" t="str">
        <f>IFERROR(__xludf.DUMMYFUNCTION("""COMPUTED_VALUE"""),"a5516898-7b73-4be8-b22e-289dd02334f1")</f>
        <v>a5516898-7b73-4be8-b22e-289dd02334f1</v>
      </c>
      <c r="G46" s="58">
        <f>IFERROR(__xludf.DUMMYFUNCTION("""COMPUTED_VALUE"""),43775.0)</f>
        <v>43775</v>
      </c>
      <c r="H46" s="60">
        <f>IFERROR(__xludf.DUMMYFUNCTION("""COMPUTED_VALUE"""),0.6145833333333334)</f>
        <v>0.6145833333</v>
      </c>
      <c r="I46" s="58">
        <f>IFERROR(__xludf.DUMMYFUNCTION("""COMPUTED_VALUE"""),43775.0)</f>
        <v>43775</v>
      </c>
      <c r="J46" s="60">
        <f>IFERROR(__xludf.DUMMYFUNCTION("""COMPUTED_VALUE"""),0.6319444444444444)</f>
        <v>0.6319444444</v>
      </c>
      <c r="K46" s="60">
        <f t="shared" si="1"/>
        <v>0.01736111111</v>
      </c>
      <c r="L46" s="51" t="s">
        <v>107</v>
      </c>
      <c r="M46" s="62" t="s">
        <v>224</v>
      </c>
      <c r="N46" s="62" t="str">
        <f t="shared" si="2"/>
        <v>CS_6_14_a5516898-7b73-4be8-b22e-289dd02334f1_000000_000000.mp4</v>
      </c>
      <c r="O46" s="63"/>
      <c r="P46" s="63"/>
      <c r="Q46" s="63"/>
      <c r="R46" s="51"/>
      <c r="S46" s="51"/>
      <c r="T46" s="51"/>
    </row>
    <row r="47">
      <c r="A47" s="51" t="str">
        <f>IFERROR(__xludf.DUMMYFUNCTION("""COMPUTED_VALUE"""),"Marketing in 2020")</f>
        <v>Marketing in 2020</v>
      </c>
      <c r="B47" s="51" t="str">
        <f>IFERROR(__xludf.DUMMYFUNCTION("""COMPUTED_VALUE"""),"Centre Stage")</f>
        <v>Centre Stage</v>
      </c>
      <c r="C47" s="56" t="str">
        <f>IFERROR(__xludf.DUMMYFUNCTION("""COMPUTED_VALUE"""),"Fernando Machado, Gail Heimann, Katia Bassi and Marty Swant")</f>
        <v>Fernando Machado, Gail Heimann, Katia Bassi and Marty Swant</v>
      </c>
      <c r="D47" s="51" t="str">
        <f>IFERROR(__xludf.DUMMYFUNCTION("""COMPUTED_VALUE"""),"2019/11/06 15:10:00")</f>
        <v>2019/11/06 15:10:00</v>
      </c>
      <c r="E47" s="51" t="str">
        <f>IFERROR(__xludf.DUMMYFUNCTION("""COMPUTED_VALUE"""),"2019/11/06 15:30:00")</f>
        <v>2019/11/06 15:30:00</v>
      </c>
      <c r="F47" s="51" t="str">
        <f>IFERROR(__xludf.DUMMYFUNCTION("""COMPUTED_VALUE"""),"49a0f370-3a9c-4823-a6c3-a5d98f482287")</f>
        <v>49a0f370-3a9c-4823-a6c3-a5d98f482287</v>
      </c>
      <c r="G47" s="58">
        <f>IFERROR(__xludf.DUMMYFUNCTION("""COMPUTED_VALUE"""),43775.0)</f>
        <v>43775</v>
      </c>
      <c r="H47" s="60">
        <f>IFERROR(__xludf.DUMMYFUNCTION("""COMPUTED_VALUE"""),0.6319444444444444)</f>
        <v>0.6319444444</v>
      </c>
      <c r="I47" s="58">
        <f>IFERROR(__xludf.DUMMYFUNCTION("""COMPUTED_VALUE"""),43775.0)</f>
        <v>43775</v>
      </c>
      <c r="J47" s="60">
        <f>IFERROR(__xludf.DUMMYFUNCTION("""COMPUTED_VALUE"""),0.6458333333333334)</f>
        <v>0.6458333333</v>
      </c>
      <c r="K47" s="60">
        <f t="shared" si="1"/>
        <v>0.01388888889</v>
      </c>
      <c r="L47" s="51" t="s">
        <v>111</v>
      </c>
      <c r="M47" s="62" t="s">
        <v>226</v>
      </c>
      <c r="N47" s="62" t="str">
        <f t="shared" si="2"/>
        <v>CS_6_15_49a0f370-3a9c-4823-a6c3-a5d98f482287_000000_000000.mp4</v>
      </c>
      <c r="O47" s="63"/>
      <c r="P47" s="63"/>
      <c r="Q47" s="63"/>
      <c r="R47" s="51"/>
      <c r="S47" s="51"/>
      <c r="T47" s="51"/>
    </row>
    <row r="48">
      <c r="A48" s="51" t="str">
        <f>IFERROR(__xludf.DUMMYFUNCTION("""COMPUTED_VALUE"""),"How we'll arrive in 2025")</f>
        <v>How we'll arrive in 2025</v>
      </c>
      <c r="B48" s="51" t="str">
        <f>IFERROR(__xludf.DUMMYFUNCTION("""COMPUTED_VALUE"""),"Centre Stage")</f>
        <v>Centre Stage</v>
      </c>
      <c r="C48" s="56" t="str">
        <f>IFERROR(__xludf.DUMMYFUNCTION("""COMPUTED_VALUE"""),"Brad Bao, Sam Zaid, Corinne Vigreux, Xiaodi Hou and Tim Stevens")</f>
        <v>Brad Bao, Sam Zaid, Corinne Vigreux, Xiaodi Hou and Tim Stevens</v>
      </c>
      <c r="D48" s="51" t="str">
        <f>IFERROR(__xludf.DUMMYFUNCTION("""COMPUTED_VALUE"""),"2019/11/06 15:30:00")</f>
        <v>2019/11/06 15:30:00</v>
      </c>
      <c r="E48" s="51" t="str">
        <f>IFERROR(__xludf.DUMMYFUNCTION("""COMPUTED_VALUE"""),"2019/11/06 16:05:00")</f>
        <v>2019/11/06 16:05:00</v>
      </c>
      <c r="F48" s="51" t="str">
        <f>IFERROR(__xludf.DUMMYFUNCTION("""COMPUTED_VALUE"""),"1d8f4d46-9220-4474-918f-f79de1691911")</f>
        <v>1d8f4d46-9220-4474-918f-f79de1691911</v>
      </c>
      <c r="G48" s="58">
        <f>IFERROR(__xludf.DUMMYFUNCTION("""COMPUTED_VALUE"""),43775.0)</f>
        <v>43775</v>
      </c>
      <c r="H48" s="60">
        <f>IFERROR(__xludf.DUMMYFUNCTION("""COMPUTED_VALUE"""),0.6458333333333334)</f>
        <v>0.6458333333</v>
      </c>
      <c r="I48" s="58">
        <f>IFERROR(__xludf.DUMMYFUNCTION("""COMPUTED_VALUE"""),43775.0)</f>
        <v>43775</v>
      </c>
      <c r="J48" s="60">
        <f>IFERROR(__xludf.DUMMYFUNCTION("""COMPUTED_VALUE"""),0.6701388888888888)</f>
        <v>0.6701388889</v>
      </c>
      <c r="K48" s="60">
        <f t="shared" si="1"/>
        <v>0.02430555556</v>
      </c>
      <c r="L48" s="51" t="s">
        <v>147</v>
      </c>
      <c r="M48" s="62" t="s">
        <v>228</v>
      </c>
      <c r="N48" s="62" t="str">
        <f t="shared" si="2"/>
        <v>CS_6_16_1d8f4d46-9220-4474-918f-f79de1691911_000000_000000.mp4</v>
      </c>
      <c r="O48" s="63"/>
      <c r="P48" s="63"/>
      <c r="Q48" s="63"/>
      <c r="R48" s="51"/>
      <c r="S48" s="51"/>
      <c r="T48" s="51"/>
    </row>
    <row r="49">
      <c r="A49" s="51" t="str">
        <f>IFERROR(__xludf.DUMMYFUNCTION("""COMPUTED_VALUE"""),"Is it possible to access your intentions at the wrist? ")</f>
        <v>Is it possible to access your intentions at the wrist? </v>
      </c>
      <c r="B49" s="51" t="str">
        <f>IFERROR(__xludf.DUMMYFUNCTION("""COMPUTED_VALUE"""),"Centre Stage")</f>
        <v>Centre Stage</v>
      </c>
      <c r="C49" s="56" t="str">
        <f>IFERROR(__xludf.DUMMYFUNCTION("""COMPUTED_VALUE"""),"Thomas Reardon")</f>
        <v>Thomas Reardon</v>
      </c>
      <c r="D49" s="51" t="str">
        <f>IFERROR(__xludf.DUMMYFUNCTION("""COMPUTED_VALUE"""),"2019/11/06 16:05:00")</f>
        <v>2019/11/06 16:05:00</v>
      </c>
      <c r="E49" s="51" t="str">
        <f>IFERROR(__xludf.DUMMYFUNCTION("""COMPUTED_VALUE"""),"2019/11/06 16:15:00")</f>
        <v>2019/11/06 16:15:00</v>
      </c>
      <c r="F49" s="51" t="str">
        <f>IFERROR(__xludf.DUMMYFUNCTION("""COMPUTED_VALUE"""),"be5d178a-e86a-48c4-9a4e-083cc3c9b47c")</f>
        <v>be5d178a-e86a-48c4-9a4e-083cc3c9b47c</v>
      </c>
      <c r="G49" s="58">
        <f>IFERROR(__xludf.DUMMYFUNCTION("""COMPUTED_VALUE"""),43775.0)</f>
        <v>43775</v>
      </c>
      <c r="H49" s="60">
        <f>IFERROR(__xludf.DUMMYFUNCTION("""COMPUTED_VALUE"""),0.6701388888888888)</f>
        <v>0.6701388889</v>
      </c>
      <c r="I49" s="58">
        <f>IFERROR(__xludf.DUMMYFUNCTION("""COMPUTED_VALUE"""),43775.0)</f>
        <v>43775</v>
      </c>
      <c r="J49" s="60">
        <f>IFERROR(__xludf.DUMMYFUNCTION("""COMPUTED_VALUE"""),0.6770833333333334)</f>
        <v>0.6770833333</v>
      </c>
      <c r="K49" s="60">
        <f t="shared" si="1"/>
        <v>0.006944444444</v>
      </c>
      <c r="L49" s="51" t="s">
        <v>124</v>
      </c>
      <c r="M49" s="62" t="s">
        <v>229</v>
      </c>
      <c r="N49" s="62" t="str">
        <f t="shared" si="2"/>
        <v>CS_6_17_be5d178a-e86a-48c4-9a4e-083cc3c9b47c_000000_000000.mp4</v>
      </c>
      <c r="O49" s="63"/>
      <c r="P49" s="63"/>
      <c r="Q49" s="63"/>
      <c r="R49" s="51"/>
      <c r="S49" s="51"/>
      <c r="T49" s="51"/>
    </row>
    <row r="50">
      <c r="A50" s="51" t="str">
        <f>IFERROR(__xludf.DUMMYFUNCTION("""COMPUTED_VALUE"""),"The upside of obsession")</f>
        <v>The upside of obsession</v>
      </c>
      <c r="B50" s="51" t="str">
        <f>IFERROR(__xludf.DUMMYFUNCTION("""COMPUTED_VALUE"""),"Centre Stage")</f>
        <v>Centre Stage</v>
      </c>
      <c r="C50" s="56" t="str">
        <f>IFERROR(__xludf.DUMMYFUNCTION("""COMPUTED_VALUE"""),"Des Traynor,  , Paige VanZant,   and David Rowan")</f>
        <v>Des Traynor,  , Paige VanZant,   and David Rowan</v>
      </c>
      <c r="D50" s="51" t="str">
        <f>IFERROR(__xludf.DUMMYFUNCTION("""COMPUTED_VALUE"""),"2019/11/06 16:15:00")</f>
        <v>2019/11/06 16:15:00</v>
      </c>
      <c r="E50" s="51" t="str">
        <f>IFERROR(__xludf.DUMMYFUNCTION("""COMPUTED_VALUE"""),"2019/11/06 16:40:00")</f>
        <v>2019/11/06 16:40:00</v>
      </c>
      <c r="F50" s="51" t="str">
        <f>IFERROR(__xludf.DUMMYFUNCTION("""COMPUTED_VALUE"""),"5cec1916-6d6d-44ba-8b45-d12c9fb4212a")</f>
        <v>5cec1916-6d6d-44ba-8b45-d12c9fb4212a</v>
      </c>
      <c r="G50" s="58">
        <f>IFERROR(__xludf.DUMMYFUNCTION("""COMPUTED_VALUE"""),43775.0)</f>
        <v>43775</v>
      </c>
      <c r="H50" s="60">
        <f>IFERROR(__xludf.DUMMYFUNCTION("""COMPUTED_VALUE"""),0.6770833333333334)</f>
        <v>0.6770833333</v>
      </c>
      <c r="I50" s="58">
        <f>IFERROR(__xludf.DUMMYFUNCTION("""COMPUTED_VALUE"""),43775.0)</f>
        <v>43775</v>
      </c>
      <c r="J50" s="60">
        <f>IFERROR(__xludf.DUMMYFUNCTION("""COMPUTED_VALUE"""),0.6944444444444444)</f>
        <v>0.6944444444</v>
      </c>
      <c r="K50" s="60">
        <f t="shared" si="1"/>
        <v>0.01736111111</v>
      </c>
      <c r="L50" s="51" t="s">
        <v>107</v>
      </c>
      <c r="M50" s="62" t="s">
        <v>231</v>
      </c>
      <c r="N50" s="62" t="str">
        <f t="shared" si="2"/>
        <v>CS_6_18_5cec1916-6d6d-44ba-8b45-d12c9fb4212a_000000_000000.mp4</v>
      </c>
      <c r="O50" s="63"/>
      <c r="P50" s="63"/>
      <c r="Q50" s="63"/>
      <c r="R50" s="51"/>
      <c r="S50" s="51"/>
      <c r="T50" s="51"/>
    </row>
    <row r="51">
      <c r="A51" s="69" t="str">
        <f>IFERROR(__xludf.DUMMYFUNCTION("""COMPUTED_VALUE"""),"Amazon.ai")</f>
        <v>Amazon.ai</v>
      </c>
      <c r="B51" s="51" t="str">
        <f>IFERROR(__xludf.DUMMYFUNCTION("""COMPUTED_VALUE"""),"Centre Stage")</f>
        <v>Centre Stage</v>
      </c>
      <c r="C51" s="56" t="str">
        <f>IFERROR(__xludf.DUMMYFUNCTION("""COMPUTED_VALUE"""),"Werner Vogels")</f>
        <v>Werner Vogels</v>
      </c>
      <c r="D51" s="51" t="str">
        <f>IFERROR(__xludf.DUMMYFUNCTION("""COMPUTED_VALUE"""),"2019/11/06 16:40:00")</f>
        <v>2019/11/06 16:40:00</v>
      </c>
      <c r="E51" s="51" t="str">
        <f>IFERROR(__xludf.DUMMYFUNCTION("""COMPUTED_VALUE"""),"2019/11/06 17:00:00")</f>
        <v>2019/11/06 17:00:00</v>
      </c>
      <c r="F51" s="51" t="str">
        <f>IFERROR(__xludf.DUMMYFUNCTION("""COMPUTED_VALUE"""),"9197b5fd-4b13-4003-9582-e68c131c44f3")</f>
        <v>9197b5fd-4b13-4003-9582-e68c131c44f3</v>
      </c>
      <c r="G51" s="58">
        <f>IFERROR(__xludf.DUMMYFUNCTION("""COMPUTED_VALUE"""),43775.0)</f>
        <v>43775</v>
      </c>
      <c r="H51" s="60">
        <f>IFERROR(__xludf.DUMMYFUNCTION("""COMPUTED_VALUE"""),0.6944444444444444)</f>
        <v>0.6944444444</v>
      </c>
      <c r="I51" s="58">
        <f>IFERROR(__xludf.DUMMYFUNCTION("""COMPUTED_VALUE"""),43775.0)</f>
        <v>43775</v>
      </c>
      <c r="J51" s="60">
        <f>IFERROR(__xludf.DUMMYFUNCTION("""COMPUTED_VALUE"""),0.7083333333333334)</f>
        <v>0.7083333333</v>
      </c>
      <c r="K51" s="60">
        <f t="shared" si="1"/>
        <v>0.01388888889</v>
      </c>
      <c r="L51" s="51" t="s">
        <v>111</v>
      </c>
      <c r="M51" s="62" t="s">
        <v>233</v>
      </c>
      <c r="N51" s="62" t="str">
        <f t="shared" si="2"/>
        <v>CS_6_19_9197b5fd-4b13-4003-9582-e68c131c44f3_000000_000000.mp4</v>
      </c>
      <c r="O51" s="63"/>
      <c r="P51" s="63"/>
      <c r="Q51" s="63"/>
      <c r="R51" s="51"/>
      <c r="S51" s="51"/>
      <c r="T51" s="51"/>
    </row>
    <row r="52">
      <c r="A52" s="51" t="str">
        <f>IFERROR(__xludf.DUMMYFUNCTION("""COMPUTED_VALUE"""),"PITCH semi-final")</f>
        <v>PITCH semi-final</v>
      </c>
      <c r="B52" s="51" t="str">
        <f>IFERROR(__xludf.DUMMYFUNCTION("""COMPUTED_VALUE"""),"Centre Stage")</f>
        <v>Centre Stage</v>
      </c>
      <c r="C52" s="56" t="str">
        <f>IFERROR(__xludf.DUMMYFUNCTION("""COMPUTED_VALUE"""),"Erik Mostenicky, Mischa Wetzel, David Braga Malta, Tim Rehder, Stefan Walter, Arthur Hu, Alf Franzoni, Ansgar Chorhummel, Kieran Hill, Emma Steele, Cecilia Turriago, Cristina Fonseca, Frauke Mispagel, Melissa Larson Youngblood, Sunil Sharma, Casey Lau, Ma"&amp;"rtin Kõiva, Pedro Miranda, Lucy Liu, Toby Call, Veronika Riederle and Russ Heddleston")</f>
        <v>Erik Mostenicky, Mischa Wetzel, David Braga Malta, Tim Rehder, Stefan Walter, Arthur Hu, Alf Franzoni, Ansgar Chorhummel, Kieran Hill, Emma Steele, Cecilia Turriago, Cristina Fonseca, Frauke Mispagel, Melissa Larson Youngblood, Sunil Sharma, Casey Lau, Martin Kõiva, Pedro Miranda, Lucy Liu, Toby Call, Veronika Riederle and Russ Heddleston</v>
      </c>
      <c r="D52" s="51" t="str">
        <f>IFERROR(__xludf.DUMMYFUNCTION("""COMPUTED_VALUE"""),"2019/11/06 17:00:00")</f>
        <v>2019/11/06 17:00:00</v>
      </c>
      <c r="E52" s="51" t="str">
        <f>IFERROR(__xludf.DUMMYFUNCTION("""COMPUTED_VALUE"""),"2019/11/06 18:00:00")</f>
        <v>2019/11/06 18:00:00</v>
      </c>
      <c r="F52" s="51" t="str">
        <f>IFERROR(__xludf.DUMMYFUNCTION("""COMPUTED_VALUE"""),"7ffa9375-5357-4976-88e6-4619960440aa")</f>
        <v>7ffa9375-5357-4976-88e6-4619960440aa</v>
      </c>
      <c r="G52" s="58">
        <f>IFERROR(__xludf.DUMMYFUNCTION("""COMPUTED_VALUE"""),43775.0)</f>
        <v>43775</v>
      </c>
      <c r="H52" s="60">
        <f>IFERROR(__xludf.DUMMYFUNCTION("""COMPUTED_VALUE"""),0.7083333333333334)</f>
        <v>0.7083333333</v>
      </c>
      <c r="I52" s="58">
        <f>IFERROR(__xludf.DUMMYFUNCTION("""COMPUTED_VALUE"""),43775.0)</f>
        <v>43775</v>
      </c>
      <c r="J52" s="60">
        <f>IFERROR(__xludf.DUMMYFUNCTION("""COMPUTED_VALUE"""),0.75)</f>
        <v>0.75</v>
      </c>
      <c r="K52" s="60">
        <f t="shared" si="1"/>
        <v>0.04166666667</v>
      </c>
      <c r="L52" s="51" t="s">
        <v>236</v>
      </c>
      <c r="M52" s="62" t="s">
        <v>237</v>
      </c>
      <c r="N52" s="62" t="str">
        <f t="shared" si="2"/>
        <v>CS_6_20_7ffa9375-5357-4976-88e6-4619960440aa_000000_000000.mp4</v>
      </c>
      <c r="O52" s="63"/>
      <c r="P52" s="63"/>
      <c r="Q52" s="63"/>
      <c r="R52" s="51"/>
      <c r="S52" s="51"/>
      <c r="T52" s="51"/>
    </row>
    <row r="53">
      <c r="A53" s="51" t="str">
        <f>IFERROR(__xludf.DUMMYFUNCTION("""COMPUTED_VALUE"""),"Breakout startups")</f>
        <v>Breakout startups</v>
      </c>
      <c r="B53" s="51" t="str">
        <f>IFERROR(__xludf.DUMMYFUNCTION("""COMPUTED_VALUE"""),"Centre Stage")</f>
        <v>Centre Stage</v>
      </c>
      <c r="C53" s="56" t="str">
        <f>IFERROR(__xludf.DUMMYFUNCTION("""COMPUTED_VALUE"""),"Daniela Seixas, Elissa Shevinsky, Alexey Moiseenkov, Chetan Venkatesh, Curran McKay, Dave McGibbon, Kate Boyle, Mariano Kostelec, Sarah Sandnes, Dario Galbiati Alborghetti and Hugh Geiger")</f>
        <v>Daniela Seixas, Elissa Shevinsky, Alexey Moiseenkov, Chetan Venkatesh, Curran McKay, Dave McGibbon, Kate Boyle, Mariano Kostelec, Sarah Sandnes, Dario Galbiati Alborghetti and Hugh Geiger</v>
      </c>
      <c r="D53" s="51" t="str">
        <f>IFERROR(__xludf.DUMMYFUNCTION("""COMPUTED_VALUE"""),"2019/11/07 09:30:00")</f>
        <v>2019/11/07 09:30:00</v>
      </c>
      <c r="E53" s="51" t="str">
        <f>IFERROR(__xludf.DUMMYFUNCTION("""COMPUTED_VALUE"""),"2019/11/07 10:15:00")</f>
        <v>2019/11/07 10:15:00</v>
      </c>
      <c r="F53" s="51" t="str">
        <f>IFERROR(__xludf.DUMMYFUNCTION("""COMPUTED_VALUE"""),"270664fa-82ed-43e6-b5dc-82f0ebec2ebd")</f>
        <v>270664fa-82ed-43e6-b5dc-82f0ebec2ebd</v>
      </c>
      <c r="G53" s="58">
        <f>IFERROR(__xludf.DUMMYFUNCTION("""COMPUTED_VALUE"""),43776.0)</f>
        <v>43776</v>
      </c>
      <c r="H53" s="60">
        <f>IFERROR(__xludf.DUMMYFUNCTION("""COMPUTED_VALUE"""),0.3958333333333333)</f>
        <v>0.3958333333</v>
      </c>
      <c r="I53" s="58">
        <f>IFERROR(__xludf.DUMMYFUNCTION("""COMPUTED_VALUE"""),43776.0)</f>
        <v>43776</v>
      </c>
      <c r="J53" s="60">
        <f>IFERROR(__xludf.DUMMYFUNCTION("""COMPUTED_VALUE"""),0.4270833333333333)</f>
        <v>0.4270833333</v>
      </c>
      <c r="K53" s="60">
        <f t="shared" si="1"/>
        <v>0.03125</v>
      </c>
      <c r="L53" s="51" t="s">
        <v>131</v>
      </c>
      <c r="M53" s="62" t="s">
        <v>239</v>
      </c>
      <c r="N53" s="62" t="str">
        <f t="shared" si="2"/>
        <v>CS_7_1_270664fa-82ed-43e6-b5dc-82f0ebec2ebd_000000_000000.mp4</v>
      </c>
      <c r="O53" s="63"/>
      <c r="P53" s="63"/>
      <c r="Q53" s="63"/>
      <c r="R53" s="51"/>
      <c r="S53" s="51"/>
      <c r="T53" s="51"/>
    </row>
    <row r="54">
      <c r="A54" s="51" t="str">
        <f>IFERROR(__xludf.DUMMYFUNCTION("""COMPUTED_VALUE"""),"Opening remarks")</f>
        <v>Opening remarks</v>
      </c>
      <c r="B54" s="51" t="str">
        <f>IFERROR(__xludf.DUMMYFUNCTION("""COMPUTED_VALUE"""),"Centre Stage")</f>
        <v>Centre Stage</v>
      </c>
      <c r="C54" s="56" t="str">
        <f>IFERROR(__xludf.DUMMYFUNCTION("""COMPUTED_VALUE"""),"Paddy Cosgrave")</f>
        <v>Paddy Cosgrave</v>
      </c>
      <c r="D54" s="51" t="str">
        <f>IFERROR(__xludf.DUMMYFUNCTION("""COMPUTED_VALUE"""),"2019/11/07 10:15:00")</f>
        <v>2019/11/07 10:15:00</v>
      </c>
      <c r="E54" s="51" t="str">
        <f>IFERROR(__xludf.DUMMYFUNCTION("""COMPUTED_VALUE"""),"2019/11/07 10:30:00")</f>
        <v>2019/11/07 10:30:00</v>
      </c>
      <c r="F54" s="51" t="str">
        <f>IFERROR(__xludf.DUMMYFUNCTION("""COMPUTED_VALUE"""),"ea03f8f8-84e1-47a9-afee-1829384c3b79")</f>
        <v>ea03f8f8-84e1-47a9-afee-1829384c3b79</v>
      </c>
      <c r="G54" s="58">
        <f>IFERROR(__xludf.DUMMYFUNCTION("""COMPUTED_VALUE"""),43776.0)</f>
        <v>43776</v>
      </c>
      <c r="H54" s="60">
        <f>IFERROR(__xludf.DUMMYFUNCTION("""COMPUTED_VALUE"""),0.4270833333333333)</f>
        <v>0.4270833333</v>
      </c>
      <c r="I54" s="58">
        <f>IFERROR(__xludf.DUMMYFUNCTION("""COMPUTED_VALUE"""),43776.0)</f>
        <v>43776</v>
      </c>
      <c r="J54" s="60">
        <f>IFERROR(__xludf.DUMMYFUNCTION("""COMPUTED_VALUE"""),0.4375)</f>
        <v>0.4375</v>
      </c>
      <c r="K54" s="60">
        <f t="shared" si="1"/>
        <v>0.01041666667</v>
      </c>
      <c r="L54" s="51" t="s">
        <v>116</v>
      </c>
      <c r="M54" s="62" t="s">
        <v>241</v>
      </c>
      <c r="N54" s="62" t="str">
        <f t="shared" si="2"/>
        <v>CS_7_2_ea03f8f8-84e1-47a9-afee-1829384c3b79_000000_000000.mp4</v>
      </c>
      <c r="O54" s="63"/>
      <c r="P54" s="63"/>
      <c r="Q54" s="63"/>
      <c r="R54" s="51"/>
      <c r="S54" s="51"/>
      <c r="T54" s="51"/>
    </row>
    <row r="55">
      <c r="A55" s="51" t="str">
        <f>IFERROR(__xludf.DUMMYFUNCTION("""COMPUTED_VALUE"""),"Building the next great ad empire")</f>
        <v>Building the next great ad empire</v>
      </c>
      <c r="B55" s="51" t="str">
        <f>IFERROR(__xludf.DUMMYFUNCTION("""COMPUTED_VALUE"""),"Centre Stage")</f>
        <v>Centre Stage</v>
      </c>
      <c r="C55" s="56" t="str">
        <f>IFERROR(__xludf.DUMMYFUNCTION("""COMPUTED_VALUE"""),"Sir Martin Sorrell and Charlie Warzel")</f>
        <v>Sir Martin Sorrell and Charlie Warzel</v>
      </c>
      <c r="D55" s="51" t="str">
        <f>IFERROR(__xludf.DUMMYFUNCTION("""COMPUTED_VALUE"""),"2019/11/07 10:30:00")</f>
        <v>2019/11/07 10:30:00</v>
      </c>
      <c r="E55" s="51" t="str">
        <f>IFERROR(__xludf.DUMMYFUNCTION("""COMPUTED_VALUE"""),"2019/11/07 10:50:00")</f>
        <v>2019/11/07 10:50:00</v>
      </c>
      <c r="F55" s="51" t="str">
        <f>IFERROR(__xludf.DUMMYFUNCTION("""COMPUTED_VALUE"""),"67c90a7b-7186-49b5-bfc4-51986b98c4ff")</f>
        <v>67c90a7b-7186-49b5-bfc4-51986b98c4ff</v>
      </c>
      <c r="G55" s="58">
        <f>IFERROR(__xludf.DUMMYFUNCTION("""COMPUTED_VALUE"""),43776.0)</f>
        <v>43776</v>
      </c>
      <c r="H55" s="60">
        <f>IFERROR(__xludf.DUMMYFUNCTION("""COMPUTED_VALUE"""),0.4375)</f>
        <v>0.4375</v>
      </c>
      <c r="I55" s="58">
        <f>IFERROR(__xludf.DUMMYFUNCTION("""COMPUTED_VALUE"""),43776.0)</f>
        <v>43776</v>
      </c>
      <c r="J55" s="60">
        <f>IFERROR(__xludf.DUMMYFUNCTION("""COMPUTED_VALUE"""),0.4513888888888889)</f>
        <v>0.4513888889</v>
      </c>
      <c r="K55" s="60">
        <f t="shared" si="1"/>
        <v>0.01388888889</v>
      </c>
      <c r="L55" s="51" t="s">
        <v>111</v>
      </c>
      <c r="M55" s="62" t="s">
        <v>243</v>
      </c>
      <c r="N55" s="62" t="str">
        <f t="shared" si="2"/>
        <v>CS_7_3_67c90a7b-7186-49b5-bfc4-51986b98c4ff_000000_000000.mp4</v>
      </c>
      <c r="O55" s="63"/>
      <c r="P55" s="63"/>
      <c r="Q55" s="63"/>
      <c r="R55" s="51"/>
      <c r="S55" s="51"/>
      <c r="T55" s="51"/>
    </row>
    <row r="56">
      <c r="A56" s="51" t="str">
        <f>IFERROR(__xludf.DUMMYFUNCTION("""COMPUTED_VALUE"""),"The three things every leader should know")</f>
        <v>The three things every leader should know</v>
      </c>
      <c r="B56" s="51" t="str">
        <f>IFERROR(__xludf.DUMMYFUNCTION("""COMPUTED_VALUE"""),"Centre Stage")</f>
        <v>Centre Stage</v>
      </c>
      <c r="C56" s="56" t="str">
        <f>IFERROR(__xludf.DUMMYFUNCTION("""COMPUTED_VALUE"""),"Yoni Assia, Mitchell Baker, Christina Sass, Jamie Iannone and Mike Butcher")</f>
        <v>Yoni Assia, Mitchell Baker, Christina Sass, Jamie Iannone and Mike Butcher</v>
      </c>
      <c r="D56" s="51" t="str">
        <f>IFERROR(__xludf.DUMMYFUNCTION("""COMPUTED_VALUE"""),"2019/11/07 10:50:00")</f>
        <v>2019/11/07 10:50:00</v>
      </c>
      <c r="E56" s="51" t="str">
        <f>IFERROR(__xludf.DUMMYFUNCTION("""COMPUTED_VALUE"""),"2019/11/07 11:15:00")</f>
        <v>2019/11/07 11:15:00</v>
      </c>
      <c r="F56" s="51" t="str">
        <f>IFERROR(__xludf.DUMMYFUNCTION("""COMPUTED_VALUE"""),"c37ddbc8-871a-4362-af76-1732220ef09a")</f>
        <v>c37ddbc8-871a-4362-af76-1732220ef09a</v>
      </c>
      <c r="G56" s="58">
        <f>IFERROR(__xludf.DUMMYFUNCTION("""COMPUTED_VALUE"""),43776.0)</f>
        <v>43776</v>
      </c>
      <c r="H56" s="60">
        <f>IFERROR(__xludf.DUMMYFUNCTION("""COMPUTED_VALUE"""),0.4513888888888889)</f>
        <v>0.4513888889</v>
      </c>
      <c r="I56" s="58">
        <f>IFERROR(__xludf.DUMMYFUNCTION("""COMPUTED_VALUE"""),43776.0)</f>
        <v>43776</v>
      </c>
      <c r="J56" s="60">
        <f>IFERROR(__xludf.DUMMYFUNCTION("""COMPUTED_VALUE"""),0.46875)</f>
        <v>0.46875</v>
      </c>
      <c r="K56" s="60">
        <f t="shared" si="1"/>
        <v>0.01736111111</v>
      </c>
      <c r="L56" s="51" t="s">
        <v>107</v>
      </c>
      <c r="M56" s="62" t="s">
        <v>246</v>
      </c>
      <c r="N56" s="62" t="str">
        <f t="shared" si="2"/>
        <v>CS_7_4_c37ddbc8-871a-4362-af76-1732220ef09a_000000_000000.mp4</v>
      </c>
      <c r="O56" s="63"/>
      <c r="P56" s="63"/>
      <c r="Q56" s="63"/>
      <c r="R56" s="51"/>
      <c r="S56" s="51"/>
      <c r="T56" s="51"/>
    </row>
    <row r="57">
      <c r="A57" s="51" t="str">
        <f>IFERROR(__xludf.DUMMYFUNCTION("""COMPUTED_VALUE"""),"Designing your brand to disrupt")</f>
        <v>Designing your brand to disrupt</v>
      </c>
      <c r="B57" s="51" t="str">
        <f>IFERROR(__xludf.DUMMYFUNCTION("""COMPUTED_VALUE"""),"Centre Stage")</f>
        <v>Centre Stage</v>
      </c>
      <c r="C57" s="56" t="str">
        <f>IFERROR(__xludf.DUMMYFUNCTION("""COMPUTED_VALUE"""),"Daniel Grieder and Mark Russell")</f>
        <v>Daniel Grieder and Mark Russell</v>
      </c>
      <c r="D57" s="51" t="str">
        <f>IFERROR(__xludf.DUMMYFUNCTION("""COMPUTED_VALUE"""),"2019/11/07 11:15:00")</f>
        <v>2019/11/07 11:15:00</v>
      </c>
      <c r="E57" s="51" t="str">
        <f>IFERROR(__xludf.DUMMYFUNCTION("""COMPUTED_VALUE"""),"2019/11/07 11:30:00")</f>
        <v>2019/11/07 11:30:00</v>
      </c>
      <c r="F57" s="51" t="str">
        <f>IFERROR(__xludf.DUMMYFUNCTION("""COMPUTED_VALUE"""),"36549270-5f20-4a49-915f-aea0b4ff5e37")</f>
        <v>36549270-5f20-4a49-915f-aea0b4ff5e37</v>
      </c>
      <c r="G57" s="58">
        <f>IFERROR(__xludf.DUMMYFUNCTION("""COMPUTED_VALUE"""),43776.0)</f>
        <v>43776</v>
      </c>
      <c r="H57" s="60">
        <f>IFERROR(__xludf.DUMMYFUNCTION("""COMPUTED_VALUE"""),0.46875)</f>
        <v>0.46875</v>
      </c>
      <c r="I57" s="58">
        <f>IFERROR(__xludf.DUMMYFUNCTION("""COMPUTED_VALUE"""),43776.0)</f>
        <v>43776</v>
      </c>
      <c r="J57" s="60">
        <f>IFERROR(__xludf.DUMMYFUNCTION("""COMPUTED_VALUE"""),0.4791666666666667)</f>
        <v>0.4791666667</v>
      </c>
      <c r="K57" s="60">
        <f t="shared" si="1"/>
        <v>0.01041666667</v>
      </c>
      <c r="L57" s="51" t="s">
        <v>116</v>
      </c>
      <c r="M57" s="62" t="s">
        <v>248</v>
      </c>
      <c r="N57" s="62" t="str">
        <f t="shared" si="2"/>
        <v>CS_7_5_36549270-5f20-4a49-915f-aea0b4ff5e37_000000_000000.mp4</v>
      </c>
      <c r="O57" s="63"/>
      <c r="P57" s="63"/>
      <c r="Q57" s="63"/>
      <c r="R57" s="51"/>
      <c r="S57" s="51"/>
      <c r="T57" s="51"/>
    </row>
    <row r="58">
      <c r="A58" s="51" t="str">
        <f>IFERROR(__xludf.DUMMYFUNCTION("""COMPUTED_VALUE"""),"Is Silicon Valley pivoting to profits?")</f>
        <v>Is Silicon Valley pivoting to profits?</v>
      </c>
      <c r="B58" s="51" t="str">
        <f>IFERROR(__xludf.DUMMYFUNCTION("""COMPUTED_VALUE"""),"Centre Stage")</f>
        <v>Centre Stage</v>
      </c>
      <c r="C58" s="56" t="str">
        <f>IFERROR(__xludf.DUMMYFUNCTION("""COMPUTED_VALUE"""),"Ravi Viswanathan, Rytis Vitkauskas and Emil Protalinski")</f>
        <v>Ravi Viswanathan, Rytis Vitkauskas and Emil Protalinski</v>
      </c>
      <c r="D58" s="51" t="str">
        <f>IFERROR(__xludf.DUMMYFUNCTION("""COMPUTED_VALUE"""),"2019/11/07 11:30:00")</f>
        <v>2019/11/07 11:30:00</v>
      </c>
      <c r="E58" s="51" t="str">
        <f>IFERROR(__xludf.DUMMYFUNCTION("""COMPUTED_VALUE"""),"2019/11/07 11:50:00")</f>
        <v>2019/11/07 11:50:00</v>
      </c>
      <c r="F58" s="51" t="str">
        <f>IFERROR(__xludf.DUMMYFUNCTION("""COMPUTED_VALUE"""),"d32b6e13-ca37-46b7-9986-53f27b57dbaf")</f>
        <v>d32b6e13-ca37-46b7-9986-53f27b57dbaf</v>
      </c>
      <c r="G58" s="58">
        <f>IFERROR(__xludf.DUMMYFUNCTION("""COMPUTED_VALUE"""),43776.0)</f>
        <v>43776</v>
      </c>
      <c r="H58" s="60">
        <f>IFERROR(__xludf.DUMMYFUNCTION("""COMPUTED_VALUE"""),0.4791666666666667)</f>
        <v>0.4791666667</v>
      </c>
      <c r="I58" s="58">
        <f>IFERROR(__xludf.DUMMYFUNCTION("""COMPUTED_VALUE"""),43776.0)</f>
        <v>43776</v>
      </c>
      <c r="J58" s="60">
        <f>IFERROR(__xludf.DUMMYFUNCTION("""COMPUTED_VALUE"""),0.4930555555555556)</f>
        <v>0.4930555556</v>
      </c>
      <c r="K58" s="60">
        <f t="shared" si="1"/>
        <v>0.01388888889</v>
      </c>
      <c r="L58" s="51" t="s">
        <v>111</v>
      </c>
      <c r="M58" s="62" t="s">
        <v>250</v>
      </c>
      <c r="N58" s="62" t="str">
        <f t="shared" si="2"/>
        <v>CS_7_6_d32b6e13-ca37-46b7-9986-53f27b57dbaf_000000_000000.mp4</v>
      </c>
      <c r="O58" s="63"/>
      <c r="P58" s="63"/>
      <c r="Q58" s="63"/>
      <c r="R58" s="51"/>
      <c r="S58" s="51"/>
      <c r="T58" s="51"/>
    </row>
    <row r="59">
      <c r="A59" s="51" t="str">
        <f>IFERROR(__xludf.DUMMYFUNCTION("""COMPUTED_VALUE"""),"She’s 'The Man': How superstar Becky Lynch came to dominate the WWE")</f>
        <v>She’s 'The Man': How superstar Becky Lynch came to dominate the WWE</v>
      </c>
      <c r="B59" s="51" t="str">
        <f>IFERROR(__xludf.DUMMYFUNCTION("""COMPUTED_VALUE"""),"Centre Stage")</f>
        <v>Centre Stage</v>
      </c>
      <c r="C59" s="56" t="str">
        <f>IFERROR(__xludf.DUMMYFUNCTION("""COMPUTED_VALUE"""),"Becky Lynch and Emma Paton")</f>
        <v>Becky Lynch and Emma Paton</v>
      </c>
      <c r="D59" s="51" t="str">
        <f>IFERROR(__xludf.DUMMYFUNCTION("""COMPUTED_VALUE"""),"2019/11/07 11:50:00")</f>
        <v>2019/11/07 11:50:00</v>
      </c>
      <c r="E59" s="51" t="str">
        <f>IFERROR(__xludf.DUMMYFUNCTION("""COMPUTED_VALUE"""),"2019/11/07 12:10:00")</f>
        <v>2019/11/07 12:10:00</v>
      </c>
      <c r="F59" s="51" t="str">
        <f>IFERROR(__xludf.DUMMYFUNCTION("""COMPUTED_VALUE"""),"b4367bce-dfa0-455f-8360-60159fbc99a8")</f>
        <v>b4367bce-dfa0-455f-8360-60159fbc99a8</v>
      </c>
      <c r="G59" s="58">
        <f>IFERROR(__xludf.DUMMYFUNCTION("""COMPUTED_VALUE"""),43776.0)</f>
        <v>43776</v>
      </c>
      <c r="H59" s="60">
        <f>IFERROR(__xludf.DUMMYFUNCTION("""COMPUTED_VALUE"""),0.4930555555555556)</f>
        <v>0.4930555556</v>
      </c>
      <c r="I59" s="58">
        <f>IFERROR(__xludf.DUMMYFUNCTION("""COMPUTED_VALUE"""),43776.0)</f>
        <v>43776</v>
      </c>
      <c r="J59" s="60">
        <f>IFERROR(__xludf.DUMMYFUNCTION("""COMPUTED_VALUE"""),0.5069444444444444)</f>
        <v>0.5069444444</v>
      </c>
      <c r="K59" s="60">
        <f t="shared" si="1"/>
        <v>0.01388888889</v>
      </c>
      <c r="L59" s="51" t="s">
        <v>111</v>
      </c>
      <c r="M59" s="62" t="s">
        <v>252</v>
      </c>
      <c r="N59" s="62" t="str">
        <f t="shared" si="2"/>
        <v>CS_7_7_b4367bce-dfa0-455f-8360-60159fbc99a8_000000_000000.mp4</v>
      </c>
      <c r="O59" s="63"/>
      <c r="P59" s="63"/>
      <c r="Q59" s="63"/>
      <c r="R59" s="51"/>
      <c r="S59" s="51"/>
      <c r="T59" s="51"/>
    </row>
    <row r="60">
      <c r="A60" s="51" t="str">
        <f>IFERROR(__xludf.DUMMYFUNCTION("""COMPUTED_VALUE"""),"Cash is dead, what's next to go?")</f>
        <v>Cash is dead, what's next to go?</v>
      </c>
      <c r="B60" s="51" t="str">
        <f>IFERROR(__xludf.DUMMYFUNCTION("""COMPUTED_VALUE"""),"Centre Stage")</f>
        <v>Centre Stage</v>
      </c>
      <c r="C60" s="56" t="str">
        <f>IFERROR(__xludf.DUMMYFUNCTION("""COMPUTED_VALUE"""),"Nikolay Storonsky, Zach Perret, Anne Boden and Felix Salmon")</f>
        <v>Nikolay Storonsky, Zach Perret, Anne Boden and Felix Salmon</v>
      </c>
      <c r="D60" s="51" t="str">
        <f>IFERROR(__xludf.DUMMYFUNCTION("""COMPUTED_VALUE"""),"2019/11/07 12:10:00")</f>
        <v>2019/11/07 12:10:00</v>
      </c>
      <c r="E60" s="51" t="str">
        <f>IFERROR(__xludf.DUMMYFUNCTION("""COMPUTED_VALUE"""),"2019/11/07 12:30:00")</f>
        <v>2019/11/07 12:30:00</v>
      </c>
      <c r="F60" s="51" t="str">
        <f>IFERROR(__xludf.DUMMYFUNCTION("""COMPUTED_VALUE"""),"b2d76271-5c88-4504-8eb4-6f45b3b38de4")</f>
        <v>b2d76271-5c88-4504-8eb4-6f45b3b38de4</v>
      </c>
      <c r="G60" s="58">
        <f>IFERROR(__xludf.DUMMYFUNCTION("""COMPUTED_VALUE"""),43776.0)</f>
        <v>43776</v>
      </c>
      <c r="H60" s="60">
        <f>IFERROR(__xludf.DUMMYFUNCTION("""COMPUTED_VALUE"""),0.5069444444444444)</f>
        <v>0.5069444444</v>
      </c>
      <c r="I60" s="58">
        <f>IFERROR(__xludf.DUMMYFUNCTION("""COMPUTED_VALUE"""),43776.0)</f>
        <v>43776</v>
      </c>
      <c r="J60" s="60">
        <f>IFERROR(__xludf.DUMMYFUNCTION("""COMPUTED_VALUE"""),0.5208333333333334)</f>
        <v>0.5208333333</v>
      </c>
      <c r="K60" s="60">
        <f t="shared" si="1"/>
        <v>0.01388888889</v>
      </c>
      <c r="L60" s="51" t="s">
        <v>111</v>
      </c>
      <c r="M60" s="62" t="s">
        <v>254</v>
      </c>
      <c r="N60" s="62" t="str">
        <f t="shared" si="2"/>
        <v>CS_7_8_b2d76271-5c88-4504-8eb4-6f45b3b38de4_000000_000000.mp4</v>
      </c>
      <c r="O60" s="63"/>
      <c r="P60" s="63"/>
      <c r="Q60" s="63"/>
      <c r="R60" s="51"/>
      <c r="S60" s="51"/>
      <c r="T60" s="51"/>
    </row>
    <row r="61">
      <c r="A61" s="51" t="str">
        <f>IFERROR(__xludf.DUMMYFUNCTION("""COMPUTED_VALUE"""),"PITCH final")</f>
        <v>PITCH final</v>
      </c>
      <c r="B61" s="51" t="str">
        <f>IFERROR(__xludf.DUMMYFUNCTION("""COMPUTED_VALUE"""),"Centre Stage")</f>
        <v>Centre Stage</v>
      </c>
      <c r="C61" s="56" t="str">
        <f>IFERROR(__xludf.DUMMYFUNCTION("""COMPUTED_VALUE"""),"Mada Seghete, Bradley Twohig and Paddy Cosgrave")</f>
        <v>Mada Seghete, Bradley Twohig and Paddy Cosgrave</v>
      </c>
      <c r="D61" s="51" t="str">
        <f>IFERROR(__xludf.DUMMYFUNCTION("""COMPUTED_VALUE"""),"2019/11/07 12:30:00")</f>
        <v>2019/11/07 12:30:00</v>
      </c>
      <c r="E61" s="51" t="str">
        <f>IFERROR(__xludf.DUMMYFUNCTION("""COMPUTED_VALUE"""),"2019/11/07 13:00:00")</f>
        <v>2019/11/07 13:00:00</v>
      </c>
      <c r="F61" s="51" t="str">
        <f>IFERROR(__xludf.DUMMYFUNCTION("""COMPUTED_VALUE"""),"a7d9e021-9883-4e4e-ae22-a38b51b80d16")</f>
        <v>a7d9e021-9883-4e4e-ae22-a38b51b80d16</v>
      </c>
      <c r="G61" s="58">
        <f>IFERROR(__xludf.DUMMYFUNCTION("""COMPUTED_VALUE"""),43776.0)</f>
        <v>43776</v>
      </c>
      <c r="H61" s="60">
        <f>IFERROR(__xludf.DUMMYFUNCTION("""COMPUTED_VALUE"""),0.5208333333333334)</f>
        <v>0.5208333333</v>
      </c>
      <c r="I61" s="58">
        <f>IFERROR(__xludf.DUMMYFUNCTION("""COMPUTED_VALUE"""),43776.0)</f>
        <v>43776</v>
      </c>
      <c r="J61" s="60">
        <f>IFERROR(__xludf.DUMMYFUNCTION("""COMPUTED_VALUE"""),0.5416666666666666)</f>
        <v>0.5416666667</v>
      </c>
      <c r="K61" s="60">
        <f t="shared" si="1"/>
        <v>0.02083333333</v>
      </c>
      <c r="L61" s="51" t="s">
        <v>105</v>
      </c>
      <c r="M61" s="62" t="s">
        <v>256</v>
      </c>
      <c r="N61" s="62" t="str">
        <f t="shared" si="2"/>
        <v>CS_7_9_a7d9e021-9883-4e4e-ae22-a38b51b80d16_000000_000000.mp4</v>
      </c>
      <c r="O61" s="63"/>
      <c r="P61" s="63"/>
      <c r="Q61" s="63"/>
      <c r="R61" s="51"/>
      <c r="S61" s="51"/>
      <c r="T61" s="51"/>
    </row>
    <row r="62">
      <c r="A62" s="51" t="str">
        <f>IFERROR(__xludf.DUMMYFUNCTION("""COMPUTED_VALUE"""),"Lunch break")</f>
        <v>Lunch break</v>
      </c>
      <c r="B62" s="51" t="str">
        <f>IFERROR(__xludf.DUMMYFUNCTION("""COMPUTED_VALUE"""),"Centre Stage")</f>
        <v>Centre Stage</v>
      </c>
      <c r="C62" s="56" t="str">
        <f>IFERROR(__xludf.DUMMYFUNCTION("""COMPUTED_VALUE"""),"")</f>
        <v/>
      </c>
      <c r="D62" s="51" t="str">
        <f>IFERROR(__xludf.DUMMYFUNCTION("""COMPUTED_VALUE"""),"2019/11/07 13:00:00")</f>
        <v>2019/11/07 13:00:00</v>
      </c>
      <c r="E62" s="51" t="str">
        <f>IFERROR(__xludf.DUMMYFUNCTION("""COMPUTED_VALUE"""),"2019/11/07 13:10:00")</f>
        <v>2019/11/07 13:10:00</v>
      </c>
      <c r="F62" s="51" t="str">
        <f>IFERROR(__xludf.DUMMYFUNCTION("""COMPUTED_VALUE"""),"c53f5459-eb20-4aa1-b959-82adbbbf8c22")</f>
        <v>c53f5459-eb20-4aa1-b959-82adbbbf8c22</v>
      </c>
      <c r="G62" s="58">
        <f>IFERROR(__xludf.DUMMYFUNCTION("""COMPUTED_VALUE"""),43776.0)</f>
        <v>43776</v>
      </c>
      <c r="H62" s="60">
        <f>IFERROR(__xludf.DUMMYFUNCTION("""COMPUTED_VALUE"""),0.5416666666666666)</f>
        <v>0.5416666667</v>
      </c>
      <c r="I62" s="58">
        <f>IFERROR(__xludf.DUMMYFUNCTION("""COMPUTED_VALUE"""),43776.0)</f>
        <v>43776</v>
      </c>
      <c r="J62" s="60">
        <f>IFERROR(__xludf.DUMMYFUNCTION("""COMPUTED_VALUE"""),0.5486111111111112)</f>
        <v>0.5486111111</v>
      </c>
      <c r="K62" s="60">
        <f t="shared" si="1"/>
        <v>0.006944444444</v>
      </c>
      <c r="L62" s="51" t="s">
        <v>124</v>
      </c>
      <c r="M62" s="62"/>
      <c r="N62" s="62" t="str">
        <f t="shared" si="2"/>
        <v>_c53f5459-eb20-4aa1-b959-82adbbbf8c22_000000_000000.mp4</v>
      </c>
      <c r="O62" s="63"/>
      <c r="P62" s="63"/>
      <c r="Q62" s="63"/>
      <c r="R62" s="51"/>
      <c r="S62" s="51"/>
      <c r="T62" s="51"/>
    </row>
    <row r="63">
      <c r="A63" s="51" t="str">
        <f>IFERROR(__xludf.DUMMYFUNCTION("""COMPUTED_VALUE"""),"Breakout startups")</f>
        <v>Breakout startups</v>
      </c>
      <c r="B63" s="51" t="str">
        <f>IFERROR(__xludf.DUMMYFUNCTION("""COMPUTED_VALUE"""),"Centre Stage")</f>
        <v>Centre Stage</v>
      </c>
      <c r="C63" s="56" t="str">
        <f>IFERROR(__xludf.DUMMYFUNCTION("""COMPUTED_VALUE"""),"Maria Raga, Susan Kuo, Jean-Stéphane Arcis, André Penha, Lisa Alderson, Dominic Williams, Leah Remfry-Peploe and Nikki Michelsen")</f>
        <v>Maria Raga, Susan Kuo, Jean-Stéphane Arcis, André Penha, Lisa Alderson, Dominic Williams, Leah Remfry-Peploe and Nikki Michelsen</v>
      </c>
      <c r="D63" s="51" t="str">
        <f>IFERROR(__xludf.DUMMYFUNCTION("""COMPUTED_VALUE"""),"2019/11/07 13:10:00")</f>
        <v>2019/11/07 13:10:00</v>
      </c>
      <c r="E63" s="51" t="str">
        <f>IFERROR(__xludf.DUMMYFUNCTION("""COMPUTED_VALUE"""),"2019/11/07 13:45:00")</f>
        <v>2019/11/07 13:45:00</v>
      </c>
      <c r="F63" s="51" t="str">
        <f>IFERROR(__xludf.DUMMYFUNCTION("""COMPUTED_VALUE"""),"d076ec0e-074f-4d55-a1b4-2a3e80f0465f")</f>
        <v>d076ec0e-074f-4d55-a1b4-2a3e80f0465f</v>
      </c>
      <c r="G63" s="58">
        <f>IFERROR(__xludf.DUMMYFUNCTION("""COMPUTED_VALUE"""),43776.0)</f>
        <v>43776</v>
      </c>
      <c r="H63" s="60">
        <f>IFERROR(__xludf.DUMMYFUNCTION("""COMPUTED_VALUE"""),0.5486111111111112)</f>
        <v>0.5486111111</v>
      </c>
      <c r="I63" s="58">
        <f>IFERROR(__xludf.DUMMYFUNCTION("""COMPUTED_VALUE"""),43776.0)</f>
        <v>43776</v>
      </c>
      <c r="J63" s="60">
        <f>IFERROR(__xludf.DUMMYFUNCTION("""COMPUTED_VALUE"""),0.5729166666666666)</f>
        <v>0.5729166667</v>
      </c>
      <c r="K63" s="60">
        <f t="shared" si="1"/>
        <v>0.02430555556</v>
      </c>
      <c r="L63" s="51" t="s">
        <v>147</v>
      </c>
      <c r="M63" s="62" t="s">
        <v>258</v>
      </c>
      <c r="N63" s="62" t="str">
        <f t="shared" si="2"/>
        <v>CS_7_10_d076ec0e-074f-4d55-a1b4-2a3e80f0465f_000000_000000.mp4</v>
      </c>
      <c r="O63" s="63"/>
      <c r="P63" s="63"/>
      <c r="Q63" s="63"/>
      <c r="R63" s="51"/>
      <c r="S63" s="51"/>
      <c r="T63" s="51"/>
    </row>
    <row r="64">
      <c r="A64" s="51" t="str">
        <f>IFERROR(__xludf.DUMMYFUNCTION("""COMPUTED_VALUE"""),"Opening remarks")</f>
        <v>Opening remarks</v>
      </c>
      <c r="B64" s="51" t="str">
        <f>IFERROR(__xludf.DUMMYFUNCTION("""COMPUTED_VALUE"""),"Centre Stage")</f>
        <v>Centre Stage</v>
      </c>
      <c r="C64" s="56" t="str">
        <f>IFERROR(__xludf.DUMMYFUNCTION("""COMPUTED_VALUE"""),"Paddy Cosgrave")</f>
        <v>Paddy Cosgrave</v>
      </c>
      <c r="D64" s="51" t="str">
        <f>IFERROR(__xludf.DUMMYFUNCTION("""COMPUTED_VALUE"""),"2019/11/07 13:45:00")</f>
        <v>2019/11/07 13:45:00</v>
      </c>
      <c r="E64" s="51" t="str">
        <f>IFERROR(__xludf.DUMMYFUNCTION("""COMPUTED_VALUE"""),"2019/11/07 14:00:00")</f>
        <v>2019/11/07 14:00:00</v>
      </c>
      <c r="F64" s="51" t="str">
        <f>IFERROR(__xludf.DUMMYFUNCTION("""COMPUTED_VALUE"""),"b0f35e5b-5938-4f05-89cc-5124038343be")</f>
        <v>b0f35e5b-5938-4f05-89cc-5124038343be</v>
      </c>
      <c r="G64" s="58">
        <f>IFERROR(__xludf.DUMMYFUNCTION("""COMPUTED_VALUE"""),43776.0)</f>
        <v>43776</v>
      </c>
      <c r="H64" s="60">
        <f>IFERROR(__xludf.DUMMYFUNCTION("""COMPUTED_VALUE"""),0.5729166666666666)</f>
        <v>0.5729166667</v>
      </c>
      <c r="I64" s="58">
        <f>IFERROR(__xludf.DUMMYFUNCTION("""COMPUTED_VALUE"""),43776.0)</f>
        <v>43776</v>
      </c>
      <c r="J64" s="60">
        <f>IFERROR(__xludf.DUMMYFUNCTION("""COMPUTED_VALUE"""),0.5833333333333334)</f>
        <v>0.5833333333</v>
      </c>
      <c r="K64" s="60">
        <f t="shared" si="1"/>
        <v>0.01041666667</v>
      </c>
      <c r="L64" s="51" t="s">
        <v>116</v>
      </c>
      <c r="M64" s="62" t="s">
        <v>259</v>
      </c>
      <c r="N64" s="62" t="str">
        <f t="shared" si="2"/>
        <v>CS_7_11_b0f35e5b-5938-4f05-89cc-5124038343be_000000_000000.mp4</v>
      </c>
      <c r="O64" s="63"/>
      <c r="P64" s="63"/>
      <c r="Q64" s="63"/>
      <c r="R64" s="51"/>
      <c r="S64" s="51"/>
      <c r="T64" s="51"/>
    </row>
    <row r="65">
      <c r="A65" s="51" t="str">
        <f>IFERROR(__xludf.DUMMYFUNCTION("""COMPUTED_VALUE"""),"Welcome to the future of mobile robots")</f>
        <v>Welcome to the future of mobile robots</v>
      </c>
      <c r="B65" s="51" t="str">
        <f>IFERROR(__xludf.DUMMYFUNCTION("""COMPUTED_VALUE"""),"Centre Stage")</f>
        <v>Centre Stage</v>
      </c>
      <c r="C65" s="56" t="str">
        <f>IFERROR(__xludf.DUMMYFUNCTION("""COMPUTED_VALUE"""),"Marc Raibert")</f>
        <v>Marc Raibert</v>
      </c>
      <c r="D65" s="51" t="str">
        <f>IFERROR(__xludf.DUMMYFUNCTION("""COMPUTED_VALUE"""),"2019/11/07 14:00:00")</f>
        <v>2019/11/07 14:00:00</v>
      </c>
      <c r="E65" s="51" t="str">
        <f>IFERROR(__xludf.DUMMYFUNCTION("""COMPUTED_VALUE"""),"2019/11/07 14:25:00")</f>
        <v>2019/11/07 14:25:00</v>
      </c>
      <c r="F65" s="51" t="str">
        <f>IFERROR(__xludf.DUMMYFUNCTION("""COMPUTED_VALUE"""),"6c79a820-5adc-475a-b059-378cf1e5e7d0")</f>
        <v>6c79a820-5adc-475a-b059-378cf1e5e7d0</v>
      </c>
      <c r="G65" s="58">
        <f>IFERROR(__xludf.DUMMYFUNCTION("""COMPUTED_VALUE"""),43776.0)</f>
        <v>43776</v>
      </c>
      <c r="H65" s="60">
        <f>IFERROR(__xludf.DUMMYFUNCTION("""COMPUTED_VALUE"""),0.5833333333333334)</f>
        <v>0.5833333333</v>
      </c>
      <c r="I65" s="58">
        <f>IFERROR(__xludf.DUMMYFUNCTION("""COMPUTED_VALUE"""),43776.0)</f>
        <v>43776</v>
      </c>
      <c r="J65" s="60">
        <f>IFERROR(__xludf.DUMMYFUNCTION("""COMPUTED_VALUE"""),0.6006944444444444)</f>
        <v>0.6006944444</v>
      </c>
      <c r="K65" s="60">
        <f t="shared" si="1"/>
        <v>0.01736111111</v>
      </c>
      <c r="L65" s="51" t="s">
        <v>107</v>
      </c>
      <c r="M65" s="62" t="s">
        <v>260</v>
      </c>
      <c r="N65" s="62" t="str">
        <f t="shared" si="2"/>
        <v>CS_7_12_6c79a820-5adc-475a-b059-378cf1e5e7d0_000000_000000.mp4</v>
      </c>
      <c r="O65" s="63"/>
      <c r="P65" s="63"/>
      <c r="Q65" s="63"/>
      <c r="R65" s="51"/>
      <c r="S65" s="51"/>
      <c r="T65" s="51"/>
    </row>
    <row r="66">
      <c r="A66" s="51" t="str">
        <f>IFERROR(__xludf.DUMMYFUNCTION("""COMPUTED_VALUE"""),"Breaking up big tech")</f>
        <v>Breaking up big tech</v>
      </c>
      <c r="B66" s="51" t="str">
        <f>IFERROR(__xludf.DUMMYFUNCTION("""COMPUTED_VALUE"""),"Centre Stage")</f>
        <v>Centre Stage</v>
      </c>
      <c r="C66" s="56" t="str">
        <f>IFERROR(__xludf.DUMMYFUNCTION("""COMPUTED_VALUE"""),"Kumi Naidoo, Věra Jourová and Mark Di Stefano")</f>
        <v>Kumi Naidoo, Věra Jourová and Mark Di Stefano</v>
      </c>
      <c r="D66" s="51" t="str">
        <f>IFERROR(__xludf.DUMMYFUNCTION("""COMPUTED_VALUE"""),"2019/11/07 14:25:00")</f>
        <v>2019/11/07 14:25:00</v>
      </c>
      <c r="E66" s="51" t="str">
        <f>IFERROR(__xludf.DUMMYFUNCTION("""COMPUTED_VALUE"""),"2019/11/07 14:45:00")</f>
        <v>2019/11/07 14:45:00</v>
      </c>
      <c r="F66" s="51" t="str">
        <f>IFERROR(__xludf.DUMMYFUNCTION("""COMPUTED_VALUE"""),"a702a26c-2ebb-4bc7-b621-0c8375f3c7f9")</f>
        <v>a702a26c-2ebb-4bc7-b621-0c8375f3c7f9</v>
      </c>
      <c r="G66" s="58">
        <f>IFERROR(__xludf.DUMMYFUNCTION("""COMPUTED_VALUE"""),43776.0)</f>
        <v>43776</v>
      </c>
      <c r="H66" s="60">
        <f>IFERROR(__xludf.DUMMYFUNCTION("""COMPUTED_VALUE"""),0.6006944444444444)</f>
        <v>0.6006944444</v>
      </c>
      <c r="I66" s="58">
        <f>IFERROR(__xludf.DUMMYFUNCTION("""COMPUTED_VALUE"""),43776.0)</f>
        <v>43776</v>
      </c>
      <c r="J66" s="60">
        <f>IFERROR(__xludf.DUMMYFUNCTION("""COMPUTED_VALUE"""),0.6145833333333334)</f>
        <v>0.6145833333</v>
      </c>
      <c r="K66" s="60">
        <f t="shared" si="1"/>
        <v>0.01388888889</v>
      </c>
      <c r="L66" s="51" t="s">
        <v>111</v>
      </c>
      <c r="M66" s="62" t="s">
        <v>261</v>
      </c>
      <c r="N66" s="62" t="str">
        <f t="shared" si="2"/>
        <v>CS_7_13_a702a26c-2ebb-4bc7-b621-0c8375f3c7f9_000000_000000.mp4</v>
      </c>
      <c r="O66" s="63"/>
      <c r="P66" s="63"/>
      <c r="Q66" s="63"/>
      <c r="R66" s="51"/>
      <c r="S66" s="51"/>
      <c r="T66" s="51"/>
    </row>
    <row r="67">
      <c r="A67" s="51" t="str">
        <f>IFERROR(__xludf.DUMMYFUNCTION("""COMPUTED_VALUE"""),"Starting a revolution: the next wave of tech giants")</f>
        <v>Starting a revolution: the next wave of tech giants</v>
      </c>
      <c r="B67" s="51" t="str">
        <f>IFERROR(__xludf.DUMMYFUNCTION("""COMPUTED_VALUE"""),"Centre Stage")</f>
        <v>Centre Stage</v>
      </c>
      <c r="C67" s="56" t="str">
        <f>IFERROR(__xludf.DUMMYFUNCTION("""COMPUTED_VALUE"""),"Josh Luber, Mada Seghete, Henrique Dubugras and Jonathan Weber")</f>
        <v>Josh Luber, Mada Seghete, Henrique Dubugras and Jonathan Weber</v>
      </c>
      <c r="D67" s="51" t="str">
        <f>IFERROR(__xludf.DUMMYFUNCTION("""COMPUTED_VALUE"""),"2019/11/07 14:45:00")</f>
        <v>2019/11/07 14:45:00</v>
      </c>
      <c r="E67" s="51" t="str">
        <f>IFERROR(__xludf.DUMMYFUNCTION("""COMPUTED_VALUE"""),"2019/11/07 15:10:00")</f>
        <v>2019/11/07 15:10:00</v>
      </c>
      <c r="F67" s="51" t="str">
        <f>IFERROR(__xludf.DUMMYFUNCTION("""COMPUTED_VALUE"""),"c6bee28f-45ea-4fd5-bb11-632d19bbb357")</f>
        <v>c6bee28f-45ea-4fd5-bb11-632d19bbb357</v>
      </c>
      <c r="G67" s="58">
        <f>IFERROR(__xludf.DUMMYFUNCTION("""COMPUTED_VALUE"""),43776.0)</f>
        <v>43776</v>
      </c>
      <c r="H67" s="60">
        <f>IFERROR(__xludf.DUMMYFUNCTION("""COMPUTED_VALUE"""),0.6145833333333334)</f>
        <v>0.6145833333</v>
      </c>
      <c r="I67" s="58">
        <f>IFERROR(__xludf.DUMMYFUNCTION("""COMPUTED_VALUE"""),43776.0)</f>
        <v>43776</v>
      </c>
      <c r="J67" s="60">
        <f>IFERROR(__xludf.DUMMYFUNCTION("""COMPUTED_VALUE"""),0.6319444444444444)</f>
        <v>0.6319444444</v>
      </c>
      <c r="K67" s="60">
        <f t="shared" si="1"/>
        <v>0.01736111111</v>
      </c>
      <c r="L67" s="51" t="s">
        <v>107</v>
      </c>
      <c r="M67" s="62" t="s">
        <v>262</v>
      </c>
      <c r="N67" s="62" t="str">
        <f t="shared" si="2"/>
        <v>CS_7_14_c6bee28f-45ea-4fd5-bb11-632d19bbb357_000000_000000.mp4</v>
      </c>
      <c r="O67" s="63"/>
      <c r="P67" s="63"/>
      <c r="Q67" s="63"/>
      <c r="R67" s="51"/>
      <c r="S67" s="51"/>
      <c r="T67" s="51"/>
    </row>
    <row r="68">
      <c r="A68" s="51" t="str">
        <f>IFERROR(__xludf.DUMMYFUNCTION("""COMPUTED_VALUE"""),"Abandon your black mirror: Conquering tech addiction")</f>
        <v>Abandon your black mirror: Conquering tech addiction</v>
      </c>
      <c r="B68" s="51" t="str">
        <f>IFERROR(__xludf.DUMMYFUNCTION("""COMPUTED_VALUE"""),"Centre Stage")</f>
        <v>Centre Stage</v>
      </c>
      <c r="C68" s="56" t="str">
        <f>IFERROR(__xludf.DUMMYFUNCTION("""COMPUTED_VALUE"""),"Justin McLeod, Dame Til Wykes and Katie Collins")</f>
        <v>Justin McLeod, Dame Til Wykes and Katie Collins</v>
      </c>
      <c r="D68" s="51" t="str">
        <f>IFERROR(__xludf.DUMMYFUNCTION("""COMPUTED_VALUE"""),"2019/11/07 15:10:00")</f>
        <v>2019/11/07 15:10:00</v>
      </c>
      <c r="E68" s="51" t="str">
        <f>IFERROR(__xludf.DUMMYFUNCTION("""COMPUTED_VALUE"""),"2019/11/07 15:35:00")</f>
        <v>2019/11/07 15:35:00</v>
      </c>
      <c r="F68" s="51" t="str">
        <f>IFERROR(__xludf.DUMMYFUNCTION("""COMPUTED_VALUE"""),"b8851ff5-4de5-4971-8890-ea640e4b052f")</f>
        <v>b8851ff5-4de5-4971-8890-ea640e4b052f</v>
      </c>
      <c r="G68" s="58">
        <f>IFERROR(__xludf.DUMMYFUNCTION("""COMPUTED_VALUE"""),43776.0)</f>
        <v>43776</v>
      </c>
      <c r="H68" s="60">
        <f>IFERROR(__xludf.DUMMYFUNCTION("""COMPUTED_VALUE"""),0.6319444444444444)</f>
        <v>0.6319444444</v>
      </c>
      <c r="I68" s="58">
        <f>IFERROR(__xludf.DUMMYFUNCTION("""COMPUTED_VALUE"""),43776.0)</f>
        <v>43776</v>
      </c>
      <c r="J68" s="60">
        <f>IFERROR(__xludf.DUMMYFUNCTION("""COMPUTED_VALUE"""),0.6493055555555556)</f>
        <v>0.6493055556</v>
      </c>
      <c r="K68" s="60">
        <f t="shared" si="1"/>
        <v>0.01736111111</v>
      </c>
      <c r="L68" s="51" t="s">
        <v>107</v>
      </c>
      <c r="M68" s="62" t="s">
        <v>263</v>
      </c>
      <c r="N68" s="62" t="str">
        <f t="shared" si="2"/>
        <v>CS_7_15_b8851ff5-4de5-4971-8890-ea640e4b052f_000000_000000.mp4</v>
      </c>
      <c r="O68" s="63"/>
      <c r="P68" s="63"/>
      <c r="Q68" s="63"/>
      <c r="R68" s="51"/>
      <c r="S68" s="51"/>
      <c r="T68" s="51"/>
    </row>
    <row r="69">
      <c r="A69" s="51" t="str">
        <f>IFERROR(__xludf.DUMMYFUNCTION("""COMPUTED_VALUE"""),"Perspective from The White House")</f>
        <v>Perspective from The White House</v>
      </c>
      <c r="B69" s="51" t="str">
        <f>IFERROR(__xludf.DUMMYFUNCTION("""COMPUTED_VALUE"""),"Centre Stage")</f>
        <v>Centre Stage</v>
      </c>
      <c r="C69" s="56" t="str">
        <f>IFERROR(__xludf.DUMMYFUNCTION("""COMPUTED_VALUE"""),"Michael Kratsios")</f>
        <v>Michael Kratsios</v>
      </c>
      <c r="D69" s="51" t="str">
        <f>IFERROR(__xludf.DUMMYFUNCTION("""COMPUTED_VALUE"""),"2019/11/07 15:35:00")</f>
        <v>2019/11/07 15:35:00</v>
      </c>
      <c r="E69" s="51" t="str">
        <f>IFERROR(__xludf.DUMMYFUNCTION("""COMPUTED_VALUE"""),"2019/11/07 16:00:00")</f>
        <v>2019/11/07 16:00:00</v>
      </c>
      <c r="F69" s="51" t="str">
        <f>IFERROR(__xludf.DUMMYFUNCTION("""COMPUTED_VALUE"""),"b7b8c823-da5d-43a2-8798-71f90d2d18d3")</f>
        <v>b7b8c823-da5d-43a2-8798-71f90d2d18d3</v>
      </c>
      <c r="G69" s="58">
        <f>IFERROR(__xludf.DUMMYFUNCTION("""COMPUTED_VALUE"""),43776.0)</f>
        <v>43776</v>
      </c>
      <c r="H69" s="60">
        <f>IFERROR(__xludf.DUMMYFUNCTION("""COMPUTED_VALUE"""),0.6493055555555556)</f>
        <v>0.6493055556</v>
      </c>
      <c r="I69" s="58">
        <f>IFERROR(__xludf.DUMMYFUNCTION("""COMPUTED_VALUE"""),43776.0)</f>
        <v>43776</v>
      </c>
      <c r="J69" s="60">
        <f>IFERROR(__xludf.DUMMYFUNCTION("""COMPUTED_VALUE"""),0.6666666666666666)</f>
        <v>0.6666666667</v>
      </c>
      <c r="K69" s="60">
        <f t="shared" si="1"/>
        <v>0.01736111111</v>
      </c>
      <c r="L69" s="51" t="s">
        <v>107</v>
      </c>
      <c r="M69" s="62" t="s">
        <v>264</v>
      </c>
      <c r="N69" s="62" t="str">
        <f t="shared" si="2"/>
        <v>CS_7_16_b7b8c823-da5d-43a2-8798-71f90d2d18d3_000000_000000.mp4</v>
      </c>
      <c r="O69" s="63"/>
      <c r="P69" s="63"/>
      <c r="Q69" s="63"/>
      <c r="R69" s="51"/>
      <c r="S69" s="51"/>
      <c r="T69" s="51"/>
    </row>
    <row r="70">
      <c r="A70" s="51" t="str">
        <f>IFERROR(__xludf.DUMMYFUNCTION("""COMPUTED_VALUE"""),"PITCH Winner revealed")</f>
        <v>PITCH Winner revealed</v>
      </c>
      <c r="B70" s="51" t="str">
        <f>IFERROR(__xludf.DUMMYFUNCTION("""COMPUTED_VALUE"""),"Centre Stage")</f>
        <v>Centre Stage</v>
      </c>
      <c r="C70" s="56" t="str">
        <f>IFERROR(__xludf.DUMMYFUNCTION("""COMPUTED_VALUE"""),"Paddy Cosgrave, Pedro Miranda and Mada Seghete")</f>
        <v>Paddy Cosgrave, Pedro Miranda and Mada Seghete</v>
      </c>
      <c r="D70" s="51" t="str">
        <f>IFERROR(__xludf.DUMMYFUNCTION("""COMPUTED_VALUE"""),"2019/11/07 16:25:00")</f>
        <v>2019/11/07 16:25:00</v>
      </c>
      <c r="E70" s="51" t="str">
        <f>IFERROR(__xludf.DUMMYFUNCTION("""COMPUTED_VALUE"""),"2019/11/07 16:30:00")</f>
        <v>2019/11/07 16:30:00</v>
      </c>
      <c r="F70" s="51" t="str">
        <f>IFERROR(__xludf.DUMMYFUNCTION("""COMPUTED_VALUE"""),"19434eb9-68a0-4683-8227-ea6800835e78")</f>
        <v>19434eb9-68a0-4683-8227-ea6800835e78</v>
      </c>
      <c r="G70" s="58">
        <f>IFERROR(__xludf.DUMMYFUNCTION("""COMPUTED_VALUE"""),43776.0)</f>
        <v>43776</v>
      </c>
      <c r="H70" s="60">
        <f>IFERROR(__xludf.DUMMYFUNCTION("""COMPUTED_VALUE"""),0.6840277777777778)</f>
        <v>0.6840277778</v>
      </c>
      <c r="I70" s="58">
        <f>IFERROR(__xludf.DUMMYFUNCTION("""COMPUTED_VALUE"""),43776.0)</f>
        <v>43776</v>
      </c>
      <c r="J70" s="60">
        <f>IFERROR(__xludf.DUMMYFUNCTION("""COMPUTED_VALUE"""),0.6875)</f>
        <v>0.6875</v>
      </c>
      <c r="K70" s="60">
        <f t="shared" si="1"/>
        <v>0.003472222222</v>
      </c>
      <c r="L70" s="51" t="s">
        <v>234</v>
      </c>
      <c r="M70" s="62" t="s">
        <v>265</v>
      </c>
      <c r="N70" s="62" t="str">
        <f t="shared" si="2"/>
        <v>CS_7_17_19434eb9-68a0-4683-8227-ea6800835e78_000000_000000.mp4</v>
      </c>
      <c r="O70" s="63"/>
      <c r="P70" s="63"/>
      <c r="Q70" s="63"/>
      <c r="R70" s="51"/>
      <c r="S70" s="51"/>
      <c r="T70" s="51"/>
    </row>
    <row r="71">
      <c r="A71" s="51" t="str">
        <f>IFERROR(__xludf.DUMMYFUNCTION("""COMPUTED_VALUE"""),"In conversation with Margrethe Vestager")</f>
        <v>In conversation with Margrethe Vestager</v>
      </c>
      <c r="B71" s="51" t="str">
        <f>IFERROR(__xludf.DUMMYFUNCTION("""COMPUTED_VALUE"""),"Centre Stage")</f>
        <v>Centre Stage</v>
      </c>
      <c r="C71" s="56" t="str">
        <f>IFERROR(__xludf.DUMMYFUNCTION("""COMPUTED_VALUE"""),"Margrethe Vestager and Laurie Segall")</f>
        <v>Margrethe Vestager and Laurie Segall</v>
      </c>
      <c r="D71" s="51" t="str">
        <f>IFERROR(__xludf.DUMMYFUNCTION("""COMPUTED_VALUE"""),"2019/11/07 16:30:00")</f>
        <v>2019/11/07 16:30:00</v>
      </c>
      <c r="E71" s="51" t="str">
        <f>IFERROR(__xludf.DUMMYFUNCTION("""COMPUTED_VALUE"""),"2019/11/07 16:55:00")</f>
        <v>2019/11/07 16:55:00</v>
      </c>
      <c r="F71" s="51" t="str">
        <f>IFERROR(__xludf.DUMMYFUNCTION("""COMPUTED_VALUE"""),"e1941c66-7586-42a7-bf1f-b8d777f7a040")</f>
        <v>e1941c66-7586-42a7-bf1f-b8d777f7a040</v>
      </c>
      <c r="G71" s="58">
        <f>IFERROR(__xludf.DUMMYFUNCTION("""COMPUTED_VALUE"""),43776.0)</f>
        <v>43776</v>
      </c>
      <c r="H71" s="60">
        <f>IFERROR(__xludf.DUMMYFUNCTION("""COMPUTED_VALUE"""),0.6875)</f>
        <v>0.6875</v>
      </c>
      <c r="I71" s="58">
        <f>IFERROR(__xludf.DUMMYFUNCTION("""COMPUTED_VALUE"""),43776.0)</f>
        <v>43776</v>
      </c>
      <c r="J71" s="60">
        <f>IFERROR(__xludf.DUMMYFUNCTION("""COMPUTED_VALUE"""),0.7048611111111112)</f>
        <v>0.7048611111</v>
      </c>
      <c r="K71" s="60">
        <f t="shared" si="1"/>
        <v>0.01736111111</v>
      </c>
      <c r="L71" s="51" t="s">
        <v>107</v>
      </c>
      <c r="M71" s="62" t="s">
        <v>266</v>
      </c>
      <c r="N71" s="62" t="str">
        <f t="shared" si="2"/>
        <v>CS_7_18_e1941c66-7586-42a7-bf1f-b8d777f7a040_000000_000000.mp4</v>
      </c>
      <c r="O71" s="63"/>
      <c r="P71" s="63"/>
      <c r="Q71" s="63"/>
      <c r="R71" s="51"/>
      <c r="S71" s="51"/>
      <c r="T71" s="51"/>
    </row>
    <row r="72">
      <c r="A72" s="51" t="str">
        <f>IFERROR(__xludf.DUMMYFUNCTION("""COMPUTED_VALUE"""),"Web Summit Closing Ceremony")</f>
        <v>Web Summit Closing Ceremony</v>
      </c>
      <c r="B72" s="51" t="str">
        <f>IFERROR(__xludf.DUMMYFUNCTION("""COMPUTED_VALUE"""),"Centre Stage")</f>
        <v>Centre Stage</v>
      </c>
      <c r="C72" s="56" t="str">
        <f>IFERROR(__xludf.DUMMYFUNCTION("""COMPUTED_VALUE"""),"Marcelo Rebelo de Sousa and Paddy Cosgrave")</f>
        <v>Marcelo Rebelo de Sousa and Paddy Cosgrave</v>
      </c>
      <c r="D72" s="51" t="str">
        <f>IFERROR(__xludf.DUMMYFUNCTION("""COMPUTED_VALUE"""),"2019/11/07 16:55:00")</f>
        <v>2019/11/07 16:55:00</v>
      </c>
      <c r="E72" s="51" t="str">
        <f>IFERROR(__xludf.DUMMYFUNCTION("""COMPUTED_VALUE"""),"2019/11/07 17:00:00")</f>
        <v>2019/11/07 17:00:00</v>
      </c>
      <c r="F72" s="51" t="str">
        <f>IFERROR(__xludf.DUMMYFUNCTION("""COMPUTED_VALUE"""),"aa094c33-196d-477b-a283-f05025de2dfb")</f>
        <v>aa094c33-196d-477b-a283-f05025de2dfb</v>
      </c>
      <c r="G72" s="58">
        <f>IFERROR(__xludf.DUMMYFUNCTION("""COMPUTED_VALUE"""),43776.0)</f>
        <v>43776</v>
      </c>
      <c r="H72" s="60">
        <f>IFERROR(__xludf.DUMMYFUNCTION("""COMPUTED_VALUE"""),0.7048611111111112)</f>
        <v>0.7048611111</v>
      </c>
      <c r="I72" s="58">
        <f>IFERROR(__xludf.DUMMYFUNCTION("""COMPUTED_VALUE"""),43776.0)</f>
        <v>43776</v>
      </c>
      <c r="J72" s="60">
        <f>IFERROR(__xludf.DUMMYFUNCTION("""COMPUTED_VALUE"""),0.7083333333333334)</f>
        <v>0.7083333333</v>
      </c>
      <c r="K72" s="60">
        <f t="shared" si="1"/>
        <v>0.003472222222</v>
      </c>
      <c r="L72" s="51" t="s">
        <v>234</v>
      </c>
      <c r="M72" s="62" t="s">
        <v>267</v>
      </c>
      <c r="N72" s="62" t="str">
        <f t="shared" si="2"/>
        <v>CS_7_19_aa094c33-196d-477b-a283-f05025de2dfb_000000_000000.mp4</v>
      </c>
      <c r="O72" s="63"/>
      <c r="P72" s="63"/>
      <c r="Q72" s="63"/>
      <c r="R72" s="51"/>
      <c r="S72" s="51"/>
      <c r="T72" s="51"/>
    </row>
    <row r="73">
      <c r="A73" s="51"/>
      <c r="B73" s="51"/>
      <c r="C73" s="56"/>
      <c r="D73" s="51"/>
      <c r="E73" s="51"/>
      <c r="F73" s="51"/>
      <c r="G73" s="51" t="str">
        <f>IFERROR(__xludf.DUMMYFUNCTION("""COMPUTED_VALUE"""),"#VALUE!")</f>
        <v>#VALUE!</v>
      </c>
      <c r="H73" s="51" t="str">
        <f>IFERROR(__xludf.DUMMYFUNCTION("""COMPUTED_VALUE"""),"")</f>
        <v/>
      </c>
      <c r="I73" s="51" t="str">
        <f>IFERROR(__xludf.DUMMYFUNCTION("""COMPUTED_VALUE"""),"#VALUE!")</f>
        <v>#VALUE!</v>
      </c>
      <c r="J73" s="51" t="str">
        <f>IFERROR(__xludf.DUMMYFUNCTION("""COMPUTED_VALUE"""),"")</f>
        <v/>
      </c>
      <c r="K73" s="51">
        <f t="shared" si="1"/>
        <v>0</v>
      </c>
      <c r="L73" s="51" t="s">
        <v>257</v>
      </c>
      <c r="M73" s="62"/>
      <c r="N73" s="51"/>
      <c r="O73" s="63"/>
      <c r="P73" s="63"/>
      <c r="Q73" s="63"/>
      <c r="R73" s="51"/>
      <c r="S73" s="51"/>
      <c r="T73" s="51"/>
    </row>
    <row r="74">
      <c r="A74" s="51"/>
      <c r="B74" s="51"/>
      <c r="C74" s="56"/>
      <c r="D74" s="51"/>
      <c r="E74" s="51"/>
      <c r="F74" s="51"/>
      <c r="G74" s="51" t="str">
        <f>IFERROR(__xludf.DUMMYFUNCTION("""COMPUTED_VALUE"""),"#VALUE!")</f>
        <v>#VALUE!</v>
      </c>
      <c r="H74" s="51" t="str">
        <f>IFERROR(__xludf.DUMMYFUNCTION("""COMPUTED_VALUE"""),"")</f>
        <v/>
      </c>
      <c r="I74" s="51" t="str">
        <f>IFERROR(__xludf.DUMMYFUNCTION("""COMPUTED_VALUE"""),"#VALUE!")</f>
        <v>#VALUE!</v>
      </c>
      <c r="J74" s="51" t="str">
        <f>IFERROR(__xludf.DUMMYFUNCTION("""COMPUTED_VALUE"""),"")</f>
        <v/>
      </c>
      <c r="K74" s="51">
        <f t="shared" si="1"/>
        <v>0</v>
      </c>
      <c r="L74" s="51" t="s">
        <v>257</v>
      </c>
      <c r="M74" s="62"/>
      <c r="N74" s="51"/>
      <c r="O74" s="63"/>
      <c r="P74" s="63"/>
      <c r="Q74" s="63"/>
      <c r="R74" s="51"/>
      <c r="S74" s="51"/>
      <c r="T74" s="51"/>
    </row>
    <row r="75">
      <c r="A75" s="51"/>
      <c r="B75" s="51"/>
      <c r="C75" s="56"/>
      <c r="D75" s="51"/>
      <c r="E75" s="51"/>
      <c r="F75" s="51"/>
      <c r="G75" s="51" t="str">
        <f>IFERROR(__xludf.DUMMYFUNCTION("""COMPUTED_VALUE"""),"#VALUE!")</f>
        <v>#VALUE!</v>
      </c>
      <c r="H75" s="51" t="str">
        <f>IFERROR(__xludf.DUMMYFUNCTION("""COMPUTED_VALUE"""),"")</f>
        <v/>
      </c>
      <c r="I75" s="51" t="str">
        <f>IFERROR(__xludf.DUMMYFUNCTION("""COMPUTED_VALUE"""),"#VALUE!")</f>
        <v>#VALUE!</v>
      </c>
      <c r="J75" s="51" t="str">
        <f>IFERROR(__xludf.DUMMYFUNCTION("""COMPUTED_VALUE"""),"")</f>
        <v/>
      </c>
      <c r="K75" s="51">
        <f t="shared" si="1"/>
        <v>0</v>
      </c>
      <c r="L75" s="51" t="s">
        <v>257</v>
      </c>
      <c r="M75" s="62"/>
      <c r="N75" s="51"/>
      <c r="O75" s="63"/>
      <c r="P75" s="63"/>
      <c r="Q75" s="63"/>
      <c r="R75" s="51"/>
      <c r="S75" s="51"/>
      <c r="T75" s="51"/>
    </row>
    <row r="76">
      <c r="A76" s="51"/>
      <c r="B76" s="51"/>
      <c r="C76" s="56"/>
      <c r="D76" s="51"/>
      <c r="E76" s="51"/>
      <c r="F76" s="51"/>
      <c r="G76" s="51" t="str">
        <f>IFERROR(__xludf.DUMMYFUNCTION("""COMPUTED_VALUE"""),"#VALUE!")</f>
        <v>#VALUE!</v>
      </c>
      <c r="H76" s="51" t="str">
        <f>IFERROR(__xludf.DUMMYFUNCTION("""COMPUTED_VALUE"""),"")</f>
        <v/>
      </c>
      <c r="I76" s="51" t="str">
        <f>IFERROR(__xludf.DUMMYFUNCTION("""COMPUTED_VALUE"""),"#VALUE!")</f>
        <v>#VALUE!</v>
      </c>
      <c r="J76" s="51" t="str">
        <f>IFERROR(__xludf.DUMMYFUNCTION("""COMPUTED_VALUE"""),"")</f>
        <v/>
      </c>
      <c r="K76" s="51">
        <f t="shared" si="1"/>
        <v>0</v>
      </c>
      <c r="L76" s="51" t="s">
        <v>257</v>
      </c>
      <c r="M76" s="62"/>
      <c r="N76" s="51"/>
      <c r="O76" s="63"/>
      <c r="P76" s="63"/>
      <c r="Q76" s="63"/>
      <c r="R76" s="51"/>
      <c r="S76" s="51"/>
      <c r="T76" s="51"/>
    </row>
    <row r="77">
      <c r="A77" s="51"/>
      <c r="B77" s="51"/>
      <c r="C77" s="56"/>
      <c r="D77" s="51"/>
      <c r="E77" s="51"/>
      <c r="F77" s="51"/>
      <c r="G77" s="51" t="str">
        <f>IFERROR(__xludf.DUMMYFUNCTION("""COMPUTED_VALUE"""),"#VALUE!")</f>
        <v>#VALUE!</v>
      </c>
      <c r="H77" s="51" t="str">
        <f>IFERROR(__xludf.DUMMYFUNCTION("""COMPUTED_VALUE"""),"")</f>
        <v/>
      </c>
      <c r="I77" s="51" t="str">
        <f>IFERROR(__xludf.DUMMYFUNCTION("""COMPUTED_VALUE"""),"#VALUE!")</f>
        <v>#VALUE!</v>
      </c>
      <c r="J77" s="51" t="str">
        <f>IFERROR(__xludf.DUMMYFUNCTION("""COMPUTED_VALUE"""),"")</f>
        <v/>
      </c>
      <c r="K77" s="51">
        <f t="shared" si="1"/>
        <v>0</v>
      </c>
      <c r="L77" s="51" t="s">
        <v>257</v>
      </c>
      <c r="M77" s="62"/>
      <c r="N77" s="51"/>
      <c r="O77" s="63"/>
      <c r="P77" s="63"/>
      <c r="Q77" s="63"/>
      <c r="R77" s="51"/>
      <c r="S77" s="51"/>
      <c r="T77" s="51"/>
    </row>
    <row r="78">
      <c r="A78" s="51"/>
      <c r="B78" s="51"/>
      <c r="C78" s="56"/>
      <c r="D78" s="51"/>
      <c r="E78" s="51"/>
      <c r="F78" s="51"/>
      <c r="G78" s="51" t="str">
        <f>IFERROR(__xludf.DUMMYFUNCTION("""COMPUTED_VALUE"""),"#VALUE!")</f>
        <v>#VALUE!</v>
      </c>
      <c r="H78" s="51" t="str">
        <f>IFERROR(__xludf.DUMMYFUNCTION("""COMPUTED_VALUE"""),"")</f>
        <v/>
      </c>
      <c r="I78" s="51" t="str">
        <f>IFERROR(__xludf.DUMMYFUNCTION("""COMPUTED_VALUE"""),"#VALUE!")</f>
        <v>#VALUE!</v>
      </c>
      <c r="J78" s="51" t="str">
        <f>IFERROR(__xludf.DUMMYFUNCTION("""COMPUTED_VALUE"""),"")</f>
        <v/>
      </c>
      <c r="K78" s="51">
        <f t="shared" si="1"/>
        <v>0</v>
      </c>
      <c r="L78" s="51" t="s">
        <v>257</v>
      </c>
      <c r="M78" s="62"/>
      <c r="N78" s="51"/>
      <c r="O78" s="63"/>
      <c r="P78" s="63"/>
      <c r="Q78" s="63"/>
      <c r="R78" s="51"/>
      <c r="S78" s="51"/>
      <c r="T78" s="51"/>
    </row>
    <row r="79">
      <c r="A79" s="51"/>
      <c r="B79" s="51"/>
      <c r="C79" s="56"/>
      <c r="D79" s="51"/>
      <c r="E79" s="51"/>
      <c r="F79" s="51"/>
      <c r="G79" s="51" t="str">
        <f>IFERROR(__xludf.DUMMYFUNCTION("""COMPUTED_VALUE"""),"#VALUE!")</f>
        <v>#VALUE!</v>
      </c>
      <c r="H79" s="51" t="str">
        <f>IFERROR(__xludf.DUMMYFUNCTION("""COMPUTED_VALUE"""),"")</f>
        <v/>
      </c>
      <c r="I79" s="51" t="str">
        <f>IFERROR(__xludf.DUMMYFUNCTION("""COMPUTED_VALUE"""),"#VALUE!")</f>
        <v>#VALUE!</v>
      </c>
      <c r="J79" s="51" t="str">
        <f>IFERROR(__xludf.DUMMYFUNCTION("""COMPUTED_VALUE"""),"")</f>
        <v/>
      </c>
      <c r="K79" s="51">
        <f t="shared" si="1"/>
        <v>0</v>
      </c>
      <c r="L79" s="51" t="s">
        <v>257</v>
      </c>
      <c r="M79" s="62"/>
      <c r="N79" s="51"/>
      <c r="O79" s="63"/>
      <c r="P79" s="63"/>
      <c r="Q79" s="63"/>
      <c r="R79" s="51"/>
      <c r="S79" s="51"/>
      <c r="T79" s="51"/>
    </row>
    <row r="80">
      <c r="A80" s="51"/>
      <c r="B80" s="51"/>
      <c r="C80" s="56"/>
      <c r="D80" s="51"/>
      <c r="E80" s="51"/>
      <c r="F80" s="51"/>
      <c r="G80" s="51" t="str">
        <f>IFERROR(__xludf.DUMMYFUNCTION("""COMPUTED_VALUE"""),"#VALUE!")</f>
        <v>#VALUE!</v>
      </c>
      <c r="H80" s="51" t="str">
        <f>IFERROR(__xludf.DUMMYFUNCTION("""COMPUTED_VALUE"""),"")</f>
        <v/>
      </c>
      <c r="I80" s="51" t="str">
        <f>IFERROR(__xludf.DUMMYFUNCTION("""COMPUTED_VALUE"""),"#VALUE!")</f>
        <v>#VALUE!</v>
      </c>
      <c r="J80" s="51" t="str">
        <f>IFERROR(__xludf.DUMMYFUNCTION("""COMPUTED_VALUE"""),"")</f>
        <v/>
      </c>
      <c r="K80" s="51">
        <f t="shared" si="1"/>
        <v>0</v>
      </c>
      <c r="L80" s="51" t="s">
        <v>257</v>
      </c>
      <c r="M80" s="62"/>
      <c r="N80" s="51"/>
      <c r="O80" s="63"/>
      <c r="P80" s="63"/>
      <c r="Q80" s="63"/>
      <c r="R80" s="51"/>
      <c r="S80" s="51"/>
      <c r="T80" s="51"/>
    </row>
    <row r="81">
      <c r="A81" s="51"/>
      <c r="B81" s="51"/>
      <c r="C81" s="56"/>
      <c r="D81" s="51"/>
      <c r="E81" s="51"/>
      <c r="F81" s="51"/>
      <c r="G81" s="51" t="str">
        <f>IFERROR(__xludf.DUMMYFUNCTION("""COMPUTED_VALUE"""),"#VALUE!")</f>
        <v>#VALUE!</v>
      </c>
      <c r="H81" s="51" t="str">
        <f>IFERROR(__xludf.DUMMYFUNCTION("""COMPUTED_VALUE"""),"")</f>
        <v/>
      </c>
      <c r="I81" s="51" t="str">
        <f>IFERROR(__xludf.DUMMYFUNCTION("""COMPUTED_VALUE"""),"#VALUE!")</f>
        <v>#VALUE!</v>
      </c>
      <c r="J81" s="51" t="str">
        <f>IFERROR(__xludf.DUMMYFUNCTION("""COMPUTED_VALUE"""),"")</f>
        <v/>
      </c>
      <c r="K81" s="51">
        <f t="shared" si="1"/>
        <v>0</v>
      </c>
      <c r="L81" s="51" t="s">
        <v>257</v>
      </c>
      <c r="M81" s="62"/>
      <c r="N81" s="51"/>
      <c r="O81" s="63"/>
      <c r="P81" s="63"/>
      <c r="Q81" s="63"/>
      <c r="R81" s="51"/>
      <c r="S81" s="51"/>
      <c r="T81" s="51"/>
    </row>
    <row r="82">
      <c r="A82" s="51"/>
      <c r="B82" s="51"/>
      <c r="C82" s="56"/>
      <c r="D82" s="51"/>
      <c r="E82" s="51"/>
      <c r="F82" s="51"/>
      <c r="G82" s="51" t="str">
        <f>IFERROR(__xludf.DUMMYFUNCTION("""COMPUTED_VALUE"""),"#VALUE!")</f>
        <v>#VALUE!</v>
      </c>
      <c r="H82" s="51" t="str">
        <f>IFERROR(__xludf.DUMMYFUNCTION("""COMPUTED_VALUE"""),"")</f>
        <v/>
      </c>
      <c r="I82" s="51" t="str">
        <f>IFERROR(__xludf.DUMMYFUNCTION("""COMPUTED_VALUE"""),"#VALUE!")</f>
        <v>#VALUE!</v>
      </c>
      <c r="J82" s="51" t="str">
        <f>IFERROR(__xludf.DUMMYFUNCTION("""COMPUTED_VALUE"""),"")</f>
        <v/>
      </c>
      <c r="K82" s="51">
        <f t="shared" si="1"/>
        <v>0</v>
      </c>
      <c r="L82" s="51" t="s">
        <v>257</v>
      </c>
      <c r="M82" s="62"/>
      <c r="N82" s="51"/>
      <c r="O82" s="63"/>
      <c r="P82" s="63"/>
      <c r="Q82" s="63"/>
      <c r="R82" s="51"/>
      <c r="S82" s="51"/>
      <c r="T82" s="51"/>
    </row>
    <row r="83">
      <c r="A83" s="51"/>
      <c r="B83" s="51"/>
      <c r="C83" s="56"/>
      <c r="D83" s="51"/>
      <c r="E83" s="51"/>
      <c r="F83" s="51"/>
      <c r="G83" s="51" t="str">
        <f>IFERROR(__xludf.DUMMYFUNCTION("""COMPUTED_VALUE"""),"#VALUE!")</f>
        <v>#VALUE!</v>
      </c>
      <c r="H83" s="51" t="str">
        <f>IFERROR(__xludf.DUMMYFUNCTION("""COMPUTED_VALUE"""),"")</f>
        <v/>
      </c>
      <c r="I83" s="51" t="str">
        <f>IFERROR(__xludf.DUMMYFUNCTION("""COMPUTED_VALUE"""),"#VALUE!")</f>
        <v>#VALUE!</v>
      </c>
      <c r="J83" s="51" t="str">
        <f>IFERROR(__xludf.DUMMYFUNCTION("""COMPUTED_VALUE"""),"")</f>
        <v/>
      </c>
      <c r="K83" s="51">
        <f t="shared" si="1"/>
        <v>0</v>
      </c>
      <c r="L83" s="51" t="s">
        <v>257</v>
      </c>
      <c r="M83" s="62"/>
      <c r="N83" s="51"/>
      <c r="O83" s="63"/>
      <c r="P83" s="63"/>
      <c r="Q83" s="63"/>
      <c r="R83" s="51"/>
      <c r="S83" s="51"/>
      <c r="T83" s="51"/>
    </row>
    <row r="84">
      <c r="A84" s="51"/>
      <c r="B84" s="51"/>
      <c r="C84" s="56"/>
      <c r="D84" s="51"/>
      <c r="E84" s="51"/>
      <c r="F84" s="51"/>
      <c r="G84" s="51" t="str">
        <f>IFERROR(__xludf.DUMMYFUNCTION("""COMPUTED_VALUE"""),"#VALUE!")</f>
        <v>#VALUE!</v>
      </c>
      <c r="H84" s="51" t="str">
        <f>IFERROR(__xludf.DUMMYFUNCTION("""COMPUTED_VALUE"""),"")</f>
        <v/>
      </c>
      <c r="I84" s="51" t="str">
        <f>IFERROR(__xludf.DUMMYFUNCTION("""COMPUTED_VALUE"""),"#VALUE!")</f>
        <v>#VALUE!</v>
      </c>
      <c r="J84" s="51" t="str">
        <f>IFERROR(__xludf.DUMMYFUNCTION("""COMPUTED_VALUE"""),"")</f>
        <v/>
      </c>
      <c r="K84" s="51">
        <f t="shared" si="1"/>
        <v>0</v>
      </c>
      <c r="L84" s="51" t="s">
        <v>257</v>
      </c>
      <c r="M84" s="62"/>
      <c r="N84" s="51"/>
      <c r="O84" s="63"/>
      <c r="P84" s="63"/>
      <c r="Q84" s="63"/>
      <c r="R84" s="51"/>
      <c r="S84" s="51"/>
      <c r="T84" s="51"/>
    </row>
    <row r="85">
      <c r="A85" s="51"/>
      <c r="B85" s="51"/>
      <c r="C85" s="56"/>
      <c r="D85" s="51"/>
      <c r="E85" s="51"/>
      <c r="F85" s="51"/>
      <c r="G85" s="51" t="str">
        <f>IFERROR(__xludf.DUMMYFUNCTION("""COMPUTED_VALUE"""),"#VALUE!")</f>
        <v>#VALUE!</v>
      </c>
      <c r="H85" s="51" t="str">
        <f>IFERROR(__xludf.DUMMYFUNCTION("""COMPUTED_VALUE"""),"")</f>
        <v/>
      </c>
      <c r="I85" s="51" t="str">
        <f>IFERROR(__xludf.DUMMYFUNCTION("""COMPUTED_VALUE"""),"#VALUE!")</f>
        <v>#VALUE!</v>
      </c>
      <c r="J85" s="51" t="str">
        <f>IFERROR(__xludf.DUMMYFUNCTION("""COMPUTED_VALUE"""),"")</f>
        <v/>
      </c>
      <c r="K85" s="51">
        <f t="shared" si="1"/>
        <v>0</v>
      </c>
      <c r="L85" s="51" t="s">
        <v>257</v>
      </c>
      <c r="M85" s="62"/>
      <c r="N85" s="51"/>
      <c r="O85" s="63"/>
      <c r="P85" s="63"/>
      <c r="Q85" s="63"/>
      <c r="R85" s="51"/>
      <c r="S85" s="51"/>
      <c r="T85" s="51"/>
    </row>
    <row r="86">
      <c r="A86" s="51"/>
      <c r="B86" s="51"/>
      <c r="C86" s="56"/>
      <c r="D86" s="51"/>
      <c r="E86" s="51"/>
      <c r="F86" s="51"/>
      <c r="G86" s="51" t="str">
        <f>IFERROR(__xludf.DUMMYFUNCTION("""COMPUTED_VALUE"""),"#VALUE!")</f>
        <v>#VALUE!</v>
      </c>
      <c r="H86" s="51" t="str">
        <f>IFERROR(__xludf.DUMMYFUNCTION("""COMPUTED_VALUE"""),"")</f>
        <v/>
      </c>
      <c r="I86" s="51" t="str">
        <f>IFERROR(__xludf.DUMMYFUNCTION("""COMPUTED_VALUE"""),"#VALUE!")</f>
        <v>#VALUE!</v>
      </c>
      <c r="J86" s="51" t="str">
        <f>IFERROR(__xludf.DUMMYFUNCTION("""COMPUTED_VALUE"""),"")</f>
        <v/>
      </c>
      <c r="K86" s="51">
        <f t="shared" si="1"/>
        <v>0</v>
      </c>
      <c r="L86" s="51" t="s">
        <v>257</v>
      </c>
      <c r="M86" s="62"/>
      <c r="N86" s="51"/>
      <c r="O86" s="63"/>
      <c r="P86" s="63"/>
      <c r="Q86" s="63"/>
      <c r="R86" s="51"/>
      <c r="S86" s="51"/>
      <c r="T86" s="51"/>
    </row>
    <row r="87">
      <c r="A87" s="51"/>
      <c r="B87" s="51"/>
      <c r="C87" s="56"/>
      <c r="D87" s="51"/>
      <c r="E87" s="51"/>
      <c r="F87" s="51"/>
      <c r="G87" s="51" t="str">
        <f>IFERROR(__xludf.DUMMYFUNCTION("""COMPUTED_VALUE"""),"#VALUE!")</f>
        <v>#VALUE!</v>
      </c>
      <c r="H87" s="51" t="str">
        <f>IFERROR(__xludf.DUMMYFUNCTION("""COMPUTED_VALUE"""),"")</f>
        <v/>
      </c>
      <c r="I87" s="51" t="str">
        <f>IFERROR(__xludf.DUMMYFUNCTION("""COMPUTED_VALUE"""),"#VALUE!")</f>
        <v>#VALUE!</v>
      </c>
      <c r="J87" s="51" t="str">
        <f>IFERROR(__xludf.DUMMYFUNCTION("""COMPUTED_VALUE"""),"")</f>
        <v/>
      </c>
      <c r="K87" s="51">
        <f t="shared" si="1"/>
        <v>0</v>
      </c>
      <c r="L87" s="51" t="s">
        <v>257</v>
      </c>
      <c r="M87" s="62"/>
      <c r="N87" s="51"/>
      <c r="O87" s="63"/>
      <c r="P87" s="63"/>
      <c r="Q87" s="63"/>
      <c r="R87" s="51"/>
      <c r="S87" s="51"/>
      <c r="T87" s="51"/>
    </row>
    <row r="88">
      <c r="A88" s="51"/>
      <c r="B88" s="51"/>
      <c r="C88" s="56"/>
      <c r="D88" s="51"/>
      <c r="E88" s="51"/>
      <c r="F88" s="51"/>
      <c r="G88" s="51" t="str">
        <f>IFERROR(__xludf.DUMMYFUNCTION("""COMPUTED_VALUE"""),"#VALUE!")</f>
        <v>#VALUE!</v>
      </c>
      <c r="H88" s="51" t="str">
        <f>IFERROR(__xludf.DUMMYFUNCTION("""COMPUTED_VALUE"""),"")</f>
        <v/>
      </c>
      <c r="I88" s="51" t="str">
        <f>IFERROR(__xludf.DUMMYFUNCTION("""COMPUTED_VALUE"""),"#VALUE!")</f>
        <v>#VALUE!</v>
      </c>
      <c r="J88" s="51" t="str">
        <f>IFERROR(__xludf.DUMMYFUNCTION("""COMPUTED_VALUE"""),"")</f>
        <v/>
      </c>
      <c r="K88" s="51">
        <f t="shared" si="1"/>
        <v>0</v>
      </c>
      <c r="L88" s="51" t="s">
        <v>257</v>
      </c>
      <c r="M88" s="62"/>
      <c r="N88" s="51"/>
      <c r="O88" s="63"/>
      <c r="P88" s="63"/>
      <c r="Q88" s="63"/>
      <c r="R88" s="51"/>
      <c r="S88" s="51"/>
      <c r="T88" s="51"/>
    </row>
    <row r="89">
      <c r="A89" s="51"/>
      <c r="B89" s="51"/>
      <c r="C89" s="56"/>
      <c r="D89" s="51"/>
      <c r="E89" s="51"/>
      <c r="F89" s="51"/>
      <c r="G89" s="51" t="str">
        <f>IFERROR(__xludf.DUMMYFUNCTION("""COMPUTED_VALUE"""),"#VALUE!")</f>
        <v>#VALUE!</v>
      </c>
      <c r="H89" s="51" t="str">
        <f>IFERROR(__xludf.DUMMYFUNCTION("""COMPUTED_VALUE"""),"")</f>
        <v/>
      </c>
      <c r="I89" s="51" t="str">
        <f>IFERROR(__xludf.DUMMYFUNCTION("""COMPUTED_VALUE"""),"#VALUE!")</f>
        <v>#VALUE!</v>
      </c>
      <c r="J89" s="51" t="str">
        <f>IFERROR(__xludf.DUMMYFUNCTION("""COMPUTED_VALUE"""),"")</f>
        <v/>
      </c>
      <c r="K89" s="51">
        <f t="shared" si="1"/>
        <v>0</v>
      </c>
      <c r="L89" s="51" t="s">
        <v>257</v>
      </c>
      <c r="M89" s="62"/>
      <c r="N89" s="51"/>
      <c r="O89" s="63"/>
      <c r="P89" s="63"/>
      <c r="Q89" s="63"/>
      <c r="R89" s="51"/>
      <c r="S89" s="51"/>
      <c r="T89" s="51"/>
    </row>
    <row r="90">
      <c r="A90" s="51"/>
      <c r="B90" s="51"/>
      <c r="C90" s="56"/>
      <c r="D90" s="51"/>
      <c r="E90" s="51"/>
      <c r="F90" s="51"/>
      <c r="G90" s="51" t="str">
        <f>IFERROR(__xludf.DUMMYFUNCTION("""COMPUTED_VALUE"""),"#VALUE!")</f>
        <v>#VALUE!</v>
      </c>
      <c r="H90" s="51" t="str">
        <f>IFERROR(__xludf.DUMMYFUNCTION("""COMPUTED_VALUE"""),"")</f>
        <v/>
      </c>
      <c r="I90" s="51" t="str">
        <f>IFERROR(__xludf.DUMMYFUNCTION("""COMPUTED_VALUE"""),"#VALUE!")</f>
        <v>#VALUE!</v>
      </c>
      <c r="J90" s="51" t="str">
        <f>IFERROR(__xludf.DUMMYFUNCTION("""COMPUTED_VALUE"""),"")</f>
        <v/>
      </c>
      <c r="K90" s="51">
        <f t="shared" si="1"/>
        <v>0</v>
      </c>
      <c r="L90" s="51" t="s">
        <v>257</v>
      </c>
      <c r="M90" s="62"/>
      <c r="N90" s="51"/>
      <c r="O90" s="63"/>
      <c r="P90" s="63"/>
      <c r="Q90" s="63"/>
      <c r="R90" s="51"/>
      <c r="S90" s="51"/>
      <c r="T90" s="51"/>
    </row>
    <row r="91">
      <c r="A91" s="51"/>
      <c r="B91" s="51"/>
      <c r="C91" s="56"/>
      <c r="D91" s="51"/>
      <c r="E91" s="51"/>
      <c r="F91" s="51"/>
      <c r="G91" s="51" t="str">
        <f>IFERROR(__xludf.DUMMYFUNCTION("""COMPUTED_VALUE"""),"#VALUE!")</f>
        <v>#VALUE!</v>
      </c>
      <c r="H91" s="51" t="str">
        <f>IFERROR(__xludf.DUMMYFUNCTION("""COMPUTED_VALUE"""),"")</f>
        <v/>
      </c>
      <c r="I91" s="51" t="str">
        <f>IFERROR(__xludf.DUMMYFUNCTION("""COMPUTED_VALUE"""),"#VALUE!")</f>
        <v>#VALUE!</v>
      </c>
      <c r="J91" s="51" t="str">
        <f>IFERROR(__xludf.DUMMYFUNCTION("""COMPUTED_VALUE"""),"")</f>
        <v/>
      </c>
      <c r="K91" s="51">
        <f t="shared" si="1"/>
        <v>0</v>
      </c>
      <c r="L91" s="51" t="s">
        <v>257</v>
      </c>
      <c r="M91" s="62"/>
      <c r="N91" s="51"/>
      <c r="O91" s="63"/>
      <c r="P91" s="63"/>
      <c r="Q91" s="63"/>
      <c r="R91" s="51"/>
      <c r="S91" s="51"/>
      <c r="T91" s="51"/>
    </row>
    <row r="92">
      <c r="A92" s="51"/>
      <c r="B92" s="51"/>
      <c r="C92" s="56"/>
      <c r="D92" s="51"/>
      <c r="E92" s="51"/>
      <c r="F92" s="51"/>
      <c r="G92" s="51" t="str">
        <f>IFERROR(__xludf.DUMMYFUNCTION("""COMPUTED_VALUE"""),"#VALUE!")</f>
        <v>#VALUE!</v>
      </c>
      <c r="H92" s="51" t="str">
        <f>IFERROR(__xludf.DUMMYFUNCTION("""COMPUTED_VALUE"""),"")</f>
        <v/>
      </c>
      <c r="I92" s="51" t="str">
        <f>IFERROR(__xludf.DUMMYFUNCTION("""COMPUTED_VALUE"""),"#VALUE!")</f>
        <v>#VALUE!</v>
      </c>
      <c r="J92" s="51" t="str">
        <f>IFERROR(__xludf.DUMMYFUNCTION("""COMPUTED_VALUE"""),"")</f>
        <v/>
      </c>
      <c r="K92" s="51">
        <f t="shared" si="1"/>
        <v>0</v>
      </c>
      <c r="L92" s="51" t="s">
        <v>257</v>
      </c>
      <c r="M92" s="62"/>
      <c r="N92" s="51"/>
      <c r="O92" s="63"/>
      <c r="P92" s="63"/>
      <c r="Q92" s="63"/>
      <c r="R92" s="51"/>
      <c r="S92" s="51"/>
      <c r="T92" s="51"/>
    </row>
    <row r="93">
      <c r="A93" s="51"/>
      <c r="B93" s="51"/>
      <c r="C93" s="56"/>
      <c r="D93" s="51"/>
      <c r="E93" s="51"/>
      <c r="F93" s="51"/>
      <c r="G93" s="51" t="str">
        <f>IFERROR(__xludf.DUMMYFUNCTION("""COMPUTED_VALUE"""),"#VALUE!")</f>
        <v>#VALUE!</v>
      </c>
      <c r="H93" s="51" t="str">
        <f>IFERROR(__xludf.DUMMYFUNCTION("""COMPUTED_VALUE"""),"")</f>
        <v/>
      </c>
      <c r="I93" s="51" t="str">
        <f>IFERROR(__xludf.DUMMYFUNCTION("""COMPUTED_VALUE"""),"#VALUE!")</f>
        <v>#VALUE!</v>
      </c>
      <c r="J93" s="51" t="str">
        <f>IFERROR(__xludf.DUMMYFUNCTION("""COMPUTED_VALUE"""),"")</f>
        <v/>
      </c>
      <c r="K93" s="51">
        <f t="shared" si="1"/>
        <v>0</v>
      </c>
      <c r="L93" s="51" t="s">
        <v>257</v>
      </c>
      <c r="M93" s="62"/>
      <c r="N93" s="51"/>
      <c r="O93" s="63"/>
      <c r="P93" s="63"/>
      <c r="Q93" s="63"/>
      <c r="R93" s="51"/>
      <c r="S93" s="51"/>
      <c r="T93" s="51"/>
    </row>
    <row r="94">
      <c r="A94" s="51"/>
      <c r="B94" s="51"/>
      <c r="C94" s="56"/>
      <c r="D94" s="51"/>
      <c r="E94" s="51"/>
      <c r="F94" s="51"/>
      <c r="G94" s="51" t="str">
        <f>IFERROR(__xludf.DUMMYFUNCTION("""COMPUTED_VALUE"""),"#VALUE!")</f>
        <v>#VALUE!</v>
      </c>
      <c r="H94" s="51" t="str">
        <f>IFERROR(__xludf.DUMMYFUNCTION("""COMPUTED_VALUE"""),"")</f>
        <v/>
      </c>
      <c r="I94" s="51" t="str">
        <f>IFERROR(__xludf.DUMMYFUNCTION("""COMPUTED_VALUE"""),"#VALUE!")</f>
        <v>#VALUE!</v>
      </c>
      <c r="J94" s="51" t="str">
        <f>IFERROR(__xludf.DUMMYFUNCTION("""COMPUTED_VALUE"""),"")</f>
        <v/>
      </c>
      <c r="K94" s="51">
        <f t="shared" si="1"/>
        <v>0</v>
      </c>
      <c r="L94" s="51" t="s">
        <v>257</v>
      </c>
      <c r="M94" s="62"/>
      <c r="N94" s="51"/>
      <c r="O94" s="63"/>
      <c r="P94" s="63"/>
      <c r="Q94" s="63"/>
      <c r="R94" s="51"/>
      <c r="S94" s="51"/>
      <c r="T94" s="51"/>
    </row>
    <row r="95">
      <c r="A95" s="51"/>
      <c r="B95" s="51"/>
      <c r="C95" s="56"/>
      <c r="D95" s="51"/>
      <c r="E95" s="51"/>
      <c r="F95" s="51"/>
      <c r="G95" s="51" t="str">
        <f>IFERROR(__xludf.DUMMYFUNCTION("""COMPUTED_VALUE"""),"#VALUE!")</f>
        <v>#VALUE!</v>
      </c>
      <c r="H95" s="51" t="str">
        <f>IFERROR(__xludf.DUMMYFUNCTION("""COMPUTED_VALUE"""),"")</f>
        <v/>
      </c>
      <c r="I95" s="51" t="str">
        <f>IFERROR(__xludf.DUMMYFUNCTION("""COMPUTED_VALUE"""),"#VALUE!")</f>
        <v>#VALUE!</v>
      </c>
      <c r="J95" s="51" t="str">
        <f>IFERROR(__xludf.DUMMYFUNCTION("""COMPUTED_VALUE"""),"")</f>
        <v/>
      </c>
      <c r="K95" s="51">
        <f t="shared" si="1"/>
        <v>0</v>
      </c>
      <c r="L95" s="51" t="s">
        <v>257</v>
      </c>
      <c r="M95" s="62"/>
      <c r="N95" s="51"/>
      <c r="O95" s="63"/>
      <c r="P95" s="63"/>
      <c r="Q95" s="63"/>
      <c r="R95" s="51"/>
      <c r="S95" s="51"/>
      <c r="T95" s="51"/>
    </row>
    <row r="96">
      <c r="A96" s="51"/>
      <c r="B96" s="51"/>
      <c r="C96" s="56"/>
      <c r="D96" s="51"/>
      <c r="E96" s="51"/>
      <c r="F96" s="51"/>
      <c r="G96" s="51" t="str">
        <f>IFERROR(__xludf.DUMMYFUNCTION("""COMPUTED_VALUE"""),"#VALUE!")</f>
        <v>#VALUE!</v>
      </c>
      <c r="H96" s="51" t="str">
        <f>IFERROR(__xludf.DUMMYFUNCTION("""COMPUTED_VALUE"""),"")</f>
        <v/>
      </c>
      <c r="I96" s="51" t="str">
        <f>IFERROR(__xludf.DUMMYFUNCTION("""COMPUTED_VALUE"""),"#VALUE!")</f>
        <v>#VALUE!</v>
      </c>
      <c r="J96" s="51" t="str">
        <f>IFERROR(__xludf.DUMMYFUNCTION("""COMPUTED_VALUE"""),"")</f>
        <v/>
      </c>
      <c r="K96" s="51">
        <f t="shared" si="1"/>
        <v>0</v>
      </c>
      <c r="L96" s="51" t="s">
        <v>257</v>
      </c>
      <c r="M96" s="62"/>
      <c r="N96" s="51"/>
      <c r="O96" s="63"/>
      <c r="P96" s="63"/>
      <c r="Q96" s="63"/>
      <c r="R96" s="51"/>
      <c r="S96" s="51"/>
      <c r="T96" s="51"/>
    </row>
    <row r="97">
      <c r="A97" s="51"/>
      <c r="B97" s="51"/>
      <c r="C97" s="56"/>
      <c r="D97" s="51"/>
      <c r="E97" s="51"/>
      <c r="F97" s="51"/>
      <c r="G97" s="51" t="str">
        <f>IFERROR(__xludf.DUMMYFUNCTION("""COMPUTED_VALUE"""),"#VALUE!")</f>
        <v>#VALUE!</v>
      </c>
      <c r="H97" s="51" t="str">
        <f>IFERROR(__xludf.DUMMYFUNCTION("""COMPUTED_VALUE"""),"")</f>
        <v/>
      </c>
      <c r="I97" s="51" t="str">
        <f>IFERROR(__xludf.DUMMYFUNCTION("""COMPUTED_VALUE"""),"#VALUE!")</f>
        <v>#VALUE!</v>
      </c>
      <c r="J97" s="51" t="str">
        <f>IFERROR(__xludf.DUMMYFUNCTION("""COMPUTED_VALUE"""),"")</f>
        <v/>
      </c>
      <c r="K97" s="51">
        <f t="shared" si="1"/>
        <v>0</v>
      </c>
      <c r="L97" s="51" t="s">
        <v>257</v>
      </c>
      <c r="M97" s="62"/>
      <c r="N97" s="51"/>
      <c r="O97" s="63"/>
      <c r="P97" s="63"/>
      <c r="Q97" s="63"/>
      <c r="R97" s="51"/>
      <c r="S97" s="51"/>
      <c r="T97" s="51"/>
    </row>
    <row r="98">
      <c r="A98" s="51"/>
      <c r="B98" s="51"/>
      <c r="C98" s="56"/>
      <c r="D98" s="51"/>
      <c r="E98" s="51"/>
      <c r="F98" s="51"/>
      <c r="G98" s="51" t="str">
        <f>IFERROR(__xludf.DUMMYFUNCTION("""COMPUTED_VALUE"""),"#VALUE!")</f>
        <v>#VALUE!</v>
      </c>
      <c r="H98" s="51" t="str">
        <f>IFERROR(__xludf.DUMMYFUNCTION("""COMPUTED_VALUE"""),"")</f>
        <v/>
      </c>
      <c r="I98" s="51" t="str">
        <f>IFERROR(__xludf.DUMMYFUNCTION("""COMPUTED_VALUE"""),"#VALUE!")</f>
        <v>#VALUE!</v>
      </c>
      <c r="J98" s="51" t="str">
        <f>IFERROR(__xludf.DUMMYFUNCTION("""COMPUTED_VALUE"""),"")</f>
        <v/>
      </c>
      <c r="K98" s="51">
        <f t="shared" si="1"/>
        <v>0</v>
      </c>
      <c r="L98" s="51" t="s">
        <v>257</v>
      </c>
      <c r="M98" s="62"/>
      <c r="N98" s="51"/>
      <c r="O98" s="63"/>
      <c r="P98" s="63"/>
      <c r="Q98" s="63"/>
      <c r="R98" s="51"/>
      <c r="S98" s="51"/>
      <c r="T98" s="51"/>
    </row>
    <row r="99">
      <c r="A99" s="51"/>
      <c r="B99" s="51"/>
      <c r="C99" s="56"/>
      <c r="D99" s="51"/>
      <c r="E99" s="51"/>
      <c r="F99" s="51"/>
      <c r="G99" s="51" t="str">
        <f>IFERROR(__xludf.DUMMYFUNCTION("""COMPUTED_VALUE"""),"#VALUE!")</f>
        <v>#VALUE!</v>
      </c>
      <c r="H99" s="51" t="str">
        <f>IFERROR(__xludf.DUMMYFUNCTION("""COMPUTED_VALUE"""),"")</f>
        <v/>
      </c>
      <c r="I99" s="51" t="str">
        <f>IFERROR(__xludf.DUMMYFUNCTION("""COMPUTED_VALUE"""),"#VALUE!")</f>
        <v>#VALUE!</v>
      </c>
      <c r="J99" s="51" t="str">
        <f>IFERROR(__xludf.DUMMYFUNCTION("""COMPUTED_VALUE"""),"")</f>
        <v/>
      </c>
      <c r="K99" s="51">
        <f t="shared" si="1"/>
        <v>0</v>
      </c>
      <c r="L99" s="51" t="s">
        <v>257</v>
      </c>
      <c r="M99" s="62"/>
      <c r="N99" s="51"/>
      <c r="O99" s="63"/>
      <c r="P99" s="63"/>
      <c r="Q99" s="63"/>
      <c r="R99" s="51"/>
      <c r="S99" s="51"/>
      <c r="T99" s="51"/>
    </row>
    <row r="100">
      <c r="A100" s="51"/>
      <c r="B100" s="51"/>
      <c r="C100" s="56"/>
      <c r="D100" s="51"/>
      <c r="E100" s="51"/>
      <c r="F100" s="51"/>
      <c r="G100" s="51" t="str">
        <f>IFERROR(__xludf.DUMMYFUNCTION("""COMPUTED_VALUE"""),"#VALUE!")</f>
        <v>#VALUE!</v>
      </c>
      <c r="H100" s="51" t="str">
        <f>IFERROR(__xludf.DUMMYFUNCTION("""COMPUTED_VALUE"""),"")</f>
        <v/>
      </c>
      <c r="I100" s="51" t="str">
        <f>IFERROR(__xludf.DUMMYFUNCTION("""COMPUTED_VALUE"""),"#VALUE!")</f>
        <v>#VALUE!</v>
      </c>
      <c r="J100" s="51" t="str">
        <f>IFERROR(__xludf.DUMMYFUNCTION("""COMPUTED_VALUE"""),"")</f>
        <v/>
      </c>
      <c r="K100" s="51">
        <f t="shared" si="1"/>
        <v>0</v>
      </c>
      <c r="L100" s="51" t="s">
        <v>257</v>
      </c>
      <c r="M100" s="62"/>
      <c r="N100" s="51"/>
      <c r="O100" s="63"/>
      <c r="P100" s="63"/>
      <c r="Q100" s="63"/>
      <c r="R100" s="51"/>
      <c r="S100" s="51"/>
      <c r="T100" s="51"/>
    </row>
    <row r="101">
      <c r="A101" s="51"/>
      <c r="B101" s="51"/>
      <c r="C101" s="56"/>
      <c r="D101" s="51"/>
      <c r="E101" s="51"/>
      <c r="F101" s="51"/>
      <c r="G101" s="51" t="str">
        <f>IFERROR(__xludf.DUMMYFUNCTION("""COMPUTED_VALUE"""),"#VALUE!")</f>
        <v>#VALUE!</v>
      </c>
      <c r="H101" s="51" t="str">
        <f>IFERROR(__xludf.DUMMYFUNCTION("""COMPUTED_VALUE"""),"")</f>
        <v/>
      </c>
      <c r="I101" s="51" t="str">
        <f>IFERROR(__xludf.DUMMYFUNCTION("""COMPUTED_VALUE"""),"#VALUE!")</f>
        <v>#VALUE!</v>
      </c>
      <c r="J101" s="51" t="str">
        <f>IFERROR(__xludf.DUMMYFUNCTION("""COMPUTED_VALUE"""),"")</f>
        <v/>
      </c>
      <c r="K101" s="51">
        <f t="shared" si="1"/>
        <v>0</v>
      </c>
      <c r="L101" s="51" t="s">
        <v>257</v>
      </c>
      <c r="M101" s="62"/>
      <c r="N101" s="51"/>
      <c r="O101" s="63"/>
      <c r="P101" s="63"/>
      <c r="Q101" s="63"/>
      <c r="R101" s="51"/>
      <c r="S101" s="51"/>
      <c r="T101" s="51"/>
    </row>
    <row r="102">
      <c r="A102" s="51"/>
      <c r="B102" s="51"/>
      <c r="C102" s="56"/>
      <c r="D102" s="51"/>
      <c r="E102" s="51"/>
      <c r="F102" s="51"/>
      <c r="G102" s="51" t="str">
        <f>IFERROR(__xludf.DUMMYFUNCTION("""COMPUTED_VALUE"""),"#VALUE!")</f>
        <v>#VALUE!</v>
      </c>
      <c r="H102" s="51" t="str">
        <f>IFERROR(__xludf.DUMMYFUNCTION("""COMPUTED_VALUE"""),"")</f>
        <v/>
      </c>
      <c r="I102" s="51" t="str">
        <f>IFERROR(__xludf.DUMMYFUNCTION("""COMPUTED_VALUE"""),"#VALUE!")</f>
        <v>#VALUE!</v>
      </c>
      <c r="J102" s="51" t="str">
        <f>IFERROR(__xludf.DUMMYFUNCTION("""COMPUTED_VALUE"""),"")</f>
        <v/>
      </c>
      <c r="K102" s="51">
        <f t="shared" si="1"/>
        <v>0</v>
      </c>
      <c r="L102" s="51" t="s">
        <v>257</v>
      </c>
      <c r="M102" s="62"/>
      <c r="N102" s="51"/>
      <c r="O102" s="63"/>
      <c r="P102" s="63"/>
      <c r="Q102" s="63"/>
      <c r="R102" s="51"/>
      <c r="S102" s="51"/>
      <c r="T102" s="51"/>
    </row>
    <row r="103">
      <c r="A103" s="51"/>
      <c r="B103" s="51"/>
      <c r="C103" s="56"/>
      <c r="D103" s="51"/>
      <c r="E103" s="51"/>
      <c r="F103" s="51"/>
      <c r="G103" s="51" t="str">
        <f>IFERROR(__xludf.DUMMYFUNCTION("""COMPUTED_VALUE"""),"#VALUE!")</f>
        <v>#VALUE!</v>
      </c>
      <c r="H103" s="51" t="str">
        <f>IFERROR(__xludf.DUMMYFUNCTION("""COMPUTED_VALUE"""),"")</f>
        <v/>
      </c>
      <c r="I103" s="51" t="str">
        <f>IFERROR(__xludf.DUMMYFUNCTION("""COMPUTED_VALUE"""),"#VALUE!")</f>
        <v>#VALUE!</v>
      </c>
      <c r="J103" s="51" t="str">
        <f>IFERROR(__xludf.DUMMYFUNCTION("""COMPUTED_VALUE"""),"")</f>
        <v/>
      </c>
      <c r="K103" s="51">
        <f t="shared" si="1"/>
        <v>0</v>
      </c>
      <c r="L103" s="51" t="s">
        <v>257</v>
      </c>
      <c r="M103" s="62"/>
      <c r="N103" s="51"/>
      <c r="O103" s="63"/>
      <c r="P103" s="63"/>
      <c r="Q103" s="63"/>
      <c r="R103" s="51"/>
      <c r="S103" s="51"/>
      <c r="T103" s="51"/>
    </row>
    <row r="104">
      <c r="A104" s="51"/>
      <c r="B104" s="51"/>
      <c r="C104" s="56"/>
      <c r="D104" s="51"/>
      <c r="E104" s="51"/>
      <c r="F104" s="51"/>
      <c r="G104" s="51" t="str">
        <f>IFERROR(__xludf.DUMMYFUNCTION("""COMPUTED_VALUE"""),"#VALUE!")</f>
        <v>#VALUE!</v>
      </c>
      <c r="H104" s="51" t="str">
        <f>IFERROR(__xludf.DUMMYFUNCTION("""COMPUTED_VALUE"""),"")</f>
        <v/>
      </c>
      <c r="I104" s="51" t="str">
        <f>IFERROR(__xludf.DUMMYFUNCTION("""COMPUTED_VALUE"""),"#VALUE!")</f>
        <v>#VALUE!</v>
      </c>
      <c r="J104" s="51" t="str">
        <f>IFERROR(__xludf.DUMMYFUNCTION("""COMPUTED_VALUE"""),"")</f>
        <v/>
      </c>
      <c r="K104" s="51">
        <f t="shared" si="1"/>
        <v>0</v>
      </c>
      <c r="L104" s="51" t="s">
        <v>257</v>
      </c>
      <c r="M104" s="62"/>
      <c r="N104" s="51"/>
      <c r="O104" s="63"/>
      <c r="P104" s="63"/>
      <c r="Q104" s="63"/>
      <c r="R104" s="51"/>
      <c r="S104" s="51"/>
      <c r="T104" s="51"/>
    </row>
    <row r="105">
      <c r="A105" s="51"/>
      <c r="B105" s="51"/>
      <c r="C105" s="56"/>
      <c r="D105" s="51"/>
      <c r="E105" s="51"/>
      <c r="F105" s="51"/>
      <c r="G105" s="51" t="str">
        <f>IFERROR(__xludf.DUMMYFUNCTION("""COMPUTED_VALUE"""),"#VALUE!")</f>
        <v>#VALUE!</v>
      </c>
      <c r="H105" s="51" t="str">
        <f>IFERROR(__xludf.DUMMYFUNCTION("""COMPUTED_VALUE"""),"")</f>
        <v/>
      </c>
      <c r="I105" s="51" t="str">
        <f>IFERROR(__xludf.DUMMYFUNCTION("""COMPUTED_VALUE"""),"#VALUE!")</f>
        <v>#VALUE!</v>
      </c>
      <c r="J105" s="51" t="str">
        <f>IFERROR(__xludf.DUMMYFUNCTION("""COMPUTED_VALUE"""),"")</f>
        <v/>
      </c>
      <c r="K105" s="51">
        <f t="shared" si="1"/>
        <v>0</v>
      </c>
      <c r="L105" s="51" t="s">
        <v>257</v>
      </c>
      <c r="M105" s="62"/>
      <c r="N105" s="51"/>
      <c r="O105" s="63"/>
      <c r="P105" s="63"/>
      <c r="Q105" s="63"/>
      <c r="R105" s="51"/>
      <c r="S105" s="51"/>
      <c r="T105" s="51"/>
    </row>
    <row r="106">
      <c r="A106" s="51"/>
      <c r="B106" s="51"/>
      <c r="C106" s="56"/>
      <c r="D106" s="51"/>
      <c r="E106" s="51"/>
      <c r="F106" s="51"/>
      <c r="G106" s="51" t="str">
        <f>IFERROR(__xludf.DUMMYFUNCTION("""COMPUTED_VALUE"""),"#VALUE!")</f>
        <v>#VALUE!</v>
      </c>
      <c r="H106" s="51" t="str">
        <f>IFERROR(__xludf.DUMMYFUNCTION("""COMPUTED_VALUE"""),"")</f>
        <v/>
      </c>
      <c r="I106" s="51" t="str">
        <f>IFERROR(__xludf.DUMMYFUNCTION("""COMPUTED_VALUE"""),"#VALUE!")</f>
        <v>#VALUE!</v>
      </c>
      <c r="J106" s="51" t="str">
        <f>IFERROR(__xludf.DUMMYFUNCTION("""COMPUTED_VALUE"""),"")</f>
        <v/>
      </c>
      <c r="K106" s="51">
        <f t="shared" si="1"/>
        <v>0</v>
      </c>
      <c r="L106" s="51" t="s">
        <v>257</v>
      </c>
      <c r="M106" s="62"/>
      <c r="N106" s="51"/>
      <c r="O106" s="63"/>
      <c r="P106" s="63"/>
      <c r="Q106" s="63"/>
      <c r="R106" s="51"/>
      <c r="S106" s="51"/>
      <c r="T106" s="51"/>
    </row>
    <row r="107">
      <c r="A107" s="51"/>
      <c r="B107" s="51"/>
      <c r="C107" s="56"/>
      <c r="D107" s="51"/>
      <c r="E107" s="51"/>
      <c r="F107" s="51"/>
      <c r="G107" s="51" t="str">
        <f>IFERROR(__xludf.DUMMYFUNCTION("""COMPUTED_VALUE"""),"#VALUE!")</f>
        <v>#VALUE!</v>
      </c>
      <c r="H107" s="51" t="str">
        <f>IFERROR(__xludf.DUMMYFUNCTION("""COMPUTED_VALUE"""),"")</f>
        <v/>
      </c>
      <c r="I107" s="51" t="str">
        <f>IFERROR(__xludf.DUMMYFUNCTION("""COMPUTED_VALUE"""),"#VALUE!")</f>
        <v>#VALUE!</v>
      </c>
      <c r="J107" s="51" t="str">
        <f>IFERROR(__xludf.DUMMYFUNCTION("""COMPUTED_VALUE"""),"")</f>
        <v/>
      </c>
      <c r="K107" s="51">
        <f t="shared" si="1"/>
        <v>0</v>
      </c>
      <c r="L107" s="51" t="s">
        <v>257</v>
      </c>
      <c r="M107" s="62"/>
      <c r="N107" s="51"/>
      <c r="O107" s="63"/>
      <c r="P107" s="63"/>
      <c r="Q107" s="63"/>
      <c r="R107" s="51"/>
      <c r="S107" s="51"/>
      <c r="T107" s="51"/>
    </row>
    <row r="108">
      <c r="A108" s="51"/>
      <c r="B108" s="51"/>
      <c r="C108" s="56"/>
      <c r="D108" s="51"/>
      <c r="E108" s="51"/>
      <c r="F108" s="51"/>
      <c r="G108" s="51" t="str">
        <f>IFERROR(__xludf.DUMMYFUNCTION("""COMPUTED_VALUE"""),"#VALUE!")</f>
        <v>#VALUE!</v>
      </c>
      <c r="H108" s="51" t="str">
        <f>IFERROR(__xludf.DUMMYFUNCTION("""COMPUTED_VALUE"""),"")</f>
        <v/>
      </c>
      <c r="I108" s="51" t="str">
        <f>IFERROR(__xludf.DUMMYFUNCTION("""COMPUTED_VALUE"""),"#VALUE!")</f>
        <v>#VALUE!</v>
      </c>
      <c r="J108" s="51" t="str">
        <f>IFERROR(__xludf.DUMMYFUNCTION("""COMPUTED_VALUE"""),"")</f>
        <v/>
      </c>
      <c r="K108" s="51">
        <f t="shared" si="1"/>
        <v>0</v>
      </c>
      <c r="L108" s="51" t="s">
        <v>257</v>
      </c>
      <c r="M108" s="62"/>
      <c r="N108" s="51"/>
      <c r="O108" s="63"/>
      <c r="P108" s="63"/>
      <c r="Q108" s="63"/>
      <c r="R108" s="51"/>
      <c r="S108" s="51"/>
      <c r="T108" s="51"/>
    </row>
    <row r="109">
      <c r="A109" s="51"/>
      <c r="B109" s="51"/>
      <c r="C109" s="56"/>
      <c r="D109" s="51"/>
      <c r="E109" s="51"/>
      <c r="F109" s="51"/>
      <c r="G109" s="51" t="str">
        <f>IFERROR(__xludf.DUMMYFUNCTION("""COMPUTED_VALUE"""),"#VALUE!")</f>
        <v>#VALUE!</v>
      </c>
      <c r="H109" s="51" t="str">
        <f>IFERROR(__xludf.DUMMYFUNCTION("""COMPUTED_VALUE"""),"")</f>
        <v/>
      </c>
      <c r="I109" s="51" t="str">
        <f>IFERROR(__xludf.DUMMYFUNCTION("""COMPUTED_VALUE"""),"#VALUE!")</f>
        <v>#VALUE!</v>
      </c>
      <c r="J109" s="51" t="str">
        <f>IFERROR(__xludf.DUMMYFUNCTION("""COMPUTED_VALUE"""),"")</f>
        <v/>
      </c>
      <c r="K109" s="51">
        <f t="shared" si="1"/>
        <v>0</v>
      </c>
      <c r="L109" s="51" t="s">
        <v>257</v>
      </c>
      <c r="M109" s="62"/>
      <c r="N109" s="51"/>
      <c r="O109" s="63"/>
      <c r="P109" s="63"/>
      <c r="Q109" s="63"/>
      <c r="R109" s="51"/>
      <c r="S109" s="51"/>
      <c r="T109" s="51"/>
    </row>
    <row r="110">
      <c r="A110" s="51"/>
      <c r="B110" s="51"/>
      <c r="C110" s="56"/>
      <c r="D110" s="51"/>
      <c r="E110" s="51"/>
      <c r="F110" s="51"/>
      <c r="G110" s="51" t="str">
        <f>IFERROR(__xludf.DUMMYFUNCTION("""COMPUTED_VALUE"""),"#VALUE!")</f>
        <v>#VALUE!</v>
      </c>
      <c r="H110" s="51" t="str">
        <f>IFERROR(__xludf.DUMMYFUNCTION("""COMPUTED_VALUE"""),"")</f>
        <v/>
      </c>
      <c r="I110" s="51" t="str">
        <f>IFERROR(__xludf.DUMMYFUNCTION("""COMPUTED_VALUE"""),"#VALUE!")</f>
        <v>#VALUE!</v>
      </c>
      <c r="J110" s="51" t="str">
        <f>IFERROR(__xludf.DUMMYFUNCTION("""COMPUTED_VALUE"""),"")</f>
        <v/>
      </c>
      <c r="K110" s="51">
        <f t="shared" si="1"/>
        <v>0</v>
      </c>
      <c r="L110" s="51" t="s">
        <v>257</v>
      </c>
      <c r="M110" s="62"/>
      <c r="N110" s="51"/>
      <c r="O110" s="63"/>
      <c r="P110" s="63"/>
      <c r="Q110" s="63"/>
      <c r="R110" s="51"/>
      <c r="S110" s="51"/>
      <c r="T110" s="51"/>
    </row>
    <row r="111">
      <c r="A111" s="51"/>
      <c r="B111" s="51"/>
      <c r="C111" s="56"/>
      <c r="D111" s="51"/>
      <c r="E111" s="51"/>
      <c r="F111" s="51"/>
      <c r="G111" s="51" t="str">
        <f>IFERROR(__xludf.DUMMYFUNCTION("""COMPUTED_VALUE"""),"#VALUE!")</f>
        <v>#VALUE!</v>
      </c>
      <c r="H111" s="51" t="str">
        <f>IFERROR(__xludf.DUMMYFUNCTION("""COMPUTED_VALUE"""),"")</f>
        <v/>
      </c>
      <c r="I111" s="51" t="str">
        <f>IFERROR(__xludf.DUMMYFUNCTION("""COMPUTED_VALUE"""),"#VALUE!")</f>
        <v>#VALUE!</v>
      </c>
      <c r="J111" s="51" t="str">
        <f>IFERROR(__xludf.DUMMYFUNCTION("""COMPUTED_VALUE"""),"")</f>
        <v/>
      </c>
      <c r="K111" s="51">
        <f t="shared" si="1"/>
        <v>0</v>
      </c>
      <c r="L111" s="51" t="s">
        <v>257</v>
      </c>
      <c r="M111" s="62"/>
      <c r="N111" s="51"/>
      <c r="O111" s="63"/>
      <c r="P111" s="63"/>
      <c r="Q111" s="63"/>
      <c r="R111" s="51"/>
      <c r="S111" s="51"/>
      <c r="T111" s="51"/>
    </row>
    <row r="112">
      <c r="A112" s="51"/>
      <c r="B112" s="51"/>
      <c r="C112" s="56"/>
      <c r="D112" s="51"/>
      <c r="E112" s="51"/>
      <c r="F112" s="51"/>
      <c r="G112" s="51" t="str">
        <f>IFERROR(__xludf.DUMMYFUNCTION("""COMPUTED_VALUE"""),"#VALUE!")</f>
        <v>#VALUE!</v>
      </c>
      <c r="H112" s="51" t="str">
        <f>IFERROR(__xludf.DUMMYFUNCTION("""COMPUTED_VALUE"""),"")</f>
        <v/>
      </c>
      <c r="I112" s="51" t="str">
        <f>IFERROR(__xludf.DUMMYFUNCTION("""COMPUTED_VALUE"""),"#VALUE!")</f>
        <v>#VALUE!</v>
      </c>
      <c r="J112" s="51" t="str">
        <f>IFERROR(__xludf.DUMMYFUNCTION("""COMPUTED_VALUE"""),"")</f>
        <v/>
      </c>
      <c r="K112" s="51">
        <f t="shared" si="1"/>
        <v>0</v>
      </c>
      <c r="L112" s="51" t="s">
        <v>257</v>
      </c>
      <c r="M112" s="62"/>
      <c r="N112" s="51"/>
      <c r="O112" s="63"/>
      <c r="P112" s="63"/>
      <c r="Q112" s="63"/>
      <c r="R112" s="51"/>
      <c r="S112" s="51"/>
      <c r="T112" s="51"/>
    </row>
    <row r="113">
      <c r="A113" s="51"/>
      <c r="B113" s="51"/>
      <c r="C113" s="56"/>
      <c r="D113" s="51"/>
      <c r="E113" s="51"/>
      <c r="F113" s="51"/>
      <c r="G113" s="51" t="str">
        <f>IFERROR(__xludf.DUMMYFUNCTION("""COMPUTED_VALUE"""),"#VALUE!")</f>
        <v>#VALUE!</v>
      </c>
      <c r="H113" s="51" t="str">
        <f>IFERROR(__xludf.DUMMYFUNCTION("""COMPUTED_VALUE"""),"")</f>
        <v/>
      </c>
      <c r="I113" s="51" t="str">
        <f>IFERROR(__xludf.DUMMYFUNCTION("""COMPUTED_VALUE"""),"#VALUE!")</f>
        <v>#VALUE!</v>
      </c>
      <c r="J113" s="51" t="str">
        <f>IFERROR(__xludf.DUMMYFUNCTION("""COMPUTED_VALUE"""),"")</f>
        <v/>
      </c>
      <c r="K113" s="51">
        <f t="shared" si="1"/>
        <v>0</v>
      </c>
      <c r="L113" s="51" t="s">
        <v>257</v>
      </c>
      <c r="M113" s="62"/>
      <c r="N113" s="51"/>
      <c r="O113" s="63"/>
      <c r="P113" s="63"/>
      <c r="Q113" s="63"/>
      <c r="R113" s="51"/>
      <c r="S113" s="51"/>
      <c r="T113" s="51"/>
    </row>
    <row r="114">
      <c r="A114" s="51"/>
      <c r="B114" s="51"/>
      <c r="C114" s="56"/>
      <c r="D114" s="51"/>
      <c r="E114" s="51"/>
      <c r="F114" s="51"/>
      <c r="G114" s="51" t="str">
        <f>IFERROR(__xludf.DUMMYFUNCTION("""COMPUTED_VALUE"""),"#VALUE!")</f>
        <v>#VALUE!</v>
      </c>
      <c r="H114" s="51" t="str">
        <f>IFERROR(__xludf.DUMMYFUNCTION("""COMPUTED_VALUE"""),"")</f>
        <v/>
      </c>
      <c r="I114" s="51" t="str">
        <f>IFERROR(__xludf.DUMMYFUNCTION("""COMPUTED_VALUE"""),"#VALUE!")</f>
        <v>#VALUE!</v>
      </c>
      <c r="J114" s="51" t="str">
        <f>IFERROR(__xludf.DUMMYFUNCTION("""COMPUTED_VALUE"""),"")</f>
        <v/>
      </c>
      <c r="K114" s="51">
        <f t="shared" si="1"/>
        <v>0</v>
      </c>
      <c r="L114" s="51" t="s">
        <v>257</v>
      </c>
      <c r="M114" s="62"/>
      <c r="N114" s="51"/>
      <c r="O114" s="63"/>
      <c r="P114" s="63"/>
      <c r="Q114" s="63"/>
      <c r="R114" s="51"/>
      <c r="S114" s="51"/>
      <c r="T114" s="51"/>
    </row>
    <row r="115">
      <c r="A115" s="51"/>
      <c r="B115" s="51"/>
      <c r="C115" s="56"/>
      <c r="D115" s="51"/>
      <c r="E115" s="51"/>
      <c r="F115" s="51"/>
      <c r="G115" s="51" t="str">
        <f>IFERROR(__xludf.DUMMYFUNCTION("""COMPUTED_VALUE"""),"#VALUE!")</f>
        <v>#VALUE!</v>
      </c>
      <c r="H115" s="51" t="str">
        <f>IFERROR(__xludf.DUMMYFUNCTION("""COMPUTED_VALUE"""),"")</f>
        <v/>
      </c>
      <c r="I115" s="51" t="str">
        <f>IFERROR(__xludf.DUMMYFUNCTION("""COMPUTED_VALUE"""),"#VALUE!")</f>
        <v>#VALUE!</v>
      </c>
      <c r="J115" s="51" t="str">
        <f>IFERROR(__xludf.DUMMYFUNCTION("""COMPUTED_VALUE"""),"")</f>
        <v/>
      </c>
      <c r="K115" s="51">
        <f t="shared" si="1"/>
        <v>0</v>
      </c>
      <c r="L115" s="51" t="s">
        <v>257</v>
      </c>
      <c r="M115" s="62"/>
      <c r="N115" s="51"/>
      <c r="O115" s="63"/>
      <c r="P115" s="63"/>
      <c r="Q115" s="63"/>
      <c r="R115" s="51"/>
      <c r="S115" s="51"/>
      <c r="T115" s="51"/>
    </row>
    <row r="116">
      <c r="A116" s="51"/>
      <c r="B116" s="51"/>
      <c r="C116" s="56"/>
      <c r="D116" s="51"/>
      <c r="E116" s="51"/>
      <c r="F116" s="51"/>
      <c r="G116" s="51" t="str">
        <f>IFERROR(__xludf.DUMMYFUNCTION("""COMPUTED_VALUE"""),"#VALUE!")</f>
        <v>#VALUE!</v>
      </c>
      <c r="H116" s="51" t="str">
        <f>IFERROR(__xludf.DUMMYFUNCTION("""COMPUTED_VALUE"""),"")</f>
        <v/>
      </c>
      <c r="I116" s="51" t="str">
        <f>IFERROR(__xludf.DUMMYFUNCTION("""COMPUTED_VALUE"""),"#VALUE!")</f>
        <v>#VALUE!</v>
      </c>
      <c r="J116" s="51" t="str">
        <f>IFERROR(__xludf.DUMMYFUNCTION("""COMPUTED_VALUE"""),"")</f>
        <v/>
      </c>
      <c r="K116" s="51">
        <f t="shared" si="1"/>
        <v>0</v>
      </c>
      <c r="L116" s="51" t="s">
        <v>257</v>
      </c>
      <c r="M116" s="62"/>
      <c r="N116" s="51"/>
      <c r="O116" s="63"/>
      <c r="P116" s="63"/>
      <c r="Q116" s="63"/>
      <c r="R116" s="51"/>
      <c r="S116" s="51"/>
      <c r="T116" s="51"/>
    </row>
    <row r="117">
      <c r="A117" s="51"/>
      <c r="B117" s="51"/>
      <c r="C117" s="56"/>
      <c r="D117" s="51"/>
      <c r="E117" s="51"/>
      <c r="F117" s="51"/>
      <c r="G117" s="51" t="str">
        <f>IFERROR(__xludf.DUMMYFUNCTION("""COMPUTED_VALUE"""),"#VALUE!")</f>
        <v>#VALUE!</v>
      </c>
      <c r="H117" s="51" t="str">
        <f>IFERROR(__xludf.DUMMYFUNCTION("""COMPUTED_VALUE"""),"")</f>
        <v/>
      </c>
      <c r="I117" s="51" t="str">
        <f>IFERROR(__xludf.DUMMYFUNCTION("""COMPUTED_VALUE"""),"#VALUE!")</f>
        <v>#VALUE!</v>
      </c>
      <c r="J117" s="51" t="str">
        <f>IFERROR(__xludf.DUMMYFUNCTION("""COMPUTED_VALUE"""),"")</f>
        <v/>
      </c>
      <c r="K117" s="51">
        <f t="shared" si="1"/>
        <v>0</v>
      </c>
      <c r="L117" s="51" t="s">
        <v>257</v>
      </c>
      <c r="M117" s="62"/>
      <c r="N117" s="51"/>
      <c r="O117" s="63"/>
      <c r="P117" s="63"/>
      <c r="Q117" s="63"/>
      <c r="R117" s="51"/>
      <c r="S117" s="51"/>
      <c r="T117" s="51"/>
    </row>
    <row r="118">
      <c r="A118" s="51"/>
      <c r="B118" s="51"/>
      <c r="C118" s="56"/>
      <c r="D118" s="51"/>
      <c r="E118" s="51"/>
      <c r="F118" s="51"/>
      <c r="G118" s="51" t="str">
        <f>IFERROR(__xludf.DUMMYFUNCTION("""COMPUTED_VALUE"""),"#VALUE!")</f>
        <v>#VALUE!</v>
      </c>
      <c r="H118" s="51" t="str">
        <f>IFERROR(__xludf.DUMMYFUNCTION("""COMPUTED_VALUE"""),"")</f>
        <v/>
      </c>
      <c r="I118" s="51" t="str">
        <f>IFERROR(__xludf.DUMMYFUNCTION("""COMPUTED_VALUE"""),"#VALUE!")</f>
        <v>#VALUE!</v>
      </c>
      <c r="J118" s="51" t="str">
        <f>IFERROR(__xludf.DUMMYFUNCTION("""COMPUTED_VALUE"""),"")</f>
        <v/>
      </c>
      <c r="K118" s="51">
        <f t="shared" si="1"/>
        <v>0</v>
      </c>
      <c r="L118" s="51" t="s">
        <v>257</v>
      </c>
      <c r="M118" s="62"/>
      <c r="N118" s="51"/>
      <c r="O118" s="63"/>
      <c r="P118" s="63"/>
      <c r="Q118" s="63"/>
      <c r="R118" s="51"/>
      <c r="S118" s="51"/>
      <c r="T118" s="51"/>
    </row>
    <row r="119">
      <c r="A119" s="51"/>
      <c r="B119" s="51"/>
      <c r="C119" s="56"/>
      <c r="D119" s="51"/>
      <c r="E119" s="51"/>
      <c r="F119" s="51"/>
      <c r="G119" s="51" t="str">
        <f>IFERROR(__xludf.DUMMYFUNCTION("""COMPUTED_VALUE"""),"#VALUE!")</f>
        <v>#VALUE!</v>
      </c>
      <c r="H119" s="51" t="str">
        <f>IFERROR(__xludf.DUMMYFUNCTION("""COMPUTED_VALUE"""),"")</f>
        <v/>
      </c>
      <c r="I119" s="51" t="str">
        <f>IFERROR(__xludf.DUMMYFUNCTION("""COMPUTED_VALUE"""),"#VALUE!")</f>
        <v>#VALUE!</v>
      </c>
      <c r="J119" s="51" t="str">
        <f>IFERROR(__xludf.DUMMYFUNCTION("""COMPUTED_VALUE"""),"")</f>
        <v/>
      </c>
      <c r="K119" s="51">
        <f t="shared" si="1"/>
        <v>0</v>
      </c>
      <c r="L119" s="51" t="s">
        <v>257</v>
      </c>
      <c r="M119" s="62"/>
      <c r="N119" s="51"/>
      <c r="O119" s="63"/>
      <c r="P119" s="63"/>
      <c r="Q119" s="63"/>
      <c r="R119" s="51"/>
      <c r="S119" s="51"/>
      <c r="T119" s="51"/>
    </row>
    <row r="120">
      <c r="A120" s="51"/>
      <c r="B120" s="51"/>
      <c r="C120" s="56"/>
      <c r="D120" s="51"/>
      <c r="E120" s="51"/>
      <c r="F120" s="51"/>
      <c r="G120" s="51" t="str">
        <f>IFERROR(__xludf.DUMMYFUNCTION("""COMPUTED_VALUE"""),"#VALUE!")</f>
        <v>#VALUE!</v>
      </c>
      <c r="H120" s="51" t="str">
        <f>IFERROR(__xludf.DUMMYFUNCTION("""COMPUTED_VALUE"""),"")</f>
        <v/>
      </c>
      <c r="I120" s="51" t="str">
        <f>IFERROR(__xludf.DUMMYFUNCTION("""COMPUTED_VALUE"""),"#VALUE!")</f>
        <v>#VALUE!</v>
      </c>
      <c r="J120" s="51" t="str">
        <f>IFERROR(__xludf.DUMMYFUNCTION("""COMPUTED_VALUE"""),"")</f>
        <v/>
      </c>
      <c r="K120" s="51"/>
      <c r="L120" s="51" t="s">
        <v>257</v>
      </c>
      <c r="M120" s="62"/>
      <c r="N120" s="51"/>
      <c r="O120" s="63"/>
      <c r="P120" s="63"/>
      <c r="Q120" s="63"/>
      <c r="R120" s="51"/>
      <c r="S120" s="51"/>
      <c r="T120" s="51"/>
    </row>
    <row r="121">
      <c r="A121" s="51"/>
      <c r="B121" s="51"/>
      <c r="C121" s="56"/>
      <c r="D121" s="51"/>
      <c r="E121" s="51"/>
      <c r="F121" s="51"/>
      <c r="G121" s="51" t="str">
        <f>IFERROR(__xludf.DUMMYFUNCTION("""COMPUTED_VALUE"""),"#VALUE!")</f>
        <v>#VALUE!</v>
      </c>
      <c r="H121" s="51" t="str">
        <f>IFERROR(__xludf.DUMMYFUNCTION("""COMPUTED_VALUE"""),"")</f>
        <v/>
      </c>
      <c r="I121" s="51" t="str">
        <f>IFERROR(__xludf.DUMMYFUNCTION("""COMPUTED_VALUE"""),"#VALUE!")</f>
        <v>#VALUE!</v>
      </c>
      <c r="J121" s="51" t="str">
        <f>IFERROR(__xludf.DUMMYFUNCTION("""COMPUTED_VALUE"""),"")</f>
        <v/>
      </c>
      <c r="K121" s="51"/>
      <c r="L121" s="51" t="s">
        <v>257</v>
      </c>
      <c r="M121" s="62"/>
      <c r="N121" s="51"/>
      <c r="O121" s="63"/>
      <c r="P121" s="63"/>
      <c r="Q121" s="63"/>
      <c r="R121" s="51"/>
      <c r="S121" s="51"/>
      <c r="T121" s="51"/>
    </row>
    <row r="122">
      <c r="A122" s="51"/>
      <c r="B122" s="51"/>
      <c r="C122" s="56"/>
      <c r="D122" s="51"/>
      <c r="E122" s="51"/>
      <c r="F122" s="51"/>
      <c r="G122" s="51" t="str">
        <f>IFERROR(__xludf.DUMMYFUNCTION("""COMPUTED_VALUE"""),"#VALUE!")</f>
        <v>#VALUE!</v>
      </c>
      <c r="H122" s="51" t="str">
        <f>IFERROR(__xludf.DUMMYFUNCTION("""COMPUTED_VALUE"""),"")</f>
        <v/>
      </c>
      <c r="I122" s="51" t="str">
        <f>IFERROR(__xludf.DUMMYFUNCTION("""COMPUTED_VALUE"""),"#VALUE!")</f>
        <v>#VALUE!</v>
      </c>
      <c r="J122" s="51" t="str">
        <f>IFERROR(__xludf.DUMMYFUNCTION("""COMPUTED_VALUE"""),"")</f>
        <v/>
      </c>
      <c r="K122" s="51"/>
      <c r="L122" s="51" t="s">
        <v>257</v>
      </c>
      <c r="M122" s="62"/>
      <c r="N122" s="51"/>
      <c r="O122" s="63"/>
      <c r="P122" s="63"/>
      <c r="Q122" s="63"/>
      <c r="R122" s="51"/>
      <c r="S122" s="51"/>
      <c r="T122" s="51"/>
    </row>
    <row r="123">
      <c r="A123" s="51"/>
      <c r="B123" s="51"/>
      <c r="C123" s="56"/>
      <c r="D123" s="51"/>
      <c r="E123" s="51"/>
      <c r="F123" s="51"/>
      <c r="G123" s="51" t="str">
        <f>IFERROR(__xludf.DUMMYFUNCTION("""COMPUTED_VALUE"""),"#VALUE!")</f>
        <v>#VALUE!</v>
      </c>
      <c r="H123" s="51" t="str">
        <f>IFERROR(__xludf.DUMMYFUNCTION("""COMPUTED_VALUE"""),"")</f>
        <v/>
      </c>
      <c r="I123" s="51" t="str">
        <f>IFERROR(__xludf.DUMMYFUNCTION("""COMPUTED_VALUE"""),"#VALUE!")</f>
        <v>#VALUE!</v>
      </c>
      <c r="J123" s="51" t="str">
        <f>IFERROR(__xludf.DUMMYFUNCTION("""COMPUTED_VALUE"""),"")</f>
        <v/>
      </c>
      <c r="K123" s="51"/>
      <c r="L123" s="51" t="s">
        <v>257</v>
      </c>
      <c r="M123" s="62"/>
      <c r="N123" s="51"/>
      <c r="O123" s="63"/>
      <c r="P123" s="63"/>
      <c r="Q123" s="63"/>
      <c r="R123" s="51"/>
      <c r="S123" s="51"/>
      <c r="T123" s="51"/>
    </row>
    <row r="124">
      <c r="A124" s="51"/>
      <c r="B124" s="51"/>
      <c r="C124" s="56"/>
      <c r="D124" s="51"/>
      <c r="E124" s="51"/>
      <c r="F124" s="51"/>
      <c r="G124" s="51" t="str">
        <f>IFERROR(__xludf.DUMMYFUNCTION("""COMPUTED_VALUE"""),"#VALUE!")</f>
        <v>#VALUE!</v>
      </c>
      <c r="H124" s="51" t="str">
        <f>IFERROR(__xludf.DUMMYFUNCTION("""COMPUTED_VALUE"""),"")</f>
        <v/>
      </c>
      <c r="I124" s="51" t="str">
        <f>IFERROR(__xludf.DUMMYFUNCTION("""COMPUTED_VALUE"""),"#VALUE!")</f>
        <v>#VALUE!</v>
      </c>
      <c r="J124" s="51" t="str">
        <f>IFERROR(__xludf.DUMMYFUNCTION("""COMPUTED_VALUE"""),"")</f>
        <v/>
      </c>
      <c r="K124" s="51"/>
      <c r="L124" s="51" t="s">
        <v>257</v>
      </c>
      <c r="M124" s="62"/>
      <c r="N124" s="51"/>
      <c r="O124" s="63"/>
      <c r="P124" s="63"/>
      <c r="Q124" s="63"/>
      <c r="R124" s="51"/>
      <c r="S124" s="51"/>
      <c r="T124" s="51"/>
    </row>
    <row r="125">
      <c r="A125" s="51"/>
      <c r="B125" s="51"/>
      <c r="C125" s="56"/>
      <c r="D125" s="51"/>
      <c r="E125" s="51"/>
      <c r="F125" s="51"/>
      <c r="G125" s="51" t="str">
        <f>IFERROR(__xludf.DUMMYFUNCTION("""COMPUTED_VALUE"""),"#VALUE!")</f>
        <v>#VALUE!</v>
      </c>
      <c r="H125" s="51" t="str">
        <f>IFERROR(__xludf.DUMMYFUNCTION("""COMPUTED_VALUE"""),"")</f>
        <v/>
      </c>
      <c r="I125" s="51" t="str">
        <f>IFERROR(__xludf.DUMMYFUNCTION("""COMPUTED_VALUE"""),"#VALUE!")</f>
        <v>#VALUE!</v>
      </c>
      <c r="J125" s="51" t="str">
        <f>IFERROR(__xludf.DUMMYFUNCTION("""COMPUTED_VALUE"""),"")</f>
        <v/>
      </c>
      <c r="K125" s="51"/>
      <c r="L125" s="51" t="s">
        <v>257</v>
      </c>
      <c r="M125" s="62"/>
      <c r="N125" s="51"/>
      <c r="O125" s="63"/>
      <c r="P125" s="63"/>
      <c r="Q125" s="63"/>
      <c r="R125" s="51"/>
      <c r="S125" s="51"/>
      <c r="T125" s="51"/>
    </row>
    <row r="126">
      <c r="A126" s="51"/>
      <c r="B126" s="51"/>
      <c r="C126" s="56"/>
      <c r="D126" s="51"/>
      <c r="E126" s="51"/>
      <c r="F126" s="51"/>
      <c r="G126" s="51" t="str">
        <f>IFERROR(__xludf.DUMMYFUNCTION("""COMPUTED_VALUE"""),"#VALUE!")</f>
        <v>#VALUE!</v>
      </c>
      <c r="H126" s="51" t="str">
        <f>IFERROR(__xludf.DUMMYFUNCTION("""COMPUTED_VALUE"""),"")</f>
        <v/>
      </c>
      <c r="I126" s="51" t="str">
        <f>IFERROR(__xludf.DUMMYFUNCTION("""COMPUTED_VALUE"""),"#VALUE!")</f>
        <v>#VALUE!</v>
      </c>
      <c r="J126" s="51" t="str">
        <f>IFERROR(__xludf.DUMMYFUNCTION("""COMPUTED_VALUE"""),"")</f>
        <v/>
      </c>
      <c r="K126" s="51"/>
      <c r="L126" s="51" t="s">
        <v>257</v>
      </c>
      <c r="M126" s="62"/>
      <c r="N126" s="51"/>
      <c r="O126" s="63"/>
      <c r="P126" s="63"/>
      <c r="Q126" s="63"/>
      <c r="R126" s="51"/>
      <c r="S126" s="51"/>
      <c r="T126" s="51"/>
    </row>
    <row r="127">
      <c r="A127" s="51"/>
      <c r="B127" s="51"/>
      <c r="C127" s="56"/>
      <c r="D127" s="51"/>
      <c r="E127" s="51"/>
      <c r="F127" s="51"/>
      <c r="G127" s="51" t="str">
        <f>IFERROR(__xludf.DUMMYFUNCTION("""COMPUTED_VALUE"""),"#VALUE!")</f>
        <v>#VALUE!</v>
      </c>
      <c r="H127" s="51" t="str">
        <f>IFERROR(__xludf.DUMMYFUNCTION("""COMPUTED_VALUE"""),"")</f>
        <v/>
      </c>
      <c r="I127" s="51" t="str">
        <f>IFERROR(__xludf.DUMMYFUNCTION("""COMPUTED_VALUE"""),"#VALUE!")</f>
        <v>#VALUE!</v>
      </c>
      <c r="J127" s="51" t="str">
        <f>IFERROR(__xludf.DUMMYFUNCTION("""COMPUTED_VALUE"""),"")</f>
        <v/>
      </c>
      <c r="K127" s="51"/>
      <c r="L127" s="51" t="s">
        <v>257</v>
      </c>
      <c r="M127" s="62"/>
      <c r="N127" s="51"/>
      <c r="O127" s="63"/>
      <c r="P127" s="63"/>
      <c r="Q127" s="63"/>
      <c r="R127" s="51"/>
      <c r="S127" s="51"/>
      <c r="T127" s="51"/>
    </row>
    <row r="128">
      <c r="A128" s="51"/>
      <c r="B128" s="51"/>
      <c r="C128" s="56"/>
      <c r="D128" s="51"/>
      <c r="E128" s="51"/>
      <c r="F128" s="51"/>
      <c r="G128" s="51" t="str">
        <f>IFERROR(__xludf.DUMMYFUNCTION("""COMPUTED_VALUE"""),"#VALUE!")</f>
        <v>#VALUE!</v>
      </c>
      <c r="H128" s="51" t="str">
        <f>IFERROR(__xludf.DUMMYFUNCTION("""COMPUTED_VALUE"""),"")</f>
        <v/>
      </c>
      <c r="I128" s="51" t="str">
        <f>IFERROR(__xludf.DUMMYFUNCTION("""COMPUTED_VALUE"""),"#VALUE!")</f>
        <v>#VALUE!</v>
      </c>
      <c r="J128" s="51" t="str">
        <f>IFERROR(__xludf.DUMMYFUNCTION("""COMPUTED_VALUE"""),"")</f>
        <v/>
      </c>
      <c r="K128" s="51"/>
      <c r="L128" s="51" t="s">
        <v>257</v>
      </c>
      <c r="M128" s="62"/>
      <c r="N128" s="51"/>
      <c r="O128" s="63"/>
      <c r="P128" s="63"/>
      <c r="Q128" s="63"/>
      <c r="R128" s="51"/>
      <c r="S128" s="51"/>
      <c r="T128" s="51"/>
    </row>
    <row r="129">
      <c r="A129" s="51"/>
      <c r="B129" s="51"/>
      <c r="C129" s="56"/>
      <c r="D129" s="51"/>
      <c r="E129" s="51"/>
      <c r="F129" s="51"/>
      <c r="G129" s="51" t="str">
        <f>IFERROR(__xludf.DUMMYFUNCTION("""COMPUTED_VALUE"""),"#VALUE!")</f>
        <v>#VALUE!</v>
      </c>
      <c r="H129" s="51" t="str">
        <f>IFERROR(__xludf.DUMMYFUNCTION("""COMPUTED_VALUE"""),"")</f>
        <v/>
      </c>
      <c r="I129" s="51" t="str">
        <f>IFERROR(__xludf.DUMMYFUNCTION("""COMPUTED_VALUE"""),"#VALUE!")</f>
        <v>#VALUE!</v>
      </c>
      <c r="J129" s="51" t="str">
        <f>IFERROR(__xludf.DUMMYFUNCTION("""COMPUTED_VALUE"""),"")</f>
        <v/>
      </c>
      <c r="K129" s="51"/>
      <c r="L129" s="51" t="s">
        <v>257</v>
      </c>
      <c r="M129" s="62"/>
      <c r="N129" s="51"/>
      <c r="O129" s="63"/>
      <c r="P129" s="63"/>
      <c r="Q129" s="63"/>
      <c r="R129" s="51"/>
      <c r="S129" s="51"/>
      <c r="T129" s="51"/>
    </row>
    <row r="130">
      <c r="A130" s="51"/>
      <c r="B130" s="51"/>
      <c r="C130" s="56"/>
      <c r="D130" s="51"/>
      <c r="E130" s="51"/>
      <c r="F130" s="51"/>
      <c r="G130" s="51" t="str">
        <f>IFERROR(__xludf.DUMMYFUNCTION("""COMPUTED_VALUE"""),"#VALUE!")</f>
        <v>#VALUE!</v>
      </c>
      <c r="H130" s="51" t="str">
        <f>IFERROR(__xludf.DUMMYFUNCTION("""COMPUTED_VALUE"""),"")</f>
        <v/>
      </c>
      <c r="I130" s="51" t="str">
        <f>IFERROR(__xludf.DUMMYFUNCTION("""COMPUTED_VALUE"""),"#VALUE!")</f>
        <v>#VALUE!</v>
      </c>
      <c r="J130" s="51" t="str">
        <f>IFERROR(__xludf.DUMMYFUNCTION("""COMPUTED_VALUE"""),"")</f>
        <v/>
      </c>
      <c r="K130" s="51"/>
      <c r="L130" s="51" t="s">
        <v>257</v>
      </c>
      <c r="M130" s="62"/>
      <c r="N130" s="51"/>
      <c r="O130" s="63"/>
      <c r="P130" s="63"/>
      <c r="Q130" s="63"/>
      <c r="R130" s="51"/>
      <c r="S130" s="51"/>
      <c r="T130" s="51"/>
    </row>
    <row r="131">
      <c r="A131" s="51"/>
      <c r="B131" s="51"/>
      <c r="C131" s="56"/>
      <c r="D131" s="51"/>
      <c r="E131" s="51"/>
      <c r="F131" s="51"/>
      <c r="G131" s="51" t="str">
        <f>IFERROR(__xludf.DUMMYFUNCTION("""COMPUTED_VALUE"""),"#VALUE!")</f>
        <v>#VALUE!</v>
      </c>
      <c r="H131" s="51" t="str">
        <f>IFERROR(__xludf.DUMMYFUNCTION("""COMPUTED_VALUE"""),"")</f>
        <v/>
      </c>
      <c r="I131" s="51" t="str">
        <f>IFERROR(__xludf.DUMMYFUNCTION("""COMPUTED_VALUE"""),"#VALUE!")</f>
        <v>#VALUE!</v>
      </c>
      <c r="J131" s="51" t="str">
        <f>IFERROR(__xludf.DUMMYFUNCTION("""COMPUTED_VALUE"""),"")</f>
        <v/>
      </c>
      <c r="K131" s="51"/>
      <c r="L131" s="51" t="s">
        <v>257</v>
      </c>
      <c r="M131" s="62"/>
      <c r="N131" s="51"/>
      <c r="O131" s="63"/>
      <c r="P131" s="63"/>
      <c r="Q131" s="63"/>
      <c r="R131" s="51"/>
      <c r="S131" s="51"/>
      <c r="T131" s="51"/>
    </row>
    <row r="132">
      <c r="A132" s="51"/>
      <c r="B132" s="51"/>
      <c r="C132" s="56"/>
      <c r="D132" s="51"/>
      <c r="E132" s="51"/>
      <c r="F132" s="51"/>
      <c r="G132" s="51" t="str">
        <f>IFERROR(__xludf.DUMMYFUNCTION("""COMPUTED_VALUE"""),"#VALUE!")</f>
        <v>#VALUE!</v>
      </c>
      <c r="H132" s="51" t="str">
        <f>IFERROR(__xludf.DUMMYFUNCTION("""COMPUTED_VALUE"""),"")</f>
        <v/>
      </c>
      <c r="I132" s="51" t="str">
        <f>IFERROR(__xludf.DUMMYFUNCTION("""COMPUTED_VALUE"""),"#VALUE!")</f>
        <v>#VALUE!</v>
      </c>
      <c r="J132" s="51" t="str">
        <f>IFERROR(__xludf.DUMMYFUNCTION("""COMPUTED_VALUE"""),"")</f>
        <v/>
      </c>
      <c r="K132" s="51"/>
      <c r="L132" s="51" t="s">
        <v>257</v>
      </c>
      <c r="M132" s="62"/>
      <c r="N132" s="51"/>
      <c r="O132" s="63"/>
      <c r="P132" s="63"/>
      <c r="Q132" s="63"/>
      <c r="R132" s="51"/>
      <c r="S132" s="51"/>
      <c r="T132" s="51"/>
    </row>
    <row r="133">
      <c r="A133" s="51"/>
      <c r="B133" s="51"/>
      <c r="C133" s="56"/>
      <c r="D133" s="51"/>
      <c r="E133" s="51"/>
      <c r="F133" s="51"/>
      <c r="G133" s="51" t="str">
        <f>IFERROR(__xludf.DUMMYFUNCTION("""COMPUTED_VALUE"""),"#VALUE!")</f>
        <v>#VALUE!</v>
      </c>
      <c r="H133" s="51" t="str">
        <f>IFERROR(__xludf.DUMMYFUNCTION("""COMPUTED_VALUE"""),"")</f>
        <v/>
      </c>
      <c r="I133" s="51" t="str">
        <f>IFERROR(__xludf.DUMMYFUNCTION("""COMPUTED_VALUE"""),"#VALUE!")</f>
        <v>#VALUE!</v>
      </c>
      <c r="J133" s="51" t="str">
        <f>IFERROR(__xludf.DUMMYFUNCTION("""COMPUTED_VALUE"""),"")</f>
        <v/>
      </c>
      <c r="K133" s="51"/>
      <c r="L133" s="51" t="s">
        <v>257</v>
      </c>
      <c r="M133" s="62"/>
      <c r="N133" s="51"/>
      <c r="O133" s="63"/>
      <c r="P133" s="63"/>
      <c r="Q133" s="63"/>
      <c r="R133" s="51"/>
      <c r="S133" s="51"/>
      <c r="T133" s="51"/>
    </row>
    <row r="134">
      <c r="A134" s="51"/>
      <c r="B134" s="51"/>
      <c r="C134" s="56"/>
      <c r="D134" s="51"/>
      <c r="E134" s="51"/>
      <c r="F134" s="51"/>
      <c r="G134" s="51" t="str">
        <f>IFERROR(__xludf.DUMMYFUNCTION("""COMPUTED_VALUE"""),"#VALUE!")</f>
        <v>#VALUE!</v>
      </c>
      <c r="H134" s="51" t="str">
        <f>IFERROR(__xludf.DUMMYFUNCTION("""COMPUTED_VALUE"""),"")</f>
        <v/>
      </c>
      <c r="I134" s="51" t="str">
        <f>IFERROR(__xludf.DUMMYFUNCTION("""COMPUTED_VALUE"""),"#VALUE!")</f>
        <v>#VALUE!</v>
      </c>
      <c r="J134" s="51" t="str">
        <f>IFERROR(__xludf.DUMMYFUNCTION("""COMPUTED_VALUE"""),"")</f>
        <v/>
      </c>
      <c r="K134" s="51"/>
      <c r="L134" s="51" t="s">
        <v>257</v>
      </c>
      <c r="M134" s="62"/>
      <c r="N134" s="51"/>
      <c r="O134" s="63"/>
      <c r="P134" s="63"/>
      <c r="Q134" s="63"/>
      <c r="R134" s="51"/>
      <c r="S134" s="51"/>
      <c r="T134" s="51"/>
    </row>
    <row r="135">
      <c r="A135" s="51"/>
      <c r="B135" s="51"/>
      <c r="C135" s="56"/>
      <c r="D135" s="51"/>
      <c r="E135" s="51"/>
      <c r="F135" s="51"/>
      <c r="G135" s="51" t="str">
        <f>IFERROR(__xludf.DUMMYFUNCTION("""COMPUTED_VALUE"""),"#VALUE!")</f>
        <v>#VALUE!</v>
      </c>
      <c r="H135" s="51" t="str">
        <f>IFERROR(__xludf.DUMMYFUNCTION("""COMPUTED_VALUE"""),"")</f>
        <v/>
      </c>
      <c r="I135" s="51" t="str">
        <f>IFERROR(__xludf.DUMMYFUNCTION("""COMPUTED_VALUE"""),"#VALUE!")</f>
        <v>#VALUE!</v>
      </c>
      <c r="J135" s="51" t="str">
        <f>IFERROR(__xludf.DUMMYFUNCTION("""COMPUTED_VALUE"""),"")</f>
        <v/>
      </c>
      <c r="K135" s="51"/>
      <c r="L135" s="51" t="s">
        <v>257</v>
      </c>
      <c r="M135" s="62"/>
      <c r="N135" s="51"/>
      <c r="O135" s="63"/>
      <c r="P135" s="63"/>
      <c r="Q135" s="63"/>
      <c r="R135" s="51"/>
      <c r="S135" s="51"/>
      <c r="T135" s="51"/>
    </row>
    <row r="136">
      <c r="A136" s="51"/>
      <c r="B136" s="51"/>
      <c r="C136" s="56"/>
      <c r="D136" s="51"/>
      <c r="E136" s="51"/>
      <c r="F136" s="51"/>
      <c r="G136" s="51" t="str">
        <f>IFERROR(__xludf.DUMMYFUNCTION("""COMPUTED_VALUE"""),"#VALUE!")</f>
        <v>#VALUE!</v>
      </c>
      <c r="H136" s="51" t="str">
        <f>IFERROR(__xludf.DUMMYFUNCTION("""COMPUTED_VALUE"""),"")</f>
        <v/>
      </c>
      <c r="I136" s="51" t="str">
        <f>IFERROR(__xludf.DUMMYFUNCTION("""COMPUTED_VALUE"""),"#VALUE!")</f>
        <v>#VALUE!</v>
      </c>
      <c r="J136" s="51" t="str">
        <f>IFERROR(__xludf.DUMMYFUNCTION("""COMPUTED_VALUE"""),"")</f>
        <v/>
      </c>
      <c r="K136" s="51"/>
      <c r="L136" s="51" t="s">
        <v>257</v>
      </c>
      <c r="M136" s="62"/>
      <c r="N136" s="51"/>
      <c r="O136" s="63"/>
      <c r="P136" s="63"/>
      <c r="Q136" s="63"/>
      <c r="R136" s="51"/>
      <c r="S136" s="51"/>
      <c r="T136" s="51"/>
    </row>
    <row r="137">
      <c r="A137" s="51"/>
      <c r="B137" s="51"/>
      <c r="C137" s="56"/>
      <c r="D137" s="51"/>
      <c r="E137" s="51"/>
      <c r="F137" s="51"/>
      <c r="G137" s="51" t="str">
        <f>IFERROR(__xludf.DUMMYFUNCTION("""COMPUTED_VALUE"""),"#VALUE!")</f>
        <v>#VALUE!</v>
      </c>
      <c r="H137" s="51" t="str">
        <f>IFERROR(__xludf.DUMMYFUNCTION("""COMPUTED_VALUE"""),"")</f>
        <v/>
      </c>
      <c r="I137" s="51" t="str">
        <f>IFERROR(__xludf.DUMMYFUNCTION("""COMPUTED_VALUE"""),"#VALUE!")</f>
        <v>#VALUE!</v>
      </c>
      <c r="J137" s="51" t="str">
        <f>IFERROR(__xludf.DUMMYFUNCTION("""COMPUTED_VALUE"""),"")</f>
        <v/>
      </c>
      <c r="K137" s="51"/>
      <c r="L137" s="51" t="s">
        <v>257</v>
      </c>
      <c r="M137" s="62"/>
      <c r="N137" s="51"/>
      <c r="O137" s="63"/>
      <c r="P137" s="63"/>
      <c r="Q137" s="63"/>
      <c r="R137" s="51"/>
      <c r="S137" s="51"/>
      <c r="T137" s="51"/>
    </row>
    <row r="138">
      <c r="A138" s="51"/>
      <c r="B138" s="51"/>
      <c r="C138" s="56"/>
      <c r="D138" s="51"/>
      <c r="E138" s="51"/>
      <c r="F138" s="51"/>
      <c r="G138" s="51" t="str">
        <f>IFERROR(__xludf.DUMMYFUNCTION("""COMPUTED_VALUE"""),"#VALUE!")</f>
        <v>#VALUE!</v>
      </c>
      <c r="H138" s="51" t="str">
        <f>IFERROR(__xludf.DUMMYFUNCTION("""COMPUTED_VALUE"""),"")</f>
        <v/>
      </c>
      <c r="I138" s="51" t="str">
        <f>IFERROR(__xludf.DUMMYFUNCTION("""COMPUTED_VALUE"""),"#VALUE!")</f>
        <v>#VALUE!</v>
      </c>
      <c r="J138" s="51" t="str">
        <f>IFERROR(__xludf.DUMMYFUNCTION("""COMPUTED_VALUE"""),"")</f>
        <v/>
      </c>
      <c r="K138" s="51"/>
      <c r="L138" s="51" t="s">
        <v>257</v>
      </c>
      <c r="M138" s="62"/>
      <c r="N138" s="51"/>
      <c r="O138" s="63"/>
      <c r="P138" s="63"/>
      <c r="Q138" s="63"/>
      <c r="R138" s="51"/>
      <c r="S138" s="51"/>
      <c r="T138" s="51"/>
    </row>
    <row r="139">
      <c r="A139" s="51"/>
      <c r="B139" s="51"/>
      <c r="C139" s="56"/>
      <c r="D139" s="51"/>
      <c r="E139" s="51"/>
      <c r="F139" s="51"/>
      <c r="G139" s="51" t="str">
        <f>IFERROR(__xludf.DUMMYFUNCTION("""COMPUTED_VALUE"""),"#VALUE!")</f>
        <v>#VALUE!</v>
      </c>
      <c r="H139" s="51" t="str">
        <f>IFERROR(__xludf.DUMMYFUNCTION("""COMPUTED_VALUE"""),"")</f>
        <v/>
      </c>
      <c r="I139" s="51" t="str">
        <f>IFERROR(__xludf.DUMMYFUNCTION("""COMPUTED_VALUE"""),"#VALUE!")</f>
        <v>#VALUE!</v>
      </c>
      <c r="J139" s="51" t="str">
        <f>IFERROR(__xludf.DUMMYFUNCTION("""COMPUTED_VALUE"""),"")</f>
        <v/>
      </c>
      <c r="K139" s="51"/>
      <c r="L139" s="51" t="s">
        <v>257</v>
      </c>
      <c r="M139" s="62"/>
      <c r="N139" s="51"/>
      <c r="O139" s="63"/>
      <c r="P139" s="63"/>
      <c r="Q139" s="63"/>
      <c r="R139" s="51"/>
      <c r="S139" s="51"/>
      <c r="T139" s="51"/>
    </row>
    <row r="140">
      <c r="A140" s="51"/>
      <c r="B140" s="51"/>
      <c r="C140" s="56"/>
      <c r="D140" s="51"/>
      <c r="E140" s="51"/>
      <c r="F140" s="51"/>
      <c r="G140" s="51" t="str">
        <f>IFERROR(__xludf.DUMMYFUNCTION("""COMPUTED_VALUE"""),"#VALUE!")</f>
        <v>#VALUE!</v>
      </c>
      <c r="H140" s="51" t="str">
        <f>IFERROR(__xludf.DUMMYFUNCTION("""COMPUTED_VALUE"""),"")</f>
        <v/>
      </c>
      <c r="I140" s="51" t="str">
        <f>IFERROR(__xludf.DUMMYFUNCTION("""COMPUTED_VALUE"""),"#VALUE!")</f>
        <v>#VALUE!</v>
      </c>
      <c r="J140" s="51" t="str">
        <f>IFERROR(__xludf.DUMMYFUNCTION("""COMPUTED_VALUE"""),"")</f>
        <v/>
      </c>
      <c r="K140" s="51"/>
      <c r="L140" s="51" t="s">
        <v>257</v>
      </c>
      <c r="M140" s="62"/>
      <c r="N140" s="51"/>
      <c r="O140" s="63"/>
      <c r="P140" s="63"/>
      <c r="Q140" s="63"/>
      <c r="R140" s="51"/>
      <c r="S140" s="51"/>
      <c r="T140" s="51"/>
    </row>
    <row r="141">
      <c r="A141" s="51"/>
      <c r="B141" s="51"/>
      <c r="C141" s="56"/>
      <c r="D141" s="51"/>
      <c r="E141" s="51"/>
      <c r="F141" s="51"/>
      <c r="G141" s="51" t="str">
        <f>IFERROR(__xludf.DUMMYFUNCTION("""COMPUTED_VALUE"""),"#VALUE!")</f>
        <v>#VALUE!</v>
      </c>
      <c r="H141" s="51" t="str">
        <f>IFERROR(__xludf.DUMMYFUNCTION("""COMPUTED_VALUE"""),"")</f>
        <v/>
      </c>
      <c r="I141" s="51" t="str">
        <f>IFERROR(__xludf.DUMMYFUNCTION("""COMPUTED_VALUE"""),"#VALUE!")</f>
        <v>#VALUE!</v>
      </c>
      <c r="J141" s="51" t="str">
        <f>IFERROR(__xludf.DUMMYFUNCTION("""COMPUTED_VALUE"""),"")</f>
        <v/>
      </c>
      <c r="K141" s="51"/>
      <c r="L141" s="51" t="s">
        <v>257</v>
      </c>
      <c r="M141" s="62"/>
      <c r="N141" s="51"/>
      <c r="O141" s="63"/>
      <c r="P141" s="63"/>
      <c r="Q141" s="63"/>
      <c r="R141" s="51"/>
      <c r="S141" s="51"/>
      <c r="T141" s="51"/>
    </row>
    <row r="142">
      <c r="A142" s="51"/>
      <c r="B142" s="51"/>
      <c r="C142" s="56"/>
      <c r="D142" s="51"/>
      <c r="E142" s="51"/>
      <c r="F142" s="51"/>
      <c r="G142" s="51" t="str">
        <f>IFERROR(__xludf.DUMMYFUNCTION("""COMPUTED_VALUE"""),"#VALUE!")</f>
        <v>#VALUE!</v>
      </c>
      <c r="H142" s="51" t="str">
        <f>IFERROR(__xludf.DUMMYFUNCTION("""COMPUTED_VALUE"""),"")</f>
        <v/>
      </c>
      <c r="I142" s="51" t="str">
        <f>IFERROR(__xludf.DUMMYFUNCTION("""COMPUTED_VALUE"""),"#VALUE!")</f>
        <v>#VALUE!</v>
      </c>
      <c r="J142" s="51" t="str">
        <f>IFERROR(__xludf.DUMMYFUNCTION("""COMPUTED_VALUE"""),"")</f>
        <v/>
      </c>
      <c r="K142" s="51"/>
      <c r="L142" s="51" t="s">
        <v>257</v>
      </c>
      <c r="M142" s="62"/>
      <c r="N142" s="51"/>
      <c r="O142" s="63"/>
      <c r="P142" s="63"/>
      <c r="Q142" s="63"/>
      <c r="R142" s="51"/>
      <c r="S142" s="51"/>
      <c r="T142" s="51"/>
    </row>
    <row r="143">
      <c r="A143" s="51"/>
      <c r="B143" s="51"/>
      <c r="C143" s="56"/>
      <c r="D143" s="51"/>
      <c r="E143" s="51"/>
      <c r="F143" s="51"/>
      <c r="G143" s="51" t="str">
        <f>IFERROR(__xludf.DUMMYFUNCTION("""COMPUTED_VALUE"""),"#VALUE!")</f>
        <v>#VALUE!</v>
      </c>
      <c r="H143" s="51" t="str">
        <f>IFERROR(__xludf.DUMMYFUNCTION("""COMPUTED_VALUE"""),"")</f>
        <v/>
      </c>
      <c r="I143" s="51" t="str">
        <f>IFERROR(__xludf.DUMMYFUNCTION("""COMPUTED_VALUE"""),"#VALUE!")</f>
        <v>#VALUE!</v>
      </c>
      <c r="J143" s="51" t="str">
        <f>IFERROR(__xludf.DUMMYFUNCTION("""COMPUTED_VALUE"""),"")</f>
        <v/>
      </c>
      <c r="K143" s="51"/>
      <c r="L143" s="51" t="s">
        <v>257</v>
      </c>
      <c r="M143" s="62"/>
      <c r="N143" s="51"/>
      <c r="O143" s="63"/>
      <c r="P143" s="63"/>
      <c r="Q143" s="63"/>
      <c r="R143" s="51"/>
      <c r="S143" s="51"/>
      <c r="T143" s="51"/>
    </row>
    <row r="144">
      <c r="A144" s="51"/>
      <c r="B144" s="51"/>
      <c r="C144" s="56"/>
      <c r="D144" s="51"/>
      <c r="E144" s="51"/>
      <c r="F144" s="51"/>
      <c r="G144" s="51" t="str">
        <f>IFERROR(__xludf.DUMMYFUNCTION("""COMPUTED_VALUE"""),"#VALUE!")</f>
        <v>#VALUE!</v>
      </c>
      <c r="H144" s="51" t="str">
        <f>IFERROR(__xludf.DUMMYFUNCTION("""COMPUTED_VALUE"""),"")</f>
        <v/>
      </c>
      <c r="I144" s="51" t="str">
        <f>IFERROR(__xludf.DUMMYFUNCTION("""COMPUTED_VALUE"""),"#VALUE!")</f>
        <v>#VALUE!</v>
      </c>
      <c r="J144" s="51" t="str">
        <f>IFERROR(__xludf.DUMMYFUNCTION("""COMPUTED_VALUE"""),"")</f>
        <v/>
      </c>
      <c r="K144" s="51"/>
      <c r="L144" s="51" t="s">
        <v>257</v>
      </c>
      <c r="M144" s="62"/>
      <c r="N144" s="51"/>
      <c r="O144" s="63"/>
      <c r="P144" s="63"/>
      <c r="Q144" s="63"/>
      <c r="R144" s="51"/>
      <c r="S144" s="51"/>
      <c r="T144" s="51"/>
    </row>
    <row r="145">
      <c r="A145" s="51"/>
      <c r="B145" s="51"/>
      <c r="C145" s="56"/>
      <c r="D145" s="51"/>
      <c r="E145" s="51"/>
      <c r="F145" s="51"/>
      <c r="G145" s="51" t="str">
        <f>IFERROR(__xludf.DUMMYFUNCTION("""COMPUTED_VALUE"""),"#VALUE!")</f>
        <v>#VALUE!</v>
      </c>
      <c r="H145" s="51" t="str">
        <f>IFERROR(__xludf.DUMMYFUNCTION("""COMPUTED_VALUE"""),"")</f>
        <v/>
      </c>
      <c r="I145" s="51" t="str">
        <f>IFERROR(__xludf.DUMMYFUNCTION("""COMPUTED_VALUE"""),"#VALUE!")</f>
        <v>#VALUE!</v>
      </c>
      <c r="J145" s="51" t="str">
        <f>IFERROR(__xludf.DUMMYFUNCTION("""COMPUTED_VALUE"""),"")</f>
        <v/>
      </c>
      <c r="K145" s="51"/>
      <c r="L145" s="51" t="s">
        <v>257</v>
      </c>
      <c r="M145" s="62"/>
      <c r="N145" s="51"/>
      <c r="O145" s="63"/>
      <c r="P145" s="63"/>
      <c r="Q145" s="63"/>
      <c r="R145" s="51"/>
      <c r="S145" s="51"/>
      <c r="T145" s="51"/>
    </row>
    <row r="146">
      <c r="A146" s="51"/>
      <c r="B146" s="51"/>
      <c r="C146" s="56"/>
      <c r="D146" s="51"/>
      <c r="E146" s="51"/>
      <c r="F146" s="51"/>
      <c r="G146" s="51" t="str">
        <f>IFERROR(__xludf.DUMMYFUNCTION("""COMPUTED_VALUE"""),"#VALUE!")</f>
        <v>#VALUE!</v>
      </c>
      <c r="H146" s="51" t="str">
        <f>IFERROR(__xludf.DUMMYFUNCTION("""COMPUTED_VALUE"""),"")</f>
        <v/>
      </c>
      <c r="I146" s="51" t="str">
        <f>IFERROR(__xludf.DUMMYFUNCTION("""COMPUTED_VALUE"""),"#VALUE!")</f>
        <v>#VALUE!</v>
      </c>
      <c r="J146" s="51" t="str">
        <f>IFERROR(__xludf.DUMMYFUNCTION("""COMPUTED_VALUE"""),"")</f>
        <v/>
      </c>
      <c r="K146" s="51"/>
      <c r="L146" s="51" t="s">
        <v>257</v>
      </c>
      <c r="M146" s="62"/>
      <c r="N146" s="51"/>
      <c r="O146" s="63"/>
      <c r="P146" s="63"/>
      <c r="Q146" s="63"/>
      <c r="R146" s="51"/>
      <c r="S146" s="51"/>
      <c r="T146" s="51"/>
    </row>
    <row r="147">
      <c r="A147" s="51"/>
      <c r="B147" s="51"/>
      <c r="C147" s="56"/>
      <c r="D147" s="51"/>
      <c r="E147" s="51"/>
      <c r="F147" s="51"/>
      <c r="G147" s="51" t="str">
        <f>IFERROR(__xludf.DUMMYFUNCTION("""COMPUTED_VALUE"""),"#VALUE!")</f>
        <v>#VALUE!</v>
      </c>
      <c r="H147" s="51" t="str">
        <f>IFERROR(__xludf.DUMMYFUNCTION("""COMPUTED_VALUE"""),"")</f>
        <v/>
      </c>
      <c r="I147" s="51" t="str">
        <f>IFERROR(__xludf.DUMMYFUNCTION("""COMPUTED_VALUE"""),"#VALUE!")</f>
        <v>#VALUE!</v>
      </c>
      <c r="J147" s="51" t="str">
        <f>IFERROR(__xludf.DUMMYFUNCTION("""COMPUTED_VALUE"""),"")</f>
        <v/>
      </c>
      <c r="K147" s="51"/>
      <c r="L147" s="51" t="s">
        <v>257</v>
      </c>
      <c r="M147" s="62"/>
      <c r="N147" s="51"/>
      <c r="O147" s="63"/>
      <c r="P147" s="63"/>
      <c r="Q147" s="63"/>
      <c r="R147" s="51"/>
      <c r="S147" s="51"/>
      <c r="T147" s="51"/>
    </row>
    <row r="148">
      <c r="A148" s="51"/>
      <c r="B148" s="51"/>
      <c r="C148" s="56"/>
      <c r="D148" s="51"/>
      <c r="E148" s="51"/>
      <c r="F148" s="51"/>
      <c r="G148" s="51" t="str">
        <f>IFERROR(__xludf.DUMMYFUNCTION("""COMPUTED_VALUE"""),"#VALUE!")</f>
        <v>#VALUE!</v>
      </c>
      <c r="H148" s="51" t="str">
        <f>IFERROR(__xludf.DUMMYFUNCTION("""COMPUTED_VALUE"""),"")</f>
        <v/>
      </c>
      <c r="I148" s="51" t="str">
        <f>IFERROR(__xludf.DUMMYFUNCTION("""COMPUTED_VALUE"""),"#VALUE!")</f>
        <v>#VALUE!</v>
      </c>
      <c r="J148" s="51" t="str">
        <f>IFERROR(__xludf.DUMMYFUNCTION("""COMPUTED_VALUE"""),"")</f>
        <v/>
      </c>
      <c r="K148" s="51"/>
      <c r="L148" s="51" t="s">
        <v>257</v>
      </c>
      <c r="M148" s="62"/>
      <c r="N148" s="51"/>
      <c r="O148" s="63"/>
      <c r="P148" s="63"/>
      <c r="Q148" s="63"/>
      <c r="R148" s="51"/>
      <c r="S148" s="51"/>
      <c r="T148" s="51"/>
    </row>
    <row r="149">
      <c r="A149" s="51"/>
      <c r="B149" s="51"/>
      <c r="C149" s="56"/>
      <c r="D149" s="51"/>
      <c r="E149" s="51"/>
      <c r="F149" s="51"/>
      <c r="G149" s="51" t="str">
        <f>IFERROR(__xludf.DUMMYFUNCTION("""COMPUTED_VALUE"""),"#VALUE!")</f>
        <v>#VALUE!</v>
      </c>
      <c r="H149" s="51" t="str">
        <f>IFERROR(__xludf.DUMMYFUNCTION("""COMPUTED_VALUE"""),"")</f>
        <v/>
      </c>
      <c r="I149" s="51" t="str">
        <f>IFERROR(__xludf.DUMMYFUNCTION("""COMPUTED_VALUE"""),"#VALUE!")</f>
        <v>#VALUE!</v>
      </c>
      <c r="J149" s="51" t="str">
        <f>IFERROR(__xludf.DUMMYFUNCTION("""COMPUTED_VALUE"""),"")</f>
        <v/>
      </c>
      <c r="K149" s="51"/>
      <c r="L149" s="51" t="s">
        <v>257</v>
      </c>
      <c r="M149" s="62"/>
      <c r="N149" s="51"/>
      <c r="O149" s="63"/>
      <c r="P149" s="63"/>
      <c r="Q149" s="63"/>
      <c r="R149" s="51"/>
      <c r="S149" s="51"/>
      <c r="T149" s="51"/>
    </row>
    <row r="150">
      <c r="A150" s="51"/>
      <c r="B150" s="51"/>
      <c r="C150" s="56"/>
      <c r="D150" s="51"/>
      <c r="E150" s="51"/>
      <c r="F150" s="51"/>
      <c r="G150" s="51" t="str">
        <f>IFERROR(__xludf.DUMMYFUNCTION("""COMPUTED_VALUE"""),"#VALUE!")</f>
        <v>#VALUE!</v>
      </c>
      <c r="H150" s="51" t="str">
        <f>IFERROR(__xludf.DUMMYFUNCTION("""COMPUTED_VALUE"""),"")</f>
        <v/>
      </c>
      <c r="I150" s="51" t="str">
        <f>IFERROR(__xludf.DUMMYFUNCTION("""COMPUTED_VALUE"""),"#VALUE!")</f>
        <v>#VALUE!</v>
      </c>
      <c r="J150" s="51" t="str">
        <f>IFERROR(__xludf.DUMMYFUNCTION("""COMPUTED_VALUE"""),"")</f>
        <v/>
      </c>
      <c r="K150" s="51"/>
      <c r="L150" s="51" t="s">
        <v>257</v>
      </c>
      <c r="M150" s="62"/>
      <c r="N150" s="51"/>
      <c r="O150" s="63"/>
      <c r="P150" s="63"/>
      <c r="Q150" s="63"/>
      <c r="R150" s="51"/>
      <c r="S150" s="51"/>
      <c r="T150" s="51"/>
    </row>
    <row r="151">
      <c r="A151" s="51"/>
      <c r="B151" s="51"/>
      <c r="C151" s="56"/>
      <c r="D151" s="51"/>
      <c r="E151" s="51"/>
      <c r="F151" s="51"/>
      <c r="G151" s="51" t="str">
        <f>IFERROR(__xludf.DUMMYFUNCTION("""COMPUTED_VALUE"""),"#VALUE!")</f>
        <v>#VALUE!</v>
      </c>
      <c r="H151" s="51" t="str">
        <f>IFERROR(__xludf.DUMMYFUNCTION("""COMPUTED_VALUE"""),"")</f>
        <v/>
      </c>
      <c r="I151" s="51" t="str">
        <f>IFERROR(__xludf.DUMMYFUNCTION("""COMPUTED_VALUE"""),"#VALUE!")</f>
        <v>#VALUE!</v>
      </c>
      <c r="J151" s="51" t="str">
        <f>IFERROR(__xludf.DUMMYFUNCTION("""COMPUTED_VALUE"""),"")</f>
        <v/>
      </c>
      <c r="K151" s="51"/>
      <c r="L151" s="51" t="s">
        <v>257</v>
      </c>
      <c r="M151" s="62"/>
      <c r="N151" s="51"/>
      <c r="O151" s="63"/>
      <c r="P151" s="63"/>
      <c r="Q151" s="63"/>
      <c r="R151" s="51"/>
      <c r="S151" s="51"/>
      <c r="T151" s="51"/>
    </row>
    <row r="152">
      <c r="A152" s="51"/>
      <c r="B152" s="51"/>
      <c r="C152" s="56"/>
      <c r="D152" s="51"/>
      <c r="E152" s="51"/>
      <c r="F152" s="51"/>
      <c r="G152" s="51" t="str">
        <f>IFERROR(__xludf.DUMMYFUNCTION("""COMPUTED_VALUE"""),"#VALUE!")</f>
        <v>#VALUE!</v>
      </c>
      <c r="H152" s="51" t="str">
        <f>IFERROR(__xludf.DUMMYFUNCTION("""COMPUTED_VALUE"""),"")</f>
        <v/>
      </c>
      <c r="I152" s="51" t="str">
        <f>IFERROR(__xludf.DUMMYFUNCTION("""COMPUTED_VALUE"""),"#VALUE!")</f>
        <v>#VALUE!</v>
      </c>
      <c r="J152" s="51" t="str">
        <f>IFERROR(__xludf.DUMMYFUNCTION("""COMPUTED_VALUE"""),"")</f>
        <v/>
      </c>
      <c r="K152" s="51"/>
      <c r="L152" s="51" t="s">
        <v>257</v>
      </c>
      <c r="M152" s="62"/>
      <c r="N152" s="51"/>
      <c r="O152" s="63"/>
      <c r="P152" s="63"/>
      <c r="Q152" s="63"/>
      <c r="R152" s="51"/>
      <c r="S152" s="51"/>
      <c r="T152" s="51"/>
    </row>
    <row r="153">
      <c r="A153" s="51"/>
      <c r="B153" s="51"/>
      <c r="C153" s="56"/>
      <c r="D153" s="51"/>
      <c r="E153" s="51"/>
      <c r="F153" s="51"/>
      <c r="G153" s="51" t="str">
        <f>IFERROR(__xludf.DUMMYFUNCTION("""COMPUTED_VALUE"""),"#VALUE!")</f>
        <v>#VALUE!</v>
      </c>
      <c r="H153" s="51" t="str">
        <f>IFERROR(__xludf.DUMMYFUNCTION("""COMPUTED_VALUE"""),"")</f>
        <v/>
      </c>
      <c r="I153" s="51" t="str">
        <f>IFERROR(__xludf.DUMMYFUNCTION("""COMPUTED_VALUE"""),"#VALUE!")</f>
        <v>#VALUE!</v>
      </c>
      <c r="J153" s="51" t="str">
        <f>IFERROR(__xludf.DUMMYFUNCTION("""COMPUTED_VALUE"""),"")</f>
        <v/>
      </c>
      <c r="K153" s="51"/>
      <c r="L153" s="51" t="s">
        <v>257</v>
      </c>
      <c r="M153" s="62"/>
      <c r="N153" s="51"/>
      <c r="O153" s="63"/>
      <c r="P153" s="63"/>
      <c r="Q153" s="63"/>
      <c r="R153" s="51"/>
      <c r="S153" s="51"/>
      <c r="T153" s="51"/>
    </row>
    <row r="154">
      <c r="A154" s="51"/>
      <c r="B154" s="51"/>
      <c r="C154" s="56"/>
      <c r="D154" s="51"/>
      <c r="E154" s="51"/>
      <c r="F154" s="51"/>
      <c r="G154" s="51" t="str">
        <f>IFERROR(__xludf.DUMMYFUNCTION("""COMPUTED_VALUE"""),"#VALUE!")</f>
        <v>#VALUE!</v>
      </c>
      <c r="H154" s="51" t="str">
        <f>IFERROR(__xludf.DUMMYFUNCTION("""COMPUTED_VALUE"""),"")</f>
        <v/>
      </c>
      <c r="I154" s="51" t="str">
        <f>IFERROR(__xludf.DUMMYFUNCTION("""COMPUTED_VALUE"""),"#VALUE!")</f>
        <v>#VALUE!</v>
      </c>
      <c r="J154" s="51" t="str">
        <f>IFERROR(__xludf.DUMMYFUNCTION("""COMPUTED_VALUE"""),"")</f>
        <v/>
      </c>
      <c r="K154" s="51"/>
      <c r="L154" s="51" t="s">
        <v>257</v>
      </c>
      <c r="M154" s="62"/>
      <c r="N154" s="51"/>
      <c r="O154" s="63"/>
      <c r="P154" s="63"/>
      <c r="Q154" s="63"/>
      <c r="R154" s="51"/>
      <c r="S154" s="51"/>
      <c r="T154" s="51"/>
    </row>
    <row r="155">
      <c r="A155" s="51"/>
      <c r="B155" s="51"/>
      <c r="C155" s="56"/>
      <c r="D155" s="51"/>
      <c r="E155" s="51"/>
      <c r="F155" s="51"/>
      <c r="G155" s="51" t="str">
        <f>IFERROR(__xludf.DUMMYFUNCTION("""COMPUTED_VALUE"""),"#VALUE!")</f>
        <v>#VALUE!</v>
      </c>
      <c r="H155" s="51" t="str">
        <f>IFERROR(__xludf.DUMMYFUNCTION("""COMPUTED_VALUE"""),"")</f>
        <v/>
      </c>
      <c r="I155" s="51" t="str">
        <f>IFERROR(__xludf.DUMMYFUNCTION("""COMPUTED_VALUE"""),"#VALUE!")</f>
        <v>#VALUE!</v>
      </c>
      <c r="J155" s="51" t="str">
        <f>IFERROR(__xludf.DUMMYFUNCTION("""COMPUTED_VALUE"""),"")</f>
        <v/>
      </c>
      <c r="K155" s="51"/>
      <c r="L155" s="51" t="s">
        <v>257</v>
      </c>
      <c r="M155" s="62"/>
      <c r="N155" s="51"/>
      <c r="O155" s="63"/>
      <c r="P155" s="63"/>
      <c r="Q155" s="63"/>
      <c r="R155" s="51"/>
      <c r="S155" s="51"/>
      <c r="T155" s="51"/>
    </row>
    <row r="156">
      <c r="A156" s="51"/>
      <c r="B156" s="51"/>
      <c r="C156" s="56"/>
      <c r="D156" s="51"/>
      <c r="E156" s="51"/>
      <c r="F156" s="51"/>
      <c r="G156" s="51" t="str">
        <f>IFERROR(__xludf.DUMMYFUNCTION("""COMPUTED_VALUE"""),"#VALUE!")</f>
        <v>#VALUE!</v>
      </c>
      <c r="H156" s="51" t="str">
        <f>IFERROR(__xludf.DUMMYFUNCTION("""COMPUTED_VALUE"""),"")</f>
        <v/>
      </c>
      <c r="I156" s="51" t="str">
        <f>IFERROR(__xludf.DUMMYFUNCTION("""COMPUTED_VALUE"""),"#VALUE!")</f>
        <v>#VALUE!</v>
      </c>
      <c r="J156" s="51" t="str">
        <f>IFERROR(__xludf.DUMMYFUNCTION("""COMPUTED_VALUE"""),"")</f>
        <v/>
      </c>
      <c r="K156" s="51"/>
      <c r="L156" s="51" t="s">
        <v>257</v>
      </c>
      <c r="M156" s="62"/>
      <c r="N156" s="51"/>
      <c r="O156" s="63"/>
      <c r="P156" s="63"/>
      <c r="Q156" s="63"/>
      <c r="R156" s="51"/>
      <c r="S156" s="51"/>
      <c r="T156" s="51"/>
    </row>
    <row r="157">
      <c r="A157" s="51"/>
      <c r="B157" s="51"/>
      <c r="C157" s="56"/>
      <c r="D157" s="51"/>
      <c r="E157" s="51"/>
      <c r="F157" s="51"/>
      <c r="G157" s="51" t="str">
        <f>IFERROR(__xludf.DUMMYFUNCTION("""COMPUTED_VALUE"""),"#VALUE!")</f>
        <v>#VALUE!</v>
      </c>
      <c r="H157" s="51" t="str">
        <f>IFERROR(__xludf.DUMMYFUNCTION("""COMPUTED_VALUE"""),"")</f>
        <v/>
      </c>
      <c r="I157" s="51" t="str">
        <f>IFERROR(__xludf.DUMMYFUNCTION("""COMPUTED_VALUE"""),"#VALUE!")</f>
        <v>#VALUE!</v>
      </c>
      <c r="J157" s="51" t="str">
        <f>IFERROR(__xludf.DUMMYFUNCTION("""COMPUTED_VALUE"""),"")</f>
        <v/>
      </c>
      <c r="K157" s="51"/>
      <c r="L157" s="51" t="s">
        <v>257</v>
      </c>
      <c r="M157" s="62"/>
      <c r="N157" s="51"/>
      <c r="O157" s="63"/>
      <c r="P157" s="63"/>
      <c r="Q157" s="63"/>
      <c r="R157" s="51"/>
      <c r="S157" s="51"/>
      <c r="T157" s="51"/>
    </row>
    <row r="158">
      <c r="A158" s="51"/>
      <c r="B158" s="51"/>
      <c r="C158" s="56"/>
      <c r="D158" s="51"/>
      <c r="E158" s="51"/>
      <c r="F158" s="51"/>
      <c r="G158" s="51" t="str">
        <f>IFERROR(__xludf.DUMMYFUNCTION("""COMPUTED_VALUE"""),"#VALUE!")</f>
        <v>#VALUE!</v>
      </c>
      <c r="H158" s="51" t="str">
        <f>IFERROR(__xludf.DUMMYFUNCTION("""COMPUTED_VALUE"""),"")</f>
        <v/>
      </c>
      <c r="I158" s="51" t="str">
        <f>IFERROR(__xludf.DUMMYFUNCTION("""COMPUTED_VALUE"""),"#VALUE!")</f>
        <v>#VALUE!</v>
      </c>
      <c r="J158" s="51" t="str">
        <f>IFERROR(__xludf.DUMMYFUNCTION("""COMPUTED_VALUE"""),"")</f>
        <v/>
      </c>
      <c r="K158" s="51"/>
      <c r="L158" s="51" t="s">
        <v>257</v>
      </c>
      <c r="M158" s="62"/>
      <c r="N158" s="51"/>
      <c r="O158" s="63"/>
      <c r="P158" s="63"/>
      <c r="Q158" s="63"/>
      <c r="R158" s="51"/>
      <c r="S158" s="51"/>
      <c r="T158" s="51"/>
    </row>
    <row r="159">
      <c r="A159" s="51"/>
      <c r="B159" s="51"/>
      <c r="C159" s="56"/>
      <c r="D159" s="51"/>
      <c r="E159" s="51"/>
      <c r="F159" s="51"/>
      <c r="G159" s="51" t="str">
        <f>IFERROR(__xludf.DUMMYFUNCTION("""COMPUTED_VALUE"""),"#VALUE!")</f>
        <v>#VALUE!</v>
      </c>
      <c r="H159" s="51" t="str">
        <f>IFERROR(__xludf.DUMMYFUNCTION("""COMPUTED_VALUE"""),"")</f>
        <v/>
      </c>
      <c r="I159" s="51" t="str">
        <f>IFERROR(__xludf.DUMMYFUNCTION("""COMPUTED_VALUE"""),"#VALUE!")</f>
        <v>#VALUE!</v>
      </c>
      <c r="J159" s="51" t="str">
        <f>IFERROR(__xludf.DUMMYFUNCTION("""COMPUTED_VALUE"""),"")</f>
        <v/>
      </c>
      <c r="K159" s="51"/>
      <c r="L159" s="51" t="s">
        <v>257</v>
      </c>
      <c r="M159" s="62"/>
      <c r="N159" s="51"/>
      <c r="O159" s="63"/>
      <c r="P159" s="63"/>
      <c r="Q159" s="63"/>
      <c r="R159" s="51"/>
      <c r="S159" s="51"/>
      <c r="T159" s="51"/>
    </row>
    <row r="160">
      <c r="A160" s="51"/>
      <c r="B160" s="51"/>
      <c r="C160" s="56"/>
      <c r="D160" s="51"/>
      <c r="E160" s="51"/>
      <c r="F160" s="51"/>
      <c r="G160" s="51" t="str">
        <f>IFERROR(__xludf.DUMMYFUNCTION("""COMPUTED_VALUE"""),"#VALUE!")</f>
        <v>#VALUE!</v>
      </c>
      <c r="H160" s="51" t="str">
        <f>IFERROR(__xludf.DUMMYFUNCTION("""COMPUTED_VALUE"""),"")</f>
        <v/>
      </c>
      <c r="I160" s="51" t="str">
        <f>IFERROR(__xludf.DUMMYFUNCTION("""COMPUTED_VALUE"""),"#VALUE!")</f>
        <v>#VALUE!</v>
      </c>
      <c r="J160" s="51" t="str">
        <f>IFERROR(__xludf.DUMMYFUNCTION("""COMPUTED_VALUE"""),"")</f>
        <v/>
      </c>
      <c r="K160" s="51"/>
      <c r="L160" s="51" t="s">
        <v>257</v>
      </c>
      <c r="M160" s="62"/>
      <c r="N160" s="51"/>
      <c r="O160" s="63"/>
      <c r="P160" s="63"/>
      <c r="Q160" s="63"/>
      <c r="R160" s="51"/>
      <c r="S160" s="51"/>
      <c r="T160" s="51"/>
    </row>
    <row r="161">
      <c r="A161" s="51"/>
      <c r="B161" s="51"/>
      <c r="C161" s="56"/>
      <c r="D161" s="51"/>
      <c r="E161" s="51"/>
      <c r="F161" s="51"/>
      <c r="G161" s="51" t="str">
        <f>IFERROR(__xludf.DUMMYFUNCTION("""COMPUTED_VALUE"""),"#VALUE!")</f>
        <v>#VALUE!</v>
      </c>
      <c r="H161" s="51" t="str">
        <f>IFERROR(__xludf.DUMMYFUNCTION("""COMPUTED_VALUE"""),"")</f>
        <v/>
      </c>
      <c r="I161" s="51" t="str">
        <f>IFERROR(__xludf.DUMMYFUNCTION("""COMPUTED_VALUE"""),"#VALUE!")</f>
        <v>#VALUE!</v>
      </c>
      <c r="J161" s="51" t="str">
        <f>IFERROR(__xludf.DUMMYFUNCTION("""COMPUTED_VALUE"""),"")</f>
        <v/>
      </c>
      <c r="K161" s="51"/>
      <c r="L161" s="51" t="s">
        <v>257</v>
      </c>
      <c r="M161" s="62"/>
      <c r="N161" s="51"/>
      <c r="O161" s="63"/>
      <c r="P161" s="63"/>
      <c r="Q161" s="63"/>
      <c r="R161" s="51"/>
      <c r="S161" s="51"/>
      <c r="T161" s="51"/>
    </row>
    <row r="162">
      <c r="A162" s="51"/>
      <c r="B162" s="51"/>
      <c r="C162" s="56"/>
      <c r="D162" s="51"/>
      <c r="E162" s="51"/>
      <c r="F162" s="51"/>
      <c r="G162" s="51" t="str">
        <f>IFERROR(__xludf.DUMMYFUNCTION("""COMPUTED_VALUE"""),"#VALUE!")</f>
        <v>#VALUE!</v>
      </c>
      <c r="H162" s="51" t="str">
        <f>IFERROR(__xludf.DUMMYFUNCTION("""COMPUTED_VALUE"""),"")</f>
        <v/>
      </c>
      <c r="I162" s="51" t="str">
        <f>IFERROR(__xludf.DUMMYFUNCTION("""COMPUTED_VALUE"""),"#VALUE!")</f>
        <v>#VALUE!</v>
      </c>
      <c r="J162" s="51" t="str">
        <f>IFERROR(__xludf.DUMMYFUNCTION("""COMPUTED_VALUE"""),"")</f>
        <v/>
      </c>
      <c r="K162" s="51"/>
      <c r="L162" s="51" t="s">
        <v>257</v>
      </c>
      <c r="M162" s="62"/>
      <c r="N162" s="51"/>
      <c r="O162" s="63"/>
      <c r="P162" s="63"/>
      <c r="Q162" s="63"/>
      <c r="R162" s="51"/>
      <c r="S162" s="51"/>
      <c r="T162" s="51"/>
    </row>
    <row r="163">
      <c r="A163" s="51"/>
      <c r="B163" s="51"/>
      <c r="C163" s="56"/>
      <c r="D163" s="51"/>
      <c r="E163" s="51"/>
      <c r="F163" s="51"/>
      <c r="G163" s="51" t="str">
        <f>IFERROR(__xludf.DUMMYFUNCTION("""COMPUTED_VALUE"""),"#VALUE!")</f>
        <v>#VALUE!</v>
      </c>
      <c r="H163" s="51" t="str">
        <f>IFERROR(__xludf.DUMMYFUNCTION("""COMPUTED_VALUE"""),"")</f>
        <v/>
      </c>
      <c r="I163" s="51" t="str">
        <f>IFERROR(__xludf.DUMMYFUNCTION("""COMPUTED_VALUE"""),"#VALUE!")</f>
        <v>#VALUE!</v>
      </c>
      <c r="J163" s="51" t="str">
        <f>IFERROR(__xludf.DUMMYFUNCTION("""COMPUTED_VALUE"""),"")</f>
        <v/>
      </c>
      <c r="K163" s="51"/>
      <c r="L163" s="51" t="s">
        <v>257</v>
      </c>
      <c r="M163" s="62"/>
      <c r="N163" s="51"/>
      <c r="O163" s="63"/>
      <c r="P163" s="63"/>
      <c r="Q163" s="63"/>
      <c r="R163" s="51"/>
      <c r="S163" s="51"/>
      <c r="T163" s="51"/>
    </row>
    <row r="164">
      <c r="A164" s="51"/>
      <c r="B164" s="51"/>
      <c r="C164" s="56"/>
      <c r="D164" s="51"/>
      <c r="E164" s="51"/>
      <c r="F164" s="51"/>
      <c r="G164" s="51" t="str">
        <f>IFERROR(__xludf.DUMMYFUNCTION("""COMPUTED_VALUE"""),"#VALUE!")</f>
        <v>#VALUE!</v>
      </c>
      <c r="H164" s="51" t="str">
        <f>IFERROR(__xludf.DUMMYFUNCTION("""COMPUTED_VALUE"""),"")</f>
        <v/>
      </c>
      <c r="I164" s="51" t="str">
        <f>IFERROR(__xludf.DUMMYFUNCTION("""COMPUTED_VALUE"""),"#VALUE!")</f>
        <v>#VALUE!</v>
      </c>
      <c r="J164" s="51" t="str">
        <f>IFERROR(__xludf.DUMMYFUNCTION("""COMPUTED_VALUE"""),"")</f>
        <v/>
      </c>
      <c r="K164" s="51"/>
      <c r="L164" s="51" t="s">
        <v>257</v>
      </c>
      <c r="M164" s="62"/>
      <c r="N164" s="51"/>
      <c r="O164" s="63"/>
      <c r="P164" s="63"/>
      <c r="Q164" s="63"/>
      <c r="R164" s="51"/>
      <c r="S164" s="51"/>
      <c r="T164" s="51"/>
    </row>
    <row r="165">
      <c r="A165" s="51"/>
      <c r="B165" s="51"/>
      <c r="C165" s="56"/>
      <c r="D165" s="51"/>
      <c r="E165" s="51"/>
      <c r="F165" s="51"/>
      <c r="G165" s="51" t="str">
        <f>IFERROR(__xludf.DUMMYFUNCTION("""COMPUTED_VALUE"""),"#VALUE!")</f>
        <v>#VALUE!</v>
      </c>
      <c r="H165" s="51" t="str">
        <f>IFERROR(__xludf.DUMMYFUNCTION("""COMPUTED_VALUE"""),"")</f>
        <v/>
      </c>
      <c r="I165" s="51" t="str">
        <f>IFERROR(__xludf.DUMMYFUNCTION("""COMPUTED_VALUE"""),"#VALUE!")</f>
        <v>#VALUE!</v>
      </c>
      <c r="J165" s="51" t="str">
        <f>IFERROR(__xludf.DUMMYFUNCTION("""COMPUTED_VALUE"""),"")</f>
        <v/>
      </c>
      <c r="K165" s="51"/>
      <c r="L165" s="51" t="s">
        <v>257</v>
      </c>
      <c r="M165" s="62"/>
      <c r="N165" s="51"/>
      <c r="O165" s="63"/>
      <c r="P165" s="63"/>
      <c r="Q165" s="63"/>
      <c r="R165" s="51"/>
      <c r="S165" s="51"/>
      <c r="T165" s="51"/>
    </row>
    <row r="166">
      <c r="A166" s="51"/>
      <c r="B166" s="51"/>
      <c r="C166" s="56"/>
      <c r="D166" s="51"/>
      <c r="E166" s="51"/>
      <c r="F166" s="51"/>
      <c r="G166" s="51" t="str">
        <f>IFERROR(__xludf.DUMMYFUNCTION("""COMPUTED_VALUE"""),"#VALUE!")</f>
        <v>#VALUE!</v>
      </c>
      <c r="H166" s="51" t="str">
        <f>IFERROR(__xludf.DUMMYFUNCTION("""COMPUTED_VALUE"""),"")</f>
        <v/>
      </c>
      <c r="I166" s="51" t="str">
        <f>IFERROR(__xludf.DUMMYFUNCTION("""COMPUTED_VALUE"""),"#VALUE!")</f>
        <v>#VALUE!</v>
      </c>
      <c r="J166" s="51" t="str">
        <f>IFERROR(__xludf.DUMMYFUNCTION("""COMPUTED_VALUE"""),"")</f>
        <v/>
      </c>
      <c r="K166" s="51"/>
      <c r="L166" s="51" t="s">
        <v>257</v>
      </c>
      <c r="M166" s="62"/>
      <c r="N166" s="51"/>
      <c r="O166" s="63"/>
      <c r="P166" s="63"/>
      <c r="Q166" s="63"/>
      <c r="R166" s="51"/>
      <c r="S166" s="51"/>
      <c r="T166" s="51"/>
    </row>
    <row r="167">
      <c r="A167" s="51"/>
      <c r="B167" s="51"/>
      <c r="C167" s="56"/>
      <c r="D167" s="51"/>
      <c r="E167" s="51"/>
      <c r="F167" s="51"/>
      <c r="G167" s="51" t="str">
        <f>IFERROR(__xludf.DUMMYFUNCTION("""COMPUTED_VALUE"""),"#VALUE!")</f>
        <v>#VALUE!</v>
      </c>
      <c r="H167" s="51" t="str">
        <f>IFERROR(__xludf.DUMMYFUNCTION("""COMPUTED_VALUE"""),"")</f>
        <v/>
      </c>
      <c r="I167" s="51" t="str">
        <f>IFERROR(__xludf.DUMMYFUNCTION("""COMPUTED_VALUE"""),"#VALUE!")</f>
        <v>#VALUE!</v>
      </c>
      <c r="J167" s="51" t="str">
        <f>IFERROR(__xludf.DUMMYFUNCTION("""COMPUTED_VALUE"""),"")</f>
        <v/>
      </c>
      <c r="K167" s="51"/>
      <c r="L167" s="51" t="s">
        <v>257</v>
      </c>
      <c r="M167" s="62"/>
      <c r="N167" s="51"/>
      <c r="O167" s="63"/>
      <c r="P167" s="63"/>
      <c r="Q167" s="63"/>
      <c r="R167" s="51"/>
      <c r="S167" s="51"/>
      <c r="T167" s="51"/>
    </row>
    <row r="168">
      <c r="A168" s="51"/>
      <c r="B168" s="51"/>
      <c r="C168" s="56"/>
      <c r="D168" s="51"/>
      <c r="E168" s="51"/>
      <c r="F168" s="51"/>
      <c r="G168" s="51" t="str">
        <f>IFERROR(__xludf.DUMMYFUNCTION("""COMPUTED_VALUE"""),"#VALUE!")</f>
        <v>#VALUE!</v>
      </c>
      <c r="H168" s="51" t="str">
        <f>IFERROR(__xludf.DUMMYFUNCTION("""COMPUTED_VALUE"""),"")</f>
        <v/>
      </c>
      <c r="I168" s="51" t="str">
        <f>IFERROR(__xludf.DUMMYFUNCTION("""COMPUTED_VALUE"""),"#VALUE!")</f>
        <v>#VALUE!</v>
      </c>
      <c r="J168" s="51" t="str">
        <f>IFERROR(__xludf.DUMMYFUNCTION("""COMPUTED_VALUE"""),"")</f>
        <v/>
      </c>
      <c r="K168" s="51"/>
      <c r="L168" s="51" t="s">
        <v>257</v>
      </c>
      <c r="M168" s="62"/>
      <c r="N168" s="51"/>
      <c r="O168" s="63"/>
      <c r="P168" s="63"/>
      <c r="Q168" s="63"/>
      <c r="R168" s="51"/>
      <c r="S168" s="51"/>
      <c r="T168" s="51"/>
    </row>
    <row r="169">
      <c r="A169" s="51"/>
      <c r="B169" s="51"/>
      <c r="C169" s="56"/>
      <c r="D169" s="51"/>
      <c r="E169" s="51"/>
      <c r="F169" s="51"/>
      <c r="G169" s="51" t="str">
        <f>IFERROR(__xludf.DUMMYFUNCTION("""COMPUTED_VALUE"""),"#VALUE!")</f>
        <v>#VALUE!</v>
      </c>
      <c r="H169" s="51" t="str">
        <f>IFERROR(__xludf.DUMMYFUNCTION("""COMPUTED_VALUE"""),"")</f>
        <v/>
      </c>
      <c r="I169" s="51" t="str">
        <f>IFERROR(__xludf.DUMMYFUNCTION("""COMPUTED_VALUE"""),"#VALUE!")</f>
        <v>#VALUE!</v>
      </c>
      <c r="J169" s="51" t="str">
        <f>IFERROR(__xludf.DUMMYFUNCTION("""COMPUTED_VALUE"""),"")</f>
        <v/>
      </c>
      <c r="K169" s="51"/>
      <c r="L169" s="51" t="s">
        <v>257</v>
      </c>
      <c r="M169" s="62"/>
      <c r="N169" s="51"/>
      <c r="O169" s="63"/>
      <c r="P169" s="63"/>
      <c r="Q169" s="63"/>
      <c r="R169" s="51"/>
      <c r="S169" s="51"/>
      <c r="T169" s="51"/>
    </row>
    <row r="170">
      <c r="A170" s="51"/>
      <c r="B170" s="51"/>
      <c r="C170" s="56"/>
      <c r="D170" s="51"/>
      <c r="E170" s="51"/>
      <c r="F170" s="51"/>
      <c r="G170" s="51" t="str">
        <f>IFERROR(__xludf.DUMMYFUNCTION("""COMPUTED_VALUE"""),"#VALUE!")</f>
        <v>#VALUE!</v>
      </c>
      <c r="H170" s="51" t="str">
        <f>IFERROR(__xludf.DUMMYFUNCTION("""COMPUTED_VALUE"""),"")</f>
        <v/>
      </c>
      <c r="I170" s="51" t="str">
        <f>IFERROR(__xludf.DUMMYFUNCTION("""COMPUTED_VALUE"""),"#VALUE!")</f>
        <v>#VALUE!</v>
      </c>
      <c r="J170" s="51" t="str">
        <f>IFERROR(__xludf.DUMMYFUNCTION("""COMPUTED_VALUE"""),"")</f>
        <v/>
      </c>
      <c r="K170" s="51"/>
      <c r="L170" s="51" t="s">
        <v>257</v>
      </c>
      <c r="M170" s="62"/>
      <c r="N170" s="51"/>
      <c r="O170" s="63"/>
      <c r="P170" s="63"/>
      <c r="Q170" s="63"/>
      <c r="R170" s="51"/>
      <c r="S170" s="51"/>
      <c r="T170" s="51"/>
    </row>
    <row r="171">
      <c r="A171" s="51"/>
      <c r="B171" s="51"/>
      <c r="C171" s="56"/>
      <c r="D171" s="51"/>
      <c r="E171" s="51"/>
      <c r="F171" s="51"/>
      <c r="G171" s="51" t="str">
        <f>IFERROR(__xludf.DUMMYFUNCTION("""COMPUTED_VALUE"""),"#VALUE!")</f>
        <v>#VALUE!</v>
      </c>
      <c r="H171" s="51" t="str">
        <f>IFERROR(__xludf.DUMMYFUNCTION("""COMPUTED_VALUE"""),"")</f>
        <v/>
      </c>
      <c r="I171" s="51" t="str">
        <f>IFERROR(__xludf.DUMMYFUNCTION("""COMPUTED_VALUE"""),"#VALUE!")</f>
        <v>#VALUE!</v>
      </c>
      <c r="J171" s="51" t="str">
        <f>IFERROR(__xludf.DUMMYFUNCTION("""COMPUTED_VALUE"""),"")</f>
        <v/>
      </c>
      <c r="K171" s="51"/>
      <c r="L171" s="51" t="s">
        <v>257</v>
      </c>
      <c r="M171" s="62"/>
      <c r="N171" s="51"/>
      <c r="O171" s="63"/>
      <c r="P171" s="63"/>
      <c r="Q171" s="63"/>
      <c r="R171" s="51"/>
      <c r="S171" s="51"/>
      <c r="T171" s="51"/>
    </row>
    <row r="172">
      <c r="A172" s="51"/>
      <c r="B172" s="51"/>
      <c r="C172" s="56"/>
      <c r="D172" s="51"/>
      <c r="E172" s="51"/>
      <c r="F172" s="51"/>
      <c r="G172" s="51" t="str">
        <f>IFERROR(__xludf.DUMMYFUNCTION("""COMPUTED_VALUE"""),"#VALUE!")</f>
        <v>#VALUE!</v>
      </c>
      <c r="H172" s="51" t="str">
        <f>IFERROR(__xludf.DUMMYFUNCTION("""COMPUTED_VALUE"""),"")</f>
        <v/>
      </c>
      <c r="I172" s="51" t="str">
        <f>IFERROR(__xludf.DUMMYFUNCTION("""COMPUTED_VALUE"""),"#VALUE!")</f>
        <v>#VALUE!</v>
      </c>
      <c r="J172" s="51" t="str">
        <f>IFERROR(__xludf.DUMMYFUNCTION("""COMPUTED_VALUE"""),"")</f>
        <v/>
      </c>
      <c r="K172" s="51"/>
      <c r="L172" s="51" t="s">
        <v>257</v>
      </c>
      <c r="M172" s="62"/>
      <c r="N172" s="51"/>
      <c r="O172" s="63"/>
      <c r="P172" s="63"/>
      <c r="Q172" s="63"/>
      <c r="R172" s="51"/>
      <c r="S172" s="51"/>
      <c r="T172" s="51"/>
    </row>
    <row r="173">
      <c r="A173" s="51"/>
      <c r="B173" s="51"/>
      <c r="C173" s="56"/>
      <c r="D173" s="51"/>
      <c r="E173" s="51"/>
      <c r="F173" s="51"/>
      <c r="G173" s="51" t="str">
        <f>IFERROR(__xludf.DUMMYFUNCTION("""COMPUTED_VALUE"""),"#VALUE!")</f>
        <v>#VALUE!</v>
      </c>
      <c r="H173" s="51" t="str">
        <f>IFERROR(__xludf.DUMMYFUNCTION("""COMPUTED_VALUE"""),"")</f>
        <v/>
      </c>
      <c r="I173" s="51" t="str">
        <f>IFERROR(__xludf.DUMMYFUNCTION("""COMPUTED_VALUE"""),"#VALUE!")</f>
        <v>#VALUE!</v>
      </c>
      <c r="J173" s="51" t="str">
        <f>IFERROR(__xludf.DUMMYFUNCTION("""COMPUTED_VALUE"""),"")</f>
        <v/>
      </c>
      <c r="K173" s="51"/>
      <c r="L173" s="51" t="s">
        <v>257</v>
      </c>
      <c r="M173" s="62"/>
      <c r="N173" s="51"/>
      <c r="O173" s="63"/>
      <c r="P173" s="63"/>
      <c r="Q173" s="63"/>
      <c r="R173" s="51"/>
      <c r="S173" s="51"/>
      <c r="T173" s="51"/>
    </row>
    <row r="174">
      <c r="A174" s="51"/>
      <c r="B174" s="51"/>
      <c r="C174" s="56"/>
      <c r="D174" s="51"/>
      <c r="E174" s="51"/>
      <c r="F174" s="51"/>
      <c r="G174" s="51" t="str">
        <f>IFERROR(__xludf.DUMMYFUNCTION("""COMPUTED_VALUE"""),"#VALUE!")</f>
        <v>#VALUE!</v>
      </c>
      <c r="H174" s="51" t="str">
        <f>IFERROR(__xludf.DUMMYFUNCTION("""COMPUTED_VALUE"""),"")</f>
        <v/>
      </c>
      <c r="I174" s="51" t="str">
        <f>IFERROR(__xludf.DUMMYFUNCTION("""COMPUTED_VALUE"""),"#VALUE!")</f>
        <v>#VALUE!</v>
      </c>
      <c r="J174" s="51" t="str">
        <f>IFERROR(__xludf.DUMMYFUNCTION("""COMPUTED_VALUE"""),"")</f>
        <v/>
      </c>
      <c r="K174" s="51"/>
      <c r="L174" s="51" t="s">
        <v>257</v>
      </c>
      <c r="M174" s="62"/>
      <c r="N174" s="51"/>
      <c r="O174" s="63"/>
      <c r="P174" s="63"/>
      <c r="Q174" s="63"/>
      <c r="R174" s="51"/>
      <c r="S174" s="51"/>
      <c r="T174" s="51"/>
    </row>
    <row r="175">
      <c r="A175" s="51"/>
      <c r="B175" s="51"/>
      <c r="C175" s="56"/>
      <c r="D175" s="51"/>
      <c r="E175" s="51"/>
      <c r="F175" s="51"/>
      <c r="G175" s="51" t="str">
        <f>IFERROR(__xludf.DUMMYFUNCTION("""COMPUTED_VALUE"""),"#VALUE!")</f>
        <v>#VALUE!</v>
      </c>
      <c r="H175" s="51" t="str">
        <f>IFERROR(__xludf.DUMMYFUNCTION("""COMPUTED_VALUE"""),"")</f>
        <v/>
      </c>
      <c r="I175" s="51" t="str">
        <f>IFERROR(__xludf.DUMMYFUNCTION("""COMPUTED_VALUE"""),"#VALUE!")</f>
        <v>#VALUE!</v>
      </c>
      <c r="J175" s="51" t="str">
        <f>IFERROR(__xludf.DUMMYFUNCTION("""COMPUTED_VALUE"""),"")</f>
        <v/>
      </c>
      <c r="K175" s="51"/>
      <c r="L175" s="51" t="s">
        <v>257</v>
      </c>
      <c r="M175" s="62"/>
      <c r="N175" s="51"/>
      <c r="O175" s="63"/>
      <c r="P175" s="63"/>
      <c r="Q175" s="63"/>
      <c r="R175" s="51"/>
      <c r="S175" s="51"/>
      <c r="T175" s="51"/>
    </row>
    <row r="176">
      <c r="A176" s="51"/>
      <c r="B176" s="51"/>
      <c r="C176" s="56"/>
      <c r="D176" s="51"/>
      <c r="E176" s="51"/>
      <c r="F176" s="51"/>
      <c r="G176" s="51" t="str">
        <f>IFERROR(__xludf.DUMMYFUNCTION("""COMPUTED_VALUE"""),"#VALUE!")</f>
        <v>#VALUE!</v>
      </c>
      <c r="H176" s="51" t="str">
        <f>IFERROR(__xludf.DUMMYFUNCTION("""COMPUTED_VALUE"""),"")</f>
        <v/>
      </c>
      <c r="I176" s="51" t="str">
        <f>IFERROR(__xludf.DUMMYFUNCTION("""COMPUTED_VALUE"""),"#VALUE!")</f>
        <v>#VALUE!</v>
      </c>
      <c r="J176" s="51" t="str">
        <f>IFERROR(__xludf.DUMMYFUNCTION("""COMPUTED_VALUE"""),"")</f>
        <v/>
      </c>
      <c r="K176" s="51"/>
      <c r="L176" s="51" t="s">
        <v>257</v>
      </c>
      <c r="M176" s="62"/>
      <c r="N176" s="51"/>
      <c r="O176" s="63"/>
      <c r="P176" s="63"/>
      <c r="Q176" s="63"/>
      <c r="R176" s="51"/>
      <c r="S176" s="51"/>
      <c r="T176" s="51"/>
    </row>
    <row r="177">
      <c r="A177" s="51"/>
      <c r="B177" s="51"/>
      <c r="C177" s="56"/>
      <c r="D177" s="51"/>
      <c r="E177" s="51"/>
      <c r="F177" s="51"/>
      <c r="G177" s="51" t="str">
        <f>IFERROR(__xludf.DUMMYFUNCTION("""COMPUTED_VALUE"""),"#VALUE!")</f>
        <v>#VALUE!</v>
      </c>
      <c r="H177" s="51" t="str">
        <f>IFERROR(__xludf.DUMMYFUNCTION("""COMPUTED_VALUE"""),"")</f>
        <v/>
      </c>
      <c r="I177" s="51" t="str">
        <f>IFERROR(__xludf.DUMMYFUNCTION("""COMPUTED_VALUE"""),"#VALUE!")</f>
        <v>#VALUE!</v>
      </c>
      <c r="J177" s="51" t="str">
        <f>IFERROR(__xludf.DUMMYFUNCTION("""COMPUTED_VALUE"""),"")</f>
        <v/>
      </c>
      <c r="K177" s="51"/>
      <c r="L177" s="51" t="s">
        <v>257</v>
      </c>
      <c r="M177" s="62"/>
      <c r="N177" s="51"/>
      <c r="O177" s="63"/>
      <c r="P177" s="63"/>
      <c r="Q177" s="63"/>
      <c r="R177" s="51"/>
      <c r="S177" s="51"/>
      <c r="T177" s="51"/>
    </row>
    <row r="178">
      <c r="A178" s="51"/>
      <c r="B178" s="51"/>
      <c r="C178" s="56"/>
      <c r="D178" s="51"/>
      <c r="E178" s="51"/>
      <c r="F178" s="51"/>
      <c r="G178" s="51" t="str">
        <f>IFERROR(__xludf.DUMMYFUNCTION("""COMPUTED_VALUE"""),"#VALUE!")</f>
        <v>#VALUE!</v>
      </c>
      <c r="H178" s="51" t="str">
        <f>IFERROR(__xludf.DUMMYFUNCTION("""COMPUTED_VALUE"""),"")</f>
        <v/>
      </c>
      <c r="I178" s="51" t="str">
        <f>IFERROR(__xludf.DUMMYFUNCTION("""COMPUTED_VALUE"""),"#VALUE!")</f>
        <v>#VALUE!</v>
      </c>
      <c r="J178" s="51" t="str">
        <f>IFERROR(__xludf.DUMMYFUNCTION("""COMPUTED_VALUE"""),"")</f>
        <v/>
      </c>
      <c r="K178" s="51"/>
      <c r="L178" s="51" t="s">
        <v>257</v>
      </c>
      <c r="M178" s="62"/>
      <c r="N178" s="51"/>
      <c r="O178" s="63"/>
      <c r="P178" s="63"/>
      <c r="Q178" s="63"/>
      <c r="R178" s="51"/>
      <c r="S178" s="51"/>
      <c r="T178" s="51"/>
    </row>
    <row r="179">
      <c r="A179" s="51"/>
      <c r="B179" s="51"/>
      <c r="C179" s="56"/>
      <c r="D179" s="51"/>
      <c r="E179" s="51"/>
      <c r="F179" s="51"/>
      <c r="G179" s="51" t="str">
        <f>IFERROR(__xludf.DUMMYFUNCTION("""COMPUTED_VALUE"""),"#VALUE!")</f>
        <v>#VALUE!</v>
      </c>
      <c r="H179" s="51" t="str">
        <f>IFERROR(__xludf.DUMMYFUNCTION("""COMPUTED_VALUE"""),"")</f>
        <v/>
      </c>
      <c r="I179" s="51" t="str">
        <f>IFERROR(__xludf.DUMMYFUNCTION("""COMPUTED_VALUE"""),"#VALUE!")</f>
        <v>#VALUE!</v>
      </c>
      <c r="J179" s="51" t="str">
        <f>IFERROR(__xludf.DUMMYFUNCTION("""COMPUTED_VALUE"""),"")</f>
        <v/>
      </c>
      <c r="K179" s="51"/>
      <c r="L179" s="51" t="s">
        <v>257</v>
      </c>
      <c r="M179" s="62"/>
      <c r="N179" s="51"/>
      <c r="O179" s="63"/>
      <c r="P179" s="63"/>
      <c r="Q179" s="63"/>
      <c r="R179" s="51"/>
      <c r="S179" s="51"/>
      <c r="T179" s="51"/>
    </row>
    <row r="180">
      <c r="A180" s="51"/>
      <c r="B180" s="51"/>
      <c r="C180" s="56"/>
      <c r="D180" s="51"/>
      <c r="E180" s="51"/>
      <c r="F180" s="51"/>
      <c r="G180" s="51" t="str">
        <f>IFERROR(__xludf.DUMMYFUNCTION("""COMPUTED_VALUE"""),"#VALUE!")</f>
        <v>#VALUE!</v>
      </c>
      <c r="H180" s="51" t="str">
        <f>IFERROR(__xludf.DUMMYFUNCTION("""COMPUTED_VALUE"""),"")</f>
        <v/>
      </c>
      <c r="I180" s="51" t="str">
        <f>IFERROR(__xludf.DUMMYFUNCTION("""COMPUTED_VALUE"""),"#VALUE!")</f>
        <v>#VALUE!</v>
      </c>
      <c r="J180" s="51" t="str">
        <f>IFERROR(__xludf.DUMMYFUNCTION("""COMPUTED_VALUE"""),"")</f>
        <v/>
      </c>
      <c r="K180" s="51"/>
      <c r="L180" s="51" t="s">
        <v>257</v>
      </c>
      <c r="M180" s="62"/>
      <c r="N180" s="51"/>
      <c r="O180" s="63"/>
      <c r="P180" s="63"/>
      <c r="Q180" s="63"/>
      <c r="R180" s="51"/>
      <c r="S180" s="51"/>
      <c r="T180" s="51"/>
    </row>
    <row r="181">
      <c r="A181" s="51"/>
      <c r="B181" s="51"/>
      <c r="C181" s="56"/>
      <c r="D181" s="51"/>
      <c r="E181" s="51"/>
      <c r="F181" s="51"/>
      <c r="G181" s="51" t="str">
        <f>IFERROR(__xludf.DUMMYFUNCTION("""COMPUTED_VALUE"""),"#VALUE!")</f>
        <v>#VALUE!</v>
      </c>
      <c r="H181" s="51" t="str">
        <f>IFERROR(__xludf.DUMMYFUNCTION("""COMPUTED_VALUE"""),"")</f>
        <v/>
      </c>
      <c r="I181" s="51" t="str">
        <f>IFERROR(__xludf.DUMMYFUNCTION("""COMPUTED_VALUE"""),"#VALUE!")</f>
        <v>#VALUE!</v>
      </c>
      <c r="J181" s="51" t="str">
        <f>IFERROR(__xludf.DUMMYFUNCTION("""COMPUTED_VALUE"""),"")</f>
        <v/>
      </c>
      <c r="K181" s="51"/>
      <c r="L181" s="51" t="s">
        <v>257</v>
      </c>
      <c r="M181" s="62"/>
      <c r="N181" s="51"/>
      <c r="O181" s="63"/>
      <c r="P181" s="63"/>
      <c r="Q181" s="63"/>
      <c r="R181" s="51"/>
      <c r="S181" s="51"/>
      <c r="T181" s="51"/>
    </row>
    <row r="182">
      <c r="A182" s="51"/>
      <c r="B182" s="51"/>
      <c r="C182" s="56"/>
      <c r="D182" s="51"/>
      <c r="E182" s="51"/>
      <c r="F182" s="51"/>
      <c r="G182" s="51" t="str">
        <f>IFERROR(__xludf.DUMMYFUNCTION("""COMPUTED_VALUE"""),"#VALUE!")</f>
        <v>#VALUE!</v>
      </c>
      <c r="H182" s="51" t="str">
        <f>IFERROR(__xludf.DUMMYFUNCTION("""COMPUTED_VALUE"""),"")</f>
        <v/>
      </c>
      <c r="I182" s="51" t="str">
        <f>IFERROR(__xludf.DUMMYFUNCTION("""COMPUTED_VALUE"""),"#VALUE!")</f>
        <v>#VALUE!</v>
      </c>
      <c r="J182" s="51" t="str">
        <f>IFERROR(__xludf.DUMMYFUNCTION("""COMPUTED_VALUE"""),"")</f>
        <v/>
      </c>
      <c r="K182" s="51"/>
      <c r="L182" s="51" t="s">
        <v>257</v>
      </c>
      <c r="M182" s="62"/>
      <c r="N182" s="51"/>
      <c r="O182" s="63"/>
      <c r="P182" s="63"/>
      <c r="Q182" s="63"/>
      <c r="R182" s="51"/>
      <c r="S182" s="51"/>
      <c r="T182" s="51"/>
    </row>
    <row r="183">
      <c r="A183" s="51"/>
      <c r="B183" s="51"/>
      <c r="C183" s="56"/>
      <c r="D183" s="51"/>
      <c r="E183" s="51"/>
      <c r="F183" s="51"/>
      <c r="G183" s="51" t="str">
        <f>IFERROR(__xludf.DUMMYFUNCTION("""COMPUTED_VALUE"""),"#VALUE!")</f>
        <v>#VALUE!</v>
      </c>
      <c r="H183" s="51" t="str">
        <f>IFERROR(__xludf.DUMMYFUNCTION("""COMPUTED_VALUE"""),"")</f>
        <v/>
      </c>
      <c r="I183" s="51" t="str">
        <f>IFERROR(__xludf.DUMMYFUNCTION("""COMPUTED_VALUE"""),"#VALUE!")</f>
        <v>#VALUE!</v>
      </c>
      <c r="J183" s="51" t="str">
        <f>IFERROR(__xludf.DUMMYFUNCTION("""COMPUTED_VALUE"""),"")</f>
        <v/>
      </c>
      <c r="K183" s="51"/>
      <c r="L183" s="51" t="s">
        <v>257</v>
      </c>
      <c r="M183" s="62"/>
      <c r="N183" s="51"/>
      <c r="O183" s="63"/>
      <c r="P183" s="63"/>
      <c r="Q183" s="63"/>
      <c r="R183" s="51"/>
      <c r="S183" s="51"/>
      <c r="T183" s="51"/>
    </row>
    <row r="184">
      <c r="A184" s="51"/>
      <c r="B184" s="51"/>
      <c r="C184" s="56"/>
      <c r="D184" s="51"/>
      <c r="E184" s="51"/>
      <c r="F184" s="51"/>
      <c r="G184" s="51" t="str">
        <f>IFERROR(__xludf.DUMMYFUNCTION("""COMPUTED_VALUE"""),"#VALUE!")</f>
        <v>#VALUE!</v>
      </c>
      <c r="H184" s="51" t="str">
        <f>IFERROR(__xludf.DUMMYFUNCTION("""COMPUTED_VALUE"""),"")</f>
        <v/>
      </c>
      <c r="I184" s="51" t="str">
        <f>IFERROR(__xludf.DUMMYFUNCTION("""COMPUTED_VALUE"""),"#VALUE!")</f>
        <v>#VALUE!</v>
      </c>
      <c r="J184" s="51" t="str">
        <f>IFERROR(__xludf.DUMMYFUNCTION("""COMPUTED_VALUE"""),"")</f>
        <v/>
      </c>
      <c r="K184" s="51"/>
      <c r="L184" s="51" t="s">
        <v>257</v>
      </c>
      <c r="M184" s="62"/>
      <c r="N184" s="51"/>
      <c r="O184" s="63"/>
      <c r="P184" s="63"/>
      <c r="Q184" s="63"/>
      <c r="R184" s="51"/>
      <c r="S184" s="51"/>
      <c r="T184" s="51"/>
    </row>
    <row r="185">
      <c r="A185" s="51"/>
      <c r="B185" s="51"/>
      <c r="C185" s="56"/>
      <c r="D185" s="51"/>
      <c r="E185" s="51"/>
      <c r="F185" s="51"/>
      <c r="G185" s="51" t="str">
        <f>IFERROR(__xludf.DUMMYFUNCTION("""COMPUTED_VALUE"""),"#VALUE!")</f>
        <v>#VALUE!</v>
      </c>
      <c r="H185" s="51" t="str">
        <f>IFERROR(__xludf.DUMMYFUNCTION("""COMPUTED_VALUE"""),"")</f>
        <v/>
      </c>
      <c r="I185" s="51" t="str">
        <f>IFERROR(__xludf.DUMMYFUNCTION("""COMPUTED_VALUE"""),"#VALUE!")</f>
        <v>#VALUE!</v>
      </c>
      <c r="J185" s="51" t="str">
        <f>IFERROR(__xludf.DUMMYFUNCTION("""COMPUTED_VALUE"""),"")</f>
        <v/>
      </c>
      <c r="K185" s="51"/>
      <c r="L185" s="51" t="s">
        <v>257</v>
      </c>
      <c r="M185" s="62"/>
      <c r="N185" s="51"/>
      <c r="O185" s="63"/>
      <c r="P185" s="63"/>
      <c r="Q185" s="63"/>
      <c r="R185" s="51"/>
      <c r="S185" s="51"/>
      <c r="T185" s="51"/>
    </row>
    <row r="186">
      <c r="A186" s="51"/>
      <c r="B186" s="51"/>
      <c r="C186" s="56"/>
      <c r="D186" s="51"/>
      <c r="E186" s="51"/>
      <c r="F186" s="51"/>
      <c r="G186" s="51" t="str">
        <f>IFERROR(__xludf.DUMMYFUNCTION("""COMPUTED_VALUE"""),"#VALUE!")</f>
        <v>#VALUE!</v>
      </c>
      <c r="H186" s="51" t="str">
        <f>IFERROR(__xludf.DUMMYFUNCTION("""COMPUTED_VALUE"""),"")</f>
        <v/>
      </c>
      <c r="I186" s="51" t="str">
        <f>IFERROR(__xludf.DUMMYFUNCTION("""COMPUTED_VALUE"""),"#VALUE!")</f>
        <v>#VALUE!</v>
      </c>
      <c r="J186" s="51" t="str">
        <f>IFERROR(__xludf.DUMMYFUNCTION("""COMPUTED_VALUE"""),"")</f>
        <v/>
      </c>
      <c r="K186" s="51"/>
      <c r="L186" s="51" t="s">
        <v>257</v>
      </c>
      <c r="M186" s="62"/>
      <c r="N186" s="51"/>
      <c r="O186" s="63"/>
      <c r="P186" s="63"/>
      <c r="Q186" s="63"/>
      <c r="R186" s="51"/>
      <c r="S186" s="51"/>
      <c r="T186" s="51"/>
    </row>
    <row r="187">
      <c r="A187" s="51"/>
      <c r="B187" s="51"/>
      <c r="C187" s="56"/>
      <c r="D187" s="51"/>
      <c r="E187" s="51"/>
      <c r="F187" s="51"/>
      <c r="G187" s="51" t="str">
        <f>IFERROR(__xludf.DUMMYFUNCTION("""COMPUTED_VALUE"""),"#VALUE!")</f>
        <v>#VALUE!</v>
      </c>
      <c r="H187" s="51" t="str">
        <f>IFERROR(__xludf.DUMMYFUNCTION("""COMPUTED_VALUE"""),"")</f>
        <v/>
      </c>
      <c r="I187" s="51" t="str">
        <f>IFERROR(__xludf.DUMMYFUNCTION("""COMPUTED_VALUE"""),"#VALUE!")</f>
        <v>#VALUE!</v>
      </c>
      <c r="J187" s="51" t="str">
        <f>IFERROR(__xludf.DUMMYFUNCTION("""COMPUTED_VALUE"""),"")</f>
        <v/>
      </c>
      <c r="K187" s="51"/>
      <c r="L187" s="51" t="s">
        <v>257</v>
      </c>
      <c r="M187" s="62"/>
      <c r="N187" s="51"/>
      <c r="O187" s="63"/>
      <c r="P187" s="63"/>
      <c r="Q187" s="63"/>
      <c r="R187" s="51"/>
      <c r="S187" s="51"/>
      <c r="T187" s="51"/>
    </row>
    <row r="188">
      <c r="A188" s="51"/>
      <c r="B188" s="51"/>
      <c r="C188" s="56"/>
      <c r="D188" s="51"/>
      <c r="E188" s="51"/>
      <c r="F188" s="51"/>
      <c r="G188" s="51" t="str">
        <f>IFERROR(__xludf.DUMMYFUNCTION("""COMPUTED_VALUE"""),"#VALUE!")</f>
        <v>#VALUE!</v>
      </c>
      <c r="H188" s="51" t="str">
        <f>IFERROR(__xludf.DUMMYFUNCTION("""COMPUTED_VALUE"""),"")</f>
        <v/>
      </c>
      <c r="I188" s="51" t="str">
        <f>IFERROR(__xludf.DUMMYFUNCTION("""COMPUTED_VALUE"""),"#VALUE!")</f>
        <v>#VALUE!</v>
      </c>
      <c r="J188" s="51" t="str">
        <f>IFERROR(__xludf.DUMMYFUNCTION("""COMPUTED_VALUE"""),"")</f>
        <v/>
      </c>
      <c r="K188" s="51"/>
      <c r="L188" s="51" t="s">
        <v>257</v>
      </c>
      <c r="M188" s="62"/>
      <c r="N188" s="51"/>
      <c r="O188" s="63"/>
      <c r="P188" s="63"/>
      <c r="Q188" s="63"/>
      <c r="R188" s="51"/>
      <c r="S188" s="51"/>
      <c r="T188" s="51"/>
    </row>
    <row r="189">
      <c r="A189" s="51"/>
      <c r="B189" s="51"/>
      <c r="C189" s="56"/>
      <c r="D189" s="51"/>
      <c r="E189" s="51"/>
      <c r="F189" s="51"/>
      <c r="G189" s="51" t="str">
        <f>IFERROR(__xludf.DUMMYFUNCTION("""COMPUTED_VALUE"""),"#VALUE!")</f>
        <v>#VALUE!</v>
      </c>
      <c r="H189" s="51" t="str">
        <f>IFERROR(__xludf.DUMMYFUNCTION("""COMPUTED_VALUE"""),"")</f>
        <v/>
      </c>
      <c r="I189" s="51" t="str">
        <f>IFERROR(__xludf.DUMMYFUNCTION("""COMPUTED_VALUE"""),"#VALUE!")</f>
        <v>#VALUE!</v>
      </c>
      <c r="J189" s="51" t="str">
        <f>IFERROR(__xludf.DUMMYFUNCTION("""COMPUTED_VALUE"""),"")</f>
        <v/>
      </c>
      <c r="K189" s="51"/>
      <c r="L189" s="51" t="s">
        <v>257</v>
      </c>
      <c r="M189" s="62"/>
      <c r="N189" s="51"/>
      <c r="O189" s="63"/>
      <c r="P189" s="63"/>
      <c r="Q189" s="63"/>
      <c r="R189" s="51"/>
      <c r="S189" s="51"/>
      <c r="T189" s="51"/>
    </row>
    <row r="190">
      <c r="A190" s="51"/>
      <c r="B190" s="51"/>
      <c r="C190" s="56"/>
      <c r="D190" s="51"/>
      <c r="E190" s="51"/>
      <c r="F190" s="51"/>
      <c r="G190" s="51" t="str">
        <f>IFERROR(__xludf.DUMMYFUNCTION("""COMPUTED_VALUE"""),"#VALUE!")</f>
        <v>#VALUE!</v>
      </c>
      <c r="H190" s="51" t="str">
        <f>IFERROR(__xludf.DUMMYFUNCTION("""COMPUTED_VALUE"""),"")</f>
        <v/>
      </c>
      <c r="I190" s="51" t="str">
        <f>IFERROR(__xludf.DUMMYFUNCTION("""COMPUTED_VALUE"""),"#VALUE!")</f>
        <v>#VALUE!</v>
      </c>
      <c r="J190" s="51" t="str">
        <f>IFERROR(__xludf.DUMMYFUNCTION("""COMPUTED_VALUE"""),"")</f>
        <v/>
      </c>
      <c r="K190" s="51"/>
      <c r="L190" s="51" t="s">
        <v>257</v>
      </c>
      <c r="M190" s="62"/>
      <c r="N190" s="51"/>
      <c r="O190" s="63"/>
      <c r="P190" s="63"/>
      <c r="Q190" s="63"/>
      <c r="R190" s="51"/>
      <c r="S190" s="51"/>
      <c r="T190" s="51"/>
    </row>
    <row r="191">
      <c r="A191" s="51"/>
      <c r="B191" s="51"/>
      <c r="C191" s="56"/>
      <c r="D191" s="51"/>
      <c r="E191" s="51"/>
      <c r="F191" s="51"/>
      <c r="G191" s="51" t="str">
        <f>IFERROR(__xludf.DUMMYFUNCTION("""COMPUTED_VALUE"""),"#VALUE!")</f>
        <v>#VALUE!</v>
      </c>
      <c r="H191" s="51" t="str">
        <f>IFERROR(__xludf.DUMMYFUNCTION("""COMPUTED_VALUE"""),"")</f>
        <v/>
      </c>
      <c r="I191" s="51" t="str">
        <f>IFERROR(__xludf.DUMMYFUNCTION("""COMPUTED_VALUE"""),"#VALUE!")</f>
        <v>#VALUE!</v>
      </c>
      <c r="J191" s="51" t="str">
        <f>IFERROR(__xludf.DUMMYFUNCTION("""COMPUTED_VALUE"""),"")</f>
        <v/>
      </c>
      <c r="K191" s="51"/>
      <c r="L191" s="51" t="s">
        <v>257</v>
      </c>
      <c r="M191" s="62"/>
      <c r="N191" s="51"/>
      <c r="O191" s="51"/>
      <c r="P191" s="51"/>
      <c r="Q191" s="51"/>
      <c r="R191" s="51"/>
      <c r="S191" s="51"/>
      <c r="T191" s="51"/>
    </row>
    <row r="192">
      <c r="A192" s="51"/>
      <c r="B192" s="51"/>
      <c r="C192" s="56"/>
      <c r="D192" s="51"/>
      <c r="E192" s="51"/>
      <c r="F192" s="51"/>
      <c r="G192" s="51" t="str">
        <f>IFERROR(__xludf.DUMMYFUNCTION("""COMPUTED_VALUE"""),"#VALUE!")</f>
        <v>#VALUE!</v>
      </c>
      <c r="H192" s="51" t="str">
        <f>IFERROR(__xludf.DUMMYFUNCTION("""COMPUTED_VALUE"""),"")</f>
        <v/>
      </c>
      <c r="I192" s="51" t="str">
        <f>IFERROR(__xludf.DUMMYFUNCTION("""COMPUTED_VALUE"""),"#VALUE!")</f>
        <v>#VALUE!</v>
      </c>
      <c r="J192" s="51" t="str">
        <f>IFERROR(__xludf.DUMMYFUNCTION("""COMPUTED_VALUE"""),"")</f>
        <v/>
      </c>
      <c r="K192" s="51"/>
      <c r="L192" s="51" t="s">
        <v>257</v>
      </c>
      <c r="M192" s="62"/>
      <c r="N192" s="51"/>
      <c r="O192" s="51"/>
      <c r="P192" s="51"/>
      <c r="Q192" s="51"/>
      <c r="R192" s="51"/>
      <c r="S192" s="51"/>
      <c r="T192" s="51"/>
    </row>
    <row r="193">
      <c r="A193" s="51"/>
      <c r="B193" s="51"/>
      <c r="C193" s="56"/>
      <c r="D193" s="51"/>
      <c r="E193" s="51"/>
      <c r="F193" s="51"/>
      <c r="G193" s="51" t="str">
        <f>IFERROR(__xludf.DUMMYFUNCTION("""COMPUTED_VALUE"""),"#VALUE!")</f>
        <v>#VALUE!</v>
      </c>
      <c r="H193" s="51" t="str">
        <f>IFERROR(__xludf.DUMMYFUNCTION("""COMPUTED_VALUE"""),"")</f>
        <v/>
      </c>
      <c r="I193" s="51" t="str">
        <f>IFERROR(__xludf.DUMMYFUNCTION("""COMPUTED_VALUE"""),"#VALUE!")</f>
        <v>#VALUE!</v>
      </c>
      <c r="J193" s="51" t="str">
        <f>IFERROR(__xludf.DUMMYFUNCTION("""COMPUTED_VALUE"""),"")</f>
        <v/>
      </c>
      <c r="K193" s="51"/>
      <c r="L193" s="51" t="s">
        <v>257</v>
      </c>
      <c r="M193" s="62"/>
      <c r="N193" s="51"/>
      <c r="O193" s="51"/>
      <c r="P193" s="51"/>
      <c r="Q193" s="51"/>
      <c r="R193" s="51"/>
      <c r="S193" s="51"/>
      <c r="T193" s="51"/>
    </row>
    <row r="194">
      <c r="A194" s="51"/>
      <c r="B194" s="51"/>
      <c r="C194" s="56"/>
      <c r="D194" s="51"/>
      <c r="E194" s="51"/>
      <c r="F194" s="51"/>
      <c r="G194" s="51" t="str">
        <f>IFERROR(__xludf.DUMMYFUNCTION("""COMPUTED_VALUE"""),"#VALUE!")</f>
        <v>#VALUE!</v>
      </c>
      <c r="H194" s="51" t="str">
        <f>IFERROR(__xludf.DUMMYFUNCTION("""COMPUTED_VALUE"""),"")</f>
        <v/>
      </c>
      <c r="I194" s="51" t="str">
        <f>IFERROR(__xludf.DUMMYFUNCTION("""COMPUTED_VALUE"""),"#VALUE!")</f>
        <v>#VALUE!</v>
      </c>
      <c r="J194" s="51" t="str">
        <f>IFERROR(__xludf.DUMMYFUNCTION("""COMPUTED_VALUE"""),"")</f>
        <v/>
      </c>
      <c r="K194" s="51"/>
      <c r="L194" s="51" t="s">
        <v>257</v>
      </c>
      <c r="M194" s="62"/>
      <c r="N194" s="51"/>
      <c r="O194" s="51"/>
      <c r="P194" s="51"/>
      <c r="Q194" s="51"/>
      <c r="R194" s="51"/>
      <c r="S194" s="51"/>
      <c r="T194" s="51"/>
    </row>
    <row r="195">
      <c r="A195" s="51"/>
      <c r="B195" s="51"/>
      <c r="C195" s="56"/>
      <c r="D195" s="51"/>
      <c r="E195" s="51"/>
      <c r="F195" s="51"/>
      <c r="G195" s="51" t="str">
        <f>IFERROR(__xludf.DUMMYFUNCTION("""COMPUTED_VALUE"""),"#VALUE!")</f>
        <v>#VALUE!</v>
      </c>
      <c r="H195" s="51" t="str">
        <f>IFERROR(__xludf.DUMMYFUNCTION("""COMPUTED_VALUE"""),"")</f>
        <v/>
      </c>
      <c r="I195" s="51" t="str">
        <f>IFERROR(__xludf.DUMMYFUNCTION("""COMPUTED_VALUE"""),"#VALUE!")</f>
        <v>#VALUE!</v>
      </c>
      <c r="J195" s="51" t="str">
        <f>IFERROR(__xludf.DUMMYFUNCTION("""COMPUTED_VALUE"""),"")</f>
        <v/>
      </c>
      <c r="K195" s="51"/>
      <c r="L195" s="51" t="s">
        <v>257</v>
      </c>
      <c r="M195" s="62"/>
      <c r="N195" s="51"/>
      <c r="O195" s="51"/>
      <c r="P195" s="51"/>
      <c r="Q195" s="51"/>
      <c r="R195" s="51"/>
      <c r="S195" s="51"/>
      <c r="T195" s="51"/>
    </row>
    <row r="196">
      <c r="A196" s="51"/>
      <c r="B196" s="51"/>
      <c r="C196" s="56"/>
      <c r="D196" s="51"/>
      <c r="E196" s="51"/>
      <c r="F196" s="51"/>
      <c r="G196" s="51" t="str">
        <f>IFERROR(__xludf.DUMMYFUNCTION("""COMPUTED_VALUE"""),"#VALUE!")</f>
        <v>#VALUE!</v>
      </c>
      <c r="H196" s="51" t="str">
        <f>IFERROR(__xludf.DUMMYFUNCTION("""COMPUTED_VALUE"""),"")</f>
        <v/>
      </c>
      <c r="I196" s="51" t="str">
        <f>IFERROR(__xludf.DUMMYFUNCTION("""COMPUTED_VALUE"""),"#VALUE!")</f>
        <v>#VALUE!</v>
      </c>
      <c r="J196" s="51" t="str">
        <f>IFERROR(__xludf.DUMMYFUNCTION("""COMPUTED_VALUE"""),"")</f>
        <v/>
      </c>
      <c r="K196" s="51"/>
      <c r="L196" s="51" t="s">
        <v>257</v>
      </c>
      <c r="M196" s="62"/>
      <c r="N196" s="51"/>
      <c r="O196" s="51"/>
      <c r="P196" s="51"/>
      <c r="Q196" s="51"/>
      <c r="R196" s="51"/>
      <c r="S196" s="51"/>
      <c r="T196" s="51"/>
    </row>
    <row r="197">
      <c r="A197" s="51"/>
      <c r="B197" s="51"/>
      <c r="C197" s="56"/>
      <c r="D197" s="51"/>
      <c r="E197" s="51"/>
      <c r="F197" s="51"/>
      <c r="G197" s="51" t="str">
        <f>IFERROR(__xludf.DUMMYFUNCTION("""COMPUTED_VALUE"""),"#VALUE!")</f>
        <v>#VALUE!</v>
      </c>
      <c r="H197" s="51" t="str">
        <f>IFERROR(__xludf.DUMMYFUNCTION("""COMPUTED_VALUE"""),"")</f>
        <v/>
      </c>
      <c r="I197" s="51" t="str">
        <f>IFERROR(__xludf.DUMMYFUNCTION("""COMPUTED_VALUE"""),"#VALUE!")</f>
        <v>#VALUE!</v>
      </c>
      <c r="J197" s="51" t="str">
        <f>IFERROR(__xludf.DUMMYFUNCTION("""COMPUTED_VALUE"""),"")</f>
        <v/>
      </c>
      <c r="K197" s="51"/>
      <c r="L197" s="51" t="s">
        <v>257</v>
      </c>
      <c r="M197" s="62"/>
      <c r="N197" s="51"/>
      <c r="O197" s="51"/>
      <c r="P197" s="51"/>
      <c r="Q197" s="51"/>
      <c r="R197" s="51"/>
      <c r="S197" s="51"/>
      <c r="T197" s="51"/>
    </row>
    <row r="198">
      <c r="A198" s="51"/>
      <c r="B198" s="51"/>
      <c r="C198" s="56"/>
      <c r="D198" s="51"/>
      <c r="E198" s="51"/>
      <c r="F198" s="51"/>
      <c r="G198" s="51" t="str">
        <f>IFERROR(__xludf.DUMMYFUNCTION("""COMPUTED_VALUE"""),"#VALUE!")</f>
        <v>#VALUE!</v>
      </c>
      <c r="H198" s="51" t="str">
        <f>IFERROR(__xludf.DUMMYFUNCTION("""COMPUTED_VALUE"""),"")</f>
        <v/>
      </c>
      <c r="I198" s="51" t="str">
        <f>IFERROR(__xludf.DUMMYFUNCTION("""COMPUTED_VALUE"""),"#VALUE!")</f>
        <v>#VALUE!</v>
      </c>
      <c r="J198" s="51" t="str">
        <f>IFERROR(__xludf.DUMMYFUNCTION("""COMPUTED_VALUE"""),"")</f>
        <v/>
      </c>
      <c r="K198" s="51"/>
      <c r="L198" s="51" t="s">
        <v>257</v>
      </c>
      <c r="M198" s="62"/>
      <c r="N198" s="51"/>
      <c r="O198" s="51"/>
      <c r="P198" s="51"/>
      <c r="Q198" s="51"/>
      <c r="R198" s="51"/>
      <c r="S198" s="51"/>
      <c r="T198" s="51"/>
    </row>
    <row r="199">
      <c r="A199" s="51"/>
      <c r="B199" s="51"/>
      <c r="C199" s="56"/>
      <c r="D199" s="51"/>
      <c r="E199" s="51"/>
      <c r="F199" s="51"/>
      <c r="G199" s="51" t="str">
        <f>IFERROR(__xludf.DUMMYFUNCTION("""COMPUTED_VALUE"""),"#VALUE!")</f>
        <v>#VALUE!</v>
      </c>
      <c r="H199" s="51" t="str">
        <f>IFERROR(__xludf.DUMMYFUNCTION("""COMPUTED_VALUE"""),"")</f>
        <v/>
      </c>
      <c r="I199" s="51" t="str">
        <f>IFERROR(__xludf.DUMMYFUNCTION("""COMPUTED_VALUE"""),"#VALUE!")</f>
        <v>#VALUE!</v>
      </c>
      <c r="J199" s="51" t="str">
        <f>IFERROR(__xludf.DUMMYFUNCTION("""COMPUTED_VALUE"""),"")</f>
        <v/>
      </c>
      <c r="K199" s="51"/>
      <c r="L199" s="51" t="s">
        <v>257</v>
      </c>
      <c r="M199" s="62"/>
      <c r="N199" s="51"/>
      <c r="O199" s="51"/>
      <c r="P199" s="51"/>
      <c r="Q199" s="51"/>
      <c r="R199" s="51"/>
      <c r="S199" s="51"/>
      <c r="T199" s="51"/>
    </row>
    <row r="200">
      <c r="A200" s="51"/>
      <c r="B200" s="51"/>
      <c r="C200" s="56"/>
      <c r="D200" s="51"/>
      <c r="E200" s="51"/>
      <c r="F200" s="51"/>
      <c r="G200" s="51" t="str">
        <f>IFERROR(__xludf.DUMMYFUNCTION("""COMPUTED_VALUE"""),"#VALUE!")</f>
        <v>#VALUE!</v>
      </c>
      <c r="H200" s="51" t="str">
        <f>IFERROR(__xludf.DUMMYFUNCTION("""COMPUTED_VALUE"""),"")</f>
        <v/>
      </c>
      <c r="I200" s="51" t="str">
        <f>IFERROR(__xludf.DUMMYFUNCTION("""COMPUTED_VALUE"""),"#VALUE!")</f>
        <v>#VALUE!</v>
      </c>
      <c r="J200" s="51" t="str">
        <f>IFERROR(__xludf.DUMMYFUNCTION("""COMPUTED_VALUE"""),"")</f>
        <v/>
      </c>
      <c r="K200" s="51"/>
      <c r="L200" s="51" t="s">
        <v>257</v>
      </c>
      <c r="M200" s="62"/>
      <c r="N200" s="51"/>
      <c r="O200" s="51"/>
      <c r="P200" s="51"/>
      <c r="Q200" s="51"/>
      <c r="R200" s="51"/>
      <c r="S200" s="51"/>
      <c r="T200" s="51"/>
    </row>
    <row r="201">
      <c r="A201" s="51"/>
      <c r="B201" s="51"/>
      <c r="C201" s="56"/>
      <c r="D201" s="51"/>
      <c r="E201" s="51"/>
      <c r="F201" s="51"/>
      <c r="G201" s="51" t="str">
        <f>IFERROR(__xludf.DUMMYFUNCTION("""COMPUTED_VALUE"""),"#VALUE!")</f>
        <v>#VALUE!</v>
      </c>
      <c r="H201" s="51" t="str">
        <f>IFERROR(__xludf.DUMMYFUNCTION("""COMPUTED_VALUE"""),"")</f>
        <v/>
      </c>
      <c r="I201" s="51" t="str">
        <f>IFERROR(__xludf.DUMMYFUNCTION("""COMPUTED_VALUE"""),"#VALUE!")</f>
        <v>#VALUE!</v>
      </c>
      <c r="J201" s="51" t="str">
        <f>IFERROR(__xludf.DUMMYFUNCTION("""COMPUTED_VALUE"""),"")</f>
        <v/>
      </c>
      <c r="K201" s="51"/>
      <c r="L201" s="51" t="s">
        <v>257</v>
      </c>
      <c r="M201" s="62"/>
      <c r="N201" s="51"/>
      <c r="O201" s="51"/>
      <c r="P201" s="51"/>
      <c r="Q201" s="51"/>
      <c r="R201" s="51"/>
      <c r="S201" s="51"/>
      <c r="T201" s="51"/>
    </row>
    <row r="202">
      <c r="A202" s="51"/>
      <c r="B202" s="51"/>
      <c r="C202" s="56"/>
      <c r="D202" s="51"/>
      <c r="E202" s="51"/>
      <c r="F202" s="51"/>
      <c r="G202" s="51" t="str">
        <f>IFERROR(__xludf.DUMMYFUNCTION("""COMPUTED_VALUE"""),"#VALUE!")</f>
        <v>#VALUE!</v>
      </c>
      <c r="H202" s="51" t="str">
        <f>IFERROR(__xludf.DUMMYFUNCTION("""COMPUTED_VALUE"""),"")</f>
        <v/>
      </c>
      <c r="I202" s="51" t="str">
        <f>IFERROR(__xludf.DUMMYFUNCTION("""COMPUTED_VALUE"""),"#VALUE!")</f>
        <v>#VALUE!</v>
      </c>
      <c r="J202" s="51" t="str">
        <f>IFERROR(__xludf.DUMMYFUNCTION("""COMPUTED_VALUE"""),"")</f>
        <v/>
      </c>
      <c r="K202" s="51"/>
      <c r="L202" s="51" t="s">
        <v>257</v>
      </c>
      <c r="M202" s="62"/>
      <c r="N202" s="51"/>
      <c r="O202" s="51"/>
      <c r="P202" s="51"/>
      <c r="Q202" s="51"/>
      <c r="R202" s="51"/>
      <c r="S202" s="51"/>
      <c r="T202" s="51"/>
    </row>
    <row r="203">
      <c r="A203" s="51"/>
      <c r="B203" s="51"/>
      <c r="C203" s="56"/>
      <c r="D203" s="51"/>
      <c r="E203" s="51"/>
      <c r="F203" s="51"/>
      <c r="G203" s="51" t="str">
        <f>IFERROR(__xludf.DUMMYFUNCTION("""COMPUTED_VALUE"""),"#VALUE!")</f>
        <v>#VALUE!</v>
      </c>
      <c r="H203" s="51" t="str">
        <f>IFERROR(__xludf.DUMMYFUNCTION("""COMPUTED_VALUE"""),"")</f>
        <v/>
      </c>
      <c r="I203" s="51" t="str">
        <f>IFERROR(__xludf.DUMMYFUNCTION("""COMPUTED_VALUE"""),"#VALUE!")</f>
        <v>#VALUE!</v>
      </c>
      <c r="J203" s="51" t="str">
        <f>IFERROR(__xludf.DUMMYFUNCTION("""COMPUTED_VALUE"""),"")</f>
        <v/>
      </c>
      <c r="K203" s="51"/>
      <c r="L203" s="51" t="s">
        <v>257</v>
      </c>
      <c r="M203" s="62"/>
      <c r="N203" s="51"/>
      <c r="O203" s="51"/>
      <c r="P203" s="51"/>
      <c r="Q203" s="51"/>
      <c r="R203" s="51"/>
      <c r="S203" s="51"/>
      <c r="T203" s="51"/>
    </row>
    <row r="204">
      <c r="A204" s="51"/>
      <c r="B204" s="51"/>
      <c r="C204" s="56"/>
      <c r="D204" s="51"/>
      <c r="E204" s="51"/>
      <c r="F204" s="51"/>
      <c r="G204" s="51" t="str">
        <f>IFERROR(__xludf.DUMMYFUNCTION("""COMPUTED_VALUE"""),"#VALUE!")</f>
        <v>#VALUE!</v>
      </c>
      <c r="H204" s="51" t="str">
        <f>IFERROR(__xludf.DUMMYFUNCTION("""COMPUTED_VALUE"""),"")</f>
        <v/>
      </c>
      <c r="I204" s="51" t="str">
        <f>IFERROR(__xludf.DUMMYFUNCTION("""COMPUTED_VALUE"""),"#VALUE!")</f>
        <v>#VALUE!</v>
      </c>
      <c r="J204" s="51" t="str">
        <f>IFERROR(__xludf.DUMMYFUNCTION("""COMPUTED_VALUE"""),"")</f>
        <v/>
      </c>
      <c r="K204" s="51"/>
      <c r="L204" s="51" t="s">
        <v>257</v>
      </c>
      <c r="M204" s="62"/>
      <c r="N204" s="51"/>
      <c r="O204" s="51"/>
      <c r="P204" s="51"/>
      <c r="Q204" s="51"/>
      <c r="R204" s="51"/>
      <c r="S204" s="51"/>
      <c r="T204" s="51"/>
    </row>
    <row r="205">
      <c r="A205" s="51"/>
      <c r="B205" s="51"/>
      <c r="C205" s="56"/>
      <c r="D205" s="51"/>
      <c r="E205" s="51"/>
      <c r="F205" s="51"/>
      <c r="G205" s="51" t="str">
        <f>IFERROR(__xludf.DUMMYFUNCTION("""COMPUTED_VALUE"""),"#VALUE!")</f>
        <v>#VALUE!</v>
      </c>
      <c r="H205" s="51" t="str">
        <f>IFERROR(__xludf.DUMMYFUNCTION("""COMPUTED_VALUE"""),"")</f>
        <v/>
      </c>
      <c r="I205" s="51" t="str">
        <f>IFERROR(__xludf.DUMMYFUNCTION("""COMPUTED_VALUE"""),"#VALUE!")</f>
        <v>#VALUE!</v>
      </c>
      <c r="J205" s="51" t="str">
        <f>IFERROR(__xludf.DUMMYFUNCTION("""COMPUTED_VALUE"""),"")</f>
        <v/>
      </c>
      <c r="K205" s="51"/>
      <c r="L205" s="51" t="s">
        <v>257</v>
      </c>
      <c r="M205" s="62"/>
      <c r="N205" s="51"/>
      <c r="O205" s="51"/>
      <c r="P205" s="51"/>
      <c r="Q205" s="51"/>
      <c r="R205" s="51"/>
      <c r="S205" s="51"/>
      <c r="T205" s="51"/>
    </row>
    <row r="206">
      <c r="A206" s="51"/>
      <c r="B206" s="51"/>
      <c r="C206" s="56"/>
      <c r="D206" s="51"/>
      <c r="E206" s="51"/>
      <c r="F206" s="51"/>
      <c r="G206" s="51" t="str">
        <f>IFERROR(__xludf.DUMMYFUNCTION("""COMPUTED_VALUE"""),"#VALUE!")</f>
        <v>#VALUE!</v>
      </c>
      <c r="H206" s="51" t="str">
        <f>IFERROR(__xludf.DUMMYFUNCTION("""COMPUTED_VALUE"""),"")</f>
        <v/>
      </c>
      <c r="I206" s="51" t="str">
        <f>IFERROR(__xludf.DUMMYFUNCTION("""COMPUTED_VALUE"""),"#VALUE!")</f>
        <v>#VALUE!</v>
      </c>
      <c r="J206" s="51" t="str">
        <f>IFERROR(__xludf.DUMMYFUNCTION("""COMPUTED_VALUE"""),"")</f>
        <v/>
      </c>
      <c r="K206" s="51"/>
      <c r="L206" s="51" t="s">
        <v>257</v>
      </c>
      <c r="M206" s="62"/>
      <c r="N206" s="51"/>
      <c r="O206" s="51"/>
      <c r="P206" s="51"/>
      <c r="Q206" s="51"/>
      <c r="R206" s="51"/>
      <c r="S206" s="51"/>
      <c r="T206" s="51"/>
    </row>
    <row r="207">
      <c r="A207" s="51"/>
      <c r="B207" s="51"/>
      <c r="C207" s="56"/>
      <c r="D207" s="51"/>
      <c r="E207" s="51"/>
      <c r="F207" s="51"/>
      <c r="G207" s="51" t="str">
        <f>IFERROR(__xludf.DUMMYFUNCTION("""COMPUTED_VALUE"""),"#VALUE!")</f>
        <v>#VALUE!</v>
      </c>
      <c r="H207" s="51" t="str">
        <f>IFERROR(__xludf.DUMMYFUNCTION("""COMPUTED_VALUE"""),"")</f>
        <v/>
      </c>
      <c r="I207" s="51" t="str">
        <f>IFERROR(__xludf.DUMMYFUNCTION("""COMPUTED_VALUE"""),"#VALUE!")</f>
        <v>#VALUE!</v>
      </c>
      <c r="J207" s="51" t="str">
        <f>IFERROR(__xludf.DUMMYFUNCTION("""COMPUTED_VALUE"""),"")</f>
        <v/>
      </c>
      <c r="K207" s="51"/>
      <c r="L207" s="51" t="s">
        <v>257</v>
      </c>
      <c r="M207" s="62"/>
      <c r="N207" s="51"/>
      <c r="O207" s="51"/>
      <c r="P207" s="51"/>
      <c r="Q207" s="51"/>
      <c r="R207" s="51"/>
      <c r="S207" s="51"/>
      <c r="T207" s="51"/>
    </row>
    <row r="208">
      <c r="A208" s="51"/>
      <c r="B208" s="51"/>
      <c r="C208" s="56"/>
      <c r="D208" s="51"/>
      <c r="E208" s="51"/>
      <c r="F208" s="51"/>
      <c r="G208" s="51" t="str">
        <f>IFERROR(__xludf.DUMMYFUNCTION("""COMPUTED_VALUE"""),"#VALUE!")</f>
        <v>#VALUE!</v>
      </c>
      <c r="H208" s="51" t="str">
        <f>IFERROR(__xludf.DUMMYFUNCTION("""COMPUTED_VALUE"""),"")</f>
        <v/>
      </c>
      <c r="I208" s="51" t="str">
        <f>IFERROR(__xludf.DUMMYFUNCTION("""COMPUTED_VALUE"""),"#VALUE!")</f>
        <v>#VALUE!</v>
      </c>
      <c r="J208" s="51" t="str">
        <f>IFERROR(__xludf.DUMMYFUNCTION("""COMPUTED_VALUE"""),"")</f>
        <v/>
      </c>
      <c r="K208" s="51"/>
      <c r="L208" s="51" t="s">
        <v>257</v>
      </c>
      <c r="M208" s="62"/>
      <c r="N208" s="51"/>
      <c r="O208" s="51"/>
      <c r="P208" s="51"/>
      <c r="Q208" s="51"/>
      <c r="R208" s="51"/>
      <c r="S208" s="51"/>
      <c r="T208" s="51"/>
    </row>
    <row r="209">
      <c r="A209" s="51"/>
      <c r="B209" s="51"/>
      <c r="C209" s="56"/>
      <c r="D209" s="51"/>
      <c r="E209" s="51"/>
      <c r="F209" s="51"/>
      <c r="G209" s="51" t="str">
        <f>IFERROR(__xludf.DUMMYFUNCTION("""COMPUTED_VALUE"""),"#VALUE!")</f>
        <v>#VALUE!</v>
      </c>
      <c r="H209" s="51" t="str">
        <f>IFERROR(__xludf.DUMMYFUNCTION("""COMPUTED_VALUE"""),"")</f>
        <v/>
      </c>
      <c r="I209" s="51" t="str">
        <f>IFERROR(__xludf.DUMMYFUNCTION("""COMPUTED_VALUE"""),"#VALUE!")</f>
        <v>#VALUE!</v>
      </c>
      <c r="J209" s="51" t="str">
        <f>IFERROR(__xludf.DUMMYFUNCTION("""COMPUTED_VALUE"""),"")</f>
        <v/>
      </c>
      <c r="K209" s="51"/>
      <c r="L209" s="51" t="s">
        <v>257</v>
      </c>
      <c r="M209" s="62"/>
      <c r="N209" s="51"/>
      <c r="O209" s="51"/>
      <c r="P209" s="51"/>
      <c r="Q209" s="51"/>
      <c r="R209" s="51"/>
      <c r="S209" s="51"/>
      <c r="T209" s="51"/>
    </row>
    <row r="210">
      <c r="A210" s="51"/>
      <c r="B210" s="51"/>
      <c r="C210" s="56"/>
      <c r="D210" s="51"/>
      <c r="E210" s="51"/>
      <c r="F210" s="51"/>
      <c r="G210" s="51" t="str">
        <f>IFERROR(__xludf.DUMMYFUNCTION("""COMPUTED_VALUE"""),"#VALUE!")</f>
        <v>#VALUE!</v>
      </c>
      <c r="H210" s="51" t="str">
        <f>IFERROR(__xludf.DUMMYFUNCTION("""COMPUTED_VALUE"""),"")</f>
        <v/>
      </c>
      <c r="I210" s="51" t="str">
        <f>IFERROR(__xludf.DUMMYFUNCTION("""COMPUTED_VALUE"""),"#VALUE!")</f>
        <v>#VALUE!</v>
      </c>
      <c r="J210" s="51" t="str">
        <f>IFERROR(__xludf.DUMMYFUNCTION("""COMPUTED_VALUE"""),"")</f>
        <v/>
      </c>
      <c r="K210" s="51"/>
      <c r="L210" s="51" t="s">
        <v>257</v>
      </c>
      <c r="M210" s="62"/>
      <c r="N210" s="51"/>
      <c r="O210" s="51"/>
      <c r="P210" s="51"/>
      <c r="Q210" s="51"/>
      <c r="R210" s="51"/>
      <c r="S210" s="51"/>
      <c r="T210" s="51"/>
    </row>
    <row r="211">
      <c r="A211" s="51"/>
      <c r="B211" s="51"/>
      <c r="C211" s="56"/>
      <c r="D211" s="51"/>
      <c r="E211" s="51"/>
      <c r="F211" s="51"/>
      <c r="G211" s="51" t="str">
        <f>IFERROR(__xludf.DUMMYFUNCTION("""COMPUTED_VALUE"""),"#VALUE!")</f>
        <v>#VALUE!</v>
      </c>
      <c r="H211" s="51" t="str">
        <f>IFERROR(__xludf.DUMMYFUNCTION("""COMPUTED_VALUE"""),"")</f>
        <v/>
      </c>
      <c r="I211" s="51" t="str">
        <f>IFERROR(__xludf.DUMMYFUNCTION("""COMPUTED_VALUE"""),"#VALUE!")</f>
        <v>#VALUE!</v>
      </c>
      <c r="J211" s="51" t="str">
        <f>IFERROR(__xludf.DUMMYFUNCTION("""COMPUTED_VALUE"""),"")</f>
        <v/>
      </c>
      <c r="K211" s="51"/>
      <c r="L211" s="51" t="s">
        <v>257</v>
      </c>
      <c r="M211" s="62"/>
      <c r="N211" s="51"/>
      <c r="O211" s="51"/>
      <c r="P211" s="51"/>
      <c r="Q211" s="51"/>
      <c r="R211" s="51"/>
      <c r="S211" s="51"/>
      <c r="T211" s="51"/>
    </row>
    <row r="212">
      <c r="A212" s="51"/>
      <c r="B212" s="51"/>
      <c r="C212" s="56"/>
      <c r="D212" s="51"/>
      <c r="E212" s="51"/>
      <c r="F212" s="51"/>
      <c r="G212" s="51" t="str">
        <f>IFERROR(__xludf.DUMMYFUNCTION("""COMPUTED_VALUE"""),"#VALUE!")</f>
        <v>#VALUE!</v>
      </c>
      <c r="H212" s="51" t="str">
        <f>IFERROR(__xludf.DUMMYFUNCTION("""COMPUTED_VALUE"""),"")</f>
        <v/>
      </c>
      <c r="I212" s="51" t="str">
        <f>IFERROR(__xludf.DUMMYFUNCTION("""COMPUTED_VALUE"""),"#VALUE!")</f>
        <v>#VALUE!</v>
      </c>
      <c r="J212" s="51" t="str">
        <f>IFERROR(__xludf.DUMMYFUNCTION("""COMPUTED_VALUE"""),"")</f>
        <v/>
      </c>
      <c r="K212" s="51"/>
      <c r="L212" s="51" t="s">
        <v>257</v>
      </c>
      <c r="M212" s="62"/>
      <c r="N212" s="51"/>
      <c r="O212" s="51"/>
      <c r="P212" s="51"/>
      <c r="Q212" s="51"/>
      <c r="R212" s="51"/>
      <c r="S212" s="51"/>
      <c r="T212" s="51"/>
    </row>
    <row r="213">
      <c r="A213" s="51"/>
      <c r="B213" s="51"/>
      <c r="C213" s="56"/>
      <c r="D213" s="51"/>
      <c r="E213" s="51"/>
      <c r="F213" s="51"/>
      <c r="G213" s="51" t="str">
        <f>IFERROR(__xludf.DUMMYFUNCTION("""COMPUTED_VALUE"""),"#VALUE!")</f>
        <v>#VALUE!</v>
      </c>
      <c r="H213" s="51" t="str">
        <f>IFERROR(__xludf.DUMMYFUNCTION("""COMPUTED_VALUE"""),"")</f>
        <v/>
      </c>
      <c r="I213" s="51" t="str">
        <f>IFERROR(__xludf.DUMMYFUNCTION("""COMPUTED_VALUE"""),"#VALUE!")</f>
        <v>#VALUE!</v>
      </c>
      <c r="J213" s="51" t="str">
        <f>IFERROR(__xludf.DUMMYFUNCTION("""COMPUTED_VALUE"""),"")</f>
        <v/>
      </c>
      <c r="K213" s="51"/>
      <c r="L213" s="51" t="s">
        <v>257</v>
      </c>
      <c r="M213" s="62"/>
      <c r="N213" s="51"/>
      <c r="O213" s="51"/>
      <c r="P213" s="51"/>
      <c r="Q213" s="51"/>
      <c r="R213" s="51"/>
      <c r="S213" s="51"/>
      <c r="T213" s="51"/>
    </row>
    <row r="214">
      <c r="A214" s="51"/>
      <c r="B214" s="51"/>
      <c r="C214" s="56"/>
      <c r="D214" s="51"/>
      <c r="E214" s="51"/>
      <c r="F214" s="51"/>
      <c r="G214" s="51" t="str">
        <f>IFERROR(__xludf.DUMMYFUNCTION("""COMPUTED_VALUE"""),"#VALUE!")</f>
        <v>#VALUE!</v>
      </c>
      <c r="H214" s="51" t="str">
        <f>IFERROR(__xludf.DUMMYFUNCTION("""COMPUTED_VALUE"""),"")</f>
        <v/>
      </c>
      <c r="I214" s="51" t="str">
        <f>IFERROR(__xludf.DUMMYFUNCTION("""COMPUTED_VALUE"""),"#VALUE!")</f>
        <v>#VALUE!</v>
      </c>
      <c r="J214" s="51" t="str">
        <f>IFERROR(__xludf.DUMMYFUNCTION("""COMPUTED_VALUE"""),"")</f>
        <v/>
      </c>
      <c r="K214" s="51"/>
      <c r="L214" s="51" t="s">
        <v>257</v>
      </c>
      <c r="M214" s="62"/>
      <c r="N214" s="51"/>
      <c r="O214" s="51"/>
      <c r="P214" s="51"/>
      <c r="Q214" s="51"/>
      <c r="R214" s="51"/>
      <c r="S214" s="51"/>
      <c r="T214" s="51"/>
    </row>
    <row r="215">
      <c r="A215" s="51"/>
      <c r="B215" s="51"/>
      <c r="C215" s="56"/>
      <c r="D215" s="51"/>
      <c r="E215" s="51"/>
      <c r="F215" s="51"/>
      <c r="G215" s="51" t="str">
        <f>IFERROR(__xludf.DUMMYFUNCTION("""COMPUTED_VALUE"""),"#VALUE!")</f>
        <v>#VALUE!</v>
      </c>
      <c r="H215" s="51" t="str">
        <f>IFERROR(__xludf.DUMMYFUNCTION("""COMPUTED_VALUE"""),"")</f>
        <v/>
      </c>
      <c r="I215" s="51" t="str">
        <f>IFERROR(__xludf.DUMMYFUNCTION("""COMPUTED_VALUE"""),"#VALUE!")</f>
        <v>#VALUE!</v>
      </c>
      <c r="J215" s="51" t="str">
        <f>IFERROR(__xludf.DUMMYFUNCTION("""COMPUTED_VALUE"""),"")</f>
        <v/>
      </c>
      <c r="K215" s="51"/>
      <c r="L215" s="51" t="s">
        <v>257</v>
      </c>
      <c r="M215" s="62"/>
      <c r="N215" s="51"/>
      <c r="O215" s="51"/>
      <c r="P215" s="51"/>
      <c r="Q215" s="51"/>
      <c r="R215" s="51"/>
      <c r="S215" s="51"/>
      <c r="T215" s="51"/>
    </row>
    <row r="216">
      <c r="A216" s="51"/>
      <c r="B216" s="51"/>
      <c r="C216" s="56"/>
      <c r="D216" s="51"/>
      <c r="E216" s="51"/>
      <c r="F216" s="51"/>
      <c r="G216" s="51" t="str">
        <f>IFERROR(__xludf.DUMMYFUNCTION("""COMPUTED_VALUE"""),"#VALUE!")</f>
        <v>#VALUE!</v>
      </c>
      <c r="H216" s="51" t="str">
        <f>IFERROR(__xludf.DUMMYFUNCTION("""COMPUTED_VALUE"""),"")</f>
        <v/>
      </c>
      <c r="I216" s="51" t="str">
        <f>IFERROR(__xludf.DUMMYFUNCTION("""COMPUTED_VALUE"""),"#VALUE!")</f>
        <v>#VALUE!</v>
      </c>
      <c r="J216" s="51" t="str">
        <f>IFERROR(__xludf.DUMMYFUNCTION("""COMPUTED_VALUE"""),"")</f>
        <v/>
      </c>
      <c r="K216" s="51"/>
      <c r="L216" s="51" t="s">
        <v>257</v>
      </c>
      <c r="M216" s="62"/>
      <c r="N216" s="51"/>
      <c r="O216" s="51"/>
      <c r="P216" s="51"/>
      <c r="Q216" s="51"/>
      <c r="R216" s="51"/>
      <c r="S216" s="51"/>
      <c r="T216" s="51"/>
    </row>
    <row r="217">
      <c r="A217" s="51"/>
      <c r="B217" s="51"/>
      <c r="C217" s="56"/>
      <c r="D217" s="51"/>
      <c r="E217" s="51"/>
      <c r="F217" s="51"/>
      <c r="G217" s="51" t="str">
        <f>IFERROR(__xludf.DUMMYFUNCTION("""COMPUTED_VALUE"""),"#VALUE!")</f>
        <v>#VALUE!</v>
      </c>
      <c r="H217" s="51" t="str">
        <f>IFERROR(__xludf.DUMMYFUNCTION("""COMPUTED_VALUE"""),"")</f>
        <v/>
      </c>
      <c r="I217" s="51" t="str">
        <f>IFERROR(__xludf.DUMMYFUNCTION("""COMPUTED_VALUE"""),"#VALUE!")</f>
        <v>#VALUE!</v>
      </c>
      <c r="J217" s="51" t="str">
        <f>IFERROR(__xludf.DUMMYFUNCTION("""COMPUTED_VALUE"""),"")</f>
        <v/>
      </c>
      <c r="K217" s="51"/>
      <c r="L217" s="51" t="s">
        <v>257</v>
      </c>
      <c r="M217" s="62"/>
      <c r="N217" s="51"/>
      <c r="O217" s="51"/>
      <c r="P217" s="51"/>
      <c r="Q217" s="51"/>
      <c r="R217" s="51"/>
      <c r="S217" s="51"/>
      <c r="T217" s="51"/>
    </row>
    <row r="218">
      <c r="A218" s="51"/>
      <c r="B218" s="51"/>
      <c r="C218" s="56"/>
      <c r="D218" s="51"/>
      <c r="E218" s="51"/>
      <c r="F218" s="51"/>
      <c r="G218" s="51" t="str">
        <f>IFERROR(__xludf.DUMMYFUNCTION("""COMPUTED_VALUE"""),"#VALUE!")</f>
        <v>#VALUE!</v>
      </c>
      <c r="H218" s="51" t="str">
        <f>IFERROR(__xludf.DUMMYFUNCTION("""COMPUTED_VALUE"""),"")</f>
        <v/>
      </c>
      <c r="I218" s="51" t="str">
        <f>IFERROR(__xludf.DUMMYFUNCTION("""COMPUTED_VALUE"""),"#VALUE!")</f>
        <v>#VALUE!</v>
      </c>
      <c r="J218" s="51" t="str">
        <f>IFERROR(__xludf.DUMMYFUNCTION("""COMPUTED_VALUE"""),"")</f>
        <v/>
      </c>
      <c r="K218" s="51"/>
      <c r="L218" s="51" t="s">
        <v>257</v>
      </c>
      <c r="M218" s="62"/>
      <c r="N218" s="51"/>
      <c r="O218" s="51"/>
      <c r="P218" s="51"/>
      <c r="Q218" s="51"/>
      <c r="R218" s="51"/>
      <c r="S218" s="51"/>
      <c r="T218" s="51"/>
    </row>
    <row r="219">
      <c r="A219" s="51"/>
      <c r="B219" s="51"/>
      <c r="C219" s="56"/>
      <c r="D219" s="51"/>
      <c r="E219" s="51"/>
      <c r="F219" s="51"/>
      <c r="G219" s="51" t="str">
        <f>IFERROR(__xludf.DUMMYFUNCTION("""COMPUTED_VALUE"""),"#VALUE!")</f>
        <v>#VALUE!</v>
      </c>
      <c r="H219" s="51" t="str">
        <f>IFERROR(__xludf.DUMMYFUNCTION("""COMPUTED_VALUE"""),"")</f>
        <v/>
      </c>
      <c r="I219" s="51" t="str">
        <f>IFERROR(__xludf.DUMMYFUNCTION("""COMPUTED_VALUE"""),"#VALUE!")</f>
        <v>#VALUE!</v>
      </c>
      <c r="J219" s="51" t="str">
        <f>IFERROR(__xludf.DUMMYFUNCTION("""COMPUTED_VALUE"""),"")</f>
        <v/>
      </c>
      <c r="K219" s="51"/>
      <c r="L219" s="51" t="s">
        <v>257</v>
      </c>
      <c r="M219" s="62"/>
      <c r="N219" s="51"/>
      <c r="O219" s="51"/>
      <c r="P219" s="51"/>
      <c r="Q219" s="51"/>
      <c r="R219" s="51"/>
      <c r="S219" s="51"/>
      <c r="T219" s="51"/>
    </row>
    <row r="220">
      <c r="A220" s="51"/>
      <c r="B220" s="51"/>
      <c r="C220" s="56"/>
      <c r="D220" s="51"/>
      <c r="E220" s="51"/>
      <c r="F220" s="51"/>
      <c r="G220" s="51" t="str">
        <f>IFERROR(__xludf.DUMMYFUNCTION("""COMPUTED_VALUE"""),"#VALUE!")</f>
        <v>#VALUE!</v>
      </c>
      <c r="H220" s="51" t="str">
        <f>IFERROR(__xludf.DUMMYFUNCTION("""COMPUTED_VALUE"""),"")</f>
        <v/>
      </c>
      <c r="I220" s="51" t="str">
        <f>IFERROR(__xludf.DUMMYFUNCTION("""COMPUTED_VALUE"""),"#VALUE!")</f>
        <v>#VALUE!</v>
      </c>
      <c r="J220" s="51" t="str">
        <f>IFERROR(__xludf.DUMMYFUNCTION("""COMPUTED_VALUE"""),"")</f>
        <v/>
      </c>
      <c r="K220" s="51"/>
      <c r="L220" s="51" t="s">
        <v>257</v>
      </c>
      <c r="M220" s="62"/>
      <c r="N220" s="51"/>
      <c r="O220" s="51"/>
      <c r="P220" s="51"/>
      <c r="Q220" s="51"/>
      <c r="R220" s="51"/>
      <c r="S220" s="51"/>
      <c r="T220" s="51"/>
    </row>
    <row r="221">
      <c r="A221" s="51"/>
      <c r="B221" s="51"/>
      <c r="C221" s="56"/>
      <c r="D221" s="51"/>
      <c r="E221" s="51"/>
      <c r="F221" s="51"/>
      <c r="G221" s="51" t="str">
        <f>IFERROR(__xludf.DUMMYFUNCTION("""COMPUTED_VALUE"""),"#VALUE!")</f>
        <v>#VALUE!</v>
      </c>
      <c r="H221" s="51" t="str">
        <f>IFERROR(__xludf.DUMMYFUNCTION("""COMPUTED_VALUE"""),"")</f>
        <v/>
      </c>
      <c r="I221" s="51" t="str">
        <f>IFERROR(__xludf.DUMMYFUNCTION("""COMPUTED_VALUE"""),"#VALUE!")</f>
        <v>#VALUE!</v>
      </c>
      <c r="J221" s="51" t="str">
        <f>IFERROR(__xludf.DUMMYFUNCTION("""COMPUTED_VALUE"""),"")</f>
        <v/>
      </c>
      <c r="K221" s="51"/>
      <c r="L221" s="51" t="s">
        <v>257</v>
      </c>
      <c r="M221" s="62"/>
      <c r="N221" s="51"/>
      <c r="O221" s="51"/>
      <c r="P221" s="51"/>
      <c r="Q221" s="51"/>
      <c r="R221" s="51"/>
      <c r="S221" s="51"/>
      <c r="T221" s="51"/>
    </row>
    <row r="222">
      <c r="A222" s="51"/>
      <c r="B222" s="51"/>
      <c r="C222" s="56"/>
      <c r="D222" s="51"/>
      <c r="E222" s="51"/>
      <c r="F222" s="51"/>
      <c r="G222" s="51" t="str">
        <f>IFERROR(__xludf.DUMMYFUNCTION("""COMPUTED_VALUE"""),"#VALUE!")</f>
        <v>#VALUE!</v>
      </c>
      <c r="H222" s="51" t="str">
        <f>IFERROR(__xludf.DUMMYFUNCTION("""COMPUTED_VALUE"""),"")</f>
        <v/>
      </c>
      <c r="I222" s="51" t="str">
        <f>IFERROR(__xludf.DUMMYFUNCTION("""COMPUTED_VALUE"""),"#VALUE!")</f>
        <v>#VALUE!</v>
      </c>
      <c r="J222" s="51" t="str">
        <f>IFERROR(__xludf.DUMMYFUNCTION("""COMPUTED_VALUE"""),"")</f>
        <v/>
      </c>
      <c r="K222" s="51"/>
      <c r="L222" s="51" t="s">
        <v>257</v>
      </c>
      <c r="M222" s="62"/>
      <c r="N222" s="51"/>
      <c r="O222" s="51"/>
      <c r="P222" s="51"/>
      <c r="Q222" s="51"/>
      <c r="R222" s="51"/>
      <c r="S222" s="51"/>
      <c r="T222" s="51"/>
    </row>
    <row r="223">
      <c r="A223" s="51"/>
      <c r="B223" s="51"/>
      <c r="C223" s="56"/>
      <c r="D223" s="51"/>
      <c r="E223" s="51"/>
      <c r="F223" s="51"/>
      <c r="G223" s="51" t="str">
        <f>IFERROR(__xludf.DUMMYFUNCTION("""COMPUTED_VALUE"""),"#VALUE!")</f>
        <v>#VALUE!</v>
      </c>
      <c r="H223" s="51" t="str">
        <f>IFERROR(__xludf.DUMMYFUNCTION("""COMPUTED_VALUE"""),"")</f>
        <v/>
      </c>
      <c r="I223" s="51" t="str">
        <f>IFERROR(__xludf.DUMMYFUNCTION("""COMPUTED_VALUE"""),"#VALUE!")</f>
        <v>#VALUE!</v>
      </c>
      <c r="J223" s="51" t="str">
        <f>IFERROR(__xludf.DUMMYFUNCTION("""COMPUTED_VALUE"""),"")</f>
        <v/>
      </c>
      <c r="K223" s="51"/>
      <c r="L223" s="51" t="s">
        <v>257</v>
      </c>
      <c r="M223" s="62"/>
      <c r="N223" s="51"/>
      <c r="O223" s="51"/>
      <c r="P223" s="51"/>
      <c r="Q223" s="51"/>
      <c r="R223" s="51"/>
      <c r="S223" s="51"/>
      <c r="T223" s="51"/>
    </row>
    <row r="224">
      <c r="A224" s="51"/>
      <c r="B224" s="51"/>
      <c r="C224" s="56"/>
      <c r="D224" s="51"/>
      <c r="E224" s="51"/>
      <c r="F224" s="51"/>
      <c r="G224" s="51" t="str">
        <f>IFERROR(__xludf.DUMMYFUNCTION("""COMPUTED_VALUE"""),"#VALUE!")</f>
        <v>#VALUE!</v>
      </c>
      <c r="H224" s="51" t="str">
        <f>IFERROR(__xludf.DUMMYFUNCTION("""COMPUTED_VALUE"""),"")</f>
        <v/>
      </c>
      <c r="I224" s="51" t="str">
        <f>IFERROR(__xludf.DUMMYFUNCTION("""COMPUTED_VALUE"""),"#VALUE!")</f>
        <v>#VALUE!</v>
      </c>
      <c r="J224" s="51" t="str">
        <f>IFERROR(__xludf.DUMMYFUNCTION("""COMPUTED_VALUE"""),"")</f>
        <v/>
      </c>
      <c r="K224" s="51"/>
      <c r="L224" s="51" t="s">
        <v>257</v>
      </c>
      <c r="M224" s="62"/>
      <c r="N224" s="51"/>
      <c r="O224" s="51"/>
      <c r="P224" s="51"/>
      <c r="Q224" s="51"/>
      <c r="R224" s="51"/>
      <c r="S224" s="51"/>
      <c r="T224" s="51"/>
    </row>
    <row r="225">
      <c r="A225" s="51"/>
      <c r="B225" s="51"/>
      <c r="C225" s="56"/>
      <c r="D225" s="51"/>
      <c r="E225" s="51"/>
      <c r="F225" s="51"/>
      <c r="G225" s="51" t="str">
        <f>IFERROR(__xludf.DUMMYFUNCTION("""COMPUTED_VALUE"""),"#VALUE!")</f>
        <v>#VALUE!</v>
      </c>
      <c r="H225" s="51" t="str">
        <f>IFERROR(__xludf.DUMMYFUNCTION("""COMPUTED_VALUE"""),"")</f>
        <v/>
      </c>
      <c r="I225" s="51" t="str">
        <f>IFERROR(__xludf.DUMMYFUNCTION("""COMPUTED_VALUE"""),"#VALUE!")</f>
        <v>#VALUE!</v>
      </c>
      <c r="J225" s="51" t="str">
        <f>IFERROR(__xludf.DUMMYFUNCTION("""COMPUTED_VALUE"""),"")</f>
        <v/>
      </c>
      <c r="K225" s="51"/>
      <c r="L225" s="51" t="s">
        <v>257</v>
      </c>
      <c r="M225" s="62"/>
      <c r="N225" s="51"/>
      <c r="O225" s="51"/>
      <c r="P225" s="51"/>
      <c r="Q225" s="51"/>
      <c r="R225" s="51"/>
      <c r="S225" s="51"/>
      <c r="T225" s="51"/>
    </row>
    <row r="226">
      <c r="A226" s="51"/>
      <c r="B226" s="51"/>
      <c r="C226" s="56"/>
      <c r="D226" s="51"/>
      <c r="E226" s="51"/>
      <c r="F226" s="51"/>
      <c r="G226" s="51" t="str">
        <f>IFERROR(__xludf.DUMMYFUNCTION("""COMPUTED_VALUE"""),"#VALUE!")</f>
        <v>#VALUE!</v>
      </c>
      <c r="H226" s="51" t="str">
        <f>IFERROR(__xludf.DUMMYFUNCTION("""COMPUTED_VALUE"""),"")</f>
        <v/>
      </c>
      <c r="I226" s="51" t="str">
        <f>IFERROR(__xludf.DUMMYFUNCTION("""COMPUTED_VALUE"""),"#VALUE!")</f>
        <v>#VALUE!</v>
      </c>
      <c r="J226" s="51" t="str">
        <f>IFERROR(__xludf.DUMMYFUNCTION("""COMPUTED_VALUE"""),"")</f>
        <v/>
      </c>
      <c r="K226" s="51"/>
      <c r="L226" s="51" t="s">
        <v>257</v>
      </c>
      <c r="M226" s="62"/>
      <c r="N226" s="51"/>
      <c r="O226" s="51"/>
      <c r="P226" s="51"/>
      <c r="Q226" s="51"/>
      <c r="R226" s="51"/>
      <c r="S226" s="51"/>
      <c r="T226" s="51"/>
    </row>
    <row r="227">
      <c r="A227" s="51"/>
      <c r="B227" s="51"/>
      <c r="C227" s="56"/>
      <c r="D227" s="51"/>
      <c r="E227" s="51"/>
      <c r="F227" s="51"/>
      <c r="G227" s="51" t="str">
        <f>IFERROR(__xludf.DUMMYFUNCTION("""COMPUTED_VALUE"""),"#VALUE!")</f>
        <v>#VALUE!</v>
      </c>
      <c r="H227" s="51" t="str">
        <f>IFERROR(__xludf.DUMMYFUNCTION("""COMPUTED_VALUE"""),"")</f>
        <v/>
      </c>
      <c r="I227" s="51" t="str">
        <f>IFERROR(__xludf.DUMMYFUNCTION("""COMPUTED_VALUE"""),"#VALUE!")</f>
        <v>#VALUE!</v>
      </c>
      <c r="J227" s="51" t="str">
        <f>IFERROR(__xludf.DUMMYFUNCTION("""COMPUTED_VALUE"""),"")</f>
        <v/>
      </c>
      <c r="K227" s="51"/>
      <c r="L227" s="51" t="s">
        <v>257</v>
      </c>
      <c r="M227" s="62"/>
      <c r="N227" s="51"/>
      <c r="O227" s="51"/>
      <c r="P227" s="51"/>
      <c r="Q227" s="51"/>
      <c r="R227" s="51"/>
      <c r="S227" s="51"/>
      <c r="T227" s="51"/>
    </row>
    <row r="228">
      <c r="A228" s="51"/>
      <c r="B228" s="51"/>
      <c r="C228" s="56"/>
      <c r="D228" s="51"/>
      <c r="E228" s="51"/>
      <c r="F228" s="51"/>
      <c r="G228" s="51" t="str">
        <f>IFERROR(__xludf.DUMMYFUNCTION("""COMPUTED_VALUE"""),"#VALUE!")</f>
        <v>#VALUE!</v>
      </c>
      <c r="H228" s="51" t="str">
        <f>IFERROR(__xludf.DUMMYFUNCTION("""COMPUTED_VALUE"""),"")</f>
        <v/>
      </c>
      <c r="I228" s="51" t="str">
        <f>IFERROR(__xludf.DUMMYFUNCTION("""COMPUTED_VALUE"""),"#VALUE!")</f>
        <v>#VALUE!</v>
      </c>
      <c r="J228" s="51" t="str">
        <f>IFERROR(__xludf.DUMMYFUNCTION("""COMPUTED_VALUE"""),"")</f>
        <v/>
      </c>
      <c r="K228" s="51"/>
      <c r="L228" s="51" t="s">
        <v>257</v>
      </c>
      <c r="M228" s="62"/>
      <c r="N228" s="51"/>
      <c r="O228" s="51"/>
      <c r="P228" s="51"/>
      <c r="Q228" s="51"/>
      <c r="R228" s="51"/>
      <c r="S228" s="51"/>
      <c r="T228" s="51"/>
    </row>
    <row r="229">
      <c r="A229" s="51"/>
      <c r="B229" s="51"/>
      <c r="C229" s="56"/>
      <c r="D229" s="51"/>
      <c r="E229" s="51"/>
      <c r="F229" s="51"/>
      <c r="G229" s="51" t="str">
        <f>IFERROR(__xludf.DUMMYFUNCTION("""COMPUTED_VALUE"""),"#VALUE!")</f>
        <v>#VALUE!</v>
      </c>
      <c r="H229" s="51" t="str">
        <f>IFERROR(__xludf.DUMMYFUNCTION("""COMPUTED_VALUE"""),"")</f>
        <v/>
      </c>
      <c r="I229" s="51" t="str">
        <f>IFERROR(__xludf.DUMMYFUNCTION("""COMPUTED_VALUE"""),"#VALUE!")</f>
        <v>#VALUE!</v>
      </c>
      <c r="J229" s="51" t="str">
        <f>IFERROR(__xludf.DUMMYFUNCTION("""COMPUTED_VALUE"""),"")</f>
        <v/>
      </c>
      <c r="K229" s="51"/>
      <c r="L229" s="51" t="s">
        <v>257</v>
      </c>
      <c r="M229" s="62"/>
      <c r="N229" s="51"/>
      <c r="O229" s="51"/>
      <c r="P229" s="51"/>
      <c r="Q229" s="51"/>
      <c r="R229" s="51"/>
      <c r="S229" s="51"/>
      <c r="T229" s="51"/>
    </row>
    <row r="230">
      <c r="A230" s="51"/>
      <c r="B230" s="51"/>
      <c r="C230" s="56"/>
      <c r="D230" s="51"/>
      <c r="E230" s="51"/>
      <c r="F230" s="51"/>
      <c r="G230" s="51" t="str">
        <f>IFERROR(__xludf.DUMMYFUNCTION("""COMPUTED_VALUE"""),"#VALUE!")</f>
        <v>#VALUE!</v>
      </c>
      <c r="H230" s="51" t="str">
        <f>IFERROR(__xludf.DUMMYFUNCTION("""COMPUTED_VALUE"""),"")</f>
        <v/>
      </c>
      <c r="I230" s="51" t="str">
        <f>IFERROR(__xludf.DUMMYFUNCTION("""COMPUTED_VALUE"""),"#VALUE!")</f>
        <v>#VALUE!</v>
      </c>
      <c r="J230" s="51" t="str">
        <f>IFERROR(__xludf.DUMMYFUNCTION("""COMPUTED_VALUE"""),"")</f>
        <v/>
      </c>
      <c r="K230" s="51"/>
      <c r="L230" s="51" t="s">
        <v>257</v>
      </c>
      <c r="M230" s="62"/>
      <c r="N230" s="51"/>
      <c r="O230" s="51"/>
      <c r="P230" s="51"/>
      <c r="Q230" s="51"/>
      <c r="R230" s="51"/>
      <c r="S230" s="51"/>
      <c r="T230" s="51"/>
    </row>
    <row r="231">
      <c r="A231" s="51"/>
      <c r="B231" s="51"/>
      <c r="C231" s="56"/>
      <c r="D231" s="51"/>
      <c r="E231" s="51"/>
      <c r="F231" s="51"/>
      <c r="G231" s="51" t="str">
        <f>IFERROR(__xludf.DUMMYFUNCTION("""COMPUTED_VALUE"""),"#VALUE!")</f>
        <v>#VALUE!</v>
      </c>
      <c r="H231" s="51" t="str">
        <f>IFERROR(__xludf.DUMMYFUNCTION("""COMPUTED_VALUE"""),"")</f>
        <v/>
      </c>
      <c r="I231" s="51" t="str">
        <f>IFERROR(__xludf.DUMMYFUNCTION("""COMPUTED_VALUE"""),"#VALUE!")</f>
        <v>#VALUE!</v>
      </c>
      <c r="J231" s="51" t="str">
        <f>IFERROR(__xludf.DUMMYFUNCTION("""COMPUTED_VALUE"""),"")</f>
        <v/>
      </c>
      <c r="K231" s="51"/>
      <c r="L231" s="51" t="s">
        <v>257</v>
      </c>
      <c r="M231" s="62"/>
      <c r="N231" s="51"/>
      <c r="O231" s="51"/>
      <c r="P231" s="51"/>
      <c r="Q231" s="51"/>
      <c r="R231" s="51"/>
      <c r="S231" s="51"/>
      <c r="T231" s="51"/>
    </row>
    <row r="232">
      <c r="A232" s="51"/>
      <c r="B232" s="51"/>
      <c r="C232" s="56"/>
      <c r="D232" s="51"/>
      <c r="E232" s="51"/>
      <c r="F232" s="51"/>
      <c r="G232" s="51" t="str">
        <f>IFERROR(__xludf.DUMMYFUNCTION("""COMPUTED_VALUE"""),"#VALUE!")</f>
        <v>#VALUE!</v>
      </c>
      <c r="H232" s="51" t="str">
        <f>IFERROR(__xludf.DUMMYFUNCTION("""COMPUTED_VALUE"""),"")</f>
        <v/>
      </c>
      <c r="I232" s="51" t="str">
        <f>IFERROR(__xludf.DUMMYFUNCTION("""COMPUTED_VALUE"""),"#VALUE!")</f>
        <v>#VALUE!</v>
      </c>
      <c r="J232" s="51" t="str">
        <f>IFERROR(__xludf.DUMMYFUNCTION("""COMPUTED_VALUE"""),"")</f>
        <v/>
      </c>
      <c r="K232" s="51"/>
      <c r="L232" s="51" t="s">
        <v>257</v>
      </c>
      <c r="M232" s="62"/>
      <c r="N232" s="51"/>
      <c r="O232" s="51"/>
      <c r="P232" s="51"/>
      <c r="Q232" s="51"/>
      <c r="R232" s="51"/>
      <c r="S232" s="51"/>
      <c r="T232" s="51"/>
    </row>
    <row r="233">
      <c r="A233" s="51"/>
      <c r="B233" s="51"/>
      <c r="C233" s="56"/>
      <c r="D233" s="51"/>
      <c r="E233" s="51"/>
      <c r="F233" s="51"/>
      <c r="G233" s="51" t="str">
        <f>IFERROR(__xludf.DUMMYFUNCTION("""COMPUTED_VALUE"""),"#VALUE!")</f>
        <v>#VALUE!</v>
      </c>
      <c r="H233" s="51" t="str">
        <f>IFERROR(__xludf.DUMMYFUNCTION("""COMPUTED_VALUE"""),"")</f>
        <v/>
      </c>
      <c r="I233" s="51" t="str">
        <f>IFERROR(__xludf.DUMMYFUNCTION("""COMPUTED_VALUE"""),"#VALUE!")</f>
        <v>#VALUE!</v>
      </c>
      <c r="J233" s="51" t="str">
        <f>IFERROR(__xludf.DUMMYFUNCTION("""COMPUTED_VALUE"""),"")</f>
        <v/>
      </c>
      <c r="K233" s="51"/>
      <c r="L233" s="51" t="s">
        <v>257</v>
      </c>
      <c r="M233" s="62"/>
      <c r="N233" s="51"/>
      <c r="O233" s="51"/>
      <c r="P233" s="51"/>
      <c r="Q233" s="51"/>
      <c r="R233" s="51"/>
      <c r="S233" s="51"/>
      <c r="T233" s="51"/>
    </row>
    <row r="234">
      <c r="A234" s="51"/>
      <c r="B234" s="51"/>
      <c r="C234" s="56"/>
      <c r="D234" s="51"/>
      <c r="E234" s="51"/>
      <c r="F234" s="51"/>
      <c r="G234" s="51" t="str">
        <f>IFERROR(__xludf.DUMMYFUNCTION("""COMPUTED_VALUE"""),"#VALUE!")</f>
        <v>#VALUE!</v>
      </c>
      <c r="H234" s="51" t="str">
        <f>IFERROR(__xludf.DUMMYFUNCTION("""COMPUTED_VALUE"""),"")</f>
        <v/>
      </c>
      <c r="I234" s="51" t="str">
        <f>IFERROR(__xludf.DUMMYFUNCTION("""COMPUTED_VALUE"""),"#VALUE!")</f>
        <v>#VALUE!</v>
      </c>
      <c r="J234" s="51" t="str">
        <f>IFERROR(__xludf.DUMMYFUNCTION("""COMPUTED_VALUE"""),"")</f>
        <v/>
      </c>
      <c r="K234" s="51"/>
      <c r="L234" s="51" t="s">
        <v>257</v>
      </c>
      <c r="M234" s="62"/>
      <c r="N234" s="51"/>
      <c r="O234" s="51"/>
      <c r="P234" s="51"/>
      <c r="Q234" s="51"/>
      <c r="R234" s="51"/>
      <c r="S234" s="51"/>
      <c r="T234" s="51"/>
    </row>
    <row r="235">
      <c r="A235" s="51"/>
      <c r="B235" s="51"/>
      <c r="C235" s="56"/>
      <c r="D235" s="51"/>
      <c r="E235" s="51"/>
      <c r="F235" s="51"/>
      <c r="G235" s="51" t="str">
        <f>IFERROR(__xludf.DUMMYFUNCTION("""COMPUTED_VALUE"""),"#VALUE!")</f>
        <v>#VALUE!</v>
      </c>
      <c r="H235" s="51" t="str">
        <f>IFERROR(__xludf.DUMMYFUNCTION("""COMPUTED_VALUE"""),"")</f>
        <v/>
      </c>
      <c r="I235" s="51" t="str">
        <f>IFERROR(__xludf.DUMMYFUNCTION("""COMPUTED_VALUE"""),"#VALUE!")</f>
        <v>#VALUE!</v>
      </c>
      <c r="J235" s="51" t="str">
        <f>IFERROR(__xludf.DUMMYFUNCTION("""COMPUTED_VALUE"""),"")</f>
        <v/>
      </c>
      <c r="K235" s="51"/>
      <c r="L235" s="51" t="s">
        <v>257</v>
      </c>
      <c r="M235" s="62"/>
      <c r="N235" s="51"/>
      <c r="O235" s="51"/>
      <c r="P235" s="51"/>
      <c r="Q235" s="51"/>
      <c r="R235" s="51"/>
      <c r="S235" s="51"/>
      <c r="T235" s="51"/>
    </row>
    <row r="236">
      <c r="A236" s="51"/>
      <c r="B236" s="51"/>
      <c r="C236" s="56"/>
      <c r="D236" s="51"/>
      <c r="E236" s="51"/>
      <c r="F236" s="51"/>
      <c r="G236" s="51" t="str">
        <f>IFERROR(__xludf.DUMMYFUNCTION("""COMPUTED_VALUE"""),"#VALUE!")</f>
        <v>#VALUE!</v>
      </c>
      <c r="H236" s="51" t="str">
        <f>IFERROR(__xludf.DUMMYFUNCTION("""COMPUTED_VALUE"""),"")</f>
        <v/>
      </c>
      <c r="I236" s="51" t="str">
        <f>IFERROR(__xludf.DUMMYFUNCTION("""COMPUTED_VALUE"""),"#VALUE!")</f>
        <v>#VALUE!</v>
      </c>
      <c r="J236" s="51" t="str">
        <f>IFERROR(__xludf.DUMMYFUNCTION("""COMPUTED_VALUE"""),"")</f>
        <v/>
      </c>
      <c r="K236" s="51"/>
      <c r="L236" s="51" t="s">
        <v>257</v>
      </c>
      <c r="M236" s="62"/>
      <c r="N236" s="51"/>
      <c r="O236" s="51"/>
      <c r="P236" s="51"/>
      <c r="Q236" s="51"/>
      <c r="R236" s="51"/>
      <c r="S236" s="51"/>
      <c r="T236" s="51"/>
    </row>
    <row r="237">
      <c r="A237" s="51"/>
      <c r="B237" s="51"/>
      <c r="C237" s="56"/>
      <c r="D237" s="51"/>
      <c r="E237" s="51"/>
      <c r="F237" s="51"/>
      <c r="G237" s="51" t="str">
        <f>IFERROR(__xludf.DUMMYFUNCTION("""COMPUTED_VALUE"""),"#VALUE!")</f>
        <v>#VALUE!</v>
      </c>
      <c r="H237" s="51" t="str">
        <f>IFERROR(__xludf.DUMMYFUNCTION("""COMPUTED_VALUE"""),"")</f>
        <v/>
      </c>
      <c r="I237" s="51" t="str">
        <f>IFERROR(__xludf.DUMMYFUNCTION("""COMPUTED_VALUE"""),"#VALUE!")</f>
        <v>#VALUE!</v>
      </c>
      <c r="J237" s="51" t="str">
        <f>IFERROR(__xludf.DUMMYFUNCTION("""COMPUTED_VALUE"""),"")</f>
        <v/>
      </c>
      <c r="K237" s="51"/>
      <c r="L237" s="51" t="s">
        <v>257</v>
      </c>
      <c r="M237" s="62"/>
      <c r="N237" s="51"/>
      <c r="O237" s="51"/>
      <c r="P237" s="51"/>
      <c r="Q237" s="51"/>
      <c r="R237" s="51"/>
      <c r="S237" s="51"/>
      <c r="T237" s="51"/>
    </row>
    <row r="238">
      <c r="A238" s="51"/>
      <c r="B238" s="51"/>
      <c r="C238" s="56"/>
      <c r="D238" s="51"/>
      <c r="E238" s="51"/>
      <c r="F238" s="51"/>
      <c r="G238" s="51" t="str">
        <f>IFERROR(__xludf.DUMMYFUNCTION("""COMPUTED_VALUE"""),"#VALUE!")</f>
        <v>#VALUE!</v>
      </c>
      <c r="H238" s="51" t="str">
        <f>IFERROR(__xludf.DUMMYFUNCTION("""COMPUTED_VALUE"""),"")</f>
        <v/>
      </c>
      <c r="I238" s="51" t="str">
        <f>IFERROR(__xludf.DUMMYFUNCTION("""COMPUTED_VALUE"""),"#VALUE!")</f>
        <v>#VALUE!</v>
      </c>
      <c r="J238" s="51" t="str">
        <f>IFERROR(__xludf.DUMMYFUNCTION("""COMPUTED_VALUE"""),"")</f>
        <v/>
      </c>
      <c r="K238" s="51"/>
      <c r="L238" s="51" t="s">
        <v>257</v>
      </c>
      <c r="M238" s="62"/>
      <c r="N238" s="51"/>
      <c r="O238" s="51"/>
      <c r="P238" s="51"/>
      <c r="Q238" s="51"/>
      <c r="R238" s="51"/>
      <c r="S238" s="51"/>
      <c r="T238" s="51"/>
    </row>
    <row r="239">
      <c r="A239" s="51"/>
      <c r="B239" s="51"/>
      <c r="C239" s="56"/>
      <c r="D239" s="51"/>
      <c r="E239" s="51"/>
      <c r="F239" s="51"/>
      <c r="G239" s="51" t="str">
        <f>IFERROR(__xludf.DUMMYFUNCTION("""COMPUTED_VALUE"""),"#VALUE!")</f>
        <v>#VALUE!</v>
      </c>
      <c r="H239" s="51" t="str">
        <f>IFERROR(__xludf.DUMMYFUNCTION("""COMPUTED_VALUE"""),"")</f>
        <v/>
      </c>
      <c r="I239" s="51" t="str">
        <f>IFERROR(__xludf.DUMMYFUNCTION("""COMPUTED_VALUE"""),"#VALUE!")</f>
        <v>#VALUE!</v>
      </c>
      <c r="J239" s="51" t="str">
        <f>IFERROR(__xludf.DUMMYFUNCTION("""COMPUTED_VALUE"""),"")</f>
        <v/>
      </c>
      <c r="K239" s="51"/>
      <c r="L239" s="51" t="s">
        <v>257</v>
      </c>
      <c r="M239" s="62"/>
      <c r="N239" s="51"/>
      <c r="O239" s="51"/>
      <c r="P239" s="51"/>
      <c r="Q239" s="51"/>
      <c r="R239" s="51"/>
      <c r="S239" s="51"/>
      <c r="T239" s="51"/>
    </row>
    <row r="240">
      <c r="A240" s="51"/>
      <c r="B240" s="51"/>
      <c r="C240" s="56"/>
      <c r="D240" s="51"/>
      <c r="E240" s="51"/>
      <c r="F240" s="51"/>
      <c r="G240" s="51" t="str">
        <f>IFERROR(__xludf.DUMMYFUNCTION("""COMPUTED_VALUE"""),"#VALUE!")</f>
        <v>#VALUE!</v>
      </c>
      <c r="H240" s="51" t="str">
        <f>IFERROR(__xludf.DUMMYFUNCTION("""COMPUTED_VALUE"""),"")</f>
        <v/>
      </c>
      <c r="I240" s="51" t="str">
        <f>IFERROR(__xludf.DUMMYFUNCTION("""COMPUTED_VALUE"""),"#VALUE!")</f>
        <v>#VALUE!</v>
      </c>
      <c r="J240" s="51" t="str">
        <f>IFERROR(__xludf.DUMMYFUNCTION("""COMPUTED_VALUE"""),"")</f>
        <v/>
      </c>
      <c r="K240" s="51"/>
      <c r="L240" s="51" t="s">
        <v>257</v>
      </c>
      <c r="M240" s="62"/>
      <c r="N240" s="51"/>
      <c r="O240" s="51"/>
      <c r="P240" s="51"/>
      <c r="Q240" s="51"/>
      <c r="R240" s="51"/>
      <c r="S240" s="51"/>
      <c r="T240" s="51"/>
    </row>
    <row r="241">
      <c r="A241" s="51"/>
      <c r="B241" s="51"/>
      <c r="C241" s="56"/>
      <c r="D241" s="51"/>
      <c r="E241" s="51"/>
      <c r="F241" s="51"/>
      <c r="G241" s="51" t="str">
        <f>IFERROR(__xludf.DUMMYFUNCTION("""COMPUTED_VALUE"""),"#VALUE!")</f>
        <v>#VALUE!</v>
      </c>
      <c r="H241" s="51" t="str">
        <f>IFERROR(__xludf.DUMMYFUNCTION("""COMPUTED_VALUE"""),"")</f>
        <v/>
      </c>
      <c r="I241" s="51" t="str">
        <f>IFERROR(__xludf.DUMMYFUNCTION("""COMPUTED_VALUE"""),"#VALUE!")</f>
        <v>#VALUE!</v>
      </c>
      <c r="J241" s="51" t="str">
        <f>IFERROR(__xludf.DUMMYFUNCTION("""COMPUTED_VALUE"""),"")</f>
        <v/>
      </c>
      <c r="K241" s="51"/>
      <c r="L241" s="51" t="s">
        <v>257</v>
      </c>
      <c r="M241" s="62"/>
      <c r="N241" s="51"/>
      <c r="O241" s="51"/>
      <c r="P241" s="51"/>
      <c r="Q241" s="51"/>
      <c r="R241" s="51"/>
      <c r="S241" s="51"/>
      <c r="T241" s="51"/>
    </row>
    <row r="242">
      <c r="A242" s="51"/>
      <c r="B242" s="51"/>
      <c r="C242" s="56"/>
      <c r="D242" s="51"/>
      <c r="E242" s="51"/>
      <c r="F242" s="51"/>
      <c r="G242" s="51" t="str">
        <f>IFERROR(__xludf.DUMMYFUNCTION("""COMPUTED_VALUE"""),"#VALUE!")</f>
        <v>#VALUE!</v>
      </c>
      <c r="H242" s="51" t="str">
        <f>IFERROR(__xludf.DUMMYFUNCTION("""COMPUTED_VALUE"""),"")</f>
        <v/>
      </c>
      <c r="I242" s="51" t="str">
        <f>IFERROR(__xludf.DUMMYFUNCTION("""COMPUTED_VALUE"""),"#VALUE!")</f>
        <v>#VALUE!</v>
      </c>
      <c r="J242" s="51" t="str">
        <f>IFERROR(__xludf.DUMMYFUNCTION("""COMPUTED_VALUE"""),"")</f>
        <v/>
      </c>
      <c r="K242" s="51"/>
      <c r="L242" s="51" t="s">
        <v>257</v>
      </c>
      <c r="M242" s="62"/>
      <c r="N242" s="51"/>
      <c r="O242" s="51"/>
      <c r="P242" s="51"/>
      <c r="Q242" s="51"/>
      <c r="R242" s="51"/>
      <c r="S242" s="51"/>
      <c r="T242" s="51"/>
    </row>
    <row r="243">
      <c r="A243" s="51"/>
      <c r="B243" s="51"/>
      <c r="C243" s="56"/>
      <c r="D243" s="51"/>
      <c r="E243" s="51"/>
      <c r="F243" s="51"/>
      <c r="G243" s="51" t="str">
        <f>IFERROR(__xludf.DUMMYFUNCTION("""COMPUTED_VALUE"""),"#VALUE!")</f>
        <v>#VALUE!</v>
      </c>
      <c r="H243" s="51" t="str">
        <f>IFERROR(__xludf.DUMMYFUNCTION("""COMPUTED_VALUE"""),"")</f>
        <v/>
      </c>
      <c r="I243" s="51" t="str">
        <f>IFERROR(__xludf.DUMMYFUNCTION("""COMPUTED_VALUE"""),"#VALUE!")</f>
        <v>#VALUE!</v>
      </c>
      <c r="J243" s="51" t="str">
        <f>IFERROR(__xludf.DUMMYFUNCTION("""COMPUTED_VALUE"""),"")</f>
        <v/>
      </c>
      <c r="K243" s="51"/>
      <c r="L243" s="51" t="s">
        <v>257</v>
      </c>
      <c r="M243" s="62"/>
      <c r="N243" s="51"/>
      <c r="O243" s="51"/>
      <c r="P243" s="51"/>
      <c r="Q243" s="51"/>
      <c r="R243" s="51"/>
      <c r="S243" s="51"/>
      <c r="T243" s="51"/>
    </row>
    <row r="244">
      <c r="A244" s="51"/>
      <c r="B244" s="51"/>
      <c r="C244" s="56"/>
      <c r="D244" s="51"/>
      <c r="E244" s="51"/>
      <c r="F244" s="51"/>
      <c r="G244" s="51" t="str">
        <f>IFERROR(__xludf.DUMMYFUNCTION("""COMPUTED_VALUE"""),"#VALUE!")</f>
        <v>#VALUE!</v>
      </c>
      <c r="H244" s="51" t="str">
        <f>IFERROR(__xludf.DUMMYFUNCTION("""COMPUTED_VALUE"""),"")</f>
        <v/>
      </c>
      <c r="I244" s="51" t="str">
        <f>IFERROR(__xludf.DUMMYFUNCTION("""COMPUTED_VALUE"""),"#VALUE!")</f>
        <v>#VALUE!</v>
      </c>
      <c r="J244" s="51" t="str">
        <f>IFERROR(__xludf.DUMMYFUNCTION("""COMPUTED_VALUE"""),"")</f>
        <v/>
      </c>
      <c r="K244" s="51"/>
      <c r="L244" s="51" t="s">
        <v>257</v>
      </c>
      <c r="M244" s="62"/>
      <c r="N244" s="51"/>
      <c r="O244" s="51"/>
      <c r="P244" s="51"/>
      <c r="Q244" s="51"/>
      <c r="R244" s="51"/>
      <c r="S244" s="51"/>
      <c r="T244" s="51"/>
    </row>
    <row r="245">
      <c r="A245" s="51"/>
      <c r="B245" s="51"/>
      <c r="C245" s="56"/>
      <c r="D245" s="51"/>
      <c r="E245" s="51"/>
      <c r="F245" s="51"/>
      <c r="G245" s="51" t="str">
        <f>IFERROR(__xludf.DUMMYFUNCTION("""COMPUTED_VALUE"""),"#VALUE!")</f>
        <v>#VALUE!</v>
      </c>
      <c r="H245" s="51" t="str">
        <f>IFERROR(__xludf.DUMMYFUNCTION("""COMPUTED_VALUE"""),"")</f>
        <v/>
      </c>
      <c r="I245" s="51" t="str">
        <f>IFERROR(__xludf.DUMMYFUNCTION("""COMPUTED_VALUE"""),"#VALUE!")</f>
        <v>#VALUE!</v>
      </c>
      <c r="J245" s="51" t="str">
        <f>IFERROR(__xludf.DUMMYFUNCTION("""COMPUTED_VALUE"""),"")</f>
        <v/>
      </c>
      <c r="K245" s="51"/>
      <c r="L245" s="51" t="s">
        <v>257</v>
      </c>
      <c r="M245" s="62"/>
      <c r="N245" s="51"/>
      <c r="O245" s="51"/>
      <c r="P245" s="51"/>
      <c r="Q245" s="51"/>
      <c r="R245" s="51"/>
      <c r="S245" s="51"/>
      <c r="T245" s="51"/>
    </row>
    <row r="246">
      <c r="A246" s="51"/>
      <c r="B246" s="51"/>
      <c r="C246" s="56"/>
      <c r="D246" s="51"/>
      <c r="E246" s="51"/>
      <c r="F246" s="51"/>
      <c r="G246" s="51" t="str">
        <f>IFERROR(__xludf.DUMMYFUNCTION("""COMPUTED_VALUE"""),"#VALUE!")</f>
        <v>#VALUE!</v>
      </c>
      <c r="H246" s="51" t="str">
        <f>IFERROR(__xludf.DUMMYFUNCTION("""COMPUTED_VALUE"""),"")</f>
        <v/>
      </c>
      <c r="I246" s="51" t="str">
        <f>IFERROR(__xludf.DUMMYFUNCTION("""COMPUTED_VALUE"""),"#VALUE!")</f>
        <v>#VALUE!</v>
      </c>
      <c r="J246" s="51" t="str">
        <f>IFERROR(__xludf.DUMMYFUNCTION("""COMPUTED_VALUE"""),"")</f>
        <v/>
      </c>
      <c r="K246" s="51"/>
      <c r="L246" s="51" t="s">
        <v>257</v>
      </c>
      <c r="M246" s="62"/>
      <c r="N246" s="51"/>
      <c r="O246" s="51"/>
      <c r="P246" s="51"/>
      <c r="Q246" s="51"/>
      <c r="R246" s="51"/>
      <c r="S246" s="51"/>
      <c r="T246" s="51"/>
    </row>
    <row r="247">
      <c r="A247" s="51"/>
      <c r="B247" s="51"/>
      <c r="C247" s="56"/>
      <c r="D247" s="51"/>
      <c r="E247" s="51"/>
      <c r="F247" s="51"/>
      <c r="G247" s="51" t="str">
        <f>IFERROR(__xludf.DUMMYFUNCTION("""COMPUTED_VALUE"""),"#VALUE!")</f>
        <v>#VALUE!</v>
      </c>
      <c r="H247" s="51" t="str">
        <f>IFERROR(__xludf.DUMMYFUNCTION("""COMPUTED_VALUE"""),"")</f>
        <v/>
      </c>
      <c r="I247" s="51" t="str">
        <f>IFERROR(__xludf.DUMMYFUNCTION("""COMPUTED_VALUE"""),"#VALUE!")</f>
        <v>#VALUE!</v>
      </c>
      <c r="J247" s="51" t="str">
        <f>IFERROR(__xludf.DUMMYFUNCTION("""COMPUTED_VALUE"""),"")</f>
        <v/>
      </c>
      <c r="K247" s="51"/>
      <c r="L247" s="51" t="s">
        <v>257</v>
      </c>
      <c r="M247" s="62"/>
      <c r="N247" s="51"/>
      <c r="O247" s="51"/>
      <c r="P247" s="51"/>
      <c r="Q247" s="51"/>
      <c r="R247" s="51"/>
      <c r="S247" s="51"/>
      <c r="T247" s="51"/>
    </row>
    <row r="248">
      <c r="A248" s="51"/>
      <c r="B248" s="51"/>
      <c r="C248" s="56"/>
      <c r="D248" s="51"/>
      <c r="E248" s="51"/>
      <c r="F248" s="51"/>
      <c r="G248" s="51" t="str">
        <f>IFERROR(__xludf.DUMMYFUNCTION("""COMPUTED_VALUE"""),"#VALUE!")</f>
        <v>#VALUE!</v>
      </c>
      <c r="H248" s="51" t="str">
        <f>IFERROR(__xludf.DUMMYFUNCTION("""COMPUTED_VALUE"""),"")</f>
        <v/>
      </c>
      <c r="I248" s="51" t="str">
        <f>IFERROR(__xludf.DUMMYFUNCTION("""COMPUTED_VALUE"""),"#VALUE!")</f>
        <v>#VALUE!</v>
      </c>
      <c r="J248" s="51" t="str">
        <f>IFERROR(__xludf.DUMMYFUNCTION("""COMPUTED_VALUE"""),"")</f>
        <v/>
      </c>
      <c r="K248" s="51"/>
      <c r="L248" s="51" t="s">
        <v>257</v>
      </c>
      <c r="M248" s="51"/>
      <c r="N248" s="51"/>
      <c r="O248" s="51"/>
      <c r="P248" s="51"/>
      <c r="Q248" s="51"/>
      <c r="R248" s="51"/>
      <c r="S248" s="51"/>
      <c r="T248" s="51"/>
    </row>
    <row r="249">
      <c r="A249" s="51"/>
      <c r="B249" s="51"/>
      <c r="C249" s="56"/>
      <c r="D249" s="51"/>
      <c r="E249" s="51"/>
      <c r="F249" s="51"/>
      <c r="G249" s="51" t="str">
        <f>IFERROR(__xludf.DUMMYFUNCTION("""COMPUTED_VALUE"""),"#VALUE!")</f>
        <v>#VALUE!</v>
      </c>
      <c r="H249" s="51" t="str">
        <f>IFERROR(__xludf.DUMMYFUNCTION("""COMPUTED_VALUE"""),"")</f>
        <v/>
      </c>
      <c r="I249" s="51" t="str">
        <f>IFERROR(__xludf.DUMMYFUNCTION("""COMPUTED_VALUE"""),"#VALUE!")</f>
        <v>#VALUE!</v>
      </c>
      <c r="J249" s="51" t="str">
        <f>IFERROR(__xludf.DUMMYFUNCTION("""COMPUTED_VALUE"""),"")</f>
        <v/>
      </c>
      <c r="K249" s="51"/>
      <c r="L249" s="51" t="s">
        <v>257</v>
      </c>
      <c r="M249" s="51"/>
      <c r="N249" s="51"/>
      <c r="O249" s="51"/>
      <c r="P249" s="51"/>
      <c r="Q249" s="51"/>
      <c r="R249" s="51"/>
      <c r="S249" s="51"/>
      <c r="T249" s="51"/>
    </row>
    <row r="250">
      <c r="A250" s="51"/>
      <c r="B250" s="51"/>
      <c r="C250" s="56"/>
      <c r="D250" s="51"/>
      <c r="E250" s="51"/>
      <c r="F250" s="51"/>
      <c r="G250" s="51" t="str">
        <f>IFERROR(__xludf.DUMMYFUNCTION("""COMPUTED_VALUE"""),"#VALUE!")</f>
        <v>#VALUE!</v>
      </c>
      <c r="H250" s="51" t="str">
        <f>IFERROR(__xludf.DUMMYFUNCTION("""COMPUTED_VALUE"""),"")</f>
        <v/>
      </c>
      <c r="I250" s="51" t="str">
        <f>IFERROR(__xludf.DUMMYFUNCTION("""COMPUTED_VALUE"""),"#VALUE!")</f>
        <v>#VALUE!</v>
      </c>
      <c r="J250" s="51" t="str">
        <f>IFERROR(__xludf.DUMMYFUNCTION("""COMPUTED_VALUE"""),"")</f>
        <v/>
      </c>
      <c r="K250" s="51"/>
      <c r="L250" s="51" t="s">
        <v>257</v>
      </c>
      <c r="M250" s="51"/>
      <c r="N250" s="51"/>
      <c r="O250" s="51"/>
      <c r="P250" s="51"/>
      <c r="Q250" s="51"/>
      <c r="R250" s="51"/>
      <c r="S250" s="51"/>
      <c r="T250" s="51"/>
    </row>
    <row r="251">
      <c r="A251" s="51"/>
      <c r="B251" s="51"/>
      <c r="C251" s="56"/>
      <c r="D251" s="51"/>
      <c r="E251" s="51"/>
      <c r="F251" s="51"/>
      <c r="G251" s="51" t="str">
        <f>IFERROR(__xludf.DUMMYFUNCTION("""COMPUTED_VALUE"""),"#VALUE!")</f>
        <v>#VALUE!</v>
      </c>
      <c r="H251" s="51" t="str">
        <f>IFERROR(__xludf.DUMMYFUNCTION("""COMPUTED_VALUE"""),"")</f>
        <v/>
      </c>
      <c r="I251" s="51" t="str">
        <f>IFERROR(__xludf.DUMMYFUNCTION("""COMPUTED_VALUE"""),"#VALUE!")</f>
        <v>#VALUE!</v>
      </c>
      <c r="J251" s="51" t="str">
        <f>IFERROR(__xludf.DUMMYFUNCTION("""COMPUTED_VALUE"""),"")</f>
        <v/>
      </c>
      <c r="K251" s="51"/>
      <c r="L251" s="51" t="s">
        <v>257</v>
      </c>
      <c r="M251" s="51"/>
      <c r="N251" s="51"/>
      <c r="O251" s="51"/>
      <c r="P251" s="51"/>
      <c r="Q251" s="51"/>
      <c r="R251" s="51"/>
      <c r="S251" s="51"/>
      <c r="T251" s="51"/>
    </row>
    <row r="252">
      <c r="A252" s="51"/>
      <c r="B252" s="51"/>
      <c r="C252" s="56"/>
      <c r="D252" s="51"/>
      <c r="E252" s="51"/>
      <c r="F252" s="51"/>
      <c r="G252" s="51" t="str">
        <f>IFERROR(__xludf.DUMMYFUNCTION("""COMPUTED_VALUE"""),"#VALUE!")</f>
        <v>#VALUE!</v>
      </c>
      <c r="H252" s="51" t="str">
        <f>IFERROR(__xludf.DUMMYFUNCTION("""COMPUTED_VALUE"""),"")</f>
        <v/>
      </c>
      <c r="I252" s="51" t="str">
        <f>IFERROR(__xludf.DUMMYFUNCTION("""COMPUTED_VALUE"""),"#VALUE!")</f>
        <v>#VALUE!</v>
      </c>
      <c r="J252" s="51" t="str">
        <f>IFERROR(__xludf.DUMMYFUNCTION("""COMPUTED_VALUE"""),"")</f>
        <v/>
      </c>
      <c r="K252" s="51"/>
      <c r="L252" s="51" t="s">
        <v>257</v>
      </c>
      <c r="M252" s="51"/>
      <c r="N252" s="51"/>
      <c r="O252" s="51"/>
      <c r="P252" s="51"/>
      <c r="Q252" s="51"/>
      <c r="R252" s="51"/>
      <c r="S252" s="51"/>
      <c r="T252" s="51"/>
    </row>
    <row r="253">
      <c r="A253" s="51"/>
      <c r="B253" s="51"/>
      <c r="C253" s="56"/>
      <c r="D253" s="51"/>
      <c r="E253" s="51"/>
      <c r="F253" s="51"/>
      <c r="G253" s="51" t="str">
        <f>IFERROR(__xludf.DUMMYFUNCTION("""COMPUTED_VALUE"""),"#VALUE!")</f>
        <v>#VALUE!</v>
      </c>
      <c r="H253" s="51" t="str">
        <f>IFERROR(__xludf.DUMMYFUNCTION("""COMPUTED_VALUE"""),"")</f>
        <v/>
      </c>
      <c r="I253" s="51" t="str">
        <f>IFERROR(__xludf.DUMMYFUNCTION("""COMPUTED_VALUE"""),"#VALUE!")</f>
        <v>#VALUE!</v>
      </c>
      <c r="J253" s="51" t="str">
        <f>IFERROR(__xludf.DUMMYFUNCTION("""COMPUTED_VALUE"""),"")</f>
        <v/>
      </c>
      <c r="K253" s="51"/>
      <c r="L253" s="51" t="s">
        <v>257</v>
      </c>
      <c r="M253" s="51"/>
      <c r="N253" s="51"/>
      <c r="O253" s="51"/>
      <c r="P253" s="51"/>
      <c r="Q253" s="51"/>
      <c r="R253" s="51"/>
      <c r="S253" s="51"/>
      <c r="T253" s="51"/>
    </row>
    <row r="254">
      <c r="A254" s="51"/>
      <c r="B254" s="51"/>
      <c r="C254" s="56"/>
      <c r="D254" s="51"/>
      <c r="E254" s="51"/>
      <c r="F254" s="51"/>
      <c r="G254" s="51" t="str">
        <f>IFERROR(__xludf.DUMMYFUNCTION("""COMPUTED_VALUE"""),"#VALUE!")</f>
        <v>#VALUE!</v>
      </c>
      <c r="H254" s="51" t="str">
        <f>IFERROR(__xludf.DUMMYFUNCTION("""COMPUTED_VALUE"""),"")</f>
        <v/>
      </c>
      <c r="I254" s="51" t="str">
        <f>IFERROR(__xludf.DUMMYFUNCTION("""COMPUTED_VALUE"""),"#VALUE!")</f>
        <v>#VALUE!</v>
      </c>
      <c r="J254" s="51" t="str">
        <f>IFERROR(__xludf.DUMMYFUNCTION("""COMPUTED_VALUE"""),"")</f>
        <v/>
      </c>
      <c r="K254" s="51"/>
      <c r="L254" s="51" t="s">
        <v>257</v>
      </c>
      <c r="M254" s="51"/>
      <c r="N254" s="51"/>
      <c r="O254" s="51"/>
      <c r="P254" s="51"/>
      <c r="Q254" s="51"/>
      <c r="R254" s="51"/>
      <c r="S254" s="51"/>
      <c r="T254" s="51"/>
    </row>
    <row r="255">
      <c r="A255" s="51"/>
      <c r="B255" s="51"/>
      <c r="C255" s="56"/>
      <c r="D255" s="51"/>
      <c r="E255" s="51"/>
      <c r="F255" s="51"/>
      <c r="G255" s="51" t="str">
        <f>IFERROR(__xludf.DUMMYFUNCTION("""COMPUTED_VALUE"""),"#VALUE!")</f>
        <v>#VALUE!</v>
      </c>
      <c r="H255" s="51" t="str">
        <f>IFERROR(__xludf.DUMMYFUNCTION("""COMPUTED_VALUE"""),"")</f>
        <v/>
      </c>
      <c r="I255" s="51" t="str">
        <f>IFERROR(__xludf.DUMMYFUNCTION("""COMPUTED_VALUE"""),"#VALUE!")</f>
        <v>#VALUE!</v>
      </c>
      <c r="J255" s="51" t="str">
        <f>IFERROR(__xludf.DUMMYFUNCTION("""COMPUTED_VALUE"""),"")</f>
        <v/>
      </c>
      <c r="K255" s="51"/>
      <c r="L255" s="51" t="s">
        <v>257</v>
      </c>
      <c r="M255" s="51"/>
      <c r="N255" s="51"/>
      <c r="O255" s="51"/>
      <c r="P255" s="51"/>
      <c r="Q255" s="51"/>
      <c r="R255" s="51"/>
      <c r="S255" s="51"/>
      <c r="T255" s="51"/>
    </row>
    <row r="256">
      <c r="A256" s="51"/>
      <c r="B256" s="51"/>
      <c r="C256" s="56"/>
      <c r="D256" s="51"/>
      <c r="E256" s="51"/>
      <c r="F256" s="51"/>
      <c r="G256" s="51" t="str">
        <f>IFERROR(__xludf.DUMMYFUNCTION("""COMPUTED_VALUE"""),"#VALUE!")</f>
        <v>#VALUE!</v>
      </c>
      <c r="H256" s="51" t="str">
        <f>IFERROR(__xludf.DUMMYFUNCTION("""COMPUTED_VALUE"""),"")</f>
        <v/>
      </c>
      <c r="I256" s="51" t="str">
        <f>IFERROR(__xludf.DUMMYFUNCTION("""COMPUTED_VALUE"""),"#VALUE!")</f>
        <v>#VALUE!</v>
      </c>
      <c r="J256" s="51" t="str">
        <f>IFERROR(__xludf.DUMMYFUNCTION("""COMPUTED_VALUE"""),"")</f>
        <v/>
      </c>
      <c r="K256" s="51"/>
      <c r="L256" s="51" t="s">
        <v>257</v>
      </c>
      <c r="M256" s="51"/>
      <c r="N256" s="51"/>
      <c r="O256" s="51"/>
      <c r="P256" s="51"/>
      <c r="Q256" s="51"/>
      <c r="R256" s="51"/>
      <c r="S256" s="51"/>
      <c r="T256" s="51"/>
    </row>
    <row r="257">
      <c r="A257" s="51"/>
      <c r="B257" s="51"/>
      <c r="C257" s="56"/>
      <c r="D257" s="51"/>
      <c r="E257" s="51"/>
      <c r="F257" s="51"/>
      <c r="G257" s="51" t="str">
        <f>IFERROR(__xludf.DUMMYFUNCTION("""COMPUTED_VALUE"""),"#VALUE!")</f>
        <v>#VALUE!</v>
      </c>
      <c r="H257" s="51" t="str">
        <f>IFERROR(__xludf.DUMMYFUNCTION("""COMPUTED_VALUE"""),"")</f>
        <v/>
      </c>
      <c r="I257" s="51" t="str">
        <f>IFERROR(__xludf.DUMMYFUNCTION("""COMPUTED_VALUE"""),"#VALUE!")</f>
        <v>#VALUE!</v>
      </c>
      <c r="J257" s="51" t="str">
        <f>IFERROR(__xludf.DUMMYFUNCTION("""COMPUTED_VALUE"""),"")</f>
        <v/>
      </c>
      <c r="K257" s="51"/>
      <c r="L257" s="51" t="s">
        <v>257</v>
      </c>
      <c r="M257" s="51"/>
      <c r="N257" s="51"/>
      <c r="O257" s="51"/>
      <c r="P257" s="51"/>
      <c r="Q257" s="51"/>
      <c r="R257" s="51"/>
      <c r="S257" s="51"/>
      <c r="T257" s="51"/>
    </row>
    <row r="258">
      <c r="A258" s="51"/>
      <c r="B258" s="51"/>
      <c r="C258" s="56"/>
      <c r="D258" s="51"/>
      <c r="E258" s="51"/>
      <c r="F258" s="51"/>
      <c r="G258" s="51" t="str">
        <f>IFERROR(__xludf.DUMMYFUNCTION("""COMPUTED_VALUE"""),"#VALUE!")</f>
        <v>#VALUE!</v>
      </c>
      <c r="H258" s="51" t="str">
        <f>IFERROR(__xludf.DUMMYFUNCTION("""COMPUTED_VALUE"""),"")</f>
        <v/>
      </c>
      <c r="I258" s="51" t="str">
        <f>IFERROR(__xludf.DUMMYFUNCTION("""COMPUTED_VALUE"""),"#VALUE!")</f>
        <v>#VALUE!</v>
      </c>
      <c r="J258" s="51" t="str">
        <f>IFERROR(__xludf.DUMMYFUNCTION("""COMPUTED_VALUE"""),"")</f>
        <v/>
      </c>
      <c r="K258" s="51"/>
      <c r="L258" s="51" t="s">
        <v>257</v>
      </c>
      <c r="M258" s="51"/>
      <c r="N258" s="51"/>
      <c r="O258" s="51"/>
      <c r="P258" s="51"/>
      <c r="Q258" s="51"/>
      <c r="R258" s="51"/>
      <c r="S258" s="51"/>
      <c r="T258" s="51"/>
    </row>
    <row r="259">
      <c r="A259" s="51"/>
      <c r="B259" s="51"/>
      <c r="C259" s="56"/>
      <c r="D259" s="51"/>
      <c r="E259" s="51"/>
      <c r="F259" s="51"/>
      <c r="G259" s="51" t="str">
        <f>IFERROR(__xludf.DUMMYFUNCTION("""COMPUTED_VALUE"""),"#VALUE!")</f>
        <v>#VALUE!</v>
      </c>
      <c r="H259" s="51" t="str">
        <f>IFERROR(__xludf.DUMMYFUNCTION("""COMPUTED_VALUE"""),"")</f>
        <v/>
      </c>
      <c r="I259" s="51" t="str">
        <f>IFERROR(__xludf.DUMMYFUNCTION("""COMPUTED_VALUE"""),"#VALUE!")</f>
        <v>#VALUE!</v>
      </c>
      <c r="J259" s="51" t="str">
        <f>IFERROR(__xludf.DUMMYFUNCTION("""COMPUTED_VALUE"""),"")</f>
        <v/>
      </c>
      <c r="K259" s="51"/>
      <c r="L259" s="51" t="s">
        <v>257</v>
      </c>
      <c r="M259" s="51"/>
      <c r="N259" s="51"/>
      <c r="O259" s="51"/>
      <c r="P259" s="51"/>
      <c r="Q259" s="51"/>
      <c r="R259" s="51"/>
      <c r="S259" s="51"/>
      <c r="T259" s="51"/>
    </row>
    <row r="260">
      <c r="A260" s="51"/>
      <c r="B260" s="51"/>
      <c r="C260" s="56"/>
      <c r="D260" s="51"/>
      <c r="E260" s="51"/>
      <c r="F260" s="51"/>
      <c r="G260" s="51" t="str">
        <f>IFERROR(__xludf.DUMMYFUNCTION("""COMPUTED_VALUE"""),"#VALUE!")</f>
        <v>#VALUE!</v>
      </c>
      <c r="H260" s="51" t="str">
        <f>IFERROR(__xludf.DUMMYFUNCTION("""COMPUTED_VALUE"""),"")</f>
        <v/>
      </c>
      <c r="I260" s="51" t="str">
        <f>IFERROR(__xludf.DUMMYFUNCTION("""COMPUTED_VALUE"""),"#VALUE!")</f>
        <v>#VALUE!</v>
      </c>
      <c r="J260" s="51" t="str">
        <f>IFERROR(__xludf.DUMMYFUNCTION("""COMPUTED_VALUE"""),"")</f>
        <v/>
      </c>
      <c r="K260" s="51"/>
      <c r="L260" s="51" t="s">
        <v>257</v>
      </c>
      <c r="M260" s="51"/>
      <c r="N260" s="51"/>
      <c r="O260" s="51"/>
      <c r="P260" s="51"/>
      <c r="Q260" s="51"/>
      <c r="R260" s="51"/>
      <c r="S260" s="51"/>
      <c r="T260" s="51"/>
    </row>
    <row r="261">
      <c r="A261" s="51"/>
      <c r="B261" s="51"/>
      <c r="C261" s="56"/>
      <c r="D261" s="51"/>
      <c r="E261" s="51"/>
      <c r="F261" s="51"/>
      <c r="G261" s="51" t="str">
        <f>IFERROR(__xludf.DUMMYFUNCTION("""COMPUTED_VALUE"""),"#VALUE!")</f>
        <v>#VALUE!</v>
      </c>
      <c r="H261" s="51" t="str">
        <f>IFERROR(__xludf.DUMMYFUNCTION("""COMPUTED_VALUE"""),"")</f>
        <v/>
      </c>
      <c r="I261" s="51" t="str">
        <f>IFERROR(__xludf.DUMMYFUNCTION("""COMPUTED_VALUE"""),"#VALUE!")</f>
        <v>#VALUE!</v>
      </c>
      <c r="J261" s="51" t="str">
        <f>IFERROR(__xludf.DUMMYFUNCTION("""COMPUTED_VALUE"""),"")</f>
        <v/>
      </c>
      <c r="K261" s="51"/>
      <c r="L261" s="51" t="s">
        <v>257</v>
      </c>
      <c r="M261" s="51"/>
      <c r="N261" s="51"/>
      <c r="O261" s="51"/>
      <c r="P261" s="51"/>
      <c r="Q261" s="51"/>
      <c r="R261" s="51"/>
      <c r="S261" s="51"/>
      <c r="T261" s="51"/>
    </row>
    <row r="262">
      <c r="A262" s="51"/>
      <c r="B262" s="51"/>
      <c r="C262" s="56"/>
      <c r="D262" s="51"/>
      <c r="E262" s="51"/>
      <c r="F262" s="51"/>
      <c r="G262" s="51" t="str">
        <f>IFERROR(__xludf.DUMMYFUNCTION("""COMPUTED_VALUE"""),"#VALUE!")</f>
        <v>#VALUE!</v>
      </c>
      <c r="H262" s="51" t="str">
        <f>IFERROR(__xludf.DUMMYFUNCTION("""COMPUTED_VALUE"""),"")</f>
        <v/>
      </c>
      <c r="I262" s="51" t="str">
        <f>IFERROR(__xludf.DUMMYFUNCTION("""COMPUTED_VALUE"""),"#VALUE!")</f>
        <v>#VALUE!</v>
      </c>
      <c r="J262" s="51" t="str">
        <f>IFERROR(__xludf.DUMMYFUNCTION("""COMPUTED_VALUE"""),"")</f>
        <v/>
      </c>
      <c r="K262" s="51"/>
      <c r="L262" s="51" t="s">
        <v>257</v>
      </c>
      <c r="M262" s="51"/>
      <c r="N262" s="51"/>
      <c r="O262" s="51"/>
      <c r="P262" s="51"/>
      <c r="Q262" s="51"/>
      <c r="R262" s="51"/>
      <c r="S262" s="51"/>
      <c r="T262" s="51"/>
    </row>
    <row r="263">
      <c r="A263" s="51"/>
      <c r="B263" s="51"/>
      <c r="C263" s="56"/>
      <c r="D263" s="51"/>
      <c r="E263" s="51"/>
      <c r="F263" s="51"/>
      <c r="G263" s="51" t="str">
        <f>IFERROR(__xludf.DUMMYFUNCTION("""COMPUTED_VALUE"""),"#VALUE!")</f>
        <v>#VALUE!</v>
      </c>
      <c r="H263" s="51" t="str">
        <f>IFERROR(__xludf.DUMMYFUNCTION("""COMPUTED_VALUE"""),"")</f>
        <v/>
      </c>
      <c r="I263" s="51" t="str">
        <f>IFERROR(__xludf.DUMMYFUNCTION("""COMPUTED_VALUE"""),"#VALUE!")</f>
        <v>#VALUE!</v>
      </c>
      <c r="J263" s="51" t="str">
        <f>IFERROR(__xludf.DUMMYFUNCTION("""COMPUTED_VALUE"""),"")</f>
        <v/>
      </c>
      <c r="K263" s="51"/>
      <c r="L263" s="51" t="s">
        <v>257</v>
      </c>
      <c r="M263" s="51"/>
      <c r="N263" s="51"/>
      <c r="O263" s="51"/>
      <c r="P263" s="51"/>
      <c r="Q263" s="51"/>
      <c r="R263" s="51"/>
      <c r="S263" s="51"/>
      <c r="T263" s="51"/>
    </row>
    <row r="264">
      <c r="A264" s="51"/>
      <c r="B264" s="51"/>
      <c r="C264" s="56"/>
      <c r="D264" s="51"/>
      <c r="E264" s="51"/>
      <c r="F264" s="51"/>
      <c r="G264" s="51" t="str">
        <f>IFERROR(__xludf.DUMMYFUNCTION("""COMPUTED_VALUE"""),"#VALUE!")</f>
        <v>#VALUE!</v>
      </c>
      <c r="H264" s="51" t="str">
        <f>IFERROR(__xludf.DUMMYFUNCTION("""COMPUTED_VALUE"""),"")</f>
        <v/>
      </c>
      <c r="I264" s="51" t="str">
        <f>IFERROR(__xludf.DUMMYFUNCTION("""COMPUTED_VALUE"""),"#VALUE!")</f>
        <v>#VALUE!</v>
      </c>
      <c r="J264" s="51" t="str">
        <f>IFERROR(__xludf.DUMMYFUNCTION("""COMPUTED_VALUE"""),"")</f>
        <v/>
      </c>
      <c r="K264" s="51"/>
      <c r="L264" s="51" t="s">
        <v>257</v>
      </c>
      <c r="M264" s="51"/>
      <c r="N264" s="51"/>
      <c r="O264" s="51"/>
      <c r="P264" s="51"/>
      <c r="Q264" s="51"/>
      <c r="R264" s="51"/>
      <c r="S264" s="51"/>
      <c r="T264" s="51"/>
    </row>
    <row r="265">
      <c r="A265" s="51"/>
      <c r="B265" s="51"/>
      <c r="C265" s="56"/>
      <c r="D265" s="51"/>
      <c r="E265" s="51"/>
      <c r="F265" s="51"/>
      <c r="G265" s="51" t="str">
        <f>IFERROR(__xludf.DUMMYFUNCTION("""COMPUTED_VALUE"""),"#VALUE!")</f>
        <v>#VALUE!</v>
      </c>
      <c r="H265" s="51" t="str">
        <f>IFERROR(__xludf.DUMMYFUNCTION("""COMPUTED_VALUE"""),"")</f>
        <v/>
      </c>
      <c r="I265" s="51" t="str">
        <f>IFERROR(__xludf.DUMMYFUNCTION("""COMPUTED_VALUE"""),"#VALUE!")</f>
        <v>#VALUE!</v>
      </c>
      <c r="J265" s="51" t="str">
        <f>IFERROR(__xludf.DUMMYFUNCTION("""COMPUTED_VALUE"""),"")</f>
        <v/>
      </c>
      <c r="K265" s="51"/>
      <c r="L265" s="51" t="s">
        <v>257</v>
      </c>
      <c r="M265" s="51"/>
      <c r="N265" s="51"/>
      <c r="O265" s="51"/>
      <c r="P265" s="51"/>
      <c r="Q265" s="51"/>
      <c r="R265" s="51"/>
      <c r="S265" s="51"/>
      <c r="T265" s="51"/>
    </row>
    <row r="266">
      <c r="A266" s="51"/>
      <c r="B266" s="51"/>
      <c r="C266" s="56"/>
      <c r="D266" s="51"/>
      <c r="E266" s="51"/>
      <c r="F266" s="51"/>
      <c r="G266" s="51" t="str">
        <f>IFERROR(__xludf.DUMMYFUNCTION("""COMPUTED_VALUE"""),"#VALUE!")</f>
        <v>#VALUE!</v>
      </c>
      <c r="H266" s="51" t="str">
        <f>IFERROR(__xludf.DUMMYFUNCTION("""COMPUTED_VALUE"""),"")</f>
        <v/>
      </c>
      <c r="I266" s="51" t="str">
        <f>IFERROR(__xludf.DUMMYFUNCTION("""COMPUTED_VALUE"""),"#VALUE!")</f>
        <v>#VALUE!</v>
      </c>
      <c r="J266" s="51" t="str">
        <f>IFERROR(__xludf.DUMMYFUNCTION("""COMPUTED_VALUE"""),"")</f>
        <v/>
      </c>
      <c r="K266" s="51"/>
      <c r="L266" s="51" t="s">
        <v>257</v>
      </c>
      <c r="M266" s="51"/>
      <c r="N266" s="51"/>
      <c r="O266" s="51"/>
      <c r="P266" s="51"/>
      <c r="Q266" s="51"/>
      <c r="R266" s="51"/>
      <c r="S266" s="51"/>
      <c r="T266" s="51"/>
    </row>
    <row r="267">
      <c r="A267" s="51"/>
      <c r="B267" s="51"/>
      <c r="C267" s="56"/>
      <c r="D267" s="51"/>
      <c r="E267" s="51"/>
      <c r="F267" s="51"/>
      <c r="G267" s="51" t="str">
        <f>IFERROR(__xludf.DUMMYFUNCTION("""COMPUTED_VALUE"""),"#VALUE!")</f>
        <v>#VALUE!</v>
      </c>
      <c r="H267" s="51" t="str">
        <f>IFERROR(__xludf.DUMMYFUNCTION("""COMPUTED_VALUE"""),"")</f>
        <v/>
      </c>
      <c r="I267" s="51" t="str">
        <f>IFERROR(__xludf.DUMMYFUNCTION("""COMPUTED_VALUE"""),"#VALUE!")</f>
        <v>#VALUE!</v>
      </c>
      <c r="J267" s="51" t="str">
        <f>IFERROR(__xludf.DUMMYFUNCTION("""COMPUTED_VALUE"""),"")</f>
        <v/>
      </c>
      <c r="K267" s="51"/>
      <c r="L267" s="51" t="s">
        <v>257</v>
      </c>
      <c r="M267" s="51"/>
      <c r="N267" s="51"/>
      <c r="O267" s="51"/>
      <c r="P267" s="51"/>
      <c r="Q267" s="51"/>
      <c r="R267" s="51"/>
      <c r="S267" s="51"/>
      <c r="T267" s="51"/>
    </row>
    <row r="268">
      <c r="A268" s="51"/>
      <c r="B268" s="51"/>
      <c r="C268" s="56"/>
      <c r="D268" s="51"/>
      <c r="E268" s="51"/>
      <c r="F268" s="51"/>
      <c r="G268" s="51" t="str">
        <f>IFERROR(__xludf.DUMMYFUNCTION("""COMPUTED_VALUE"""),"#VALUE!")</f>
        <v>#VALUE!</v>
      </c>
      <c r="H268" s="51" t="str">
        <f>IFERROR(__xludf.DUMMYFUNCTION("""COMPUTED_VALUE"""),"")</f>
        <v/>
      </c>
      <c r="I268" s="51" t="str">
        <f>IFERROR(__xludf.DUMMYFUNCTION("""COMPUTED_VALUE"""),"#VALUE!")</f>
        <v>#VALUE!</v>
      </c>
      <c r="J268" s="51" t="str">
        <f>IFERROR(__xludf.DUMMYFUNCTION("""COMPUTED_VALUE"""),"")</f>
        <v/>
      </c>
      <c r="K268" s="51"/>
      <c r="L268" s="51" t="s">
        <v>257</v>
      </c>
      <c r="M268" s="51"/>
      <c r="N268" s="51"/>
      <c r="O268" s="51"/>
      <c r="P268" s="51"/>
      <c r="Q268" s="51"/>
      <c r="R268" s="51"/>
      <c r="S268" s="51"/>
      <c r="T268" s="51"/>
    </row>
    <row r="269">
      <c r="A269" s="51"/>
      <c r="B269" s="51"/>
      <c r="C269" s="56"/>
      <c r="D269" s="51"/>
      <c r="E269" s="51"/>
      <c r="F269" s="51"/>
      <c r="G269" s="51" t="str">
        <f>IFERROR(__xludf.DUMMYFUNCTION("""COMPUTED_VALUE"""),"#VALUE!")</f>
        <v>#VALUE!</v>
      </c>
      <c r="H269" s="51" t="str">
        <f>IFERROR(__xludf.DUMMYFUNCTION("""COMPUTED_VALUE"""),"")</f>
        <v/>
      </c>
      <c r="I269" s="51" t="str">
        <f>IFERROR(__xludf.DUMMYFUNCTION("""COMPUTED_VALUE"""),"#VALUE!")</f>
        <v>#VALUE!</v>
      </c>
      <c r="J269" s="51" t="str">
        <f>IFERROR(__xludf.DUMMYFUNCTION("""COMPUTED_VALUE"""),"")</f>
        <v/>
      </c>
      <c r="K269" s="51"/>
      <c r="L269" s="51" t="s">
        <v>257</v>
      </c>
      <c r="M269" s="51"/>
      <c r="N269" s="51"/>
      <c r="O269" s="51"/>
      <c r="P269" s="51"/>
      <c r="Q269" s="51"/>
      <c r="R269" s="51"/>
      <c r="S269" s="51"/>
      <c r="T269" s="51"/>
    </row>
    <row r="270">
      <c r="A270" s="51"/>
      <c r="B270" s="51"/>
      <c r="C270" s="56"/>
      <c r="D270" s="51"/>
      <c r="E270" s="51"/>
      <c r="F270" s="51"/>
      <c r="G270" s="51" t="str">
        <f>IFERROR(__xludf.DUMMYFUNCTION("""COMPUTED_VALUE"""),"#VALUE!")</f>
        <v>#VALUE!</v>
      </c>
      <c r="H270" s="51" t="str">
        <f>IFERROR(__xludf.DUMMYFUNCTION("""COMPUTED_VALUE"""),"")</f>
        <v/>
      </c>
      <c r="I270" s="51" t="str">
        <f>IFERROR(__xludf.DUMMYFUNCTION("""COMPUTED_VALUE"""),"#VALUE!")</f>
        <v>#VALUE!</v>
      </c>
      <c r="J270" s="51" t="str">
        <f>IFERROR(__xludf.DUMMYFUNCTION("""COMPUTED_VALUE"""),"")</f>
        <v/>
      </c>
      <c r="K270" s="51"/>
      <c r="L270" s="51" t="s">
        <v>257</v>
      </c>
      <c r="M270" s="51"/>
      <c r="N270" s="51"/>
      <c r="O270" s="51"/>
      <c r="P270" s="51"/>
      <c r="Q270" s="51"/>
      <c r="R270" s="51"/>
      <c r="S270" s="51"/>
      <c r="T270" s="51"/>
    </row>
    <row r="271">
      <c r="A271" s="51"/>
      <c r="B271" s="51"/>
      <c r="C271" s="56"/>
      <c r="D271" s="51"/>
      <c r="E271" s="51"/>
      <c r="F271" s="51"/>
      <c r="G271" s="51" t="str">
        <f>IFERROR(__xludf.DUMMYFUNCTION("""COMPUTED_VALUE"""),"#VALUE!")</f>
        <v>#VALUE!</v>
      </c>
      <c r="H271" s="51" t="str">
        <f>IFERROR(__xludf.DUMMYFUNCTION("""COMPUTED_VALUE"""),"")</f>
        <v/>
      </c>
      <c r="I271" s="51" t="str">
        <f>IFERROR(__xludf.DUMMYFUNCTION("""COMPUTED_VALUE"""),"#VALUE!")</f>
        <v>#VALUE!</v>
      </c>
      <c r="J271" s="51" t="str">
        <f>IFERROR(__xludf.DUMMYFUNCTION("""COMPUTED_VALUE"""),"")</f>
        <v/>
      </c>
      <c r="K271" s="51"/>
      <c r="L271" s="51" t="s">
        <v>257</v>
      </c>
      <c r="M271" s="51"/>
      <c r="N271" s="51"/>
      <c r="O271" s="51"/>
      <c r="P271" s="51"/>
      <c r="Q271" s="51"/>
      <c r="R271" s="51"/>
      <c r="S271" s="51"/>
      <c r="T271" s="51"/>
    </row>
    <row r="272">
      <c r="A272" s="51"/>
      <c r="B272" s="51"/>
      <c r="C272" s="56"/>
      <c r="D272" s="51"/>
      <c r="E272" s="51"/>
      <c r="F272" s="51"/>
      <c r="G272" s="51" t="str">
        <f>IFERROR(__xludf.DUMMYFUNCTION("""COMPUTED_VALUE"""),"#VALUE!")</f>
        <v>#VALUE!</v>
      </c>
      <c r="H272" s="51" t="str">
        <f>IFERROR(__xludf.DUMMYFUNCTION("""COMPUTED_VALUE"""),"")</f>
        <v/>
      </c>
      <c r="I272" s="51" t="str">
        <f>IFERROR(__xludf.DUMMYFUNCTION("""COMPUTED_VALUE"""),"#VALUE!")</f>
        <v>#VALUE!</v>
      </c>
      <c r="J272" s="51" t="str">
        <f>IFERROR(__xludf.DUMMYFUNCTION("""COMPUTED_VALUE"""),"")</f>
        <v/>
      </c>
      <c r="K272" s="51"/>
      <c r="L272" s="51" t="s">
        <v>257</v>
      </c>
      <c r="M272" s="51"/>
      <c r="N272" s="51"/>
      <c r="O272" s="51"/>
      <c r="P272" s="51"/>
      <c r="Q272" s="51"/>
      <c r="R272" s="51"/>
      <c r="S272" s="51"/>
      <c r="T272" s="51"/>
    </row>
    <row r="273">
      <c r="A273" s="51"/>
      <c r="B273" s="51"/>
      <c r="C273" s="56"/>
      <c r="D273" s="51"/>
      <c r="E273" s="51"/>
      <c r="F273" s="51"/>
      <c r="G273" s="51" t="str">
        <f>IFERROR(__xludf.DUMMYFUNCTION("""COMPUTED_VALUE"""),"#VALUE!")</f>
        <v>#VALUE!</v>
      </c>
      <c r="H273" s="51" t="str">
        <f>IFERROR(__xludf.DUMMYFUNCTION("""COMPUTED_VALUE"""),"")</f>
        <v/>
      </c>
      <c r="I273" s="51" t="str">
        <f>IFERROR(__xludf.DUMMYFUNCTION("""COMPUTED_VALUE"""),"#VALUE!")</f>
        <v>#VALUE!</v>
      </c>
      <c r="J273" s="51" t="str">
        <f>IFERROR(__xludf.DUMMYFUNCTION("""COMPUTED_VALUE"""),"")</f>
        <v/>
      </c>
      <c r="K273" s="51"/>
      <c r="L273" s="51" t="s">
        <v>257</v>
      </c>
      <c r="M273" s="51"/>
      <c r="N273" s="51"/>
      <c r="O273" s="51"/>
      <c r="P273" s="51"/>
      <c r="Q273" s="51"/>
      <c r="R273" s="51"/>
      <c r="S273" s="51"/>
      <c r="T273" s="51"/>
    </row>
    <row r="274">
      <c r="A274" s="51"/>
      <c r="B274" s="51"/>
      <c r="C274" s="56"/>
      <c r="D274" s="51"/>
      <c r="E274" s="51"/>
      <c r="F274" s="51"/>
      <c r="G274" s="51" t="str">
        <f>IFERROR(__xludf.DUMMYFUNCTION("""COMPUTED_VALUE"""),"#VALUE!")</f>
        <v>#VALUE!</v>
      </c>
      <c r="H274" s="51" t="str">
        <f>IFERROR(__xludf.DUMMYFUNCTION("""COMPUTED_VALUE"""),"")</f>
        <v/>
      </c>
      <c r="I274" s="51" t="str">
        <f>IFERROR(__xludf.DUMMYFUNCTION("""COMPUTED_VALUE"""),"#VALUE!")</f>
        <v>#VALUE!</v>
      </c>
      <c r="J274" s="51" t="str">
        <f>IFERROR(__xludf.DUMMYFUNCTION("""COMPUTED_VALUE"""),"")</f>
        <v/>
      </c>
      <c r="K274" s="51"/>
      <c r="L274" s="51" t="s">
        <v>257</v>
      </c>
      <c r="M274" s="51"/>
      <c r="N274" s="51"/>
      <c r="O274" s="51"/>
      <c r="P274" s="51"/>
      <c r="Q274" s="51"/>
      <c r="R274" s="51"/>
      <c r="S274" s="51"/>
      <c r="T274" s="51"/>
    </row>
    <row r="275">
      <c r="A275" s="51"/>
      <c r="B275" s="51"/>
      <c r="C275" s="56"/>
      <c r="D275" s="51"/>
      <c r="E275" s="51"/>
      <c r="F275" s="51"/>
      <c r="G275" s="51" t="str">
        <f>IFERROR(__xludf.DUMMYFUNCTION("""COMPUTED_VALUE"""),"#VALUE!")</f>
        <v>#VALUE!</v>
      </c>
      <c r="H275" s="51" t="str">
        <f>IFERROR(__xludf.DUMMYFUNCTION("""COMPUTED_VALUE"""),"")</f>
        <v/>
      </c>
      <c r="I275" s="51" t="str">
        <f>IFERROR(__xludf.DUMMYFUNCTION("""COMPUTED_VALUE"""),"#VALUE!")</f>
        <v>#VALUE!</v>
      </c>
      <c r="J275" s="51" t="str">
        <f>IFERROR(__xludf.DUMMYFUNCTION("""COMPUTED_VALUE"""),"")</f>
        <v/>
      </c>
      <c r="K275" s="51"/>
      <c r="L275" s="51" t="s">
        <v>257</v>
      </c>
      <c r="M275" s="51"/>
      <c r="N275" s="51"/>
      <c r="O275" s="51"/>
      <c r="P275" s="51"/>
      <c r="Q275" s="51"/>
      <c r="R275" s="51"/>
      <c r="S275" s="51"/>
      <c r="T275" s="51"/>
    </row>
    <row r="276">
      <c r="A276" s="51"/>
      <c r="B276" s="51"/>
      <c r="C276" s="56"/>
      <c r="D276" s="51"/>
      <c r="E276" s="51"/>
      <c r="F276" s="51"/>
      <c r="G276" s="51" t="str">
        <f>IFERROR(__xludf.DUMMYFUNCTION("""COMPUTED_VALUE"""),"#VALUE!")</f>
        <v>#VALUE!</v>
      </c>
      <c r="H276" s="51" t="str">
        <f>IFERROR(__xludf.DUMMYFUNCTION("""COMPUTED_VALUE"""),"")</f>
        <v/>
      </c>
      <c r="I276" s="51" t="str">
        <f>IFERROR(__xludf.DUMMYFUNCTION("""COMPUTED_VALUE"""),"#VALUE!")</f>
        <v>#VALUE!</v>
      </c>
      <c r="J276" s="51" t="str">
        <f>IFERROR(__xludf.DUMMYFUNCTION("""COMPUTED_VALUE"""),"")</f>
        <v/>
      </c>
      <c r="K276" s="51"/>
      <c r="L276" s="51" t="s">
        <v>257</v>
      </c>
      <c r="M276" s="51"/>
      <c r="N276" s="51"/>
      <c r="O276" s="51"/>
      <c r="P276" s="51"/>
      <c r="Q276" s="51"/>
      <c r="R276" s="51"/>
      <c r="S276" s="51"/>
      <c r="T276" s="51"/>
    </row>
    <row r="277">
      <c r="A277" s="51"/>
      <c r="B277" s="51"/>
      <c r="C277" s="56"/>
      <c r="D277" s="51"/>
      <c r="E277" s="51"/>
      <c r="F277" s="51"/>
      <c r="G277" s="51" t="str">
        <f>IFERROR(__xludf.DUMMYFUNCTION("""COMPUTED_VALUE"""),"#VALUE!")</f>
        <v>#VALUE!</v>
      </c>
      <c r="H277" s="51" t="str">
        <f>IFERROR(__xludf.DUMMYFUNCTION("""COMPUTED_VALUE"""),"")</f>
        <v/>
      </c>
      <c r="I277" s="51" t="str">
        <f>IFERROR(__xludf.DUMMYFUNCTION("""COMPUTED_VALUE"""),"#VALUE!")</f>
        <v>#VALUE!</v>
      </c>
      <c r="J277" s="51" t="str">
        <f>IFERROR(__xludf.DUMMYFUNCTION("""COMPUTED_VALUE"""),"")</f>
        <v/>
      </c>
      <c r="K277" s="51"/>
      <c r="L277" s="51" t="s">
        <v>257</v>
      </c>
      <c r="M277" s="51"/>
      <c r="N277" s="51"/>
      <c r="O277" s="51"/>
      <c r="P277" s="51"/>
      <c r="Q277" s="51"/>
      <c r="R277" s="51"/>
      <c r="S277" s="51"/>
      <c r="T277" s="51"/>
    </row>
    <row r="278">
      <c r="A278" s="51"/>
      <c r="B278" s="51"/>
      <c r="C278" s="56"/>
      <c r="D278" s="51"/>
      <c r="E278" s="51"/>
      <c r="F278" s="51"/>
      <c r="G278" s="51" t="str">
        <f>IFERROR(__xludf.DUMMYFUNCTION("""COMPUTED_VALUE"""),"#VALUE!")</f>
        <v>#VALUE!</v>
      </c>
      <c r="H278" s="51" t="str">
        <f>IFERROR(__xludf.DUMMYFUNCTION("""COMPUTED_VALUE"""),"")</f>
        <v/>
      </c>
      <c r="I278" s="51" t="str">
        <f>IFERROR(__xludf.DUMMYFUNCTION("""COMPUTED_VALUE"""),"#VALUE!")</f>
        <v>#VALUE!</v>
      </c>
      <c r="J278" s="51" t="str">
        <f>IFERROR(__xludf.DUMMYFUNCTION("""COMPUTED_VALUE"""),"")</f>
        <v/>
      </c>
      <c r="K278" s="51"/>
      <c r="L278" s="51" t="s">
        <v>257</v>
      </c>
      <c r="M278" s="51"/>
      <c r="N278" s="51"/>
      <c r="O278" s="51"/>
      <c r="P278" s="51"/>
      <c r="Q278" s="51"/>
      <c r="R278" s="51"/>
      <c r="S278" s="51"/>
      <c r="T278" s="51"/>
    </row>
    <row r="279">
      <c r="A279" s="51"/>
      <c r="B279" s="51"/>
      <c r="C279" s="56"/>
      <c r="D279" s="51"/>
      <c r="E279" s="51"/>
      <c r="F279" s="51"/>
      <c r="G279" s="51" t="str">
        <f>IFERROR(__xludf.DUMMYFUNCTION("""COMPUTED_VALUE"""),"#VALUE!")</f>
        <v>#VALUE!</v>
      </c>
      <c r="H279" s="51" t="str">
        <f>IFERROR(__xludf.DUMMYFUNCTION("""COMPUTED_VALUE"""),"")</f>
        <v/>
      </c>
      <c r="I279" s="51" t="str">
        <f>IFERROR(__xludf.DUMMYFUNCTION("""COMPUTED_VALUE"""),"#VALUE!")</f>
        <v>#VALUE!</v>
      </c>
      <c r="J279" s="51" t="str">
        <f>IFERROR(__xludf.DUMMYFUNCTION("""COMPUTED_VALUE"""),"")</f>
        <v/>
      </c>
      <c r="K279" s="51"/>
      <c r="L279" s="51" t="s">
        <v>257</v>
      </c>
      <c r="M279" s="51"/>
      <c r="N279" s="51"/>
      <c r="O279" s="51"/>
      <c r="P279" s="51"/>
      <c r="Q279" s="51"/>
      <c r="R279" s="51"/>
      <c r="S279" s="51"/>
      <c r="T279" s="51"/>
    </row>
    <row r="280">
      <c r="A280" s="51"/>
      <c r="B280" s="51"/>
      <c r="C280" s="56"/>
      <c r="D280" s="51"/>
      <c r="E280" s="51"/>
      <c r="F280" s="51"/>
      <c r="G280" s="51" t="str">
        <f>IFERROR(__xludf.DUMMYFUNCTION("""COMPUTED_VALUE"""),"#VALUE!")</f>
        <v>#VALUE!</v>
      </c>
      <c r="H280" s="51" t="str">
        <f>IFERROR(__xludf.DUMMYFUNCTION("""COMPUTED_VALUE"""),"")</f>
        <v/>
      </c>
      <c r="I280" s="51" t="str">
        <f>IFERROR(__xludf.DUMMYFUNCTION("""COMPUTED_VALUE"""),"#VALUE!")</f>
        <v>#VALUE!</v>
      </c>
      <c r="J280" s="51" t="str">
        <f>IFERROR(__xludf.DUMMYFUNCTION("""COMPUTED_VALUE"""),"")</f>
        <v/>
      </c>
      <c r="K280" s="51"/>
      <c r="L280" s="51" t="s">
        <v>257</v>
      </c>
      <c r="M280" s="51"/>
      <c r="N280" s="51"/>
      <c r="O280" s="51"/>
      <c r="P280" s="51"/>
      <c r="Q280" s="51"/>
      <c r="R280" s="51"/>
      <c r="S280" s="51"/>
      <c r="T280" s="51"/>
    </row>
    <row r="281">
      <c r="A281" s="51"/>
      <c r="B281" s="51"/>
      <c r="C281" s="56"/>
      <c r="D281" s="51"/>
      <c r="E281" s="51"/>
      <c r="F281" s="51"/>
      <c r="G281" s="51" t="str">
        <f>IFERROR(__xludf.DUMMYFUNCTION("""COMPUTED_VALUE"""),"#VALUE!")</f>
        <v>#VALUE!</v>
      </c>
      <c r="H281" s="51" t="str">
        <f>IFERROR(__xludf.DUMMYFUNCTION("""COMPUTED_VALUE"""),"")</f>
        <v/>
      </c>
      <c r="I281" s="51" t="str">
        <f>IFERROR(__xludf.DUMMYFUNCTION("""COMPUTED_VALUE"""),"#VALUE!")</f>
        <v>#VALUE!</v>
      </c>
      <c r="J281" s="51" t="str">
        <f>IFERROR(__xludf.DUMMYFUNCTION("""COMPUTED_VALUE"""),"")</f>
        <v/>
      </c>
      <c r="K281" s="51"/>
      <c r="L281" s="51" t="s">
        <v>257</v>
      </c>
      <c r="M281" s="51"/>
      <c r="N281" s="51"/>
      <c r="O281" s="51"/>
      <c r="P281" s="51"/>
      <c r="Q281" s="51"/>
      <c r="R281" s="51"/>
      <c r="S281" s="51"/>
      <c r="T281" s="51"/>
    </row>
    <row r="282">
      <c r="A282" s="51"/>
      <c r="B282" s="51"/>
      <c r="C282" s="56"/>
      <c r="D282" s="51"/>
      <c r="E282" s="51"/>
      <c r="F282" s="51"/>
      <c r="G282" s="51" t="str">
        <f>IFERROR(__xludf.DUMMYFUNCTION("""COMPUTED_VALUE"""),"#VALUE!")</f>
        <v>#VALUE!</v>
      </c>
      <c r="H282" s="51" t="str">
        <f>IFERROR(__xludf.DUMMYFUNCTION("""COMPUTED_VALUE"""),"")</f>
        <v/>
      </c>
      <c r="I282" s="51" t="str">
        <f>IFERROR(__xludf.DUMMYFUNCTION("""COMPUTED_VALUE"""),"#VALUE!")</f>
        <v>#VALUE!</v>
      </c>
      <c r="J282" s="51" t="str">
        <f>IFERROR(__xludf.DUMMYFUNCTION("""COMPUTED_VALUE"""),"")</f>
        <v/>
      </c>
      <c r="K282" s="51"/>
      <c r="L282" s="51" t="s">
        <v>257</v>
      </c>
      <c r="M282" s="51"/>
      <c r="N282" s="51"/>
      <c r="O282" s="51"/>
      <c r="P282" s="51"/>
      <c r="Q282" s="51"/>
      <c r="R282" s="51"/>
      <c r="S282" s="51"/>
      <c r="T282" s="51"/>
    </row>
    <row r="283">
      <c r="A283" s="51"/>
      <c r="B283" s="51"/>
      <c r="C283" s="56"/>
      <c r="D283" s="51"/>
      <c r="E283" s="51"/>
      <c r="F283" s="51"/>
      <c r="G283" s="51" t="str">
        <f>IFERROR(__xludf.DUMMYFUNCTION("""COMPUTED_VALUE"""),"#VALUE!")</f>
        <v>#VALUE!</v>
      </c>
      <c r="H283" s="51" t="str">
        <f>IFERROR(__xludf.DUMMYFUNCTION("""COMPUTED_VALUE"""),"")</f>
        <v/>
      </c>
      <c r="I283" s="51" t="str">
        <f>IFERROR(__xludf.DUMMYFUNCTION("""COMPUTED_VALUE"""),"#VALUE!")</f>
        <v>#VALUE!</v>
      </c>
      <c r="J283" s="51" t="str">
        <f>IFERROR(__xludf.DUMMYFUNCTION("""COMPUTED_VALUE"""),"")</f>
        <v/>
      </c>
      <c r="K283" s="51"/>
      <c r="L283" s="51" t="s">
        <v>257</v>
      </c>
      <c r="M283" s="51"/>
      <c r="N283" s="51"/>
      <c r="O283" s="51"/>
      <c r="P283" s="51"/>
      <c r="Q283" s="51"/>
      <c r="R283" s="51"/>
      <c r="S283" s="51"/>
      <c r="T283" s="51"/>
    </row>
    <row r="284">
      <c r="A284" s="51"/>
      <c r="B284" s="51"/>
      <c r="C284" s="56"/>
      <c r="D284" s="51"/>
      <c r="E284" s="51"/>
      <c r="F284" s="51"/>
      <c r="G284" s="51" t="str">
        <f>IFERROR(__xludf.DUMMYFUNCTION("""COMPUTED_VALUE"""),"#VALUE!")</f>
        <v>#VALUE!</v>
      </c>
      <c r="H284" s="51" t="str">
        <f>IFERROR(__xludf.DUMMYFUNCTION("""COMPUTED_VALUE"""),"")</f>
        <v/>
      </c>
      <c r="I284" s="51" t="str">
        <f>IFERROR(__xludf.DUMMYFUNCTION("""COMPUTED_VALUE"""),"#VALUE!")</f>
        <v>#VALUE!</v>
      </c>
      <c r="J284" s="51" t="str">
        <f>IFERROR(__xludf.DUMMYFUNCTION("""COMPUTED_VALUE"""),"")</f>
        <v/>
      </c>
      <c r="K284" s="51"/>
      <c r="L284" s="51" t="s">
        <v>257</v>
      </c>
      <c r="M284" s="51"/>
      <c r="N284" s="51"/>
      <c r="O284" s="51"/>
      <c r="P284" s="51"/>
      <c r="Q284" s="51"/>
      <c r="R284" s="51"/>
      <c r="S284" s="51"/>
      <c r="T284" s="51"/>
    </row>
    <row r="285">
      <c r="A285" s="51"/>
      <c r="B285" s="51"/>
      <c r="C285" s="56"/>
      <c r="D285" s="51"/>
      <c r="E285" s="51"/>
      <c r="F285" s="51"/>
      <c r="G285" s="51" t="str">
        <f>IFERROR(__xludf.DUMMYFUNCTION("""COMPUTED_VALUE"""),"#VALUE!")</f>
        <v>#VALUE!</v>
      </c>
      <c r="H285" s="51" t="str">
        <f>IFERROR(__xludf.DUMMYFUNCTION("""COMPUTED_VALUE"""),"")</f>
        <v/>
      </c>
      <c r="I285" s="51" t="str">
        <f>IFERROR(__xludf.DUMMYFUNCTION("""COMPUTED_VALUE"""),"#VALUE!")</f>
        <v>#VALUE!</v>
      </c>
      <c r="J285" s="51" t="str">
        <f>IFERROR(__xludf.DUMMYFUNCTION("""COMPUTED_VALUE"""),"")</f>
        <v/>
      </c>
      <c r="K285" s="51"/>
      <c r="L285" s="51" t="s">
        <v>257</v>
      </c>
      <c r="M285" s="51"/>
      <c r="N285" s="51"/>
      <c r="O285" s="51"/>
      <c r="P285" s="51"/>
      <c r="Q285" s="51"/>
      <c r="R285" s="51"/>
      <c r="S285" s="51"/>
      <c r="T285" s="51"/>
    </row>
    <row r="286">
      <c r="A286" s="51"/>
      <c r="B286" s="51"/>
      <c r="C286" s="56"/>
      <c r="D286" s="51"/>
      <c r="E286" s="51"/>
      <c r="F286" s="51"/>
      <c r="G286" s="51" t="str">
        <f>IFERROR(__xludf.DUMMYFUNCTION("""COMPUTED_VALUE"""),"#VALUE!")</f>
        <v>#VALUE!</v>
      </c>
      <c r="H286" s="51" t="str">
        <f>IFERROR(__xludf.DUMMYFUNCTION("""COMPUTED_VALUE"""),"")</f>
        <v/>
      </c>
      <c r="I286" s="51" t="str">
        <f>IFERROR(__xludf.DUMMYFUNCTION("""COMPUTED_VALUE"""),"#VALUE!")</f>
        <v>#VALUE!</v>
      </c>
      <c r="J286" s="51" t="str">
        <f>IFERROR(__xludf.DUMMYFUNCTION("""COMPUTED_VALUE"""),"")</f>
        <v/>
      </c>
      <c r="K286" s="51"/>
      <c r="L286" s="51" t="s">
        <v>257</v>
      </c>
      <c r="M286" s="51"/>
      <c r="N286" s="51"/>
      <c r="O286" s="51"/>
      <c r="P286" s="51"/>
      <c r="Q286" s="51"/>
      <c r="R286" s="51"/>
      <c r="S286" s="51"/>
      <c r="T286" s="51"/>
    </row>
    <row r="287">
      <c r="A287" s="51"/>
      <c r="B287" s="51"/>
      <c r="C287" s="56"/>
      <c r="D287" s="51"/>
      <c r="E287" s="51"/>
      <c r="F287" s="51"/>
      <c r="G287" s="51" t="str">
        <f>IFERROR(__xludf.DUMMYFUNCTION("""COMPUTED_VALUE"""),"#VALUE!")</f>
        <v>#VALUE!</v>
      </c>
      <c r="H287" s="51" t="str">
        <f>IFERROR(__xludf.DUMMYFUNCTION("""COMPUTED_VALUE"""),"")</f>
        <v/>
      </c>
      <c r="I287" s="51" t="str">
        <f>IFERROR(__xludf.DUMMYFUNCTION("""COMPUTED_VALUE"""),"#VALUE!")</f>
        <v>#VALUE!</v>
      </c>
      <c r="J287" s="51" t="str">
        <f>IFERROR(__xludf.DUMMYFUNCTION("""COMPUTED_VALUE"""),"")</f>
        <v/>
      </c>
      <c r="K287" s="51"/>
      <c r="L287" s="51" t="s">
        <v>257</v>
      </c>
      <c r="M287" s="51"/>
      <c r="N287" s="51"/>
      <c r="O287" s="51"/>
      <c r="P287" s="51"/>
      <c r="Q287" s="51"/>
      <c r="R287" s="51"/>
      <c r="S287" s="51"/>
      <c r="T287" s="51"/>
    </row>
    <row r="288">
      <c r="A288" s="51"/>
      <c r="B288" s="51"/>
      <c r="C288" s="56"/>
      <c r="D288" s="51"/>
      <c r="E288" s="51"/>
      <c r="F288" s="51"/>
      <c r="G288" s="51" t="str">
        <f>IFERROR(__xludf.DUMMYFUNCTION("""COMPUTED_VALUE"""),"#VALUE!")</f>
        <v>#VALUE!</v>
      </c>
      <c r="H288" s="51" t="str">
        <f>IFERROR(__xludf.DUMMYFUNCTION("""COMPUTED_VALUE"""),"")</f>
        <v/>
      </c>
      <c r="I288" s="51" t="str">
        <f>IFERROR(__xludf.DUMMYFUNCTION("""COMPUTED_VALUE"""),"#VALUE!")</f>
        <v>#VALUE!</v>
      </c>
      <c r="J288" s="51" t="str">
        <f>IFERROR(__xludf.DUMMYFUNCTION("""COMPUTED_VALUE"""),"")</f>
        <v/>
      </c>
      <c r="K288" s="51"/>
      <c r="L288" s="51" t="s">
        <v>257</v>
      </c>
      <c r="M288" s="51"/>
      <c r="N288" s="51"/>
      <c r="O288" s="51"/>
      <c r="P288" s="51"/>
      <c r="Q288" s="51"/>
      <c r="R288" s="51"/>
      <c r="S288" s="51"/>
      <c r="T288" s="51"/>
    </row>
    <row r="289">
      <c r="A289" s="51"/>
      <c r="B289" s="51"/>
      <c r="C289" s="56"/>
      <c r="D289" s="51"/>
      <c r="E289" s="51"/>
      <c r="F289" s="51"/>
      <c r="G289" s="51" t="str">
        <f>IFERROR(__xludf.DUMMYFUNCTION("""COMPUTED_VALUE"""),"#VALUE!")</f>
        <v>#VALUE!</v>
      </c>
      <c r="H289" s="51" t="str">
        <f>IFERROR(__xludf.DUMMYFUNCTION("""COMPUTED_VALUE"""),"")</f>
        <v/>
      </c>
      <c r="I289" s="51" t="str">
        <f>IFERROR(__xludf.DUMMYFUNCTION("""COMPUTED_VALUE"""),"#VALUE!")</f>
        <v>#VALUE!</v>
      </c>
      <c r="J289" s="51" t="str">
        <f>IFERROR(__xludf.DUMMYFUNCTION("""COMPUTED_VALUE"""),"")</f>
        <v/>
      </c>
      <c r="K289" s="51"/>
      <c r="L289" s="51" t="s">
        <v>257</v>
      </c>
      <c r="M289" s="51"/>
      <c r="N289" s="51"/>
      <c r="O289" s="51"/>
      <c r="P289" s="51"/>
      <c r="Q289" s="51"/>
      <c r="R289" s="51"/>
      <c r="S289" s="51"/>
      <c r="T289" s="51"/>
    </row>
    <row r="290">
      <c r="A290" s="51"/>
      <c r="B290" s="51"/>
      <c r="C290" s="56"/>
      <c r="D290" s="51"/>
      <c r="E290" s="51"/>
      <c r="F290" s="51"/>
      <c r="G290" s="51" t="str">
        <f>IFERROR(__xludf.DUMMYFUNCTION("""COMPUTED_VALUE"""),"#VALUE!")</f>
        <v>#VALUE!</v>
      </c>
      <c r="H290" s="51" t="str">
        <f>IFERROR(__xludf.DUMMYFUNCTION("""COMPUTED_VALUE"""),"")</f>
        <v/>
      </c>
      <c r="I290" s="51" t="str">
        <f>IFERROR(__xludf.DUMMYFUNCTION("""COMPUTED_VALUE"""),"#VALUE!")</f>
        <v>#VALUE!</v>
      </c>
      <c r="J290" s="51" t="str">
        <f>IFERROR(__xludf.DUMMYFUNCTION("""COMPUTED_VALUE"""),"")</f>
        <v/>
      </c>
      <c r="K290" s="51"/>
      <c r="L290" s="51" t="s">
        <v>257</v>
      </c>
      <c r="M290" s="51"/>
      <c r="N290" s="51"/>
      <c r="O290" s="51"/>
      <c r="P290" s="51"/>
      <c r="Q290" s="51"/>
      <c r="R290" s="51"/>
      <c r="S290" s="51"/>
      <c r="T290" s="51"/>
    </row>
    <row r="291">
      <c r="A291" s="51"/>
      <c r="B291" s="51"/>
      <c r="C291" s="56"/>
      <c r="D291" s="51"/>
      <c r="E291" s="51"/>
      <c r="F291" s="51"/>
      <c r="G291" s="51" t="str">
        <f>IFERROR(__xludf.DUMMYFUNCTION("""COMPUTED_VALUE"""),"#VALUE!")</f>
        <v>#VALUE!</v>
      </c>
      <c r="H291" s="51" t="str">
        <f>IFERROR(__xludf.DUMMYFUNCTION("""COMPUTED_VALUE"""),"")</f>
        <v/>
      </c>
      <c r="I291" s="51" t="str">
        <f>IFERROR(__xludf.DUMMYFUNCTION("""COMPUTED_VALUE"""),"#VALUE!")</f>
        <v>#VALUE!</v>
      </c>
      <c r="J291" s="51" t="str">
        <f>IFERROR(__xludf.DUMMYFUNCTION("""COMPUTED_VALUE"""),"")</f>
        <v/>
      </c>
      <c r="K291" s="51"/>
      <c r="L291" s="51" t="s">
        <v>257</v>
      </c>
      <c r="M291" s="51"/>
      <c r="N291" s="51"/>
      <c r="O291" s="51"/>
      <c r="P291" s="51"/>
      <c r="Q291" s="51"/>
      <c r="R291" s="51"/>
      <c r="S291" s="51"/>
      <c r="T291" s="51"/>
    </row>
    <row r="292">
      <c r="A292" s="51"/>
      <c r="B292" s="51"/>
      <c r="C292" s="56"/>
      <c r="D292" s="51"/>
      <c r="E292" s="51"/>
      <c r="F292" s="51"/>
      <c r="G292" s="51" t="str">
        <f>IFERROR(__xludf.DUMMYFUNCTION("""COMPUTED_VALUE"""),"#VALUE!")</f>
        <v>#VALUE!</v>
      </c>
      <c r="H292" s="51" t="str">
        <f>IFERROR(__xludf.DUMMYFUNCTION("""COMPUTED_VALUE"""),"")</f>
        <v/>
      </c>
      <c r="I292" s="51" t="str">
        <f>IFERROR(__xludf.DUMMYFUNCTION("""COMPUTED_VALUE"""),"#VALUE!")</f>
        <v>#VALUE!</v>
      </c>
      <c r="J292" s="51" t="str">
        <f>IFERROR(__xludf.DUMMYFUNCTION("""COMPUTED_VALUE"""),"")</f>
        <v/>
      </c>
      <c r="K292" s="51"/>
      <c r="L292" s="51" t="s">
        <v>257</v>
      </c>
      <c r="M292" s="51"/>
      <c r="N292" s="51"/>
      <c r="O292" s="51"/>
      <c r="P292" s="51"/>
      <c r="Q292" s="51"/>
      <c r="R292" s="51"/>
      <c r="S292" s="51"/>
      <c r="T292" s="51"/>
    </row>
    <row r="293">
      <c r="A293" s="51"/>
      <c r="B293" s="51"/>
      <c r="C293" s="56"/>
      <c r="D293" s="51"/>
      <c r="E293" s="51"/>
      <c r="F293" s="51"/>
      <c r="G293" s="51" t="str">
        <f>IFERROR(__xludf.DUMMYFUNCTION("""COMPUTED_VALUE"""),"#VALUE!")</f>
        <v>#VALUE!</v>
      </c>
      <c r="H293" s="51" t="str">
        <f>IFERROR(__xludf.DUMMYFUNCTION("""COMPUTED_VALUE"""),"")</f>
        <v/>
      </c>
      <c r="I293" s="51" t="str">
        <f>IFERROR(__xludf.DUMMYFUNCTION("""COMPUTED_VALUE"""),"#VALUE!")</f>
        <v>#VALUE!</v>
      </c>
      <c r="J293" s="51" t="str">
        <f>IFERROR(__xludf.DUMMYFUNCTION("""COMPUTED_VALUE"""),"")</f>
        <v/>
      </c>
      <c r="K293" s="51"/>
      <c r="L293" s="51" t="s">
        <v>257</v>
      </c>
      <c r="M293" s="51"/>
      <c r="N293" s="51"/>
      <c r="O293" s="51"/>
      <c r="P293" s="51"/>
      <c r="Q293" s="51"/>
      <c r="R293" s="51"/>
      <c r="S293" s="51"/>
      <c r="T293" s="51"/>
    </row>
    <row r="294">
      <c r="A294" s="51"/>
      <c r="B294" s="51"/>
      <c r="C294" s="56"/>
      <c r="D294" s="51"/>
      <c r="E294" s="51"/>
      <c r="F294" s="51"/>
      <c r="G294" s="51" t="str">
        <f>IFERROR(__xludf.DUMMYFUNCTION("""COMPUTED_VALUE"""),"#VALUE!")</f>
        <v>#VALUE!</v>
      </c>
      <c r="H294" s="51" t="str">
        <f>IFERROR(__xludf.DUMMYFUNCTION("""COMPUTED_VALUE"""),"")</f>
        <v/>
      </c>
      <c r="I294" s="51" t="str">
        <f>IFERROR(__xludf.DUMMYFUNCTION("""COMPUTED_VALUE"""),"#VALUE!")</f>
        <v>#VALUE!</v>
      </c>
      <c r="J294" s="51" t="str">
        <f>IFERROR(__xludf.DUMMYFUNCTION("""COMPUTED_VALUE"""),"")</f>
        <v/>
      </c>
      <c r="K294" s="51"/>
      <c r="L294" s="51" t="s">
        <v>257</v>
      </c>
      <c r="M294" s="51"/>
      <c r="N294" s="51"/>
      <c r="O294" s="51"/>
      <c r="P294" s="51"/>
      <c r="Q294" s="51"/>
      <c r="R294" s="51"/>
      <c r="S294" s="51"/>
      <c r="T294" s="51"/>
    </row>
    <row r="295">
      <c r="A295" s="51"/>
      <c r="B295" s="51"/>
      <c r="C295" s="56"/>
      <c r="D295" s="51"/>
      <c r="E295" s="51"/>
      <c r="F295" s="51"/>
      <c r="G295" s="51" t="str">
        <f>IFERROR(__xludf.DUMMYFUNCTION("""COMPUTED_VALUE"""),"#VALUE!")</f>
        <v>#VALUE!</v>
      </c>
      <c r="H295" s="51" t="str">
        <f>IFERROR(__xludf.DUMMYFUNCTION("""COMPUTED_VALUE"""),"")</f>
        <v/>
      </c>
      <c r="I295" s="51" t="str">
        <f>IFERROR(__xludf.DUMMYFUNCTION("""COMPUTED_VALUE"""),"#VALUE!")</f>
        <v>#VALUE!</v>
      </c>
      <c r="J295" s="51" t="str">
        <f>IFERROR(__xludf.DUMMYFUNCTION("""COMPUTED_VALUE"""),"")</f>
        <v/>
      </c>
      <c r="K295" s="51"/>
      <c r="L295" s="51" t="s">
        <v>257</v>
      </c>
      <c r="M295" s="51"/>
      <c r="N295" s="51"/>
      <c r="O295" s="51"/>
      <c r="P295" s="51"/>
      <c r="Q295" s="51"/>
      <c r="R295" s="51"/>
      <c r="S295" s="51"/>
      <c r="T295" s="51"/>
    </row>
    <row r="296">
      <c r="A296" s="51"/>
      <c r="B296" s="51"/>
      <c r="C296" s="56"/>
      <c r="D296" s="51"/>
      <c r="E296" s="51"/>
      <c r="F296" s="51"/>
      <c r="G296" s="51" t="str">
        <f>IFERROR(__xludf.DUMMYFUNCTION("""COMPUTED_VALUE"""),"#VALUE!")</f>
        <v>#VALUE!</v>
      </c>
      <c r="H296" s="51" t="str">
        <f>IFERROR(__xludf.DUMMYFUNCTION("""COMPUTED_VALUE"""),"")</f>
        <v/>
      </c>
      <c r="I296" s="51" t="str">
        <f>IFERROR(__xludf.DUMMYFUNCTION("""COMPUTED_VALUE"""),"#VALUE!")</f>
        <v>#VALUE!</v>
      </c>
      <c r="J296" s="51" t="str">
        <f>IFERROR(__xludf.DUMMYFUNCTION("""COMPUTED_VALUE"""),"")</f>
        <v/>
      </c>
      <c r="K296" s="51"/>
      <c r="L296" s="51" t="s">
        <v>257</v>
      </c>
      <c r="M296" s="51"/>
      <c r="N296" s="51"/>
      <c r="O296" s="51"/>
      <c r="P296" s="51"/>
      <c r="Q296" s="51"/>
      <c r="R296" s="51"/>
      <c r="S296" s="51"/>
      <c r="T296" s="51"/>
    </row>
    <row r="297">
      <c r="A297" s="51"/>
      <c r="B297" s="51"/>
      <c r="C297" s="56"/>
      <c r="D297" s="51"/>
      <c r="E297" s="51"/>
      <c r="F297" s="51"/>
      <c r="G297" s="51" t="str">
        <f>IFERROR(__xludf.DUMMYFUNCTION("""COMPUTED_VALUE"""),"#VALUE!")</f>
        <v>#VALUE!</v>
      </c>
      <c r="H297" s="51" t="str">
        <f>IFERROR(__xludf.DUMMYFUNCTION("""COMPUTED_VALUE"""),"")</f>
        <v/>
      </c>
      <c r="I297" s="51" t="str">
        <f>IFERROR(__xludf.DUMMYFUNCTION("""COMPUTED_VALUE"""),"#VALUE!")</f>
        <v>#VALUE!</v>
      </c>
      <c r="J297" s="51" t="str">
        <f>IFERROR(__xludf.DUMMYFUNCTION("""COMPUTED_VALUE"""),"")</f>
        <v/>
      </c>
      <c r="K297" s="51"/>
      <c r="L297" s="51" t="s">
        <v>257</v>
      </c>
      <c r="M297" s="51"/>
      <c r="N297" s="51"/>
      <c r="O297" s="51"/>
      <c r="P297" s="51"/>
      <c r="Q297" s="51"/>
      <c r="R297" s="51"/>
      <c r="S297" s="51"/>
      <c r="T297" s="51"/>
    </row>
    <row r="298">
      <c r="A298" s="51"/>
      <c r="B298" s="51"/>
      <c r="C298" s="56"/>
      <c r="D298" s="51"/>
      <c r="E298" s="51"/>
      <c r="F298" s="51"/>
      <c r="G298" s="51" t="str">
        <f>IFERROR(__xludf.DUMMYFUNCTION("""COMPUTED_VALUE"""),"#VALUE!")</f>
        <v>#VALUE!</v>
      </c>
      <c r="H298" s="51" t="str">
        <f>IFERROR(__xludf.DUMMYFUNCTION("""COMPUTED_VALUE"""),"")</f>
        <v/>
      </c>
      <c r="I298" s="51" t="str">
        <f>IFERROR(__xludf.DUMMYFUNCTION("""COMPUTED_VALUE"""),"#VALUE!")</f>
        <v>#VALUE!</v>
      </c>
      <c r="J298" s="51" t="str">
        <f>IFERROR(__xludf.DUMMYFUNCTION("""COMPUTED_VALUE"""),"")</f>
        <v/>
      </c>
      <c r="K298" s="51"/>
      <c r="L298" s="51" t="s">
        <v>257</v>
      </c>
      <c r="M298" s="51"/>
      <c r="N298" s="51"/>
      <c r="O298" s="51"/>
      <c r="P298" s="51"/>
      <c r="Q298" s="51"/>
      <c r="R298" s="51"/>
      <c r="S298" s="51"/>
      <c r="T298" s="51"/>
    </row>
    <row r="299">
      <c r="A299" s="51"/>
      <c r="B299" s="51"/>
      <c r="C299" s="56"/>
      <c r="D299" s="51"/>
      <c r="E299" s="51"/>
      <c r="F299" s="51"/>
      <c r="G299" s="51" t="str">
        <f>IFERROR(__xludf.DUMMYFUNCTION("""COMPUTED_VALUE"""),"#VALUE!")</f>
        <v>#VALUE!</v>
      </c>
      <c r="H299" s="51" t="str">
        <f>IFERROR(__xludf.DUMMYFUNCTION("""COMPUTED_VALUE"""),"")</f>
        <v/>
      </c>
      <c r="I299" s="51" t="str">
        <f>IFERROR(__xludf.DUMMYFUNCTION("""COMPUTED_VALUE"""),"#VALUE!")</f>
        <v>#VALUE!</v>
      </c>
      <c r="J299" s="51" t="str">
        <f>IFERROR(__xludf.DUMMYFUNCTION("""COMPUTED_VALUE"""),"")</f>
        <v/>
      </c>
      <c r="K299" s="51"/>
      <c r="L299" s="51" t="s">
        <v>257</v>
      </c>
      <c r="M299" s="51"/>
      <c r="N299" s="51"/>
      <c r="O299" s="51"/>
      <c r="P299" s="51"/>
      <c r="Q299" s="51"/>
      <c r="R299" s="51"/>
      <c r="S299" s="51"/>
      <c r="T299" s="51"/>
    </row>
    <row r="300">
      <c r="A300" s="51"/>
      <c r="B300" s="51"/>
      <c r="C300" s="56"/>
      <c r="D300" s="51"/>
      <c r="E300" s="51"/>
      <c r="F300" s="51"/>
      <c r="G300" s="51" t="str">
        <f>IFERROR(__xludf.DUMMYFUNCTION("""COMPUTED_VALUE"""),"#VALUE!")</f>
        <v>#VALUE!</v>
      </c>
      <c r="H300" s="51" t="str">
        <f>IFERROR(__xludf.DUMMYFUNCTION("""COMPUTED_VALUE"""),"")</f>
        <v/>
      </c>
      <c r="I300" s="51" t="str">
        <f>IFERROR(__xludf.DUMMYFUNCTION("""COMPUTED_VALUE"""),"#VALUE!")</f>
        <v>#VALUE!</v>
      </c>
      <c r="J300" s="51" t="str">
        <f>IFERROR(__xludf.DUMMYFUNCTION("""COMPUTED_VALUE"""),"")</f>
        <v/>
      </c>
      <c r="K300" s="51"/>
      <c r="L300" s="51" t="s">
        <v>257</v>
      </c>
      <c r="M300" s="51"/>
      <c r="N300" s="51"/>
      <c r="O300" s="51"/>
      <c r="P300" s="51"/>
      <c r="Q300" s="51"/>
      <c r="R300" s="51"/>
      <c r="S300" s="51"/>
      <c r="T300" s="51"/>
    </row>
    <row r="301">
      <c r="A301" s="51"/>
      <c r="B301" s="51"/>
      <c r="C301" s="56"/>
      <c r="D301" s="51"/>
      <c r="E301" s="51"/>
      <c r="F301" s="51"/>
      <c r="G301" s="51" t="str">
        <f>IFERROR(__xludf.DUMMYFUNCTION("""COMPUTED_VALUE"""),"#VALUE!")</f>
        <v>#VALUE!</v>
      </c>
      <c r="H301" s="51" t="str">
        <f>IFERROR(__xludf.DUMMYFUNCTION("""COMPUTED_VALUE"""),"")</f>
        <v/>
      </c>
      <c r="I301" s="51" t="str">
        <f>IFERROR(__xludf.DUMMYFUNCTION("""COMPUTED_VALUE"""),"#VALUE!")</f>
        <v>#VALUE!</v>
      </c>
      <c r="J301" s="51" t="str">
        <f>IFERROR(__xludf.DUMMYFUNCTION("""COMPUTED_VALUE"""),"")</f>
        <v/>
      </c>
      <c r="K301" s="51"/>
      <c r="L301" s="51" t="s">
        <v>257</v>
      </c>
      <c r="M301" s="51"/>
      <c r="N301" s="51"/>
      <c r="O301" s="51"/>
      <c r="P301" s="51"/>
      <c r="Q301" s="51"/>
      <c r="R301" s="51"/>
      <c r="S301" s="51"/>
      <c r="T301" s="51"/>
    </row>
    <row r="302">
      <c r="A302" s="51"/>
      <c r="B302" s="51"/>
      <c r="C302" s="56"/>
      <c r="D302" s="51"/>
      <c r="E302" s="51"/>
      <c r="F302" s="51"/>
      <c r="G302" s="51" t="str">
        <f>IFERROR(__xludf.DUMMYFUNCTION("""COMPUTED_VALUE"""),"#VALUE!")</f>
        <v>#VALUE!</v>
      </c>
      <c r="H302" s="51" t="str">
        <f>IFERROR(__xludf.DUMMYFUNCTION("""COMPUTED_VALUE"""),"")</f>
        <v/>
      </c>
      <c r="I302" s="51" t="str">
        <f>IFERROR(__xludf.DUMMYFUNCTION("""COMPUTED_VALUE"""),"#VALUE!")</f>
        <v>#VALUE!</v>
      </c>
      <c r="J302" s="51" t="str">
        <f>IFERROR(__xludf.DUMMYFUNCTION("""COMPUTED_VALUE"""),"")</f>
        <v/>
      </c>
      <c r="K302" s="51"/>
      <c r="L302" s="51" t="s">
        <v>257</v>
      </c>
      <c r="M302" s="51"/>
      <c r="N302" s="51"/>
      <c r="O302" s="51"/>
      <c r="P302" s="51"/>
      <c r="Q302" s="51"/>
      <c r="R302" s="51"/>
      <c r="S302" s="51"/>
      <c r="T302" s="51"/>
    </row>
    <row r="303">
      <c r="A303" s="51"/>
      <c r="B303" s="51"/>
      <c r="C303" s="56"/>
      <c r="D303" s="51"/>
      <c r="E303" s="51"/>
      <c r="F303" s="51"/>
      <c r="G303" s="51" t="str">
        <f>IFERROR(__xludf.DUMMYFUNCTION("""COMPUTED_VALUE"""),"#VALUE!")</f>
        <v>#VALUE!</v>
      </c>
      <c r="H303" s="51" t="str">
        <f>IFERROR(__xludf.DUMMYFUNCTION("""COMPUTED_VALUE"""),"")</f>
        <v/>
      </c>
      <c r="I303" s="51" t="str">
        <f>IFERROR(__xludf.DUMMYFUNCTION("""COMPUTED_VALUE"""),"#VALUE!")</f>
        <v>#VALUE!</v>
      </c>
      <c r="J303" s="51" t="str">
        <f>IFERROR(__xludf.DUMMYFUNCTION("""COMPUTED_VALUE"""),"")</f>
        <v/>
      </c>
      <c r="K303" s="51"/>
      <c r="L303" s="51" t="s">
        <v>257</v>
      </c>
      <c r="M303" s="51"/>
      <c r="N303" s="51"/>
      <c r="O303" s="51"/>
      <c r="P303" s="51"/>
      <c r="Q303" s="51"/>
      <c r="R303" s="51"/>
      <c r="S303" s="51"/>
      <c r="T303" s="51"/>
    </row>
    <row r="304">
      <c r="A304" s="51"/>
      <c r="B304" s="51"/>
      <c r="C304" s="56"/>
      <c r="D304" s="51"/>
      <c r="E304" s="51"/>
      <c r="F304" s="51"/>
      <c r="G304" s="51" t="str">
        <f>IFERROR(__xludf.DUMMYFUNCTION("""COMPUTED_VALUE"""),"#VALUE!")</f>
        <v>#VALUE!</v>
      </c>
      <c r="H304" s="51" t="str">
        <f>IFERROR(__xludf.DUMMYFUNCTION("""COMPUTED_VALUE"""),"")</f>
        <v/>
      </c>
      <c r="I304" s="51" t="str">
        <f>IFERROR(__xludf.DUMMYFUNCTION("""COMPUTED_VALUE"""),"#VALUE!")</f>
        <v>#VALUE!</v>
      </c>
      <c r="J304" s="51" t="str">
        <f>IFERROR(__xludf.DUMMYFUNCTION("""COMPUTED_VALUE"""),"")</f>
        <v/>
      </c>
      <c r="K304" s="51"/>
      <c r="L304" s="51" t="s">
        <v>257</v>
      </c>
      <c r="M304" s="51"/>
      <c r="N304" s="51"/>
      <c r="O304" s="51"/>
      <c r="P304" s="51"/>
      <c r="Q304" s="51"/>
      <c r="R304" s="51"/>
      <c r="S304" s="51"/>
      <c r="T304" s="51"/>
    </row>
    <row r="305">
      <c r="A305" s="51"/>
      <c r="B305" s="51"/>
      <c r="C305" s="56"/>
      <c r="D305" s="51"/>
      <c r="E305" s="51"/>
      <c r="F305" s="51"/>
      <c r="G305" s="51" t="str">
        <f>IFERROR(__xludf.DUMMYFUNCTION("""COMPUTED_VALUE"""),"#VALUE!")</f>
        <v>#VALUE!</v>
      </c>
      <c r="H305" s="51" t="str">
        <f>IFERROR(__xludf.DUMMYFUNCTION("""COMPUTED_VALUE"""),"")</f>
        <v/>
      </c>
      <c r="I305" s="51" t="str">
        <f>IFERROR(__xludf.DUMMYFUNCTION("""COMPUTED_VALUE"""),"#VALUE!")</f>
        <v>#VALUE!</v>
      </c>
      <c r="J305" s="51" t="str">
        <f>IFERROR(__xludf.DUMMYFUNCTION("""COMPUTED_VALUE"""),"")</f>
        <v/>
      </c>
      <c r="K305" s="51"/>
      <c r="L305" s="51" t="s">
        <v>257</v>
      </c>
      <c r="M305" s="51"/>
      <c r="N305" s="51"/>
      <c r="O305" s="51"/>
      <c r="P305" s="51"/>
      <c r="Q305" s="51"/>
      <c r="R305" s="51"/>
      <c r="S305" s="51"/>
      <c r="T305" s="51"/>
    </row>
    <row r="306">
      <c r="A306" s="51"/>
      <c r="B306" s="51"/>
      <c r="C306" s="56"/>
      <c r="D306" s="51"/>
      <c r="E306" s="51"/>
      <c r="F306" s="51"/>
      <c r="G306" s="51" t="str">
        <f>IFERROR(__xludf.DUMMYFUNCTION("""COMPUTED_VALUE"""),"#VALUE!")</f>
        <v>#VALUE!</v>
      </c>
      <c r="H306" s="51" t="str">
        <f>IFERROR(__xludf.DUMMYFUNCTION("""COMPUTED_VALUE"""),"")</f>
        <v/>
      </c>
      <c r="I306" s="51" t="str">
        <f>IFERROR(__xludf.DUMMYFUNCTION("""COMPUTED_VALUE"""),"#VALUE!")</f>
        <v>#VALUE!</v>
      </c>
      <c r="J306" s="51" t="str">
        <f>IFERROR(__xludf.DUMMYFUNCTION("""COMPUTED_VALUE"""),"")</f>
        <v/>
      </c>
      <c r="K306" s="51"/>
      <c r="L306" s="51" t="s">
        <v>257</v>
      </c>
      <c r="M306" s="51"/>
      <c r="N306" s="51"/>
      <c r="O306" s="51"/>
      <c r="P306" s="51"/>
      <c r="Q306" s="51"/>
      <c r="R306" s="51"/>
      <c r="S306" s="51"/>
      <c r="T306" s="51"/>
    </row>
    <row r="307">
      <c r="A307" s="51"/>
      <c r="B307" s="51"/>
      <c r="C307" s="56"/>
      <c r="D307" s="51"/>
      <c r="E307" s="51"/>
      <c r="F307" s="51"/>
      <c r="G307" s="51" t="str">
        <f>IFERROR(__xludf.DUMMYFUNCTION("""COMPUTED_VALUE"""),"#VALUE!")</f>
        <v>#VALUE!</v>
      </c>
      <c r="H307" s="51" t="str">
        <f>IFERROR(__xludf.DUMMYFUNCTION("""COMPUTED_VALUE"""),"")</f>
        <v/>
      </c>
      <c r="I307" s="51" t="str">
        <f>IFERROR(__xludf.DUMMYFUNCTION("""COMPUTED_VALUE"""),"#VALUE!")</f>
        <v>#VALUE!</v>
      </c>
      <c r="J307" s="51" t="str">
        <f>IFERROR(__xludf.DUMMYFUNCTION("""COMPUTED_VALUE"""),"")</f>
        <v/>
      </c>
      <c r="K307" s="51"/>
      <c r="L307" s="51" t="s">
        <v>257</v>
      </c>
      <c r="M307" s="51"/>
      <c r="N307" s="51"/>
      <c r="O307" s="51"/>
      <c r="P307" s="51"/>
      <c r="Q307" s="51"/>
      <c r="R307" s="51"/>
      <c r="S307" s="51"/>
      <c r="T307" s="51"/>
    </row>
    <row r="308">
      <c r="A308" s="51"/>
      <c r="B308" s="51"/>
      <c r="C308" s="56"/>
      <c r="D308" s="51"/>
      <c r="E308" s="51"/>
      <c r="F308" s="51"/>
      <c r="G308" s="51" t="str">
        <f>IFERROR(__xludf.DUMMYFUNCTION("""COMPUTED_VALUE"""),"#VALUE!")</f>
        <v>#VALUE!</v>
      </c>
      <c r="H308" s="51" t="str">
        <f>IFERROR(__xludf.DUMMYFUNCTION("""COMPUTED_VALUE"""),"")</f>
        <v/>
      </c>
      <c r="I308" s="51" t="str">
        <f>IFERROR(__xludf.DUMMYFUNCTION("""COMPUTED_VALUE"""),"#VALUE!")</f>
        <v>#VALUE!</v>
      </c>
      <c r="J308" s="51" t="str">
        <f>IFERROR(__xludf.DUMMYFUNCTION("""COMPUTED_VALUE"""),"")</f>
        <v/>
      </c>
      <c r="K308" s="51"/>
      <c r="L308" s="51" t="s">
        <v>257</v>
      </c>
      <c r="M308" s="51"/>
      <c r="N308" s="51"/>
      <c r="O308" s="51"/>
      <c r="P308" s="51"/>
      <c r="Q308" s="51"/>
      <c r="R308" s="51"/>
      <c r="S308" s="51"/>
      <c r="T308" s="51"/>
    </row>
    <row r="309">
      <c r="A309" s="51"/>
      <c r="B309" s="51"/>
      <c r="C309" s="56"/>
      <c r="D309" s="51"/>
      <c r="E309" s="51"/>
      <c r="F309" s="51"/>
      <c r="G309" s="51" t="str">
        <f>IFERROR(__xludf.DUMMYFUNCTION("""COMPUTED_VALUE"""),"#VALUE!")</f>
        <v>#VALUE!</v>
      </c>
      <c r="H309" s="51" t="str">
        <f>IFERROR(__xludf.DUMMYFUNCTION("""COMPUTED_VALUE"""),"")</f>
        <v/>
      </c>
      <c r="I309" s="51" t="str">
        <f>IFERROR(__xludf.DUMMYFUNCTION("""COMPUTED_VALUE"""),"#VALUE!")</f>
        <v>#VALUE!</v>
      </c>
      <c r="J309" s="51" t="str">
        <f>IFERROR(__xludf.DUMMYFUNCTION("""COMPUTED_VALUE"""),"")</f>
        <v/>
      </c>
      <c r="K309" s="51"/>
      <c r="L309" s="51" t="s">
        <v>257</v>
      </c>
      <c r="M309" s="51"/>
      <c r="N309" s="51"/>
      <c r="O309" s="51"/>
      <c r="P309" s="51"/>
      <c r="Q309" s="51"/>
      <c r="R309" s="51"/>
      <c r="S309" s="51"/>
      <c r="T309" s="51"/>
    </row>
    <row r="310">
      <c r="A310" s="51"/>
      <c r="B310" s="51"/>
      <c r="C310" s="56"/>
      <c r="D310" s="51"/>
      <c r="E310" s="51"/>
      <c r="F310" s="51"/>
      <c r="G310" s="51" t="str">
        <f>IFERROR(__xludf.DUMMYFUNCTION("""COMPUTED_VALUE"""),"#VALUE!")</f>
        <v>#VALUE!</v>
      </c>
      <c r="H310" s="51" t="str">
        <f>IFERROR(__xludf.DUMMYFUNCTION("""COMPUTED_VALUE"""),"")</f>
        <v/>
      </c>
      <c r="I310" s="51" t="str">
        <f>IFERROR(__xludf.DUMMYFUNCTION("""COMPUTED_VALUE"""),"#VALUE!")</f>
        <v>#VALUE!</v>
      </c>
      <c r="J310" s="51" t="str">
        <f>IFERROR(__xludf.DUMMYFUNCTION("""COMPUTED_VALUE"""),"")</f>
        <v/>
      </c>
      <c r="K310" s="51"/>
      <c r="L310" s="51" t="s">
        <v>257</v>
      </c>
      <c r="M310" s="51"/>
      <c r="N310" s="51"/>
      <c r="O310" s="51"/>
      <c r="P310" s="51"/>
      <c r="Q310" s="51"/>
      <c r="R310" s="51"/>
      <c r="S310" s="51"/>
      <c r="T310" s="51"/>
    </row>
    <row r="311">
      <c r="A311" s="51"/>
      <c r="B311" s="51"/>
      <c r="C311" s="56"/>
      <c r="D311" s="51"/>
      <c r="E311" s="51"/>
      <c r="F311" s="51"/>
      <c r="G311" s="51" t="str">
        <f>IFERROR(__xludf.DUMMYFUNCTION("""COMPUTED_VALUE"""),"#VALUE!")</f>
        <v>#VALUE!</v>
      </c>
      <c r="H311" s="51" t="str">
        <f>IFERROR(__xludf.DUMMYFUNCTION("""COMPUTED_VALUE"""),"")</f>
        <v/>
      </c>
      <c r="I311" s="51" t="str">
        <f>IFERROR(__xludf.DUMMYFUNCTION("""COMPUTED_VALUE"""),"#VALUE!")</f>
        <v>#VALUE!</v>
      </c>
      <c r="J311" s="51" t="str">
        <f>IFERROR(__xludf.DUMMYFUNCTION("""COMPUTED_VALUE"""),"")</f>
        <v/>
      </c>
      <c r="K311" s="51"/>
      <c r="L311" s="51" t="s">
        <v>257</v>
      </c>
      <c r="M311" s="51"/>
      <c r="N311" s="51"/>
      <c r="O311" s="51"/>
      <c r="P311" s="51"/>
      <c r="Q311" s="51"/>
      <c r="R311" s="51"/>
      <c r="S311" s="51"/>
      <c r="T311" s="51"/>
    </row>
    <row r="312">
      <c r="A312" s="51"/>
      <c r="B312" s="51"/>
      <c r="C312" s="56"/>
      <c r="D312" s="51"/>
      <c r="E312" s="51"/>
      <c r="F312" s="51"/>
      <c r="G312" s="51" t="str">
        <f>IFERROR(__xludf.DUMMYFUNCTION("""COMPUTED_VALUE"""),"#VALUE!")</f>
        <v>#VALUE!</v>
      </c>
      <c r="H312" s="51" t="str">
        <f>IFERROR(__xludf.DUMMYFUNCTION("""COMPUTED_VALUE"""),"")</f>
        <v/>
      </c>
      <c r="I312" s="51" t="str">
        <f>IFERROR(__xludf.DUMMYFUNCTION("""COMPUTED_VALUE"""),"#VALUE!")</f>
        <v>#VALUE!</v>
      </c>
      <c r="J312" s="51" t="str">
        <f>IFERROR(__xludf.DUMMYFUNCTION("""COMPUTED_VALUE"""),"")</f>
        <v/>
      </c>
      <c r="K312" s="51"/>
      <c r="L312" s="51" t="s">
        <v>257</v>
      </c>
      <c r="M312" s="51"/>
      <c r="N312" s="51"/>
      <c r="O312" s="51"/>
      <c r="P312" s="51"/>
      <c r="Q312" s="51"/>
      <c r="R312" s="51"/>
      <c r="S312" s="51"/>
      <c r="T312" s="51"/>
    </row>
    <row r="313">
      <c r="A313" s="51"/>
      <c r="B313" s="51"/>
      <c r="C313" s="56"/>
      <c r="D313" s="51"/>
      <c r="E313" s="51"/>
      <c r="F313" s="51"/>
      <c r="G313" s="51" t="str">
        <f>IFERROR(__xludf.DUMMYFUNCTION("""COMPUTED_VALUE"""),"#VALUE!")</f>
        <v>#VALUE!</v>
      </c>
      <c r="H313" s="51" t="str">
        <f>IFERROR(__xludf.DUMMYFUNCTION("""COMPUTED_VALUE"""),"")</f>
        <v/>
      </c>
      <c r="I313" s="51" t="str">
        <f>IFERROR(__xludf.DUMMYFUNCTION("""COMPUTED_VALUE"""),"#VALUE!")</f>
        <v>#VALUE!</v>
      </c>
      <c r="J313" s="51" t="str">
        <f>IFERROR(__xludf.DUMMYFUNCTION("""COMPUTED_VALUE"""),"")</f>
        <v/>
      </c>
      <c r="K313" s="51"/>
      <c r="L313" s="51" t="s">
        <v>257</v>
      </c>
      <c r="M313" s="51"/>
      <c r="N313" s="51"/>
      <c r="O313" s="51"/>
      <c r="P313" s="51"/>
      <c r="Q313" s="51"/>
      <c r="R313" s="51"/>
      <c r="S313" s="51"/>
      <c r="T313" s="51"/>
    </row>
    <row r="314">
      <c r="A314" s="51"/>
      <c r="B314" s="51"/>
      <c r="C314" s="56"/>
      <c r="D314" s="51"/>
      <c r="E314" s="51"/>
      <c r="F314" s="51"/>
      <c r="G314" s="51" t="str">
        <f>IFERROR(__xludf.DUMMYFUNCTION("""COMPUTED_VALUE"""),"#VALUE!")</f>
        <v>#VALUE!</v>
      </c>
      <c r="H314" s="51" t="str">
        <f>IFERROR(__xludf.DUMMYFUNCTION("""COMPUTED_VALUE"""),"")</f>
        <v/>
      </c>
      <c r="I314" s="51" t="str">
        <f>IFERROR(__xludf.DUMMYFUNCTION("""COMPUTED_VALUE"""),"#VALUE!")</f>
        <v>#VALUE!</v>
      </c>
      <c r="J314" s="51" t="str">
        <f>IFERROR(__xludf.DUMMYFUNCTION("""COMPUTED_VALUE"""),"")</f>
        <v/>
      </c>
      <c r="K314" s="51"/>
      <c r="L314" s="51" t="s">
        <v>257</v>
      </c>
      <c r="M314" s="51"/>
      <c r="N314" s="51"/>
      <c r="O314" s="51"/>
      <c r="P314" s="51"/>
      <c r="Q314" s="51"/>
      <c r="R314" s="51"/>
      <c r="S314" s="51"/>
      <c r="T314" s="51"/>
    </row>
    <row r="315">
      <c r="A315" s="51"/>
      <c r="B315" s="51"/>
      <c r="C315" s="56"/>
      <c r="D315" s="51"/>
      <c r="E315" s="51"/>
      <c r="F315" s="51"/>
      <c r="G315" s="51" t="str">
        <f>IFERROR(__xludf.DUMMYFUNCTION("""COMPUTED_VALUE"""),"#VALUE!")</f>
        <v>#VALUE!</v>
      </c>
      <c r="H315" s="51" t="str">
        <f>IFERROR(__xludf.DUMMYFUNCTION("""COMPUTED_VALUE"""),"")</f>
        <v/>
      </c>
      <c r="I315" s="51" t="str">
        <f>IFERROR(__xludf.DUMMYFUNCTION("""COMPUTED_VALUE"""),"#VALUE!")</f>
        <v>#VALUE!</v>
      </c>
      <c r="J315" s="51" t="str">
        <f>IFERROR(__xludf.DUMMYFUNCTION("""COMPUTED_VALUE"""),"")</f>
        <v/>
      </c>
      <c r="K315" s="51"/>
      <c r="L315" s="51" t="s">
        <v>257</v>
      </c>
      <c r="M315" s="51"/>
      <c r="N315" s="51"/>
      <c r="O315" s="51"/>
      <c r="P315" s="51"/>
      <c r="Q315" s="51"/>
      <c r="R315" s="51"/>
      <c r="S315" s="51"/>
      <c r="T315" s="51"/>
    </row>
    <row r="316">
      <c r="A316" s="51"/>
      <c r="B316" s="51"/>
      <c r="C316" s="56"/>
      <c r="D316" s="51"/>
      <c r="E316" s="51"/>
      <c r="F316" s="51"/>
      <c r="G316" s="51" t="str">
        <f>IFERROR(__xludf.DUMMYFUNCTION("""COMPUTED_VALUE"""),"#VALUE!")</f>
        <v>#VALUE!</v>
      </c>
      <c r="H316" s="51" t="str">
        <f>IFERROR(__xludf.DUMMYFUNCTION("""COMPUTED_VALUE"""),"")</f>
        <v/>
      </c>
      <c r="I316" s="51" t="str">
        <f>IFERROR(__xludf.DUMMYFUNCTION("""COMPUTED_VALUE"""),"#VALUE!")</f>
        <v>#VALUE!</v>
      </c>
      <c r="J316" s="51" t="str">
        <f>IFERROR(__xludf.DUMMYFUNCTION("""COMPUTED_VALUE"""),"")</f>
        <v/>
      </c>
      <c r="K316" s="51"/>
      <c r="L316" s="51" t="s">
        <v>257</v>
      </c>
      <c r="M316" s="51"/>
      <c r="N316" s="51"/>
      <c r="O316" s="51"/>
      <c r="P316" s="51"/>
      <c r="Q316" s="51"/>
      <c r="R316" s="51"/>
      <c r="S316" s="51"/>
      <c r="T316" s="51"/>
    </row>
    <row r="317">
      <c r="A317" s="51"/>
      <c r="B317" s="51"/>
      <c r="C317" s="56"/>
      <c r="D317" s="51"/>
      <c r="E317" s="51"/>
      <c r="F317" s="51"/>
      <c r="G317" s="51" t="str">
        <f>IFERROR(__xludf.DUMMYFUNCTION("""COMPUTED_VALUE"""),"#VALUE!")</f>
        <v>#VALUE!</v>
      </c>
      <c r="H317" s="51" t="str">
        <f>IFERROR(__xludf.DUMMYFUNCTION("""COMPUTED_VALUE"""),"")</f>
        <v/>
      </c>
      <c r="I317" s="51" t="str">
        <f>IFERROR(__xludf.DUMMYFUNCTION("""COMPUTED_VALUE"""),"#VALUE!")</f>
        <v>#VALUE!</v>
      </c>
      <c r="J317" s="51" t="str">
        <f>IFERROR(__xludf.DUMMYFUNCTION("""COMPUTED_VALUE"""),"")</f>
        <v/>
      </c>
      <c r="K317" s="51"/>
      <c r="L317" s="51" t="s">
        <v>257</v>
      </c>
      <c r="M317" s="51"/>
      <c r="N317" s="51"/>
      <c r="O317" s="51"/>
      <c r="P317" s="51"/>
      <c r="Q317" s="51"/>
      <c r="R317" s="51"/>
      <c r="S317" s="51"/>
      <c r="T317" s="51"/>
    </row>
    <row r="318">
      <c r="A318" s="51"/>
      <c r="B318" s="51"/>
      <c r="C318" s="56"/>
      <c r="D318" s="51"/>
      <c r="E318" s="51"/>
      <c r="F318" s="51"/>
      <c r="G318" s="51" t="str">
        <f>IFERROR(__xludf.DUMMYFUNCTION("""COMPUTED_VALUE"""),"#VALUE!")</f>
        <v>#VALUE!</v>
      </c>
      <c r="H318" s="51" t="str">
        <f>IFERROR(__xludf.DUMMYFUNCTION("""COMPUTED_VALUE"""),"")</f>
        <v/>
      </c>
      <c r="I318" s="51" t="str">
        <f>IFERROR(__xludf.DUMMYFUNCTION("""COMPUTED_VALUE"""),"#VALUE!")</f>
        <v>#VALUE!</v>
      </c>
      <c r="J318" s="51" t="str">
        <f>IFERROR(__xludf.DUMMYFUNCTION("""COMPUTED_VALUE"""),"")</f>
        <v/>
      </c>
      <c r="K318" s="51"/>
      <c r="L318" s="51" t="s">
        <v>257</v>
      </c>
      <c r="M318" s="51"/>
      <c r="N318" s="51"/>
      <c r="O318" s="51"/>
      <c r="P318" s="51"/>
      <c r="Q318" s="51"/>
      <c r="R318" s="51"/>
      <c r="S318" s="51"/>
      <c r="T318" s="51"/>
    </row>
    <row r="319">
      <c r="A319" s="51"/>
      <c r="B319" s="51"/>
      <c r="C319" s="56"/>
      <c r="D319" s="51"/>
      <c r="E319" s="51"/>
      <c r="F319" s="51"/>
      <c r="G319" s="51" t="str">
        <f>IFERROR(__xludf.DUMMYFUNCTION("""COMPUTED_VALUE"""),"#VALUE!")</f>
        <v>#VALUE!</v>
      </c>
      <c r="H319" s="51" t="str">
        <f>IFERROR(__xludf.DUMMYFUNCTION("""COMPUTED_VALUE"""),"")</f>
        <v/>
      </c>
      <c r="I319" s="51" t="str">
        <f>IFERROR(__xludf.DUMMYFUNCTION("""COMPUTED_VALUE"""),"#VALUE!")</f>
        <v>#VALUE!</v>
      </c>
      <c r="J319" s="51" t="str">
        <f>IFERROR(__xludf.DUMMYFUNCTION("""COMPUTED_VALUE"""),"")</f>
        <v/>
      </c>
      <c r="K319" s="51"/>
      <c r="L319" s="51" t="s">
        <v>257</v>
      </c>
      <c r="M319" s="51"/>
      <c r="N319" s="51"/>
      <c r="O319" s="51"/>
      <c r="P319" s="51"/>
      <c r="Q319" s="51"/>
      <c r="R319" s="51"/>
      <c r="S319" s="51"/>
      <c r="T319" s="51"/>
    </row>
    <row r="320">
      <c r="A320" s="51"/>
      <c r="B320" s="51"/>
      <c r="C320" s="56"/>
      <c r="D320" s="51"/>
      <c r="E320" s="51"/>
      <c r="F320" s="51"/>
      <c r="G320" s="51" t="str">
        <f>IFERROR(__xludf.DUMMYFUNCTION("""COMPUTED_VALUE"""),"#VALUE!")</f>
        <v>#VALUE!</v>
      </c>
      <c r="H320" s="51" t="str">
        <f>IFERROR(__xludf.DUMMYFUNCTION("""COMPUTED_VALUE"""),"")</f>
        <v/>
      </c>
      <c r="I320" s="51" t="str">
        <f>IFERROR(__xludf.DUMMYFUNCTION("""COMPUTED_VALUE"""),"#VALUE!")</f>
        <v>#VALUE!</v>
      </c>
      <c r="J320" s="51" t="str">
        <f>IFERROR(__xludf.DUMMYFUNCTION("""COMPUTED_VALUE"""),"")</f>
        <v/>
      </c>
      <c r="K320" s="51"/>
      <c r="L320" s="51" t="s">
        <v>257</v>
      </c>
      <c r="M320" s="51"/>
      <c r="N320" s="51"/>
      <c r="O320" s="51"/>
      <c r="P320" s="51"/>
      <c r="Q320" s="51"/>
      <c r="R320" s="51"/>
      <c r="S320" s="51"/>
      <c r="T320" s="51"/>
    </row>
    <row r="321">
      <c r="A321" s="51"/>
      <c r="B321" s="51"/>
      <c r="C321" s="56"/>
      <c r="D321" s="51"/>
      <c r="E321" s="51"/>
      <c r="F321" s="51"/>
      <c r="G321" s="51" t="str">
        <f>IFERROR(__xludf.DUMMYFUNCTION("""COMPUTED_VALUE"""),"#VALUE!")</f>
        <v>#VALUE!</v>
      </c>
      <c r="H321" s="51" t="str">
        <f>IFERROR(__xludf.DUMMYFUNCTION("""COMPUTED_VALUE"""),"")</f>
        <v/>
      </c>
      <c r="I321" s="51" t="str">
        <f>IFERROR(__xludf.DUMMYFUNCTION("""COMPUTED_VALUE"""),"#VALUE!")</f>
        <v>#VALUE!</v>
      </c>
      <c r="J321" s="51" t="str">
        <f>IFERROR(__xludf.DUMMYFUNCTION("""COMPUTED_VALUE"""),"")</f>
        <v/>
      </c>
      <c r="K321" s="51"/>
      <c r="L321" s="51" t="s">
        <v>257</v>
      </c>
      <c r="M321" s="51"/>
      <c r="N321" s="51"/>
      <c r="O321" s="51"/>
      <c r="P321" s="51"/>
      <c r="Q321" s="51"/>
      <c r="R321" s="51"/>
      <c r="S321" s="51"/>
      <c r="T321" s="51"/>
    </row>
    <row r="322">
      <c r="A322" s="51"/>
      <c r="B322" s="51"/>
      <c r="C322" s="56"/>
      <c r="D322" s="51"/>
      <c r="E322" s="51"/>
      <c r="F322" s="51"/>
      <c r="G322" s="51" t="str">
        <f>IFERROR(__xludf.DUMMYFUNCTION("""COMPUTED_VALUE"""),"#VALUE!")</f>
        <v>#VALUE!</v>
      </c>
      <c r="H322" s="51" t="str">
        <f>IFERROR(__xludf.DUMMYFUNCTION("""COMPUTED_VALUE"""),"")</f>
        <v/>
      </c>
      <c r="I322" s="51" t="str">
        <f>IFERROR(__xludf.DUMMYFUNCTION("""COMPUTED_VALUE"""),"#VALUE!")</f>
        <v>#VALUE!</v>
      </c>
      <c r="J322" s="51" t="str">
        <f>IFERROR(__xludf.DUMMYFUNCTION("""COMPUTED_VALUE"""),"")</f>
        <v/>
      </c>
      <c r="K322" s="51"/>
      <c r="L322" s="51" t="s">
        <v>257</v>
      </c>
      <c r="M322" s="51"/>
      <c r="N322" s="51"/>
      <c r="O322" s="51"/>
      <c r="P322" s="51"/>
      <c r="Q322" s="51"/>
      <c r="R322" s="51"/>
      <c r="S322" s="51"/>
      <c r="T322" s="51"/>
    </row>
    <row r="323">
      <c r="A323" s="51"/>
      <c r="B323" s="51"/>
      <c r="C323" s="56"/>
      <c r="D323" s="51"/>
      <c r="E323" s="51"/>
      <c r="F323" s="51"/>
      <c r="G323" s="51" t="str">
        <f>IFERROR(__xludf.DUMMYFUNCTION("""COMPUTED_VALUE"""),"#VALUE!")</f>
        <v>#VALUE!</v>
      </c>
      <c r="H323" s="51" t="str">
        <f>IFERROR(__xludf.DUMMYFUNCTION("""COMPUTED_VALUE"""),"")</f>
        <v/>
      </c>
      <c r="I323" s="51" t="str">
        <f>IFERROR(__xludf.DUMMYFUNCTION("""COMPUTED_VALUE"""),"#VALUE!")</f>
        <v>#VALUE!</v>
      </c>
      <c r="J323" s="51" t="str">
        <f>IFERROR(__xludf.DUMMYFUNCTION("""COMPUTED_VALUE"""),"")</f>
        <v/>
      </c>
      <c r="K323" s="51"/>
      <c r="L323" s="51" t="s">
        <v>257</v>
      </c>
      <c r="M323" s="51"/>
      <c r="N323" s="51"/>
      <c r="O323" s="51"/>
      <c r="P323" s="51"/>
      <c r="Q323" s="51"/>
      <c r="R323" s="51"/>
      <c r="S323" s="51"/>
      <c r="T323" s="51"/>
    </row>
    <row r="324">
      <c r="A324" s="51"/>
      <c r="B324" s="51"/>
      <c r="C324" s="56"/>
      <c r="D324" s="51"/>
      <c r="E324" s="51"/>
      <c r="F324" s="51"/>
      <c r="G324" s="51" t="str">
        <f>IFERROR(__xludf.DUMMYFUNCTION("""COMPUTED_VALUE"""),"#VALUE!")</f>
        <v>#VALUE!</v>
      </c>
      <c r="H324" s="51" t="str">
        <f>IFERROR(__xludf.DUMMYFUNCTION("""COMPUTED_VALUE"""),"")</f>
        <v/>
      </c>
      <c r="I324" s="51" t="str">
        <f>IFERROR(__xludf.DUMMYFUNCTION("""COMPUTED_VALUE"""),"#VALUE!")</f>
        <v>#VALUE!</v>
      </c>
      <c r="J324" s="51" t="str">
        <f>IFERROR(__xludf.DUMMYFUNCTION("""COMPUTED_VALUE"""),"")</f>
        <v/>
      </c>
      <c r="K324" s="51"/>
      <c r="L324" s="51" t="s">
        <v>257</v>
      </c>
      <c r="M324" s="51"/>
      <c r="N324" s="51"/>
      <c r="O324" s="51"/>
      <c r="P324" s="51"/>
      <c r="Q324" s="51"/>
      <c r="R324" s="51"/>
      <c r="S324" s="51"/>
      <c r="T324" s="51"/>
    </row>
    <row r="325">
      <c r="A325" s="51"/>
      <c r="B325" s="51"/>
      <c r="C325" s="56"/>
      <c r="D325" s="51"/>
      <c r="E325" s="51"/>
      <c r="F325" s="51"/>
      <c r="G325" s="51" t="str">
        <f>IFERROR(__xludf.DUMMYFUNCTION("""COMPUTED_VALUE"""),"#VALUE!")</f>
        <v>#VALUE!</v>
      </c>
      <c r="H325" s="51" t="str">
        <f>IFERROR(__xludf.DUMMYFUNCTION("""COMPUTED_VALUE"""),"")</f>
        <v/>
      </c>
      <c r="I325" s="51" t="str">
        <f>IFERROR(__xludf.DUMMYFUNCTION("""COMPUTED_VALUE"""),"#VALUE!")</f>
        <v>#VALUE!</v>
      </c>
      <c r="J325" s="51" t="str">
        <f>IFERROR(__xludf.DUMMYFUNCTION("""COMPUTED_VALUE"""),"")</f>
        <v/>
      </c>
      <c r="K325" s="51"/>
      <c r="L325" s="51" t="s">
        <v>257</v>
      </c>
      <c r="M325" s="51"/>
      <c r="N325" s="51"/>
      <c r="O325" s="51"/>
      <c r="P325" s="51"/>
      <c r="Q325" s="51"/>
      <c r="R325" s="51"/>
      <c r="S325" s="51"/>
      <c r="T325" s="51"/>
    </row>
    <row r="326">
      <c r="A326" s="51"/>
      <c r="B326" s="51"/>
      <c r="C326" s="56"/>
      <c r="D326" s="51"/>
      <c r="E326" s="51"/>
      <c r="F326" s="51"/>
      <c r="G326" s="51" t="str">
        <f>IFERROR(__xludf.DUMMYFUNCTION("""COMPUTED_VALUE"""),"#VALUE!")</f>
        <v>#VALUE!</v>
      </c>
      <c r="H326" s="51" t="str">
        <f>IFERROR(__xludf.DUMMYFUNCTION("""COMPUTED_VALUE"""),"")</f>
        <v/>
      </c>
      <c r="I326" s="51" t="str">
        <f>IFERROR(__xludf.DUMMYFUNCTION("""COMPUTED_VALUE"""),"#VALUE!")</f>
        <v>#VALUE!</v>
      </c>
      <c r="J326" s="51" t="str">
        <f>IFERROR(__xludf.DUMMYFUNCTION("""COMPUTED_VALUE"""),"")</f>
        <v/>
      </c>
      <c r="K326" s="51"/>
      <c r="L326" s="51" t="s">
        <v>257</v>
      </c>
      <c r="M326" s="51"/>
      <c r="N326" s="51"/>
      <c r="O326" s="51"/>
      <c r="P326" s="51"/>
      <c r="Q326" s="51"/>
      <c r="R326" s="51"/>
      <c r="S326" s="51"/>
      <c r="T326" s="51"/>
    </row>
    <row r="327">
      <c r="A327" s="51"/>
      <c r="B327" s="51"/>
      <c r="C327" s="56"/>
      <c r="D327" s="51"/>
      <c r="E327" s="51"/>
      <c r="F327" s="51"/>
      <c r="G327" s="51" t="str">
        <f>IFERROR(__xludf.DUMMYFUNCTION("""COMPUTED_VALUE"""),"#VALUE!")</f>
        <v>#VALUE!</v>
      </c>
      <c r="H327" s="51" t="str">
        <f>IFERROR(__xludf.DUMMYFUNCTION("""COMPUTED_VALUE"""),"")</f>
        <v/>
      </c>
      <c r="I327" s="51" t="str">
        <f>IFERROR(__xludf.DUMMYFUNCTION("""COMPUTED_VALUE"""),"#VALUE!")</f>
        <v>#VALUE!</v>
      </c>
      <c r="J327" s="51" t="str">
        <f>IFERROR(__xludf.DUMMYFUNCTION("""COMPUTED_VALUE"""),"")</f>
        <v/>
      </c>
      <c r="K327" s="51"/>
      <c r="L327" s="51" t="s">
        <v>257</v>
      </c>
      <c r="M327" s="51"/>
      <c r="N327" s="51"/>
      <c r="O327" s="51"/>
      <c r="P327" s="51"/>
      <c r="Q327" s="51"/>
      <c r="R327" s="51"/>
      <c r="S327" s="51"/>
      <c r="T327" s="51"/>
    </row>
    <row r="328">
      <c r="A328" s="51"/>
      <c r="B328" s="51"/>
      <c r="C328" s="56"/>
      <c r="D328" s="51"/>
      <c r="E328" s="51"/>
      <c r="F328" s="51"/>
      <c r="G328" s="51" t="str">
        <f>IFERROR(__xludf.DUMMYFUNCTION("""COMPUTED_VALUE"""),"#VALUE!")</f>
        <v>#VALUE!</v>
      </c>
      <c r="H328" s="51" t="str">
        <f>IFERROR(__xludf.DUMMYFUNCTION("""COMPUTED_VALUE"""),"")</f>
        <v/>
      </c>
      <c r="I328" s="51" t="str">
        <f>IFERROR(__xludf.DUMMYFUNCTION("""COMPUTED_VALUE"""),"#VALUE!")</f>
        <v>#VALUE!</v>
      </c>
      <c r="J328" s="51" t="str">
        <f>IFERROR(__xludf.DUMMYFUNCTION("""COMPUTED_VALUE"""),"")</f>
        <v/>
      </c>
      <c r="K328" s="51"/>
      <c r="L328" s="51" t="s">
        <v>257</v>
      </c>
      <c r="M328" s="51"/>
      <c r="N328" s="51"/>
      <c r="O328" s="51"/>
      <c r="P328" s="51"/>
      <c r="Q328" s="51"/>
      <c r="R328" s="51"/>
      <c r="S328" s="51"/>
      <c r="T328" s="51"/>
    </row>
    <row r="329">
      <c r="A329" s="51"/>
      <c r="B329" s="51"/>
      <c r="C329" s="56"/>
      <c r="D329" s="51"/>
      <c r="E329" s="51"/>
      <c r="F329" s="51"/>
      <c r="G329" s="51" t="str">
        <f>IFERROR(__xludf.DUMMYFUNCTION("""COMPUTED_VALUE"""),"#VALUE!")</f>
        <v>#VALUE!</v>
      </c>
      <c r="H329" s="51" t="str">
        <f>IFERROR(__xludf.DUMMYFUNCTION("""COMPUTED_VALUE"""),"")</f>
        <v/>
      </c>
      <c r="I329" s="51" t="str">
        <f>IFERROR(__xludf.DUMMYFUNCTION("""COMPUTED_VALUE"""),"#VALUE!")</f>
        <v>#VALUE!</v>
      </c>
      <c r="J329" s="51" t="str">
        <f>IFERROR(__xludf.DUMMYFUNCTION("""COMPUTED_VALUE"""),"")</f>
        <v/>
      </c>
      <c r="K329" s="51"/>
      <c r="L329" s="51" t="s">
        <v>257</v>
      </c>
      <c r="M329" s="51"/>
      <c r="N329" s="51"/>
      <c r="O329" s="51"/>
      <c r="P329" s="51"/>
      <c r="Q329" s="51"/>
      <c r="R329" s="51"/>
      <c r="S329" s="51"/>
      <c r="T329" s="51"/>
    </row>
    <row r="330">
      <c r="A330" s="51"/>
      <c r="B330" s="51"/>
      <c r="C330" s="56"/>
      <c r="D330" s="51"/>
      <c r="E330" s="51"/>
      <c r="F330" s="51"/>
      <c r="G330" s="51" t="str">
        <f>IFERROR(__xludf.DUMMYFUNCTION("""COMPUTED_VALUE"""),"#VALUE!")</f>
        <v>#VALUE!</v>
      </c>
      <c r="H330" s="51" t="str">
        <f>IFERROR(__xludf.DUMMYFUNCTION("""COMPUTED_VALUE"""),"")</f>
        <v/>
      </c>
      <c r="I330" s="51" t="str">
        <f>IFERROR(__xludf.DUMMYFUNCTION("""COMPUTED_VALUE"""),"#VALUE!")</f>
        <v>#VALUE!</v>
      </c>
      <c r="J330" s="51" t="str">
        <f>IFERROR(__xludf.DUMMYFUNCTION("""COMPUTED_VALUE"""),"")</f>
        <v/>
      </c>
      <c r="K330" s="51"/>
      <c r="L330" s="51" t="s">
        <v>257</v>
      </c>
      <c r="M330" s="51"/>
      <c r="N330" s="51"/>
      <c r="O330" s="51"/>
      <c r="P330" s="51"/>
      <c r="Q330" s="51"/>
      <c r="R330" s="51"/>
      <c r="S330" s="51"/>
      <c r="T330" s="51"/>
    </row>
    <row r="331">
      <c r="A331" s="51"/>
      <c r="B331" s="51"/>
      <c r="C331" s="56"/>
      <c r="D331" s="51"/>
      <c r="E331" s="51"/>
      <c r="F331" s="51"/>
      <c r="G331" s="51" t="str">
        <f>IFERROR(__xludf.DUMMYFUNCTION("""COMPUTED_VALUE"""),"#VALUE!")</f>
        <v>#VALUE!</v>
      </c>
      <c r="H331" s="51" t="str">
        <f>IFERROR(__xludf.DUMMYFUNCTION("""COMPUTED_VALUE"""),"")</f>
        <v/>
      </c>
      <c r="I331" s="51" t="str">
        <f>IFERROR(__xludf.DUMMYFUNCTION("""COMPUTED_VALUE"""),"#VALUE!")</f>
        <v>#VALUE!</v>
      </c>
      <c r="J331" s="51" t="str">
        <f>IFERROR(__xludf.DUMMYFUNCTION("""COMPUTED_VALUE"""),"")</f>
        <v/>
      </c>
      <c r="K331" s="51"/>
      <c r="L331" s="51" t="s">
        <v>257</v>
      </c>
      <c r="M331" s="51"/>
      <c r="N331" s="51"/>
      <c r="O331" s="51"/>
      <c r="P331" s="51"/>
      <c r="Q331" s="51"/>
      <c r="R331" s="51"/>
      <c r="S331" s="51"/>
      <c r="T331" s="51"/>
    </row>
    <row r="332">
      <c r="A332" s="51"/>
      <c r="B332" s="51"/>
      <c r="C332" s="56"/>
      <c r="D332" s="51"/>
      <c r="E332" s="51"/>
      <c r="F332" s="51"/>
      <c r="G332" s="51" t="str">
        <f>IFERROR(__xludf.DUMMYFUNCTION("""COMPUTED_VALUE"""),"#VALUE!")</f>
        <v>#VALUE!</v>
      </c>
      <c r="H332" s="51" t="str">
        <f>IFERROR(__xludf.DUMMYFUNCTION("""COMPUTED_VALUE"""),"")</f>
        <v/>
      </c>
      <c r="I332" s="51" t="str">
        <f>IFERROR(__xludf.DUMMYFUNCTION("""COMPUTED_VALUE"""),"#VALUE!")</f>
        <v>#VALUE!</v>
      </c>
      <c r="J332" s="51" t="str">
        <f>IFERROR(__xludf.DUMMYFUNCTION("""COMPUTED_VALUE"""),"")</f>
        <v/>
      </c>
      <c r="K332" s="51"/>
      <c r="L332" s="51" t="s">
        <v>257</v>
      </c>
      <c r="M332" s="51"/>
      <c r="N332" s="51"/>
      <c r="O332" s="51"/>
      <c r="P332" s="51"/>
      <c r="Q332" s="51"/>
      <c r="R332" s="51"/>
      <c r="S332" s="51"/>
      <c r="T332" s="51"/>
    </row>
    <row r="333">
      <c r="A333" s="51"/>
      <c r="B333" s="51"/>
      <c r="C333" s="56"/>
      <c r="D333" s="51"/>
      <c r="E333" s="51"/>
      <c r="F333" s="51"/>
      <c r="G333" s="51" t="str">
        <f>IFERROR(__xludf.DUMMYFUNCTION("""COMPUTED_VALUE"""),"#VALUE!")</f>
        <v>#VALUE!</v>
      </c>
      <c r="H333" s="51" t="str">
        <f>IFERROR(__xludf.DUMMYFUNCTION("""COMPUTED_VALUE"""),"")</f>
        <v/>
      </c>
      <c r="I333" s="51" t="str">
        <f>IFERROR(__xludf.DUMMYFUNCTION("""COMPUTED_VALUE"""),"#VALUE!")</f>
        <v>#VALUE!</v>
      </c>
      <c r="J333" s="51" t="str">
        <f>IFERROR(__xludf.DUMMYFUNCTION("""COMPUTED_VALUE"""),"")</f>
        <v/>
      </c>
      <c r="K333" s="51"/>
      <c r="L333" s="51" t="s">
        <v>257</v>
      </c>
      <c r="M333" s="51"/>
      <c r="N333" s="51"/>
      <c r="O333" s="51"/>
      <c r="P333" s="51"/>
      <c r="Q333" s="51"/>
      <c r="R333" s="51"/>
      <c r="S333" s="51"/>
      <c r="T333" s="51"/>
    </row>
    <row r="334">
      <c r="A334" s="51"/>
      <c r="B334" s="51"/>
      <c r="C334" s="56"/>
      <c r="D334" s="51"/>
      <c r="E334" s="51"/>
      <c r="F334" s="51"/>
      <c r="G334" s="51" t="str">
        <f>IFERROR(__xludf.DUMMYFUNCTION("""COMPUTED_VALUE"""),"#VALUE!")</f>
        <v>#VALUE!</v>
      </c>
      <c r="H334" s="51" t="str">
        <f>IFERROR(__xludf.DUMMYFUNCTION("""COMPUTED_VALUE"""),"")</f>
        <v/>
      </c>
      <c r="I334" s="51" t="str">
        <f>IFERROR(__xludf.DUMMYFUNCTION("""COMPUTED_VALUE"""),"#VALUE!")</f>
        <v>#VALUE!</v>
      </c>
      <c r="J334" s="51" t="str">
        <f>IFERROR(__xludf.DUMMYFUNCTION("""COMPUTED_VALUE"""),"")</f>
        <v/>
      </c>
      <c r="K334" s="51"/>
      <c r="L334" s="51" t="s">
        <v>257</v>
      </c>
      <c r="M334" s="51"/>
      <c r="N334" s="51"/>
      <c r="O334" s="51"/>
      <c r="P334" s="51"/>
      <c r="Q334" s="51"/>
      <c r="R334" s="51"/>
      <c r="S334" s="51"/>
      <c r="T334" s="51"/>
    </row>
    <row r="335">
      <c r="A335" s="51"/>
      <c r="B335" s="51"/>
      <c r="C335" s="56"/>
      <c r="D335" s="51"/>
      <c r="E335" s="51"/>
      <c r="F335" s="51"/>
      <c r="G335" s="51" t="str">
        <f>IFERROR(__xludf.DUMMYFUNCTION("""COMPUTED_VALUE"""),"#VALUE!")</f>
        <v>#VALUE!</v>
      </c>
      <c r="H335" s="51" t="str">
        <f>IFERROR(__xludf.DUMMYFUNCTION("""COMPUTED_VALUE"""),"")</f>
        <v/>
      </c>
      <c r="I335" s="51" t="str">
        <f>IFERROR(__xludf.DUMMYFUNCTION("""COMPUTED_VALUE"""),"#VALUE!")</f>
        <v>#VALUE!</v>
      </c>
      <c r="J335" s="51" t="str">
        <f>IFERROR(__xludf.DUMMYFUNCTION("""COMPUTED_VALUE"""),"")</f>
        <v/>
      </c>
      <c r="K335" s="51"/>
      <c r="L335" s="51" t="s">
        <v>257</v>
      </c>
      <c r="M335" s="51"/>
      <c r="N335" s="51"/>
      <c r="O335" s="51"/>
      <c r="P335" s="51"/>
      <c r="Q335" s="51"/>
      <c r="R335" s="51"/>
      <c r="S335" s="51"/>
      <c r="T335" s="51"/>
    </row>
    <row r="336">
      <c r="A336" s="51"/>
      <c r="B336" s="51"/>
      <c r="C336" s="56"/>
      <c r="D336" s="51"/>
      <c r="E336" s="51"/>
      <c r="F336" s="51"/>
      <c r="G336" s="51" t="str">
        <f>IFERROR(__xludf.DUMMYFUNCTION("""COMPUTED_VALUE"""),"#VALUE!")</f>
        <v>#VALUE!</v>
      </c>
      <c r="H336" s="51" t="str">
        <f>IFERROR(__xludf.DUMMYFUNCTION("""COMPUTED_VALUE"""),"")</f>
        <v/>
      </c>
      <c r="I336" s="51" t="str">
        <f>IFERROR(__xludf.DUMMYFUNCTION("""COMPUTED_VALUE"""),"#VALUE!")</f>
        <v>#VALUE!</v>
      </c>
      <c r="J336" s="51" t="str">
        <f>IFERROR(__xludf.DUMMYFUNCTION("""COMPUTED_VALUE"""),"")</f>
        <v/>
      </c>
      <c r="K336" s="51"/>
      <c r="L336" s="51" t="s">
        <v>257</v>
      </c>
      <c r="M336" s="51"/>
      <c r="N336" s="51"/>
      <c r="O336" s="51"/>
      <c r="P336" s="51"/>
      <c r="Q336" s="51"/>
      <c r="R336" s="51"/>
      <c r="S336" s="51"/>
      <c r="T336" s="51"/>
    </row>
    <row r="337">
      <c r="A337" s="51"/>
      <c r="B337" s="51"/>
      <c r="C337" s="56"/>
      <c r="D337" s="51"/>
      <c r="E337" s="51"/>
      <c r="F337" s="51"/>
      <c r="G337" s="51" t="str">
        <f>IFERROR(__xludf.DUMMYFUNCTION("""COMPUTED_VALUE"""),"#VALUE!")</f>
        <v>#VALUE!</v>
      </c>
      <c r="H337" s="51" t="str">
        <f>IFERROR(__xludf.DUMMYFUNCTION("""COMPUTED_VALUE"""),"")</f>
        <v/>
      </c>
      <c r="I337" s="51" t="str">
        <f>IFERROR(__xludf.DUMMYFUNCTION("""COMPUTED_VALUE"""),"#VALUE!")</f>
        <v>#VALUE!</v>
      </c>
      <c r="J337" s="51" t="str">
        <f>IFERROR(__xludf.DUMMYFUNCTION("""COMPUTED_VALUE"""),"")</f>
        <v/>
      </c>
      <c r="K337" s="51"/>
      <c r="L337" s="51" t="s">
        <v>257</v>
      </c>
      <c r="M337" s="51"/>
      <c r="N337" s="51"/>
      <c r="O337" s="51"/>
      <c r="P337" s="51"/>
      <c r="Q337" s="51"/>
      <c r="R337" s="51"/>
      <c r="S337" s="51"/>
      <c r="T337" s="51"/>
    </row>
    <row r="338">
      <c r="A338" s="51"/>
      <c r="B338" s="51"/>
      <c r="C338" s="56"/>
      <c r="D338" s="51"/>
      <c r="E338" s="51"/>
      <c r="F338" s="51"/>
      <c r="G338" s="51" t="str">
        <f>IFERROR(__xludf.DUMMYFUNCTION("""COMPUTED_VALUE"""),"#VALUE!")</f>
        <v>#VALUE!</v>
      </c>
      <c r="H338" s="51" t="str">
        <f>IFERROR(__xludf.DUMMYFUNCTION("""COMPUTED_VALUE"""),"")</f>
        <v/>
      </c>
      <c r="I338" s="51" t="str">
        <f>IFERROR(__xludf.DUMMYFUNCTION("""COMPUTED_VALUE"""),"#VALUE!")</f>
        <v>#VALUE!</v>
      </c>
      <c r="J338" s="51" t="str">
        <f>IFERROR(__xludf.DUMMYFUNCTION("""COMPUTED_VALUE"""),"")</f>
        <v/>
      </c>
      <c r="K338" s="51"/>
      <c r="L338" s="51" t="s">
        <v>257</v>
      </c>
      <c r="M338" s="51"/>
      <c r="N338" s="51"/>
      <c r="O338" s="51"/>
      <c r="P338" s="51"/>
      <c r="Q338" s="51"/>
      <c r="R338" s="51"/>
      <c r="S338" s="51"/>
      <c r="T338" s="51"/>
    </row>
    <row r="339">
      <c r="A339" s="51"/>
      <c r="B339" s="51"/>
      <c r="C339" s="56"/>
      <c r="D339" s="51"/>
      <c r="E339" s="51"/>
      <c r="F339" s="51"/>
      <c r="G339" s="51" t="str">
        <f>IFERROR(__xludf.DUMMYFUNCTION("""COMPUTED_VALUE"""),"#VALUE!")</f>
        <v>#VALUE!</v>
      </c>
      <c r="H339" s="51" t="str">
        <f>IFERROR(__xludf.DUMMYFUNCTION("""COMPUTED_VALUE"""),"")</f>
        <v/>
      </c>
      <c r="I339" s="51" t="str">
        <f>IFERROR(__xludf.DUMMYFUNCTION("""COMPUTED_VALUE"""),"#VALUE!")</f>
        <v>#VALUE!</v>
      </c>
      <c r="J339" s="51" t="str">
        <f>IFERROR(__xludf.DUMMYFUNCTION("""COMPUTED_VALUE"""),"")</f>
        <v/>
      </c>
      <c r="K339" s="51"/>
      <c r="L339" s="51" t="s">
        <v>257</v>
      </c>
      <c r="M339" s="51"/>
      <c r="N339" s="51"/>
      <c r="O339" s="51"/>
      <c r="P339" s="51"/>
      <c r="Q339" s="51"/>
      <c r="R339" s="51"/>
      <c r="S339" s="51"/>
      <c r="T339" s="51"/>
    </row>
    <row r="340">
      <c r="A340" s="51"/>
      <c r="B340" s="51"/>
      <c r="C340" s="56"/>
      <c r="D340" s="51"/>
      <c r="E340" s="51"/>
      <c r="F340" s="51"/>
      <c r="G340" s="51" t="str">
        <f>IFERROR(__xludf.DUMMYFUNCTION("""COMPUTED_VALUE"""),"#VALUE!")</f>
        <v>#VALUE!</v>
      </c>
      <c r="H340" s="51" t="str">
        <f>IFERROR(__xludf.DUMMYFUNCTION("""COMPUTED_VALUE"""),"")</f>
        <v/>
      </c>
      <c r="I340" s="51" t="str">
        <f>IFERROR(__xludf.DUMMYFUNCTION("""COMPUTED_VALUE"""),"#VALUE!")</f>
        <v>#VALUE!</v>
      </c>
      <c r="J340" s="51" t="str">
        <f>IFERROR(__xludf.DUMMYFUNCTION("""COMPUTED_VALUE"""),"")</f>
        <v/>
      </c>
      <c r="K340" s="51"/>
      <c r="L340" s="51" t="s">
        <v>257</v>
      </c>
      <c r="M340" s="51"/>
      <c r="N340" s="51"/>
      <c r="O340" s="51"/>
      <c r="P340" s="51"/>
      <c r="Q340" s="51"/>
      <c r="R340" s="51"/>
      <c r="S340" s="51"/>
      <c r="T340" s="51"/>
    </row>
    <row r="341">
      <c r="A341" s="51"/>
      <c r="B341" s="51"/>
      <c r="C341" s="56"/>
      <c r="D341" s="51"/>
      <c r="E341" s="51"/>
      <c r="F341" s="51"/>
      <c r="G341" s="51" t="str">
        <f>IFERROR(__xludf.DUMMYFUNCTION("""COMPUTED_VALUE"""),"#VALUE!")</f>
        <v>#VALUE!</v>
      </c>
      <c r="H341" s="51" t="str">
        <f>IFERROR(__xludf.DUMMYFUNCTION("""COMPUTED_VALUE"""),"")</f>
        <v/>
      </c>
      <c r="I341" s="51" t="str">
        <f>IFERROR(__xludf.DUMMYFUNCTION("""COMPUTED_VALUE"""),"#VALUE!")</f>
        <v>#VALUE!</v>
      </c>
      <c r="J341" s="51" t="str">
        <f>IFERROR(__xludf.DUMMYFUNCTION("""COMPUTED_VALUE"""),"")</f>
        <v/>
      </c>
      <c r="K341" s="51"/>
      <c r="L341" s="51" t="s">
        <v>257</v>
      </c>
      <c r="M341" s="51"/>
      <c r="N341" s="51"/>
      <c r="O341" s="51"/>
      <c r="P341" s="51"/>
      <c r="Q341" s="51"/>
      <c r="R341" s="51"/>
      <c r="S341" s="51"/>
      <c r="T341" s="51"/>
    </row>
    <row r="342">
      <c r="A342" s="51"/>
      <c r="B342" s="51"/>
      <c r="C342" s="56"/>
      <c r="D342" s="51"/>
      <c r="E342" s="51"/>
      <c r="F342" s="51"/>
      <c r="G342" s="51" t="str">
        <f>IFERROR(__xludf.DUMMYFUNCTION("""COMPUTED_VALUE"""),"#VALUE!")</f>
        <v>#VALUE!</v>
      </c>
      <c r="H342" s="51" t="str">
        <f>IFERROR(__xludf.DUMMYFUNCTION("""COMPUTED_VALUE"""),"")</f>
        <v/>
      </c>
      <c r="I342" s="51" t="str">
        <f>IFERROR(__xludf.DUMMYFUNCTION("""COMPUTED_VALUE"""),"#VALUE!")</f>
        <v>#VALUE!</v>
      </c>
      <c r="J342" s="51" t="str">
        <f>IFERROR(__xludf.DUMMYFUNCTION("""COMPUTED_VALUE"""),"")</f>
        <v/>
      </c>
      <c r="K342" s="51"/>
      <c r="L342" s="51" t="s">
        <v>257</v>
      </c>
      <c r="M342" s="51"/>
      <c r="N342" s="51"/>
      <c r="O342" s="51"/>
      <c r="P342" s="51"/>
      <c r="Q342" s="51"/>
      <c r="R342" s="51"/>
      <c r="S342" s="51"/>
      <c r="T342" s="51"/>
    </row>
    <row r="343">
      <c r="A343" s="51"/>
      <c r="B343" s="51"/>
      <c r="C343" s="56"/>
      <c r="D343" s="51"/>
      <c r="E343" s="51"/>
      <c r="F343" s="51"/>
      <c r="G343" s="51" t="str">
        <f>IFERROR(__xludf.DUMMYFUNCTION("""COMPUTED_VALUE"""),"#VALUE!")</f>
        <v>#VALUE!</v>
      </c>
      <c r="H343" s="51" t="str">
        <f>IFERROR(__xludf.DUMMYFUNCTION("""COMPUTED_VALUE"""),"")</f>
        <v/>
      </c>
      <c r="I343" s="51" t="str">
        <f>IFERROR(__xludf.DUMMYFUNCTION("""COMPUTED_VALUE"""),"#VALUE!")</f>
        <v>#VALUE!</v>
      </c>
      <c r="J343" s="51" t="str">
        <f>IFERROR(__xludf.DUMMYFUNCTION("""COMPUTED_VALUE"""),"")</f>
        <v/>
      </c>
      <c r="K343" s="51"/>
      <c r="L343" s="51" t="s">
        <v>257</v>
      </c>
      <c r="M343" s="51"/>
      <c r="N343" s="51"/>
      <c r="O343" s="51"/>
      <c r="P343" s="51"/>
      <c r="Q343" s="51"/>
      <c r="R343" s="51"/>
      <c r="S343" s="51"/>
      <c r="T343" s="51"/>
    </row>
    <row r="344">
      <c r="A344" s="51"/>
      <c r="B344" s="51"/>
      <c r="C344" s="56"/>
      <c r="D344" s="51"/>
      <c r="E344" s="51"/>
      <c r="F344" s="51"/>
      <c r="G344" s="51" t="str">
        <f>IFERROR(__xludf.DUMMYFUNCTION("""COMPUTED_VALUE"""),"#VALUE!")</f>
        <v>#VALUE!</v>
      </c>
      <c r="H344" s="51" t="str">
        <f>IFERROR(__xludf.DUMMYFUNCTION("""COMPUTED_VALUE"""),"")</f>
        <v/>
      </c>
      <c r="I344" s="51" t="str">
        <f>IFERROR(__xludf.DUMMYFUNCTION("""COMPUTED_VALUE"""),"#VALUE!")</f>
        <v>#VALUE!</v>
      </c>
      <c r="J344" s="51" t="str">
        <f>IFERROR(__xludf.DUMMYFUNCTION("""COMPUTED_VALUE"""),"")</f>
        <v/>
      </c>
      <c r="K344" s="51"/>
      <c r="L344" s="51" t="s">
        <v>257</v>
      </c>
      <c r="M344" s="51"/>
      <c r="N344" s="51"/>
      <c r="O344" s="51"/>
      <c r="P344" s="51"/>
      <c r="Q344" s="51"/>
      <c r="R344" s="51"/>
      <c r="S344" s="51"/>
      <c r="T344" s="51"/>
    </row>
    <row r="345">
      <c r="A345" s="51"/>
      <c r="B345" s="51"/>
      <c r="C345" s="56"/>
      <c r="D345" s="51"/>
      <c r="E345" s="51"/>
      <c r="F345" s="51"/>
      <c r="G345" s="51" t="str">
        <f>IFERROR(__xludf.DUMMYFUNCTION("""COMPUTED_VALUE"""),"#VALUE!")</f>
        <v>#VALUE!</v>
      </c>
      <c r="H345" s="51" t="str">
        <f>IFERROR(__xludf.DUMMYFUNCTION("""COMPUTED_VALUE"""),"")</f>
        <v/>
      </c>
      <c r="I345" s="51" t="str">
        <f>IFERROR(__xludf.DUMMYFUNCTION("""COMPUTED_VALUE"""),"#VALUE!")</f>
        <v>#VALUE!</v>
      </c>
      <c r="J345" s="51" t="str">
        <f>IFERROR(__xludf.DUMMYFUNCTION("""COMPUTED_VALUE"""),"")</f>
        <v/>
      </c>
      <c r="K345" s="51"/>
      <c r="L345" s="51" t="s">
        <v>257</v>
      </c>
      <c r="M345" s="51"/>
      <c r="N345" s="51"/>
      <c r="O345" s="51"/>
      <c r="P345" s="51"/>
      <c r="Q345" s="51"/>
      <c r="R345" s="51"/>
      <c r="S345" s="51"/>
      <c r="T345" s="51"/>
    </row>
    <row r="346">
      <c r="A346" s="51"/>
      <c r="B346" s="51"/>
      <c r="C346" s="56"/>
      <c r="D346" s="51"/>
      <c r="E346" s="51"/>
      <c r="F346" s="51"/>
      <c r="G346" s="51" t="str">
        <f>IFERROR(__xludf.DUMMYFUNCTION("""COMPUTED_VALUE"""),"#VALUE!")</f>
        <v>#VALUE!</v>
      </c>
      <c r="H346" s="51" t="str">
        <f>IFERROR(__xludf.DUMMYFUNCTION("""COMPUTED_VALUE"""),"")</f>
        <v/>
      </c>
      <c r="I346" s="51" t="str">
        <f>IFERROR(__xludf.DUMMYFUNCTION("""COMPUTED_VALUE"""),"#VALUE!")</f>
        <v>#VALUE!</v>
      </c>
      <c r="J346" s="51" t="str">
        <f>IFERROR(__xludf.DUMMYFUNCTION("""COMPUTED_VALUE"""),"")</f>
        <v/>
      </c>
      <c r="K346" s="51"/>
      <c r="L346" s="51" t="s">
        <v>257</v>
      </c>
      <c r="M346" s="51"/>
      <c r="N346" s="51"/>
      <c r="O346" s="51"/>
      <c r="P346" s="51"/>
      <c r="Q346" s="51"/>
      <c r="R346" s="51"/>
      <c r="S346" s="51"/>
      <c r="T346" s="51"/>
    </row>
    <row r="347">
      <c r="A347" s="51"/>
      <c r="B347" s="51"/>
      <c r="C347" s="56"/>
      <c r="D347" s="51"/>
      <c r="E347" s="51"/>
      <c r="F347" s="51"/>
      <c r="G347" s="51" t="str">
        <f>IFERROR(__xludf.DUMMYFUNCTION("""COMPUTED_VALUE"""),"#VALUE!")</f>
        <v>#VALUE!</v>
      </c>
      <c r="H347" s="51" t="str">
        <f>IFERROR(__xludf.DUMMYFUNCTION("""COMPUTED_VALUE"""),"")</f>
        <v/>
      </c>
      <c r="I347" s="51" t="str">
        <f>IFERROR(__xludf.DUMMYFUNCTION("""COMPUTED_VALUE"""),"#VALUE!")</f>
        <v>#VALUE!</v>
      </c>
      <c r="J347" s="51" t="str">
        <f>IFERROR(__xludf.DUMMYFUNCTION("""COMPUTED_VALUE"""),"")</f>
        <v/>
      </c>
      <c r="K347" s="51"/>
      <c r="L347" s="51" t="s">
        <v>257</v>
      </c>
      <c r="M347" s="51"/>
      <c r="N347" s="51"/>
      <c r="O347" s="51"/>
      <c r="P347" s="51"/>
      <c r="Q347" s="51"/>
      <c r="R347" s="51"/>
      <c r="S347" s="51"/>
      <c r="T347" s="51"/>
    </row>
    <row r="348">
      <c r="A348" s="51"/>
      <c r="B348" s="51"/>
      <c r="C348" s="56"/>
      <c r="D348" s="51"/>
      <c r="E348" s="51"/>
      <c r="F348" s="51"/>
      <c r="G348" s="51" t="str">
        <f>IFERROR(__xludf.DUMMYFUNCTION("""COMPUTED_VALUE"""),"#VALUE!")</f>
        <v>#VALUE!</v>
      </c>
      <c r="H348" s="51" t="str">
        <f>IFERROR(__xludf.DUMMYFUNCTION("""COMPUTED_VALUE"""),"")</f>
        <v/>
      </c>
      <c r="I348" s="51" t="str">
        <f>IFERROR(__xludf.DUMMYFUNCTION("""COMPUTED_VALUE"""),"#VALUE!")</f>
        <v>#VALUE!</v>
      </c>
      <c r="J348" s="51" t="str">
        <f>IFERROR(__xludf.DUMMYFUNCTION("""COMPUTED_VALUE"""),"")</f>
        <v/>
      </c>
      <c r="K348" s="51"/>
      <c r="L348" s="51" t="s">
        <v>257</v>
      </c>
      <c r="M348" s="51"/>
      <c r="N348" s="51"/>
      <c r="O348" s="51"/>
      <c r="P348" s="51"/>
      <c r="Q348" s="51"/>
      <c r="R348" s="51"/>
      <c r="S348" s="51"/>
      <c r="T348" s="51"/>
    </row>
    <row r="349">
      <c r="A349" s="51"/>
      <c r="B349" s="51"/>
      <c r="C349" s="56"/>
      <c r="D349" s="51"/>
      <c r="E349" s="51"/>
      <c r="F349" s="51"/>
      <c r="G349" s="51" t="str">
        <f>IFERROR(__xludf.DUMMYFUNCTION("""COMPUTED_VALUE"""),"#VALUE!")</f>
        <v>#VALUE!</v>
      </c>
      <c r="H349" s="51" t="str">
        <f>IFERROR(__xludf.DUMMYFUNCTION("""COMPUTED_VALUE"""),"")</f>
        <v/>
      </c>
      <c r="I349" s="51" t="str">
        <f>IFERROR(__xludf.DUMMYFUNCTION("""COMPUTED_VALUE"""),"#VALUE!")</f>
        <v>#VALUE!</v>
      </c>
      <c r="J349" s="51" t="str">
        <f>IFERROR(__xludf.DUMMYFUNCTION("""COMPUTED_VALUE"""),"")</f>
        <v/>
      </c>
      <c r="K349" s="51"/>
      <c r="L349" s="51" t="s">
        <v>257</v>
      </c>
      <c r="M349" s="51"/>
      <c r="N349" s="51"/>
      <c r="O349" s="51"/>
      <c r="P349" s="51"/>
      <c r="Q349" s="51"/>
      <c r="R349" s="51"/>
      <c r="S349" s="51"/>
      <c r="T349" s="51"/>
    </row>
    <row r="350">
      <c r="A350" s="51"/>
      <c r="B350" s="51"/>
      <c r="C350" s="56"/>
      <c r="D350" s="51"/>
      <c r="E350" s="51"/>
      <c r="F350" s="51"/>
      <c r="G350" s="51" t="str">
        <f>IFERROR(__xludf.DUMMYFUNCTION("""COMPUTED_VALUE"""),"#VALUE!")</f>
        <v>#VALUE!</v>
      </c>
      <c r="H350" s="51" t="str">
        <f>IFERROR(__xludf.DUMMYFUNCTION("""COMPUTED_VALUE"""),"")</f>
        <v/>
      </c>
      <c r="I350" s="51" t="str">
        <f>IFERROR(__xludf.DUMMYFUNCTION("""COMPUTED_VALUE"""),"#VALUE!")</f>
        <v>#VALUE!</v>
      </c>
      <c r="J350" s="51" t="str">
        <f>IFERROR(__xludf.DUMMYFUNCTION("""COMPUTED_VALUE"""),"")</f>
        <v/>
      </c>
      <c r="K350" s="51"/>
      <c r="L350" s="51" t="s">
        <v>257</v>
      </c>
      <c r="M350" s="51"/>
      <c r="N350" s="51"/>
      <c r="O350" s="51"/>
      <c r="P350" s="51"/>
      <c r="Q350" s="51"/>
      <c r="R350" s="51"/>
      <c r="S350" s="51"/>
      <c r="T350" s="51"/>
    </row>
    <row r="351">
      <c r="A351" s="51"/>
      <c r="B351" s="51"/>
      <c r="C351" s="56"/>
      <c r="D351" s="51"/>
      <c r="E351" s="51"/>
      <c r="F351" s="51"/>
      <c r="G351" s="51" t="str">
        <f>IFERROR(__xludf.DUMMYFUNCTION("""COMPUTED_VALUE"""),"#VALUE!")</f>
        <v>#VALUE!</v>
      </c>
      <c r="H351" s="51" t="str">
        <f>IFERROR(__xludf.DUMMYFUNCTION("""COMPUTED_VALUE"""),"")</f>
        <v/>
      </c>
      <c r="I351" s="51" t="str">
        <f>IFERROR(__xludf.DUMMYFUNCTION("""COMPUTED_VALUE"""),"#VALUE!")</f>
        <v>#VALUE!</v>
      </c>
      <c r="J351" s="51" t="str">
        <f>IFERROR(__xludf.DUMMYFUNCTION("""COMPUTED_VALUE"""),"")</f>
        <v/>
      </c>
      <c r="K351" s="51"/>
      <c r="L351" s="51" t="s">
        <v>257</v>
      </c>
      <c r="M351" s="51"/>
      <c r="N351" s="51"/>
      <c r="O351" s="51"/>
      <c r="P351" s="51"/>
      <c r="Q351" s="51"/>
      <c r="R351" s="51"/>
      <c r="S351" s="51"/>
      <c r="T351" s="51"/>
    </row>
    <row r="352">
      <c r="A352" s="51"/>
      <c r="B352" s="51"/>
      <c r="C352" s="56"/>
      <c r="D352" s="51"/>
      <c r="E352" s="51"/>
      <c r="F352" s="51"/>
      <c r="G352" s="51" t="str">
        <f>IFERROR(__xludf.DUMMYFUNCTION("""COMPUTED_VALUE"""),"#VALUE!")</f>
        <v>#VALUE!</v>
      </c>
      <c r="H352" s="51" t="str">
        <f>IFERROR(__xludf.DUMMYFUNCTION("""COMPUTED_VALUE"""),"")</f>
        <v/>
      </c>
      <c r="I352" s="51" t="str">
        <f>IFERROR(__xludf.DUMMYFUNCTION("""COMPUTED_VALUE"""),"#VALUE!")</f>
        <v>#VALUE!</v>
      </c>
      <c r="J352" s="51" t="str">
        <f>IFERROR(__xludf.DUMMYFUNCTION("""COMPUTED_VALUE"""),"")</f>
        <v/>
      </c>
      <c r="K352" s="51"/>
      <c r="L352" s="51" t="s">
        <v>257</v>
      </c>
      <c r="M352" s="51"/>
      <c r="N352" s="51"/>
      <c r="O352" s="51"/>
      <c r="P352" s="51"/>
      <c r="Q352" s="51"/>
      <c r="R352" s="51"/>
      <c r="S352" s="51"/>
      <c r="T352" s="51"/>
    </row>
    <row r="353">
      <c r="A353" s="51"/>
      <c r="B353" s="51"/>
      <c r="C353" s="56"/>
      <c r="D353" s="51"/>
      <c r="E353" s="51"/>
      <c r="F353" s="51"/>
      <c r="G353" s="51" t="str">
        <f>IFERROR(__xludf.DUMMYFUNCTION("""COMPUTED_VALUE"""),"#VALUE!")</f>
        <v>#VALUE!</v>
      </c>
      <c r="H353" s="51" t="str">
        <f>IFERROR(__xludf.DUMMYFUNCTION("""COMPUTED_VALUE"""),"")</f>
        <v/>
      </c>
      <c r="I353" s="51" t="str">
        <f>IFERROR(__xludf.DUMMYFUNCTION("""COMPUTED_VALUE"""),"#VALUE!")</f>
        <v>#VALUE!</v>
      </c>
      <c r="J353" s="51" t="str">
        <f>IFERROR(__xludf.DUMMYFUNCTION("""COMPUTED_VALUE"""),"")</f>
        <v/>
      </c>
      <c r="K353" s="51"/>
      <c r="L353" s="51" t="s">
        <v>257</v>
      </c>
      <c r="M353" s="51"/>
      <c r="N353" s="51"/>
      <c r="O353" s="51"/>
      <c r="P353" s="51"/>
      <c r="Q353" s="51"/>
      <c r="R353" s="51"/>
      <c r="S353" s="51"/>
      <c r="T353" s="51"/>
    </row>
    <row r="354">
      <c r="A354" s="51"/>
      <c r="B354" s="51"/>
      <c r="C354" s="56"/>
      <c r="D354" s="51"/>
      <c r="E354" s="51"/>
      <c r="F354" s="51"/>
      <c r="G354" s="51" t="str">
        <f>IFERROR(__xludf.DUMMYFUNCTION("""COMPUTED_VALUE"""),"#VALUE!")</f>
        <v>#VALUE!</v>
      </c>
      <c r="H354" s="51" t="str">
        <f>IFERROR(__xludf.DUMMYFUNCTION("""COMPUTED_VALUE"""),"")</f>
        <v/>
      </c>
      <c r="I354" s="51" t="str">
        <f>IFERROR(__xludf.DUMMYFUNCTION("""COMPUTED_VALUE"""),"#VALUE!")</f>
        <v>#VALUE!</v>
      </c>
      <c r="J354" s="51" t="str">
        <f>IFERROR(__xludf.DUMMYFUNCTION("""COMPUTED_VALUE"""),"")</f>
        <v/>
      </c>
      <c r="K354" s="51"/>
      <c r="L354" s="51" t="s">
        <v>257</v>
      </c>
      <c r="M354" s="51"/>
      <c r="N354" s="51"/>
      <c r="O354" s="51"/>
      <c r="P354" s="51"/>
      <c r="Q354" s="51"/>
      <c r="R354" s="51"/>
      <c r="S354" s="51"/>
      <c r="T354" s="51"/>
    </row>
    <row r="355">
      <c r="A355" s="51"/>
      <c r="B355" s="51"/>
      <c r="C355" s="56"/>
      <c r="D355" s="51"/>
      <c r="E355" s="51"/>
      <c r="F355" s="51"/>
      <c r="G355" s="51" t="str">
        <f>IFERROR(__xludf.DUMMYFUNCTION("""COMPUTED_VALUE"""),"#VALUE!")</f>
        <v>#VALUE!</v>
      </c>
      <c r="H355" s="51" t="str">
        <f>IFERROR(__xludf.DUMMYFUNCTION("""COMPUTED_VALUE"""),"")</f>
        <v/>
      </c>
      <c r="I355" s="51" t="str">
        <f>IFERROR(__xludf.DUMMYFUNCTION("""COMPUTED_VALUE"""),"#VALUE!")</f>
        <v>#VALUE!</v>
      </c>
      <c r="J355" s="51" t="str">
        <f>IFERROR(__xludf.DUMMYFUNCTION("""COMPUTED_VALUE"""),"")</f>
        <v/>
      </c>
      <c r="K355" s="51"/>
      <c r="L355" s="51" t="s">
        <v>257</v>
      </c>
      <c r="M355" s="51"/>
      <c r="N355" s="51"/>
      <c r="O355" s="51"/>
      <c r="P355" s="51"/>
      <c r="Q355" s="51"/>
      <c r="R355" s="51"/>
      <c r="S355" s="51"/>
      <c r="T355" s="51"/>
    </row>
    <row r="356">
      <c r="A356" s="51"/>
      <c r="B356" s="51"/>
      <c r="C356" s="56"/>
      <c r="D356" s="51"/>
      <c r="E356" s="51"/>
      <c r="F356" s="51"/>
      <c r="G356" s="51" t="str">
        <f>IFERROR(__xludf.DUMMYFUNCTION("""COMPUTED_VALUE"""),"#VALUE!")</f>
        <v>#VALUE!</v>
      </c>
      <c r="H356" s="51" t="str">
        <f>IFERROR(__xludf.DUMMYFUNCTION("""COMPUTED_VALUE"""),"")</f>
        <v/>
      </c>
      <c r="I356" s="51" t="str">
        <f>IFERROR(__xludf.DUMMYFUNCTION("""COMPUTED_VALUE"""),"#VALUE!")</f>
        <v>#VALUE!</v>
      </c>
      <c r="J356" s="51" t="str">
        <f>IFERROR(__xludf.DUMMYFUNCTION("""COMPUTED_VALUE"""),"")</f>
        <v/>
      </c>
      <c r="K356" s="51"/>
      <c r="L356" s="51" t="s">
        <v>257</v>
      </c>
      <c r="M356" s="51"/>
      <c r="N356" s="51"/>
      <c r="O356" s="51"/>
      <c r="P356" s="51"/>
      <c r="Q356" s="51"/>
      <c r="R356" s="51"/>
      <c r="S356" s="51"/>
      <c r="T356" s="51"/>
    </row>
    <row r="357">
      <c r="A357" s="51"/>
      <c r="B357" s="51"/>
      <c r="C357" s="56"/>
      <c r="D357" s="51"/>
      <c r="E357" s="51"/>
      <c r="F357" s="51"/>
      <c r="G357" s="51" t="str">
        <f>IFERROR(__xludf.DUMMYFUNCTION("""COMPUTED_VALUE"""),"#VALUE!")</f>
        <v>#VALUE!</v>
      </c>
      <c r="H357" s="51" t="str">
        <f>IFERROR(__xludf.DUMMYFUNCTION("""COMPUTED_VALUE"""),"")</f>
        <v/>
      </c>
      <c r="I357" s="51" t="str">
        <f>IFERROR(__xludf.DUMMYFUNCTION("""COMPUTED_VALUE"""),"#VALUE!")</f>
        <v>#VALUE!</v>
      </c>
      <c r="J357" s="51" t="str">
        <f>IFERROR(__xludf.DUMMYFUNCTION("""COMPUTED_VALUE"""),"")</f>
        <v/>
      </c>
      <c r="K357" s="51"/>
      <c r="L357" s="51" t="s">
        <v>257</v>
      </c>
      <c r="M357" s="51"/>
      <c r="N357" s="51"/>
      <c r="O357" s="51"/>
      <c r="P357" s="51"/>
      <c r="Q357" s="51"/>
      <c r="R357" s="51"/>
      <c r="S357" s="51"/>
      <c r="T357" s="51"/>
    </row>
    <row r="358">
      <c r="A358" s="51"/>
      <c r="B358" s="51"/>
      <c r="C358" s="56"/>
      <c r="D358" s="51"/>
      <c r="E358" s="51"/>
      <c r="F358" s="51"/>
      <c r="G358" s="51" t="str">
        <f>IFERROR(__xludf.DUMMYFUNCTION("""COMPUTED_VALUE"""),"#VALUE!")</f>
        <v>#VALUE!</v>
      </c>
      <c r="H358" s="51" t="str">
        <f>IFERROR(__xludf.DUMMYFUNCTION("""COMPUTED_VALUE"""),"")</f>
        <v/>
      </c>
      <c r="I358" s="51" t="str">
        <f>IFERROR(__xludf.DUMMYFUNCTION("""COMPUTED_VALUE"""),"#VALUE!")</f>
        <v>#VALUE!</v>
      </c>
      <c r="J358" s="51" t="str">
        <f>IFERROR(__xludf.DUMMYFUNCTION("""COMPUTED_VALUE"""),"")</f>
        <v/>
      </c>
      <c r="K358" s="51"/>
      <c r="L358" s="51" t="s">
        <v>257</v>
      </c>
      <c r="M358" s="51"/>
      <c r="N358" s="51"/>
      <c r="O358" s="51"/>
      <c r="P358" s="51"/>
      <c r="Q358" s="51"/>
      <c r="R358" s="51"/>
      <c r="S358" s="51"/>
      <c r="T358" s="51"/>
    </row>
    <row r="359">
      <c r="A359" s="51"/>
      <c r="B359" s="51"/>
      <c r="C359" s="56"/>
      <c r="D359" s="51"/>
      <c r="E359" s="51"/>
      <c r="F359" s="51"/>
      <c r="G359" s="51" t="str">
        <f>IFERROR(__xludf.DUMMYFUNCTION("""COMPUTED_VALUE"""),"#VALUE!")</f>
        <v>#VALUE!</v>
      </c>
      <c r="H359" s="51" t="str">
        <f>IFERROR(__xludf.DUMMYFUNCTION("""COMPUTED_VALUE"""),"")</f>
        <v/>
      </c>
      <c r="I359" s="51" t="str">
        <f>IFERROR(__xludf.DUMMYFUNCTION("""COMPUTED_VALUE"""),"#VALUE!")</f>
        <v>#VALUE!</v>
      </c>
      <c r="J359" s="51" t="str">
        <f>IFERROR(__xludf.DUMMYFUNCTION("""COMPUTED_VALUE"""),"")</f>
        <v/>
      </c>
      <c r="K359" s="51"/>
      <c r="L359" s="51" t="s">
        <v>257</v>
      </c>
      <c r="M359" s="51"/>
      <c r="N359" s="51"/>
      <c r="O359" s="51"/>
      <c r="P359" s="51"/>
      <c r="Q359" s="51"/>
      <c r="R359" s="51"/>
      <c r="S359" s="51"/>
      <c r="T359" s="51"/>
    </row>
    <row r="360">
      <c r="A360" s="51"/>
      <c r="B360" s="51"/>
      <c r="C360" s="56"/>
      <c r="D360" s="51"/>
      <c r="E360" s="51"/>
      <c r="F360" s="51"/>
      <c r="G360" s="51" t="str">
        <f>IFERROR(__xludf.DUMMYFUNCTION("""COMPUTED_VALUE"""),"#VALUE!")</f>
        <v>#VALUE!</v>
      </c>
      <c r="H360" s="51" t="str">
        <f>IFERROR(__xludf.DUMMYFUNCTION("""COMPUTED_VALUE"""),"")</f>
        <v/>
      </c>
      <c r="I360" s="51" t="str">
        <f>IFERROR(__xludf.DUMMYFUNCTION("""COMPUTED_VALUE"""),"#VALUE!")</f>
        <v>#VALUE!</v>
      </c>
      <c r="J360" s="51" t="str">
        <f>IFERROR(__xludf.DUMMYFUNCTION("""COMPUTED_VALUE"""),"")</f>
        <v/>
      </c>
      <c r="K360" s="51"/>
      <c r="L360" s="51" t="s">
        <v>257</v>
      </c>
      <c r="M360" s="51"/>
      <c r="N360" s="51"/>
      <c r="O360" s="51"/>
      <c r="P360" s="51"/>
      <c r="Q360" s="51"/>
      <c r="R360" s="51"/>
      <c r="S360" s="51"/>
      <c r="T360" s="51"/>
    </row>
    <row r="361">
      <c r="A361" s="51"/>
      <c r="B361" s="51"/>
      <c r="C361" s="56"/>
      <c r="D361" s="51"/>
      <c r="E361" s="51"/>
      <c r="F361" s="51"/>
      <c r="G361" s="51" t="str">
        <f>IFERROR(__xludf.DUMMYFUNCTION("""COMPUTED_VALUE"""),"#VALUE!")</f>
        <v>#VALUE!</v>
      </c>
      <c r="H361" s="51" t="str">
        <f>IFERROR(__xludf.DUMMYFUNCTION("""COMPUTED_VALUE"""),"")</f>
        <v/>
      </c>
      <c r="I361" s="51" t="str">
        <f>IFERROR(__xludf.DUMMYFUNCTION("""COMPUTED_VALUE"""),"#VALUE!")</f>
        <v>#VALUE!</v>
      </c>
      <c r="J361" s="51" t="str">
        <f>IFERROR(__xludf.DUMMYFUNCTION("""COMPUTED_VALUE"""),"")</f>
        <v/>
      </c>
      <c r="K361" s="51"/>
      <c r="L361" s="51" t="s">
        <v>257</v>
      </c>
      <c r="M361" s="51"/>
      <c r="N361" s="51"/>
      <c r="O361" s="51"/>
      <c r="P361" s="51"/>
      <c r="Q361" s="51"/>
      <c r="R361" s="51"/>
      <c r="S361" s="51"/>
      <c r="T361" s="51"/>
    </row>
    <row r="362">
      <c r="A362" s="51"/>
      <c r="B362" s="51"/>
      <c r="C362" s="56"/>
      <c r="D362" s="51"/>
      <c r="E362" s="51"/>
      <c r="F362" s="51"/>
      <c r="G362" s="51" t="str">
        <f>IFERROR(__xludf.DUMMYFUNCTION("""COMPUTED_VALUE"""),"#VALUE!")</f>
        <v>#VALUE!</v>
      </c>
      <c r="H362" s="51" t="str">
        <f>IFERROR(__xludf.DUMMYFUNCTION("""COMPUTED_VALUE"""),"")</f>
        <v/>
      </c>
      <c r="I362" s="51" t="str">
        <f>IFERROR(__xludf.DUMMYFUNCTION("""COMPUTED_VALUE"""),"#VALUE!")</f>
        <v>#VALUE!</v>
      </c>
      <c r="J362" s="51" t="str">
        <f>IFERROR(__xludf.DUMMYFUNCTION("""COMPUTED_VALUE"""),"")</f>
        <v/>
      </c>
      <c r="K362" s="51"/>
      <c r="L362" s="51" t="s">
        <v>257</v>
      </c>
      <c r="M362" s="51"/>
      <c r="N362" s="51"/>
      <c r="O362" s="51"/>
      <c r="P362" s="51"/>
      <c r="Q362" s="51"/>
      <c r="R362" s="51"/>
      <c r="S362" s="51"/>
      <c r="T362" s="51"/>
    </row>
    <row r="363">
      <c r="A363" s="51"/>
      <c r="B363" s="51"/>
      <c r="C363" s="56"/>
      <c r="D363" s="51"/>
      <c r="E363" s="51"/>
      <c r="F363" s="51"/>
      <c r="G363" s="51" t="str">
        <f>IFERROR(__xludf.DUMMYFUNCTION("""COMPUTED_VALUE"""),"#VALUE!")</f>
        <v>#VALUE!</v>
      </c>
      <c r="H363" s="51" t="str">
        <f>IFERROR(__xludf.DUMMYFUNCTION("""COMPUTED_VALUE"""),"")</f>
        <v/>
      </c>
      <c r="I363" s="51" t="str">
        <f>IFERROR(__xludf.DUMMYFUNCTION("""COMPUTED_VALUE"""),"#VALUE!")</f>
        <v>#VALUE!</v>
      </c>
      <c r="J363" s="51" t="str">
        <f>IFERROR(__xludf.DUMMYFUNCTION("""COMPUTED_VALUE"""),"")</f>
        <v/>
      </c>
      <c r="K363" s="51"/>
      <c r="L363" s="51" t="s">
        <v>257</v>
      </c>
      <c r="M363" s="51"/>
      <c r="N363" s="51"/>
      <c r="O363" s="51"/>
      <c r="P363" s="51"/>
      <c r="Q363" s="51"/>
      <c r="R363" s="51"/>
      <c r="S363" s="51"/>
      <c r="T363" s="51"/>
    </row>
    <row r="364">
      <c r="A364" s="51"/>
      <c r="B364" s="51"/>
      <c r="C364" s="56"/>
      <c r="D364" s="51"/>
      <c r="E364" s="51"/>
      <c r="F364" s="51"/>
      <c r="G364" s="51" t="str">
        <f>IFERROR(__xludf.DUMMYFUNCTION("""COMPUTED_VALUE"""),"#VALUE!")</f>
        <v>#VALUE!</v>
      </c>
      <c r="H364" s="51" t="str">
        <f>IFERROR(__xludf.DUMMYFUNCTION("""COMPUTED_VALUE"""),"")</f>
        <v/>
      </c>
      <c r="I364" s="51" t="str">
        <f>IFERROR(__xludf.DUMMYFUNCTION("""COMPUTED_VALUE"""),"#VALUE!")</f>
        <v>#VALUE!</v>
      </c>
      <c r="J364" s="51" t="str">
        <f>IFERROR(__xludf.DUMMYFUNCTION("""COMPUTED_VALUE"""),"")</f>
        <v/>
      </c>
      <c r="K364" s="51"/>
      <c r="L364" s="51" t="s">
        <v>257</v>
      </c>
      <c r="M364" s="51"/>
      <c r="N364" s="51"/>
      <c r="O364" s="51"/>
      <c r="P364" s="51"/>
      <c r="Q364" s="51"/>
      <c r="R364" s="51"/>
      <c r="S364" s="51"/>
      <c r="T364" s="51"/>
    </row>
    <row r="365">
      <c r="A365" s="51"/>
      <c r="B365" s="51"/>
      <c r="C365" s="56"/>
      <c r="D365" s="51"/>
      <c r="E365" s="51"/>
      <c r="F365" s="51"/>
      <c r="G365" s="51" t="str">
        <f>IFERROR(__xludf.DUMMYFUNCTION("""COMPUTED_VALUE"""),"#VALUE!")</f>
        <v>#VALUE!</v>
      </c>
      <c r="H365" s="51" t="str">
        <f>IFERROR(__xludf.DUMMYFUNCTION("""COMPUTED_VALUE"""),"")</f>
        <v/>
      </c>
      <c r="I365" s="51" t="str">
        <f>IFERROR(__xludf.DUMMYFUNCTION("""COMPUTED_VALUE"""),"#VALUE!")</f>
        <v>#VALUE!</v>
      </c>
      <c r="J365" s="51" t="str">
        <f>IFERROR(__xludf.DUMMYFUNCTION("""COMPUTED_VALUE"""),"")</f>
        <v/>
      </c>
      <c r="K365" s="51"/>
      <c r="L365" s="51" t="s">
        <v>257</v>
      </c>
      <c r="M365" s="51"/>
      <c r="N365" s="51"/>
      <c r="O365" s="51"/>
      <c r="P365" s="51"/>
      <c r="Q365" s="51"/>
      <c r="R365" s="51"/>
      <c r="S365" s="51"/>
      <c r="T365" s="51"/>
    </row>
    <row r="366">
      <c r="A366" s="51"/>
      <c r="B366" s="51"/>
      <c r="C366" s="56"/>
      <c r="D366" s="51"/>
      <c r="E366" s="51"/>
      <c r="F366" s="51"/>
      <c r="G366" s="51" t="str">
        <f>IFERROR(__xludf.DUMMYFUNCTION("""COMPUTED_VALUE"""),"#VALUE!")</f>
        <v>#VALUE!</v>
      </c>
      <c r="H366" s="51" t="str">
        <f>IFERROR(__xludf.DUMMYFUNCTION("""COMPUTED_VALUE"""),"")</f>
        <v/>
      </c>
      <c r="I366" s="51" t="str">
        <f>IFERROR(__xludf.DUMMYFUNCTION("""COMPUTED_VALUE"""),"#VALUE!")</f>
        <v>#VALUE!</v>
      </c>
      <c r="J366" s="51" t="str">
        <f>IFERROR(__xludf.DUMMYFUNCTION("""COMPUTED_VALUE"""),"")</f>
        <v/>
      </c>
      <c r="K366" s="51"/>
      <c r="L366" s="51" t="s">
        <v>257</v>
      </c>
      <c r="M366" s="51"/>
      <c r="N366" s="51"/>
      <c r="O366" s="51"/>
      <c r="P366" s="51"/>
      <c r="Q366" s="51"/>
      <c r="R366" s="51"/>
      <c r="S366" s="51"/>
      <c r="T366" s="51"/>
    </row>
    <row r="367">
      <c r="A367" s="51"/>
      <c r="B367" s="51"/>
      <c r="C367" s="56"/>
      <c r="D367" s="51"/>
      <c r="E367" s="51"/>
      <c r="F367" s="51"/>
      <c r="G367" s="51" t="str">
        <f>IFERROR(__xludf.DUMMYFUNCTION("""COMPUTED_VALUE"""),"#VALUE!")</f>
        <v>#VALUE!</v>
      </c>
      <c r="H367" s="51" t="str">
        <f>IFERROR(__xludf.DUMMYFUNCTION("""COMPUTED_VALUE"""),"")</f>
        <v/>
      </c>
      <c r="I367" s="51" t="str">
        <f>IFERROR(__xludf.DUMMYFUNCTION("""COMPUTED_VALUE"""),"#VALUE!")</f>
        <v>#VALUE!</v>
      </c>
      <c r="J367" s="51" t="str">
        <f>IFERROR(__xludf.DUMMYFUNCTION("""COMPUTED_VALUE"""),"")</f>
        <v/>
      </c>
      <c r="K367" s="51"/>
      <c r="L367" s="51" t="s">
        <v>257</v>
      </c>
      <c r="M367" s="51"/>
      <c r="N367" s="51"/>
      <c r="O367" s="51"/>
      <c r="P367" s="51"/>
      <c r="Q367" s="51"/>
      <c r="R367" s="51"/>
      <c r="S367" s="51"/>
      <c r="T367" s="51"/>
    </row>
    <row r="368">
      <c r="A368" s="51"/>
      <c r="B368" s="51"/>
      <c r="C368" s="56"/>
      <c r="D368" s="51"/>
      <c r="E368" s="51"/>
      <c r="F368" s="51"/>
      <c r="G368" s="51" t="str">
        <f>IFERROR(__xludf.DUMMYFUNCTION("""COMPUTED_VALUE"""),"#VALUE!")</f>
        <v>#VALUE!</v>
      </c>
      <c r="H368" s="51" t="str">
        <f>IFERROR(__xludf.DUMMYFUNCTION("""COMPUTED_VALUE"""),"")</f>
        <v/>
      </c>
      <c r="I368" s="51" t="str">
        <f>IFERROR(__xludf.DUMMYFUNCTION("""COMPUTED_VALUE"""),"#VALUE!")</f>
        <v>#VALUE!</v>
      </c>
      <c r="J368" s="51" t="str">
        <f>IFERROR(__xludf.DUMMYFUNCTION("""COMPUTED_VALUE"""),"")</f>
        <v/>
      </c>
      <c r="K368" s="51"/>
      <c r="L368" s="51" t="s">
        <v>257</v>
      </c>
      <c r="M368" s="51"/>
      <c r="N368" s="51"/>
      <c r="O368" s="51"/>
      <c r="P368" s="51"/>
      <c r="Q368" s="51"/>
      <c r="R368" s="51"/>
      <c r="S368" s="51"/>
      <c r="T368" s="51"/>
    </row>
    <row r="369">
      <c r="A369" s="51"/>
      <c r="B369" s="51"/>
      <c r="C369" s="56"/>
      <c r="D369" s="51"/>
      <c r="E369" s="51"/>
      <c r="F369" s="51"/>
      <c r="G369" s="51" t="str">
        <f>IFERROR(__xludf.DUMMYFUNCTION("""COMPUTED_VALUE"""),"#VALUE!")</f>
        <v>#VALUE!</v>
      </c>
      <c r="H369" s="51" t="str">
        <f>IFERROR(__xludf.DUMMYFUNCTION("""COMPUTED_VALUE"""),"")</f>
        <v/>
      </c>
      <c r="I369" s="51" t="str">
        <f>IFERROR(__xludf.DUMMYFUNCTION("""COMPUTED_VALUE"""),"#VALUE!")</f>
        <v>#VALUE!</v>
      </c>
      <c r="J369" s="51" t="str">
        <f>IFERROR(__xludf.DUMMYFUNCTION("""COMPUTED_VALUE"""),"")</f>
        <v/>
      </c>
      <c r="K369" s="51"/>
      <c r="L369" s="51" t="s">
        <v>257</v>
      </c>
      <c r="M369" s="51"/>
      <c r="N369" s="51"/>
      <c r="O369" s="51"/>
      <c r="P369" s="51"/>
      <c r="Q369" s="51"/>
      <c r="R369" s="51"/>
      <c r="S369" s="51"/>
      <c r="T369" s="51"/>
    </row>
    <row r="370">
      <c r="A370" s="51"/>
      <c r="B370" s="51"/>
      <c r="C370" s="56"/>
      <c r="D370" s="51"/>
      <c r="E370" s="51"/>
      <c r="F370" s="51"/>
      <c r="G370" s="51" t="str">
        <f>IFERROR(__xludf.DUMMYFUNCTION("""COMPUTED_VALUE"""),"#VALUE!")</f>
        <v>#VALUE!</v>
      </c>
      <c r="H370" s="51" t="str">
        <f>IFERROR(__xludf.DUMMYFUNCTION("""COMPUTED_VALUE"""),"")</f>
        <v/>
      </c>
      <c r="I370" s="51" t="str">
        <f>IFERROR(__xludf.DUMMYFUNCTION("""COMPUTED_VALUE"""),"#VALUE!")</f>
        <v>#VALUE!</v>
      </c>
      <c r="J370" s="51" t="str">
        <f>IFERROR(__xludf.DUMMYFUNCTION("""COMPUTED_VALUE"""),"")</f>
        <v/>
      </c>
      <c r="K370" s="51"/>
      <c r="L370" s="51" t="s">
        <v>257</v>
      </c>
      <c r="M370" s="51"/>
      <c r="N370" s="51"/>
      <c r="O370" s="51"/>
      <c r="P370" s="51"/>
      <c r="Q370" s="51"/>
      <c r="R370" s="51"/>
      <c r="S370" s="51"/>
      <c r="T370" s="51"/>
    </row>
    <row r="371">
      <c r="A371" s="51"/>
      <c r="B371" s="51"/>
      <c r="C371" s="56"/>
      <c r="D371" s="51"/>
      <c r="E371" s="51"/>
      <c r="F371" s="51"/>
      <c r="G371" s="51" t="str">
        <f>IFERROR(__xludf.DUMMYFUNCTION("""COMPUTED_VALUE"""),"#VALUE!")</f>
        <v>#VALUE!</v>
      </c>
      <c r="H371" s="51" t="str">
        <f>IFERROR(__xludf.DUMMYFUNCTION("""COMPUTED_VALUE"""),"")</f>
        <v/>
      </c>
      <c r="I371" s="51" t="str">
        <f>IFERROR(__xludf.DUMMYFUNCTION("""COMPUTED_VALUE"""),"#VALUE!")</f>
        <v>#VALUE!</v>
      </c>
      <c r="J371" s="51" t="str">
        <f>IFERROR(__xludf.DUMMYFUNCTION("""COMPUTED_VALUE"""),"")</f>
        <v/>
      </c>
      <c r="K371" s="51"/>
      <c r="L371" s="51" t="s">
        <v>257</v>
      </c>
      <c r="M371" s="51"/>
      <c r="N371" s="51"/>
      <c r="O371" s="51"/>
      <c r="P371" s="51"/>
      <c r="Q371" s="51"/>
      <c r="R371" s="51"/>
      <c r="S371" s="51"/>
      <c r="T371" s="51"/>
    </row>
    <row r="372">
      <c r="A372" s="51"/>
      <c r="B372" s="51"/>
      <c r="C372" s="56"/>
      <c r="D372" s="51"/>
      <c r="E372" s="51"/>
      <c r="F372" s="51"/>
      <c r="G372" s="51" t="str">
        <f>IFERROR(__xludf.DUMMYFUNCTION("""COMPUTED_VALUE"""),"#VALUE!")</f>
        <v>#VALUE!</v>
      </c>
      <c r="H372" s="51" t="str">
        <f>IFERROR(__xludf.DUMMYFUNCTION("""COMPUTED_VALUE"""),"")</f>
        <v/>
      </c>
      <c r="I372" s="51" t="str">
        <f>IFERROR(__xludf.DUMMYFUNCTION("""COMPUTED_VALUE"""),"#VALUE!")</f>
        <v>#VALUE!</v>
      </c>
      <c r="J372" s="51" t="str">
        <f>IFERROR(__xludf.DUMMYFUNCTION("""COMPUTED_VALUE"""),"")</f>
        <v/>
      </c>
      <c r="K372" s="51"/>
      <c r="L372" s="51" t="s">
        <v>257</v>
      </c>
      <c r="M372" s="51"/>
      <c r="N372" s="51"/>
      <c r="O372" s="51"/>
      <c r="P372" s="51"/>
      <c r="Q372" s="51"/>
      <c r="R372" s="51"/>
      <c r="S372" s="51"/>
      <c r="T372" s="51"/>
    </row>
    <row r="373">
      <c r="A373" s="51"/>
      <c r="B373" s="51"/>
      <c r="C373" s="56"/>
      <c r="D373" s="51"/>
      <c r="E373" s="51"/>
      <c r="F373" s="51"/>
      <c r="G373" s="51" t="str">
        <f>IFERROR(__xludf.DUMMYFUNCTION("""COMPUTED_VALUE"""),"#VALUE!")</f>
        <v>#VALUE!</v>
      </c>
      <c r="H373" s="51" t="str">
        <f>IFERROR(__xludf.DUMMYFUNCTION("""COMPUTED_VALUE"""),"")</f>
        <v/>
      </c>
      <c r="I373" s="51" t="str">
        <f>IFERROR(__xludf.DUMMYFUNCTION("""COMPUTED_VALUE"""),"#VALUE!")</f>
        <v>#VALUE!</v>
      </c>
      <c r="J373" s="51" t="str">
        <f>IFERROR(__xludf.DUMMYFUNCTION("""COMPUTED_VALUE"""),"")</f>
        <v/>
      </c>
      <c r="K373" s="51"/>
      <c r="L373" s="51" t="s">
        <v>257</v>
      </c>
      <c r="M373" s="51"/>
      <c r="N373" s="51"/>
      <c r="O373" s="51"/>
      <c r="P373" s="51"/>
      <c r="Q373" s="51"/>
      <c r="R373" s="51"/>
      <c r="S373" s="51"/>
      <c r="T373" s="51"/>
    </row>
    <row r="374">
      <c r="A374" s="51"/>
      <c r="B374" s="51"/>
      <c r="C374" s="56"/>
      <c r="D374" s="51"/>
      <c r="E374" s="51"/>
      <c r="F374" s="51"/>
      <c r="G374" s="51" t="str">
        <f>IFERROR(__xludf.DUMMYFUNCTION("""COMPUTED_VALUE"""),"#VALUE!")</f>
        <v>#VALUE!</v>
      </c>
      <c r="H374" s="51" t="str">
        <f>IFERROR(__xludf.DUMMYFUNCTION("""COMPUTED_VALUE"""),"")</f>
        <v/>
      </c>
      <c r="I374" s="51" t="str">
        <f>IFERROR(__xludf.DUMMYFUNCTION("""COMPUTED_VALUE"""),"#VALUE!")</f>
        <v>#VALUE!</v>
      </c>
      <c r="J374" s="51" t="str">
        <f>IFERROR(__xludf.DUMMYFUNCTION("""COMPUTED_VALUE"""),"")</f>
        <v/>
      </c>
      <c r="K374" s="51"/>
      <c r="L374" s="51" t="s">
        <v>257</v>
      </c>
      <c r="M374" s="51"/>
      <c r="N374" s="51"/>
      <c r="O374" s="51"/>
      <c r="P374" s="51"/>
      <c r="Q374" s="51"/>
      <c r="R374" s="51"/>
      <c r="S374" s="51"/>
      <c r="T374" s="51"/>
    </row>
    <row r="375">
      <c r="A375" s="51"/>
      <c r="B375" s="51"/>
      <c r="C375" s="56"/>
      <c r="D375" s="51"/>
      <c r="E375" s="51"/>
      <c r="F375" s="51"/>
      <c r="G375" s="51" t="str">
        <f>IFERROR(__xludf.DUMMYFUNCTION("""COMPUTED_VALUE"""),"#VALUE!")</f>
        <v>#VALUE!</v>
      </c>
      <c r="H375" s="51" t="str">
        <f>IFERROR(__xludf.DUMMYFUNCTION("""COMPUTED_VALUE"""),"")</f>
        <v/>
      </c>
      <c r="I375" s="51" t="str">
        <f>IFERROR(__xludf.DUMMYFUNCTION("""COMPUTED_VALUE"""),"#VALUE!")</f>
        <v>#VALUE!</v>
      </c>
      <c r="J375" s="51" t="str">
        <f>IFERROR(__xludf.DUMMYFUNCTION("""COMPUTED_VALUE"""),"")</f>
        <v/>
      </c>
      <c r="K375" s="51"/>
      <c r="L375" s="51" t="s">
        <v>257</v>
      </c>
      <c r="M375" s="51"/>
      <c r="N375" s="51"/>
      <c r="O375" s="51"/>
      <c r="P375" s="51"/>
      <c r="Q375" s="51"/>
      <c r="R375" s="51"/>
      <c r="S375" s="51"/>
      <c r="T375" s="51"/>
    </row>
    <row r="376">
      <c r="A376" s="51"/>
      <c r="B376" s="51"/>
      <c r="C376" s="56"/>
      <c r="D376" s="51"/>
      <c r="E376" s="51"/>
      <c r="F376" s="51"/>
      <c r="G376" s="51" t="str">
        <f>IFERROR(__xludf.DUMMYFUNCTION("""COMPUTED_VALUE"""),"#VALUE!")</f>
        <v>#VALUE!</v>
      </c>
      <c r="H376" s="51" t="str">
        <f>IFERROR(__xludf.DUMMYFUNCTION("""COMPUTED_VALUE"""),"")</f>
        <v/>
      </c>
      <c r="I376" s="51" t="str">
        <f>IFERROR(__xludf.DUMMYFUNCTION("""COMPUTED_VALUE"""),"#VALUE!")</f>
        <v>#VALUE!</v>
      </c>
      <c r="J376" s="51" t="str">
        <f>IFERROR(__xludf.DUMMYFUNCTION("""COMPUTED_VALUE"""),"")</f>
        <v/>
      </c>
      <c r="K376" s="51"/>
      <c r="L376" s="51" t="s">
        <v>257</v>
      </c>
      <c r="M376" s="51"/>
      <c r="N376" s="51"/>
      <c r="O376" s="51"/>
      <c r="P376" s="51"/>
      <c r="Q376" s="51"/>
      <c r="R376" s="51"/>
      <c r="S376" s="51"/>
      <c r="T376" s="51"/>
    </row>
    <row r="377">
      <c r="A377" s="51"/>
      <c r="B377" s="51"/>
      <c r="C377" s="56"/>
      <c r="D377" s="51"/>
      <c r="E377" s="51"/>
      <c r="F377" s="51"/>
      <c r="G377" s="51" t="str">
        <f>IFERROR(__xludf.DUMMYFUNCTION("""COMPUTED_VALUE"""),"#VALUE!")</f>
        <v>#VALUE!</v>
      </c>
      <c r="H377" s="51" t="str">
        <f>IFERROR(__xludf.DUMMYFUNCTION("""COMPUTED_VALUE"""),"")</f>
        <v/>
      </c>
      <c r="I377" s="51" t="str">
        <f>IFERROR(__xludf.DUMMYFUNCTION("""COMPUTED_VALUE"""),"#VALUE!")</f>
        <v>#VALUE!</v>
      </c>
      <c r="J377" s="51" t="str">
        <f>IFERROR(__xludf.DUMMYFUNCTION("""COMPUTED_VALUE"""),"")</f>
        <v/>
      </c>
      <c r="K377" s="51"/>
      <c r="L377" s="51" t="s">
        <v>257</v>
      </c>
      <c r="M377" s="51"/>
      <c r="N377" s="51"/>
      <c r="O377" s="51"/>
      <c r="P377" s="51"/>
      <c r="Q377" s="51"/>
      <c r="R377" s="51"/>
      <c r="S377" s="51"/>
      <c r="T377" s="51"/>
    </row>
    <row r="378">
      <c r="A378" s="51"/>
      <c r="B378" s="51"/>
      <c r="C378" s="56"/>
      <c r="D378" s="51"/>
      <c r="E378" s="51"/>
      <c r="F378" s="51"/>
      <c r="G378" s="51" t="str">
        <f>IFERROR(__xludf.DUMMYFUNCTION("""COMPUTED_VALUE"""),"#VALUE!")</f>
        <v>#VALUE!</v>
      </c>
      <c r="H378" s="51" t="str">
        <f>IFERROR(__xludf.DUMMYFUNCTION("""COMPUTED_VALUE"""),"")</f>
        <v/>
      </c>
      <c r="I378" s="51" t="str">
        <f>IFERROR(__xludf.DUMMYFUNCTION("""COMPUTED_VALUE"""),"#VALUE!")</f>
        <v>#VALUE!</v>
      </c>
      <c r="J378" s="51" t="str">
        <f>IFERROR(__xludf.DUMMYFUNCTION("""COMPUTED_VALUE"""),"")</f>
        <v/>
      </c>
      <c r="K378" s="51"/>
      <c r="L378" s="51" t="s">
        <v>257</v>
      </c>
      <c r="M378" s="51"/>
      <c r="N378" s="51"/>
      <c r="O378" s="51"/>
      <c r="P378" s="51"/>
      <c r="Q378" s="51"/>
      <c r="R378" s="51"/>
      <c r="S378" s="51"/>
      <c r="T378" s="51"/>
    </row>
    <row r="379">
      <c r="A379" s="51"/>
      <c r="B379" s="51"/>
      <c r="C379" s="56"/>
      <c r="D379" s="51"/>
      <c r="E379" s="51"/>
      <c r="F379" s="51"/>
      <c r="G379" s="51" t="str">
        <f>IFERROR(__xludf.DUMMYFUNCTION("""COMPUTED_VALUE"""),"#VALUE!")</f>
        <v>#VALUE!</v>
      </c>
      <c r="H379" s="51" t="str">
        <f>IFERROR(__xludf.DUMMYFUNCTION("""COMPUTED_VALUE"""),"")</f>
        <v/>
      </c>
      <c r="I379" s="51" t="str">
        <f>IFERROR(__xludf.DUMMYFUNCTION("""COMPUTED_VALUE"""),"#VALUE!")</f>
        <v>#VALUE!</v>
      </c>
      <c r="J379" s="51" t="str">
        <f>IFERROR(__xludf.DUMMYFUNCTION("""COMPUTED_VALUE"""),"")</f>
        <v/>
      </c>
      <c r="K379" s="51"/>
      <c r="L379" s="51" t="s">
        <v>257</v>
      </c>
      <c r="M379" s="51"/>
      <c r="N379" s="51"/>
      <c r="O379" s="51"/>
      <c r="P379" s="51"/>
      <c r="Q379" s="51"/>
      <c r="R379" s="51"/>
      <c r="S379" s="51"/>
      <c r="T379" s="51"/>
    </row>
    <row r="380">
      <c r="A380" s="51"/>
      <c r="B380" s="51"/>
      <c r="C380" s="56"/>
      <c r="D380" s="51"/>
      <c r="E380" s="51"/>
      <c r="F380" s="51"/>
      <c r="G380" s="51" t="str">
        <f>IFERROR(__xludf.DUMMYFUNCTION("""COMPUTED_VALUE"""),"#VALUE!")</f>
        <v>#VALUE!</v>
      </c>
      <c r="H380" s="51" t="str">
        <f>IFERROR(__xludf.DUMMYFUNCTION("""COMPUTED_VALUE"""),"")</f>
        <v/>
      </c>
      <c r="I380" s="51" t="str">
        <f>IFERROR(__xludf.DUMMYFUNCTION("""COMPUTED_VALUE"""),"#VALUE!")</f>
        <v>#VALUE!</v>
      </c>
      <c r="J380" s="51" t="str">
        <f>IFERROR(__xludf.DUMMYFUNCTION("""COMPUTED_VALUE"""),"")</f>
        <v/>
      </c>
      <c r="K380" s="51"/>
      <c r="L380" s="51" t="s">
        <v>257</v>
      </c>
      <c r="M380" s="51"/>
      <c r="N380" s="51"/>
      <c r="O380" s="51"/>
      <c r="P380" s="51"/>
      <c r="Q380" s="51"/>
      <c r="R380" s="51"/>
      <c r="S380" s="51"/>
      <c r="T380" s="51"/>
    </row>
    <row r="381">
      <c r="A381" s="51"/>
      <c r="B381" s="51"/>
      <c r="C381" s="56"/>
      <c r="D381" s="51"/>
      <c r="E381" s="51"/>
      <c r="F381" s="51"/>
      <c r="G381" s="51" t="str">
        <f>IFERROR(__xludf.DUMMYFUNCTION("""COMPUTED_VALUE"""),"#VALUE!")</f>
        <v>#VALUE!</v>
      </c>
      <c r="H381" s="51" t="str">
        <f>IFERROR(__xludf.DUMMYFUNCTION("""COMPUTED_VALUE"""),"")</f>
        <v/>
      </c>
      <c r="I381" s="51" t="str">
        <f>IFERROR(__xludf.DUMMYFUNCTION("""COMPUTED_VALUE"""),"#VALUE!")</f>
        <v>#VALUE!</v>
      </c>
      <c r="J381" s="51" t="str">
        <f>IFERROR(__xludf.DUMMYFUNCTION("""COMPUTED_VALUE"""),"")</f>
        <v/>
      </c>
      <c r="K381" s="51"/>
      <c r="L381" s="51" t="s">
        <v>257</v>
      </c>
      <c r="M381" s="51"/>
      <c r="N381" s="51"/>
      <c r="O381" s="51"/>
      <c r="P381" s="51"/>
      <c r="Q381" s="51"/>
      <c r="R381" s="51"/>
      <c r="S381" s="51"/>
      <c r="T381" s="51"/>
    </row>
    <row r="382">
      <c r="A382" s="51"/>
      <c r="B382" s="51"/>
      <c r="C382" s="56"/>
      <c r="D382" s="51"/>
      <c r="E382" s="51"/>
      <c r="F382" s="51"/>
      <c r="G382" s="51" t="str">
        <f>IFERROR(__xludf.DUMMYFUNCTION("""COMPUTED_VALUE"""),"#VALUE!")</f>
        <v>#VALUE!</v>
      </c>
      <c r="H382" s="51" t="str">
        <f>IFERROR(__xludf.DUMMYFUNCTION("""COMPUTED_VALUE"""),"")</f>
        <v/>
      </c>
      <c r="I382" s="51" t="str">
        <f>IFERROR(__xludf.DUMMYFUNCTION("""COMPUTED_VALUE"""),"#VALUE!")</f>
        <v>#VALUE!</v>
      </c>
      <c r="J382" s="51" t="str">
        <f>IFERROR(__xludf.DUMMYFUNCTION("""COMPUTED_VALUE"""),"")</f>
        <v/>
      </c>
      <c r="K382" s="51"/>
      <c r="L382" s="51" t="s">
        <v>257</v>
      </c>
      <c r="M382" s="51"/>
      <c r="N382" s="51"/>
      <c r="O382" s="51"/>
      <c r="P382" s="51"/>
      <c r="Q382" s="51"/>
      <c r="R382" s="51"/>
      <c r="S382" s="51"/>
      <c r="T382" s="51"/>
    </row>
    <row r="383">
      <c r="A383" s="51"/>
      <c r="B383" s="51"/>
      <c r="C383" s="56"/>
      <c r="D383" s="51"/>
      <c r="E383" s="51"/>
      <c r="F383" s="51"/>
      <c r="G383" s="51" t="str">
        <f>IFERROR(__xludf.DUMMYFUNCTION("""COMPUTED_VALUE"""),"#VALUE!")</f>
        <v>#VALUE!</v>
      </c>
      <c r="H383" s="51" t="str">
        <f>IFERROR(__xludf.DUMMYFUNCTION("""COMPUTED_VALUE"""),"")</f>
        <v/>
      </c>
      <c r="I383" s="51" t="str">
        <f>IFERROR(__xludf.DUMMYFUNCTION("""COMPUTED_VALUE"""),"#VALUE!")</f>
        <v>#VALUE!</v>
      </c>
      <c r="J383" s="51" t="str">
        <f>IFERROR(__xludf.DUMMYFUNCTION("""COMPUTED_VALUE"""),"")</f>
        <v/>
      </c>
      <c r="K383" s="51"/>
      <c r="L383" s="51" t="s">
        <v>257</v>
      </c>
      <c r="M383" s="51"/>
      <c r="N383" s="51"/>
      <c r="O383" s="51"/>
      <c r="P383" s="51"/>
      <c r="Q383" s="51"/>
      <c r="R383" s="51"/>
      <c r="S383" s="51"/>
      <c r="T383" s="51"/>
    </row>
    <row r="384">
      <c r="A384" s="51"/>
      <c r="B384" s="51"/>
      <c r="C384" s="56"/>
      <c r="D384" s="51"/>
      <c r="E384" s="51"/>
      <c r="F384" s="51"/>
      <c r="G384" s="51" t="str">
        <f>IFERROR(__xludf.DUMMYFUNCTION("""COMPUTED_VALUE"""),"#VALUE!")</f>
        <v>#VALUE!</v>
      </c>
      <c r="H384" s="51" t="str">
        <f>IFERROR(__xludf.DUMMYFUNCTION("""COMPUTED_VALUE"""),"")</f>
        <v/>
      </c>
      <c r="I384" s="51" t="str">
        <f>IFERROR(__xludf.DUMMYFUNCTION("""COMPUTED_VALUE"""),"#VALUE!")</f>
        <v>#VALUE!</v>
      </c>
      <c r="J384" s="51" t="str">
        <f>IFERROR(__xludf.DUMMYFUNCTION("""COMPUTED_VALUE"""),"")</f>
        <v/>
      </c>
      <c r="K384" s="51"/>
      <c r="L384" s="51" t="s">
        <v>257</v>
      </c>
      <c r="M384" s="51"/>
      <c r="N384" s="51"/>
      <c r="O384" s="51"/>
      <c r="P384" s="51"/>
      <c r="Q384" s="51"/>
      <c r="R384" s="51"/>
      <c r="S384" s="51"/>
      <c r="T384" s="51"/>
    </row>
    <row r="385">
      <c r="A385" s="51"/>
      <c r="B385" s="51"/>
      <c r="C385" s="56"/>
      <c r="D385" s="51"/>
      <c r="E385" s="51"/>
      <c r="F385" s="51"/>
      <c r="G385" s="51" t="str">
        <f>IFERROR(__xludf.DUMMYFUNCTION("""COMPUTED_VALUE"""),"#VALUE!")</f>
        <v>#VALUE!</v>
      </c>
      <c r="H385" s="51" t="str">
        <f>IFERROR(__xludf.DUMMYFUNCTION("""COMPUTED_VALUE"""),"")</f>
        <v/>
      </c>
      <c r="I385" s="51" t="str">
        <f>IFERROR(__xludf.DUMMYFUNCTION("""COMPUTED_VALUE"""),"#VALUE!")</f>
        <v>#VALUE!</v>
      </c>
      <c r="J385" s="51" t="str">
        <f>IFERROR(__xludf.DUMMYFUNCTION("""COMPUTED_VALUE"""),"")</f>
        <v/>
      </c>
      <c r="K385" s="51"/>
      <c r="L385" s="51" t="s">
        <v>257</v>
      </c>
      <c r="M385" s="51"/>
      <c r="N385" s="51"/>
      <c r="O385" s="51"/>
      <c r="P385" s="51"/>
      <c r="Q385" s="51"/>
      <c r="R385" s="51"/>
      <c r="S385" s="51"/>
      <c r="T385" s="51"/>
    </row>
    <row r="386">
      <c r="A386" s="51"/>
      <c r="B386" s="51"/>
      <c r="C386" s="56"/>
      <c r="D386" s="51"/>
      <c r="E386" s="51"/>
      <c r="F386" s="51"/>
      <c r="G386" s="51" t="str">
        <f>IFERROR(__xludf.DUMMYFUNCTION("""COMPUTED_VALUE"""),"#VALUE!")</f>
        <v>#VALUE!</v>
      </c>
      <c r="H386" s="51" t="str">
        <f>IFERROR(__xludf.DUMMYFUNCTION("""COMPUTED_VALUE"""),"")</f>
        <v/>
      </c>
      <c r="I386" s="51" t="str">
        <f>IFERROR(__xludf.DUMMYFUNCTION("""COMPUTED_VALUE"""),"#VALUE!")</f>
        <v>#VALUE!</v>
      </c>
      <c r="J386" s="51" t="str">
        <f>IFERROR(__xludf.DUMMYFUNCTION("""COMPUTED_VALUE"""),"")</f>
        <v/>
      </c>
      <c r="K386" s="51"/>
      <c r="L386" s="51" t="s">
        <v>257</v>
      </c>
      <c r="M386" s="51"/>
      <c r="N386" s="51"/>
      <c r="O386" s="51"/>
      <c r="P386" s="51"/>
      <c r="Q386" s="51"/>
      <c r="R386" s="51"/>
      <c r="S386" s="51"/>
      <c r="T386" s="51"/>
    </row>
    <row r="387">
      <c r="A387" s="51"/>
      <c r="B387" s="51"/>
      <c r="C387" s="56"/>
      <c r="D387" s="51"/>
      <c r="E387" s="51"/>
      <c r="F387" s="51"/>
      <c r="G387" s="51" t="str">
        <f>IFERROR(__xludf.DUMMYFUNCTION("""COMPUTED_VALUE"""),"#VALUE!")</f>
        <v>#VALUE!</v>
      </c>
      <c r="H387" s="51" t="str">
        <f>IFERROR(__xludf.DUMMYFUNCTION("""COMPUTED_VALUE"""),"")</f>
        <v/>
      </c>
      <c r="I387" s="51" t="str">
        <f>IFERROR(__xludf.DUMMYFUNCTION("""COMPUTED_VALUE"""),"#VALUE!")</f>
        <v>#VALUE!</v>
      </c>
      <c r="J387" s="51" t="str">
        <f>IFERROR(__xludf.DUMMYFUNCTION("""COMPUTED_VALUE"""),"")</f>
        <v/>
      </c>
      <c r="K387" s="51"/>
      <c r="L387" s="51" t="s">
        <v>257</v>
      </c>
      <c r="M387" s="51"/>
      <c r="N387" s="51"/>
      <c r="O387" s="51"/>
      <c r="P387" s="51"/>
      <c r="Q387" s="51"/>
      <c r="R387" s="51"/>
      <c r="S387" s="51"/>
      <c r="T387" s="51"/>
    </row>
    <row r="388">
      <c r="A388" s="51"/>
      <c r="B388" s="51"/>
      <c r="C388" s="56"/>
      <c r="D388" s="51"/>
      <c r="E388" s="51"/>
      <c r="F388" s="51"/>
      <c r="G388" s="51" t="str">
        <f>IFERROR(__xludf.DUMMYFUNCTION("""COMPUTED_VALUE"""),"#VALUE!")</f>
        <v>#VALUE!</v>
      </c>
      <c r="H388" s="51" t="str">
        <f>IFERROR(__xludf.DUMMYFUNCTION("""COMPUTED_VALUE"""),"")</f>
        <v/>
      </c>
      <c r="I388" s="51" t="str">
        <f>IFERROR(__xludf.DUMMYFUNCTION("""COMPUTED_VALUE"""),"#VALUE!")</f>
        <v>#VALUE!</v>
      </c>
      <c r="J388" s="51" t="str">
        <f>IFERROR(__xludf.DUMMYFUNCTION("""COMPUTED_VALUE"""),"")</f>
        <v/>
      </c>
      <c r="K388" s="51"/>
      <c r="L388" s="51" t="s">
        <v>257</v>
      </c>
      <c r="M388" s="51"/>
      <c r="N388" s="51"/>
      <c r="O388" s="51"/>
      <c r="P388" s="51"/>
      <c r="Q388" s="51"/>
      <c r="R388" s="51"/>
      <c r="S388" s="51"/>
      <c r="T388" s="51"/>
    </row>
    <row r="389">
      <c r="A389" s="51"/>
      <c r="B389" s="51"/>
      <c r="C389" s="56"/>
      <c r="D389" s="51"/>
      <c r="E389" s="51"/>
      <c r="F389" s="51"/>
      <c r="G389" s="51" t="str">
        <f>IFERROR(__xludf.DUMMYFUNCTION("""COMPUTED_VALUE"""),"#VALUE!")</f>
        <v>#VALUE!</v>
      </c>
      <c r="H389" s="51" t="str">
        <f>IFERROR(__xludf.DUMMYFUNCTION("""COMPUTED_VALUE"""),"")</f>
        <v/>
      </c>
      <c r="I389" s="51" t="str">
        <f>IFERROR(__xludf.DUMMYFUNCTION("""COMPUTED_VALUE"""),"#VALUE!")</f>
        <v>#VALUE!</v>
      </c>
      <c r="J389" s="51" t="str">
        <f>IFERROR(__xludf.DUMMYFUNCTION("""COMPUTED_VALUE"""),"")</f>
        <v/>
      </c>
      <c r="K389" s="51"/>
      <c r="L389" s="51" t="s">
        <v>257</v>
      </c>
      <c r="M389" s="51"/>
      <c r="N389" s="51"/>
      <c r="O389" s="51"/>
      <c r="P389" s="51"/>
      <c r="Q389" s="51"/>
      <c r="R389" s="51"/>
      <c r="S389" s="51"/>
      <c r="T389" s="51"/>
    </row>
    <row r="390">
      <c r="A390" s="51"/>
      <c r="B390" s="51"/>
      <c r="C390" s="56"/>
      <c r="D390" s="51"/>
      <c r="E390" s="51"/>
      <c r="F390" s="51"/>
      <c r="G390" s="51" t="str">
        <f>IFERROR(__xludf.DUMMYFUNCTION("""COMPUTED_VALUE"""),"#VALUE!")</f>
        <v>#VALUE!</v>
      </c>
      <c r="H390" s="51" t="str">
        <f>IFERROR(__xludf.DUMMYFUNCTION("""COMPUTED_VALUE"""),"")</f>
        <v/>
      </c>
      <c r="I390" s="51" t="str">
        <f>IFERROR(__xludf.DUMMYFUNCTION("""COMPUTED_VALUE"""),"#VALUE!")</f>
        <v>#VALUE!</v>
      </c>
      <c r="J390" s="51" t="str">
        <f>IFERROR(__xludf.DUMMYFUNCTION("""COMPUTED_VALUE"""),"")</f>
        <v/>
      </c>
      <c r="K390" s="51"/>
      <c r="L390" s="51" t="s">
        <v>257</v>
      </c>
      <c r="M390" s="51"/>
      <c r="N390" s="51"/>
      <c r="O390" s="51"/>
      <c r="P390" s="51"/>
      <c r="Q390" s="51"/>
      <c r="R390" s="51"/>
      <c r="S390" s="51"/>
      <c r="T390" s="51"/>
    </row>
    <row r="391">
      <c r="A391" s="51"/>
      <c r="B391" s="51"/>
      <c r="C391" s="56"/>
      <c r="D391" s="51"/>
      <c r="E391" s="51"/>
      <c r="F391" s="51"/>
      <c r="G391" s="51" t="str">
        <f>IFERROR(__xludf.DUMMYFUNCTION("""COMPUTED_VALUE"""),"#VALUE!")</f>
        <v>#VALUE!</v>
      </c>
      <c r="H391" s="51" t="str">
        <f>IFERROR(__xludf.DUMMYFUNCTION("""COMPUTED_VALUE"""),"")</f>
        <v/>
      </c>
      <c r="I391" s="51" t="str">
        <f>IFERROR(__xludf.DUMMYFUNCTION("""COMPUTED_VALUE"""),"#VALUE!")</f>
        <v>#VALUE!</v>
      </c>
      <c r="J391" s="51" t="str">
        <f>IFERROR(__xludf.DUMMYFUNCTION("""COMPUTED_VALUE"""),"")</f>
        <v/>
      </c>
      <c r="K391" s="51"/>
      <c r="L391" s="51" t="s">
        <v>257</v>
      </c>
      <c r="M391" s="51"/>
      <c r="N391" s="51"/>
      <c r="O391" s="51"/>
      <c r="P391" s="51"/>
      <c r="Q391" s="51"/>
      <c r="R391" s="51"/>
      <c r="S391" s="51"/>
      <c r="T391" s="51"/>
    </row>
    <row r="392">
      <c r="A392" s="51"/>
      <c r="B392" s="51"/>
      <c r="C392" s="56"/>
      <c r="D392" s="51"/>
      <c r="E392" s="51"/>
      <c r="F392" s="51"/>
      <c r="G392" s="51" t="str">
        <f>IFERROR(__xludf.DUMMYFUNCTION("""COMPUTED_VALUE"""),"#VALUE!")</f>
        <v>#VALUE!</v>
      </c>
      <c r="H392" s="51" t="str">
        <f>IFERROR(__xludf.DUMMYFUNCTION("""COMPUTED_VALUE"""),"")</f>
        <v/>
      </c>
      <c r="I392" s="51" t="str">
        <f>IFERROR(__xludf.DUMMYFUNCTION("""COMPUTED_VALUE"""),"#VALUE!")</f>
        <v>#VALUE!</v>
      </c>
      <c r="J392" s="51" t="str">
        <f>IFERROR(__xludf.DUMMYFUNCTION("""COMPUTED_VALUE"""),"")</f>
        <v/>
      </c>
      <c r="K392" s="51"/>
      <c r="L392" s="51" t="s">
        <v>257</v>
      </c>
      <c r="M392" s="51"/>
      <c r="N392" s="51"/>
      <c r="O392" s="51"/>
      <c r="P392" s="51"/>
      <c r="Q392" s="51"/>
      <c r="R392" s="51"/>
      <c r="S392" s="51"/>
      <c r="T392" s="51"/>
    </row>
    <row r="393">
      <c r="A393" s="51"/>
      <c r="B393" s="51"/>
      <c r="C393" s="56"/>
      <c r="D393" s="51"/>
      <c r="E393" s="51"/>
      <c r="F393" s="51"/>
      <c r="G393" s="51" t="str">
        <f>IFERROR(__xludf.DUMMYFUNCTION("""COMPUTED_VALUE"""),"#VALUE!")</f>
        <v>#VALUE!</v>
      </c>
      <c r="H393" s="51" t="str">
        <f>IFERROR(__xludf.DUMMYFUNCTION("""COMPUTED_VALUE"""),"")</f>
        <v/>
      </c>
      <c r="I393" s="51" t="str">
        <f>IFERROR(__xludf.DUMMYFUNCTION("""COMPUTED_VALUE"""),"#VALUE!")</f>
        <v>#VALUE!</v>
      </c>
      <c r="J393" s="51" t="str">
        <f>IFERROR(__xludf.DUMMYFUNCTION("""COMPUTED_VALUE"""),"")</f>
        <v/>
      </c>
      <c r="K393" s="51"/>
      <c r="L393" s="51" t="s">
        <v>257</v>
      </c>
      <c r="M393" s="51"/>
      <c r="N393" s="51"/>
      <c r="O393" s="51"/>
      <c r="P393" s="51"/>
      <c r="Q393" s="51"/>
      <c r="R393" s="51"/>
      <c r="S393" s="51"/>
      <c r="T393" s="51"/>
    </row>
    <row r="394">
      <c r="A394" s="51"/>
      <c r="B394" s="51"/>
      <c r="C394" s="56"/>
      <c r="D394" s="51"/>
      <c r="E394" s="51"/>
      <c r="F394" s="51"/>
      <c r="G394" s="51" t="str">
        <f>IFERROR(__xludf.DUMMYFUNCTION("""COMPUTED_VALUE"""),"#VALUE!")</f>
        <v>#VALUE!</v>
      </c>
      <c r="H394" s="51" t="str">
        <f>IFERROR(__xludf.DUMMYFUNCTION("""COMPUTED_VALUE"""),"")</f>
        <v/>
      </c>
      <c r="I394" s="51" t="str">
        <f>IFERROR(__xludf.DUMMYFUNCTION("""COMPUTED_VALUE"""),"#VALUE!")</f>
        <v>#VALUE!</v>
      </c>
      <c r="J394" s="51" t="str">
        <f>IFERROR(__xludf.DUMMYFUNCTION("""COMPUTED_VALUE"""),"")</f>
        <v/>
      </c>
      <c r="K394" s="51"/>
      <c r="L394" s="51" t="s">
        <v>257</v>
      </c>
      <c r="M394" s="51"/>
      <c r="N394" s="51"/>
      <c r="O394" s="51"/>
      <c r="P394" s="51"/>
      <c r="Q394" s="51"/>
      <c r="R394" s="51"/>
      <c r="S394" s="51"/>
      <c r="T394" s="51"/>
    </row>
    <row r="395">
      <c r="A395" s="51"/>
      <c r="B395" s="51"/>
      <c r="C395" s="56"/>
      <c r="D395" s="51"/>
      <c r="E395" s="51"/>
      <c r="F395" s="51"/>
      <c r="G395" s="51" t="str">
        <f>IFERROR(__xludf.DUMMYFUNCTION("""COMPUTED_VALUE"""),"#VALUE!")</f>
        <v>#VALUE!</v>
      </c>
      <c r="H395" s="51" t="str">
        <f>IFERROR(__xludf.DUMMYFUNCTION("""COMPUTED_VALUE"""),"")</f>
        <v/>
      </c>
      <c r="I395" s="51" t="str">
        <f>IFERROR(__xludf.DUMMYFUNCTION("""COMPUTED_VALUE"""),"#VALUE!")</f>
        <v>#VALUE!</v>
      </c>
      <c r="J395" s="51" t="str">
        <f>IFERROR(__xludf.DUMMYFUNCTION("""COMPUTED_VALUE"""),"")</f>
        <v/>
      </c>
      <c r="K395" s="51"/>
      <c r="L395" s="51" t="s">
        <v>257</v>
      </c>
      <c r="M395" s="51"/>
      <c r="N395" s="51"/>
      <c r="O395" s="51"/>
      <c r="P395" s="51"/>
      <c r="Q395" s="51"/>
      <c r="R395" s="51"/>
      <c r="S395" s="51"/>
      <c r="T395" s="51"/>
    </row>
    <row r="396">
      <c r="A396" s="51"/>
      <c r="B396" s="51"/>
      <c r="C396" s="56"/>
      <c r="D396" s="51"/>
      <c r="E396" s="51"/>
      <c r="F396" s="51"/>
      <c r="G396" s="51" t="str">
        <f>IFERROR(__xludf.DUMMYFUNCTION("""COMPUTED_VALUE"""),"#VALUE!")</f>
        <v>#VALUE!</v>
      </c>
      <c r="H396" s="51" t="str">
        <f>IFERROR(__xludf.DUMMYFUNCTION("""COMPUTED_VALUE"""),"")</f>
        <v/>
      </c>
      <c r="I396" s="51" t="str">
        <f>IFERROR(__xludf.DUMMYFUNCTION("""COMPUTED_VALUE"""),"#VALUE!")</f>
        <v>#VALUE!</v>
      </c>
      <c r="J396" s="51" t="str">
        <f>IFERROR(__xludf.DUMMYFUNCTION("""COMPUTED_VALUE"""),"")</f>
        <v/>
      </c>
      <c r="K396" s="51"/>
      <c r="L396" s="51" t="s">
        <v>257</v>
      </c>
      <c r="M396" s="51"/>
      <c r="N396" s="51"/>
      <c r="O396" s="51"/>
      <c r="P396" s="51"/>
      <c r="Q396" s="51"/>
      <c r="R396" s="51"/>
      <c r="S396" s="51"/>
      <c r="T396" s="51"/>
    </row>
    <row r="397">
      <c r="A397" s="51"/>
      <c r="B397" s="51"/>
      <c r="C397" s="56"/>
      <c r="D397" s="51"/>
      <c r="E397" s="51"/>
      <c r="F397" s="51"/>
      <c r="G397" s="51" t="str">
        <f>IFERROR(__xludf.DUMMYFUNCTION("""COMPUTED_VALUE"""),"#VALUE!")</f>
        <v>#VALUE!</v>
      </c>
      <c r="H397" s="51" t="str">
        <f>IFERROR(__xludf.DUMMYFUNCTION("""COMPUTED_VALUE"""),"")</f>
        <v/>
      </c>
      <c r="I397" s="51" t="str">
        <f>IFERROR(__xludf.DUMMYFUNCTION("""COMPUTED_VALUE"""),"#VALUE!")</f>
        <v>#VALUE!</v>
      </c>
      <c r="J397" s="51" t="str">
        <f>IFERROR(__xludf.DUMMYFUNCTION("""COMPUTED_VALUE"""),"")</f>
        <v/>
      </c>
      <c r="K397" s="51"/>
      <c r="L397" s="51" t="s">
        <v>257</v>
      </c>
      <c r="M397" s="51"/>
      <c r="N397" s="51"/>
      <c r="O397" s="51"/>
      <c r="P397" s="51"/>
      <c r="Q397" s="51"/>
      <c r="R397" s="51"/>
      <c r="S397" s="51"/>
      <c r="T397" s="51"/>
    </row>
    <row r="398">
      <c r="A398" s="51"/>
      <c r="B398" s="51"/>
      <c r="C398" s="56"/>
      <c r="D398" s="51"/>
      <c r="E398" s="51"/>
      <c r="F398" s="51"/>
      <c r="G398" s="51" t="str">
        <f>IFERROR(__xludf.DUMMYFUNCTION("""COMPUTED_VALUE"""),"#VALUE!")</f>
        <v>#VALUE!</v>
      </c>
      <c r="H398" s="51" t="str">
        <f>IFERROR(__xludf.DUMMYFUNCTION("""COMPUTED_VALUE"""),"")</f>
        <v/>
      </c>
      <c r="I398" s="51" t="str">
        <f>IFERROR(__xludf.DUMMYFUNCTION("""COMPUTED_VALUE"""),"#VALUE!")</f>
        <v>#VALUE!</v>
      </c>
      <c r="J398" s="51" t="str">
        <f>IFERROR(__xludf.DUMMYFUNCTION("""COMPUTED_VALUE"""),"")</f>
        <v/>
      </c>
      <c r="K398" s="51"/>
      <c r="L398" s="51" t="s">
        <v>257</v>
      </c>
      <c r="M398" s="51"/>
      <c r="N398" s="51"/>
      <c r="O398" s="51"/>
      <c r="P398" s="51"/>
      <c r="Q398" s="51"/>
      <c r="R398" s="51"/>
      <c r="S398" s="51"/>
      <c r="T398" s="51"/>
    </row>
    <row r="399">
      <c r="A399" s="51"/>
      <c r="B399" s="51"/>
      <c r="C399" s="56"/>
      <c r="D399" s="51"/>
      <c r="E399" s="51"/>
      <c r="F399" s="51"/>
      <c r="G399" s="51" t="str">
        <f>IFERROR(__xludf.DUMMYFUNCTION("""COMPUTED_VALUE"""),"#VALUE!")</f>
        <v>#VALUE!</v>
      </c>
      <c r="H399" s="51" t="str">
        <f>IFERROR(__xludf.DUMMYFUNCTION("""COMPUTED_VALUE"""),"")</f>
        <v/>
      </c>
      <c r="I399" s="51" t="str">
        <f>IFERROR(__xludf.DUMMYFUNCTION("""COMPUTED_VALUE"""),"#VALUE!")</f>
        <v>#VALUE!</v>
      </c>
      <c r="J399" s="51" t="str">
        <f>IFERROR(__xludf.DUMMYFUNCTION("""COMPUTED_VALUE"""),"")</f>
        <v/>
      </c>
      <c r="K399" s="51"/>
      <c r="L399" s="51" t="s">
        <v>257</v>
      </c>
      <c r="M399" s="51"/>
      <c r="N399" s="51"/>
      <c r="O399" s="51"/>
      <c r="P399" s="51"/>
      <c r="Q399" s="51"/>
      <c r="R399" s="51"/>
      <c r="S399" s="51"/>
      <c r="T399" s="51"/>
    </row>
    <row r="400">
      <c r="A400" s="51"/>
      <c r="B400" s="51"/>
      <c r="C400" s="56"/>
      <c r="D400" s="51"/>
      <c r="E400" s="51"/>
      <c r="F400" s="51"/>
      <c r="G400" s="51" t="str">
        <f>IFERROR(__xludf.DUMMYFUNCTION("""COMPUTED_VALUE"""),"#VALUE!")</f>
        <v>#VALUE!</v>
      </c>
      <c r="H400" s="51" t="str">
        <f>IFERROR(__xludf.DUMMYFUNCTION("""COMPUTED_VALUE"""),"")</f>
        <v/>
      </c>
      <c r="I400" s="51" t="str">
        <f>IFERROR(__xludf.DUMMYFUNCTION("""COMPUTED_VALUE"""),"#VALUE!")</f>
        <v>#VALUE!</v>
      </c>
      <c r="J400" s="51" t="str">
        <f>IFERROR(__xludf.DUMMYFUNCTION("""COMPUTED_VALUE"""),"")</f>
        <v/>
      </c>
      <c r="K400" s="51"/>
      <c r="L400" s="51" t="s">
        <v>257</v>
      </c>
      <c r="M400" s="51"/>
      <c r="N400" s="51"/>
      <c r="O400" s="51"/>
      <c r="P400" s="51"/>
      <c r="Q400" s="51"/>
      <c r="R400" s="51"/>
      <c r="S400" s="51"/>
      <c r="T400" s="51"/>
    </row>
    <row r="401">
      <c r="A401" s="51"/>
      <c r="B401" s="51"/>
      <c r="C401" s="56"/>
      <c r="D401" s="51"/>
      <c r="E401" s="51"/>
      <c r="F401" s="51"/>
      <c r="G401" s="51" t="str">
        <f>IFERROR(__xludf.DUMMYFUNCTION("""COMPUTED_VALUE"""),"#VALUE!")</f>
        <v>#VALUE!</v>
      </c>
      <c r="H401" s="51" t="str">
        <f>IFERROR(__xludf.DUMMYFUNCTION("""COMPUTED_VALUE"""),"")</f>
        <v/>
      </c>
      <c r="I401" s="51" t="str">
        <f>IFERROR(__xludf.DUMMYFUNCTION("""COMPUTED_VALUE"""),"#VALUE!")</f>
        <v>#VALUE!</v>
      </c>
      <c r="J401" s="51" t="str">
        <f>IFERROR(__xludf.DUMMYFUNCTION("""COMPUTED_VALUE"""),"")</f>
        <v/>
      </c>
      <c r="K401" s="51"/>
      <c r="L401" s="51" t="s">
        <v>257</v>
      </c>
      <c r="M401" s="51"/>
      <c r="N401" s="51"/>
      <c r="O401" s="51"/>
      <c r="P401" s="51"/>
      <c r="Q401" s="51"/>
      <c r="R401" s="51"/>
      <c r="S401" s="51"/>
      <c r="T401" s="51"/>
    </row>
    <row r="402">
      <c r="A402" s="51"/>
      <c r="B402" s="51"/>
      <c r="C402" s="56"/>
      <c r="D402" s="51"/>
      <c r="E402" s="51"/>
      <c r="F402" s="51"/>
      <c r="G402" s="51" t="str">
        <f>IFERROR(__xludf.DUMMYFUNCTION("""COMPUTED_VALUE"""),"#VALUE!")</f>
        <v>#VALUE!</v>
      </c>
      <c r="H402" s="51" t="str">
        <f>IFERROR(__xludf.DUMMYFUNCTION("""COMPUTED_VALUE"""),"")</f>
        <v/>
      </c>
      <c r="I402" s="51" t="str">
        <f>IFERROR(__xludf.DUMMYFUNCTION("""COMPUTED_VALUE"""),"#VALUE!")</f>
        <v>#VALUE!</v>
      </c>
      <c r="J402" s="51" t="str">
        <f>IFERROR(__xludf.DUMMYFUNCTION("""COMPUTED_VALUE"""),"")</f>
        <v/>
      </c>
      <c r="K402" s="51"/>
      <c r="L402" s="51" t="s">
        <v>257</v>
      </c>
      <c r="M402" s="51"/>
      <c r="N402" s="51"/>
      <c r="O402" s="51"/>
      <c r="P402" s="51"/>
      <c r="Q402" s="51"/>
      <c r="R402" s="51"/>
      <c r="S402" s="51"/>
      <c r="T402" s="51"/>
    </row>
    <row r="403">
      <c r="A403" s="51"/>
      <c r="B403" s="51"/>
      <c r="C403" s="56"/>
      <c r="D403" s="51"/>
      <c r="E403" s="51"/>
      <c r="F403" s="51"/>
      <c r="G403" s="51" t="str">
        <f>IFERROR(__xludf.DUMMYFUNCTION("""COMPUTED_VALUE"""),"#VALUE!")</f>
        <v>#VALUE!</v>
      </c>
      <c r="H403" s="51" t="str">
        <f>IFERROR(__xludf.DUMMYFUNCTION("""COMPUTED_VALUE"""),"")</f>
        <v/>
      </c>
      <c r="I403" s="51" t="str">
        <f>IFERROR(__xludf.DUMMYFUNCTION("""COMPUTED_VALUE"""),"#VALUE!")</f>
        <v>#VALUE!</v>
      </c>
      <c r="J403" s="51" t="str">
        <f>IFERROR(__xludf.DUMMYFUNCTION("""COMPUTED_VALUE"""),"")</f>
        <v/>
      </c>
      <c r="K403" s="51"/>
      <c r="L403" s="51" t="s">
        <v>257</v>
      </c>
      <c r="M403" s="51"/>
      <c r="N403" s="51"/>
      <c r="O403" s="51"/>
      <c r="P403" s="51"/>
      <c r="Q403" s="51"/>
      <c r="R403" s="51"/>
      <c r="S403" s="51"/>
      <c r="T403" s="51"/>
    </row>
    <row r="404">
      <c r="A404" s="51"/>
      <c r="B404" s="51"/>
      <c r="C404" s="56"/>
      <c r="D404" s="51"/>
      <c r="E404" s="51"/>
      <c r="F404" s="51"/>
      <c r="G404" s="51" t="str">
        <f>IFERROR(__xludf.DUMMYFUNCTION("""COMPUTED_VALUE"""),"#VALUE!")</f>
        <v>#VALUE!</v>
      </c>
      <c r="H404" s="51" t="str">
        <f>IFERROR(__xludf.DUMMYFUNCTION("""COMPUTED_VALUE"""),"")</f>
        <v/>
      </c>
      <c r="I404" s="51" t="str">
        <f>IFERROR(__xludf.DUMMYFUNCTION("""COMPUTED_VALUE"""),"#VALUE!")</f>
        <v>#VALUE!</v>
      </c>
      <c r="J404" s="51" t="str">
        <f>IFERROR(__xludf.DUMMYFUNCTION("""COMPUTED_VALUE"""),"")</f>
        <v/>
      </c>
      <c r="K404" s="51"/>
      <c r="L404" s="51" t="s">
        <v>257</v>
      </c>
      <c r="M404" s="51"/>
      <c r="N404" s="51"/>
      <c r="O404" s="51"/>
      <c r="P404" s="51"/>
      <c r="Q404" s="51"/>
      <c r="R404" s="51"/>
      <c r="S404" s="51"/>
      <c r="T404" s="51"/>
    </row>
    <row r="405">
      <c r="A405" s="51"/>
      <c r="B405" s="51"/>
      <c r="C405" s="56"/>
      <c r="D405" s="51"/>
      <c r="E405" s="51"/>
      <c r="F405" s="51"/>
      <c r="G405" s="51" t="str">
        <f>IFERROR(__xludf.DUMMYFUNCTION("""COMPUTED_VALUE"""),"#VALUE!")</f>
        <v>#VALUE!</v>
      </c>
      <c r="H405" s="51" t="str">
        <f>IFERROR(__xludf.DUMMYFUNCTION("""COMPUTED_VALUE"""),"")</f>
        <v/>
      </c>
      <c r="I405" s="51" t="str">
        <f>IFERROR(__xludf.DUMMYFUNCTION("""COMPUTED_VALUE"""),"#VALUE!")</f>
        <v>#VALUE!</v>
      </c>
      <c r="J405" s="51" t="str">
        <f>IFERROR(__xludf.DUMMYFUNCTION("""COMPUTED_VALUE"""),"")</f>
        <v/>
      </c>
      <c r="K405" s="51"/>
      <c r="L405" s="51" t="s">
        <v>257</v>
      </c>
      <c r="M405" s="51"/>
      <c r="N405" s="51"/>
      <c r="O405" s="51"/>
      <c r="P405" s="51"/>
      <c r="Q405" s="51"/>
      <c r="R405" s="51"/>
      <c r="S405" s="51"/>
      <c r="T405" s="51"/>
    </row>
    <row r="406">
      <c r="A406" s="51"/>
      <c r="B406" s="51"/>
      <c r="C406" s="56"/>
      <c r="D406" s="51"/>
      <c r="E406" s="51"/>
      <c r="F406" s="51"/>
      <c r="G406" s="51" t="str">
        <f>IFERROR(__xludf.DUMMYFUNCTION("""COMPUTED_VALUE"""),"#VALUE!")</f>
        <v>#VALUE!</v>
      </c>
      <c r="H406" s="51" t="str">
        <f>IFERROR(__xludf.DUMMYFUNCTION("""COMPUTED_VALUE"""),"")</f>
        <v/>
      </c>
      <c r="I406" s="51" t="str">
        <f>IFERROR(__xludf.DUMMYFUNCTION("""COMPUTED_VALUE"""),"#VALUE!")</f>
        <v>#VALUE!</v>
      </c>
      <c r="J406" s="51" t="str">
        <f>IFERROR(__xludf.DUMMYFUNCTION("""COMPUTED_VALUE"""),"")</f>
        <v/>
      </c>
      <c r="K406" s="51"/>
      <c r="L406" s="51" t="s">
        <v>257</v>
      </c>
      <c r="M406" s="51"/>
      <c r="N406" s="51"/>
      <c r="O406" s="51"/>
      <c r="P406" s="51"/>
      <c r="Q406" s="51"/>
      <c r="R406" s="51"/>
      <c r="S406" s="51"/>
      <c r="T406" s="51"/>
    </row>
    <row r="407">
      <c r="A407" s="51"/>
      <c r="B407" s="51"/>
      <c r="C407" s="56"/>
      <c r="D407" s="51"/>
      <c r="E407" s="51"/>
      <c r="F407" s="51"/>
      <c r="G407" s="51" t="str">
        <f>IFERROR(__xludf.DUMMYFUNCTION("""COMPUTED_VALUE"""),"#VALUE!")</f>
        <v>#VALUE!</v>
      </c>
      <c r="H407" s="51" t="str">
        <f>IFERROR(__xludf.DUMMYFUNCTION("""COMPUTED_VALUE"""),"")</f>
        <v/>
      </c>
      <c r="I407" s="51" t="str">
        <f>IFERROR(__xludf.DUMMYFUNCTION("""COMPUTED_VALUE"""),"#VALUE!")</f>
        <v>#VALUE!</v>
      </c>
      <c r="J407" s="51" t="str">
        <f>IFERROR(__xludf.DUMMYFUNCTION("""COMPUTED_VALUE"""),"")</f>
        <v/>
      </c>
      <c r="K407" s="51"/>
      <c r="L407" s="51" t="s">
        <v>257</v>
      </c>
      <c r="M407" s="51"/>
      <c r="N407" s="51"/>
      <c r="O407" s="51"/>
      <c r="P407" s="51"/>
      <c r="Q407" s="51"/>
      <c r="R407" s="51"/>
      <c r="S407" s="51"/>
      <c r="T407" s="51"/>
    </row>
    <row r="408">
      <c r="A408" s="51"/>
      <c r="B408" s="51"/>
      <c r="C408" s="56"/>
      <c r="D408" s="51"/>
      <c r="E408" s="51"/>
      <c r="F408" s="51"/>
      <c r="G408" s="51" t="str">
        <f>IFERROR(__xludf.DUMMYFUNCTION("""COMPUTED_VALUE"""),"#VALUE!")</f>
        <v>#VALUE!</v>
      </c>
      <c r="H408" s="51" t="str">
        <f>IFERROR(__xludf.DUMMYFUNCTION("""COMPUTED_VALUE"""),"")</f>
        <v/>
      </c>
      <c r="I408" s="51" t="str">
        <f>IFERROR(__xludf.DUMMYFUNCTION("""COMPUTED_VALUE"""),"#VALUE!")</f>
        <v>#VALUE!</v>
      </c>
      <c r="J408" s="51" t="str">
        <f>IFERROR(__xludf.DUMMYFUNCTION("""COMPUTED_VALUE"""),"")</f>
        <v/>
      </c>
      <c r="K408" s="51"/>
      <c r="L408" s="51" t="s">
        <v>257</v>
      </c>
      <c r="M408" s="51"/>
      <c r="N408" s="51"/>
      <c r="O408" s="51"/>
      <c r="P408" s="51"/>
      <c r="Q408" s="51"/>
      <c r="R408" s="51"/>
      <c r="S408" s="51"/>
      <c r="T408" s="51"/>
    </row>
    <row r="409">
      <c r="A409" s="51"/>
      <c r="B409" s="51"/>
      <c r="C409" s="56"/>
      <c r="D409" s="51"/>
      <c r="E409" s="51"/>
      <c r="F409" s="51"/>
      <c r="G409" s="51" t="str">
        <f>IFERROR(__xludf.DUMMYFUNCTION("""COMPUTED_VALUE"""),"#VALUE!")</f>
        <v>#VALUE!</v>
      </c>
      <c r="H409" s="51" t="str">
        <f>IFERROR(__xludf.DUMMYFUNCTION("""COMPUTED_VALUE"""),"")</f>
        <v/>
      </c>
      <c r="I409" s="51" t="str">
        <f>IFERROR(__xludf.DUMMYFUNCTION("""COMPUTED_VALUE"""),"#VALUE!")</f>
        <v>#VALUE!</v>
      </c>
      <c r="J409" s="51" t="str">
        <f>IFERROR(__xludf.DUMMYFUNCTION("""COMPUTED_VALUE"""),"")</f>
        <v/>
      </c>
      <c r="K409" s="51"/>
      <c r="L409" s="51" t="s">
        <v>257</v>
      </c>
      <c r="M409" s="51"/>
      <c r="N409" s="51"/>
      <c r="O409" s="51"/>
      <c r="P409" s="51"/>
      <c r="Q409" s="51"/>
      <c r="R409" s="51"/>
      <c r="S409" s="51"/>
      <c r="T409" s="51"/>
    </row>
    <row r="410">
      <c r="A410" s="51"/>
      <c r="B410" s="51"/>
      <c r="C410" s="56"/>
      <c r="D410" s="51"/>
      <c r="E410" s="51"/>
      <c r="F410" s="51"/>
      <c r="G410" s="51" t="str">
        <f>IFERROR(__xludf.DUMMYFUNCTION("""COMPUTED_VALUE"""),"#VALUE!")</f>
        <v>#VALUE!</v>
      </c>
      <c r="H410" s="51" t="str">
        <f>IFERROR(__xludf.DUMMYFUNCTION("""COMPUTED_VALUE"""),"")</f>
        <v/>
      </c>
      <c r="I410" s="51" t="str">
        <f>IFERROR(__xludf.DUMMYFUNCTION("""COMPUTED_VALUE"""),"#VALUE!")</f>
        <v>#VALUE!</v>
      </c>
      <c r="J410" s="51" t="str">
        <f>IFERROR(__xludf.DUMMYFUNCTION("""COMPUTED_VALUE"""),"")</f>
        <v/>
      </c>
      <c r="K410" s="51"/>
      <c r="L410" s="51" t="s">
        <v>257</v>
      </c>
      <c r="M410" s="51"/>
      <c r="N410" s="51"/>
      <c r="O410" s="51"/>
      <c r="P410" s="51"/>
      <c r="Q410" s="51"/>
      <c r="R410" s="51"/>
      <c r="S410" s="51"/>
      <c r="T410" s="51"/>
    </row>
    <row r="411">
      <c r="A411" s="51"/>
      <c r="B411" s="51"/>
      <c r="C411" s="56"/>
      <c r="D411" s="51"/>
      <c r="E411" s="51"/>
      <c r="F411" s="51"/>
      <c r="G411" s="51" t="str">
        <f>IFERROR(__xludf.DUMMYFUNCTION("""COMPUTED_VALUE"""),"#VALUE!")</f>
        <v>#VALUE!</v>
      </c>
      <c r="H411" s="51" t="str">
        <f>IFERROR(__xludf.DUMMYFUNCTION("""COMPUTED_VALUE"""),"")</f>
        <v/>
      </c>
      <c r="I411" s="51" t="str">
        <f>IFERROR(__xludf.DUMMYFUNCTION("""COMPUTED_VALUE"""),"#VALUE!")</f>
        <v>#VALUE!</v>
      </c>
      <c r="J411" s="51" t="str">
        <f>IFERROR(__xludf.DUMMYFUNCTION("""COMPUTED_VALUE"""),"")</f>
        <v/>
      </c>
      <c r="K411" s="51"/>
      <c r="L411" s="51" t="s">
        <v>257</v>
      </c>
      <c r="M411" s="51"/>
      <c r="N411" s="51"/>
      <c r="O411" s="51"/>
      <c r="P411" s="51"/>
      <c r="Q411" s="51"/>
      <c r="R411" s="51"/>
      <c r="S411" s="51"/>
      <c r="T411" s="51"/>
    </row>
    <row r="412">
      <c r="A412" s="51"/>
      <c r="B412" s="51"/>
      <c r="C412" s="56"/>
      <c r="D412" s="51"/>
      <c r="E412" s="51"/>
      <c r="F412" s="51"/>
      <c r="G412" s="51" t="str">
        <f>IFERROR(__xludf.DUMMYFUNCTION("""COMPUTED_VALUE"""),"#VALUE!")</f>
        <v>#VALUE!</v>
      </c>
      <c r="H412" s="51" t="str">
        <f>IFERROR(__xludf.DUMMYFUNCTION("""COMPUTED_VALUE"""),"")</f>
        <v/>
      </c>
      <c r="I412" s="51" t="str">
        <f>IFERROR(__xludf.DUMMYFUNCTION("""COMPUTED_VALUE"""),"#VALUE!")</f>
        <v>#VALUE!</v>
      </c>
      <c r="J412" s="51" t="str">
        <f>IFERROR(__xludf.DUMMYFUNCTION("""COMPUTED_VALUE"""),"")</f>
        <v/>
      </c>
      <c r="K412" s="51"/>
      <c r="L412" s="51" t="s">
        <v>257</v>
      </c>
      <c r="M412" s="51"/>
      <c r="N412" s="51"/>
      <c r="O412" s="51"/>
      <c r="P412" s="51"/>
      <c r="Q412" s="51"/>
      <c r="R412" s="51"/>
      <c r="S412" s="51"/>
      <c r="T412" s="51"/>
    </row>
    <row r="413">
      <c r="A413" s="51"/>
      <c r="B413" s="51"/>
      <c r="C413" s="56"/>
      <c r="D413" s="51"/>
      <c r="E413" s="51"/>
      <c r="F413" s="51"/>
      <c r="G413" s="51" t="str">
        <f>IFERROR(__xludf.DUMMYFUNCTION("""COMPUTED_VALUE"""),"#VALUE!")</f>
        <v>#VALUE!</v>
      </c>
      <c r="H413" s="51" t="str">
        <f>IFERROR(__xludf.DUMMYFUNCTION("""COMPUTED_VALUE"""),"")</f>
        <v/>
      </c>
      <c r="I413" s="51" t="str">
        <f>IFERROR(__xludf.DUMMYFUNCTION("""COMPUTED_VALUE"""),"#VALUE!")</f>
        <v>#VALUE!</v>
      </c>
      <c r="J413" s="51" t="str">
        <f>IFERROR(__xludf.DUMMYFUNCTION("""COMPUTED_VALUE"""),"")</f>
        <v/>
      </c>
      <c r="K413" s="51"/>
      <c r="L413" s="51" t="s">
        <v>257</v>
      </c>
      <c r="M413" s="51"/>
      <c r="N413" s="51"/>
      <c r="O413" s="51"/>
      <c r="P413" s="51"/>
      <c r="Q413" s="51"/>
      <c r="R413" s="51"/>
      <c r="S413" s="51"/>
      <c r="T413" s="51"/>
    </row>
    <row r="414">
      <c r="A414" s="51"/>
      <c r="B414" s="51"/>
      <c r="C414" s="56"/>
      <c r="D414" s="51"/>
      <c r="E414" s="51"/>
      <c r="F414" s="51"/>
      <c r="G414" s="51" t="str">
        <f>IFERROR(__xludf.DUMMYFUNCTION("""COMPUTED_VALUE"""),"#VALUE!")</f>
        <v>#VALUE!</v>
      </c>
      <c r="H414" s="51" t="str">
        <f>IFERROR(__xludf.DUMMYFUNCTION("""COMPUTED_VALUE"""),"")</f>
        <v/>
      </c>
      <c r="I414" s="51" t="str">
        <f>IFERROR(__xludf.DUMMYFUNCTION("""COMPUTED_VALUE"""),"#VALUE!")</f>
        <v>#VALUE!</v>
      </c>
      <c r="J414" s="51" t="str">
        <f>IFERROR(__xludf.DUMMYFUNCTION("""COMPUTED_VALUE"""),"")</f>
        <v/>
      </c>
      <c r="K414" s="51"/>
      <c r="L414" s="51" t="s">
        <v>257</v>
      </c>
      <c r="M414" s="51"/>
      <c r="N414" s="51"/>
      <c r="O414" s="51"/>
      <c r="P414" s="51"/>
      <c r="Q414" s="51"/>
      <c r="R414" s="51"/>
      <c r="S414" s="51"/>
      <c r="T414" s="51"/>
    </row>
    <row r="415">
      <c r="A415" s="51"/>
      <c r="B415" s="51"/>
      <c r="C415" s="56"/>
      <c r="D415" s="51"/>
      <c r="E415" s="51"/>
      <c r="F415" s="51"/>
      <c r="G415" s="51" t="str">
        <f>IFERROR(__xludf.DUMMYFUNCTION("""COMPUTED_VALUE"""),"#VALUE!")</f>
        <v>#VALUE!</v>
      </c>
      <c r="H415" s="51" t="str">
        <f>IFERROR(__xludf.DUMMYFUNCTION("""COMPUTED_VALUE"""),"")</f>
        <v/>
      </c>
      <c r="I415" s="51" t="str">
        <f>IFERROR(__xludf.DUMMYFUNCTION("""COMPUTED_VALUE"""),"#VALUE!")</f>
        <v>#VALUE!</v>
      </c>
      <c r="J415" s="51" t="str">
        <f>IFERROR(__xludf.DUMMYFUNCTION("""COMPUTED_VALUE"""),"")</f>
        <v/>
      </c>
      <c r="K415" s="51"/>
      <c r="L415" s="51" t="s">
        <v>257</v>
      </c>
      <c r="M415" s="51"/>
      <c r="N415" s="51"/>
      <c r="O415" s="51"/>
      <c r="P415" s="51"/>
      <c r="Q415" s="51"/>
      <c r="R415" s="51"/>
      <c r="S415" s="51"/>
      <c r="T415" s="51"/>
    </row>
    <row r="416">
      <c r="A416" s="51"/>
      <c r="B416" s="51"/>
      <c r="C416" s="56"/>
      <c r="D416" s="51"/>
      <c r="E416" s="51"/>
      <c r="F416" s="51"/>
      <c r="G416" s="51" t="str">
        <f>IFERROR(__xludf.DUMMYFUNCTION("""COMPUTED_VALUE"""),"#VALUE!")</f>
        <v>#VALUE!</v>
      </c>
      <c r="H416" s="51" t="str">
        <f>IFERROR(__xludf.DUMMYFUNCTION("""COMPUTED_VALUE"""),"")</f>
        <v/>
      </c>
      <c r="I416" s="51" t="str">
        <f>IFERROR(__xludf.DUMMYFUNCTION("""COMPUTED_VALUE"""),"#VALUE!")</f>
        <v>#VALUE!</v>
      </c>
      <c r="J416" s="51" t="str">
        <f>IFERROR(__xludf.DUMMYFUNCTION("""COMPUTED_VALUE"""),"")</f>
        <v/>
      </c>
      <c r="K416" s="51"/>
      <c r="L416" s="51" t="s">
        <v>257</v>
      </c>
      <c r="M416" s="51"/>
      <c r="N416" s="51"/>
      <c r="O416" s="51"/>
      <c r="P416" s="51"/>
      <c r="Q416" s="51"/>
      <c r="R416" s="51"/>
      <c r="S416" s="51"/>
      <c r="T416" s="51"/>
    </row>
    <row r="417">
      <c r="A417" s="51"/>
      <c r="B417" s="51"/>
      <c r="C417" s="56"/>
      <c r="D417" s="51"/>
      <c r="E417" s="51"/>
      <c r="F417" s="51"/>
      <c r="G417" s="51" t="str">
        <f>IFERROR(__xludf.DUMMYFUNCTION("""COMPUTED_VALUE"""),"#VALUE!")</f>
        <v>#VALUE!</v>
      </c>
      <c r="H417" s="51" t="str">
        <f>IFERROR(__xludf.DUMMYFUNCTION("""COMPUTED_VALUE"""),"")</f>
        <v/>
      </c>
      <c r="I417" s="51" t="str">
        <f>IFERROR(__xludf.DUMMYFUNCTION("""COMPUTED_VALUE"""),"#VALUE!")</f>
        <v>#VALUE!</v>
      </c>
      <c r="J417" s="51" t="str">
        <f>IFERROR(__xludf.DUMMYFUNCTION("""COMPUTED_VALUE"""),"")</f>
        <v/>
      </c>
      <c r="K417" s="51"/>
      <c r="L417" s="51" t="s">
        <v>257</v>
      </c>
      <c r="M417" s="51"/>
      <c r="N417" s="51"/>
      <c r="O417" s="51"/>
      <c r="P417" s="51"/>
      <c r="Q417" s="51"/>
      <c r="R417" s="51"/>
      <c r="S417" s="51"/>
      <c r="T417" s="51"/>
    </row>
    <row r="418">
      <c r="A418" s="51"/>
      <c r="B418" s="51"/>
      <c r="C418" s="56"/>
      <c r="D418" s="51"/>
      <c r="E418" s="51"/>
      <c r="F418" s="51"/>
      <c r="G418" s="51" t="str">
        <f>IFERROR(__xludf.DUMMYFUNCTION("""COMPUTED_VALUE"""),"#VALUE!")</f>
        <v>#VALUE!</v>
      </c>
      <c r="H418" s="51" t="str">
        <f>IFERROR(__xludf.DUMMYFUNCTION("""COMPUTED_VALUE"""),"")</f>
        <v/>
      </c>
      <c r="I418" s="51" t="str">
        <f>IFERROR(__xludf.DUMMYFUNCTION("""COMPUTED_VALUE"""),"#VALUE!")</f>
        <v>#VALUE!</v>
      </c>
      <c r="J418" s="51" t="str">
        <f>IFERROR(__xludf.DUMMYFUNCTION("""COMPUTED_VALUE"""),"")</f>
        <v/>
      </c>
      <c r="K418" s="51"/>
      <c r="L418" s="51" t="s">
        <v>257</v>
      </c>
      <c r="M418" s="51"/>
      <c r="N418" s="51"/>
      <c r="O418" s="51"/>
      <c r="P418" s="51"/>
      <c r="Q418" s="51"/>
      <c r="R418" s="51"/>
      <c r="S418" s="51"/>
      <c r="T418" s="51"/>
    </row>
    <row r="419">
      <c r="A419" s="51"/>
      <c r="B419" s="51"/>
      <c r="C419" s="56"/>
      <c r="D419" s="51"/>
      <c r="E419" s="51"/>
      <c r="F419" s="51"/>
      <c r="G419" s="51" t="str">
        <f>IFERROR(__xludf.DUMMYFUNCTION("""COMPUTED_VALUE"""),"#VALUE!")</f>
        <v>#VALUE!</v>
      </c>
      <c r="H419" s="51" t="str">
        <f>IFERROR(__xludf.DUMMYFUNCTION("""COMPUTED_VALUE"""),"")</f>
        <v/>
      </c>
      <c r="I419" s="51" t="str">
        <f>IFERROR(__xludf.DUMMYFUNCTION("""COMPUTED_VALUE"""),"#VALUE!")</f>
        <v>#VALUE!</v>
      </c>
      <c r="J419" s="51" t="str">
        <f>IFERROR(__xludf.DUMMYFUNCTION("""COMPUTED_VALUE"""),"")</f>
        <v/>
      </c>
      <c r="K419" s="51"/>
      <c r="L419" s="51" t="s">
        <v>257</v>
      </c>
      <c r="M419" s="51"/>
      <c r="N419" s="51"/>
      <c r="O419" s="51"/>
      <c r="P419" s="51"/>
      <c r="Q419" s="51"/>
      <c r="R419" s="51"/>
      <c r="S419" s="51"/>
      <c r="T419" s="51"/>
    </row>
    <row r="420">
      <c r="A420" s="51"/>
      <c r="B420" s="51"/>
      <c r="C420" s="56"/>
      <c r="D420" s="51"/>
      <c r="E420" s="51"/>
      <c r="F420" s="51"/>
      <c r="G420" s="51" t="str">
        <f>IFERROR(__xludf.DUMMYFUNCTION("""COMPUTED_VALUE"""),"#VALUE!")</f>
        <v>#VALUE!</v>
      </c>
      <c r="H420" s="51" t="str">
        <f>IFERROR(__xludf.DUMMYFUNCTION("""COMPUTED_VALUE"""),"")</f>
        <v/>
      </c>
      <c r="I420" s="51" t="str">
        <f>IFERROR(__xludf.DUMMYFUNCTION("""COMPUTED_VALUE"""),"#VALUE!")</f>
        <v>#VALUE!</v>
      </c>
      <c r="J420" s="51" t="str">
        <f>IFERROR(__xludf.DUMMYFUNCTION("""COMPUTED_VALUE"""),"")</f>
        <v/>
      </c>
      <c r="K420" s="51"/>
      <c r="L420" s="51" t="s">
        <v>257</v>
      </c>
      <c r="M420" s="51"/>
      <c r="N420" s="51"/>
      <c r="O420" s="51"/>
      <c r="P420" s="51"/>
      <c r="Q420" s="51"/>
      <c r="R420" s="51"/>
      <c r="S420" s="51"/>
      <c r="T420" s="51"/>
    </row>
    <row r="421">
      <c r="A421" s="51"/>
      <c r="B421" s="51"/>
      <c r="C421" s="56"/>
      <c r="D421" s="51"/>
      <c r="E421" s="51"/>
      <c r="F421" s="51"/>
      <c r="G421" s="51" t="str">
        <f>IFERROR(__xludf.DUMMYFUNCTION("""COMPUTED_VALUE"""),"#VALUE!")</f>
        <v>#VALUE!</v>
      </c>
      <c r="H421" s="51" t="str">
        <f>IFERROR(__xludf.DUMMYFUNCTION("""COMPUTED_VALUE"""),"")</f>
        <v/>
      </c>
      <c r="I421" s="51" t="str">
        <f>IFERROR(__xludf.DUMMYFUNCTION("""COMPUTED_VALUE"""),"#VALUE!")</f>
        <v>#VALUE!</v>
      </c>
      <c r="J421" s="51" t="str">
        <f>IFERROR(__xludf.DUMMYFUNCTION("""COMPUTED_VALUE"""),"")</f>
        <v/>
      </c>
      <c r="K421" s="51"/>
      <c r="L421" s="51" t="s">
        <v>257</v>
      </c>
      <c r="M421" s="51"/>
      <c r="N421" s="51"/>
      <c r="O421" s="51"/>
      <c r="P421" s="51"/>
      <c r="Q421" s="51"/>
      <c r="R421" s="51"/>
      <c r="S421" s="51"/>
      <c r="T421" s="51"/>
    </row>
    <row r="422">
      <c r="A422" s="51"/>
      <c r="B422" s="51"/>
      <c r="C422" s="56"/>
      <c r="D422" s="51"/>
      <c r="E422" s="51"/>
      <c r="F422" s="51"/>
      <c r="G422" s="51" t="str">
        <f>IFERROR(__xludf.DUMMYFUNCTION("""COMPUTED_VALUE"""),"#VALUE!")</f>
        <v>#VALUE!</v>
      </c>
      <c r="H422" s="51" t="str">
        <f>IFERROR(__xludf.DUMMYFUNCTION("""COMPUTED_VALUE"""),"")</f>
        <v/>
      </c>
      <c r="I422" s="51" t="str">
        <f>IFERROR(__xludf.DUMMYFUNCTION("""COMPUTED_VALUE"""),"#VALUE!")</f>
        <v>#VALUE!</v>
      </c>
      <c r="J422" s="51" t="str">
        <f>IFERROR(__xludf.DUMMYFUNCTION("""COMPUTED_VALUE"""),"")</f>
        <v/>
      </c>
      <c r="K422" s="51"/>
      <c r="L422" s="51" t="s">
        <v>257</v>
      </c>
      <c r="M422" s="51"/>
      <c r="N422" s="51"/>
      <c r="O422" s="51"/>
      <c r="P422" s="51"/>
      <c r="Q422" s="51"/>
      <c r="R422" s="51"/>
      <c r="S422" s="51"/>
      <c r="T422" s="51"/>
    </row>
    <row r="423">
      <c r="A423" s="51"/>
      <c r="B423" s="51"/>
      <c r="C423" s="56"/>
      <c r="D423" s="51"/>
      <c r="E423" s="51"/>
      <c r="F423" s="51"/>
      <c r="G423" s="51" t="str">
        <f>IFERROR(__xludf.DUMMYFUNCTION("""COMPUTED_VALUE"""),"#VALUE!")</f>
        <v>#VALUE!</v>
      </c>
      <c r="H423" s="51" t="str">
        <f>IFERROR(__xludf.DUMMYFUNCTION("""COMPUTED_VALUE"""),"")</f>
        <v/>
      </c>
      <c r="I423" s="51" t="str">
        <f>IFERROR(__xludf.DUMMYFUNCTION("""COMPUTED_VALUE"""),"#VALUE!")</f>
        <v>#VALUE!</v>
      </c>
      <c r="J423" s="51" t="str">
        <f>IFERROR(__xludf.DUMMYFUNCTION("""COMPUTED_VALUE"""),"")</f>
        <v/>
      </c>
      <c r="K423" s="51"/>
      <c r="L423" s="51" t="s">
        <v>257</v>
      </c>
      <c r="M423" s="51"/>
      <c r="N423" s="51"/>
      <c r="O423" s="51"/>
      <c r="P423" s="51"/>
      <c r="Q423" s="51"/>
      <c r="R423" s="51"/>
      <c r="S423" s="51"/>
      <c r="T423" s="51"/>
    </row>
    <row r="424">
      <c r="A424" s="51"/>
      <c r="B424" s="51"/>
      <c r="C424" s="56"/>
      <c r="D424" s="51"/>
      <c r="E424" s="51"/>
      <c r="F424" s="51"/>
      <c r="G424" s="51" t="str">
        <f>IFERROR(__xludf.DUMMYFUNCTION("""COMPUTED_VALUE"""),"#VALUE!")</f>
        <v>#VALUE!</v>
      </c>
      <c r="H424" s="51" t="str">
        <f>IFERROR(__xludf.DUMMYFUNCTION("""COMPUTED_VALUE"""),"")</f>
        <v/>
      </c>
      <c r="I424" s="51" t="str">
        <f>IFERROR(__xludf.DUMMYFUNCTION("""COMPUTED_VALUE"""),"#VALUE!")</f>
        <v>#VALUE!</v>
      </c>
      <c r="J424" s="51" t="str">
        <f>IFERROR(__xludf.DUMMYFUNCTION("""COMPUTED_VALUE"""),"")</f>
        <v/>
      </c>
      <c r="K424" s="51"/>
      <c r="L424" s="51" t="s">
        <v>257</v>
      </c>
      <c r="M424" s="51"/>
      <c r="N424" s="51"/>
      <c r="O424" s="51"/>
      <c r="P424" s="51"/>
      <c r="Q424" s="51"/>
      <c r="R424" s="51"/>
      <c r="S424" s="51"/>
      <c r="T424" s="51"/>
    </row>
    <row r="425">
      <c r="A425" s="51"/>
      <c r="B425" s="51"/>
      <c r="C425" s="56"/>
      <c r="D425" s="51"/>
      <c r="E425" s="51"/>
      <c r="F425" s="51"/>
      <c r="G425" s="51" t="str">
        <f>IFERROR(__xludf.DUMMYFUNCTION("""COMPUTED_VALUE"""),"#VALUE!")</f>
        <v>#VALUE!</v>
      </c>
      <c r="H425" s="51" t="str">
        <f>IFERROR(__xludf.DUMMYFUNCTION("""COMPUTED_VALUE"""),"")</f>
        <v/>
      </c>
      <c r="I425" s="51" t="str">
        <f>IFERROR(__xludf.DUMMYFUNCTION("""COMPUTED_VALUE"""),"#VALUE!")</f>
        <v>#VALUE!</v>
      </c>
      <c r="J425" s="51" t="str">
        <f>IFERROR(__xludf.DUMMYFUNCTION("""COMPUTED_VALUE"""),"")</f>
        <v/>
      </c>
      <c r="K425" s="51"/>
      <c r="L425" s="51" t="s">
        <v>257</v>
      </c>
      <c r="M425" s="51"/>
      <c r="N425" s="51"/>
      <c r="O425" s="51"/>
      <c r="P425" s="51"/>
      <c r="Q425" s="51"/>
      <c r="R425" s="51"/>
      <c r="S425" s="51"/>
      <c r="T425" s="51"/>
    </row>
    <row r="426">
      <c r="A426" s="51"/>
      <c r="B426" s="51"/>
      <c r="C426" s="56"/>
      <c r="D426" s="51"/>
      <c r="E426" s="51"/>
      <c r="F426" s="51"/>
      <c r="G426" s="51" t="str">
        <f>IFERROR(__xludf.DUMMYFUNCTION("""COMPUTED_VALUE"""),"#VALUE!")</f>
        <v>#VALUE!</v>
      </c>
      <c r="H426" s="51" t="str">
        <f>IFERROR(__xludf.DUMMYFUNCTION("""COMPUTED_VALUE"""),"")</f>
        <v/>
      </c>
      <c r="I426" s="51" t="str">
        <f>IFERROR(__xludf.DUMMYFUNCTION("""COMPUTED_VALUE"""),"#VALUE!")</f>
        <v>#VALUE!</v>
      </c>
      <c r="J426" s="51" t="str">
        <f>IFERROR(__xludf.DUMMYFUNCTION("""COMPUTED_VALUE"""),"")</f>
        <v/>
      </c>
      <c r="K426" s="51"/>
      <c r="L426" s="51" t="s">
        <v>257</v>
      </c>
      <c r="M426" s="51"/>
      <c r="N426" s="51"/>
      <c r="O426" s="51"/>
      <c r="P426" s="51"/>
      <c r="Q426" s="51"/>
      <c r="R426" s="51"/>
      <c r="S426" s="51"/>
      <c r="T426" s="51"/>
    </row>
    <row r="427">
      <c r="A427" s="51"/>
      <c r="B427" s="51"/>
      <c r="C427" s="56"/>
      <c r="D427" s="51"/>
      <c r="E427" s="51"/>
      <c r="F427" s="51"/>
      <c r="G427" s="51" t="str">
        <f>IFERROR(__xludf.DUMMYFUNCTION("""COMPUTED_VALUE"""),"#VALUE!")</f>
        <v>#VALUE!</v>
      </c>
      <c r="H427" s="51" t="str">
        <f>IFERROR(__xludf.DUMMYFUNCTION("""COMPUTED_VALUE"""),"")</f>
        <v/>
      </c>
      <c r="I427" s="51" t="str">
        <f>IFERROR(__xludf.DUMMYFUNCTION("""COMPUTED_VALUE"""),"#VALUE!")</f>
        <v>#VALUE!</v>
      </c>
      <c r="J427" s="51" t="str">
        <f>IFERROR(__xludf.DUMMYFUNCTION("""COMPUTED_VALUE"""),"")</f>
        <v/>
      </c>
      <c r="K427" s="51"/>
      <c r="L427" s="51" t="s">
        <v>257</v>
      </c>
      <c r="M427" s="51"/>
      <c r="N427" s="51"/>
      <c r="O427" s="51"/>
      <c r="P427" s="51"/>
      <c r="Q427" s="51"/>
      <c r="R427" s="51"/>
      <c r="S427" s="51"/>
      <c r="T427" s="51"/>
    </row>
    <row r="428">
      <c r="A428" s="51"/>
      <c r="B428" s="51"/>
      <c r="C428" s="56"/>
      <c r="D428" s="51"/>
      <c r="E428" s="51"/>
      <c r="F428" s="51"/>
      <c r="G428" s="51" t="str">
        <f>IFERROR(__xludf.DUMMYFUNCTION("""COMPUTED_VALUE"""),"#VALUE!")</f>
        <v>#VALUE!</v>
      </c>
      <c r="H428" s="51" t="str">
        <f>IFERROR(__xludf.DUMMYFUNCTION("""COMPUTED_VALUE"""),"")</f>
        <v/>
      </c>
      <c r="I428" s="51" t="str">
        <f>IFERROR(__xludf.DUMMYFUNCTION("""COMPUTED_VALUE"""),"#VALUE!")</f>
        <v>#VALUE!</v>
      </c>
      <c r="J428" s="51" t="str">
        <f>IFERROR(__xludf.DUMMYFUNCTION("""COMPUTED_VALUE"""),"")</f>
        <v/>
      </c>
      <c r="K428" s="51"/>
      <c r="L428" s="51" t="s">
        <v>257</v>
      </c>
      <c r="M428" s="51"/>
      <c r="N428" s="51"/>
      <c r="O428" s="51"/>
      <c r="P428" s="51"/>
      <c r="Q428" s="51"/>
      <c r="R428" s="51"/>
      <c r="S428" s="51"/>
      <c r="T428" s="51"/>
    </row>
    <row r="429">
      <c r="A429" s="51"/>
      <c r="B429" s="51"/>
      <c r="C429" s="56"/>
      <c r="D429" s="51"/>
      <c r="E429" s="51"/>
      <c r="F429" s="51"/>
      <c r="G429" s="51" t="str">
        <f>IFERROR(__xludf.DUMMYFUNCTION("""COMPUTED_VALUE"""),"#VALUE!")</f>
        <v>#VALUE!</v>
      </c>
      <c r="H429" s="51" t="str">
        <f>IFERROR(__xludf.DUMMYFUNCTION("""COMPUTED_VALUE"""),"")</f>
        <v/>
      </c>
      <c r="I429" s="51" t="str">
        <f>IFERROR(__xludf.DUMMYFUNCTION("""COMPUTED_VALUE"""),"#VALUE!")</f>
        <v>#VALUE!</v>
      </c>
      <c r="J429" s="51" t="str">
        <f>IFERROR(__xludf.DUMMYFUNCTION("""COMPUTED_VALUE"""),"")</f>
        <v/>
      </c>
      <c r="K429" s="51"/>
      <c r="L429" s="51" t="s">
        <v>257</v>
      </c>
      <c r="M429" s="51"/>
      <c r="N429" s="51"/>
      <c r="O429" s="51"/>
      <c r="P429" s="51"/>
      <c r="Q429" s="51"/>
      <c r="R429" s="51"/>
      <c r="S429" s="51"/>
      <c r="T429" s="51"/>
    </row>
    <row r="430">
      <c r="A430" s="51"/>
      <c r="B430" s="51"/>
      <c r="C430" s="56"/>
      <c r="D430" s="51"/>
      <c r="E430" s="51"/>
      <c r="F430" s="51"/>
      <c r="G430" s="51" t="str">
        <f>IFERROR(__xludf.DUMMYFUNCTION("""COMPUTED_VALUE"""),"#VALUE!")</f>
        <v>#VALUE!</v>
      </c>
      <c r="H430" s="51" t="str">
        <f>IFERROR(__xludf.DUMMYFUNCTION("""COMPUTED_VALUE"""),"")</f>
        <v/>
      </c>
      <c r="I430" s="51" t="str">
        <f>IFERROR(__xludf.DUMMYFUNCTION("""COMPUTED_VALUE"""),"#VALUE!")</f>
        <v>#VALUE!</v>
      </c>
      <c r="J430" s="51" t="str">
        <f>IFERROR(__xludf.DUMMYFUNCTION("""COMPUTED_VALUE"""),"")</f>
        <v/>
      </c>
      <c r="K430" s="51"/>
      <c r="L430" s="51" t="s">
        <v>257</v>
      </c>
      <c r="M430" s="51"/>
      <c r="N430" s="51"/>
      <c r="O430" s="51"/>
      <c r="P430" s="51"/>
      <c r="Q430" s="51"/>
      <c r="R430" s="51"/>
      <c r="S430" s="51"/>
      <c r="T430" s="51"/>
    </row>
    <row r="431">
      <c r="A431" s="51"/>
      <c r="B431" s="51"/>
      <c r="C431" s="56"/>
      <c r="D431" s="51"/>
      <c r="E431" s="51"/>
      <c r="F431" s="51"/>
      <c r="G431" s="51" t="str">
        <f>IFERROR(__xludf.DUMMYFUNCTION("""COMPUTED_VALUE"""),"#VALUE!")</f>
        <v>#VALUE!</v>
      </c>
      <c r="H431" s="51" t="str">
        <f>IFERROR(__xludf.DUMMYFUNCTION("""COMPUTED_VALUE"""),"")</f>
        <v/>
      </c>
      <c r="I431" s="51" t="str">
        <f>IFERROR(__xludf.DUMMYFUNCTION("""COMPUTED_VALUE"""),"#VALUE!")</f>
        <v>#VALUE!</v>
      </c>
      <c r="J431" s="51" t="str">
        <f>IFERROR(__xludf.DUMMYFUNCTION("""COMPUTED_VALUE"""),"")</f>
        <v/>
      </c>
      <c r="K431" s="51"/>
      <c r="L431" s="51" t="s">
        <v>257</v>
      </c>
      <c r="M431" s="51"/>
      <c r="N431" s="51"/>
      <c r="O431" s="51"/>
      <c r="P431" s="51"/>
      <c r="Q431" s="51"/>
      <c r="R431" s="51"/>
      <c r="S431" s="51"/>
      <c r="T431" s="51"/>
    </row>
    <row r="432">
      <c r="A432" s="51"/>
      <c r="B432" s="51"/>
      <c r="C432" s="56"/>
      <c r="D432" s="51"/>
      <c r="E432" s="51"/>
      <c r="F432" s="51"/>
      <c r="G432" s="51" t="str">
        <f>IFERROR(__xludf.DUMMYFUNCTION("""COMPUTED_VALUE"""),"#VALUE!")</f>
        <v>#VALUE!</v>
      </c>
      <c r="H432" s="51" t="str">
        <f>IFERROR(__xludf.DUMMYFUNCTION("""COMPUTED_VALUE"""),"")</f>
        <v/>
      </c>
      <c r="I432" s="51" t="str">
        <f>IFERROR(__xludf.DUMMYFUNCTION("""COMPUTED_VALUE"""),"#VALUE!")</f>
        <v>#VALUE!</v>
      </c>
      <c r="J432" s="51" t="str">
        <f>IFERROR(__xludf.DUMMYFUNCTION("""COMPUTED_VALUE"""),"")</f>
        <v/>
      </c>
      <c r="K432" s="51"/>
      <c r="L432" s="51" t="s">
        <v>257</v>
      </c>
      <c r="M432" s="51"/>
      <c r="N432" s="51"/>
      <c r="O432" s="51"/>
      <c r="P432" s="51"/>
      <c r="Q432" s="51"/>
      <c r="R432" s="51"/>
      <c r="S432" s="51"/>
      <c r="T432" s="51"/>
    </row>
    <row r="433">
      <c r="A433" s="51"/>
      <c r="B433" s="51"/>
      <c r="C433" s="56"/>
      <c r="D433" s="51"/>
      <c r="E433" s="51"/>
      <c r="F433" s="51"/>
      <c r="G433" s="51" t="str">
        <f>IFERROR(__xludf.DUMMYFUNCTION("""COMPUTED_VALUE"""),"#VALUE!")</f>
        <v>#VALUE!</v>
      </c>
      <c r="H433" s="51" t="str">
        <f>IFERROR(__xludf.DUMMYFUNCTION("""COMPUTED_VALUE"""),"")</f>
        <v/>
      </c>
      <c r="I433" s="51" t="str">
        <f>IFERROR(__xludf.DUMMYFUNCTION("""COMPUTED_VALUE"""),"#VALUE!")</f>
        <v>#VALUE!</v>
      </c>
      <c r="J433" s="51" t="str">
        <f>IFERROR(__xludf.DUMMYFUNCTION("""COMPUTED_VALUE"""),"")</f>
        <v/>
      </c>
      <c r="K433" s="51"/>
      <c r="L433" s="51" t="s">
        <v>257</v>
      </c>
      <c r="M433" s="51"/>
      <c r="N433" s="51"/>
      <c r="O433" s="51"/>
      <c r="P433" s="51"/>
      <c r="Q433" s="51"/>
      <c r="R433" s="51"/>
      <c r="S433" s="51"/>
      <c r="T433" s="51"/>
    </row>
    <row r="434">
      <c r="A434" s="51"/>
      <c r="B434" s="51"/>
      <c r="C434" s="56"/>
      <c r="D434" s="51"/>
      <c r="E434" s="51"/>
      <c r="F434" s="51"/>
      <c r="G434" s="51" t="str">
        <f>IFERROR(__xludf.DUMMYFUNCTION("""COMPUTED_VALUE"""),"#VALUE!")</f>
        <v>#VALUE!</v>
      </c>
      <c r="H434" s="51" t="str">
        <f>IFERROR(__xludf.DUMMYFUNCTION("""COMPUTED_VALUE"""),"")</f>
        <v/>
      </c>
      <c r="I434" s="51" t="str">
        <f>IFERROR(__xludf.DUMMYFUNCTION("""COMPUTED_VALUE"""),"#VALUE!")</f>
        <v>#VALUE!</v>
      </c>
      <c r="J434" s="51" t="str">
        <f>IFERROR(__xludf.DUMMYFUNCTION("""COMPUTED_VALUE"""),"")</f>
        <v/>
      </c>
      <c r="K434" s="51"/>
      <c r="L434" s="51" t="s">
        <v>257</v>
      </c>
      <c r="M434" s="51"/>
      <c r="N434" s="51"/>
      <c r="O434" s="51"/>
      <c r="P434" s="51"/>
      <c r="Q434" s="51"/>
      <c r="R434" s="51"/>
      <c r="S434" s="51"/>
      <c r="T434" s="51"/>
    </row>
    <row r="435">
      <c r="A435" s="51"/>
      <c r="B435" s="51"/>
      <c r="C435" s="56"/>
      <c r="D435" s="51"/>
      <c r="E435" s="51"/>
      <c r="F435" s="51"/>
      <c r="G435" s="51" t="str">
        <f>IFERROR(__xludf.DUMMYFUNCTION("""COMPUTED_VALUE"""),"#VALUE!")</f>
        <v>#VALUE!</v>
      </c>
      <c r="H435" s="51" t="str">
        <f>IFERROR(__xludf.DUMMYFUNCTION("""COMPUTED_VALUE"""),"")</f>
        <v/>
      </c>
      <c r="I435" s="51" t="str">
        <f>IFERROR(__xludf.DUMMYFUNCTION("""COMPUTED_VALUE"""),"#VALUE!")</f>
        <v>#VALUE!</v>
      </c>
      <c r="J435" s="51" t="str">
        <f>IFERROR(__xludf.DUMMYFUNCTION("""COMPUTED_VALUE"""),"")</f>
        <v/>
      </c>
      <c r="K435" s="51"/>
      <c r="L435" s="51" t="s">
        <v>257</v>
      </c>
      <c r="M435" s="51"/>
      <c r="N435" s="51"/>
      <c r="O435" s="51"/>
      <c r="P435" s="51"/>
      <c r="Q435" s="51"/>
      <c r="R435" s="51"/>
      <c r="S435" s="51"/>
      <c r="T435" s="51"/>
    </row>
    <row r="436">
      <c r="A436" s="51"/>
      <c r="B436" s="51"/>
      <c r="C436" s="56"/>
      <c r="D436" s="51"/>
      <c r="E436" s="51"/>
      <c r="F436" s="51"/>
      <c r="G436" s="51" t="str">
        <f>IFERROR(__xludf.DUMMYFUNCTION("""COMPUTED_VALUE"""),"#VALUE!")</f>
        <v>#VALUE!</v>
      </c>
      <c r="H436" s="51" t="str">
        <f>IFERROR(__xludf.DUMMYFUNCTION("""COMPUTED_VALUE"""),"")</f>
        <v/>
      </c>
      <c r="I436" s="51" t="str">
        <f>IFERROR(__xludf.DUMMYFUNCTION("""COMPUTED_VALUE"""),"#VALUE!")</f>
        <v>#VALUE!</v>
      </c>
      <c r="J436" s="51" t="str">
        <f>IFERROR(__xludf.DUMMYFUNCTION("""COMPUTED_VALUE"""),"")</f>
        <v/>
      </c>
      <c r="K436" s="51"/>
      <c r="L436" s="51" t="s">
        <v>257</v>
      </c>
      <c r="M436" s="51"/>
      <c r="N436" s="51"/>
      <c r="O436" s="51"/>
      <c r="P436" s="51"/>
      <c r="Q436" s="51"/>
      <c r="R436" s="51"/>
      <c r="S436" s="51"/>
      <c r="T436" s="51"/>
    </row>
    <row r="437">
      <c r="A437" s="51"/>
      <c r="B437" s="51"/>
      <c r="C437" s="56"/>
      <c r="D437" s="51"/>
      <c r="E437" s="51"/>
      <c r="F437" s="51"/>
      <c r="G437" s="51" t="str">
        <f>IFERROR(__xludf.DUMMYFUNCTION("""COMPUTED_VALUE"""),"#VALUE!")</f>
        <v>#VALUE!</v>
      </c>
      <c r="H437" s="51" t="str">
        <f>IFERROR(__xludf.DUMMYFUNCTION("""COMPUTED_VALUE"""),"")</f>
        <v/>
      </c>
      <c r="I437" s="51" t="str">
        <f>IFERROR(__xludf.DUMMYFUNCTION("""COMPUTED_VALUE"""),"#VALUE!")</f>
        <v>#VALUE!</v>
      </c>
      <c r="J437" s="51" t="str">
        <f>IFERROR(__xludf.DUMMYFUNCTION("""COMPUTED_VALUE"""),"")</f>
        <v/>
      </c>
      <c r="K437" s="51"/>
      <c r="L437" s="51" t="s">
        <v>257</v>
      </c>
      <c r="M437" s="51"/>
      <c r="N437" s="51"/>
      <c r="O437" s="51"/>
      <c r="P437" s="51"/>
      <c r="Q437" s="51"/>
      <c r="R437" s="51"/>
      <c r="S437" s="51"/>
      <c r="T437" s="51"/>
    </row>
    <row r="438">
      <c r="A438" s="51"/>
      <c r="B438" s="51"/>
      <c r="C438" s="56"/>
      <c r="D438" s="51"/>
      <c r="E438" s="51"/>
      <c r="F438" s="51"/>
      <c r="G438" s="51" t="str">
        <f>IFERROR(__xludf.DUMMYFUNCTION("""COMPUTED_VALUE"""),"#VALUE!")</f>
        <v>#VALUE!</v>
      </c>
      <c r="H438" s="51" t="str">
        <f>IFERROR(__xludf.DUMMYFUNCTION("""COMPUTED_VALUE"""),"")</f>
        <v/>
      </c>
      <c r="I438" s="51" t="str">
        <f>IFERROR(__xludf.DUMMYFUNCTION("""COMPUTED_VALUE"""),"#VALUE!")</f>
        <v>#VALUE!</v>
      </c>
      <c r="J438" s="51" t="str">
        <f>IFERROR(__xludf.DUMMYFUNCTION("""COMPUTED_VALUE"""),"")</f>
        <v/>
      </c>
      <c r="K438" s="51"/>
      <c r="L438" s="51" t="s">
        <v>257</v>
      </c>
      <c r="M438" s="51"/>
      <c r="N438" s="51"/>
      <c r="O438" s="51"/>
      <c r="P438" s="51"/>
      <c r="Q438" s="51"/>
      <c r="R438" s="51"/>
      <c r="S438" s="51"/>
      <c r="T438" s="51"/>
    </row>
    <row r="439">
      <c r="A439" s="51"/>
      <c r="B439" s="51"/>
      <c r="C439" s="56"/>
      <c r="D439" s="51"/>
      <c r="E439" s="51"/>
      <c r="F439" s="51"/>
      <c r="G439" s="51" t="str">
        <f>IFERROR(__xludf.DUMMYFUNCTION("""COMPUTED_VALUE"""),"#VALUE!")</f>
        <v>#VALUE!</v>
      </c>
      <c r="H439" s="51" t="str">
        <f>IFERROR(__xludf.DUMMYFUNCTION("""COMPUTED_VALUE"""),"")</f>
        <v/>
      </c>
      <c r="I439" s="51" t="str">
        <f>IFERROR(__xludf.DUMMYFUNCTION("""COMPUTED_VALUE"""),"#VALUE!")</f>
        <v>#VALUE!</v>
      </c>
      <c r="J439" s="51" t="str">
        <f>IFERROR(__xludf.DUMMYFUNCTION("""COMPUTED_VALUE"""),"")</f>
        <v/>
      </c>
      <c r="K439" s="51"/>
      <c r="L439" s="51" t="s">
        <v>257</v>
      </c>
      <c r="M439" s="51"/>
      <c r="N439" s="51"/>
      <c r="O439" s="51"/>
      <c r="P439" s="51"/>
      <c r="Q439" s="51"/>
      <c r="R439" s="51"/>
      <c r="S439" s="51"/>
      <c r="T439" s="51"/>
    </row>
    <row r="440">
      <c r="A440" s="51"/>
      <c r="B440" s="51"/>
      <c r="C440" s="56"/>
      <c r="D440" s="51"/>
      <c r="E440" s="51"/>
      <c r="F440" s="51"/>
      <c r="G440" s="51" t="str">
        <f>IFERROR(__xludf.DUMMYFUNCTION("""COMPUTED_VALUE"""),"#VALUE!")</f>
        <v>#VALUE!</v>
      </c>
      <c r="H440" s="51" t="str">
        <f>IFERROR(__xludf.DUMMYFUNCTION("""COMPUTED_VALUE"""),"")</f>
        <v/>
      </c>
      <c r="I440" s="51" t="str">
        <f>IFERROR(__xludf.DUMMYFUNCTION("""COMPUTED_VALUE"""),"#VALUE!")</f>
        <v>#VALUE!</v>
      </c>
      <c r="J440" s="51" t="str">
        <f>IFERROR(__xludf.DUMMYFUNCTION("""COMPUTED_VALUE"""),"")</f>
        <v/>
      </c>
      <c r="K440" s="51"/>
      <c r="L440" s="51" t="s">
        <v>257</v>
      </c>
      <c r="M440" s="51"/>
      <c r="N440" s="51"/>
      <c r="O440" s="51"/>
      <c r="P440" s="51"/>
      <c r="Q440" s="51"/>
      <c r="R440" s="51"/>
      <c r="S440" s="51"/>
      <c r="T440" s="51"/>
    </row>
    <row r="441">
      <c r="A441" s="51"/>
      <c r="B441" s="51"/>
      <c r="C441" s="56"/>
      <c r="D441" s="51"/>
      <c r="E441" s="51"/>
      <c r="F441" s="51"/>
      <c r="G441" s="51" t="str">
        <f>IFERROR(__xludf.DUMMYFUNCTION("""COMPUTED_VALUE"""),"#VALUE!")</f>
        <v>#VALUE!</v>
      </c>
      <c r="H441" s="51" t="str">
        <f>IFERROR(__xludf.DUMMYFUNCTION("""COMPUTED_VALUE"""),"")</f>
        <v/>
      </c>
      <c r="I441" s="51" t="str">
        <f>IFERROR(__xludf.DUMMYFUNCTION("""COMPUTED_VALUE"""),"#VALUE!")</f>
        <v>#VALUE!</v>
      </c>
      <c r="J441" s="51" t="str">
        <f>IFERROR(__xludf.DUMMYFUNCTION("""COMPUTED_VALUE"""),"")</f>
        <v/>
      </c>
      <c r="K441" s="51"/>
      <c r="L441" s="51" t="s">
        <v>257</v>
      </c>
      <c r="M441" s="51"/>
      <c r="N441" s="51"/>
      <c r="O441" s="51"/>
      <c r="P441" s="51"/>
      <c r="Q441" s="51"/>
      <c r="R441" s="51"/>
      <c r="S441" s="51"/>
      <c r="T441" s="51"/>
    </row>
    <row r="442">
      <c r="A442" s="51"/>
      <c r="B442" s="51"/>
      <c r="C442" s="56"/>
      <c r="D442" s="51"/>
      <c r="E442" s="51"/>
      <c r="F442" s="51"/>
      <c r="G442" s="51" t="str">
        <f>IFERROR(__xludf.DUMMYFUNCTION("""COMPUTED_VALUE"""),"#VALUE!")</f>
        <v>#VALUE!</v>
      </c>
      <c r="H442" s="51" t="str">
        <f>IFERROR(__xludf.DUMMYFUNCTION("""COMPUTED_VALUE"""),"")</f>
        <v/>
      </c>
      <c r="I442" s="51" t="str">
        <f>IFERROR(__xludf.DUMMYFUNCTION("""COMPUTED_VALUE"""),"#VALUE!")</f>
        <v>#VALUE!</v>
      </c>
      <c r="J442" s="51" t="str">
        <f>IFERROR(__xludf.DUMMYFUNCTION("""COMPUTED_VALUE"""),"")</f>
        <v/>
      </c>
      <c r="K442" s="51"/>
      <c r="L442" s="51" t="s">
        <v>257</v>
      </c>
      <c r="M442" s="51"/>
      <c r="N442" s="51"/>
      <c r="O442" s="51"/>
      <c r="P442" s="51"/>
      <c r="Q442" s="51"/>
      <c r="R442" s="51"/>
      <c r="S442" s="51"/>
      <c r="T442" s="51"/>
    </row>
    <row r="443">
      <c r="A443" s="51"/>
      <c r="B443" s="51"/>
      <c r="C443" s="56"/>
      <c r="D443" s="51"/>
      <c r="E443" s="51"/>
      <c r="F443" s="51"/>
      <c r="G443" s="51" t="str">
        <f>IFERROR(__xludf.DUMMYFUNCTION("""COMPUTED_VALUE"""),"#VALUE!")</f>
        <v>#VALUE!</v>
      </c>
      <c r="H443" s="51" t="str">
        <f>IFERROR(__xludf.DUMMYFUNCTION("""COMPUTED_VALUE"""),"")</f>
        <v/>
      </c>
      <c r="I443" s="51" t="str">
        <f>IFERROR(__xludf.DUMMYFUNCTION("""COMPUTED_VALUE"""),"#VALUE!")</f>
        <v>#VALUE!</v>
      </c>
      <c r="J443" s="51" t="str">
        <f>IFERROR(__xludf.DUMMYFUNCTION("""COMPUTED_VALUE"""),"")</f>
        <v/>
      </c>
      <c r="K443" s="51"/>
      <c r="L443" s="51" t="s">
        <v>257</v>
      </c>
      <c r="M443" s="51"/>
      <c r="N443" s="51"/>
      <c r="O443" s="51"/>
      <c r="P443" s="51"/>
      <c r="Q443" s="51"/>
      <c r="R443" s="51"/>
      <c r="S443" s="51"/>
      <c r="T443" s="51"/>
    </row>
    <row r="444">
      <c r="A444" s="51"/>
      <c r="B444" s="51"/>
      <c r="C444" s="56"/>
      <c r="D444" s="51"/>
      <c r="E444" s="51"/>
      <c r="F444" s="51"/>
      <c r="G444" s="51" t="str">
        <f>IFERROR(__xludf.DUMMYFUNCTION("""COMPUTED_VALUE"""),"#VALUE!")</f>
        <v>#VALUE!</v>
      </c>
      <c r="H444" s="51" t="str">
        <f>IFERROR(__xludf.DUMMYFUNCTION("""COMPUTED_VALUE"""),"")</f>
        <v/>
      </c>
      <c r="I444" s="51" t="str">
        <f>IFERROR(__xludf.DUMMYFUNCTION("""COMPUTED_VALUE"""),"#VALUE!")</f>
        <v>#VALUE!</v>
      </c>
      <c r="J444" s="51" t="str">
        <f>IFERROR(__xludf.DUMMYFUNCTION("""COMPUTED_VALUE"""),"")</f>
        <v/>
      </c>
      <c r="K444" s="51"/>
      <c r="L444" s="51" t="s">
        <v>257</v>
      </c>
      <c r="M444" s="51"/>
      <c r="N444" s="51"/>
      <c r="O444" s="51"/>
      <c r="P444" s="51"/>
      <c r="Q444" s="51"/>
      <c r="R444" s="51"/>
      <c r="S444" s="51"/>
      <c r="T444" s="51"/>
    </row>
    <row r="445">
      <c r="A445" s="51"/>
      <c r="B445" s="51"/>
      <c r="C445" s="56"/>
      <c r="D445" s="51"/>
      <c r="E445" s="51"/>
      <c r="F445" s="51"/>
      <c r="G445" s="51" t="str">
        <f>IFERROR(__xludf.DUMMYFUNCTION("""COMPUTED_VALUE"""),"#VALUE!")</f>
        <v>#VALUE!</v>
      </c>
      <c r="H445" s="51" t="str">
        <f>IFERROR(__xludf.DUMMYFUNCTION("""COMPUTED_VALUE"""),"")</f>
        <v/>
      </c>
      <c r="I445" s="51" t="str">
        <f>IFERROR(__xludf.DUMMYFUNCTION("""COMPUTED_VALUE"""),"#VALUE!")</f>
        <v>#VALUE!</v>
      </c>
      <c r="J445" s="51" t="str">
        <f>IFERROR(__xludf.DUMMYFUNCTION("""COMPUTED_VALUE"""),"")</f>
        <v/>
      </c>
      <c r="K445" s="51"/>
      <c r="L445" s="51" t="s">
        <v>257</v>
      </c>
      <c r="M445" s="51"/>
      <c r="N445" s="51"/>
      <c r="O445" s="51"/>
      <c r="P445" s="51"/>
      <c r="Q445" s="51"/>
      <c r="R445" s="51"/>
      <c r="S445" s="51"/>
      <c r="T445" s="51"/>
    </row>
    <row r="446">
      <c r="A446" s="51"/>
      <c r="B446" s="51"/>
      <c r="C446" s="56"/>
      <c r="D446" s="51"/>
      <c r="E446" s="51"/>
      <c r="F446" s="51"/>
      <c r="G446" s="51" t="str">
        <f>IFERROR(__xludf.DUMMYFUNCTION("""COMPUTED_VALUE"""),"#VALUE!")</f>
        <v>#VALUE!</v>
      </c>
      <c r="H446" s="51" t="str">
        <f>IFERROR(__xludf.DUMMYFUNCTION("""COMPUTED_VALUE"""),"")</f>
        <v/>
      </c>
      <c r="I446" s="51" t="str">
        <f>IFERROR(__xludf.DUMMYFUNCTION("""COMPUTED_VALUE"""),"#VALUE!")</f>
        <v>#VALUE!</v>
      </c>
      <c r="J446" s="51" t="str">
        <f>IFERROR(__xludf.DUMMYFUNCTION("""COMPUTED_VALUE"""),"")</f>
        <v/>
      </c>
      <c r="K446" s="51"/>
      <c r="L446" s="51" t="s">
        <v>257</v>
      </c>
      <c r="M446" s="51"/>
      <c r="N446" s="51"/>
      <c r="O446" s="51"/>
      <c r="P446" s="51"/>
      <c r="Q446" s="51"/>
      <c r="R446" s="51"/>
      <c r="S446" s="51"/>
      <c r="T446" s="51"/>
    </row>
    <row r="447">
      <c r="A447" s="51"/>
      <c r="B447" s="51"/>
      <c r="C447" s="56"/>
      <c r="D447" s="51"/>
      <c r="E447" s="51"/>
      <c r="F447" s="51"/>
      <c r="G447" s="51" t="str">
        <f>IFERROR(__xludf.DUMMYFUNCTION("""COMPUTED_VALUE"""),"#VALUE!")</f>
        <v>#VALUE!</v>
      </c>
      <c r="H447" s="51" t="str">
        <f>IFERROR(__xludf.DUMMYFUNCTION("""COMPUTED_VALUE"""),"")</f>
        <v/>
      </c>
      <c r="I447" s="51" t="str">
        <f>IFERROR(__xludf.DUMMYFUNCTION("""COMPUTED_VALUE"""),"#VALUE!")</f>
        <v>#VALUE!</v>
      </c>
      <c r="J447" s="51" t="str">
        <f>IFERROR(__xludf.DUMMYFUNCTION("""COMPUTED_VALUE"""),"")</f>
        <v/>
      </c>
      <c r="K447" s="51"/>
      <c r="L447" s="51" t="s">
        <v>257</v>
      </c>
      <c r="M447" s="51"/>
      <c r="N447" s="51"/>
      <c r="O447" s="51"/>
      <c r="P447" s="51"/>
      <c r="Q447" s="51"/>
      <c r="R447" s="51"/>
      <c r="S447" s="51"/>
      <c r="T447" s="51"/>
    </row>
    <row r="448">
      <c r="A448" s="51"/>
      <c r="B448" s="51"/>
      <c r="C448" s="56"/>
      <c r="D448" s="51"/>
      <c r="E448" s="51"/>
      <c r="F448" s="51"/>
      <c r="G448" s="51" t="str">
        <f>IFERROR(__xludf.DUMMYFUNCTION("""COMPUTED_VALUE"""),"#VALUE!")</f>
        <v>#VALUE!</v>
      </c>
      <c r="H448" s="51" t="str">
        <f>IFERROR(__xludf.DUMMYFUNCTION("""COMPUTED_VALUE"""),"")</f>
        <v/>
      </c>
      <c r="I448" s="51" t="str">
        <f>IFERROR(__xludf.DUMMYFUNCTION("""COMPUTED_VALUE"""),"#VALUE!")</f>
        <v>#VALUE!</v>
      </c>
      <c r="J448" s="51" t="str">
        <f>IFERROR(__xludf.DUMMYFUNCTION("""COMPUTED_VALUE"""),"")</f>
        <v/>
      </c>
      <c r="K448" s="51"/>
      <c r="L448" s="51" t="s">
        <v>257</v>
      </c>
      <c r="M448" s="51"/>
      <c r="N448" s="51"/>
      <c r="O448" s="51"/>
      <c r="P448" s="51"/>
      <c r="Q448" s="51"/>
      <c r="R448" s="51"/>
      <c r="S448" s="51"/>
      <c r="T448" s="51"/>
    </row>
    <row r="449">
      <c r="A449" s="51"/>
      <c r="B449" s="51"/>
      <c r="C449" s="56"/>
      <c r="D449" s="51"/>
      <c r="E449" s="51"/>
      <c r="F449" s="51"/>
      <c r="G449" s="51" t="str">
        <f>IFERROR(__xludf.DUMMYFUNCTION("""COMPUTED_VALUE"""),"#VALUE!")</f>
        <v>#VALUE!</v>
      </c>
      <c r="H449" s="51" t="str">
        <f>IFERROR(__xludf.DUMMYFUNCTION("""COMPUTED_VALUE"""),"")</f>
        <v/>
      </c>
      <c r="I449" s="51" t="str">
        <f>IFERROR(__xludf.DUMMYFUNCTION("""COMPUTED_VALUE"""),"#VALUE!")</f>
        <v>#VALUE!</v>
      </c>
      <c r="J449" s="51" t="str">
        <f>IFERROR(__xludf.DUMMYFUNCTION("""COMPUTED_VALUE"""),"")</f>
        <v/>
      </c>
      <c r="K449" s="51"/>
      <c r="L449" s="51" t="s">
        <v>257</v>
      </c>
      <c r="M449" s="51"/>
      <c r="N449" s="51"/>
      <c r="O449" s="51"/>
      <c r="P449" s="51"/>
      <c r="Q449" s="51"/>
      <c r="R449" s="51"/>
      <c r="S449" s="51"/>
      <c r="T449" s="51"/>
    </row>
    <row r="450">
      <c r="A450" s="51"/>
      <c r="B450" s="51"/>
      <c r="C450" s="56"/>
      <c r="D450" s="51"/>
      <c r="E450" s="51"/>
      <c r="F450" s="51"/>
      <c r="G450" s="51" t="str">
        <f>IFERROR(__xludf.DUMMYFUNCTION("""COMPUTED_VALUE"""),"#VALUE!")</f>
        <v>#VALUE!</v>
      </c>
      <c r="H450" s="51" t="str">
        <f>IFERROR(__xludf.DUMMYFUNCTION("""COMPUTED_VALUE"""),"")</f>
        <v/>
      </c>
      <c r="I450" s="51" t="str">
        <f>IFERROR(__xludf.DUMMYFUNCTION("""COMPUTED_VALUE"""),"#VALUE!")</f>
        <v>#VALUE!</v>
      </c>
      <c r="J450" s="51" t="str">
        <f>IFERROR(__xludf.DUMMYFUNCTION("""COMPUTED_VALUE"""),"")</f>
        <v/>
      </c>
      <c r="K450" s="51"/>
      <c r="L450" s="51" t="s">
        <v>257</v>
      </c>
      <c r="M450" s="51"/>
      <c r="N450" s="51"/>
      <c r="O450" s="51"/>
      <c r="P450" s="51"/>
      <c r="Q450" s="51"/>
      <c r="R450" s="51"/>
      <c r="S450" s="51"/>
      <c r="T450" s="51"/>
    </row>
    <row r="451">
      <c r="A451" s="51"/>
      <c r="B451" s="51"/>
      <c r="C451" s="56"/>
      <c r="D451" s="51"/>
      <c r="E451" s="51"/>
      <c r="F451" s="51"/>
      <c r="G451" s="51" t="str">
        <f>IFERROR(__xludf.DUMMYFUNCTION("""COMPUTED_VALUE"""),"#VALUE!")</f>
        <v>#VALUE!</v>
      </c>
      <c r="H451" s="51" t="str">
        <f>IFERROR(__xludf.DUMMYFUNCTION("""COMPUTED_VALUE"""),"")</f>
        <v/>
      </c>
      <c r="I451" s="51" t="str">
        <f>IFERROR(__xludf.DUMMYFUNCTION("""COMPUTED_VALUE"""),"#VALUE!")</f>
        <v>#VALUE!</v>
      </c>
      <c r="J451" s="51" t="str">
        <f>IFERROR(__xludf.DUMMYFUNCTION("""COMPUTED_VALUE"""),"")</f>
        <v/>
      </c>
      <c r="K451" s="51"/>
      <c r="L451" s="51" t="s">
        <v>257</v>
      </c>
      <c r="M451" s="51"/>
      <c r="N451" s="51"/>
      <c r="O451" s="51"/>
      <c r="P451" s="51"/>
      <c r="Q451" s="51"/>
      <c r="R451" s="51"/>
      <c r="S451" s="51"/>
      <c r="T451" s="51"/>
    </row>
    <row r="452">
      <c r="A452" s="51"/>
      <c r="B452" s="51"/>
      <c r="C452" s="56"/>
      <c r="D452" s="51"/>
      <c r="E452" s="51"/>
      <c r="F452" s="51"/>
      <c r="G452" s="51" t="str">
        <f>IFERROR(__xludf.DUMMYFUNCTION("""COMPUTED_VALUE"""),"#VALUE!")</f>
        <v>#VALUE!</v>
      </c>
      <c r="H452" s="51" t="str">
        <f>IFERROR(__xludf.DUMMYFUNCTION("""COMPUTED_VALUE"""),"")</f>
        <v/>
      </c>
      <c r="I452" s="51" t="str">
        <f>IFERROR(__xludf.DUMMYFUNCTION("""COMPUTED_VALUE"""),"#VALUE!")</f>
        <v>#VALUE!</v>
      </c>
      <c r="J452" s="51" t="str">
        <f>IFERROR(__xludf.DUMMYFUNCTION("""COMPUTED_VALUE"""),"")</f>
        <v/>
      </c>
      <c r="K452" s="51"/>
      <c r="L452" s="51" t="s">
        <v>257</v>
      </c>
      <c r="M452" s="51"/>
      <c r="N452" s="51"/>
      <c r="O452" s="51"/>
      <c r="P452" s="51"/>
      <c r="Q452" s="51"/>
      <c r="R452" s="51"/>
      <c r="S452" s="51"/>
      <c r="T452" s="51"/>
    </row>
    <row r="453">
      <c r="A453" s="51"/>
      <c r="B453" s="51"/>
      <c r="C453" s="56"/>
      <c r="D453" s="51"/>
      <c r="E453" s="51"/>
      <c r="F453" s="51"/>
      <c r="G453" s="51" t="str">
        <f>IFERROR(__xludf.DUMMYFUNCTION("""COMPUTED_VALUE"""),"#VALUE!")</f>
        <v>#VALUE!</v>
      </c>
      <c r="H453" s="51" t="str">
        <f>IFERROR(__xludf.DUMMYFUNCTION("""COMPUTED_VALUE"""),"")</f>
        <v/>
      </c>
      <c r="I453" s="51" t="str">
        <f>IFERROR(__xludf.DUMMYFUNCTION("""COMPUTED_VALUE"""),"#VALUE!")</f>
        <v>#VALUE!</v>
      </c>
      <c r="J453" s="51" t="str">
        <f>IFERROR(__xludf.DUMMYFUNCTION("""COMPUTED_VALUE"""),"")</f>
        <v/>
      </c>
      <c r="K453" s="51"/>
      <c r="L453" s="51" t="s">
        <v>257</v>
      </c>
      <c r="M453" s="51"/>
      <c r="N453" s="51"/>
      <c r="O453" s="51"/>
      <c r="P453" s="51"/>
      <c r="Q453" s="51"/>
      <c r="R453" s="51"/>
      <c r="S453" s="51"/>
      <c r="T453" s="51"/>
    </row>
    <row r="454">
      <c r="A454" s="51"/>
      <c r="B454" s="51"/>
      <c r="C454" s="56"/>
      <c r="D454" s="51"/>
      <c r="E454" s="51"/>
      <c r="F454" s="51"/>
      <c r="G454" s="51" t="str">
        <f>IFERROR(__xludf.DUMMYFUNCTION("""COMPUTED_VALUE"""),"#VALUE!")</f>
        <v>#VALUE!</v>
      </c>
      <c r="H454" s="51" t="str">
        <f>IFERROR(__xludf.DUMMYFUNCTION("""COMPUTED_VALUE"""),"")</f>
        <v/>
      </c>
      <c r="I454" s="51" t="str">
        <f>IFERROR(__xludf.DUMMYFUNCTION("""COMPUTED_VALUE"""),"#VALUE!")</f>
        <v>#VALUE!</v>
      </c>
      <c r="J454" s="51" t="str">
        <f>IFERROR(__xludf.DUMMYFUNCTION("""COMPUTED_VALUE"""),"")</f>
        <v/>
      </c>
      <c r="K454" s="51"/>
      <c r="L454" s="51" t="s">
        <v>257</v>
      </c>
      <c r="M454" s="51"/>
      <c r="N454" s="51"/>
      <c r="O454" s="51"/>
      <c r="P454" s="51"/>
      <c r="Q454" s="51"/>
      <c r="R454" s="51"/>
      <c r="S454" s="51"/>
      <c r="T454" s="51"/>
    </row>
    <row r="455">
      <c r="A455" s="51"/>
      <c r="B455" s="51"/>
      <c r="C455" s="56"/>
      <c r="D455" s="51"/>
      <c r="E455" s="51"/>
      <c r="F455" s="51"/>
      <c r="G455" s="51" t="str">
        <f>IFERROR(__xludf.DUMMYFUNCTION("""COMPUTED_VALUE"""),"#VALUE!")</f>
        <v>#VALUE!</v>
      </c>
      <c r="H455" s="51" t="str">
        <f>IFERROR(__xludf.DUMMYFUNCTION("""COMPUTED_VALUE"""),"")</f>
        <v/>
      </c>
      <c r="I455" s="51" t="str">
        <f>IFERROR(__xludf.DUMMYFUNCTION("""COMPUTED_VALUE"""),"#VALUE!")</f>
        <v>#VALUE!</v>
      </c>
      <c r="J455" s="51" t="str">
        <f>IFERROR(__xludf.DUMMYFUNCTION("""COMPUTED_VALUE"""),"")</f>
        <v/>
      </c>
      <c r="K455" s="51"/>
      <c r="L455" s="51" t="s">
        <v>257</v>
      </c>
      <c r="M455" s="51"/>
      <c r="N455" s="51"/>
      <c r="O455" s="51"/>
      <c r="P455" s="51"/>
      <c r="Q455" s="51"/>
      <c r="R455" s="51"/>
      <c r="S455" s="51"/>
      <c r="T455" s="51"/>
    </row>
    <row r="456">
      <c r="A456" s="51"/>
      <c r="B456" s="51"/>
      <c r="C456" s="56"/>
      <c r="D456" s="51"/>
      <c r="E456" s="51"/>
      <c r="F456" s="51"/>
      <c r="G456" s="51" t="str">
        <f>IFERROR(__xludf.DUMMYFUNCTION("""COMPUTED_VALUE"""),"#VALUE!")</f>
        <v>#VALUE!</v>
      </c>
      <c r="H456" s="51" t="str">
        <f>IFERROR(__xludf.DUMMYFUNCTION("""COMPUTED_VALUE"""),"")</f>
        <v/>
      </c>
      <c r="I456" s="51" t="str">
        <f>IFERROR(__xludf.DUMMYFUNCTION("""COMPUTED_VALUE"""),"#VALUE!")</f>
        <v>#VALUE!</v>
      </c>
      <c r="J456" s="51" t="str">
        <f>IFERROR(__xludf.DUMMYFUNCTION("""COMPUTED_VALUE"""),"")</f>
        <v/>
      </c>
      <c r="K456" s="51"/>
      <c r="L456" s="51" t="s">
        <v>257</v>
      </c>
      <c r="M456" s="51"/>
      <c r="N456" s="51"/>
      <c r="O456" s="51"/>
      <c r="P456" s="51"/>
      <c r="Q456" s="51"/>
      <c r="R456" s="51"/>
      <c r="S456" s="51"/>
      <c r="T456" s="51"/>
    </row>
    <row r="457">
      <c r="A457" s="51"/>
      <c r="B457" s="51"/>
      <c r="C457" s="56"/>
      <c r="D457" s="51"/>
      <c r="E457" s="51"/>
      <c r="F457" s="51"/>
      <c r="G457" s="51" t="str">
        <f>IFERROR(__xludf.DUMMYFUNCTION("""COMPUTED_VALUE"""),"#VALUE!")</f>
        <v>#VALUE!</v>
      </c>
      <c r="H457" s="51" t="str">
        <f>IFERROR(__xludf.DUMMYFUNCTION("""COMPUTED_VALUE"""),"")</f>
        <v/>
      </c>
      <c r="I457" s="51" t="str">
        <f>IFERROR(__xludf.DUMMYFUNCTION("""COMPUTED_VALUE"""),"#VALUE!")</f>
        <v>#VALUE!</v>
      </c>
      <c r="J457" s="51" t="str">
        <f>IFERROR(__xludf.DUMMYFUNCTION("""COMPUTED_VALUE"""),"")</f>
        <v/>
      </c>
      <c r="K457" s="51"/>
      <c r="L457" s="51" t="s">
        <v>257</v>
      </c>
      <c r="M457" s="51"/>
      <c r="N457" s="51"/>
      <c r="O457" s="51"/>
      <c r="P457" s="51"/>
      <c r="Q457" s="51"/>
      <c r="R457" s="51"/>
      <c r="S457" s="51"/>
      <c r="T457" s="51"/>
    </row>
    <row r="458">
      <c r="A458" s="51"/>
      <c r="B458" s="51"/>
      <c r="C458" s="56"/>
      <c r="D458" s="51"/>
      <c r="E458" s="51"/>
      <c r="F458" s="51"/>
      <c r="G458" s="51" t="str">
        <f>IFERROR(__xludf.DUMMYFUNCTION("""COMPUTED_VALUE"""),"#VALUE!")</f>
        <v>#VALUE!</v>
      </c>
      <c r="H458" s="51" t="str">
        <f>IFERROR(__xludf.DUMMYFUNCTION("""COMPUTED_VALUE"""),"")</f>
        <v/>
      </c>
      <c r="I458" s="51" t="str">
        <f>IFERROR(__xludf.DUMMYFUNCTION("""COMPUTED_VALUE"""),"#VALUE!")</f>
        <v>#VALUE!</v>
      </c>
      <c r="J458" s="51" t="str">
        <f>IFERROR(__xludf.DUMMYFUNCTION("""COMPUTED_VALUE"""),"")</f>
        <v/>
      </c>
      <c r="K458" s="51"/>
      <c r="L458" s="51" t="s">
        <v>257</v>
      </c>
      <c r="M458" s="51"/>
      <c r="N458" s="51"/>
      <c r="O458" s="51"/>
      <c r="P458" s="51"/>
      <c r="Q458" s="51"/>
      <c r="R458" s="51"/>
      <c r="S458" s="51"/>
      <c r="T458" s="51"/>
    </row>
    <row r="459">
      <c r="A459" s="51"/>
      <c r="B459" s="51"/>
      <c r="C459" s="56"/>
      <c r="D459" s="51"/>
      <c r="E459" s="51"/>
      <c r="F459" s="51"/>
      <c r="G459" s="51" t="str">
        <f>IFERROR(__xludf.DUMMYFUNCTION("""COMPUTED_VALUE"""),"#VALUE!")</f>
        <v>#VALUE!</v>
      </c>
      <c r="H459" s="51" t="str">
        <f>IFERROR(__xludf.DUMMYFUNCTION("""COMPUTED_VALUE"""),"")</f>
        <v/>
      </c>
      <c r="I459" s="51" t="str">
        <f>IFERROR(__xludf.DUMMYFUNCTION("""COMPUTED_VALUE"""),"#VALUE!")</f>
        <v>#VALUE!</v>
      </c>
      <c r="J459" s="51" t="str">
        <f>IFERROR(__xludf.DUMMYFUNCTION("""COMPUTED_VALUE"""),"")</f>
        <v/>
      </c>
      <c r="K459" s="51"/>
      <c r="L459" s="51" t="s">
        <v>257</v>
      </c>
      <c r="M459" s="51"/>
      <c r="N459" s="51"/>
      <c r="O459" s="51"/>
      <c r="P459" s="51"/>
      <c r="Q459" s="51"/>
      <c r="R459" s="51"/>
      <c r="S459" s="51"/>
      <c r="T459" s="51"/>
    </row>
    <row r="460">
      <c r="A460" s="51"/>
      <c r="B460" s="51"/>
      <c r="C460" s="56"/>
      <c r="D460" s="51"/>
      <c r="E460" s="51"/>
      <c r="F460" s="51"/>
      <c r="G460" s="51" t="str">
        <f>IFERROR(__xludf.DUMMYFUNCTION("""COMPUTED_VALUE"""),"#VALUE!")</f>
        <v>#VALUE!</v>
      </c>
      <c r="H460" s="51" t="str">
        <f>IFERROR(__xludf.DUMMYFUNCTION("""COMPUTED_VALUE"""),"")</f>
        <v/>
      </c>
      <c r="I460" s="51" t="str">
        <f>IFERROR(__xludf.DUMMYFUNCTION("""COMPUTED_VALUE"""),"#VALUE!")</f>
        <v>#VALUE!</v>
      </c>
      <c r="J460" s="51" t="str">
        <f>IFERROR(__xludf.DUMMYFUNCTION("""COMPUTED_VALUE"""),"")</f>
        <v/>
      </c>
      <c r="K460" s="51"/>
      <c r="L460" s="51" t="s">
        <v>257</v>
      </c>
      <c r="M460" s="51"/>
      <c r="N460" s="51"/>
      <c r="O460" s="51"/>
      <c r="P460" s="51"/>
      <c r="Q460" s="51"/>
      <c r="R460" s="51"/>
      <c r="S460" s="51"/>
      <c r="T460" s="51"/>
    </row>
    <row r="461">
      <c r="A461" s="51"/>
      <c r="B461" s="51"/>
      <c r="C461" s="56"/>
      <c r="D461" s="51"/>
      <c r="E461" s="51"/>
      <c r="F461" s="51"/>
      <c r="G461" s="51" t="str">
        <f>IFERROR(__xludf.DUMMYFUNCTION("""COMPUTED_VALUE"""),"#VALUE!")</f>
        <v>#VALUE!</v>
      </c>
      <c r="H461" s="51" t="str">
        <f>IFERROR(__xludf.DUMMYFUNCTION("""COMPUTED_VALUE"""),"")</f>
        <v/>
      </c>
      <c r="I461" s="51" t="str">
        <f>IFERROR(__xludf.DUMMYFUNCTION("""COMPUTED_VALUE"""),"#VALUE!")</f>
        <v>#VALUE!</v>
      </c>
      <c r="J461" s="51" t="str">
        <f>IFERROR(__xludf.DUMMYFUNCTION("""COMPUTED_VALUE"""),"")</f>
        <v/>
      </c>
      <c r="K461" s="51"/>
      <c r="L461" s="51" t="s">
        <v>257</v>
      </c>
      <c r="M461" s="51"/>
      <c r="N461" s="51"/>
      <c r="O461" s="51"/>
      <c r="P461" s="51"/>
      <c r="Q461" s="51"/>
      <c r="R461" s="51"/>
      <c r="S461" s="51"/>
      <c r="T461" s="51"/>
    </row>
    <row r="462">
      <c r="A462" s="51"/>
      <c r="B462" s="51"/>
      <c r="C462" s="56"/>
      <c r="D462" s="51"/>
      <c r="E462" s="51"/>
      <c r="F462" s="51"/>
      <c r="G462" s="51" t="str">
        <f>IFERROR(__xludf.DUMMYFUNCTION("""COMPUTED_VALUE"""),"#VALUE!")</f>
        <v>#VALUE!</v>
      </c>
      <c r="H462" s="51" t="str">
        <f>IFERROR(__xludf.DUMMYFUNCTION("""COMPUTED_VALUE"""),"")</f>
        <v/>
      </c>
      <c r="I462" s="51" t="str">
        <f>IFERROR(__xludf.DUMMYFUNCTION("""COMPUTED_VALUE"""),"#VALUE!")</f>
        <v>#VALUE!</v>
      </c>
      <c r="J462" s="51" t="str">
        <f>IFERROR(__xludf.DUMMYFUNCTION("""COMPUTED_VALUE"""),"")</f>
        <v/>
      </c>
      <c r="K462" s="51"/>
      <c r="L462" s="51" t="s">
        <v>257</v>
      </c>
      <c r="M462" s="51"/>
      <c r="N462" s="51"/>
      <c r="O462" s="51"/>
      <c r="P462" s="51"/>
      <c r="Q462" s="51"/>
      <c r="R462" s="51"/>
      <c r="S462" s="51"/>
      <c r="T462" s="51"/>
    </row>
    <row r="463">
      <c r="A463" s="51"/>
      <c r="B463" s="51"/>
      <c r="C463" s="56"/>
      <c r="D463" s="51"/>
      <c r="E463" s="51"/>
      <c r="F463" s="51"/>
      <c r="G463" s="51" t="str">
        <f>IFERROR(__xludf.DUMMYFUNCTION("""COMPUTED_VALUE"""),"#VALUE!")</f>
        <v>#VALUE!</v>
      </c>
      <c r="H463" s="51" t="str">
        <f>IFERROR(__xludf.DUMMYFUNCTION("""COMPUTED_VALUE"""),"")</f>
        <v/>
      </c>
      <c r="I463" s="51" t="str">
        <f>IFERROR(__xludf.DUMMYFUNCTION("""COMPUTED_VALUE"""),"#VALUE!")</f>
        <v>#VALUE!</v>
      </c>
      <c r="J463" s="51" t="str">
        <f>IFERROR(__xludf.DUMMYFUNCTION("""COMPUTED_VALUE"""),"")</f>
        <v/>
      </c>
      <c r="K463" s="51"/>
      <c r="L463" s="51" t="s">
        <v>257</v>
      </c>
      <c r="M463" s="51"/>
      <c r="N463" s="51"/>
      <c r="O463" s="51"/>
      <c r="P463" s="51"/>
      <c r="Q463" s="51"/>
      <c r="R463" s="51"/>
      <c r="S463" s="51"/>
      <c r="T463" s="51"/>
    </row>
    <row r="464">
      <c r="A464" s="51"/>
      <c r="B464" s="51"/>
      <c r="C464" s="56"/>
      <c r="D464" s="51"/>
      <c r="E464" s="51"/>
      <c r="F464" s="51"/>
      <c r="G464" s="51" t="str">
        <f>IFERROR(__xludf.DUMMYFUNCTION("""COMPUTED_VALUE"""),"#VALUE!")</f>
        <v>#VALUE!</v>
      </c>
      <c r="H464" s="51" t="str">
        <f>IFERROR(__xludf.DUMMYFUNCTION("""COMPUTED_VALUE"""),"")</f>
        <v/>
      </c>
      <c r="I464" s="51" t="str">
        <f>IFERROR(__xludf.DUMMYFUNCTION("""COMPUTED_VALUE"""),"#VALUE!")</f>
        <v>#VALUE!</v>
      </c>
      <c r="J464" s="51" t="str">
        <f>IFERROR(__xludf.DUMMYFUNCTION("""COMPUTED_VALUE"""),"")</f>
        <v/>
      </c>
      <c r="K464" s="51"/>
      <c r="L464" s="51" t="s">
        <v>257</v>
      </c>
      <c r="M464" s="51"/>
      <c r="N464" s="51"/>
      <c r="O464" s="51"/>
      <c r="P464" s="51"/>
      <c r="Q464" s="51"/>
      <c r="R464" s="51"/>
      <c r="S464" s="51"/>
      <c r="T464" s="51"/>
    </row>
    <row r="465">
      <c r="A465" s="51"/>
      <c r="B465" s="51"/>
      <c r="C465" s="56"/>
      <c r="D465" s="51"/>
      <c r="E465" s="51"/>
      <c r="F465" s="51"/>
      <c r="G465" s="51" t="str">
        <f>IFERROR(__xludf.DUMMYFUNCTION("""COMPUTED_VALUE"""),"#VALUE!")</f>
        <v>#VALUE!</v>
      </c>
      <c r="H465" s="51" t="str">
        <f>IFERROR(__xludf.DUMMYFUNCTION("""COMPUTED_VALUE"""),"")</f>
        <v/>
      </c>
      <c r="I465" s="51" t="str">
        <f>IFERROR(__xludf.DUMMYFUNCTION("""COMPUTED_VALUE"""),"#VALUE!")</f>
        <v>#VALUE!</v>
      </c>
      <c r="J465" s="51" t="str">
        <f>IFERROR(__xludf.DUMMYFUNCTION("""COMPUTED_VALUE"""),"")</f>
        <v/>
      </c>
      <c r="K465" s="51"/>
      <c r="L465" s="51" t="s">
        <v>257</v>
      </c>
      <c r="M465" s="51"/>
      <c r="N465" s="51"/>
      <c r="O465" s="51"/>
      <c r="P465" s="51"/>
      <c r="Q465" s="51"/>
      <c r="R465" s="51"/>
      <c r="S465" s="51"/>
      <c r="T465" s="51"/>
    </row>
    <row r="466">
      <c r="A466" s="51"/>
      <c r="B466" s="51"/>
      <c r="C466" s="56"/>
      <c r="D466" s="51"/>
      <c r="E466" s="51"/>
      <c r="F466" s="51"/>
      <c r="G466" s="51" t="str">
        <f>IFERROR(__xludf.DUMMYFUNCTION("""COMPUTED_VALUE"""),"#VALUE!")</f>
        <v>#VALUE!</v>
      </c>
      <c r="H466" s="51" t="str">
        <f>IFERROR(__xludf.DUMMYFUNCTION("""COMPUTED_VALUE"""),"")</f>
        <v/>
      </c>
      <c r="I466" s="51" t="str">
        <f>IFERROR(__xludf.DUMMYFUNCTION("""COMPUTED_VALUE"""),"#VALUE!")</f>
        <v>#VALUE!</v>
      </c>
      <c r="J466" s="51" t="str">
        <f>IFERROR(__xludf.DUMMYFUNCTION("""COMPUTED_VALUE"""),"")</f>
        <v/>
      </c>
      <c r="K466" s="51"/>
      <c r="L466" s="51" t="s">
        <v>257</v>
      </c>
      <c r="M466" s="51"/>
      <c r="N466" s="51"/>
      <c r="O466" s="51"/>
      <c r="P466" s="51"/>
      <c r="Q466" s="51"/>
      <c r="R466" s="51"/>
      <c r="S466" s="51"/>
      <c r="T466" s="51"/>
    </row>
    <row r="467">
      <c r="A467" s="51"/>
      <c r="B467" s="51"/>
      <c r="C467" s="56"/>
      <c r="D467" s="51"/>
      <c r="E467" s="51"/>
      <c r="F467" s="51"/>
      <c r="G467" s="51" t="str">
        <f>IFERROR(__xludf.DUMMYFUNCTION("""COMPUTED_VALUE"""),"#VALUE!")</f>
        <v>#VALUE!</v>
      </c>
      <c r="H467" s="51" t="str">
        <f>IFERROR(__xludf.DUMMYFUNCTION("""COMPUTED_VALUE"""),"")</f>
        <v/>
      </c>
      <c r="I467" s="51" t="str">
        <f>IFERROR(__xludf.DUMMYFUNCTION("""COMPUTED_VALUE"""),"#VALUE!")</f>
        <v>#VALUE!</v>
      </c>
      <c r="J467" s="51" t="str">
        <f>IFERROR(__xludf.DUMMYFUNCTION("""COMPUTED_VALUE"""),"")</f>
        <v/>
      </c>
      <c r="K467" s="51"/>
      <c r="L467" s="51" t="s">
        <v>257</v>
      </c>
      <c r="M467" s="51"/>
      <c r="N467" s="51"/>
      <c r="O467" s="51"/>
      <c r="P467" s="51"/>
      <c r="Q467" s="51"/>
      <c r="R467" s="51"/>
      <c r="S467" s="51"/>
      <c r="T467" s="51"/>
    </row>
    <row r="468">
      <c r="A468" s="51"/>
      <c r="B468" s="51"/>
      <c r="C468" s="56"/>
      <c r="D468" s="51"/>
      <c r="E468" s="51"/>
      <c r="F468" s="51"/>
      <c r="G468" s="51" t="str">
        <f>IFERROR(__xludf.DUMMYFUNCTION("""COMPUTED_VALUE"""),"#VALUE!")</f>
        <v>#VALUE!</v>
      </c>
      <c r="H468" s="51" t="str">
        <f>IFERROR(__xludf.DUMMYFUNCTION("""COMPUTED_VALUE"""),"")</f>
        <v/>
      </c>
      <c r="I468" s="51" t="str">
        <f>IFERROR(__xludf.DUMMYFUNCTION("""COMPUTED_VALUE"""),"#VALUE!")</f>
        <v>#VALUE!</v>
      </c>
      <c r="J468" s="51" t="str">
        <f>IFERROR(__xludf.DUMMYFUNCTION("""COMPUTED_VALUE"""),"")</f>
        <v/>
      </c>
      <c r="K468" s="51"/>
      <c r="L468" s="51" t="s">
        <v>257</v>
      </c>
      <c r="M468" s="51"/>
      <c r="N468" s="51"/>
      <c r="O468" s="51"/>
      <c r="P468" s="51"/>
      <c r="Q468" s="51"/>
      <c r="R468" s="51"/>
      <c r="S468" s="51"/>
      <c r="T468" s="51"/>
    </row>
    <row r="469">
      <c r="A469" s="51"/>
      <c r="B469" s="51"/>
      <c r="C469" s="56"/>
      <c r="D469" s="51"/>
      <c r="E469" s="51"/>
      <c r="F469" s="51"/>
      <c r="G469" s="51" t="str">
        <f>IFERROR(__xludf.DUMMYFUNCTION("""COMPUTED_VALUE"""),"#VALUE!")</f>
        <v>#VALUE!</v>
      </c>
      <c r="H469" s="51" t="str">
        <f>IFERROR(__xludf.DUMMYFUNCTION("""COMPUTED_VALUE"""),"")</f>
        <v/>
      </c>
      <c r="I469" s="51" t="str">
        <f>IFERROR(__xludf.DUMMYFUNCTION("""COMPUTED_VALUE"""),"#VALUE!")</f>
        <v>#VALUE!</v>
      </c>
      <c r="J469" s="51" t="str">
        <f>IFERROR(__xludf.DUMMYFUNCTION("""COMPUTED_VALUE"""),"")</f>
        <v/>
      </c>
      <c r="K469" s="51"/>
      <c r="L469" s="51" t="s">
        <v>257</v>
      </c>
      <c r="M469" s="51"/>
      <c r="N469" s="51"/>
      <c r="O469" s="51"/>
      <c r="P469" s="51"/>
      <c r="Q469" s="51"/>
      <c r="R469" s="51"/>
      <c r="S469" s="51"/>
      <c r="T469" s="51"/>
    </row>
    <row r="470">
      <c r="A470" s="51"/>
      <c r="B470" s="51"/>
      <c r="C470" s="56"/>
      <c r="D470" s="51"/>
      <c r="E470" s="51"/>
      <c r="F470" s="51"/>
      <c r="G470" s="51" t="str">
        <f>IFERROR(__xludf.DUMMYFUNCTION("""COMPUTED_VALUE"""),"#VALUE!")</f>
        <v>#VALUE!</v>
      </c>
      <c r="H470" s="51" t="str">
        <f>IFERROR(__xludf.DUMMYFUNCTION("""COMPUTED_VALUE"""),"")</f>
        <v/>
      </c>
      <c r="I470" s="51" t="str">
        <f>IFERROR(__xludf.DUMMYFUNCTION("""COMPUTED_VALUE"""),"#VALUE!")</f>
        <v>#VALUE!</v>
      </c>
      <c r="J470" s="51" t="str">
        <f>IFERROR(__xludf.DUMMYFUNCTION("""COMPUTED_VALUE"""),"")</f>
        <v/>
      </c>
      <c r="K470" s="51"/>
      <c r="L470" s="51" t="s">
        <v>257</v>
      </c>
      <c r="M470" s="51"/>
      <c r="N470" s="51"/>
      <c r="O470" s="51"/>
      <c r="P470" s="51"/>
      <c r="Q470" s="51"/>
      <c r="R470" s="51"/>
      <c r="S470" s="51"/>
      <c r="T470" s="51"/>
    </row>
    <row r="471">
      <c r="A471" s="51"/>
      <c r="B471" s="51"/>
      <c r="C471" s="56"/>
      <c r="D471" s="51"/>
      <c r="E471" s="51"/>
      <c r="F471" s="51"/>
      <c r="G471" s="51" t="str">
        <f>IFERROR(__xludf.DUMMYFUNCTION("""COMPUTED_VALUE"""),"#VALUE!")</f>
        <v>#VALUE!</v>
      </c>
      <c r="H471" s="51" t="str">
        <f>IFERROR(__xludf.DUMMYFUNCTION("""COMPUTED_VALUE"""),"")</f>
        <v/>
      </c>
      <c r="I471" s="51" t="str">
        <f>IFERROR(__xludf.DUMMYFUNCTION("""COMPUTED_VALUE"""),"#VALUE!")</f>
        <v>#VALUE!</v>
      </c>
      <c r="J471" s="51" t="str">
        <f>IFERROR(__xludf.DUMMYFUNCTION("""COMPUTED_VALUE"""),"")</f>
        <v/>
      </c>
      <c r="K471" s="51"/>
      <c r="L471" s="51" t="s">
        <v>257</v>
      </c>
      <c r="M471" s="51"/>
      <c r="N471" s="51"/>
      <c r="O471" s="51"/>
      <c r="P471" s="51"/>
      <c r="Q471" s="51"/>
      <c r="R471" s="51"/>
      <c r="S471" s="51"/>
      <c r="T471" s="51"/>
    </row>
    <row r="472">
      <c r="A472" s="51"/>
      <c r="B472" s="51"/>
      <c r="C472" s="56"/>
      <c r="D472" s="51"/>
      <c r="E472" s="51"/>
      <c r="F472" s="51"/>
      <c r="G472" s="51" t="str">
        <f>IFERROR(__xludf.DUMMYFUNCTION("""COMPUTED_VALUE"""),"#VALUE!")</f>
        <v>#VALUE!</v>
      </c>
      <c r="H472" s="51" t="str">
        <f>IFERROR(__xludf.DUMMYFUNCTION("""COMPUTED_VALUE"""),"")</f>
        <v/>
      </c>
      <c r="I472" s="51" t="str">
        <f>IFERROR(__xludf.DUMMYFUNCTION("""COMPUTED_VALUE"""),"#VALUE!")</f>
        <v>#VALUE!</v>
      </c>
      <c r="J472" s="51" t="str">
        <f>IFERROR(__xludf.DUMMYFUNCTION("""COMPUTED_VALUE"""),"")</f>
        <v/>
      </c>
      <c r="K472" s="51"/>
      <c r="L472" s="51" t="s">
        <v>257</v>
      </c>
      <c r="M472" s="51"/>
      <c r="N472" s="51"/>
      <c r="O472" s="51"/>
      <c r="P472" s="51"/>
      <c r="Q472" s="51"/>
      <c r="R472" s="51"/>
      <c r="S472" s="51"/>
      <c r="T472" s="51"/>
    </row>
    <row r="473">
      <c r="A473" s="51"/>
      <c r="B473" s="51"/>
      <c r="C473" s="56"/>
      <c r="D473" s="51"/>
      <c r="E473" s="51"/>
      <c r="F473" s="51"/>
      <c r="G473" s="51" t="str">
        <f>IFERROR(__xludf.DUMMYFUNCTION("""COMPUTED_VALUE"""),"#VALUE!")</f>
        <v>#VALUE!</v>
      </c>
      <c r="H473" s="51" t="str">
        <f>IFERROR(__xludf.DUMMYFUNCTION("""COMPUTED_VALUE"""),"")</f>
        <v/>
      </c>
      <c r="I473" s="51" t="str">
        <f>IFERROR(__xludf.DUMMYFUNCTION("""COMPUTED_VALUE"""),"#VALUE!")</f>
        <v>#VALUE!</v>
      </c>
      <c r="J473" s="51" t="str">
        <f>IFERROR(__xludf.DUMMYFUNCTION("""COMPUTED_VALUE"""),"")</f>
        <v/>
      </c>
      <c r="K473" s="51"/>
      <c r="L473" s="51" t="s">
        <v>257</v>
      </c>
      <c r="M473" s="51"/>
      <c r="N473" s="51"/>
      <c r="O473" s="51"/>
      <c r="P473" s="51"/>
      <c r="Q473" s="51"/>
      <c r="R473" s="51"/>
      <c r="S473" s="51"/>
      <c r="T473" s="51"/>
    </row>
    <row r="474">
      <c r="A474" s="51"/>
      <c r="B474" s="51"/>
      <c r="C474" s="56"/>
      <c r="D474" s="51"/>
      <c r="E474" s="51"/>
      <c r="F474" s="51"/>
      <c r="G474" s="51" t="str">
        <f>IFERROR(__xludf.DUMMYFUNCTION("""COMPUTED_VALUE"""),"#VALUE!")</f>
        <v>#VALUE!</v>
      </c>
      <c r="H474" s="51" t="str">
        <f>IFERROR(__xludf.DUMMYFUNCTION("""COMPUTED_VALUE"""),"")</f>
        <v/>
      </c>
      <c r="I474" s="51" t="str">
        <f>IFERROR(__xludf.DUMMYFUNCTION("""COMPUTED_VALUE"""),"#VALUE!")</f>
        <v>#VALUE!</v>
      </c>
      <c r="J474" s="51" t="str">
        <f>IFERROR(__xludf.DUMMYFUNCTION("""COMPUTED_VALUE"""),"")</f>
        <v/>
      </c>
      <c r="K474" s="51"/>
      <c r="L474" s="51" t="s">
        <v>257</v>
      </c>
      <c r="M474" s="51"/>
      <c r="N474" s="51"/>
      <c r="O474" s="51"/>
      <c r="P474" s="51"/>
      <c r="Q474" s="51"/>
      <c r="R474" s="51"/>
      <c r="S474" s="51"/>
      <c r="T474" s="51"/>
    </row>
    <row r="475">
      <c r="A475" s="51"/>
      <c r="B475" s="51"/>
      <c r="C475" s="56"/>
      <c r="D475" s="51"/>
      <c r="E475" s="51"/>
      <c r="F475" s="51"/>
      <c r="G475" s="51" t="str">
        <f>IFERROR(__xludf.DUMMYFUNCTION("""COMPUTED_VALUE"""),"#VALUE!")</f>
        <v>#VALUE!</v>
      </c>
      <c r="H475" s="51" t="str">
        <f>IFERROR(__xludf.DUMMYFUNCTION("""COMPUTED_VALUE"""),"")</f>
        <v/>
      </c>
      <c r="I475" s="51" t="str">
        <f>IFERROR(__xludf.DUMMYFUNCTION("""COMPUTED_VALUE"""),"#VALUE!")</f>
        <v>#VALUE!</v>
      </c>
      <c r="J475" s="51" t="str">
        <f>IFERROR(__xludf.DUMMYFUNCTION("""COMPUTED_VALUE"""),"")</f>
        <v/>
      </c>
      <c r="K475" s="51"/>
      <c r="L475" s="51" t="s">
        <v>257</v>
      </c>
      <c r="M475" s="51"/>
      <c r="N475" s="51"/>
      <c r="O475" s="51"/>
      <c r="P475" s="51"/>
      <c r="Q475" s="51"/>
      <c r="R475" s="51"/>
      <c r="S475" s="51"/>
      <c r="T475" s="51"/>
    </row>
    <row r="476">
      <c r="A476" s="51"/>
      <c r="B476" s="51"/>
      <c r="C476" s="56"/>
      <c r="D476" s="51"/>
      <c r="E476" s="51"/>
      <c r="F476" s="51"/>
      <c r="G476" s="51" t="str">
        <f>IFERROR(__xludf.DUMMYFUNCTION("""COMPUTED_VALUE"""),"#VALUE!")</f>
        <v>#VALUE!</v>
      </c>
      <c r="H476" s="51" t="str">
        <f>IFERROR(__xludf.DUMMYFUNCTION("""COMPUTED_VALUE"""),"")</f>
        <v/>
      </c>
      <c r="I476" s="51" t="str">
        <f>IFERROR(__xludf.DUMMYFUNCTION("""COMPUTED_VALUE"""),"#VALUE!")</f>
        <v>#VALUE!</v>
      </c>
      <c r="J476" s="51" t="str">
        <f>IFERROR(__xludf.DUMMYFUNCTION("""COMPUTED_VALUE"""),"")</f>
        <v/>
      </c>
      <c r="K476" s="51"/>
      <c r="L476" s="51" t="s">
        <v>257</v>
      </c>
      <c r="M476" s="51"/>
      <c r="N476" s="51"/>
      <c r="O476" s="51"/>
      <c r="P476" s="51"/>
      <c r="Q476" s="51"/>
      <c r="R476" s="51"/>
      <c r="S476" s="51"/>
      <c r="T476" s="51"/>
    </row>
    <row r="477">
      <c r="A477" s="51"/>
      <c r="B477" s="51"/>
      <c r="C477" s="56"/>
      <c r="D477" s="51"/>
      <c r="E477" s="51"/>
      <c r="F477" s="51"/>
      <c r="G477" s="51" t="str">
        <f>IFERROR(__xludf.DUMMYFUNCTION("""COMPUTED_VALUE"""),"#VALUE!")</f>
        <v>#VALUE!</v>
      </c>
      <c r="H477" s="51" t="str">
        <f>IFERROR(__xludf.DUMMYFUNCTION("""COMPUTED_VALUE"""),"")</f>
        <v/>
      </c>
      <c r="I477" s="51" t="str">
        <f>IFERROR(__xludf.DUMMYFUNCTION("""COMPUTED_VALUE"""),"#VALUE!")</f>
        <v>#VALUE!</v>
      </c>
      <c r="J477" s="51" t="str">
        <f>IFERROR(__xludf.DUMMYFUNCTION("""COMPUTED_VALUE"""),"")</f>
        <v/>
      </c>
      <c r="K477" s="51"/>
      <c r="L477" s="51" t="s">
        <v>257</v>
      </c>
      <c r="M477" s="51"/>
      <c r="N477" s="51"/>
      <c r="O477" s="51"/>
      <c r="P477" s="51"/>
      <c r="Q477" s="51"/>
      <c r="R477" s="51"/>
      <c r="S477" s="51"/>
      <c r="T477" s="51"/>
    </row>
    <row r="478">
      <c r="A478" s="51"/>
      <c r="B478" s="51"/>
      <c r="C478" s="56"/>
      <c r="D478" s="51"/>
      <c r="E478" s="51"/>
      <c r="F478" s="51"/>
      <c r="G478" s="51" t="str">
        <f>IFERROR(__xludf.DUMMYFUNCTION("""COMPUTED_VALUE"""),"#VALUE!")</f>
        <v>#VALUE!</v>
      </c>
      <c r="H478" s="51" t="str">
        <f>IFERROR(__xludf.DUMMYFUNCTION("""COMPUTED_VALUE"""),"")</f>
        <v/>
      </c>
      <c r="I478" s="51" t="str">
        <f>IFERROR(__xludf.DUMMYFUNCTION("""COMPUTED_VALUE"""),"#VALUE!")</f>
        <v>#VALUE!</v>
      </c>
      <c r="J478" s="51" t="str">
        <f>IFERROR(__xludf.DUMMYFUNCTION("""COMPUTED_VALUE"""),"")</f>
        <v/>
      </c>
      <c r="K478" s="51"/>
      <c r="L478" s="51" t="s">
        <v>257</v>
      </c>
      <c r="M478" s="51"/>
      <c r="N478" s="51"/>
      <c r="O478" s="51"/>
      <c r="P478" s="51"/>
      <c r="Q478" s="51"/>
      <c r="R478" s="51"/>
      <c r="S478" s="51"/>
      <c r="T478" s="51"/>
    </row>
    <row r="479">
      <c r="A479" s="51"/>
      <c r="B479" s="51"/>
      <c r="C479" s="56"/>
      <c r="D479" s="51"/>
      <c r="E479" s="51"/>
      <c r="F479" s="51"/>
      <c r="G479" s="51" t="str">
        <f>IFERROR(__xludf.DUMMYFUNCTION("""COMPUTED_VALUE"""),"#VALUE!")</f>
        <v>#VALUE!</v>
      </c>
      <c r="H479" s="51" t="str">
        <f>IFERROR(__xludf.DUMMYFUNCTION("""COMPUTED_VALUE"""),"")</f>
        <v/>
      </c>
      <c r="I479" s="51" t="str">
        <f>IFERROR(__xludf.DUMMYFUNCTION("""COMPUTED_VALUE"""),"#VALUE!")</f>
        <v>#VALUE!</v>
      </c>
      <c r="J479" s="51" t="str">
        <f>IFERROR(__xludf.DUMMYFUNCTION("""COMPUTED_VALUE"""),"")</f>
        <v/>
      </c>
      <c r="K479" s="51"/>
      <c r="L479" s="51" t="s">
        <v>257</v>
      </c>
      <c r="M479" s="51"/>
      <c r="N479" s="51"/>
      <c r="O479" s="51"/>
      <c r="P479" s="51"/>
      <c r="Q479" s="51"/>
      <c r="R479" s="51"/>
      <c r="S479" s="51"/>
      <c r="T479" s="51"/>
    </row>
    <row r="480">
      <c r="A480" s="51"/>
      <c r="B480" s="51"/>
      <c r="C480" s="56"/>
      <c r="D480" s="51"/>
      <c r="E480" s="51"/>
      <c r="F480" s="51"/>
      <c r="G480" s="51" t="str">
        <f>IFERROR(__xludf.DUMMYFUNCTION("""COMPUTED_VALUE"""),"#VALUE!")</f>
        <v>#VALUE!</v>
      </c>
      <c r="H480" s="51" t="str">
        <f>IFERROR(__xludf.DUMMYFUNCTION("""COMPUTED_VALUE"""),"")</f>
        <v/>
      </c>
      <c r="I480" s="51" t="str">
        <f>IFERROR(__xludf.DUMMYFUNCTION("""COMPUTED_VALUE"""),"#VALUE!")</f>
        <v>#VALUE!</v>
      </c>
      <c r="J480" s="51" t="str">
        <f>IFERROR(__xludf.DUMMYFUNCTION("""COMPUTED_VALUE"""),"")</f>
        <v/>
      </c>
      <c r="K480" s="51"/>
      <c r="L480" s="51" t="s">
        <v>257</v>
      </c>
      <c r="M480" s="51"/>
      <c r="N480" s="51"/>
      <c r="O480" s="51"/>
      <c r="P480" s="51"/>
      <c r="Q480" s="51"/>
      <c r="R480" s="51"/>
      <c r="S480" s="51"/>
      <c r="T480" s="51"/>
    </row>
    <row r="481">
      <c r="A481" s="51"/>
      <c r="B481" s="51"/>
      <c r="C481" s="56"/>
      <c r="D481" s="51"/>
      <c r="E481" s="51"/>
      <c r="F481" s="51"/>
      <c r="G481" s="51" t="str">
        <f>IFERROR(__xludf.DUMMYFUNCTION("""COMPUTED_VALUE"""),"#VALUE!")</f>
        <v>#VALUE!</v>
      </c>
      <c r="H481" s="51" t="str">
        <f>IFERROR(__xludf.DUMMYFUNCTION("""COMPUTED_VALUE"""),"")</f>
        <v/>
      </c>
      <c r="I481" s="51" t="str">
        <f>IFERROR(__xludf.DUMMYFUNCTION("""COMPUTED_VALUE"""),"#VALUE!")</f>
        <v>#VALUE!</v>
      </c>
      <c r="J481" s="51" t="str">
        <f>IFERROR(__xludf.DUMMYFUNCTION("""COMPUTED_VALUE"""),"")</f>
        <v/>
      </c>
      <c r="K481" s="51"/>
      <c r="L481" s="51" t="s">
        <v>257</v>
      </c>
      <c r="M481" s="51"/>
      <c r="N481" s="51"/>
      <c r="O481" s="51"/>
      <c r="P481" s="51"/>
      <c r="Q481" s="51"/>
      <c r="R481" s="51"/>
      <c r="S481" s="51"/>
      <c r="T481" s="51"/>
    </row>
    <row r="482">
      <c r="A482" s="51"/>
      <c r="B482" s="51"/>
      <c r="C482" s="56"/>
      <c r="D482" s="51"/>
      <c r="E482" s="51"/>
      <c r="F482" s="51"/>
      <c r="G482" s="51" t="str">
        <f>IFERROR(__xludf.DUMMYFUNCTION("""COMPUTED_VALUE"""),"#VALUE!")</f>
        <v>#VALUE!</v>
      </c>
      <c r="H482" s="51" t="str">
        <f>IFERROR(__xludf.DUMMYFUNCTION("""COMPUTED_VALUE"""),"")</f>
        <v/>
      </c>
      <c r="I482" s="51" t="str">
        <f>IFERROR(__xludf.DUMMYFUNCTION("""COMPUTED_VALUE"""),"#VALUE!")</f>
        <v>#VALUE!</v>
      </c>
      <c r="J482" s="51" t="str">
        <f>IFERROR(__xludf.DUMMYFUNCTION("""COMPUTED_VALUE"""),"")</f>
        <v/>
      </c>
      <c r="K482" s="51"/>
      <c r="L482" s="51" t="s">
        <v>257</v>
      </c>
      <c r="M482" s="51"/>
      <c r="N482" s="51"/>
      <c r="O482" s="51"/>
      <c r="P482" s="51"/>
      <c r="Q482" s="51"/>
      <c r="R482" s="51"/>
      <c r="S482" s="51"/>
      <c r="T482" s="51"/>
    </row>
    <row r="483">
      <c r="A483" s="51"/>
      <c r="B483" s="51"/>
      <c r="C483" s="56"/>
      <c r="D483" s="51"/>
      <c r="E483" s="51"/>
      <c r="F483" s="51"/>
      <c r="G483" s="51" t="str">
        <f>IFERROR(__xludf.DUMMYFUNCTION("""COMPUTED_VALUE"""),"#VALUE!")</f>
        <v>#VALUE!</v>
      </c>
      <c r="H483" s="51" t="str">
        <f>IFERROR(__xludf.DUMMYFUNCTION("""COMPUTED_VALUE"""),"")</f>
        <v/>
      </c>
      <c r="I483" s="51" t="str">
        <f>IFERROR(__xludf.DUMMYFUNCTION("""COMPUTED_VALUE"""),"#VALUE!")</f>
        <v>#VALUE!</v>
      </c>
      <c r="J483" s="51" t="str">
        <f>IFERROR(__xludf.DUMMYFUNCTION("""COMPUTED_VALUE"""),"")</f>
        <v/>
      </c>
      <c r="K483" s="51"/>
      <c r="L483" s="51" t="s">
        <v>257</v>
      </c>
      <c r="M483" s="51"/>
      <c r="N483" s="51"/>
      <c r="O483" s="51"/>
      <c r="P483" s="51"/>
      <c r="Q483" s="51"/>
      <c r="R483" s="51"/>
      <c r="S483" s="51"/>
      <c r="T483" s="51"/>
    </row>
    <row r="484">
      <c r="A484" s="51"/>
      <c r="B484" s="51"/>
      <c r="C484" s="56"/>
      <c r="D484" s="51"/>
      <c r="E484" s="51"/>
      <c r="F484" s="51"/>
      <c r="G484" s="51" t="str">
        <f>IFERROR(__xludf.DUMMYFUNCTION("""COMPUTED_VALUE"""),"#VALUE!")</f>
        <v>#VALUE!</v>
      </c>
      <c r="H484" s="51" t="str">
        <f>IFERROR(__xludf.DUMMYFUNCTION("""COMPUTED_VALUE"""),"")</f>
        <v/>
      </c>
      <c r="I484" s="51" t="str">
        <f>IFERROR(__xludf.DUMMYFUNCTION("""COMPUTED_VALUE"""),"#VALUE!")</f>
        <v>#VALUE!</v>
      </c>
      <c r="J484" s="51" t="str">
        <f>IFERROR(__xludf.DUMMYFUNCTION("""COMPUTED_VALUE"""),"")</f>
        <v/>
      </c>
      <c r="K484" s="51"/>
      <c r="L484" s="51" t="s">
        <v>257</v>
      </c>
      <c r="M484" s="51"/>
      <c r="N484" s="51"/>
      <c r="O484" s="51"/>
      <c r="P484" s="51"/>
      <c r="Q484" s="51"/>
      <c r="R484" s="51"/>
      <c r="S484" s="51"/>
      <c r="T484" s="51"/>
    </row>
    <row r="485">
      <c r="A485" s="51"/>
      <c r="B485" s="51"/>
      <c r="C485" s="56"/>
      <c r="D485" s="51"/>
      <c r="E485" s="51"/>
      <c r="F485" s="51"/>
      <c r="G485" s="51" t="str">
        <f>IFERROR(__xludf.DUMMYFUNCTION("""COMPUTED_VALUE"""),"#VALUE!")</f>
        <v>#VALUE!</v>
      </c>
      <c r="H485" s="51" t="str">
        <f>IFERROR(__xludf.DUMMYFUNCTION("""COMPUTED_VALUE"""),"")</f>
        <v/>
      </c>
      <c r="I485" s="51" t="str">
        <f>IFERROR(__xludf.DUMMYFUNCTION("""COMPUTED_VALUE"""),"#VALUE!")</f>
        <v>#VALUE!</v>
      </c>
      <c r="J485" s="51" t="str">
        <f>IFERROR(__xludf.DUMMYFUNCTION("""COMPUTED_VALUE"""),"")</f>
        <v/>
      </c>
      <c r="K485" s="51"/>
      <c r="L485" s="51" t="s">
        <v>257</v>
      </c>
      <c r="M485" s="51"/>
      <c r="N485" s="51"/>
      <c r="O485" s="51"/>
      <c r="P485" s="51"/>
      <c r="Q485" s="51"/>
      <c r="R485" s="51"/>
      <c r="S485" s="51"/>
      <c r="T485" s="51"/>
    </row>
    <row r="486">
      <c r="A486" s="51"/>
      <c r="B486" s="51"/>
      <c r="C486" s="56"/>
      <c r="D486" s="51"/>
      <c r="E486" s="51"/>
      <c r="F486" s="51"/>
      <c r="G486" s="51" t="str">
        <f>IFERROR(__xludf.DUMMYFUNCTION("""COMPUTED_VALUE"""),"#VALUE!")</f>
        <v>#VALUE!</v>
      </c>
      <c r="H486" s="51" t="str">
        <f>IFERROR(__xludf.DUMMYFUNCTION("""COMPUTED_VALUE"""),"")</f>
        <v/>
      </c>
      <c r="I486" s="51" t="str">
        <f>IFERROR(__xludf.DUMMYFUNCTION("""COMPUTED_VALUE"""),"#VALUE!")</f>
        <v>#VALUE!</v>
      </c>
      <c r="J486" s="51" t="str">
        <f>IFERROR(__xludf.DUMMYFUNCTION("""COMPUTED_VALUE"""),"")</f>
        <v/>
      </c>
      <c r="K486" s="51"/>
      <c r="L486" s="51" t="s">
        <v>257</v>
      </c>
      <c r="M486" s="51"/>
      <c r="N486" s="51"/>
      <c r="O486" s="51"/>
      <c r="P486" s="51"/>
      <c r="Q486" s="51"/>
      <c r="R486" s="51"/>
      <c r="S486" s="51"/>
      <c r="T486" s="51"/>
    </row>
    <row r="487">
      <c r="A487" s="51"/>
      <c r="B487" s="51"/>
      <c r="C487" s="56"/>
      <c r="D487" s="51"/>
      <c r="E487" s="51"/>
      <c r="F487" s="51"/>
      <c r="G487" s="51" t="str">
        <f>IFERROR(__xludf.DUMMYFUNCTION("""COMPUTED_VALUE"""),"#VALUE!")</f>
        <v>#VALUE!</v>
      </c>
      <c r="H487" s="51" t="str">
        <f>IFERROR(__xludf.DUMMYFUNCTION("""COMPUTED_VALUE"""),"")</f>
        <v/>
      </c>
      <c r="I487" s="51" t="str">
        <f>IFERROR(__xludf.DUMMYFUNCTION("""COMPUTED_VALUE"""),"#VALUE!")</f>
        <v>#VALUE!</v>
      </c>
      <c r="J487" s="51" t="str">
        <f>IFERROR(__xludf.DUMMYFUNCTION("""COMPUTED_VALUE"""),"")</f>
        <v/>
      </c>
      <c r="K487" s="51"/>
      <c r="L487" s="51" t="s">
        <v>257</v>
      </c>
      <c r="M487" s="51"/>
      <c r="N487" s="51"/>
      <c r="O487" s="51"/>
      <c r="P487" s="51"/>
      <c r="Q487" s="51"/>
      <c r="R487" s="51"/>
      <c r="S487" s="51"/>
      <c r="T487" s="51"/>
    </row>
    <row r="488">
      <c r="A488" s="51"/>
      <c r="B488" s="51"/>
      <c r="C488" s="56"/>
      <c r="D488" s="51"/>
      <c r="E488" s="51"/>
      <c r="F488" s="51"/>
      <c r="G488" s="51" t="str">
        <f>IFERROR(__xludf.DUMMYFUNCTION("""COMPUTED_VALUE"""),"#VALUE!")</f>
        <v>#VALUE!</v>
      </c>
      <c r="H488" s="51" t="str">
        <f>IFERROR(__xludf.DUMMYFUNCTION("""COMPUTED_VALUE"""),"")</f>
        <v/>
      </c>
      <c r="I488" s="51" t="str">
        <f>IFERROR(__xludf.DUMMYFUNCTION("""COMPUTED_VALUE"""),"#VALUE!")</f>
        <v>#VALUE!</v>
      </c>
      <c r="J488" s="51" t="str">
        <f>IFERROR(__xludf.DUMMYFUNCTION("""COMPUTED_VALUE"""),"")</f>
        <v/>
      </c>
      <c r="K488" s="51"/>
      <c r="L488" s="51" t="s">
        <v>257</v>
      </c>
      <c r="M488" s="51"/>
      <c r="N488" s="51"/>
      <c r="O488" s="51"/>
      <c r="P488" s="51"/>
      <c r="Q488" s="51"/>
      <c r="R488" s="51"/>
      <c r="S488" s="51"/>
      <c r="T488" s="51"/>
    </row>
    <row r="489">
      <c r="A489" s="51"/>
      <c r="B489" s="51"/>
      <c r="C489" s="56"/>
      <c r="D489" s="51"/>
      <c r="E489" s="51"/>
      <c r="F489" s="51"/>
      <c r="G489" s="51" t="str">
        <f>IFERROR(__xludf.DUMMYFUNCTION("""COMPUTED_VALUE"""),"#VALUE!")</f>
        <v>#VALUE!</v>
      </c>
      <c r="H489" s="51" t="str">
        <f>IFERROR(__xludf.DUMMYFUNCTION("""COMPUTED_VALUE"""),"")</f>
        <v/>
      </c>
      <c r="I489" s="51" t="str">
        <f>IFERROR(__xludf.DUMMYFUNCTION("""COMPUTED_VALUE"""),"#VALUE!")</f>
        <v>#VALUE!</v>
      </c>
      <c r="J489" s="51" t="str">
        <f>IFERROR(__xludf.DUMMYFUNCTION("""COMPUTED_VALUE"""),"")</f>
        <v/>
      </c>
      <c r="K489" s="51"/>
      <c r="L489" s="51" t="s">
        <v>257</v>
      </c>
      <c r="M489" s="51"/>
      <c r="N489" s="51"/>
      <c r="O489" s="51"/>
      <c r="P489" s="51"/>
      <c r="Q489" s="51"/>
      <c r="R489" s="51"/>
      <c r="S489" s="51"/>
      <c r="T489" s="51"/>
    </row>
    <row r="490">
      <c r="A490" s="51"/>
      <c r="B490" s="51"/>
      <c r="C490" s="56"/>
      <c r="D490" s="51"/>
      <c r="E490" s="51"/>
      <c r="F490" s="51"/>
      <c r="G490" s="51" t="str">
        <f>IFERROR(__xludf.DUMMYFUNCTION("""COMPUTED_VALUE"""),"#VALUE!")</f>
        <v>#VALUE!</v>
      </c>
      <c r="H490" s="51" t="str">
        <f>IFERROR(__xludf.DUMMYFUNCTION("""COMPUTED_VALUE"""),"")</f>
        <v/>
      </c>
      <c r="I490" s="51" t="str">
        <f>IFERROR(__xludf.DUMMYFUNCTION("""COMPUTED_VALUE"""),"#VALUE!")</f>
        <v>#VALUE!</v>
      </c>
      <c r="J490" s="51" t="str">
        <f>IFERROR(__xludf.DUMMYFUNCTION("""COMPUTED_VALUE"""),"")</f>
        <v/>
      </c>
      <c r="K490" s="51"/>
      <c r="L490" s="51" t="s">
        <v>257</v>
      </c>
      <c r="M490" s="51"/>
      <c r="N490" s="51"/>
      <c r="O490" s="51"/>
      <c r="P490" s="51"/>
      <c r="Q490" s="51"/>
      <c r="R490" s="51"/>
      <c r="S490" s="51"/>
      <c r="T490" s="51"/>
    </row>
    <row r="491">
      <c r="A491" s="51"/>
      <c r="B491" s="51"/>
      <c r="C491" s="56"/>
      <c r="D491" s="51"/>
      <c r="E491" s="51"/>
      <c r="F491" s="51"/>
      <c r="G491" s="51" t="str">
        <f>IFERROR(__xludf.DUMMYFUNCTION("""COMPUTED_VALUE"""),"#VALUE!")</f>
        <v>#VALUE!</v>
      </c>
      <c r="H491" s="51" t="str">
        <f>IFERROR(__xludf.DUMMYFUNCTION("""COMPUTED_VALUE"""),"")</f>
        <v/>
      </c>
      <c r="I491" s="51" t="str">
        <f>IFERROR(__xludf.DUMMYFUNCTION("""COMPUTED_VALUE"""),"#VALUE!")</f>
        <v>#VALUE!</v>
      </c>
      <c r="J491" s="51" t="str">
        <f>IFERROR(__xludf.DUMMYFUNCTION("""COMPUTED_VALUE"""),"")</f>
        <v/>
      </c>
      <c r="K491" s="51"/>
      <c r="L491" s="51" t="s">
        <v>257</v>
      </c>
      <c r="M491" s="51"/>
      <c r="N491" s="51"/>
      <c r="O491" s="51"/>
      <c r="P491" s="51"/>
      <c r="Q491" s="51"/>
      <c r="R491" s="51"/>
      <c r="S491" s="51"/>
      <c r="T491" s="51"/>
    </row>
    <row r="492">
      <c r="A492" s="51"/>
      <c r="B492" s="51"/>
      <c r="C492" s="56"/>
      <c r="D492" s="51"/>
      <c r="E492" s="51"/>
      <c r="F492" s="51"/>
      <c r="G492" s="51" t="str">
        <f>IFERROR(__xludf.DUMMYFUNCTION("""COMPUTED_VALUE"""),"#VALUE!")</f>
        <v>#VALUE!</v>
      </c>
      <c r="H492" s="51" t="str">
        <f>IFERROR(__xludf.DUMMYFUNCTION("""COMPUTED_VALUE"""),"")</f>
        <v/>
      </c>
      <c r="I492" s="51" t="str">
        <f>IFERROR(__xludf.DUMMYFUNCTION("""COMPUTED_VALUE"""),"#VALUE!")</f>
        <v>#VALUE!</v>
      </c>
      <c r="J492" s="51" t="str">
        <f>IFERROR(__xludf.DUMMYFUNCTION("""COMPUTED_VALUE"""),"")</f>
        <v/>
      </c>
      <c r="K492" s="51"/>
      <c r="L492" s="51" t="s">
        <v>257</v>
      </c>
      <c r="M492" s="51"/>
      <c r="N492" s="51"/>
      <c r="O492" s="51"/>
      <c r="P492" s="51"/>
      <c r="Q492" s="51"/>
      <c r="R492" s="51"/>
      <c r="S492" s="51"/>
      <c r="T492" s="51"/>
    </row>
    <row r="493">
      <c r="A493" s="51"/>
      <c r="B493" s="51"/>
      <c r="C493" s="56"/>
      <c r="D493" s="51"/>
      <c r="E493" s="51"/>
      <c r="F493" s="51"/>
      <c r="G493" s="51" t="str">
        <f>IFERROR(__xludf.DUMMYFUNCTION("""COMPUTED_VALUE"""),"#VALUE!")</f>
        <v>#VALUE!</v>
      </c>
      <c r="H493" s="51" t="str">
        <f>IFERROR(__xludf.DUMMYFUNCTION("""COMPUTED_VALUE"""),"")</f>
        <v/>
      </c>
      <c r="I493" s="51" t="str">
        <f>IFERROR(__xludf.DUMMYFUNCTION("""COMPUTED_VALUE"""),"#VALUE!")</f>
        <v>#VALUE!</v>
      </c>
      <c r="J493" s="51" t="str">
        <f>IFERROR(__xludf.DUMMYFUNCTION("""COMPUTED_VALUE"""),"")</f>
        <v/>
      </c>
      <c r="K493" s="51"/>
      <c r="L493" s="51" t="s">
        <v>257</v>
      </c>
      <c r="M493" s="51"/>
      <c r="N493" s="51"/>
      <c r="O493" s="51"/>
      <c r="P493" s="51"/>
      <c r="Q493" s="51"/>
      <c r="R493" s="51"/>
      <c r="S493" s="51"/>
      <c r="T493" s="51"/>
    </row>
    <row r="494">
      <c r="A494" s="51"/>
      <c r="B494" s="51"/>
      <c r="C494" s="56"/>
      <c r="D494" s="51"/>
      <c r="E494" s="51"/>
      <c r="F494" s="51"/>
      <c r="G494" s="51" t="str">
        <f>IFERROR(__xludf.DUMMYFUNCTION("""COMPUTED_VALUE"""),"#VALUE!")</f>
        <v>#VALUE!</v>
      </c>
      <c r="H494" s="51" t="str">
        <f>IFERROR(__xludf.DUMMYFUNCTION("""COMPUTED_VALUE"""),"")</f>
        <v/>
      </c>
      <c r="I494" s="51" t="str">
        <f>IFERROR(__xludf.DUMMYFUNCTION("""COMPUTED_VALUE"""),"#VALUE!")</f>
        <v>#VALUE!</v>
      </c>
      <c r="J494" s="51" t="str">
        <f>IFERROR(__xludf.DUMMYFUNCTION("""COMPUTED_VALUE"""),"")</f>
        <v/>
      </c>
      <c r="K494" s="51"/>
      <c r="L494" s="51" t="s">
        <v>257</v>
      </c>
      <c r="M494" s="51"/>
      <c r="N494" s="51"/>
      <c r="O494" s="51"/>
      <c r="P494" s="51"/>
      <c r="Q494" s="51"/>
      <c r="R494" s="51"/>
      <c r="S494" s="51"/>
      <c r="T494" s="51"/>
    </row>
    <row r="495">
      <c r="A495" s="51"/>
      <c r="B495" s="51"/>
      <c r="C495" s="56"/>
      <c r="D495" s="51"/>
      <c r="E495" s="51"/>
      <c r="F495" s="51"/>
      <c r="G495" s="51" t="str">
        <f>IFERROR(__xludf.DUMMYFUNCTION("""COMPUTED_VALUE"""),"#VALUE!")</f>
        <v>#VALUE!</v>
      </c>
      <c r="H495" s="51" t="str">
        <f>IFERROR(__xludf.DUMMYFUNCTION("""COMPUTED_VALUE"""),"")</f>
        <v/>
      </c>
      <c r="I495" s="51" t="str">
        <f>IFERROR(__xludf.DUMMYFUNCTION("""COMPUTED_VALUE"""),"#VALUE!")</f>
        <v>#VALUE!</v>
      </c>
      <c r="J495" s="51" t="str">
        <f>IFERROR(__xludf.DUMMYFUNCTION("""COMPUTED_VALUE"""),"")</f>
        <v/>
      </c>
      <c r="K495" s="51"/>
      <c r="L495" s="51" t="s">
        <v>257</v>
      </c>
      <c r="M495" s="51"/>
      <c r="N495" s="51"/>
      <c r="O495" s="51"/>
      <c r="P495" s="51"/>
      <c r="Q495" s="51"/>
      <c r="R495" s="51"/>
      <c r="S495" s="51"/>
      <c r="T495" s="51"/>
    </row>
    <row r="496">
      <c r="A496" s="51"/>
      <c r="B496" s="51"/>
      <c r="C496" s="56"/>
      <c r="D496" s="51"/>
      <c r="E496" s="51"/>
      <c r="F496" s="51"/>
      <c r="G496" s="51" t="str">
        <f>IFERROR(__xludf.DUMMYFUNCTION("""COMPUTED_VALUE"""),"#VALUE!")</f>
        <v>#VALUE!</v>
      </c>
      <c r="H496" s="51" t="str">
        <f>IFERROR(__xludf.DUMMYFUNCTION("""COMPUTED_VALUE"""),"")</f>
        <v/>
      </c>
      <c r="I496" s="51" t="str">
        <f>IFERROR(__xludf.DUMMYFUNCTION("""COMPUTED_VALUE"""),"#VALUE!")</f>
        <v>#VALUE!</v>
      </c>
      <c r="J496" s="51" t="str">
        <f>IFERROR(__xludf.DUMMYFUNCTION("""COMPUTED_VALUE"""),"")</f>
        <v/>
      </c>
      <c r="K496" s="51"/>
      <c r="L496" s="51" t="s">
        <v>257</v>
      </c>
      <c r="M496" s="51"/>
      <c r="N496" s="51"/>
      <c r="O496" s="51"/>
      <c r="P496" s="51"/>
      <c r="Q496" s="51"/>
      <c r="R496" s="51"/>
      <c r="S496" s="51"/>
      <c r="T496" s="51"/>
    </row>
    <row r="497">
      <c r="A497" s="51"/>
      <c r="B497" s="51"/>
      <c r="C497" s="56"/>
      <c r="D497" s="51"/>
      <c r="E497" s="51"/>
      <c r="F497" s="51"/>
      <c r="G497" s="51" t="str">
        <f>IFERROR(__xludf.DUMMYFUNCTION("""COMPUTED_VALUE"""),"#VALUE!")</f>
        <v>#VALUE!</v>
      </c>
      <c r="H497" s="51" t="str">
        <f>IFERROR(__xludf.DUMMYFUNCTION("""COMPUTED_VALUE"""),"")</f>
        <v/>
      </c>
      <c r="I497" s="51" t="str">
        <f>IFERROR(__xludf.DUMMYFUNCTION("""COMPUTED_VALUE"""),"#VALUE!")</f>
        <v>#VALUE!</v>
      </c>
      <c r="J497" s="51" t="str">
        <f>IFERROR(__xludf.DUMMYFUNCTION("""COMPUTED_VALUE"""),"")</f>
        <v/>
      </c>
      <c r="K497" s="51"/>
      <c r="L497" s="51" t="s">
        <v>257</v>
      </c>
      <c r="M497" s="51"/>
      <c r="N497" s="51"/>
      <c r="O497" s="51"/>
      <c r="P497" s="51"/>
      <c r="Q497" s="51"/>
      <c r="R497" s="51"/>
      <c r="S497" s="51"/>
      <c r="T497" s="51"/>
    </row>
    <row r="498">
      <c r="A498" s="51"/>
      <c r="B498" s="51"/>
      <c r="C498" s="56"/>
      <c r="D498" s="51"/>
      <c r="E498" s="51"/>
      <c r="F498" s="51"/>
      <c r="G498" s="51" t="str">
        <f>IFERROR(__xludf.DUMMYFUNCTION("""COMPUTED_VALUE"""),"#VALUE!")</f>
        <v>#VALUE!</v>
      </c>
      <c r="H498" s="51" t="str">
        <f>IFERROR(__xludf.DUMMYFUNCTION("""COMPUTED_VALUE"""),"")</f>
        <v/>
      </c>
      <c r="I498" s="51" t="str">
        <f>IFERROR(__xludf.DUMMYFUNCTION("""COMPUTED_VALUE"""),"#VALUE!")</f>
        <v>#VALUE!</v>
      </c>
      <c r="J498" s="51" t="str">
        <f>IFERROR(__xludf.DUMMYFUNCTION("""COMPUTED_VALUE"""),"")</f>
        <v/>
      </c>
      <c r="K498" s="51"/>
      <c r="L498" s="51" t="s">
        <v>257</v>
      </c>
      <c r="M498" s="51"/>
      <c r="N498" s="51"/>
      <c r="O498" s="51"/>
      <c r="P498" s="51"/>
      <c r="Q498" s="51"/>
      <c r="R498" s="51"/>
      <c r="S498" s="51"/>
      <c r="T498" s="51"/>
    </row>
    <row r="499">
      <c r="A499" s="51"/>
      <c r="B499" s="51"/>
      <c r="C499" s="56"/>
      <c r="D499" s="51"/>
      <c r="E499" s="51"/>
      <c r="F499" s="51"/>
      <c r="G499" s="51" t="str">
        <f>IFERROR(__xludf.DUMMYFUNCTION("""COMPUTED_VALUE"""),"#VALUE!")</f>
        <v>#VALUE!</v>
      </c>
      <c r="H499" s="51" t="str">
        <f>IFERROR(__xludf.DUMMYFUNCTION("""COMPUTED_VALUE"""),"")</f>
        <v/>
      </c>
      <c r="I499" s="51" t="str">
        <f>IFERROR(__xludf.DUMMYFUNCTION("""COMPUTED_VALUE"""),"#VALUE!")</f>
        <v>#VALUE!</v>
      </c>
      <c r="J499" s="51" t="str">
        <f>IFERROR(__xludf.DUMMYFUNCTION("""COMPUTED_VALUE"""),"")</f>
        <v/>
      </c>
      <c r="K499" s="51"/>
      <c r="L499" s="51" t="s">
        <v>257</v>
      </c>
      <c r="M499" s="51"/>
      <c r="N499" s="51"/>
      <c r="O499" s="51"/>
      <c r="P499" s="51"/>
      <c r="Q499" s="51"/>
      <c r="R499" s="51"/>
      <c r="S499" s="51"/>
      <c r="T499" s="51"/>
    </row>
    <row r="500">
      <c r="A500" s="51"/>
      <c r="B500" s="51"/>
      <c r="C500" s="56"/>
      <c r="D500" s="51"/>
      <c r="E500" s="51"/>
      <c r="F500" s="51"/>
      <c r="G500" s="51" t="str">
        <f>IFERROR(__xludf.DUMMYFUNCTION("""COMPUTED_VALUE"""),"#VALUE!")</f>
        <v>#VALUE!</v>
      </c>
      <c r="H500" s="51" t="str">
        <f>IFERROR(__xludf.DUMMYFUNCTION("""COMPUTED_VALUE"""),"")</f>
        <v/>
      </c>
      <c r="I500" s="51" t="str">
        <f>IFERROR(__xludf.DUMMYFUNCTION("""COMPUTED_VALUE"""),"#VALUE!")</f>
        <v>#VALUE!</v>
      </c>
      <c r="J500" s="51" t="str">
        <f>IFERROR(__xludf.DUMMYFUNCTION("""COMPUTED_VALUE"""),"")</f>
        <v/>
      </c>
      <c r="K500" s="51"/>
      <c r="L500" s="51" t="s">
        <v>257</v>
      </c>
      <c r="M500" s="51"/>
      <c r="N500" s="51"/>
      <c r="O500" s="51"/>
      <c r="P500" s="51"/>
      <c r="Q500" s="51"/>
      <c r="R500" s="51"/>
      <c r="S500" s="51"/>
      <c r="T500" s="51"/>
    </row>
    <row r="501">
      <c r="A501" s="51"/>
      <c r="B501" s="51"/>
      <c r="C501" s="56"/>
      <c r="D501" s="51"/>
      <c r="E501" s="51"/>
      <c r="F501" s="51"/>
      <c r="G501" s="51" t="str">
        <f>IFERROR(__xludf.DUMMYFUNCTION("""COMPUTED_VALUE"""),"#VALUE!")</f>
        <v>#VALUE!</v>
      </c>
      <c r="H501" s="51" t="str">
        <f>IFERROR(__xludf.DUMMYFUNCTION("""COMPUTED_VALUE"""),"")</f>
        <v/>
      </c>
      <c r="I501" s="51" t="str">
        <f>IFERROR(__xludf.DUMMYFUNCTION("""COMPUTED_VALUE"""),"#VALUE!")</f>
        <v>#VALUE!</v>
      </c>
      <c r="J501" s="51" t="str">
        <f>IFERROR(__xludf.DUMMYFUNCTION("""COMPUTED_VALUE"""),"")</f>
        <v/>
      </c>
      <c r="K501" s="51"/>
      <c r="L501" s="51" t="s">
        <v>257</v>
      </c>
      <c r="M501" s="51"/>
      <c r="N501" s="51"/>
      <c r="O501" s="51"/>
      <c r="P501" s="51"/>
      <c r="Q501" s="51"/>
      <c r="R501" s="51"/>
      <c r="S501" s="51"/>
      <c r="T501" s="51"/>
    </row>
    <row r="502">
      <c r="A502" s="51"/>
      <c r="B502" s="51"/>
      <c r="C502" s="56"/>
      <c r="D502" s="51"/>
      <c r="E502" s="51"/>
      <c r="F502" s="51"/>
      <c r="G502" s="51" t="str">
        <f>IFERROR(__xludf.DUMMYFUNCTION("""COMPUTED_VALUE"""),"#VALUE!")</f>
        <v>#VALUE!</v>
      </c>
      <c r="H502" s="51" t="str">
        <f>IFERROR(__xludf.DUMMYFUNCTION("""COMPUTED_VALUE"""),"")</f>
        <v/>
      </c>
      <c r="I502" s="51" t="str">
        <f>IFERROR(__xludf.DUMMYFUNCTION("""COMPUTED_VALUE"""),"#VALUE!")</f>
        <v>#VALUE!</v>
      </c>
      <c r="J502" s="51" t="str">
        <f>IFERROR(__xludf.DUMMYFUNCTION("""COMPUTED_VALUE"""),"")</f>
        <v/>
      </c>
      <c r="K502" s="51"/>
      <c r="L502" s="51" t="s">
        <v>257</v>
      </c>
      <c r="M502" s="51"/>
      <c r="N502" s="51"/>
      <c r="O502" s="51"/>
      <c r="P502" s="51"/>
      <c r="Q502" s="51"/>
      <c r="R502" s="51"/>
      <c r="S502" s="51"/>
      <c r="T502" s="51"/>
    </row>
    <row r="503">
      <c r="A503" s="51"/>
      <c r="B503" s="51"/>
      <c r="C503" s="56"/>
      <c r="D503" s="51"/>
      <c r="E503" s="51"/>
      <c r="F503" s="51"/>
      <c r="G503" s="51" t="str">
        <f>IFERROR(__xludf.DUMMYFUNCTION("""COMPUTED_VALUE"""),"#VALUE!")</f>
        <v>#VALUE!</v>
      </c>
      <c r="H503" s="51" t="str">
        <f>IFERROR(__xludf.DUMMYFUNCTION("""COMPUTED_VALUE"""),"")</f>
        <v/>
      </c>
      <c r="I503" s="51" t="str">
        <f>IFERROR(__xludf.DUMMYFUNCTION("""COMPUTED_VALUE"""),"#VALUE!")</f>
        <v>#VALUE!</v>
      </c>
      <c r="J503" s="51" t="str">
        <f>IFERROR(__xludf.DUMMYFUNCTION("""COMPUTED_VALUE"""),"")</f>
        <v/>
      </c>
      <c r="K503" s="51"/>
      <c r="L503" s="51" t="s">
        <v>257</v>
      </c>
      <c r="M503" s="51"/>
      <c r="N503" s="51"/>
      <c r="O503" s="51"/>
      <c r="P503" s="51"/>
      <c r="Q503" s="51"/>
      <c r="R503" s="51"/>
      <c r="S503" s="51"/>
      <c r="T503" s="51"/>
    </row>
    <row r="504">
      <c r="A504" s="51"/>
      <c r="B504" s="51"/>
      <c r="C504" s="56"/>
      <c r="D504" s="51"/>
      <c r="E504" s="51"/>
      <c r="F504" s="51"/>
      <c r="G504" s="51" t="str">
        <f>IFERROR(__xludf.DUMMYFUNCTION("""COMPUTED_VALUE"""),"#VALUE!")</f>
        <v>#VALUE!</v>
      </c>
      <c r="H504" s="51" t="str">
        <f>IFERROR(__xludf.DUMMYFUNCTION("""COMPUTED_VALUE"""),"")</f>
        <v/>
      </c>
      <c r="I504" s="51" t="str">
        <f>IFERROR(__xludf.DUMMYFUNCTION("""COMPUTED_VALUE"""),"#VALUE!")</f>
        <v>#VALUE!</v>
      </c>
      <c r="J504" s="51" t="str">
        <f>IFERROR(__xludf.DUMMYFUNCTION("""COMPUTED_VALUE"""),"")</f>
        <v/>
      </c>
      <c r="K504" s="51"/>
      <c r="L504" s="51" t="s">
        <v>257</v>
      </c>
      <c r="M504" s="51"/>
      <c r="N504" s="51"/>
      <c r="O504" s="51"/>
      <c r="P504" s="51"/>
      <c r="Q504" s="51"/>
      <c r="R504" s="51"/>
      <c r="S504" s="51"/>
      <c r="T504" s="51"/>
    </row>
    <row r="505">
      <c r="A505" s="51"/>
      <c r="B505" s="51"/>
      <c r="C505" s="56"/>
      <c r="D505" s="51"/>
      <c r="E505" s="51"/>
      <c r="F505" s="51"/>
      <c r="G505" s="51" t="str">
        <f>IFERROR(__xludf.DUMMYFUNCTION("""COMPUTED_VALUE"""),"#VALUE!")</f>
        <v>#VALUE!</v>
      </c>
      <c r="H505" s="51" t="str">
        <f>IFERROR(__xludf.DUMMYFUNCTION("""COMPUTED_VALUE"""),"")</f>
        <v/>
      </c>
      <c r="I505" s="51" t="str">
        <f>IFERROR(__xludf.DUMMYFUNCTION("""COMPUTED_VALUE"""),"#VALUE!")</f>
        <v>#VALUE!</v>
      </c>
      <c r="J505" s="51" t="str">
        <f>IFERROR(__xludf.DUMMYFUNCTION("""COMPUTED_VALUE"""),"")</f>
        <v/>
      </c>
      <c r="K505" s="51"/>
      <c r="L505" s="51" t="s">
        <v>257</v>
      </c>
      <c r="M505" s="51"/>
      <c r="N505" s="51"/>
      <c r="O505" s="51"/>
      <c r="P505" s="51"/>
      <c r="Q505" s="51"/>
      <c r="R505" s="51"/>
      <c r="S505" s="51"/>
      <c r="T505" s="51"/>
    </row>
    <row r="506">
      <c r="A506" s="51"/>
      <c r="B506" s="51"/>
      <c r="C506" s="56"/>
      <c r="D506" s="51"/>
      <c r="E506" s="51"/>
      <c r="F506" s="51"/>
      <c r="G506" s="51" t="str">
        <f>IFERROR(__xludf.DUMMYFUNCTION("""COMPUTED_VALUE"""),"#VALUE!")</f>
        <v>#VALUE!</v>
      </c>
      <c r="H506" s="51" t="str">
        <f>IFERROR(__xludf.DUMMYFUNCTION("""COMPUTED_VALUE"""),"")</f>
        <v/>
      </c>
      <c r="I506" s="51" t="str">
        <f>IFERROR(__xludf.DUMMYFUNCTION("""COMPUTED_VALUE"""),"#VALUE!")</f>
        <v>#VALUE!</v>
      </c>
      <c r="J506" s="51" t="str">
        <f>IFERROR(__xludf.DUMMYFUNCTION("""COMPUTED_VALUE"""),"")</f>
        <v/>
      </c>
      <c r="K506" s="51"/>
      <c r="L506" s="51" t="s">
        <v>257</v>
      </c>
      <c r="M506" s="51"/>
      <c r="N506" s="51"/>
      <c r="O506" s="51"/>
      <c r="P506" s="51"/>
      <c r="Q506" s="51"/>
      <c r="R506" s="51"/>
      <c r="S506" s="51"/>
      <c r="T506" s="51"/>
    </row>
    <row r="507">
      <c r="A507" s="51"/>
      <c r="B507" s="51"/>
      <c r="C507" s="56"/>
      <c r="D507" s="51"/>
      <c r="E507" s="51"/>
      <c r="F507" s="51"/>
      <c r="G507" s="51" t="str">
        <f>IFERROR(__xludf.DUMMYFUNCTION("""COMPUTED_VALUE"""),"#VALUE!")</f>
        <v>#VALUE!</v>
      </c>
      <c r="H507" s="51" t="str">
        <f>IFERROR(__xludf.DUMMYFUNCTION("""COMPUTED_VALUE"""),"")</f>
        <v/>
      </c>
      <c r="I507" s="51" t="str">
        <f>IFERROR(__xludf.DUMMYFUNCTION("""COMPUTED_VALUE"""),"#VALUE!")</f>
        <v>#VALUE!</v>
      </c>
      <c r="J507" s="51" t="str">
        <f>IFERROR(__xludf.DUMMYFUNCTION("""COMPUTED_VALUE"""),"")</f>
        <v/>
      </c>
      <c r="K507" s="51"/>
      <c r="L507" s="51" t="s">
        <v>257</v>
      </c>
      <c r="M507" s="51"/>
      <c r="N507" s="51"/>
      <c r="O507" s="51"/>
      <c r="P507" s="51"/>
      <c r="Q507" s="51"/>
      <c r="R507" s="51"/>
      <c r="S507" s="51"/>
      <c r="T507" s="51"/>
    </row>
    <row r="508">
      <c r="A508" s="51"/>
      <c r="B508" s="51"/>
      <c r="C508" s="56"/>
      <c r="D508" s="51"/>
      <c r="E508" s="51"/>
      <c r="F508" s="51"/>
      <c r="G508" s="51" t="str">
        <f>IFERROR(__xludf.DUMMYFUNCTION("""COMPUTED_VALUE"""),"#VALUE!")</f>
        <v>#VALUE!</v>
      </c>
      <c r="H508" s="51" t="str">
        <f>IFERROR(__xludf.DUMMYFUNCTION("""COMPUTED_VALUE"""),"")</f>
        <v/>
      </c>
      <c r="I508" s="51" t="str">
        <f>IFERROR(__xludf.DUMMYFUNCTION("""COMPUTED_VALUE"""),"#VALUE!")</f>
        <v>#VALUE!</v>
      </c>
      <c r="J508" s="51" t="str">
        <f>IFERROR(__xludf.DUMMYFUNCTION("""COMPUTED_VALUE"""),"")</f>
        <v/>
      </c>
      <c r="K508" s="51"/>
      <c r="L508" s="51" t="s">
        <v>257</v>
      </c>
      <c r="M508" s="51"/>
      <c r="N508" s="51"/>
      <c r="O508" s="51"/>
      <c r="P508" s="51"/>
      <c r="Q508" s="51"/>
      <c r="R508" s="51"/>
      <c r="S508" s="51"/>
      <c r="T508" s="51"/>
    </row>
    <row r="509">
      <c r="A509" s="51"/>
      <c r="B509" s="51"/>
      <c r="C509" s="56"/>
      <c r="D509" s="51"/>
      <c r="E509" s="51"/>
      <c r="F509" s="51"/>
      <c r="G509" s="51" t="str">
        <f>IFERROR(__xludf.DUMMYFUNCTION("""COMPUTED_VALUE"""),"#VALUE!")</f>
        <v>#VALUE!</v>
      </c>
      <c r="H509" s="51" t="str">
        <f>IFERROR(__xludf.DUMMYFUNCTION("""COMPUTED_VALUE"""),"")</f>
        <v/>
      </c>
      <c r="I509" s="51" t="str">
        <f>IFERROR(__xludf.DUMMYFUNCTION("""COMPUTED_VALUE"""),"#VALUE!")</f>
        <v>#VALUE!</v>
      </c>
      <c r="J509" s="51" t="str">
        <f>IFERROR(__xludf.DUMMYFUNCTION("""COMPUTED_VALUE"""),"")</f>
        <v/>
      </c>
      <c r="K509" s="51"/>
      <c r="L509" s="51" t="s">
        <v>257</v>
      </c>
      <c r="M509" s="51"/>
      <c r="N509" s="51"/>
      <c r="O509" s="51"/>
      <c r="P509" s="51"/>
      <c r="Q509" s="51"/>
      <c r="R509" s="51"/>
      <c r="S509" s="51"/>
      <c r="T509" s="51"/>
    </row>
    <row r="510">
      <c r="A510" s="51"/>
      <c r="B510" s="51"/>
      <c r="C510" s="56"/>
      <c r="D510" s="51"/>
      <c r="E510" s="51"/>
      <c r="F510" s="51"/>
      <c r="G510" s="51" t="str">
        <f>IFERROR(__xludf.DUMMYFUNCTION("""COMPUTED_VALUE"""),"#VALUE!")</f>
        <v>#VALUE!</v>
      </c>
      <c r="H510" s="51" t="str">
        <f>IFERROR(__xludf.DUMMYFUNCTION("""COMPUTED_VALUE"""),"")</f>
        <v/>
      </c>
      <c r="I510" s="51" t="str">
        <f>IFERROR(__xludf.DUMMYFUNCTION("""COMPUTED_VALUE"""),"#VALUE!")</f>
        <v>#VALUE!</v>
      </c>
      <c r="J510" s="51" t="str">
        <f>IFERROR(__xludf.DUMMYFUNCTION("""COMPUTED_VALUE"""),"")</f>
        <v/>
      </c>
      <c r="K510" s="51"/>
      <c r="L510" s="51" t="s">
        <v>257</v>
      </c>
      <c r="M510" s="51"/>
      <c r="N510" s="51"/>
      <c r="O510" s="51"/>
      <c r="P510" s="51"/>
      <c r="Q510" s="51"/>
      <c r="R510" s="51"/>
      <c r="S510" s="51"/>
      <c r="T510" s="51"/>
    </row>
    <row r="511">
      <c r="A511" s="51"/>
      <c r="B511" s="51"/>
      <c r="C511" s="56"/>
      <c r="D511" s="51"/>
      <c r="E511" s="51"/>
      <c r="F511" s="51"/>
      <c r="G511" s="51" t="str">
        <f>IFERROR(__xludf.DUMMYFUNCTION("""COMPUTED_VALUE"""),"#VALUE!")</f>
        <v>#VALUE!</v>
      </c>
      <c r="H511" s="51" t="str">
        <f>IFERROR(__xludf.DUMMYFUNCTION("""COMPUTED_VALUE"""),"")</f>
        <v/>
      </c>
      <c r="I511" s="51" t="str">
        <f>IFERROR(__xludf.DUMMYFUNCTION("""COMPUTED_VALUE"""),"#VALUE!")</f>
        <v>#VALUE!</v>
      </c>
      <c r="J511" s="51" t="str">
        <f>IFERROR(__xludf.DUMMYFUNCTION("""COMPUTED_VALUE"""),"")</f>
        <v/>
      </c>
      <c r="K511" s="51"/>
      <c r="L511" s="51" t="s">
        <v>257</v>
      </c>
      <c r="M511" s="51"/>
      <c r="N511" s="51"/>
      <c r="O511" s="51"/>
      <c r="P511" s="51"/>
      <c r="Q511" s="51"/>
      <c r="R511" s="51"/>
      <c r="S511" s="51"/>
      <c r="T511" s="51"/>
    </row>
    <row r="512">
      <c r="A512" s="51"/>
      <c r="B512" s="51"/>
      <c r="C512" s="56"/>
      <c r="D512" s="51"/>
      <c r="E512" s="51"/>
      <c r="F512" s="51"/>
      <c r="G512" s="51" t="str">
        <f>IFERROR(__xludf.DUMMYFUNCTION("""COMPUTED_VALUE"""),"#VALUE!")</f>
        <v>#VALUE!</v>
      </c>
      <c r="H512" s="51" t="str">
        <f>IFERROR(__xludf.DUMMYFUNCTION("""COMPUTED_VALUE"""),"")</f>
        <v/>
      </c>
      <c r="I512" s="51" t="str">
        <f>IFERROR(__xludf.DUMMYFUNCTION("""COMPUTED_VALUE"""),"#VALUE!")</f>
        <v>#VALUE!</v>
      </c>
      <c r="J512" s="51" t="str">
        <f>IFERROR(__xludf.DUMMYFUNCTION("""COMPUTED_VALUE"""),"")</f>
        <v/>
      </c>
      <c r="K512" s="51"/>
      <c r="L512" s="51" t="s">
        <v>257</v>
      </c>
      <c r="M512" s="51"/>
      <c r="N512" s="51"/>
      <c r="O512" s="51"/>
      <c r="P512" s="51"/>
      <c r="Q512" s="51"/>
      <c r="R512" s="51"/>
      <c r="S512" s="51"/>
      <c r="T512" s="51"/>
    </row>
    <row r="513">
      <c r="A513" s="51"/>
      <c r="B513" s="51"/>
      <c r="C513" s="56"/>
      <c r="D513" s="51"/>
      <c r="E513" s="51"/>
      <c r="F513" s="51"/>
      <c r="G513" s="51" t="str">
        <f>IFERROR(__xludf.DUMMYFUNCTION("""COMPUTED_VALUE"""),"#VALUE!")</f>
        <v>#VALUE!</v>
      </c>
      <c r="H513" s="51" t="str">
        <f>IFERROR(__xludf.DUMMYFUNCTION("""COMPUTED_VALUE"""),"")</f>
        <v/>
      </c>
      <c r="I513" s="51" t="str">
        <f>IFERROR(__xludf.DUMMYFUNCTION("""COMPUTED_VALUE"""),"#VALUE!")</f>
        <v>#VALUE!</v>
      </c>
      <c r="J513" s="51" t="str">
        <f>IFERROR(__xludf.DUMMYFUNCTION("""COMPUTED_VALUE"""),"")</f>
        <v/>
      </c>
      <c r="K513" s="51"/>
      <c r="L513" s="51" t="s">
        <v>257</v>
      </c>
      <c r="M513" s="51"/>
      <c r="N513" s="51"/>
      <c r="O513" s="51"/>
      <c r="P513" s="51"/>
      <c r="Q513" s="51"/>
      <c r="R513" s="51"/>
      <c r="S513" s="51"/>
      <c r="T513" s="51"/>
    </row>
    <row r="514">
      <c r="A514" s="51"/>
      <c r="B514" s="51"/>
      <c r="C514" s="56"/>
      <c r="D514" s="51"/>
      <c r="E514" s="51"/>
      <c r="F514" s="51"/>
      <c r="G514" s="51" t="str">
        <f>IFERROR(__xludf.DUMMYFUNCTION("""COMPUTED_VALUE"""),"#VALUE!")</f>
        <v>#VALUE!</v>
      </c>
      <c r="H514" s="51" t="str">
        <f>IFERROR(__xludf.DUMMYFUNCTION("""COMPUTED_VALUE"""),"")</f>
        <v/>
      </c>
      <c r="I514" s="51" t="str">
        <f>IFERROR(__xludf.DUMMYFUNCTION("""COMPUTED_VALUE"""),"#VALUE!")</f>
        <v>#VALUE!</v>
      </c>
      <c r="J514" s="51" t="str">
        <f>IFERROR(__xludf.DUMMYFUNCTION("""COMPUTED_VALUE"""),"")</f>
        <v/>
      </c>
      <c r="K514" s="51"/>
      <c r="L514" s="51" t="s">
        <v>257</v>
      </c>
      <c r="M514" s="51"/>
      <c r="N514" s="51"/>
      <c r="O514" s="51"/>
      <c r="P514" s="51"/>
      <c r="Q514" s="51"/>
      <c r="R514" s="51"/>
      <c r="S514" s="51"/>
      <c r="T514" s="51"/>
    </row>
    <row r="515">
      <c r="A515" s="51"/>
      <c r="B515" s="51"/>
      <c r="C515" s="56"/>
      <c r="D515" s="51"/>
      <c r="E515" s="51"/>
      <c r="F515" s="51"/>
      <c r="G515" s="51" t="str">
        <f>IFERROR(__xludf.DUMMYFUNCTION("""COMPUTED_VALUE"""),"#VALUE!")</f>
        <v>#VALUE!</v>
      </c>
      <c r="H515" s="51" t="str">
        <f>IFERROR(__xludf.DUMMYFUNCTION("""COMPUTED_VALUE"""),"")</f>
        <v/>
      </c>
      <c r="I515" s="51" t="str">
        <f>IFERROR(__xludf.DUMMYFUNCTION("""COMPUTED_VALUE"""),"#VALUE!")</f>
        <v>#VALUE!</v>
      </c>
      <c r="J515" s="51" t="str">
        <f>IFERROR(__xludf.DUMMYFUNCTION("""COMPUTED_VALUE"""),"")</f>
        <v/>
      </c>
      <c r="K515" s="51"/>
      <c r="L515" s="51" t="s">
        <v>257</v>
      </c>
      <c r="M515" s="51"/>
      <c r="N515" s="51"/>
      <c r="O515" s="51"/>
      <c r="P515" s="51"/>
      <c r="Q515" s="51"/>
      <c r="R515" s="51"/>
      <c r="S515" s="51"/>
      <c r="T515" s="51"/>
    </row>
    <row r="516">
      <c r="A516" s="51"/>
      <c r="B516" s="51"/>
      <c r="C516" s="56"/>
      <c r="D516" s="51"/>
      <c r="E516" s="51"/>
      <c r="F516" s="51"/>
      <c r="G516" s="51" t="str">
        <f>IFERROR(__xludf.DUMMYFUNCTION("""COMPUTED_VALUE"""),"#VALUE!")</f>
        <v>#VALUE!</v>
      </c>
      <c r="H516" s="51" t="str">
        <f>IFERROR(__xludf.DUMMYFUNCTION("""COMPUTED_VALUE"""),"")</f>
        <v/>
      </c>
      <c r="I516" s="51" t="str">
        <f>IFERROR(__xludf.DUMMYFUNCTION("""COMPUTED_VALUE"""),"#VALUE!")</f>
        <v>#VALUE!</v>
      </c>
      <c r="J516" s="51" t="str">
        <f>IFERROR(__xludf.DUMMYFUNCTION("""COMPUTED_VALUE"""),"")</f>
        <v/>
      </c>
      <c r="K516" s="51"/>
      <c r="L516" s="51" t="s">
        <v>257</v>
      </c>
      <c r="M516" s="51"/>
      <c r="N516" s="51"/>
      <c r="O516" s="51"/>
      <c r="P516" s="51"/>
      <c r="Q516" s="51"/>
      <c r="R516" s="51"/>
      <c r="S516" s="51"/>
      <c r="T516" s="51"/>
    </row>
    <row r="517">
      <c r="A517" s="51"/>
      <c r="B517" s="51"/>
      <c r="C517" s="56"/>
      <c r="D517" s="51"/>
      <c r="E517" s="51"/>
      <c r="F517" s="51"/>
      <c r="G517" s="51" t="str">
        <f>IFERROR(__xludf.DUMMYFUNCTION("""COMPUTED_VALUE"""),"#VALUE!")</f>
        <v>#VALUE!</v>
      </c>
      <c r="H517" s="51" t="str">
        <f>IFERROR(__xludf.DUMMYFUNCTION("""COMPUTED_VALUE"""),"")</f>
        <v/>
      </c>
      <c r="I517" s="51" t="str">
        <f>IFERROR(__xludf.DUMMYFUNCTION("""COMPUTED_VALUE"""),"#VALUE!")</f>
        <v>#VALUE!</v>
      </c>
      <c r="J517" s="51" t="str">
        <f>IFERROR(__xludf.DUMMYFUNCTION("""COMPUTED_VALUE"""),"")</f>
        <v/>
      </c>
      <c r="K517" s="51"/>
      <c r="L517" s="51" t="s">
        <v>257</v>
      </c>
      <c r="M517" s="51"/>
      <c r="N517" s="51"/>
      <c r="O517" s="51"/>
      <c r="P517" s="51"/>
      <c r="Q517" s="51"/>
      <c r="R517" s="51"/>
      <c r="S517" s="51"/>
      <c r="T517" s="51"/>
    </row>
    <row r="518">
      <c r="A518" s="51"/>
      <c r="B518" s="51"/>
      <c r="C518" s="56"/>
      <c r="D518" s="51"/>
      <c r="E518" s="51"/>
      <c r="F518" s="51"/>
      <c r="G518" s="51" t="str">
        <f>IFERROR(__xludf.DUMMYFUNCTION("""COMPUTED_VALUE"""),"#VALUE!")</f>
        <v>#VALUE!</v>
      </c>
      <c r="H518" s="51" t="str">
        <f>IFERROR(__xludf.DUMMYFUNCTION("""COMPUTED_VALUE"""),"")</f>
        <v/>
      </c>
      <c r="I518" s="51" t="str">
        <f>IFERROR(__xludf.DUMMYFUNCTION("""COMPUTED_VALUE"""),"#VALUE!")</f>
        <v>#VALUE!</v>
      </c>
      <c r="J518" s="51" t="str">
        <f>IFERROR(__xludf.DUMMYFUNCTION("""COMPUTED_VALUE"""),"")</f>
        <v/>
      </c>
      <c r="K518" s="51"/>
      <c r="L518" s="51" t="s">
        <v>257</v>
      </c>
      <c r="M518" s="51"/>
      <c r="N518" s="51"/>
      <c r="O518" s="51"/>
      <c r="P518" s="51"/>
      <c r="Q518" s="51"/>
      <c r="R518" s="51"/>
      <c r="S518" s="51"/>
      <c r="T518" s="51"/>
    </row>
    <row r="519">
      <c r="A519" s="51"/>
      <c r="B519" s="51"/>
      <c r="C519" s="56"/>
      <c r="D519" s="51"/>
      <c r="E519" s="51"/>
      <c r="F519" s="51"/>
      <c r="G519" s="51" t="str">
        <f>IFERROR(__xludf.DUMMYFUNCTION("""COMPUTED_VALUE"""),"#VALUE!")</f>
        <v>#VALUE!</v>
      </c>
      <c r="H519" s="51" t="str">
        <f>IFERROR(__xludf.DUMMYFUNCTION("""COMPUTED_VALUE"""),"")</f>
        <v/>
      </c>
      <c r="I519" s="51" t="str">
        <f>IFERROR(__xludf.DUMMYFUNCTION("""COMPUTED_VALUE"""),"#VALUE!")</f>
        <v>#VALUE!</v>
      </c>
      <c r="J519" s="51" t="str">
        <f>IFERROR(__xludf.DUMMYFUNCTION("""COMPUTED_VALUE"""),"")</f>
        <v/>
      </c>
      <c r="K519" s="51"/>
      <c r="L519" s="51" t="s">
        <v>257</v>
      </c>
      <c r="M519" s="51"/>
      <c r="N519" s="51"/>
      <c r="O519" s="51"/>
      <c r="P519" s="51"/>
      <c r="Q519" s="51"/>
      <c r="R519" s="51"/>
      <c r="S519" s="51"/>
      <c r="T519" s="51"/>
    </row>
    <row r="520">
      <c r="A520" s="51"/>
      <c r="B520" s="51"/>
      <c r="C520" s="56"/>
      <c r="D520" s="51"/>
      <c r="E520" s="51"/>
      <c r="F520" s="51"/>
      <c r="G520" s="51" t="str">
        <f>IFERROR(__xludf.DUMMYFUNCTION("""COMPUTED_VALUE"""),"#VALUE!")</f>
        <v>#VALUE!</v>
      </c>
      <c r="H520" s="51" t="str">
        <f>IFERROR(__xludf.DUMMYFUNCTION("""COMPUTED_VALUE"""),"")</f>
        <v/>
      </c>
      <c r="I520" s="51" t="str">
        <f>IFERROR(__xludf.DUMMYFUNCTION("""COMPUTED_VALUE"""),"#VALUE!")</f>
        <v>#VALUE!</v>
      </c>
      <c r="J520" s="51" t="str">
        <f>IFERROR(__xludf.DUMMYFUNCTION("""COMPUTED_VALUE"""),"")</f>
        <v/>
      </c>
      <c r="K520" s="51"/>
      <c r="L520" s="51" t="s">
        <v>257</v>
      </c>
      <c r="M520" s="51"/>
      <c r="N520" s="51"/>
      <c r="O520" s="51"/>
      <c r="P520" s="51"/>
      <c r="Q520" s="51"/>
      <c r="R520" s="51"/>
      <c r="S520" s="51"/>
      <c r="T520" s="51"/>
    </row>
    <row r="521">
      <c r="A521" s="51"/>
      <c r="B521" s="51"/>
      <c r="C521" s="56"/>
      <c r="D521" s="51"/>
      <c r="E521" s="51"/>
      <c r="F521" s="51"/>
      <c r="G521" s="51" t="str">
        <f>IFERROR(__xludf.DUMMYFUNCTION("""COMPUTED_VALUE"""),"#VALUE!")</f>
        <v>#VALUE!</v>
      </c>
      <c r="H521" s="51" t="str">
        <f>IFERROR(__xludf.DUMMYFUNCTION("""COMPUTED_VALUE"""),"")</f>
        <v/>
      </c>
      <c r="I521" s="51" t="str">
        <f>IFERROR(__xludf.DUMMYFUNCTION("""COMPUTED_VALUE"""),"#VALUE!")</f>
        <v>#VALUE!</v>
      </c>
      <c r="J521" s="51" t="str">
        <f>IFERROR(__xludf.DUMMYFUNCTION("""COMPUTED_VALUE"""),"")</f>
        <v/>
      </c>
      <c r="K521" s="51"/>
      <c r="L521" s="51" t="s">
        <v>257</v>
      </c>
      <c r="M521" s="51"/>
      <c r="N521" s="51"/>
      <c r="O521" s="51"/>
      <c r="P521" s="51"/>
      <c r="Q521" s="51"/>
      <c r="R521" s="51"/>
      <c r="S521" s="51"/>
      <c r="T521" s="51"/>
    </row>
    <row r="522">
      <c r="A522" s="51"/>
      <c r="B522" s="51"/>
      <c r="C522" s="56"/>
      <c r="D522" s="51"/>
      <c r="E522" s="51"/>
      <c r="F522" s="51"/>
      <c r="G522" s="51" t="str">
        <f>IFERROR(__xludf.DUMMYFUNCTION("""COMPUTED_VALUE"""),"#VALUE!")</f>
        <v>#VALUE!</v>
      </c>
      <c r="H522" s="51" t="str">
        <f>IFERROR(__xludf.DUMMYFUNCTION("""COMPUTED_VALUE"""),"")</f>
        <v/>
      </c>
      <c r="I522" s="51" t="str">
        <f>IFERROR(__xludf.DUMMYFUNCTION("""COMPUTED_VALUE"""),"#VALUE!")</f>
        <v>#VALUE!</v>
      </c>
      <c r="J522" s="51" t="str">
        <f>IFERROR(__xludf.DUMMYFUNCTION("""COMPUTED_VALUE"""),"")</f>
        <v/>
      </c>
      <c r="K522" s="51"/>
      <c r="L522" s="51" t="s">
        <v>257</v>
      </c>
      <c r="M522" s="51"/>
      <c r="N522" s="51"/>
      <c r="O522" s="51"/>
      <c r="P522" s="51"/>
      <c r="Q522" s="51"/>
      <c r="R522" s="51"/>
      <c r="S522" s="51"/>
      <c r="T522" s="51"/>
    </row>
    <row r="523">
      <c r="A523" s="51"/>
      <c r="B523" s="51"/>
      <c r="C523" s="56"/>
      <c r="D523" s="51"/>
      <c r="E523" s="51"/>
      <c r="F523" s="51"/>
      <c r="G523" s="51" t="str">
        <f>IFERROR(__xludf.DUMMYFUNCTION("""COMPUTED_VALUE"""),"#VALUE!")</f>
        <v>#VALUE!</v>
      </c>
      <c r="H523" s="51" t="str">
        <f>IFERROR(__xludf.DUMMYFUNCTION("""COMPUTED_VALUE"""),"")</f>
        <v/>
      </c>
      <c r="I523" s="51" t="str">
        <f>IFERROR(__xludf.DUMMYFUNCTION("""COMPUTED_VALUE"""),"#VALUE!")</f>
        <v>#VALUE!</v>
      </c>
      <c r="J523" s="51" t="str">
        <f>IFERROR(__xludf.DUMMYFUNCTION("""COMPUTED_VALUE"""),"")</f>
        <v/>
      </c>
      <c r="K523" s="51"/>
      <c r="L523" s="51" t="s">
        <v>257</v>
      </c>
      <c r="M523" s="51"/>
      <c r="N523" s="51"/>
      <c r="O523" s="51"/>
      <c r="P523" s="51"/>
      <c r="Q523" s="51"/>
      <c r="R523" s="51"/>
      <c r="S523" s="51"/>
      <c r="T523" s="51"/>
    </row>
    <row r="524">
      <c r="A524" s="51"/>
      <c r="B524" s="51"/>
      <c r="C524" s="56"/>
      <c r="D524" s="51"/>
      <c r="E524" s="51"/>
      <c r="F524" s="51"/>
      <c r="G524" s="51" t="str">
        <f>IFERROR(__xludf.DUMMYFUNCTION("""COMPUTED_VALUE"""),"#VALUE!")</f>
        <v>#VALUE!</v>
      </c>
      <c r="H524" s="51" t="str">
        <f>IFERROR(__xludf.DUMMYFUNCTION("""COMPUTED_VALUE"""),"")</f>
        <v/>
      </c>
      <c r="I524" s="51" t="str">
        <f>IFERROR(__xludf.DUMMYFUNCTION("""COMPUTED_VALUE"""),"#VALUE!")</f>
        <v>#VALUE!</v>
      </c>
      <c r="J524" s="51" t="str">
        <f>IFERROR(__xludf.DUMMYFUNCTION("""COMPUTED_VALUE"""),"")</f>
        <v/>
      </c>
      <c r="K524" s="51"/>
      <c r="L524" s="51" t="s">
        <v>257</v>
      </c>
      <c r="M524" s="51"/>
      <c r="N524" s="51"/>
      <c r="O524" s="51"/>
      <c r="P524" s="51"/>
      <c r="Q524" s="51"/>
      <c r="R524" s="51"/>
      <c r="S524" s="51"/>
      <c r="T524" s="51"/>
    </row>
    <row r="525">
      <c r="A525" s="51"/>
      <c r="B525" s="51"/>
      <c r="C525" s="56"/>
      <c r="D525" s="51"/>
      <c r="E525" s="51"/>
      <c r="F525" s="51"/>
      <c r="G525" s="51" t="str">
        <f>IFERROR(__xludf.DUMMYFUNCTION("""COMPUTED_VALUE"""),"#VALUE!")</f>
        <v>#VALUE!</v>
      </c>
      <c r="H525" s="51" t="str">
        <f>IFERROR(__xludf.DUMMYFUNCTION("""COMPUTED_VALUE"""),"")</f>
        <v/>
      </c>
      <c r="I525" s="51" t="str">
        <f>IFERROR(__xludf.DUMMYFUNCTION("""COMPUTED_VALUE"""),"#VALUE!")</f>
        <v>#VALUE!</v>
      </c>
      <c r="J525" s="51" t="str">
        <f>IFERROR(__xludf.DUMMYFUNCTION("""COMPUTED_VALUE"""),"")</f>
        <v/>
      </c>
      <c r="K525" s="51"/>
      <c r="L525" s="51" t="s">
        <v>257</v>
      </c>
      <c r="M525" s="51"/>
      <c r="N525" s="51"/>
      <c r="O525" s="51"/>
      <c r="P525" s="51"/>
      <c r="Q525" s="51"/>
      <c r="R525" s="51"/>
      <c r="S525" s="51"/>
      <c r="T525" s="51"/>
    </row>
    <row r="526">
      <c r="A526" s="51"/>
      <c r="B526" s="51"/>
      <c r="C526" s="56"/>
      <c r="D526" s="51"/>
      <c r="E526" s="51"/>
      <c r="F526" s="51"/>
      <c r="G526" s="51" t="str">
        <f>IFERROR(__xludf.DUMMYFUNCTION("""COMPUTED_VALUE"""),"#VALUE!")</f>
        <v>#VALUE!</v>
      </c>
      <c r="H526" s="51" t="str">
        <f>IFERROR(__xludf.DUMMYFUNCTION("""COMPUTED_VALUE"""),"")</f>
        <v/>
      </c>
      <c r="I526" s="51" t="str">
        <f>IFERROR(__xludf.DUMMYFUNCTION("""COMPUTED_VALUE"""),"#VALUE!")</f>
        <v>#VALUE!</v>
      </c>
      <c r="J526" s="51" t="str">
        <f>IFERROR(__xludf.DUMMYFUNCTION("""COMPUTED_VALUE"""),"")</f>
        <v/>
      </c>
      <c r="K526" s="51"/>
      <c r="L526" s="51" t="s">
        <v>257</v>
      </c>
      <c r="M526" s="51"/>
      <c r="N526" s="51"/>
      <c r="O526" s="51"/>
      <c r="P526" s="51"/>
      <c r="Q526" s="51"/>
      <c r="R526" s="51"/>
      <c r="S526" s="51"/>
      <c r="T526" s="51"/>
    </row>
    <row r="527">
      <c r="A527" s="51"/>
      <c r="B527" s="51"/>
      <c r="C527" s="56"/>
      <c r="D527" s="51"/>
      <c r="E527" s="51"/>
      <c r="F527" s="51"/>
      <c r="G527" s="51" t="str">
        <f>IFERROR(__xludf.DUMMYFUNCTION("""COMPUTED_VALUE"""),"#VALUE!")</f>
        <v>#VALUE!</v>
      </c>
      <c r="H527" s="51" t="str">
        <f>IFERROR(__xludf.DUMMYFUNCTION("""COMPUTED_VALUE"""),"")</f>
        <v/>
      </c>
      <c r="I527" s="51" t="str">
        <f>IFERROR(__xludf.DUMMYFUNCTION("""COMPUTED_VALUE"""),"#VALUE!")</f>
        <v>#VALUE!</v>
      </c>
      <c r="J527" s="51" t="str">
        <f>IFERROR(__xludf.DUMMYFUNCTION("""COMPUTED_VALUE"""),"")</f>
        <v/>
      </c>
      <c r="K527" s="51"/>
      <c r="L527" s="51" t="s">
        <v>257</v>
      </c>
      <c r="M527" s="51"/>
      <c r="N527" s="51"/>
      <c r="O527" s="51"/>
      <c r="P527" s="51"/>
      <c r="Q527" s="51"/>
      <c r="R527" s="51"/>
      <c r="S527" s="51"/>
      <c r="T527" s="51"/>
    </row>
    <row r="528">
      <c r="A528" s="51"/>
      <c r="B528" s="51"/>
      <c r="C528" s="56"/>
      <c r="D528" s="51"/>
      <c r="E528" s="51"/>
      <c r="F528" s="51"/>
      <c r="G528" s="51" t="str">
        <f>IFERROR(__xludf.DUMMYFUNCTION("""COMPUTED_VALUE"""),"#VALUE!")</f>
        <v>#VALUE!</v>
      </c>
      <c r="H528" s="51" t="str">
        <f>IFERROR(__xludf.DUMMYFUNCTION("""COMPUTED_VALUE"""),"")</f>
        <v/>
      </c>
      <c r="I528" s="51" t="str">
        <f>IFERROR(__xludf.DUMMYFUNCTION("""COMPUTED_VALUE"""),"#VALUE!")</f>
        <v>#VALUE!</v>
      </c>
      <c r="J528" s="51" t="str">
        <f>IFERROR(__xludf.DUMMYFUNCTION("""COMPUTED_VALUE"""),"")</f>
        <v/>
      </c>
      <c r="K528" s="51"/>
      <c r="L528" s="51" t="s">
        <v>257</v>
      </c>
      <c r="M528" s="51"/>
      <c r="N528" s="51"/>
      <c r="O528" s="51"/>
      <c r="P528" s="51"/>
      <c r="Q528" s="51"/>
      <c r="R528" s="51"/>
      <c r="S528" s="51"/>
      <c r="T528" s="51"/>
    </row>
    <row r="529">
      <c r="A529" s="51"/>
      <c r="B529" s="51"/>
      <c r="C529" s="56"/>
      <c r="D529" s="51"/>
      <c r="E529" s="51"/>
      <c r="F529" s="51"/>
      <c r="G529" s="51" t="str">
        <f>IFERROR(__xludf.DUMMYFUNCTION("""COMPUTED_VALUE"""),"#VALUE!")</f>
        <v>#VALUE!</v>
      </c>
      <c r="H529" s="51" t="str">
        <f>IFERROR(__xludf.DUMMYFUNCTION("""COMPUTED_VALUE"""),"")</f>
        <v/>
      </c>
      <c r="I529" s="51" t="str">
        <f>IFERROR(__xludf.DUMMYFUNCTION("""COMPUTED_VALUE"""),"#VALUE!")</f>
        <v>#VALUE!</v>
      </c>
      <c r="J529" s="51" t="str">
        <f>IFERROR(__xludf.DUMMYFUNCTION("""COMPUTED_VALUE"""),"")</f>
        <v/>
      </c>
      <c r="K529" s="51"/>
      <c r="L529" s="51" t="s">
        <v>257</v>
      </c>
      <c r="M529" s="51"/>
      <c r="N529" s="51"/>
      <c r="O529" s="51"/>
      <c r="P529" s="51"/>
      <c r="Q529" s="51"/>
      <c r="R529" s="51"/>
      <c r="S529" s="51"/>
      <c r="T529" s="51"/>
    </row>
    <row r="530">
      <c r="A530" s="51"/>
      <c r="B530" s="51"/>
      <c r="C530" s="56"/>
      <c r="D530" s="51"/>
      <c r="E530" s="51"/>
      <c r="F530" s="51"/>
      <c r="G530" s="51" t="str">
        <f>IFERROR(__xludf.DUMMYFUNCTION("""COMPUTED_VALUE"""),"#VALUE!")</f>
        <v>#VALUE!</v>
      </c>
      <c r="H530" s="51" t="str">
        <f>IFERROR(__xludf.DUMMYFUNCTION("""COMPUTED_VALUE"""),"")</f>
        <v/>
      </c>
      <c r="I530" s="51" t="str">
        <f>IFERROR(__xludf.DUMMYFUNCTION("""COMPUTED_VALUE"""),"#VALUE!")</f>
        <v>#VALUE!</v>
      </c>
      <c r="J530" s="51" t="str">
        <f>IFERROR(__xludf.DUMMYFUNCTION("""COMPUTED_VALUE"""),"")</f>
        <v/>
      </c>
      <c r="K530" s="51"/>
      <c r="L530" s="51" t="s">
        <v>257</v>
      </c>
      <c r="M530" s="51"/>
      <c r="N530" s="51"/>
      <c r="O530" s="51"/>
      <c r="P530" s="51"/>
      <c r="Q530" s="51"/>
      <c r="R530" s="51"/>
      <c r="S530" s="51"/>
      <c r="T530" s="51"/>
    </row>
    <row r="531">
      <c r="A531" s="51"/>
      <c r="B531" s="51"/>
      <c r="C531" s="56"/>
      <c r="D531" s="51"/>
      <c r="E531" s="51"/>
      <c r="F531" s="51"/>
      <c r="G531" s="51" t="str">
        <f>IFERROR(__xludf.DUMMYFUNCTION("""COMPUTED_VALUE"""),"#VALUE!")</f>
        <v>#VALUE!</v>
      </c>
      <c r="H531" s="51" t="str">
        <f>IFERROR(__xludf.DUMMYFUNCTION("""COMPUTED_VALUE"""),"")</f>
        <v/>
      </c>
      <c r="I531" s="51" t="str">
        <f>IFERROR(__xludf.DUMMYFUNCTION("""COMPUTED_VALUE"""),"#VALUE!")</f>
        <v>#VALUE!</v>
      </c>
      <c r="J531" s="51" t="str">
        <f>IFERROR(__xludf.DUMMYFUNCTION("""COMPUTED_VALUE"""),"")</f>
        <v/>
      </c>
      <c r="K531" s="51"/>
      <c r="L531" s="51" t="s">
        <v>257</v>
      </c>
      <c r="M531" s="51"/>
      <c r="N531" s="51"/>
      <c r="O531" s="51"/>
      <c r="P531" s="51"/>
      <c r="Q531" s="51"/>
      <c r="R531" s="51"/>
      <c r="S531" s="51"/>
      <c r="T531" s="51"/>
    </row>
    <row r="532">
      <c r="A532" s="51"/>
      <c r="B532" s="51"/>
      <c r="C532" s="56"/>
      <c r="D532" s="51"/>
      <c r="E532" s="51"/>
      <c r="F532" s="51"/>
      <c r="G532" s="51" t="str">
        <f>IFERROR(__xludf.DUMMYFUNCTION("""COMPUTED_VALUE"""),"#VALUE!")</f>
        <v>#VALUE!</v>
      </c>
      <c r="H532" s="51" t="str">
        <f>IFERROR(__xludf.DUMMYFUNCTION("""COMPUTED_VALUE"""),"")</f>
        <v/>
      </c>
      <c r="I532" s="51" t="str">
        <f>IFERROR(__xludf.DUMMYFUNCTION("""COMPUTED_VALUE"""),"#VALUE!")</f>
        <v>#VALUE!</v>
      </c>
      <c r="J532" s="51" t="str">
        <f>IFERROR(__xludf.DUMMYFUNCTION("""COMPUTED_VALUE"""),"")</f>
        <v/>
      </c>
      <c r="K532" s="51"/>
      <c r="L532" s="51" t="s">
        <v>257</v>
      </c>
      <c r="M532" s="51"/>
      <c r="N532" s="51"/>
      <c r="O532" s="51"/>
      <c r="P532" s="51"/>
      <c r="Q532" s="51"/>
      <c r="R532" s="51"/>
      <c r="S532" s="51"/>
      <c r="T532" s="51"/>
    </row>
    <row r="533">
      <c r="A533" s="51"/>
      <c r="B533" s="51"/>
      <c r="C533" s="56"/>
      <c r="D533" s="51"/>
      <c r="E533" s="51"/>
      <c r="F533" s="51"/>
      <c r="G533" s="51" t="str">
        <f>IFERROR(__xludf.DUMMYFUNCTION("""COMPUTED_VALUE"""),"#VALUE!")</f>
        <v>#VALUE!</v>
      </c>
      <c r="H533" s="51" t="str">
        <f>IFERROR(__xludf.DUMMYFUNCTION("""COMPUTED_VALUE"""),"")</f>
        <v/>
      </c>
      <c r="I533" s="51" t="str">
        <f>IFERROR(__xludf.DUMMYFUNCTION("""COMPUTED_VALUE"""),"#VALUE!")</f>
        <v>#VALUE!</v>
      </c>
      <c r="J533" s="51" t="str">
        <f>IFERROR(__xludf.DUMMYFUNCTION("""COMPUTED_VALUE"""),"")</f>
        <v/>
      </c>
      <c r="K533" s="51"/>
      <c r="L533" s="51" t="s">
        <v>257</v>
      </c>
      <c r="M533" s="51"/>
      <c r="N533" s="51"/>
      <c r="O533" s="51"/>
      <c r="P533" s="51"/>
      <c r="Q533" s="51"/>
      <c r="R533" s="51"/>
      <c r="S533" s="51"/>
      <c r="T533" s="51"/>
    </row>
    <row r="534">
      <c r="A534" s="51"/>
      <c r="B534" s="51"/>
      <c r="C534" s="56"/>
      <c r="D534" s="51"/>
      <c r="E534" s="51"/>
      <c r="F534" s="51"/>
      <c r="G534" s="51" t="str">
        <f>IFERROR(__xludf.DUMMYFUNCTION("""COMPUTED_VALUE"""),"#VALUE!")</f>
        <v>#VALUE!</v>
      </c>
      <c r="H534" s="51" t="str">
        <f>IFERROR(__xludf.DUMMYFUNCTION("""COMPUTED_VALUE"""),"")</f>
        <v/>
      </c>
      <c r="I534" s="51" t="str">
        <f>IFERROR(__xludf.DUMMYFUNCTION("""COMPUTED_VALUE"""),"#VALUE!")</f>
        <v>#VALUE!</v>
      </c>
      <c r="J534" s="51" t="str">
        <f>IFERROR(__xludf.DUMMYFUNCTION("""COMPUTED_VALUE"""),"")</f>
        <v/>
      </c>
      <c r="K534" s="51"/>
      <c r="L534" s="51" t="s">
        <v>257</v>
      </c>
      <c r="M534" s="51"/>
      <c r="N534" s="51"/>
      <c r="O534" s="51"/>
      <c r="P534" s="51"/>
      <c r="Q534" s="51"/>
      <c r="R534" s="51"/>
      <c r="S534" s="51"/>
      <c r="T534" s="51"/>
    </row>
    <row r="535">
      <c r="A535" s="51"/>
      <c r="B535" s="51"/>
      <c r="C535" s="56"/>
      <c r="D535" s="51"/>
      <c r="E535" s="51"/>
      <c r="F535" s="51"/>
      <c r="G535" s="51" t="str">
        <f>IFERROR(__xludf.DUMMYFUNCTION("""COMPUTED_VALUE"""),"#VALUE!")</f>
        <v>#VALUE!</v>
      </c>
      <c r="H535" s="51" t="str">
        <f>IFERROR(__xludf.DUMMYFUNCTION("""COMPUTED_VALUE"""),"")</f>
        <v/>
      </c>
      <c r="I535" s="51" t="str">
        <f>IFERROR(__xludf.DUMMYFUNCTION("""COMPUTED_VALUE"""),"#VALUE!")</f>
        <v>#VALUE!</v>
      </c>
      <c r="J535" s="51" t="str">
        <f>IFERROR(__xludf.DUMMYFUNCTION("""COMPUTED_VALUE"""),"")</f>
        <v/>
      </c>
      <c r="K535" s="51"/>
      <c r="L535" s="51" t="s">
        <v>257</v>
      </c>
      <c r="M535" s="51"/>
      <c r="N535" s="51"/>
      <c r="O535" s="51"/>
      <c r="P535" s="51"/>
      <c r="Q535" s="51"/>
      <c r="R535" s="51"/>
      <c r="S535" s="51"/>
      <c r="T535" s="51"/>
    </row>
    <row r="536">
      <c r="A536" s="51"/>
      <c r="B536" s="51"/>
      <c r="C536" s="56"/>
      <c r="D536" s="51"/>
      <c r="E536" s="51"/>
      <c r="F536" s="51"/>
      <c r="G536" s="51" t="str">
        <f>IFERROR(__xludf.DUMMYFUNCTION("""COMPUTED_VALUE"""),"#VALUE!")</f>
        <v>#VALUE!</v>
      </c>
      <c r="H536" s="51" t="str">
        <f>IFERROR(__xludf.DUMMYFUNCTION("""COMPUTED_VALUE"""),"")</f>
        <v/>
      </c>
      <c r="I536" s="51" t="str">
        <f>IFERROR(__xludf.DUMMYFUNCTION("""COMPUTED_VALUE"""),"#VALUE!")</f>
        <v>#VALUE!</v>
      </c>
      <c r="J536" s="51" t="str">
        <f>IFERROR(__xludf.DUMMYFUNCTION("""COMPUTED_VALUE"""),"")</f>
        <v/>
      </c>
      <c r="K536" s="51"/>
      <c r="L536" s="51" t="s">
        <v>257</v>
      </c>
      <c r="M536" s="51"/>
      <c r="N536" s="51"/>
      <c r="O536" s="51"/>
      <c r="P536" s="51"/>
      <c r="Q536" s="51"/>
      <c r="R536" s="51"/>
      <c r="S536" s="51"/>
      <c r="T536" s="51"/>
    </row>
    <row r="537">
      <c r="A537" s="51"/>
      <c r="B537" s="51"/>
      <c r="C537" s="56"/>
      <c r="D537" s="51"/>
      <c r="E537" s="51"/>
      <c r="F537" s="51"/>
      <c r="G537" s="51" t="str">
        <f>IFERROR(__xludf.DUMMYFUNCTION("""COMPUTED_VALUE"""),"#VALUE!")</f>
        <v>#VALUE!</v>
      </c>
      <c r="H537" s="51" t="str">
        <f>IFERROR(__xludf.DUMMYFUNCTION("""COMPUTED_VALUE"""),"")</f>
        <v/>
      </c>
      <c r="I537" s="51" t="str">
        <f>IFERROR(__xludf.DUMMYFUNCTION("""COMPUTED_VALUE"""),"#VALUE!")</f>
        <v>#VALUE!</v>
      </c>
      <c r="J537" s="51" t="str">
        <f>IFERROR(__xludf.DUMMYFUNCTION("""COMPUTED_VALUE"""),"")</f>
        <v/>
      </c>
      <c r="K537" s="51"/>
      <c r="L537" s="51" t="s">
        <v>257</v>
      </c>
      <c r="M537" s="51"/>
      <c r="N537" s="51"/>
      <c r="O537" s="51"/>
      <c r="P537" s="51"/>
      <c r="Q537" s="51"/>
      <c r="R537" s="51"/>
      <c r="S537" s="51"/>
      <c r="T537" s="51"/>
    </row>
    <row r="538">
      <c r="A538" s="51"/>
      <c r="B538" s="51"/>
      <c r="C538" s="56"/>
      <c r="D538" s="51"/>
      <c r="E538" s="51"/>
      <c r="F538" s="51"/>
      <c r="G538" s="51" t="str">
        <f>IFERROR(__xludf.DUMMYFUNCTION("""COMPUTED_VALUE"""),"#VALUE!")</f>
        <v>#VALUE!</v>
      </c>
      <c r="H538" s="51" t="str">
        <f>IFERROR(__xludf.DUMMYFUNCTION("""COMPUTED_VALUE"""),"")</f>
        <v/>
      </c>
      <c r="I538" s="51" t="str">
        <f>IFERROR(__xludf.DUMMYFUNCTION("""COMPUTED_VALUE"""),"#VALUE!")</f>
        <v>#VALUE!</v>
      </c>
      <c r="J538" s="51" t="str">
        <f>IFERROR(__xludf.DUMMYFUNCTION("""COMPUTED_VALUE"""),"")</f>
        <v/>
      </c>
      <c r="K538" s="51"/>
      <c r="L538" s="51" t="s">
        <v>257</v>
      </c>
      <c r="M538" s="51"/>
      <c r="N538" s="51"/>
      <c r="O538" s="51"/>
      <c r="P538" s="51"/>
      <c r="Q538" s="51"/>
      <c r="R538" s="51"/>
      <c r="S538" s="51"/>
      <c r="T538" s="51"/>
    </row>
    <row r="539">
      <c r="A539" s="51"/>
      <c r="B539" s="51"/>
      <c r="C539" s="56"/>
      <c r="D539" s="51"/>
      <c r="E539" s="51"/>
      <c r="F539" s="51"/>
      <c r="G539" s="51" t="str">
        <f>IFERROR(__xludf.DUMMYFUNCTION("""COMPUTED_VALUE"""),"#VALUE!")</f>
        <v>#VALUE!</v>
      </c>
      <c r="H539" s="51" t="str">
        <f>IFERROR(__xludf.DUMMYFUNCTION("""COMPUTED_VALUE"""),"")</f>
        <v/>
      </c>
      <c r="I539" s="51" t="str">
        <f>IFERROR(__xludf.DUMMYFUNCTION("""COMPUTED_VALUE"""),"#VALUE!")</f>
        <v>#VALUE!</v>
      </c>
      <c r="J539" s="51" t="str">
        <f>IFERROR(__xludf.DUMMYFUNCTION("""COMPUTED_VALUE"""),"")</f>
        <v/>
      </c>
      <c r="K539" s="51"/>
      <c r="L539" s="51" t="s">
        <v>257</v>
      </c>
      <c r="M539" s="51"/>
      <c r="N539" s="51"/>
      <c r="O539" s="51"/>
      <c r="P539" s="51"/>
      <c r="Q539" s="51"/>
      <c r="R539" s="51"/>
      <c r="S539" s="51"/>
      <c r="T539" s="51"/>
    </row>
    <row r="540">
      <c r="A540" s="51"/>
      <c r="B540" s="51"/>
      <c r="C540" s="56"/>
      <c r="D540" s="51"/>
      <c r="E540" s="51"/>
      <c r="F540" s="51"/>
      <c r="G540" s="51" t="str">
        <f>IFERROR(__xludf.DUMMYFUNCTION("""COMPUTED_VALUE"""),"#VALUE!")</f>
        <v>#VALUE!</v>
      </c>
      <c r="H540" s="51" t="str">
        <f>IFERROR(__xludf.DUMMYFUNCTION("""COMPUTED_VALUE"""),"")</f>
        <v/>
      </c>
      <c r="I540" s="51" t="str">
        <f>IFERROR(__xludf.DUMMYFUNCTION("""COMPUTED_VALUE"""),"#VALUE!")</f>
        <v>#VALUE!</v>
      </c>
      <c r="J540" s="51" t="str">
        <f>IFERROR(__xludf.DUMMYFUNCTION("""COMPUTED_VALUE"""),"")</f>
        <v/>
      </c>
      <c r="K540" s="51"/>
      <c r="L540" s="51" t="s">
        <v>257</v>
      </c>
      <c r="M540" s="51"/>
      <c r="N540" s="51"/>
      <c r="O540" s="51"/>
      <c r="P540" s="51"/>
      <c r="Q540" s="51"/>
      <c r="R540" s="51"/>
      <c r="S540" s="51"/>
      <c r="T540" s="51"/>
    </row>
    <row r="541">
      <c r="A541" s="51"/>
      <c r="B541" s="51"/>
      <c r="C541" s="56"/>
      <c r="D541" s="51"/>
      <c r="E541" s="51"/>
      <c r="F541" s="51"/>
      <c r="G541" s="51" t="str">
        <f>IFERROR(__xludf.DUMMYFUNCTION("""COMPUTED_VALUE"""),"#VALUE!")</f>
        <v>#VALUE!</v>
      </c>
      <c r="H541" s="51" t="str">
        <f>IFERROR(__xludf.DUMMYFUNCTION("""COMPUTED_VALUE"""),"")</f>
        <v/>
      </c>
      <c r="I541" s="51" t="str">
        <f>IFERROR(__xludf.DUMMYFUNCTION("""COMPUTED_VALUE"""),"#VALUE!")</f>
        <v>#VALUE!</v>
      </c>
      <c r="J541" s="51" t="str">
        <f>IFERROR(__xludf.DUMMYFUNCTION("""COMPUTED_VALUE"""),"")</f>
        <v/>
      </c>
      <c r="K541" s="51"/>
      <c r="L541" s="51" t="s">
        <v>257</v>
      </c>
      <c r="M541" s="51"/>
      <c r="N541" s="51"/>
      <c r="O541" s="51"/>
      <c r="P541" s="51"/>
      <c r="Q541" s="51"/>
      <c r="R541" s="51"/>
      <c r="S541" s="51"/>
      <c r="T541" s="51"/>
    </row>
    <row r="542">
      <c r="A542" s="51"/>
      <c r="B542" s="51"/>
      <c r="C542" s="56"/>
      <c r="D542" s="51"/>
      <c r="E542" s="51"/>
      <c r="F542" s="51"/>
      <c r="G542" s="51" t="str">
        <f>IFERROR(__xludf.DUMMYFUNCTION("""COMPUTED_VALUE"""),"#VALUE!")</f>
        <v>#VALUE!</v>
      </c>
      <c r="H542" s="51" t="str">
        <f>IFERROR(__xludf.DUMMYFUNCTION("""COMPUTED_VALUE"""),"")</f>
        <v/>
      </c>
      <c r="I542" s="51" t="str">
        <f>IFERROR(__xludf.DUMMYFUNCTION("""COMPUTED_VALUE"""),"#VALUE!")</f>
        <v>#VALUE!</v>
      </c>
      <c r="J542" s="51" t="str">
        <f>IFERROR(__xludf.DUMMYFUNCTION("""COMPUTED_VALUE"""),"")</f>
        <v/>
      </c>
      <c r="K542" s="51"/>
      <c r="L542" s="51" t="s">
        <v>257</v>
      </c>
      <c r="M542" s="51"/>
      <c r="N542" s="51"/>
      <c r="O542" s="51"/>
      <c r="P542" s="51"/>
      <c r="Q542" s="51"/>
      <c r="R542" s="51"/>
      <c r="S542" s="51"/>
      <c r="T542" s="51"/>
    </row>
    <row r="543">
      <c r="A543" s="51"/>
      <c r="B543" s="51"/>
      <c r="C543" s="56"/>
      <c r="D543" s="51"/>
      <c r="E543" s="51"/>
      <c r="F543" s="51"/>
      <c r="G543" s="51" t="str">
        <f>IFERROR(__xludf.DUMMYFUNCTION("""COMPUTED_VALUE"""),"#VALUE!")</f>
        <v>#VALUE!</v>
      </c>
      <c r="H543" s="51" t="str">
        <f>IFERROR(__xludf.DUMMYFUNCTION("""COMPUTED_VALUE"""),"")</f>
        <v/>
      </c>
      <c r="I543" s="51" t="str">
        <f>IFERROR(__xludf.DUMMYFUNCTION("""COMPUTED_VALUE"""),"#VALUE!")</f>
        <v>#VALUE!</v>
      </c>
      <c r="J543" s="51" t="str">
        <f>IFERROR(__xludf.DUMMYFUNCTION("""COMPUTED_VALUE"""),"")</f>
        <v/>
      </c>
      <c r="K543" s="51"/>
      <c r="L543" s="51" t="s">
        <v>257</v>
      </c>
      <c r="M543" s="51"/>
      <c r="N543" s="51"/>
      <c r="O543" s="51"/>
      <c r="P543" s="51"/>
      <c r="Q543" s="51"/>
      <c r="R543" s="51"/>
      <c r="S543" s="51"/>
      <c r="T543" s="51"/>
    </row>
    <row r="544">
      <c r="A544" s="51"/>
      <c r="B544" s="51"/>
      <c r="C544" s="56"/>
      <c r="D544" s="51"/>
      <c r="E544" s="51"/>
      <c r="F544" s="51"/>
      <c r="G544" s="51" t="str">
        <f>IFERROR(__xludf.DUMMYFUNCTION("""COMPUTED_VALUE"""),"#VALUE!")</f>
        <v>#VALUE!</v>
      </c>
      <c r="H544" s="51" t="str">
        <f>IFERROR(__xludf.DUMMYFUNCTION("""COMPUTED_VALUE"""),"")</f>
        <v/>
      </c>
      <c r="I544" s="51" t="str">
        <f>IFERROR(__xludf.DUMMYFUNCTION("""COMPUTED_VALUE"""),"#VALUE!")</f>
        <v>#VALUE!</v>
      </c>
      <c r="J544" s="51" t="str">
        <f>IFERROR(__xludf.DUMMYFUNCTION("""COMPUTED_VALUE"""),"")</f>
        <v/>
      </c>
      <c r="K544" s="51"/>
      <c r="L544" s="51" t="s">
        <v>257</v>
      </c>
      <c r="M544" s="51"/>
      <c r="N544" s="51"/>
      <c r="O544" s="51"/>
      <c r="P544" s="51"/>
      <c r="Q544" s="51"/>
      <c r="R544" s="51"/>
      <c r="S544" s="51"/>
      <c r="T544" s="51"/>
    </row>
    <row r="545">
      <c r="A545" s="51"/>
      <c r="B545" s="51"/>
      <c r="C545" s="56"/>
      <c r="D545" s="51"/>
      <c r="E545" s="51"/>
      <c r="F545" s="51"/>
      <c r="G545" s="51" t="str">
        <f>IFERROR(__xludf.DUMMYFUNCTION("""COMPUTED_VALUE"""),"#VALUE!")</f>
        <v>#VALUE!</v>
      </c>
      <c r="H545" s="51" t="str">
        <f>IFERROR(__xludf.DUMMYFUNCTION("""COMPUTED_VALUE"""),"")</f>
        <v/>
      </c>
      <c r="I545" s="51" t="str">
        <f>IFERROR(__xludf.DUMMYFUNCTION("""COMPUTED_VALUE"""),"#VALUE!")</f>
        <v>#VALUE!</v>
      </c>
      <c r="J545" s="51" t="str">
        <f>IFERROR(__xludf.DUMMYFUNCTION("""COMPUTED_VALUE"""),"")</f>
        <v/>
      </c>
      <c r="K545" s="51"/>
      <c r="L545" s="51" t="s">
        <v>257</v>
      </c>
      <c r="M545" s="51"/>
      <c r="N545" s="51"/>
      <c r="O545" s="51"/>
      <c r="P545" s="51"/>
      <c r="Q545" s="51"/>
      <c r="R545" s="51"/>
      <c r="S545" s="51"/>
      <c r="T545" s="51"/>
    </row>
    <row r="546">
      <c r="A546" s="51"/>
      <c r="B546" s="51"/>
      <c r="C546" s="56"/>
      <c r="D546" s="51"/>
      <c r="E546" s="51"/>
      <c r="F546" s="51"/>
      <c r="G546" s="51" t="str">
        <f>IFERROR(__xludf.DUMMYFUNCTION("""COMPUTED_VALUE"""),"#VALUE!")</f>
        <v>#VALUE!</v>
      </c>
      <c r="H546" s="51" t="str">
        <f>IFERROR(__xludf.DUMMYFUNCTION("""COMPUTED_VALUE"""),"")</f>
        <v/>
      </c>
      <c r="I546" s="51" t="str">
        <f>IFERROR(__xludf.DUMMYFUNCTION("""COMPUTED_VALUE"""),"#VALUE!")</f>
        <v>#VALUE!</v>
      </c>
      <c r="J546" s="51" t="str">
        <f>IFERROR(__xludf.DUMMYFUNCTION("""COMPUTED_VALUE"""),"")</f>
        <v/>
      </c>
      <c r="K546" s="51"/>
      <c r="L546" s="51" t="s">
        <v>257</v>
      </c>
      <c r="M546" s="51"/>
      <c r="N546" s="51"/>
      <c r="O546" s="51"/>
      <c r="P546" s="51"/>
      <c r="Q546" s="51"/>
      <c r="R546" s="51"/>
      <c r="S546" s="51"/>
      <c r="T546" s="51"/>
    </row>
    <row r="547">
      <c r="A547" s="51"/>
      <c r="B547" s="51"/>
      <c r="C547" s="56"/>
      <c r="D547" s="51"/>
      <c r="E547" s="51"/>
      <c r="F547" s="51"/>
      <c r="G547" s="51" t="str">
        <f>IFERROR(__xludf.DUMMYFUNCTION("""COMPUTED_VALUE"""),"#VALUE!")</f>
        <v>#VALUE!</v>
      </c>
      <c r="H547" s="51" t="str">
        <f>IFERROR(__xludf.DUMMYFUNCTION("""COMPUTED_VALUE"""),"")</f>
        <v/>
      </c>
      <c r="I547" s="51" t="str">
        <f>IFERROR(__xludf.DUMMYFUNCTION("""COMPUTED_VALUE"""),"#VALUE!")</f>
        <v>#VALUE!</v>
      </c>
      <c r="J547" s="51" t="str">
        <f>IFERROR(__xludf.DUMMYFUNCTION("""COMPUTED_VALUE"""),"")</f>
        <v/>
      </c>
      <c r="K547" s="51"/>
      <c r="L547" s="51" t="s">
        <v>257</v>
      </c>
      <c r="M547" s="51"/>
      <c r="N547" s="51"/>
      <c r="O547" s="51"/>
      <c r="P547" s="51"/>
      <c r="Q547" s="51"/>
      <c r="R547" s="51"/>
      <c r="S547" s="51"/>
      <c r="T547" s="51"/>
    </row>
    <row r="548">
      <c r="A548" s="51"/>
      <c r="B548" s="51"/>
      <c r="C548" s="56"/>
      <c r="D548" s="51"/>
      <c r="E548" s="51"/>
      <c r="F548" s="51"/>
      <c r="G548" s="51" t="str">
        <f>IFERROR(__xludf.DUMMYFUNCTION("""COMPUTED_VALUE"""),"#VALUE!")</f>
        <v>#VALUE!</v>
      </c>
      <c r="H548" s="51" t="str">
        <f>IFERROR(__xludf.DUMMYFUNCTION("""COMPUTED_VALUE"""),"")</f>
        <v/>
      </c>
      <c r="I548" s="51" t="str">
        <f>IFERROR(__xludf.DUMMYFUNCTION("""COMPUTED_VALUE"""),"#VALUE!")</f>
        <v>#VALUE!</v>
      </c>
      <c r="J548" s="51" t="str">
        <f>IFERROR(__xludf.DUMMYFUNCTION("""COMPUTED_VALUE"""),"")</f>
        <v/>
      </c>
      <c r="K548" s="51"/>
      <c r="L548" s="51" t="s">
        <v>257</v>
      </c>
      <c r="M548" s="51"/>
      <c r="N548" s="51"/>
      <c r="O548" s="51"/>
      <c r="P548" s="51"/>
      <c r="Q548" s="51"/>
      <c r="R548" s="51"/>
      <c r="S548" s="51"/>
      <c r="T548" s="51"/>
    </row>
    <row r="549">
      <c r="A549" s="51"/>
      <c r="B549" s="51"/>
      <c r="C549" s="56"/>
      <c r="D549" s="51"/>
      <c r="E549" s="51"/>
      <c r="F549" s="51"/>
      <c r="G549" s="51" t="str">
        <f>IFERROR(__xludf.DUMMYFUNCTION("""COMPUTED_VALUE"""),"#VALUE!")</f>
        <v>#VALUE!</v>
      </c>
      <c r="H549" s="51" t="str">
        <f>IFERROR(__xludf.DUMMYFUNCTION("""COMPUTED_VALUE"""),"")</f>
        <v/>
      </c>
      <c r="I549" s="51" t="str">
        <f>IFERROR(__xludf.DUMMYFUNCTION("""COMPUTED_VALUE"""),"#VALUE!")</f>
        <v>#VALUE!</v>
      </c>
      <c r="J549" s="51" t="str">
        <f>IFERROR(__xludf.DUMMYFUNCTION("""COMPUTED_VALUE"""),"")</f>
        <v/>
      </c>
      <c r="K549" s="51"/>
      <c r="L549" s="51" t="s">
        <v>257</v>
      </c>
      <c r="M549" s="51"/>
      <c r="N549" s="51"/>
      <c r="O549" s="51"/>
      <c r="P549" s="51"/>
      <c r="Q549" s="51"/>
      <c r="R549" s="51"/>
      <c r="S549" s="51"/>
      <c r="T549" s="51"/>
    </row>
    <row r="550">
      <c r="A550" s="51"/>
      <c r="B550" s="51"/>
      <c r="C550" s="56"/>
      <c r="D550" s="51"/>
      <c r="E550" s="51"/>
      <c r="F550" s="51"/>
      <c r="G550" s="51" t="str">
        <f>IFERROR(__xludf.DUMMYFUNCTION("""COMPUTED_VALUE"""),"#VALUE!")</f>
        <v>#VALUE!</v>
      </c>
      <c r="H550" s="51" t="str">
        <f>IFERROR(__xludf.DUMMYFUNCTION("""COMPUTED_VALUE"""),"")</f>
        <v/>
      </c>
      <c r="I550" s="51" t="str">
        <f>IFERROR(__xludf.DUMMYFUNCTION("""COMPUTED_VALUE"""),"#VALUE!")</f>
        <v>#VALUE!</v>
      </c>
      <c r="J550" s="51" t="str">
        <f>IFERROR(__xludf.DUMMYFUNCTION("""COMPUTED_VALUE"""),"")</f>
        <v/>
      </c>
      <c r="K550" s="51"/>
      <c r="L550" s="51" t="s">
        <v>257</v>
      </c>
      <c r="M550" s="51"/>
      <c r="N550" s="51"/>
      <c r="O550" s="51"/>
      <c r="P550" s="51"/>
      <c r="Q550" s="51"/>
      <c r="R550" s="51"/>
      <c r="S550" s="51"/>
      <c r="T550" s="51"/>
    </row>
    <row r="551">
      <c r="A551" s="51"/>
      <c r="B551" s="51"/>
      <c r="C551" s="56"/>
      <c r="D551" s="51"/>
      <c r="E551" s="51"/>
      <c r="F551" s="51"/>
      <c r="G551" s="51" t="str">
        <f>IFERROR(__xludf.DUMMYFUNCTION("""COMPUTED_VALUE"""),"#VALUE!")</f>
        <v>#VALUE!</v>
      </c>
      <c r="H551" s="51" t="str">
        <f>IFERROR(__xludf.DUMMYFUNCTION("""COMPUTED_VALUE"""),"")</f>
        <v/>
      </c>
      <c r="I551" s="51" t="str">
        <f>IFERROR(__xludf.DUMMYFUNCTION("""COMPUTED_VALUE"""),"#VALUE!")</f>
        <v>#VALUE!</v>
      </c>
      <c r="J551" s="51" t="str">
        <f>IFERROR(__xludf.DUMMYFUNCTION("""COMPUTED_VALUE"""),"")</f>
        <v/>
      </c>
      <c r="K551" s="51"/>
      <c r="L551" s="51" t="s">
        <v>257</v>
      </c>
      <c r="M551" s="51"/>
      <c r="N551" s="51"/>
      <c r="O551" s="51"/>
      <c r="P551" s="51"/>
      <c r="Q551" s="51"/>
      <c r="R551" s="51"/>
      <c r="S551" s="51"/>
      <c r="T551" s="51"/>
    </row>
    <row r="552">
      <c r="A552" s="51"/>
      <c r="B552" s="51"/>
      <c r="C552" s="56"/>
      <c r="D552" s="51"/>
      <c r="E552" s="51"/>
      <c r="F552" s="51"/>
      <c r="G552" s="51" t="str">
        <f>IFERROR(__xludf.DUMMYFUNCTION("""COMPUTED_VALUE"""),"#VALUE!")</f>
        <v>#VALUE!</v>
      </c>
      <c r="H552" s="51" t="str">
        <f>IFERROR(__xludf.DUMMYFUNCTION("""COMPUTED_VALUE"""),"")</f>
        <v/>
      </c>
      <c r="I552" s="51" t="str">
        <f>IFERROR(__xludf.DUMMYFUNCTION("""COMPUTED_VALUE"""),"#VALUE!")</f>
        <v>#VALUE!</v>
      </c>
      <c r="J552" s="51" t="str">
        <f>IFERROR(__xludf.DUMMYFUNCTION("""COMPUTED_VALUE"""),"")</f>
        <v/>
      </c>
      <c r="K552" s="51"/>
      <c r="L552" s="51" t="s">
        <v>257</v>
      </c>
      <c r="M552" s="51"/>
      <c r="N552" s="51"/>
      <c r="O552" s="51"/>
      <c r="P552" s="51"/>
      <c r="Q552" s="51"/>
      <c r="R552" s="51"/>
      <c r="S552" s="51"/>
      <c r="T552" s="51"/>
    </row>
    <row r="553">
      <c r="A553" s="51"/>
      <c r="B553" s="51"/>
      <c r="C553" s="56"/>
      <c r="D553" s="51"/>
      <c r="E553" s="51"/>
      <c r="F553" s="51"/>
      <c r="G553" s="51" t="str">
        <f>IFERROR(__xludf.DUMMYFUNCTION("""COMPUTED_VALUE"""),"#VALUE!")</f>
        <v>#VALUE!</v>
      </c>
      <c r="H553" s="51" t="str">
        <f>IFERROR(__xludf.DUMMYFUNCTION("""COMPUTED_VALUE"""),"")</f>
        <v/>
      </c>
      <c r="I553" s="51" t="str">
        <f>IFERROR(__xludf.DUMMYFUNCTION("""COMPUTED_VALUE"""),"#VALUE!")</f>
        <v>#VALUE!</v>
      </c>
      <c r="J553" s="51" t="str">
        <f>IFERROR(__xludf.DUMMYFUNCTION("""COMPUTED_VALUE"""),"")</f>
        <v/>
      </c>
      <c r="K553" s="51"/>
      <c r="L553" s="51" t="s">
        <v>257</v>
      </c>
      <c r="M553" s="51"/>
      <c r="N553" s="51"/>
      <c r="O553" s="51"/>
      <c r="P553" s="51"/>
      <c r="Q553" s="51"/>
      <c r="R553" s="51"/>
      <c r="S553" s="51"/>
      <c r="T553" s="51"/>
    </row>
    <row r="554">
      <c r="A554" s="51"/>
      <c r="B554" s="51"/>
      <c r="C554" s="56"/>
      <c r="D554" s="51"/>
      <c r="E554" s="51"/>
      <c r="F554" s="51"/>
      <c r="G554" s="51" t="str">
        <f>IFERROR(__xludf.DUMMYFUNCTION("""COMPUTED_VALUE"""),"#VALUE!")</f>
        <v>#VALUE!</v>
      </c>
      <c r="H554" s="51" t="str">
        <f>IFERROR(__xludf.DUMMYFUNCTION("""COMPUTED_VALUE"""),"")</f>
        <v/>
      </c>
      <c r="I554" s="51" t="str">
        <f>IFERROR(__xludf.DUMMYFUNCTION("""COMPUTED_VALUE"""),"#VALUE!")</f>
        <v>#VALUE!</v>
      </c>
      <c r="J554" s="51" t="str">
        <f>IFERROR(__xludf.DUMMYFUNCTION("""COMPUTED_VALUE"""),"")</f>
        <v/>
      </c>
      <c r="K554" s="51"/>
      <c r="L554" s="51" t="s">
        <v>257</v>
      </c>
      <c r="M554" s="51"/>
      <c r="N554" s="51"/>
      <c r="O554" s="51"/>
      <c r="P554" s="51"/>
      <c r="Q554" s="51"/>
      <c r="R554" s="51"/>
      <c r="S554" s="51"/>
      <c r="T554" s="51"/>
    </row>
    <row r="555">
      <c r="A555" s="51"/>
      <c r="B555" s="51"/>
      <c r="C555" s="56"/>
      <c r="D555" s="51"/>
      <c r="E555" s="51"/>
      <c r="F555" s="51"/>
      <c r="G555" s="51" t="str">
        <f>IFERROR(__xludf.DUMMYFUNCTION("""COMPUTED_VALUE"""),"#VALUE!")</f>
        <v>#VALUE!</v>
      </c>
      <c r="H555" s="51" t="str">
        <f>IFERROR(__xludf.DUMMYFUNCTION("""COMPUTED_VALUE"""),"")</f>
        <v/>
      </c>
      <c r="I555" s="51" t="str">
        <f>IFERROR(__xludf.DUMMYFUNCTION("""COMPUTED_VALUE"""),"#VALUE!")</f>
        <v>#VALUE!</v>
      </c>
      <c r="J555" s="51" t="str">
        <f>IFERROR(__xludf.DUMMYFUNCTION("""COMPUTED_VALUE"""),"")</f>
        <v/>
      </c>
      <c r="K555" s="51"/>
      <c r="L555" s="51" t="s">
        <v>257</v>
      </c>
      <c r="M555" s="51"/>
      <c r="N555" s="51"/>
      <c r="O555" s="51"/>
      <c r="P555" s="51"/>
      <c r="Q555" s="51"/>
      <c r="R555" s="51"/>
      <c r="S555" s="51"/>
      <c r="T555" s="51"/>
    </row>
    <row r="556">
      <c r="A556" s="51"/>
      <c r="B556" s="51"/>
      <c r="C556" s="56"/>
      <c r="D556" s="51"/>
      <c r="E556" s="51"/>
      <c r="F556" s="51"/>
      <c r="G556" s="51" t="str">
        <f>IFERROR(__xludf.DUMMYFUNCTION("""COMPUTED_VALUE"""),"#VALUE!")</f>
        <v>#VALUE!</v>
      </c>
      <c r="H556" s="51" t="str">
        <f>IFERROR(__xludf.DUMMYFUNCTION("""COMPUTED_VALUE"""),"")</f>
        <v/>
      </c>
      <c r="I556" s="51" t="str">
        <f>IFERROR(__xludf.DUMMYFUNCTION("""COMPUTED_VALUE"""),"#VALUE!")</f>
        <v>#VALUE!</v>
      </c>
      <c r="J556" s="51" t="str">
        <f>IFERROR(__xludf.DUMMYFUNCTION("""COMPUTED_VALUE"""),"")</f>
        <v/>
      </c>
      <c r="K556" s="51"/>
      <c r="L556" s="51" t="s">
        <v>257</v>
      </c>
      <c r="M556" s="51"/>
      <c r="N556" s="51"/>
      <c r="O556" s="51"/>
      <c r="P556" s="51"/>
      <c r="Q556" s="51"/>
      <c r="R556" s="51"/>
      <c r="S556" s="51"/>
      <c r="T556" s="51"/>
    </row>
    <row r="557">
      <c r="A557" s="51"/>
      <c r="B557" s="51"/>
      <c r="C557" s="56"/>
      <c r="D557" s="51"/>
      <c r="E557" s="51"/>
      <c r="F557" s="51"/>
      <c r="G557" s="51" t="str">
        <f>IFERROR(__xludf.DUMMYFUNCTION("""COMPUTED_VALUE"""),"#VALUE!")</f>
        <v>#VALUE!</v>
      </c>
      <c r="H557" s="51" t="str">
        <f>IFERROR(__xludf.DUMMYFUNCTION("""COMPUTED_VALUE"""),"")</f>
        <v/>
      </c>
      <c r="I557" s="51" t="str">
        <f>IFERROR(__xludf.DUMMYFUNCTION("""COMPUTED_VALUE"""),"#VALUE!")</f>
        <v>#VALUE!</v>
      </c>
      <c r="J557" s="51" t="str">
        <f>IFERROR(__xludf.DUMMYFUNCTION("""COMPUTED_VALUE"""),"")</f>
        <v/>
      </c>
      <c r="K557" s="51"/>
      <c r="L557" s="51" t="s">
        <v>257</v>
      </c>
      <c r="M557" s="51"/>
      <c r="N557" s="51"/>
      <c r="O557" s="51"/>
      <c r="P557" s="51"/>
      <c r="Q557" s="51"/>
      <c r="R557" s="51"/>
      <c r="S557" s="51"/>
      <c r="T557" s="51"/>
    </row>
    <row r="558">
      <c r="A558" s="51"/>
      <c r="B558" s="51"/>
      <c r="C558" s="56"/>
      <c r="D558" s="51"/>
      <c r="E558" s="51"/>
      <c r="F558" s="51"/>
      <c r="G558" s="51" t="str">
        <f>IFERROR(__xludf.DUMMYFUNCTION("""COMPUTED_VALUE"""),"#VALUE!")</f>
        <v>#VALUE!</v>
      </c>
      <c r="H558" s="51" t="str">
        <f>IFERROR(__xludf.DUMMYFUNCTION("""COMPUTED_VALUE"""),"")</f>
        <v/>
      </c>
      <c r="I558" s="51" t="str">
        <f>IFERROR(__xludf.DUMMYFUNCTION("""COMPUTED_VALUE"""),"#VALUE!")</f>
        <v>#VALUE!</v>
      </c>
      <c r="J558" s="51" t="str">
        <f>IFERROR(__xludf.DUMMYFUNCTION("""COMPUTED_VALUE"""),"")</f>
        <v/>
      </c>
      <c r="K558" s="51"/>
      <c r="L558" s="51" t="s">
        <v>257</v>
      </c>
      <c r="M558" s="51"/>
      <c r="N558" s="51"/>
      <c r="O558" s="51"/>
      <c r="P558" s="51"/>
      <c r="Q558" s="51"/>
      <c r="R558" s="51"/>
      <c r="S558" s="51"/>
      <c r="T558" s="51"/>
    </row>
    <row r="559">
      <c r="A559" s="51"/>
      <c r="B559" s="51"/>
      <c r="C559" s="56"/>
      <c r="D559" s="51"/>
      <c r="E559" s="51"/>
      <c r="F559" s="51"/>
      <c r="G559" s="51" t="str">
        <f>IFERROR(__xludf.DUMMYFUNCTION("""COMPUTED_VALUE"""),"#VALUE!")</f>
        <v>#VALUE!</v>
      </c>
      <c r="H559" s="51" t="str">
        <f>IFERROR(__xludf.DUMMYFUNCTION("""COMPUTED_VALUE"""),"")</f>
        <v/>
      </c>
      <c r="I559" s="51" t="str">
        <f>IFERROR(__xludf.DUMMYFUNCTION("""COMPUTED_VALUE"""),"#VALUE!")</f>
        <v>#VALUE!</v>
      </c>
      <c r="J559" s="51" t="str">
        <f>IFERROR(__xludf.DUMMYFUNCTION("""COMPUTED_VALUE"""),"")</f>
        <v/>
      </c>
      <c r="K559" s="51"/>
      <c r="L559" s="51" t="s">
        <v>257</v>
      </c>
      <c r="M559" s="51"/>
      <c r="N559" s="51"/>
      <c r="O559" s="51"/>
      <c r="P559" s="51"/>
      <c r="Q559" s="51"/>
      <c r="R559" s="51"/>
      <c r="S559" s="51"/>
      <c r="T559" s="51"/>
    </row>
    <row r="560">
      <c r="A560" s="51"/>
      <c r="B560" s="51"/>
      <c r="C560" s="56"/>
      <c r="D560" s="51"/>
      <c r="E560" s="51"/>
      <c r="F560" s="51"/>
      <c r="G560" s="51" t="str">
        <f>IFERROR(__xludf.DUMMYFUNCTION("""COMPUTED_VALUE"""),"#VALUE!")</f>
        <v>#VALUE!</v>
      </c>
      <c r="H560" s="51" t="str">
        <f>IFERROR(__xludf.DUMMYFUNCTION("""COMPUTED_VALUE"""),"")</f>
        <v/>
      </c>
      <c r="I560" s="51" t="str">
        <f>IFERROR(__xludf.DUMMYFUNCTION("""COMPUTED_VALUE"""),"#VALUE!")</f>
        <v>#VALUE!</v>
      </c>
      <c r="J560" s="51" t="str">
        <f>IFERROR(__xludf.DUMMYFUNCTION("""COMPUTED_VALUE"""),"")</f>
        <v/>
      </c>
      <c r="K560" s="51"/>
      <c r="L560" s="51" t="s">
        <v>257</v>
      </c>
      <c r="M560" s="51"/>
      <c r="N560" s="51"/>
      <c r="O560" s="51"/>
      <c r="P560" s="51"/>
      <c r="Q560" s="51"/>
      <c r="R560" s="51"/>
      <c r="S560" s="51"/>
      <c r="T560" s="51"/>
    </row>
    <row r="561">
      <c r="A561" s="51"/>
      <c r="B561" s="51"/>
      <c r="C561" s="56"/>
      <c r="D561" s="51"/>
      <c r="E561" s="51"/>
      <c r="F561" s="51"/>
      <c r="G561" s="51" t="str">
        <f>IFERROR(__xludf.DUMMYFUNCTION("""COMPUTED_VALUE"""),"#VALUE!")</f>
        <v>#VALUE!</v>
      </c>
      <c r="H561" s="51" t="str">
        <f>IFERROR(__xludf.DUMMYFUNCTION("""COMPUTED_VALUE"""),"")</f>
        <v/>
      </c>
      <c r="I561" s="51" t="str">
        <f>IFERROR(__xludf.DUMMYFUNCTION("""COMPUTED_VALUE"""),"#VALUE!")</f>
        <v>#VALUE!</v>
      </c>
      <c r="J561" s="51" t="str">
        <f>IFERROR(__xludf.DUMMYFUNCTION("""COMPUTED_VALUE"""),"")</f>
        <v/>
      </c>
      <c r="K561" s="51"/>
      <c r="L561" s="51" t="s">
        <v>257</v>
      </c>
      <c r="M561" s="51"/>
      <c r="N561" s="51"/>
      <c r="O561" s="51"/>
      <c r="P561" s="51"/>
      <c r="Q561" s="51"/>
      <c r="R561" s="51"/>
      <c r="S561" s="51"/>
      <c r="T561" s="51"/>
    </row>
    <row r="562">
      <c r="A562" s="51"/>
      <c r="B562" s="51"/>
      <c r="C562" s="56"/>
      <c r="D562" s="51"/>
      <c r="E562" s="51"/>
      <c r="F562" s="51"/>
      <c r="G562" s="51" t="str">
        <f>IFERROR(__xludf.DUMMYFUNCTION("""COMPUTED_VALUE"""),"#VALUE!")</f>
        <v>#VALUE!</v>
      </c>
      <c r="H562" s="51" t="str">
        <f>IFERROR(__xludf.DUMMYFUNCTION("""COMPUTED_VALUE"""),"")</f>
        <v/>
      </c>
      <c r="I562" s="51" t="str">
        <f>IFERROR(__xludf.DUMMYFUNCTION("""COMPUTED_VALUE"""),"#VALUE!")</f>
        <v>#VALUE!</v>
      </c>
      <c r="J562" s="51" t="str">
        <f>IFERROR(__xludf.DUMMYFUNCTION("""COMPUTED_VALUE"""),"")</f>
        <v/>
      </c>
      <c r="K562" s="51"/>
      <c r="L562" s="51" t="s">
        <v>257</v>
      </c>
      <c r="M562" s="51"/>
      <c r="N562" s="51"/>
      <c r="O562" s="51"/>
      <c r="P562" s="51"/>
      <c r="Q562" s="51"/>
      <c r="R562" s="51"/>
      <c r="S562" s="51"/>
      <c r="T562" s="51"/>
    </row>
    <row r="563">
      <c r="A563" s="51"/>
      <c r="B563" s="51"/>
      <c r="C563" s="56"/>
      <c r="D563" s="51"/>
      <c r="E563" s="51"/>
      <c r="F563" s="51"/>
      <c r="G563" s="51" t="str">
        <f>IFERROR(__xludf.DUMMYFUNCTION("""COMPUTED_VALUE"""),"#VALUE!")</f>
        <v>#VALUE!</v>
      </c>
      <c r="H563" s="51" t="str">
        <f>IFERROR(__xludf.DUMMYFUNCTION("""COMPUTED_VALUE"""),"")</f>
        <v/>
      </c>
      <c r="I563" s="51" t="str">
        <f>IFERROR(__xludf.DUMMYFUNCTION("""COMPUTED_VALUE"""),"#VALUE!")</f>
        <v>#VALUE!</v>
      </c>
      <c r="J563" s="51" t="str">
        <f>IFERROR(__xludf.DUMMYFUNCTION("""COMPUTED_VALUE"""),"")</f>
        <v/>
      </c>
      <c r="K563" s="51"/>
      <c r="L563" s="51" t="s">
        <v>257</v>
      </c>
      <c r="M563" s="51"/>
      <c r="N563" s="51"/>
      <c r="O563" s="51"/>
      <c r="P563" s="51"/>
      <c r="Q563" s="51"/>
      <c r="R563" s="51"/>
      <c r="S563" s="51"/>
      <c r="T563" s="51"/>
    </row>
    <row r="564">
      <c r="A564" s="51"/>
      <c r="B564" s="51"/>
      <c r="C564" s="56"/>
      <c r="D564" s="51"/>
      <c r="E564" s="51"/>
      <c r="F564" s="51"/>
      <c r="G564" s="51" t="str">
        <f>IFERROR(__xludf.DUMMYFUNCTION("""COMPUTED_VALUE"""),"#VALUE!")</f>
        <v>#VALUE!</v>
      </c>
      <c r="H564" s="51" t="str">
        <f>IFERROR(__xludf.DUMMYFUNCTION("""COMPUTED_VALUE"""),"")</f>
        <v/>
      </c>
      <c r="I564" s="51" t="str">
        <f>IFERROR(__xludf.DUMMYFUNCTION("""COMPUTED_VALUE"""),"#VALUE!")</f>
        <v>#VALUE!</v>
      </c>
      <c r="J564" s="51" t="str">
        <f>IFERROR(__xludf.DUMMYFUNCTION("""COMPUTED_VALUE"""),"")</f>
        <v/>
      </c>
      <c r="K564" s="51"/>
      <c r="L564" s="51" t="s">
        <v>257</v>
      </c>
      <c r="M564" s="51"/>
      <c r="N564" s="51"/>
      <c r="O564" s="51"/>
      <c r="P564" s="51"/>
      <c r="Q564" s="51"/>
      <c r="R564" s="51"/>
      <c r="S564" s="51"/>
      <c r="T564" s="51"/>
    </row>
    <row r="565">
      <c r="A565" s="51"/>
      <c r="B565" s="51"/>
      <c r="C565" s="56"/>
      <c r="D565" s="51"/>
      <c r="E565" s="51"/>
      <c r="F565" s="51"/>
      <c r="G565" s="51" t="str">
        <f>IFERROR(__xludf.DUMMYFUNCTION("""COMPUTED_VALUE"""),"#VALUE!")</f>
        <v>#VALUE!</v>
      </c>
      <c r="H565" s="51" t="str">
        <f>IFERROR(__xludf.DUMMYFUNCTION("""COMPUTED_VALUE"""),"")</f>
        <v/>
      </c>
      <c r="I565" s="51" t="str">
        <f>IFERROR(__xludf.DUMMYFUNCTION("""COMPUTED_VALUE"""),"#VALUE!")</f>
        <v>#VALUE!</v>
      </c>
      <c r="J565" s="51" t="str">
        <f>IFERROR(__xludf.DUMMYFUNCTION("""COMPUTED_VALUE"""),"")</f>
        <v/>
      </c>
      <c r="K565" s="51"/>
      <c r="L565" s="51" t="s">
        <v>257</v>
      </c>
      <c r="M565" s="51"/>
      <c r="N565" s="51"/>
      <c r="O565" s="51"/>
      <c r="P565" s="51"/>
      <c r="Q565" s="51"/>
      <c r="R565" s="51"/>
      <c r="S565" s="51"/>
      <c r="T565" s="51"/>
    </row>
    <row r="566">
      <c r="A566" s="51"/>
      <c r="B566" s="51"/>
      <c r="C566" s="56"/>
      <c r="D566" s="51"/>
      <c r="E566" s="51"/>
      <c r="F566" s="51"/>
      <c r="G566" s="51" t="str">
        <f>IFERROR(__xludf.DUMMYFUNCTION("""COMPUTED_VALUE"""),"#VALUE!")</f>
        <v>#VALUE!</v>
      </c>
      <c r="H566" s="51" t="str">
        <f>IFERROR(__xludf.DUMMYFUNCTION("""COMPUTED_VALUE"""),"")</f>
        <v/>
      </c>
      <c r="I566" s="51" t="str">
        <f>IFERROR(__xludf.DUMMYFUNCTION("""COMPUTED_VALUE"""),"#VALUE!")</f>
        <v>#VALUE!</v>
      </c>
      <c r="J566" s="51" t="str">
        <f>IFERROR(__xludf.DUMMYFUNCTION("""COMPUTED_VALUE"""),"")</f>
        <v/>
      </c>
      <c r="K566" s="51"/>
      <c r="L566" s="51" t="s">
        <v>257</v>
      </c>
      <c r="M566" s="51"/>
      <c r="N566" s="51"/>
      <c r="O566" s="51"/>
      <c r="P566" s="51"/>
      <c r="Q566" s="51"/>
      <c r="R566" s="51"/>
      <c r="S566" s="51"/>
      <c r="T566" s="51"/>
    </row>
    <row r="567">
      <c r="A567" s="51"/>
      <c r="B567" s="51"/>
      <c r="C567" s="56"/>
      <c r="D567" s="51"/>
      <c r="E567" s="51"/>
      <c r="F567" s="51"/>
      <c r="G567" s="51" t="str">
        <f>IFERROR(__xludf.DUMMYFUNCTION("""COMPUTED_VALUE"""),"#VALUE!")</f>
        <v>#VALUE!</v>
      </c>
      <c r="H567" s="51" t="str">
        <f>IFERROR(__xludf.DUMMYFUNCTION("""COMPUTED_VALUE"""),"")</f>
        <v/>
      </c>
      <c r="I567" s="51" t="str">
        <f>IFERROR(__xludf.DUMMYFUNCTION("""COMPUTED_VALUE"""),"#VALUE!")</f>
        <v>#VALUE!</v>
      </c>
      <c r="J567" s="51" t="str">
        <f>IFERROR(__xludf.DUMMYFUNCTION("""COMPUTED_VALUE"""),"")</f>
        <v/>
      </c>
      <c r="K567" s="51"/>
      <c r="L567" s="51" t="s">
        <v>257</v>
      </c>
      <c r="M567" s="51"/>
      <c r="N567" s="51"/>
      <c r="O567" s="51"/>
      <c r="P567" s="51"/>
      <c r="Q567" s="51"/>
      <c r="R567" s="51"/>
      <c r="S567" s="51"/>
      <c r="T567" s="51"/>
    </row>
    <row r="568">
      <c r="A568" s="51"/>
      <c r="B568" s="51"/>
      <c r="C568" s="56"/>
      <c r="D568" s="51"/>
      <c r="E568" s="51"/>
      <c r="F568" s="51"/>
      <c r="G568" s="51" t="str">
        <f>IFERROR(__xludf.DUMMYFUNCTION("""COMPUTED_VALUE"""),"#VALUE!")</f>
        <v>#VALUE!</v>
      </c>
      <c r="H568" s="51" t="str">
        <f>IFERROR(__xludf.DUMMYFUNCTION("""COMPUTED_VALUE"""),"")</f>
        <v/>
      </c>
      <c r="I568" s="51" t="str">
        <f>IFERROR(__xludf.DUMMYFUNCTION("""COMPUTED_VALUE"""),"#VALUE!")</f>
        <v>#VALUE!</v>
      </c>
      <c r="J568" s="51" t="str">
        <f>IFERROR(__xludf.DUMMYFUNCTION("""COMPUTED_VALUE"""),"")</f>
        <v/>
      </c>
      <c r="K568" s="51"/>
      <c r="L568" s="51" t="s">
        <v>257</v>
      </c>
      <c r="M568" s="51"/>
      <c r="N568" s="51"/>
      <c r="O568" s="51"/>
      <c r="P568" s="51"/>
      <c r="Q568" s="51"/>
      <c r="R568" s="51"/>
      <c r="S568" s="51"/>
      <c r="T568" s="51"/>
    </row>
    <row r="569">
      <c r="A569" s="51"/>
      <c r="B569" s="51"/>
      <c r="C569" s="56"/>
      <c r="D569" s="51"/>
      <c r="E569" s="51"/>
      <c r="F569" s="51"/>
      <c r="G569" s="51" t="str">
        <f>IFERROR(__xludf.DUMMYFUNCTION("""COMPUTED_VALUE"""),"#VALUE!")</f>
        <v>#VALUE!</v>
      </c>
      <c r="H569" s="51" t="str">
        <f>IFERROR(__xludf.DUMMYFUNCTION("""COMPUTED_VALUE"""),"")</f>
        <v/>
      </c>
      <c r="I569" s="51" t="str">
        <f>IFERROR(__xludf.DUMMYFUNCTION("""COMPUTED_VALUE"""),"#VALUE!")</f>
        <v>#VALUE!</v>
      </c>
      <c r="J569" s="51" t="str">
        <f>IFERROR(__xludf.DUMMYFUNCTION("""COMPUTED_VALUE"""),"")</f>
        <v/>
      </c>
      <c r="K569" s="51"/>
      <c r="L569" s="51" t="s">
        <v>257</v>
      </c>
      <c r="M569" s="51"/>
      <c r="N569" s="51"/>
      <c r="O569" s="51"/>
      <c r="P569" s="51"/>
      <c r="Q569" s="51"/>
      <c r="R569" s="51"/>
      <c r="S569" s="51"/>
      <c r="T569" s="51"/>
    </row>
    <row r="570">
      <c r="A570" s="51"/>
      <c r="B570" s="51"/>
      <c r="C570" s="56"/>
      <c r="D570" s="51"/>
      <c r="E570" s="51"/>
      <c r="F570" s="51"/>
      <c r="G570" s="51" t="str">
        <f>IFERROR(__xludf.DUMMYFUNCTION("""COMPUTED_VALUE"""),"#VALUE!")</f>
        <v>#VALUE!</v>
      </c>
      <c r="H570" s="51" t="str">
        <f>IFERROR(__xludf.DUMMYFUNCTION("""COMPUTED_VALUE"""),"")</f>
        <v/>
      </c>
      <c r="I570" s="51" t="str">
        <f>IFERROR(__xludf.DUMMYFUNCTION("""COMPUTED_VALUE"""),"#VALUE!")</f>
        <v>#VALUE!</v>
      </c>
      <c r="J570" s="51" t="str">
        <f>IFERROR(__xludf.DUMMYFUNCTION("""COMPUTED_VALUE"""),"")</f>
        <v/>
      </c>
      <c r="K570" s="51"/>
      <c r="L570" s="51" t="s">
        <v>257</v>
      </c>
      <c r="M570" s="51"/>
      <c r="N570" s="51"/>
      <c r="O570" s="51"/>
      <c r="P570" s="51"/>
      <c r="Q570" s="51"/>
      <c r="R570" s="51"/>
      <c r="S570" s="51"/>
      <c r="T570" s="51"/>
    </row>
    <row r="571">
      <c r="A571" s="51"/>
      <c r="B571" s="51"/>
      <c r="C571" s="56"/>
      <c r="D571" s="51"/>
      <c r="E571" s="51"/>
      <c r="F571" s="51"/>
      <c r="G571" s="51" t="str">
        <f>IFERROR(__xludf.DUMMYFUNCTION("""COMPUTED_VALUE"""),"#VALUE!")</f>
        <v>#VALUE!</v>
      </c>
      <c r="H571" s="51" t="str">
        <f>IFERROR(__xludf.DUMMYFUNCTION("""COMPUTED_VALUE"""),"")</f>
        <v/>
      </c>
      <c r="I571" s="51" t="str">
        <f>IFERROR(__xludf.DUMMYFUNCTION("""COMPUTED_VALUE"""),"#VALUE!")</f>
        <v>#VALUE!</v>
      </c>
      <c r="J571" s="51" t="str">
        <f>IFERROR(__xludf.DUMMYFUNCTION("""COMPUTED_VALUE"""),"")</f>
        <v/>
      </c>
      <c r="K571" s="51"/>
      <c r="L571" s="51" t="s">
        <v>257</v>
      </c>
      <c r="M571" s="51"/>
      <c r="N571" s="51"/>
      <c r="O571" s="51"/>
      <c r="P571" s="51"/>
      <c r="Q571" s="51"/>
      <c r="R571" s="51"/>
      <c r="S571" s="51"/>
      <c r="T571" s="51"/>
    </row>
    <row r="572">
      <c r="A572" s="51"/>
      <c r="B572" s="51"/>
      <c r="C572" s="56"/>
      <c r="D572" s="51"/>
      <c r="E572" s="51"/>
      <c r="F572" s="51"/>
      <c r="G572" s="51" t="str">
        <f>IFERROR(__xludf.DUMMYFUNCTION("""COMPUTED_VALUE"""),"#VALUE!")</f>
        <v>#VALUE!</v>
      </c>
      <c r="H572" s="51" t="str">
        <f>IFERROR(__xludf.DUMMYFUNCTION("""COMPUTED_VALUE"""),"")</f>
        <v/>
      </c>
      <c r="I572" s="51" t="str">
        <f>IFERROR(__xludf.DUMMYFUNCTION("""COMPUTED_VALUE"""),"#VALUE!")</f>
        <v>#VALUE!</v>
      </c>
      <c r="J572" s="51" t="str">
        <f>IFERROR(__xludf.DUMMYFUNCTION("""COMPUTED_VALUE"""),"")</f>
        <v/>
      </c>
      <c r="K572" s="51"/>
      <c r="L572" s="51" t="s">
        <v>257</v>
      </c>
      <c r="M572" s="51"/>
      <c r="N572" s="51"/>
      <c r="O572" s="51"/>
      <c r="P572" s="51"/>
      <c r="Q572" s="51"/>
      <c r="R572" s="51"/>
      <c r="S572" s="51"/>
      <c r="T572" s="51"/>
    </row>
    <row r="573">
      <c r="A573" s="51"/>
      <c r="B573" s="51"/>
      <c r="C573" s="56"/>
      <c r="D573" s="51"/>
      <c r="E573" s="51"/>
      <c r="F573" s="51"/>
      <c r="G573" s="51" t="str">
        <f>IFERROR(__xludf.DUMMYFUNCTION("""COMPUTED_VALUE"""),"#VALUE!")</f>
        <v>#VALUE!</v>
      </c>
      <c r="H573" s="51" t="str">
        <f>IFERROR(__xludf.DUMMYFUNCTION("""COMPUTED_VALUE"""),"")</f>
        <v/>
      </c>
      <c r="I573" s="51" t="str">
        <f>IFERROR(__xludf.DUMMYFUNCTION("""COMPUTED_VALUE"""),"#VALUE!")</f>
        <v>#VALUE!</v>
      </c>
      <c r="J573" s="51" t="str">
        <f>IFERROR(__xludf.DUMMYFUNCTION("""COMPUTED_VALUE"""),"")</f>
        <v/>
      </c>
      <c r="K573" s="51"/>
      <c r="L573" s="51" t="s">
        <v>257</v>
      </c>
      <c r="M573" s="51"/>
      <c r="N573" s="51"/>
      <c r="O573" s="51"/>
      <c r="P573" s="51"/>
      <c r="Q573" s="51"/>
      <c r="R573" s="51"/>
      <c r="S573" s="51"/>
      <c r="T573" s="51"/>
    </row>
    <row r="574">
      <c r="A574" s="51"/>
      <c r="B574" s="51"/>
      <c r="C574" s="56"/>
      <c r="D574" s="51"/>
      <c r="E574" s="51"/>
      <c r="F574" s="51"/>
      <c r="G574" s="51" t="str">
        <f>IFERROR(__xludf.DUMMYFUNCTION("""COMPUTED_VALUE"""),"#VALUE!")</f>
        <v>#VALUE!</v>
      </c>
      <c r="H574" s="51" t="str">
        <f>IFERROR(__xludf.DUMMYFUNCTION("""COMPUTED_VALUE"""),"")</f>
        <v/>
      </c>
      <c r="I574" s="51" t="str">
        <f>IFERROR(__xludf.DUMMYFUNCTION("""COMPUTED_VALUE"""),"#VALUE!")</f>
        <v>#VALUE!</v>
      </c>
      <c r="J574" s="51" t="str">
        <f>IFERROR(__xludf.DUMMYFUNCTION("""COMPUTED_VALUE"""),"")</f>
        <v/>
      </c>
      <c r="K574" s="51"/>
      <c r="L574" s="51" t="s">
        <v>257</v>
      </c>
      <c r="M574" s="51"/>
      <c r="N574" s="51"/>
      <c r="O574" s="51"/>
      <c r="P574" s="51"/>
      <c r="Q574" s="51"/>
      <c r="R574" s="51"/>
      <c r="S574" s="51"/>
      <c r="T574" s="51"/>
    </row>
    <row r="575">
      <c r="A575" s="51"/>
      <c r="B575" s="51"/>
      <c r="C575" s="56"/>
      <c r="D575" s="51"/>
      <c r="E575" s="51"/>
      <c r="F575" s="51"/>
      <c r="G575" s="51" t="str">
        <f>IFERROR(__xludf.DUMMYFUNCTION("""COMPUTED_VALUE"""),"#VALUE!")</f>
        <v>#VALUE!</v>
      </c>
      <c r="H575" s="51" t="str">
        <f>IFERROR(__xludf.DUMMYFUNCTION("""COMPUTED_VALUE"""),"")</f>
        <v/>
      </c>
      <c r="I575" s="51" t="str">
        <f>IFERROR(__xludf.DUMMYFUNCTION("""COMPUTED_VALUE"""),"#VALUE!")</f>
        <v>#VALUE!</v>
      </c>
      <c r="J575" s="51" t="str">
        <f>IFERROR(__xludf.DUMMYFUNCTION("""COMPUTED_VALUE"""),"")</f>
        <v/>
      </c>
      <c r="K575" s="51"/>
      <c r="L575" s="51" t="s">
        <v>257</v>
      </c>
      <c r="M575" s="51"/>
      <c r="N575" s="51"/>
      <c r="O575" s="51"/>
      <c r="P575" s="51"/>
      <c r="Q575" s="51"/>
      <c r="R575" s="51"/>
      <c r="S575" s="51"/>
      <c r="T575" s="51"/>
    </row>
    <row r="576">
      <c r="A576" s="51"/>
      <c r="B576" s="51"/>
      <c r="C576" s="56"/>
      <c r="D576" s="51"/>
      <c r="E576" s="51"/>
      <c r="F576" s="51"/>
      <c r="G576" s="51" t="str">
        <f>IFERROR(__xludf.DUMMYFUNCTION("""COMPUTED_VALUE"""),"#VALUE!")</f>
        <v>#VALUE!</v>
      </c>
      <c r="H576" s="51" t="str">
        <f>IFERROR(__xludf.DUMMYFUNCTION("""COMPUTED_VALUE"""),"")</f>
        <v/>
      </c>
      <c r="I576" s="51" t="str">
        <f>IFERROR(__xludf.DUMMYFUNCTION("""COMPUTED_VALUE"""),"#VALUE!")</f>
        <v>#VALUE!</v>
      </c>
      <c r="J576" s="51" t="str">
        <f>IFERROR(__xludf.DUMMYFUNCTION("""COMPUTED_VALUE"""),"")</f>
        <v/>
      </c>
      <c r="K576" s="51"/>
      <c r="L576" s="51" t="s">
        <v>257</v>
      </c>
      <c r="M576" s="51"/>
      <c r="N576" s="51"/>
      <c r="O576" s="51"/>
      <c r="P576" s="51"/>
      <c r="Q576" s="51"/>
      <c r="R576" s="51"/>
      <c r="S576" s="51"/>
      <c r="T576" s="51"/>
    </row>
    <row r="577">
      <c r="A577" s="51"/>
      <c r="B577" s="51"/>
      <c r="C577" s="56"/>
      <c r="D577" s="51"/>
      <c r="E577" s="51"/>
      <c r="F577" s="51"/>
      <c r="G577" s="51" t="str">
        <f>IFERROR(__xludf.DUMMYFUNCTION("""COMPUTED_VALUE"""),"#VALUE!")</f>
        <v>#VALUE!</v>
      </c>
      <c r="H577" s="51" t="str">
        <f>IFERROR(__xludf.DUMMYFUNCTION("""COMPUTED_VALUE"""),"")</f>
        <v/>
      </c>
      <c r="I577" s="51" t="str">
        <f>IFERROR(__xludf.DUMMYFUNCTION("""COMPUTED_VALUE"""),"#VALUE!")</f>
        <v>#VALUE!</v>
      </c>
      <c r="J577" s="51" t="str">
        <f>IFERROR(__xludf.DUMMYFUNCTION("""COMPUTED_VALUE"""),"")</f>
        <v/>
      </c>
      <c r="K577" s="51"/>
      <c r="L577" s="51" t="s">
        <v>257</v>
      </c>
      <c r="M577" s="51"/>
      <c r="N577" s="51"/>
      <c r="O577" s="51"/>
      <c r="P577" s="51"/>
      <c r="Q577" s="51"/>
      <c r="R577" s="51"/>
      <c r="S577" s="51"/>
      <c r="T577" s="51"/>
    </row>
    <row r="578">
      <c r="A578" s="51"/>
      <c r="B578" s="51"/>
      <c r="C578" s="56"/>
      <c r="D578" s="51"/>
      <c r="E578" s="51"/>
      <c r="F578" s="51"/>
      <c r="G578" s="51" t="str">
        <f>IFERROR(__xludf.DUMMYFUNCTION("""COMPUTED_VALUE"""),"#VALUE!")</f>
        <v>#VALUE!</v>
      </c>
      <c r="H578" s="51" t="str">
        <f>IFERROR(__xludf.DUMMYFUNCTION("""COMPUTED_VALUE"""),"")</f>
        <v/>
      </c>
      <c r="I578" s="51" t="str">
        <f>IFERROR(__xludf.DUMMYFUNCTION("""COMPUTED_VALUE"""),"#VALUE!")</f>
        <v>#VALUE!</v>
      </c>
      <c r="J578" s="51" t="str">
        <f>IFERROR(__xludf.DUMMYFUNCTION("""COMPUTED_VALUE"""),"")</f>
        <v/>
      </c>
      <c r="K578" s="51"/>
      <c r="L578" s="51" t="s">
        <v>257</v>
      </c>
      <c r="M578" s="51"/>
      <c r="N578" s="51"/>
      <c r="O578" s="51"/>
      <c r="P578" s="51"/>
      <c r="Q578" s="51"/>
      <c r="R578" s="51"/>
      <c r="S578" s="51"/>
      <c r="T578" s="51"/>
    </row>
    <row r="579">
      <c r="A579" s="51"/>
      <c r="B579" s="51"/>
      <c r="C579" s="56"/>
      <c r="D579" s="51"/>
      <c r="E579" s="51"/>
      <c r="F579" s="51"/>
      <c r="G579" s="51" t="str">
        <f>IFERROR(__xludf.DUMMYFUNCTION("""COMPUTED_VALUE"""),"#VALUE!")</f>
        <v>#VALUE!</v>
      </c>
      <c r="H579" s="51" t="str">
        <f>IFERROR(__xludf.DUMMYFUNCTION("""COMPUTED_VALUE"""),"")</f>
        <v/>
      </c>
      <c r="I579" s="51" t="str">
        <f>IFERROR(__xludf.DUMMYFUNCTION("""COMPUTED_VALUE"""),"#VALUE!")</f>
        <v>#VALUE!</v>
      </c>
      <c r="J579" s="51" t="str">
        <f>IFERROR(__xludf.DUMMYFUNCTION("""COMPUTED_VALUE"""),"")</f>
        <v/>
      </c>
      <c r="K579" s="51"/>
      <c r="L579" s="51" t="s">
        <v>257</v>
      </c>
      <c r="M579" s="51"/>
      <c r="N579" s="51"/>
      <c r="O579" s="51"/>
      <c r="P579" s="51"/>
      <c r="Q579" s="51"/>
      <c r="R579" s="51"/>
      <c r="S579" s="51"/>
      <c r="T579" s="51"/>
    </row>
    <row r="580">
      <c r="A580" s="51"/>
      <c r="B580" s="51"/>
      <c r="C580" s="56"/>
      <c r="D580" s="51"/>
      <c r="E580" s="51"/>
      <c r="F580" s="51"/>
      <c r="G580" s="51" t="str">
        <f>IFERROR(__xludf.DUMMYFUNCTION("""COMPUTED_VALUE"""),"#VALUE!")</f>
        <v>#VALUE!</v>
      </c>
      <c r="H580" s="51" t="str">
        <f>IFERROR(__xludf.DUMMYFUNCTION("""COMPUTED_VALUE"""),"")</f>
        <v/>
      </c>
      <c r="I580" s="51" t="str">
        <f>IFERROR(__xludf.DUMMYFUNCTION("""COMPUTED_VALUE"""),"#VALUE!")</f>
        <v>#VALUE!</v>
      </c>
      <c r="J580" s="51" t="str">
        <f>IFERROR(__xludf.DUMMYFUNCTION("""COMPUTED_VALUE"""),"")</f>
        <v/>
      </c>
      <c r="K580" s="51"/>
      <c r="L580" s="51" t="s">
        <v>257</v>
      </c>
      <c r="M580" s="51"/>
      <c r="N580" s="51"/>
      <c r="O580" s="51"/>
      <c r="P580" s="51"/>
      <c r="Q580" s="51"/>
      <c r="R580" s="51"/>
      <c r="S580" s="51"/>
      <c r="T580" s="51"/>
    </row>
    <row r="581">
      <c r="A581" s="51"/>
      <c r="B581" s="51"/>
      <c r="C581" s="56"/>
      <c r="D581" s="51"/>
      <c r="E581" s="51"/>
      <c r="F581" s="51"/>
      <c r="G581" s="51" t="str">
        <f>IFERROR(__xludf.DUMMYFUNCTION("""COMPUTED_VALUE"""),"#VALUE!")</f>
        <v>#VALUE!</v>
      </c>
      <c r="H581" s="51" t="str">
        <f>IFERROR(__xludf.DUMMYFUNCTION("""COMPUTED_VALUE"""),"")</f>
        <v/>
      </c>
      <c r="I581" s="51" t="str">
        <f>IFERROR(__xludf.DUMMYFUNCTION("""COMPUTED_VALUE"""),"#VALUE!")</f>
        <v>#VALUE!</v>
      </c>
      <c r="J581" s="51" t="str">
        <f>IFERROR(__xludf.DUMMYFUNCTION("""COMPUTED_VALUE"""),"")</f>
        <v/>
      </c>
      <c r="K581" s="51"/>
      <c r="L581" s="51" t="s">
        <v>257</v>
      </c>
      <c r="M581" s="51"/>
      <c r="N581" s="51"/>
      <c r="O581" s="51"/>
      <c r="P581" s="51"/>
      <c r="Q581" s="51"/>
      <c r="R581" s="51"/>
      <c r="S581" s="51"/>
      <c r="T581" s="51"/>
    </row>
    <row r="582">
      <c r="A582" s="51"/>
      <c r="B582" s="51"/>
      <c r="C582" s="56"/>
      <c r="D582" s="51"/>
      <c r="E582" s="51"/>
      <c r="F582" s="51"/>
      <c r="G582" s="51" t="str">
        <f>IFERROR(__xludf.DUMMYFUNCTION("""COMPUTED_VALUE"""),"#VALUE!")</f>
        <v>#VALUE!</v>
      </c>
      <c r="H582" s="51" t="str">
        <f>IFERROR(__xludf.DUMMYFUNCTION("""COMPUTED_VALUE"""),"")</f>
        <v/>
      </c>
      <c r="I582" s="51" t="str">
        <f>IFERROR(__xludf.DUMMYFUNCTION("""COMPUTED_VALUE"""),"#VALUE!")</f>
        <v>#VALUE!</v>
      </c>
      <c r="J582" s="51" t="str">
        <f>IFERROR(__xludf.DUMMYFUNCTION("""COMPUTED_VALUE"""),"")</f>
        <v/>
      </c>
      <c r="K582" s="51"/>
      <c r="L582" s="51" t="s">
        <v>257</v>
      </c>
      <c r="M582" s="51"/>
      <c r="N582" s="51"/>
      <c r="O582" s="51"/>
      <c r="P582" s="51"/>
      <c r="Q582" s="51"/>
      <c r="R582" s="51"/>
      <c r="S582" s="51"/>
      <c r="T582" s="51"/>
    </row>
    <row r="583">
      <c r="A583" s="51"/>
      <c r="B583" s="51"/>
      <c r="C583" s="56"/>
      <c r="D583" s="51"/>
      <c r="E583" s="51"/>
      <c r="F583" s="51"/>
      <c r="G583" s="51" t="str">
        <f>IFERROR(__xludf.DUMMYFUNCTION("""COMPUTED_VALUE"""),"#VALUE!")</f>
        <v>#VALUE!</v>
      </c>
      <c r="H583" s="51" t="str">
        <f>IFERROR(__xludf.DUMMYFUNCTION("""COMPUTED_VALUE"""),"")</f>
        <v/>
      </c>
      <c r="I583" s="51" t="str">
        <f>IFERROR(__xludf.DUMMYFUNCTION("""COMPUTED_VALUE"""),"#VALUE!")</f>
        <v>#VALUE!</v>
      </c>
      <c r="J583" s="51" t="str">
        <f>IFERROR(__xludf.DUMMYFUNCTION("""COMPUTED_VALUE"""),"")</f>
        <v/>
      </c>
      <c r="K583" s="51"/>
      <c r="L583" s="51" t="s">
        <v>257</v>
      </c>
      <c r="M583" s="51"/>
      <c r="N583" s="51"/>
      <c r="O583" s="51"/>
      <c r="P583" s="51"/>
      <c r="Q583" s="51"/>
      <c r="R583" s="51"/>
      <c r="S583" s="51"/>
      <c r="T583" s="51"/>
    </row>
    <row r="584">
      <c r="A584" s="51"/>
      <c r="B584" s="51"/>
      <c r="C584" s="56"/>
      <c r="D584" s="51"/>
      <c r="E584" s="51"/>
      <c r="F584" s="51"/>
      <c r="G584" s="51" t="str">
        <f>IFERROR(__xludf.DUMMYFUNCTION("""COMPUTED_VALUE"""),"#VALUE!")</f>
        <v>#VALUE!</v>
      </c>
      <c r="H584" s="51" t="str">
        <f>IFERROR(__xludf.DUMMYFUNCTION("""COMPUTED_VALUE"""),"")</f>
        <v/>
      </c>
      <c r="I584" s="51" t="str">
        <f>IFERROR(__xludf.DUMMYFUNCTION("""COMPUTED_VALUE"""),"#VALUE!")</f>
        <v>#VALUE!</v>
      </c>
      <c r="J584" s="51" t="str">
        <f>IFERROR(__xludf.DUMMYFUNCTION("""COMPUTED_VALUE"""),"")</f>
        <v/>
      </c>
      <c r="K584" s="51"/>
      <c r="L584" s="51" t="s">
        <v>257</v>
      </c>
      <c r="M584" s="51"/>
      <c r="N584" s="51"/>
      <c r="O584" s="51"/>
      <c r="P584" s="51"/>
      <c r="Q584" s="51"/>
      <c r="R584" s="51"/>
      <c r="S584" s="51"/>
      <c r="T584" s="51"/>
    </row>
    <row r="585">
      <c r="A585" s="51"/>
      <c r="B585" s="51"/>
      <c r="C585" s="56"/>
      <c r="D585" s="51"/>
      <c r="E585" s="51"/>
      <c r="F585" s="51"/>
      <c r="G585" s="51" t="str">
        <f>IFERROR(__xludf.DUMMYFUNCTION("""COMPUTED_VALUE"""),"#VALUE!")</f>
        <v>#VALUE!</v>
      </c>
      <c r="H585" s="51" t="str">
        <f>IFERROR(__xludf.DUMMYFUNCTION("""COMPUTED_VALUE"""),"")</f>
        <v/>
      </c>
      <c r="I585" s="51" t="str">
        <f>IFERROR(__xludf.DUMMYFUNCTION("""COMPUTED_VALUE"""),"#VALUE!")</f>
        <v>#VALUE!</v>
      </c>
      <c r="J585" s="51" t="str">
        <f>IFERROR(__xludf.DUMMYFUNCTION("""COMPUTED_VALUE"""),"")</f>
        <v/>
      </c>
      <c r="K585" s="51"/>
      <c r="L585" s="51" t="s">
        <v>257</v>
      </c>
      <c r="M585" s="51"/>
      <c r="N585" s="51"/>
      <c r="O585" s="51"/>
      <c r="P585" s="51"/>
      <c r="Q585" s="51"/>
      <c r="R585" s="51"/>
      <c r="S585" s="51"/>
      <c r="T585" s="51"/>
    </row>
    <row r="586">
      <c r="A586" s="51"/>
      <c r="B586" s="51"/>
      <c r="C586" s="56"/>
      <c r="D586" s="51"/>
      <c r="E586" s="51"/>
      <c r="F586" s="51"/>
      <c r="G586" s="51" t="str">
        <f>IFERROR(__xludf.DUMMYFUNCTION("""COMPUTED_VALUE"""),"#VALUE!")</f>
        <v>#VALUE!</v>
      </c>
      <c r="H586" s="51" t="str">
        <f>IFERROR(__xludf.DUMMYFUNCTION("""COMPUTED_VALUE"""),"")</f>
        <v/>
      </c>
      <c r="I586" s="51" t="str">
        <f>IFERROR(__xludf.DUMMYFUNCTION("""COMPUTED_VALUE"""),"#VALUE!")</f>
        <v>#VALUE!</v>
      </c>
      <c r="J586" s="51" t="str">
        <f>IFERROR(__xludf.DUMMYFUNCTION("""COMPUTED_VALUE"""),"")</f>
        <v/>
      </c>
      <c r="K586" s="51"/>
      <c r="L586" s="51" t="s">
        <v>257</v>
      </c>
      <c r="M586" s="51"/>
      <c r="N586" s="51"/>
      <c r="O586" s="51"/>
      <c r="P586" s="51"/>
      <c r="Q586" s="51"/>
      <c r="R586" s="51"/>
      <c r="S586" s="51"/>
      <c r="T586" s="51"/>
    </row>
    <row r="587">
      <c r="A587" s="51"/>
      <c r="B587" s="51"/>
      <c r="C587" s="56"/>
      <c r="D587" s="51"/>
      <c r="E587" s="51"/>
      <c r="F587" s="51"/>
      <c r="G587" s="51" t="str">
        <f>IFERROR(__xludf.DUMMYFUNCTION("""COMPUTED_VALUE"""),"#VALUE!")</f>
        <v>#VALUE!</v>
      </c>
      <c r="H587" s="51" t="str">
        <f>IFERROR(__xludf.DUMMYFUNCTION("""COMPUTED_VALUE"""),"")</f>
        <v/>
      </c>
      <c r="I587" s="51" t="str">
        <f>IFERROR(__xludf.DUMMYFUNCTION("""COMPUTED_VALUE"""),"#VALUE!")</f>
        <v>#VALUE!</v>
      </c>
      <c r="J587" s="51" t="str">
        <f>IFERROR(__xludf.DUMMYFUNCTION("""COMPUTED_VALUE"""),"")</f>
        <v/>
      </c>
      <c r="K587" s="51"/>
      <c r="L587" s="51" t="s">
        <v>257</v>
      </c>
      <c r="M587" s="51"/>
      <c r="N587" s="51"/>
      <c r="O587" s="51"/>
      <c r="P587" s="51"/>
      <c r="Q587" s="51"/>
      <c r="R587" s="51"/>
      <c r="S587" s="51"/>
      <c r="T587" s="51"/>
    </row>
    <row r="588">
      <c r="A588" s="51"/>
      <c r="B588" s="51"/>
      <c r="C588" s="56"/>
      <c r="D588" s="51"/>
      <c r="E588" s="51"/>
      <c r="F588" s="51"/>
      <c r="G588" s="51" t="str">
        <f>IFERROR(__xludf.DUMMYFUNCTION("""COMPUTED_VALUE"""),"#VALUE!")</f>
        <v>#VALUE!</v>
      </c>
      <c r="H588" s="51" t="str">
        <f>IFERROR(__xludf.DUMMYFUNCTION("""COMPUTED_VALUE"""),"")</f>
        <v/>
      </c>
      <c r="I588" s="51" t="str">
        <f>IFERROR(__xludf.DUMMYFUNCTION("""COMPUTED_VALUE"""),"#VALUE!")</f>
        <v>#VALUE!</v>
      </c>
      <c r="J588" s="51" t="str">
        <f>IFERROR(__xludf.DUMMYFUNCTION("""COMPUTED_VALUE"""),"")</f>
        <v/>
      </c>
      <c r="K588" s="51"/>
      <c r="L588" s="51" t="s">
        <v>257</v>
      </c>
      <c r="M588" s="51"/>
      <c r="N588" s="51"/>
      <c r="O588" s="51"/>
      <c r="P588" s="51"/>
      <c r="Q588" s="51"/>
      <c r="R588" s="51"/>
      <c r="S588" s="51"/>
      <c r="T588" s="51"/>
    </row>
    <row r="589">
      <c r="A589" s="51"/>
      <c r="B589" s="51"/>
      <c r="C589" s="56"/>
      <c r="D589" s="51"/>
      <c r="E589" s="51"/>
      <c r="F589" s="51"/>
      <c r="G589" s="51" t="str">
        <f>IFERROR(__xludf.DUMMYFUNCTION("""COMPUTED_VALUE"""),"#VALUE!")</f>
        <v>#VALUE!</v>
      </c>
      <c r="H589" s="51" t="str">
        <f>IFERROR(__xludf.DUMMYFUNCTION("""COMPUTED_VALUE"""),"")</f>
        <v/>
      </c>
      <c r="I589" s="51" t="str">
        <f>IFERROR(__xludf.DUMMYFUNCTION("""COMPUTED_VALUE"""),"#VALUE!")</f>
        <v>#VALUE!</v>
      </c>
      <c r="J589" s="51" t="str">
        <f>IFERROR(__xludf.DUMMYFUNCTION("""COMPUTED_VALUE"""),"")</f>
        <v/>
      </c>
      <c r="K589" s="51"/>
      <c r="L589" s="51" t="s">
        <v>257</v>
      </c>
      <c r="M589" s="51"/>
      <c r="N589" s="51"/>
      <c r="O589" s="51"/>
      <c r="P589" s="51"/>
      <c r="Q589" s="51"/>
      <c r="R589" s="51"/>
      <c r="S589" s="51"/>
      <c r="T589" s="51"/>
    </row>
    <row r="590">
      <c r="A590" s="51"/>
      <c r="B590" s="51"/>
      <c r="C590" s="56"/>
      <c r="D590" s="51"/>
      <c r="E590" s="51"/>
      <c r="F590" s="51"/>
      <c r="G590" s="51" t="str">
        <f>IFERROR(__xludf.DUMMYFUNCTION("""COMPUTED_VALUE"""),"#VALUE!")</f>
        <v>#VALUE!</v>
      </c>
      <c r="H590" s="51" t="str">
        <f>IFERROR(__xludf.DUMMYFUNCTION("""COMPUTED_VALUE"""),"")</f>
        <v/>
      </c>
      <c r="I590" s="51" t="str">
        <f>IFERROR(__xludf.DUMMYFUNCTION("""COMPUTED_VALUE"""),"#VALUE!")</f>
        <v>#VALUE!</v>
      </c>
      <c r="J590" s="51" t="str">
        <f>IFERROR(__xludf.DUMMYFUNCTION("""COMPUTED_VALUE"""),"")</f>
        <v/>
      </c>
      <c r="K590" s="51"/>
      <c r="L590" s="51" t="s">
        <v>257</v>
      </c>
      <c r="M590" s="51"/>
      <c r="N590" s="51"/>
      <c r="O590" s="51"/>
      <c r="P590" s="51"/>
      <c r="Q590" s="51"/>
      <c r="R590" s="51"/>
      <c r="S590" s="51"/>
      <c r="T590" s="51"/>
    </row>
    <row r="591">
      <c r="A591" s="51"/>
      <c r="B591" s="51"/>
      <c r="C591" s="56"/>
      <c r="D591" s="51"/>
      <c r="E591" s="51"/>
      <c r="F591" s="51"/>
      <c r="G591" s="51" t="str">
        <f>IFERROR(__xludf.DUMMYFUNCTION("""COMPUTED_VALUE"""),"#VALUE!")</f>
        <v>#VALUE!</v>
      </c>
      <c r="H591" s="51" t="str">
        <f>IFERROR(__xludf.DUMMYFUNCTION("""COMPUTED_VALUE"""),"")</f>
        <v/>
      </c>
      <c r="I591" s="51" t="str">
        <f>IFERROR(__xludf.DUMMYFUNCTION("""COMPUTED_VALUE"""),"#VALUE!")</f>
        <v>#VALUE!</v>
      </c>
      <c r="J591" s="51" t="str">
        <f>IFERROR(__xludf.DUMMYFUNCTION("""COMPUTED_VALUE"""),"")</f>
        <v/>
      </c>
      <c r="K591" s="51"/>
      <c r="L591" s="51" t="s">
        <v>257</v>
      </c>
      <c r="M591" s="51"/>
      <c r="N591" s="51"/>
      <c r="O591" s="51"/>
      <c r="P591" s="51"/>
      <c r="Q591" s="51"/>
      <c r="R591" s="51"/>
      <c r="S591" s="51"/>
      <c r="T591" s="51"/>
    </row>
    <row r="592">
      <c r="A592" s="51"/>
      <c r="B592" s="51"/>
      <c r="C592" s="56"/>
      <c r="D592" s="51"/>
      <c r="E592" s="51"/>
      <c r="F592" s="51"/>
      <c r="G592" s="51" t="str">
        <f>IFERROR(__xludf.DUMMYFUNCTION("""COMPUTED_VALUE"""),"#VALUE!")</f>
        <v>#VALUE!</v>
      </c>
      <c r="H592" s="51" t="str">
        <f>IFERROR(__xludf.DUMMYFUNCTION("""COMPUTED_VALUE"""),"")</f>
        <v/>
      </c>
      <c r="I592" s="51" t="str">
        <f>IFERROR(__xludf.DUMMYFUNCTION("""COMPUTED_VALUE"""),"#VALUE!")</f>
        <v>#VALUE!</v>
      </c>
      <c r="J592" s="51" t="str">
        <f>IFERROR(__xludf.DUMMYFUNCTION("""COMPUTED_VALUE"""),"")</f>
        <v/>
      </c>
      <c r="K592" s="51"/>
      <c r="L592" s="51" t="s">
        <v>257</v>
      </c>
      <c r="M592" s="51"/>
      <c r="N592" s="51"/>
      <c r="O592" s="51"/>
      <c r="P592" s="51"/>
      <c r="Q592" s="51"/>
      <c r="R592" s="51"/>
      <c r="S592" s="51"/>
      <c r="T592" s="51"/>
    </row>
    <row r="593">
      <c r="A593" s="51"/>
      <c r="B593" s="51"/>
      <c r="C593" s="56"/>
      <c r="D593" s="51"/>
      <c r="E593" s="51"/>
      <c r="F593" s="51"/>
      <c r="G593" s="51" t="str">
        <f>IFERROR(__xludf.DUMMYFUNCTION("""COMPUTED_VALUE"""),"#VALUE!")</f>
        <v>#VALUE!</v>
      </c>
      <c r="H593" s="51" t="str">
        <f>IFERROR(__xludf.DUMMYFUNCTION("""COMPUTED_VALUE"""),"")</f>
        <v/>
      </c>
      <c r="I593" s="51" t="str">
        <f>IFERROR(__xludf.DUMMYFUNCTION("""COMPUTED_VALUE"""),"#VALUE!")</f>
        <v>#VALUE!</v>
      </c>
      <c r="J593" s="51" t="str">
        <f>IFERROR(__xludf.DUMMYFUNCTION("""COMPUTED_VALUE"""),"")</f>
        <v/>
      </c>
      <c r="K593" s="51"/>
      <c r="L593" s="51" t="s">
        <v>257</v>
      </c>
      <c r="M593" s="51"/>
      <c r="N593" s="51"/>
      <c r="O593" s="51"/>
      <c r="P593" s="51"/>
      <c r="Q593" s="51"/>
      <c r="R593" s="51"/>
      <c r="S593" s="51"/>
      <c r="T593" s="51"/>
    </row>
    <row r="594">
      <c r="A594" s="51"/>
      <c r="B594" s="51"/>
      <c r="C594" s="56"/>
      <c r="D594" s="51"/>
      <c r="E594" s="51"/>
      <c r="F594" s="51"/>
      <c r="G594" s="51" t="str">
        <f>IFERROR(__xludf.DUMMYFUNCTION("""COMPUTED_VALUE"""),"#VALUE!")</f>
        <v>#VALUE!</v>
      </c>
      <c r="H594" s="51" t="str">
        <f>IFERROR(__xludf.DUMMYFUNCTION("""COMPUTED_VALUE"""),"")</f>
        <v/>
      </c>
      <c r="I594" s="51" t="str">
        <f>IFERROR(__xludf.DUMMYFUNCTION("""COMPUTED_VALUE"""),"#VALUE!")</f>
        <v>#VALUE!</v>
      </c>
      <c r="J594" s="51" t="str">
        <f>IFERROR(__xludf.DUMMYFUNCTION("""COMPUTED_VALUE"""),"")</f>
        <v/>
      </c>
      <c r="K594" s="51"/>
      <c r="L594" s="51" t="s">
        <v>257</v>
      </c>
      <c r="M594" s="51"/>
      <c r="N594" s="51"/>
      <c r="O594" s="51"/>
      <c r="P594" s="51"/>
      <c r="Q594" s="51"/>
      <c r="R594" s="51"/>
      <c r="S594" s="51"/>
      <c r="T594" s="51"/>
    </row>
    <row r="595">
      <c r="A595" s="51"/>
      <c r="B595" s="51"/>
      <c r="C595" s="56"/>
      <c r="D595" s="51"/>
      <c r="E595" s="51"/>
      <c r="F595" s="51"/>
      <c r="G595" s="51" t="str">
        <f>IFERROR(__xludf.DUMMYFUNCTION("""COMPUTED_VALUE"""),"#VALUE!")</f>
        <v>#VALUE!</v>
      </c>
      <c r="H595" s="51" t="str">
        <f>IFERROR(__xludf.DUMMYFUNCTION("""COMPUTED_VALUE"""),"")</f>
        <v/>
      </c>
      <c r="I595" s="51" t="str">
        <f>IFERROR(__xludf.DUMMYFUNCTION("""COMPUTED_VALUE"""),"#VALUE!")</f>
        <v>#VALUE!</v>
      </c>
      <c r="J595" s="51" t="str">
        <f>IFERROR(__xludf.DUMMYFUNCTION("""COMPUTED_VALUE"""),"")</f>
        <v/>
      </c>
      <c r="K595" s="51"/>
      <c r="L595" s="51" t="s">
        <v>257</v>
      </c>
      <c r="M595" s="51"/>
      <c r="N595" s="51"/>
      <c r="O595" s="51"/>
      <c r="P595" s="51"/>
      <c r="Q595" s="51"/>
      <c r="R595" s="51"/>
      <c r="S595" s="51"/>
      <c r="T595" s="51"/>
    </row>
    <row r="596">
      <c r="A596" s="51"/>
      <c r="B596" s="51"/>
      <c r="C596" s="56"/>
      <c r="D596" s="51"/>
      <c r="E596" s="51"/>
      <c r="F596" s="51"/>
      <c r="G596" s="51" t="str">
        <f>IFERROR(__xludf.DUMMYFUNCTION("""COMPUTED_VALUE"""),"#VALUE!")</f>
        <v>#VALUE!</v>
      </c>
      <c r="H596" s="51" t="str">
        <f>IFERROR(__xludf.DUMMYFUNCTION("""COMPUTED_VALUE"""),"")</f>
        <v/>
      </c>
      <c r="I596" s="51" t="str">
        <f>IFERROR(__xludf.DUMMYFUNCTION("""COMPUTED_VALUE"""),"#VALUE!")</f>
        <v>#VALUE!</v>
      </c>
      <c r="J596" s="51" t="str">
        <f>IFERROR(__xludf.DUMMYFUNCTION("""COMPUTED_VALUE"""),"")</f>
        <v/>
      </c>
      <c r="K596" s="51"/>
      <c r="L596" s="51" t="s">
        <v>257</v>
      </c>
      <c r="M596" s="51"/>
      <c r="N596" s="51"/>
      <c r="O596" s="51"/>
      <c r="P596" s="51"/>
      <c r="Q596" s="51"/>
      <c r="R596" s="51"/>
      <c r="S596" s="51"/>
      <c r="T596" s="51"/>
    </row>
    <row r="597">
      <c r="A597" s="51"/>
      <c r="B597" s="51"/>
      <c r="C597" s="56"/>
      <c r="D597" s="51"/>
      <c r="E597" s="51"/>
      <c r="F597" s="51"/>
      <c r="G597" s="51" t="str">
        <f>IFERROR(__xludf.DUMMYFUNCTION("""COMPUTED_VALUE"""),"#VALUE!")</f>
        <v>#VALUE!</v>
      </c>
      <c r="H597" s="51" t="str">
        <f>IFERROR(__xludf.DUMMYFUNCTION("""COMPUTED_VALUE"""),"")</f>
        <v/>
      </c>
      <c r="I597" s="51" t="str">
        <f>IFERROR(__xludf.DUMMYFUNCTION("""COMPUTED_VALUE"""),"#VALUE!")</f>
        <v>#VALUE!</v>
      </c>
      <c r="J597" s="51" t="str">
        <f>IFERROR(__xludf.DUMMYFUNCTION("""COMPUTED_VALUE"""),"")</f>
        <v/>
      </c>
      <c r="K597" s="51"/>
      <c r="L597" s="51" t="s">
        <v>257</v>
      </c>
      <c r="M597" s="51"/>
      <c r="N597" s="51"/>
      <c r="O597" s="51"/>
      <c r="P597" s="51"/>
      <c r="Q597" s="51"/>
      <c r="R597" s="51"/>
      <c r="S597" s="51"/>
      <c r="T597" s="51"/>
    </row>
    <row r="598">
      <c r="A598" s="51"/>
      <c r="B598" s="51"/>
      <c r="C598" s="56"/>
      <c r="D598" s="51"/>
      <c r="E598" s="51"/>
      <c r="F598" s="51"/>
      <c r="G598" s="51" t="str">
        <f>IFERROR(__xludf.DUMMYFUNCTION("""COMPUTED_VALUE"""),"#VALUE!")</f>
        <v>#VALUE!</v>
      </c>
      <c r="H598" s="51" t="str">
        <f>IFERROR(__xludf.DUMMYFUNCTION("""COMPUTED_VALUE"""),"")</f>
        <v/>
      </c>
      <c r="I598" s="51" t="str">
        <f>IFERROR(__xludf.DUMMYFUNCTION("""COMPUTED_VALUE"""),"#VALUE!")</f>
        <v>#VALUE!</v>
      </c>
      <c r="J598" s="51" t="str">
        <f>IFERROR(__xludf.DUMMYFUNCTION("""COMPUTED_VALUE"""),"")</f>
        <v/>
      </c>
      <c r="K598" s="51"/>
      <c r="L598" s="51" t="s">
        <v>257</v>
      </c>
      <c r="M598" s="51"/>
      <c r="N598" s="51"/>
      <c r="O598" s="51"/>
      <c r="P598" s="51"/>
      <c r="Q598" s="51"/>
      <c r="R598" s="51"/>
      <c r="S598" s="51"/>
      <c r="T598" s="51"/>
    </row>
    <row r="599">
      <c r="A599" s="51"/>
      <c r="B599" s="51"/>
      <c r="C599" s="56"/>
      <c r="D599" s="51"/>
      <c r="E599" s="51"/>
      <c r="F599" s="51"/>
      <c r="G599" s="51" t="str">
        <f>IFERROR(__xludf.DUMMYFUNCTION("""COMPUTED_VALUE"""),"#VALUE!")</f>
        <v>#VALUE!</v>
      </c>
      <c r="H599" s="51" t="str">
        <f>IFERROR(__xludf.DUMMYFUNCTION("""COMPUTED_VALUE"""),"")</f>
        <v/>
      </c>
      <c r="I599" s="51" t="str">
        <f>IFERROR(__xludf.DUMMYFUNCTION("""COMPUTED_VALUE"""),"#VALUE!")</f>
        <v>#VALUE!</v>
      </c>
      <c r="J599" s="51" t="str">
        <f>IFERROR(__xludf.DUMMYFUNCTION("""COMPUTED_VALUE"""),"")</f>
        <v/>
      </c>
      <c r="K599" s="51"/>
      <c r="L599" s="51" t="s">
        <v>257</v>
      </c>
      <c r="M599" s="51"/>
      <c r="N599" s="51"/>
      <c r="O599" s="51"/>
      <c r="P599" s="51"/>
      <c r="Q599" s="51"/>
      <c r="R599" s="51"/>
      <c r="S599" s="51"/>
      <c r="T599" s="51"/>
    </row>
    <row r="600">
      <c r="A600" s="51"/>
      <c r="B600" s="51"/>
      <c r="C600" s="56"/>
      <c r="D600" s="51"/>
      <c r="E600" s="51"/>
      <c r="F600" s="51"/>
      <c r="G600" s="51" t="str">
        <f>IFERROR(__xludf.DUMMYFUNCTION("""COMPUTED_VALUE"""),"#VALUE!")</f>
        <v>#VALUE!</v>
      </c>
      <c r="H600" s="51" t="str">
        <f>IFERROR(__xludf.DUMMYFUNCTION("""COMPUTED_VALUE"""),"")</f>
        <v/>
      </c>
      <c r="I600" s="51" t="str">
        <f>IFERROR(__xludf.DUMMYFUNCTION("""COMPUTED_VALUE"""),"#VALUE!")</f>
        <v>#VALUE!</v>
      </c>
      <c r="J600" s="51" t="str">
        <f>IFERROR(__xludf.DUMMYFUNCTION("""COMPUTED_VALUE"""),"")</f>
        <v/>
      </c>
      <c r="K600" s="51"/>
      <c r="L600" s="51" t="s">
        <v>257</v>
      </c>
      <c r="M600" s="51"/>
      <c r="N600" s="51"/>
      <c r="O600" s="51"/>
      <c r="P600" s="51"/>
      <c r="Q600" s="51"/>
      <c r="R600" s="51"/>
      <c r="S600" s="51"/>
      <c r="T600" s="51"/>
    </row>
    <row r="601">
      <c r="A601" s="51"/>
      <c r="B601" s="51"/>
      <c r="C601" s="56"/>
      <c r="D601" s="51"/>
      <c r="E601" s="51"/>
      <c r="F601" s="51"/>
      <c r="G601" s="51" t="str">
        <f>IFERROR(__xludf.DUMMYFUNCTION("""COMPUTED_VALUE"""),"#VALUE!")</f>
        <v>#VALUE!</v>
      </c>
      <c r="H601" s="51" t="str">
        <f>IFERROR(__xludf.DUMMYFUNCTION("""COMPUTED_VALUE"""),"")</f>
        <v/>
      </c>
      <c r="I601" s="51" t="str">
        <f>IFERROR(__xludf.DUMMYFUNCTION("""COMPUTED_VALUE"""),"#VALUE!")</f>
        <v>#VALUE!</v>
      </c>
      <c r="J601" s="51" t="str">
        <f>IFERROR(__xludf.DUMMYFUNCTION("""COMPUTED_VALUE"""),"")</f>
        <v/>
      </c>
      <c r="K601" s="51"/>
      <c r="L601" s="51" t="s">
        <v>257</v>
      </c>
      <c r="M601" s="51"/>
      <c r="N601" s="51"/>
      <c r="O601" s="51"/>
      <c r="P601" s="51"/>
      <c r="Q601" s="51"/>
      <c r="R601" s="51"/>
      <c r="S601" s="51"/>
      <c r="T601" s="51"/>
    </row>
    <row r="602">
      <c r="A602" s="51"/>
      <c r="B602" s="51"/>
      <c r="C602" s="56"/>
      <c r="D602" s="51"/>
      <c r="E602" s="51"/>
      <c r="F602" s="51"/>
      <c r="G602" s="51" t="str">
        <f>IFERROR(__xludf.DUMMYFUNCTION("""COMPUTED_VALUE"""),"#VALUE!")</f>
        <v>#VALUE!</v>
      </c>
      <c r="H602" s="51" t="str">
        <f>IFERROR(__xludf.DUMMYFUNCTION("""COMPUTED_VALUE"""),"")</f>
        <v/>
      </c>
      <c r="I602" s="51" t="str">
        <f>IFERROR(__xludf.DUMMYFUNCTION("""COMPUTED_VALUE"""),"#VALUE!")</f>
        <v>#VALUE!</v>
      </c>
      <c r="J602" s="51" t="str">
        <f>IFERROR(__xludf.DUMMYFUNCTION("""COMPUTED_VALUE"""),"")</f>
        <v/>
      </c>
      <c r="K602" s="51"/>
      <c r="L602" s="51" t="s">
        <v>257</v>
      </c>
      <c r="M602" s="51"/>
      <c r="N602" s="51"/>
      <c r="O602" s="51"/>
      <c r="P602" s="51"/>
      <c r="Q602" s="51"/>
      <c r="R602" s="51"/>
      <c r="S602" s="51"/>
      <c r="T602" s="51"/>
    </row>
    <row r="603">
      <c r="A603" s="51"/>
      <c r="B603" s="51"/>
      <c r="C603" s="56"/>
      <c r="D603" s="51"/>
      <c r="E603" s="51"/>
      <c r="F603" s="51"/>
      <c r="G603" s="51" t="str">
        <f>IFERROR(__xludf.DUMMYFUNCTION("""COMPUTED_VALUE"""),"#VALUE!")</f>
        <v>#VALUE!</v>
      </c>
      <c r="H603" s="51" t="str">
        <f>IFERROR(__xludf.DUMMYFUNCTION("""COMPUTED_VALUE"""),"")</f>
        <v/>
      </c>
      <c r="I603" s="51" t="str">
        <f>IFERROR(__xludf.DUMMYFUNCTION("""COMPUTED_VALUE"""),"#VALUE!")</f>
        <v>#VALUE!</v>
      </c>
      <c r="J603" s="51" t="str">
        <f>IFERROR(__xludf.DUMMYFUNCTION("""COMPUTED_VALUE"""),"")</f>
        <v/>
      </c>
      <c r="K603" s="51"/>
      <c r="L603" s="51" t="s">
        <v>257</v>
      </c>
      <c r="M603" s="51"/>
      <c r="N603" s="51"/>
      <c r="O603" s="51"/>
      <c r="P603" s="51"/>
      <c r="Q603" s="51"/>
      <c r="R603" s="51"/>
      <c r="S603" s="51"/>
      <c r="T603" s="51"/>
    </row>
    <row r="604">
      <c r="A604" s="51"/>
      <c r="B604" s="51"/>
      <c r="C604" s="56"/>
      <c r="D604" s="51"/>
      <c r="E604" s="51"/>
      <c r="F604" s="51"/>
      <c r="G604" s="51" t="str">
        <f>IFERROR(__xludf.DUMMYFUNCTION("""COMPUTED_VALUE"""),"#VALUE!")</f>
        <v>#VALUE!</v>
      </c>
      <c r="H604" s="51" t="str">
        <f>IFERROR(__xludf.DUMMYFUNCTION("""COMPUTED_VALUE"""),"")</f>
        <v/>
      </c>
      <c r="I604" s="51" t="str">
        <f>IFERROR(__xludf.DUMMYFUNCTION("""COMPUTED_VALUE"""),"#VALUE!")</f>
        <v>#VALUE!</v>
      </c>
      <c r="J604" s="51" t="str">
        <f>IFERROR(__xludf.DUMMYFUNCTION("""COMPUTED_VALUE"""),"")</f>
        <v/>
      </c>
      <c r="K604" s="51"/>
      <c r="L604" s="51" t="s">
        <v>257</v>
      </c>
      <c r="M604" s="51"/>
      <c r="N604" s="51"/>
      <c r="O604" s="51"/>
      <c r="P604" s="51"/>
      <c r="Q604" s="51"/>
      <c r="R604" s="51"/>
      <c r="S604" s="51"/>
      <c r="T604" s="51"/>
    </row>
    <row r="605">
      <c r="A605" s="51"/>
      <c r="B605" s="51"/>
      <c r="C605" s="56"/>
      <c r="D605" s="51"/>
      <c r="E605" s="51"/>
      <c r="F605" s="51"/>
      <c r="G605" s="51" t="str">
        <f>IFERROR(__xludf.DUMMYFUNCTION("""COMPUTED_VALUE"""),"#VALUE!")</f>
        <v>#VALUE!</v>
      </c>
      <c r="H605" s="51" t="str">
        <f>IFERROR(__xludf.DUMMYFUNCTION("""COMPUTED_VALUE"""),"")</f>
        <v/>
      </c>
      <c r="I605" s="51" t="str">
        <f>IFERROR(__xludf.DUMMYFUNCTION("""COMPUTED_VALUE"""),"#VALUE!")</f>
        <v>#VALUE!</v>
      </c>
      <c r="J605" s="51" t="str">
        <f>IFERROR(__xludf.DUMMYFUNCTION("""COMPUTED_VALUE"""),"")</f>
        <v/>
      </c>
      <c r="K605" s="51"/>
      <c r="L605" s="51" t="s">
        <v>257</v>
      </c>
      <c r="M605" s="51"/>
      <c r="N605" s="51"/>
      <c r="O605" s="51"/>
      <c r="P605" s="51"/>
      <c r="Q605" s="51"/>
      <c r="R605" s="51"/>
      <c r="S605" s="51"/>
      <c r="T605" s="51"/>
    </row>
    <row r="606">
      <c r="A606" s="51"/>
      <c r="B606" s="51"/>
      <c r="C606" s="56"/>
      <c r="D606" s="51"/>
      <c r="E606" s="51"/>
      <c r="F606" s="51"/>
      <c r="G606" s="51" t="str">
        <f>IFERROR(__xludf.DUMMYFUNCTION("""COMPUTED_VALUE"""),"#VALUE!")</f>
        <v>#VALUE!</v>
      </c>
      <c r="H606" s="51" t="str">
        <f>IFERROR(__xludf.DUMMYFUNCTION("""COMPUTED_VALUE"""),"")</f>
        <v/>
      </c>
      <c r="I606" s="51" t="str">
        <f>IFERROR(__xludf.DUMMYFUNCTION("""COMPUTED_VALUE"""),"#VALUE!")</f>
        <v>#VALUE!</v>
      </c>
      <c r="J606" s="51" t="str">
        <f>IFERROR(__xludf.DUMMYFUNCTION("""COMPUTED_VALUE"""),"")</f>
        <v/>
      </c>
      <c r="K606" s="51"/>
      <c r="L606" s="51" t="s">
        <v>257</v>
      </c>
      <c r="M606" s="51"/>
      <c r="N606" s="51"/>
      <c r="O606" s="51"/>
      <c r="P606" s="51"/>
      <c r="Q606" s="51"/>
      <c r="R606" s="51"/>
      <c r="S606" s="51"/>
      <c r="T606" s="51"/>
    </row>
    <row r="607">
      <c r="A607" s="51"/>
      <c r="B607" s="51"/>
      <c r="C607" s="56"/>
      <c r="D607" s="51"/>
      <c r="E607" s="51"/>
      <c r="F607" s="51"/>
      <c r="G607" s="51" t="str">
        <f>IFERROR(__xludf.DUMMYFUNCTION("""COMPUTED_VALUE"""),"#VALUE!")</f>
        <v>#VALUE!</v>
      </c>
      <c r="H607" s="51" t="str">
        <f>IFERROR(__xludf.DUMMYFUNCTION("""COMPUTED_VALUE"""),"")</f>
        <v/>
      </c>
      <c r="I607" s="51" t="str">
        <f>IFERROR(__xludf.DUMMYFUNCTION("""COMPUTED_VALUE"""),"#VALUE!")</f>
        <v>#VALUE!</v>
      </c>
      <c r="J607" s="51" t="str">
        <f>IFERROR(__xludf.DUMMYFUNCTION("""COMPUTED_VALUE"""),"")</f>
        <v/>
      </c>
      <c r="K607" s="51"/>
      <c r="L607" s="51" t="s">
        <v>257</v>
      </c>
      <c r="M607" s="51"/>
      <c r="N607" s="51"/>
      <c r="O607" s="51"/>
      <c r="P607" s="51"/>
      <c r="Q607" s="51"/>
      <c r="R607" s="51"/>
      <c r="S607" s="51"/>
      <c r="T607" s="51"/>
    </row>
    <row r="608">
      <c r="A608" s="51"/>
      <c r="B608" s="51"/>
      <c r="C608" s="56"/>
      <c r="D608" s="51"/>
      <c r="E608" s="51"/>
      <c r="F608" s="51"/>
      <c r="G608" s="51" t="str">
        <f>IFERROR(__xludf.DUMMYFUNCTION("""COMPUTED_VALUE"""),"#VALUE!")</f>
        <v>#VALUE!</v>
      </c>
      <c r="H608" s="51" t="str">
        <f>IFERROR(__xludf.DUMMYFUNCTION("""COMPUTED_VALUE"""),"")</f>
        <v/>
      </c>
      <c r="I608" s="51" t="str">
        <f>IFERROR(__xludf.DUMMYFUNCTION("""COMPUTED_VALUE"""),"#VALUE!")</f>
        <v>#VALUE!</v>
      </c>
      <c r="J608" s="51" t="str">
        <f>IFERROR(__xludf.DUMMYFUNCTION("""COMPUTED_VALUE"""),"")</f>
        <v/>
      </c>
      <c r="K608" s="51"/>
      <c r="L608" s="51" t="s">
        <v>257</v>
      </c>
      <c r="M608" s="51"/>
      <c r="N608" s="51"/>
      <c r="O608" s="51"/>
      <c r="P608" s="51"/>
      <c r="Q608" s="51"/>
      <c r="R608" s="51"/>
      <c r="S608" s="51"/>
      <c r="T608" s="51"/>
    </row>
    <row r="609">
      <c r="A609" s="51"/>
      <c r="B609" s="51"/>
      <c r="C609" s="56"/>
      <c r="D609" s="51"/>
      <c r="E609" s="51"/>
      <c r="F609" s="51"/>
      <c r="G609" s="51" t="str">
        <f>IFERROR(__xludf.DUMMYFUNCTION("""COMPUTED_VALUE"""),"#VALUE!")</f>
        <v>#VALUE!</v>
      </c>
      <c r="H609" s="51" t="str">
        <f>IFERROR(__xludf.DUMMYFUNCTION("""COMPUTED_VALUE"""),"")</f>
        <v/>
      </c>
      <c r="I609" s="51" t="str">
        <f>IFERROR(__xludf.DUMMYFUNCTION("""COMPUTED_VALUE"""),"#VALUE!")</f>
        <v>#VALUE!</v>
      </c>
      <c r="J609" s="51" t="str">
        <f>IFERROR(__xludf.DUMMYFUNCTION("""COMPUTED_VALUE"""),"")</f>
        <v/>
      </c>
      <c r="K609" s="51"/>
      <c r="L609" s="51" t="s">
        <v>257</v>
      </c>
      <c r="M609" s="51"/>
      <c r="N609" s="51"/>
      <c r="O609" s="51"/>
      <c r="P609" s="51"/>
      <c r="Q609" s="51"/>
      <c r="R609" s="51"/>
      <c r="S609" s="51"/>
      <c r="T609" s="51"/>
    </row>
    <row r="610">
      <c r="A610" s="51"/>
      <c r="B610" s="51"/>
      <c r="C610" s="56"/>
      <c r="D610" s="51"/>
      <c r="E610" s="51"/>
      <c r="F610" s="51"/>
      <c r="G610" s="51" t="str">
        <f>IFERROR(__xludf.DUMMYFUNCTION("""COMPUTED_VALUE"""),"#VALUE!")</f>
        <v>#VALUE!</v>
      </c>
      <c r="H610" s="51" t="str">
        <f>IFERROR(__xludf.DUMMYFUNCTION("""COMPUTED_VALUE"""),"")</f>
        <v/>
      </c>
      <c r="I610" s="51" t="str">
        <f>IFERROR(__xludf.DUMMYFUNCTION("""COMPUTED_VALUE"""),"#VALUE!")</f>
        <v>#VALUE!</v>
      </c>
      <c r="J610" s="51" t="str">
        <f>IFERROR(__xludf.DUMMYFUNCTION("""COMPUTED_VALUE"""),"")</f>
        <v/>
      </c>
      <c r="K610" s="51"/>
      <c r="L610" s="51" t="s">
        <v>257</v>
      </c>
      <c r="M610" s="51"/>
      <c r="N610" s="51"/>
      <c r="O610" s="51"/>
      <c r="P610" s="51"/>
      <c r="Q610" s="51"/>
      <c r="R610" s="51"/>
      <c r="S610" s="51"/>
      <c r="T610" s="51"/>
    </row>
    <row r="611">
      <c r="A611" s="51"/>
      <c r="B611" s="51"/>
      <c r="C611" s="56"/>
      <c r="D611" s="51"/>
      <c r="E611" s="51"/>
      <c r="F611" s="51"/>
      <c r="G611" s="51" t="str">
        <f>IFERROR(__xludf.DUMMYFUNCTION("""COMPUTED_VALUE"""),"#VALUE!")</f>
        <v>#VALUE!</v>
      </c>
      <c r="H611" s="51" t="str">
        <f>IFERROR(__xludf.DUMMYFUNCTION("""COMPUTED_VALUE"""),"")</f>
        <v/>
      </c>
      <c r="I611" s="51" t="str">
        <f>IFERROR(__xludf.DUMMYFUNCTION("""COMPUTED_VALUE"""),"#VALUE!")</f>
        <v>#VALUE!</v>
      </c>
      <c r="J611" s="51" t="str">
        <f>IFERROR(__xludf.DUMMYFUNCTION("""COMPUTED_VALUE"""),"")</f>
        <v/>
      </c>
      <c r="K611" s="51"/>
      <c r="L611" s="51" t="s">
        <v>257</v>
      </c>
      <c r="M611" s="51"/>
      <c r="N611" s="51"/>
      <c r="O611" s="51"/>
      <c r="P611" s="51"/>
      <c r="Q611" s="51"/>
      <c r="R611" s="51"/>
      <c r="S611" s="51"/>
      <c r="T611" s="51"/>
    </row>
    <row r="612">
      <c r="A612" s="51"/>
      <c r="B612" s="51"/>
      <c r="C612" s="56"/>
      <c r="D612" s="51"/>
      <c r="E612" s="51"/>
      <c r="F612" s="51"/>
      <c r="G612" s="51" t="str">
        <f>IFERROR(__xludf.DUMMYFUNCTION("""COMPUTED_VALUE"""),"#VALUE!")</f>
        <v>#VALUE!</v>
      </c>
      <c r="H612" s="51" t="str">
        <f>IFERROR(__xludf.DUMMYFUNCTION("""COMPUTED_VALUE"""),"")</f>
        <v/>
      </c>
      <c r="I612" s="51" t="str">
        <f>IFERROR(__xludf.DUMMYFUNCTION("""COMPUTED_VALUE"""),"#VALUE!")</f>
        <v>#VALUE!</v>
      </c>
      <c r="J612" s="51" t="str">
        <f>IFERROR(__xludf.DUMMYFUNCTION("""COMPUTED_VALUE"""),"")</f>
        <v/>
      </c>
      <c r="K612" s="51"/>
      <c r="L612" s="51" t="s">
        <v>257</v>
      </c>
      <c r="M612" s="51"/>
      <c r="N612" s="51"/>
      <c r="O612" s="51"/>
      <c r="P612" s="51"/>
      <c r="Q612" s="51"/>
      <c r="R612" s="51"/>
      <c r="S612" s="51"/>
      <c r="T612" s="51"/>
    </row>
    <row r="613">
      <c r="A613" s="51"/>
      <c r="B613" s="51"/>
      <c r="C613" s="56"/>
      <c r="D613" s="51"/>
      <c r="E613" s="51"/>
      <c r="F613" s="51"/>
      <c r="G613" s="51" t="str">
        <f>IFERROR(__xludf.DUMMYFUNCTION("""COMPUTED_VALUE"""),"#VALUE!")</f>
        <v>#VALUE!</v>
      </c>
      <c r="H613" s="51" t="str">
        <f>IFERROR(__xludf.DUMMYFUNCTION("""COMPUTED_VALUE"""),"")</f>
        <v/>
      </c>
      <c r="I613" s="51" t="str">
        <f>IFERROR(__xludf.DUMMYFUNCTION("""COMPUTED_VALUE"""),"#VALUE!")</f>
        <v>#VALUE!</v>
      </c>
      <c r="J613" s="51" t="str">
        <f>IFERROR(__xludf.DUMMYFUNCTION("""COMPUTED_VALUE"""),"")</f>
        <v/>
      </c>
      <c r="K613" s="51"/>
      <c r="L613" s="51" t="s">
        <v>257</v>
      </c>
      <c r="M613" s="51"/>
      <c r="N613" s="51"/>
      <c r="O613" s="51"/>
      <c r="P613" s="51"/>
      <c r="Q613" s="51"/>
      <c r="R613" s="51"/>
      <c r="S613" s="51"/>
      <c r="T613" s="51"/>
    </row>
    <row r="614">
      <c r="A614" s="51"/>
      <c r="B614" s="51"/>
      <c r="C614" s="56"/>
      <c r="D614" s="51"/>
      <c r="E614" s="51"/>
      <c r="F614" s="51"/>
      <c r="G614" s="51" t="str">
        <f>IFERROR(__xludf.DUMMYFUNCTION("""COMPUTED_VALUE"""),"#VALUE!")</f>
        <v>#VALUE!</v>
      </c>
      <c r="H614" s="51" t="str">
        <f>IFERROR(__xludf.DUMMYFUNCTION("""COMPUTED_VALUE"""),"")</f>
        <v/>
      </c>
      <c r="I614" s="51" t="str">
        <f>IFERROR(__xludf.DUMMYFUNCTION("""COMPUTED_VALUE"""),"#VALUE!")</f>
        <v>#VALUE!</v>
      </c>
      <c r="J614" s="51" t="str">
        <f>IFERROR(__xludf.DUMMYFUNCTION("""COMPUTED_VALUE"""),"")</f>
        <v/>
      </c>
      <c r="K614" s="51"/>
      <c r="L614" s="51" t="s">
        <v>257</v>
      </c>
      <c r="M614" s="51"/>
      <c r="N614" s="51"/>
      <c r="O614" s="51"/>
      <c r="P614" s="51"/>
      <c r="Q614" s="51"/>
      <c r="R614" s="51"/>
      <c r="S614" s="51"/>
      <c r="T614" s="51"/>
    </row>
    <row r="615">
      <c r="A615" s="51"/>
      <c r="B615" s="51"/>
      <c r="C615" s="56"/>
      <c r="D615" s="51"/>
      <c r="E615" s="51"/>
      <c r="F615" s="51"/>
      <c r="G615" s="51" t="str">
        <f>IFERROR(__xludf.DUMMYFUNCTION("""COMPUTED_VALUE"""),"#VALUE!")</f>
        <v>#VALUE!</v>
      </c>
      <c r="H615" s="51" t="str">
        <f>IFERROR(__xludf.DUMMYFUNCTION("""COMPUTED_VALUE"""),"")</f>
        <v/>
      </c>
      <c r="I615" s="51" t="str">
        <f>IFERROR(__xludf.DUMMYFUNCTION("""COMPUTED_VALUE"""),"#VALUE!")</f>
        <v>#VALUE!</v>
      </c>
      <c r="J615" s="51" t="str">
        <f>IFERROR(__xludf.DUMMYFUNCTION("""COMPUTED_VALUE"""),"")</f>
        <v/>
      </c>
      <c r="K615" s="51"/>
      <c r="L615" s="51" t="s">
        <v>257</v>
      </c>
      <c r="M615" s="51"/>
      <c r="N615" s="51"/>
      <c r="O615" s="51"/>
      <c r="P615" s="51"/>
      <c r="Q615" s="51"/>
      <c r="R615" s="51"/>
      <c r="S615" s="51"/>
      <c r="T615" s="51"/>
    </row>
    <row r="616">
      <c r="A616" s="51"/>
      <c r="B616" s="51"/>
      <c r="C616" s="56"/>
      <c r="D616" s="51"/>
      <c r="E616" s="51"/>
      <c r="F616" s="51"/>
      <c r="G616" s="51" t="str">
        <f>IFERROR(__xludf.DUMMYFUNCTION("""COMPUTED_VALUE"""),"#VALUE!")</f>
        <v>#VALUE!</v>
      </c>
      <c r="H616" s="51" t="str">
        <f>IFERROR(__xludf.DUMMYFUNCTION("""COMPUTED_VALUE"""),"")</f>
        <v/>
      </c>
      <c r="I616" s="51" t="str">
        <f>IFERROR(__xludf.DUMMYFUNCTION("""COMPUTED_VALUE"""),"#VALUE!")</f>
        <v>#VALUE!</v>
      </c>
      <c r="J616" s="51" t="str">
        <f>IFERROR(__xludf.DUMMYFUNCTION("""COMPUTED_VALUE"""),"")</f>
        <v/>
      </c>
      <c r="K616" s="51"/>
      <c r="L616" s="51" t="s">
        <v>257</v>
      </c>
      <c r="M616" s="51"/>
      <c r="N616" s="51"/>
      <c r="O616" s="51"/>
      <c r="P616" s="51"/>
      <c r="Q616" s="51"/>
      <c r="R616" s="51"/>
      <c r="S616" s="51"/>
      <c r="T616" s="51"/>
    </row>
    <row r="617">
      <c r="A617" s="51"/>
      <c r="B617" s="51"/>
      <c r="C617" s="56"/>
      <c r="D617" s="51"/>
      <c r="E617" s="51"/>
      <c r="F617" s="51"/>
      <c r="G617" s="51" t="str">
        <f>IFERROR(__xludf.DUMMYFUNCTION("""COMPUTED_VALUE"""),"#VALUE!")</f>
        <v>#VALUE!</v>
      </c>
      <c r="H617" s="51" t="str">
        <f>IFERROR(__xludf.DUMMYFUNCTION("""COMPUTED_VALUE"""),"")</f>
        <v/>
      </c>
      <c r="I617" s="51" t="str">
        <f>IFERROR(__xludf.DUMMYFUNCTION("""COMPUTED_VALUE"""),"#VALUE!")</f>
        <v>#VALUE!</v>
      </c>
      <c r="J617" s="51" t="str">
        <f>IFERROR(__xludf.DUMMYFUNCTION("""COMPUTED_VALUE"""),"")</f>
        <v/>
      </c>
      <c r="K617" s="51"/>
      <c r="L617" s="51" t="s">
        <v>257</v>
      </c>
      <c r="M617" s="51"/>
      <c r="N617" s="51"/>
      <c r="O617" s="51"/>
      <c r="P617" s="51"/>
      <c r="Q617" s="51"/>
      <c r="R617" s="51"/>
      <c r="S617" s="51"/>
      <c r="T617" s="51"/>
    </row>
    <row r="618">
      <c r="A618" s="51"/>
      <c r="B618" s="51"/>
      <c r="C618" s="56"/>
      <c r="D618" s="51"/>
      <c r="E618" s="51"/>
      <c r="F618" s="51"/>
      <c r="G618" s="51" t="str">
        <f>IFERROR(__xludf.DUMMYFUNCTION("""COMPUTED_VALUE"""),"#VALUE!")</f>
        <v>#VALUE!</v>
      </c>
      <c r="H618" s="51" t="str">
        <f>IFERROR(__xludf.DUMMYFUNCTION("""COMPUTED_VALUE"""),"")</f>
        <v/>
      </c>
      <c r="I618" s="51" t="str">
        <f>IFERROR(__xludf.DUMMYFUNCTION("""COMPUTED_VALUE"""),"#VALUE!")</f>
        <v>#VALUE!</v>
      </c>
      <c r="J618" s="51" t="str">
        <f>IFERROR(__xludf.DUMMYFUNCTION("""COMPUTED_VALUE"""),"")</f>
        <v/>
      </c>
      <c r="K618" s="51"/>
      <c r="L618" s="51" t="s">
        <v>257</v>
      </c>
      <c r="M618" s="51"/>
      <c r="N618" s="51"/>
      <c r="O618" s="51"/>
      <c r="P618" s="51"/>
      <c r="Q618" s="51"/>
      <c r="R618" s="51"/>
      <c r="S618" s="51"/>
      <c r="T618" s="51"/>
    </row>
    <row r="619">
      <c r="A619" s="51"/>
      <c r="B619" s="51"/>
      <c r="C619" s="56"/>
      <c r="D619" s="51"/>
      <c r="E619" s="51"/>
      <c r="F619" s="51"/>
      <c r="G619" s="51" t="str">
        <f>IFERROR(__xludf.DUMMYFUNCTION("""COMPUTED_VALUE"""),"#VALUE!")</f>
        <v>#VALUE!</v>
      </c>
      <c r="H619" s="51" t="str">
        <f>IFERROR(__xludf.DUMMYFUNCTION("""COMPUTED_VALUE"""),"")</f>
        <v/>
      </c>
      <c r="I619" s="51" t="str">
        <f>IFERROR(__xludf.DUMMYFUNCTION("""COMPUTED_VALUE"""),"#VALUE!")</f>
        <v>#VALUE!</v>
      </c>
      <c r="J619" s="51" t="str">
        <f>IFERROR(__xludf.DUMMYFUNCTION("""COMPUTED_VALUE"""),"")</f>
        <v/>
      </c>
      <c r="K619" s="51"/>
      <c r="L619" s="51" t="s">
        <v>257</v>
      </c>
      <c r="M619" s="51"/>
      <c r="N619" s="51"/>
      <c r="O619" s="51"/>
      <c r="P619" s="51"/>
      <c r="Q619" s="51"/>
      <c r="R619" s="51"/>
      <c r="S619" s="51"/>
      <c r="T619" s="51"/>
    </row>
    <row r="620">
      <c r="A620" s="51"/>
      <c r="B620" s="51"/>
      <c r="C620" s="56"/>
      <c r="D620" s="51"/>
      <c r="E620" s="51"/>
      <c r="F620" s="51"/>
      <c r="G620" s="51" t="str">
        <f>IFERROR(__xludf.DUMMYFUNCTION("""COMPUTED_VALUE"""),"#VALUE!")</f>
        <v>#VALUE!</v>
      </c>
      <c r="H620" s="51" t="str">
        <f>IFERROR(__xludf.DUMMYFUNCTION("""COMPUTED_VALUE"""),"")</f>
        <v/>
      </c>
      <c r="I620" s="51" t="str">
        <f>IFERROR(__xludf.DUMMYFUNCTION("""COMPUTED_VALUE"""),"#VALUE!")</f>
        <v>#VALUE!</v>
      </c>
      <c r="J620" s="51" t="str">
        <f>IFERROR(__xludf.DUMMYFUNCTION("""COMPUTED_VALUE"""),"")</f>
        <v/>
      </c>
      <c r="K620" s="51"/>
      <c r="L620" s="51" t="s">
        <v>257</v>
      </c>
      <c r="M620" s="51"/>
      <c r="N620" s="51"/>
      <c r="O620" s="51"/>
      <c r="P620" s="51"/>
      <c r="Q620" s="51"/>
      <c r="R620" s="51"/>
      <c r="S620" s="51"/>
      <c r="T620" s="51"/>
    </row>
    <row r="621">
      <c r="A621" s="51"/>
      <c r="B621" s="51"/>
      <c r="C621" s="56"/>
      <c r="D621" s="51"/>
      <c r="E621" s="51"/>
      <c r="F621" s="51"/>
      <c r="G621" s="51" t="str">
        <f>IFERROR(__xludf.DUMMYFUNCTION("""COMPUTED_VALUE"""),"#VALUE!")</f>
        <v>#VALUE!</v>
      </c>
      <c r="H621" s="51" t="str">
        <f>IFERROR(__xludf.DUMMYFUNCTION("""COMPUTED_VALUE"""),"")</f>
        <v/>
      </c>
      <c r="I621" s="51" t="str">
        <f>IFERROR(__xludf.DUMMYFUNCTION("""COMPUTED_VALUE"""),"#VALUE!")</f>
        <v>#VALUE!</v>
      </c>
      <c r="J621" s="51" t="str">
        <f>IFERROR(__xludf.DUMMYFUNCTION("""COMPUTED_VALUE"""),"")</f>
        <v/>
      </c>
      <c r="K621" s="51"/>
      <c r="L621" s="51" t="s">
        <v>257</v>
      </c>
      <c r="M621" s="51"/>
      <c r="N621" s="51"/>
      <c r="O621" s="51"/>
      <c r="P621" s="51"/>
      <c r="Q621" s="51"/>
      <c r="R621" s="51"/>
      <c r="S621" s="51"/>
      <c r="T621" s="51"/>
    </row>
  </sheetData>
  <conditionalFormatting sqref="O2:O354">
    <cfRule type="containsText" dxfId="4" priority="1" operator="containsText" text="YES">
      <formula>NOT(ISERROR(SEARCH(("YES"),(O2))))</formula>
    </cfRule>
  </conditionalFormatting>
  <conditionalFormatting sqref="O2:O354">
    <cfRule type="cellIs" dxfId="5" priority="2" operator="equal">
      <formula>"NO"</formula>
    </cfRule>
  </conditionalFormatting>
  <conditionalFormatting sqref="P2:P30">
    <cfRule type="cellIs" dxfId="4" priority="3" operator="equal">
      <formula>"AVAILABLE"</formula>
    </cfRule>
  </conditionalFormatting>
  <conditionalFormatting sqref="P2:P30">
    <cfRule type="cellIs" dxfId="5" priority="4" operator="equal">
      <formula>"NOT AVAILABLE"</formula>
    </cfRule>
  </conditionalFormatting>
  <conditionalFormatting sqref="Q2:Q92">
    <cfRule type="cellIs" dxfId="4" priority="5" operator="equal">
      <formula>"AVAILABLE"</formula>
    </cfRule>
  </conditionalFormatting>
  <conditionalFormatting sqref="Q2:Q92">
    <cfRule type="cellIs" dxfId="6" priority="6" operator="equal">
      <formula>"UPLOADING"</formula>
    </cfRule>
  </conditionalFormatting>
  <conditionalFormatting sqref="Q2:Q92">
    <cfRule type="cellIs" dxfId="5" priority="7" operator="equal">
      <formula>"NOT AVAILABLE"</formula>
    </cfRule>
  </conditionalFormatting>
  <dataValidations>
    <dataValidation type="list" allowBlank="1" sqref="O2:O340">
      <formula1>"YES,NO"</formula1>
    </dataValidation>
    <dataValidation type="list" allowBlank="1" sqref="P2:P340">
      <formula1>"AVAILABLE,NOT AVAILABLE"</formula1>
    </dataValidation>
    <dataValidation type="list" allowBlank="1" sqref="Q2:Q92">
      <formula1>"AVAILABLE,UPLOADING,NOT AVAILABLE"</formula1>
    </dataValidation>
  </dataValidations>
  <hyperlinks>
    <hyperlink r:id="rId1" ref="A51"/>
  </hyperlinks>
  <printOptions gridLines="1" horizontalCentered="1"/>
  <pageMargins bottom="0.75" footer="0.0" header="0.0" left="0.7" right="0.7" top="0.75"/>
  <pageSetup fitToHeight="0" cellComments="atEnd" orientation="landscape" pageOrder="overThenDown"/>
  <drawing r:id="rId2"/>
  <tableParts count="1">
    <tablePart r:id="rId4"/>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sheetViews>
  <sheetFormatPr customHeight="1" defaultColWidth="14.43" defaultRowHeight="15.75"/>
  <cols>
    <col customWidth="1" min="1" max="1" width="67.86"/>
    <col customWidth="1" min="3" max="3" width="63.0"/>
    <col hidden="1" min="4" max="5" width="14.43"/>
    <col hidden="1" min="9" max="9" width="14.43"/>
    <col customWidth="1" min="14" max="14" width="37.43"/>
  </cols>
  <sheetData>
    <row r="1">
      <c r="A1" s="47" t="s">
        <v>79</v>
      </c>
      <c r="B1" s="47" t="s">
        <v>80</v>
      </c>
      <c r="C1" s="49" t="s">
        <v>81</v>
      </c>
      <c r="D1" s="47" t="s">
        <v>82</v>
      </c>
      <c r="E1" s="47" t="s">
        <v>83</v>
      </c>
      <c r="F1" s="47" t="s">
        <v>84</v>
      </c>
      <c r="G1" s="47" t="s">
        <v>85</v>
      </c>
      <c r="H1" s="47" t="s">
        <v>86</v>
      </c>
      <c r="I1" s="47" t="s">
        <v>87</v>
      </c>
      <c r="J1" s="47" t="s">
        <v>88</v>
      </c>
      <c r="K1" s="47" t="s">
        <v>89</v>
      </c>
      <c r="L1" s="47" t="s">
        <v>90</v>
      </c>
      <c r="M1" s="46" t="s">
        <v>91</v>
      </c>
      <c r="N1" s="46" t="s">
        <v>92</v>
      </c>
      <c r="O1" s="50" t="s">
        <v>93</v>
      </c>
      <c r="P1" s="50" t="s">
        <v>94</v>
      </c>
      <c r="Q1" s="50" t="s">
        <v>95</v>
      </c>
    </row>
    <row r="2">
      <c r="A2" s="52" t="s">
        <v>96</v>
      </c>
      <c r="B2" s="52" t="s">
        <v>97</v>
      </c>
      <c r="C2" s="53" t="s">
        <v>98</v>
      </c>
      <c r="D2" s="55">
        <v>0.5</v>
      </c>
      <c r="E2" s="55">
        <v>0.5208333333333334</v>
      </c>
      <c r="G2" s="57">
        <v>43774.0</v>
      </c>
      <c r="H2" s="55">
        <v>0.5</v>
      </c>
      <c r="I2" s="57">
        <v>43774.0</v>
      </c>
      <c r="J2" s="55">
        <v>0.5208333333333334</v>
      </c>
      <c r="K2" s="59">
        <f t="shared" ref="K2:K18" si="1">J2-H2</f>
        <v>0.02083333333</v>
      </c>
      <c r="L2" s="2" t="str">
        <f t="array" ref="L2:L18">TEXT(K2:K18,"hhmmss")</f>
        <v>003000</v>
      </c>
      <c r="M2" s="62" t="s">
        <v>99</v>
      </c>
      <c r="N2" s="62" t="str">
        <f t="shared" ref="N2:N18" si="2">CONCATENATE(M2,"_",F2,"_","000000_000000.mp4")</f>
        <v>PS_5_1__000000_000000.mp4</v>
      </c>
      <c r="O2" s="50"/>
      <c r="P2" s="50"/>
      <c r="Q2" s="63"/>
    </row>
    <row r="3">
      <c r="A3" s="64" t="s">
        <v>103</v>
      </c>
      <c r="B3" s="64" t="s">
        <v>97</v>
      </c>
      <c r="C3" s="53" t="s">
        <v>104</v>
      </c>
      <c r="D3" s="55">
        <v>0.5208333333333334</v>
      </c>
      <c r="E3" s="55">
        <v>0.5416666666666666</v>
      </c>
      <c r="G3" s="57">
        <v>43774.0</v>
      </c>
      <c r="H3" s="55">
        <v>0.5208333333333334</v>
      </c>
      <c r="I3" s="57">
        <v>43774.0</v>
      </c>
      <c r="J3" s="55">
        <v>0.5416666666666666</v>
      </c>
      <c r="K3" s="59">
        <f t="shared" si="1"/>
        <v>0.02083333333</v>
      </c>
      <c r="L3" s="4" t="s">
        <v>105</v>
      </c>
      <c r="M3" s="62" t="s">
        <v>106</v>
      </c>
      <c r="N3" s="62" t="str">
        <f t="shared" si="2"/>
        <v>PS_5_2__000000_000000.mp4</v>
      </c>
      <c r="O3" s="50"/>
      <c r="P3" s="50"/>
      <c r="Q3" s="63"/>
    </row>
    <row r="4">
      <c r="A4" s="52" t="s">
        <v>109</v>
      </c>
      <c r="B4" s="52" t="s">
        <v>97</v>
      </c>
      <c r="C4" s="53" t="s">
        <v>110</v>
      </c>
      <c r="D4" s="55">
        <v>0.6041666666666666</v>
      </c>
      <c r="E4" s="55">
        <v>0.6180555555555556</v>
      </c>
      <c r="G4" s="57">
        <v>43774.0</v>
      </c>
      <c r="H4" s="55">
        <v>0.6041666666666666</v>
      </c>
      <c r="I4" s="57">
        <v>43774.0</v>
      </c>
      <c r="J4" s="55">
        <v>0.6180555555555556</v>
      </c>
      <c r="K4" s="59">
        <f t="shared" si="1"/>
        <v>0.01388888889</v>
      </c>
      <c r="L4" s="4" t="s">
        <v>111</v>
      </c>
      <c r="M4" s="62" t="s">
        <v>112</v>
      </c>
      <c r="N4" s="62" t="str">
        <f t="shared" si="2"/>
        <v>PS_5_3__000000_000000.mp4</v>
      </c>
      <c r="O4" s="50"/>
      <c r="P4" s="50"/>
      <c r="Q4" s="63"/>
    </row>
    <row r="5">
      <c r="A5" s="52" t="s">
        <v>113</v>
      </c>
      <c r="B5" s="64" t="s">
        <v>97</v>
      </c>
      <c r="C5" s="53" t="s">
        <v>114</v>
      </c>
      <c r="D5" s="55">
        <v>0.625</v>
      </c>
      <c r="E5" s="55">
        <v>0.6458333333333334</v>
      </c>
      <c r="G5" s="57">
        <v>43774.0</v>
      </c>
      <c r="H5" s="55">
        <v>0.625</v>
      </c>
      <c r="I5" s="57">
        <v>43774.0</v>
      </c>
      <c r="J5" s="55">
        <v>0.6458333333333334</v>
      </c>
      <c r="K5" s="59">
        <f t="shared" si="1"/>
        <v>0.02083333333</v>
      </c>
      <c r="L5" s="4" t="s">
        <v>105</v>
      </c>
      <c r="M5" s="62" t="s">
        <v>115</v>
      </c>
      <c r="N5" s="62" t="str">
        <f t="shared" si="2"/>
        <v>PS_5_4__000000_000000.mp4</v>
      </c>
      <c r="O5" s="50"/>
      <c r="P5" s="50"/>
      <c r="Q5" s="63"/>
    </row>
    <row r="6">
      <c r="A6" s="52" t="s">
        <v>118</v>
      </c>
      <c r="B6" s="52" t="s">
        <v>97</v>
      </c>
      <c r="C6" s="53" t="s">
        <v>119</v>
      </c>
      <c r="D6" s="55">
        <v>0.6458333333333334</v>
      </c>
      <c r="E6" s="55">
        <v>0.65625</v>
      </c>
      <c r="G6" s="57">
        <v>43774.0</v>
      </c>
      <c r="H6" s="55">
        <v>0.6458333333333334</v>
      </c>
      <c r="I6" s="57">
        <v>43774.0</v>
      </c>
      <c r="J6" s="55">
        <v>0.65625</v>
      </c>
      <c r="K6" s="59">
        <f t="shared" si="1"/>
        <v>0.01041666667</v>
      </c>
      <c r="L6" s="4" t="s">
        <v>116</v>
      </c>
      <c r="M6" s="62" t="s">
        <v>120</v>
      </c>
      <c r="N6" s="62" t="str">
        <f t="shared" si="2"/>
        <v>PS_5_5__000000_000000.mp4</v>
      </c>
      <c r="O6" s="50"/>
      <c r="P6" s="50"/>
      <c r="Q6" s="63"/>
    </row>
    <row r="7">
      <c r="A7" s="52" t="s">
        <v>121</v>
      </c>
      <c r="B7" s="52" t="s">
        <v>97</v>
      </c>
      <c r="C7" s="53" t="s">
        <v>122</v>
      </c>
      <c r="D7" s="55">
        <v>0.6701388888888888</v>
      </c>
      <c r="E7" s="55">
        <v>0.6770833333333334</v>
      </c>
      <c r="G7" s="57">
        <v>43774.0</v>
      </c>
      <c r="H7" s="55">
        <v>0.6701388888888888</v>
      </c>
      <c r="I7" s="57">
        <v>43774.0</v>
      </c>
      <c r="J7" s="55">
        <v>0.6770833333333334</v>
      </c>
      <c r="K7" s="59">
        <f t="shared" si="1"/>
        <v>0.006944444444</v>
      </c>
      <c r="L7" s="4" t="s">
        <v>124</v>
      </c>
      <c r="M7" s="62" t="s">
        <v>125</v>
      </c>
      <c r="N7" s="62" t="str">
        <f t="shared" si="2"/>
        <v>PS_5_6__000000_000000.mp4</v>
      </c>
      <c r="O7" s="50"/>
      <c r="P7" s="50"/>
      <c r="Q7" s="63"/>
    </row>
    <row r="8">
      <c r="A8" s="52" t="s">
        <v>126</v>
      </c>
      <c r="B8" s="64" t="s">
        <v>97</v>
      </c>
      <c r="C8" s="65" t="s">
        <v>127</v>
      </c>
      <c r="D8" s="55">
        <v>0.6979166666666666</v>
      </c>
      <c r="E8" s="55">
        <v>0.7291666666666666</v>
      </c>
      <c r="G8" s="57">
        <v>43774.0</v>
      </c>
      <c r="H8" s="55">
        <v>0.6979166666666666</v>
      </c>
      <c r="I8" s="57">
        <v>43774.0</v>
      </c>
      <c r="J8" s="55">
        <v>0.7291666666666666</v>
      </c>
      <c r="K8" s="59">
        <f t="shared" si="1"/>
        <v>0.03125</v>
      </c>
      <c r="L8" s="4" t="s">
        <v>131</v>
      </c>
      <c r="M8" s="62" t="s">
        <v>132</v>
      </c>
      <c r="N8" s="62" t="str">
        <f t="shared" si="2"/>
        <v>PS_5_7__000000_000000.mp4</v>
      </c>
      <c r="O8" s="50"/>
      <c r="P8" s="50"/>
      <c r="Q8" s="63"/>
    </row>
    <row r="9">
      <c r="A9" s="52" t="s">
        <v>133</v>
      </c>
      <c r="B9" s="52" t="s">
        <v>97</v>
      </c>
      <c r="C9" s="53" t="s">
        <v>134</v>
      </c>
      <c r="D9" s="55">
        <v>0.4375</v>
      </c>
      <c r="E9" s="55">
        <v>0.4513888888888889</v>
      </c>
      <c r="G9" s="57">
        <v>43775.0</v>
      </c>
      <c r="H9" s="55">
        <v>0.4375</v>
      </c>
      <c r="I9" s="57">
        <v>43775.0</v>
      </c>
      <c r="J9" s="55">
        <v>0.4513888888888889</v>
      </c>
      <c r="K9" s="59">
        <f t="shared" si="1"/>
        <v>0.01388888889</v>
      </c>
      <c r="L9" s="4" t="s">
        <v>111</v>
      </c>
      <c r="M9" s="52" t="s">
        <v>137</v>
      </c>
      <c r="N9" s="62" t="str">
        <f t="shared" si="2"/>
        <v>PS_6_1__000000_000000.mp4</v>
      </c>
      <c r="O9" s="50"/>
      <c r="P9" s="50"/>
      <c r="Q9" s="63"/>
    </row>
    <row r="10">
      <c r="A10" s="52" t="s">
        <v>138</v>
      </c>
      <c r="B10" s="64" t="s">
        <v>97</v>
      </c>
      <c r="C10" s="53" t="s">
        <v>139</v>
      </c>
      <c r="D10" s="55">
        <v>0.5</v>
      </c>
      <c r="E10" s="55">
        <v>0.5208333333333334</v>
      </c>
      <c r="G10" s="57">
        <v>43775.0</v>
      </c>
      <c r="H10" s="55">
        <v>0.5</v>
      </c>
      <c r="J10" s="55">
        <v>0.5208333333333334</v>
      </c>
      <c r="K10" s="59">
        <f t="shared" si="1"/>
        <v>0.02083333333</v>
      </c>
      <c r="L10" s="4" t="s">
        <v>105</v>
      </c>
      <c r="M10" s="52" t="s">
        <v>141</v>
      </c>
      <c r="N10" s="62" t="str">
        <f t="shared" si="2"/>
        <v>PS_6_2__000000_000000.mp4</v>
      </c>
      <c r="O10" s="50"/>
      <c r="P10" s="50"/>
      <c r="Q10" s="63"/>
    </row>
    <row r="11">
      <c r="A11" s="52" t="s">
        <v>142</v>
      </c>
      <c r="B11" s="52" t="s">
        <v>97</v>
      </c>
      <c r="C11" s="53" t="s">
        <v>143</v>
      </c>
      <c r="D11" s="55">
        <v>0.5208333333333334</v>
      </c>
      <c r="E11" s="55">
        <v>0.5416666666666666</v>
      </c>
      <c r="G11" s="57">
        <v>43775.0</v>
      </c>
      <c r="H11" s="55">
        <v>0.5208333333333334</v>
      </c>
      <c r="J11" s="55">
        <v>0.5416666666666666</v>
      </c>
      <c r="K11" s="59">
        <f t="shared" si="1"/>
        <v>0.02083333333</v>
      </c>
      <c r="L11" s="4" t="s">
        <v>105</v>
      </c>
      <c r="M11" s="52" t="s">
        <v>144</v>
      </c>
      <c r="N11" s="62" t="str">
        <f t="shared" si="2"/>
        <v>PS_6_3__000000_000000.mp4</v>
      </c>
      <c r="O11" s="50"/>
      <c r="P11" s="50"/>
      <c r="Q11" s="63"/>
    </row>
    <row r="12">
      <c r="A12" s="52" t="s">
        <v>145</v>
      </c>
      <c r="B12" s="64" t="s">
        <v>97</v>
      </c>
      <c r="C12" s="53" t="s">
        <v>146</v>
      </c>
      <c r="D12" s="55">
        <v>0.5625</v>
      </c>
      <c r="E12" s="55">
        <v>0.5833333333333334</v>
      </c>
      <c r="G12" s="57">
        <v>43775.0</v>
      </c>
      <c r="H12" s="55">
        <v>0.5625</v>
      </c>
      <c r="J12" s="55">
        <v>0.5833333333333334</v>
      </c>
      <c r="K12" s="59">
        <f t="shared" si="1"/>
        <v>0.02083333333</v>
      </c>
      <c r="L12" s="4" t="s">
        <v>105</v>
      </c>
      <c r="M12" s="52" t="s">
        <v>149</v>
      </c>
      <c r="N12" s="62" t="str">
        <f t="shared" si="2"/>
        <v>PS_6_4__000000_000000.mp4</v>
      </c>
      <c r="O12" s="50"/>
      <c r="P12" s="50"/>
      <c r="Q12" s="63"/>
    </row>
    <row r="13">
      <c r="A13" s="52" t="s">
        <v>150</v>
      </c>
      <c r="B13" s="52" t="s">
        <v>97</v>
      </c>
      <c r="C13" s="53" t="s">
        <v>151</v>
      </c>
      <c r="D13" s="55">
        <v>0.5833333333333334</v>
      </c>
      <c r="E13" s="55">
        <v>0.5972222222222222</v>
      </c>
      <c r="G13" s="57">
        <v>43775.0</v>
      </c>
      <c r="H13" s="55">
        <v>0.5833333333333334</v>
      </c>
      <c r="J13" s="55">
        <v>0.5972222222222222</v>
      </c>
      <c r="K13" s="59">
        <f t="shared" si="1"/>
        <v>0.01388888889</v>
      </c>
      <c r="L13" s="4" t="s">
        <v>111</v>
      </c>
      <c r="M13" s="52" t="s">
        <v>152</v>
      </c>
      <c r="N13" s="62" t="str">
        <f t="shared" si="2"/>
        <v>PS_6_5__000000_000000.mp4</v>
      </c>
      <c r="O13" s="50"/>
      <c r="P13" s="50"/>
      <c r="Q13" s="63"/>
    </row>
    <row r="14">
      <c r="A14" s="52" t="s">
        <v>154</v>
      </c>
      <c r="B14" s="52" t="s">
        <v>97</v>
      </c>
      <c r="C14" s="53" t="s">
        <v>155</v>
      </c>
      <c r="D14" s="55">
        <v>0.6458333333333334</v>
      </c>
      <c r="E14" s="55">
        <v>0.6666666666666666</v>
      </c>
      <c r="G14" s="57">
        <v>43775.0</v>
      </c>
      <c r="H14" s="55">
        <v>0.6458333333333334</v>
      </c>
      <c r="J14" s="55">
        <v>0.6666666666666666</v>
      </c>
      <c r="K14" s="59">
        <f t="shared" si="1"/>
        <v>0.02083333333</v>
      </c>
      <c r="L14" s="4" t="s">
        <v>105</v>
      </c>
      <c r="M14" s="52" t="s">
        <v>156</v>
      </c>
      <c r="N14" s="62" t="str">
        <f t="shared" si="2"/>
        <v>PS_6_6__000000_000000.mp4</v>
      </c>
      <c r="O14" s="50"/>
      <c r="P14" s="50"/>
      <c r="Q14" s="63"/>
    </row>
    <row r="15">
      <c r="A15" s="52" t="s">
        <v>157</v>
      </c>
      <c r="B15" s="52" t="s">
        <v>97</v>
      </c>
      <c r="C15" s="53" t="s">
        <v>158</v>
      </c>
      <c r="G15" s="57">
        <v>43775.0</v>
      </c>
      <c r="H15" s="55">
        <v>0.6666666666666666</v>
      </c>
      <c r="J15" s="55">
        <v>0.6875</v>
      </c>
      <c r="K15" s="59">
        <f t="shared" si="1"/>
        <v>0.02083333333</v>
      </c>
      <c r="L15" s="4" t="s">
        <v>105</v>
      </c>
      <c r="M15" s="52" t="s">
        <v>159</v>
      </c>
      <c r="N15" s="62" t="str">
        <f t="shared" si="2"/>
        <v>PS_6_7__000000_000000.mp4</v>
      </c>
      <c r="O15" s="50"/>
      <c r="P15" s="50"/>
      <c r="Q15" s="63"/>
    </row>
    <row r="16">
      <c r="A16" s="52" t="s">
        <v>160</v>
      </c>
      <c r="B16" s="52" t="s">
        <v>97</v>
      </c>
      <c r="C16" s="53" t="s">
        <v>162</v>
      </c>
      <c r="G16" s="57">
        <v>43776.0</v>
      </c>
      <c r="H16" s="55">
        <v>0.5</v>
      </c>
      <c r="J16" s="55">
        <v>0.5208333333333334</v>
      </c>
      <c r="K16" s="59">
        <f t="shared" si="1"/>
        <v>0.02083333333</v>
      </c>
      <c r="L16" s="4" t="s">
        <v>105</v>
      </c>
      <c r="M16" s="52" t="s">
        <v>163</v>
      </c>
      <c r="N16" s="62" t="str">
        <f t="shared" si="2"/>
        <v>PS_7_1__000000_000000.mp4</v>
      </c>
      <c r="O16" s="50"/>
      <c r="P16" s="50"/>
      <c r="Q16" s="63"/>
    </row>
    <row r="17">
      <c r="A17" s="52" t="s">
        <v>164</v>
      </c>
      <c r="B17" s="52" t="s">
        <v>97</v>
      </c>
      <c r="C17" s="66" t="s">
        <v>165</v>
      </c>
      <c r="G17" s="57">
        <v>43776.0</v>
      </c>
      <c r="H17" s="55">
        <v>0.5833333333333334</v>
      </c>
      <c r="J17" s="55">
        <v>0.5972222222222222</v>
      </c>
      <c r="K17" s="59">
        <f t="shared" si="1"/>
        <v>0.01388888889</v>
      </c>
      <c r="L17" s="4" t="s">
        <v>111</v>
      </c>
      <c r="M17" s="52" t="s">
        <v>167</v>
      </c>
      <c r="N17" s="62" t="str">
        <f t="shared" si="2"/>
        <v>PS_7_2__000000_000000.mp4</v>
      </c>
      <c r="O17" s="50"/>
      <c r="P17" s="50"/>
      <c r="Q17" s="63"/>
    </row>
    <row r="18">
      <c r="A18" s="52" t="s">
        <v>168</v>
      </c>
      <c r="B18" s="64" t="s">
        <v>97</v>
      </c>
      <c r="C18" s="53" t="s">
        <v>169</v>
      </c>
      <c r="G18" s="57">
        <v>43776.0</v>
      </c>
      <c r="H18" s="55">
        <v>0.6111111111111112</v>
      </c>
      <c r="J18" s="55">
        <v>0.6180555555555556</v>
      </c>
      <c r="K18" s="59">
        <f t="shared" si="1"/>
        <v>0.006944444444</v>
      </c>
      <c r="L18" s="4" t="s">
        <v>124</v>
      </c>
      <c r="M18" s="52" t="s">
        <v>170</v>
      </c>
      <c r="N18" s="62" t="str">
        <f t="shared" si="2"/>
        <v>PS_7_3__000000_000000.mp4</v>
      </c>
      <c r="O18" s="50"/>
      <c r="P18" s="50"/>
      <c r="Q18" s="63"/>
    </row>
  </sheetData>
  <conditionalFormatting sqref="O2:O18">
    <cfRule type="containsText" dxfId="4" priority="1" operator="containsText" text="YES">
      <formula>NOT(ISERROR(SEARCH(("YES"),(O2))))</formula>
    </cfRule>
  </conditionalFormatting>
  <conditionalFormatting sqref="O2:O18">
    <cfRule type="cellIs" dxfId="5" priority="2" operator="equal">
      <formula>"NO"</formula>
    </cfRule>
  </conditionalFormatting>
  <conditionalFormatting sqref="P2:Q18">
    <cfRule type="cellIs" dxfId="4" priority="3" operator="equal">
      <formula>"AVAILABLE"</formula>
    </cfRule>
  </conditionalFormatting>
  <conditionalFormatting sqref="P2:Q18">
    <cfRule type="cellIs" dxfId="5" priority="4" operator="equal">
      <formula>"NOT AVAILABLE"</formula>
    </cfRule>
  </conditionalFormatting>
  <conditionalFormatting sqref="Q2:Q18">
    <cfRule type="cellIs" dxfId="4" priority="5" operator="equal">
      <formula>"AVAILABLE"</formula>
    </cfRule>
  </conditionalFormatting>
  <conditionalFormatting sqref="Q2:Q18">
    <cfRule type="cellIs" dxfId="6" priority="6" operator="equal">
      <formula>"UPLOADING"</formula>
    </cfRule>
  </conditionalFormatting>
  <conditionalFormatting sqref="Q2:Q18">
    <cfRule type="cellIs" dxfId="5" priority="7" operator="equal">
      <formula>"NOT AVAILABLE"</formula>
    </cfRule>
  </conditionalFormatting>
  <dataValidations>
    <dataValidation type="list" allowBlank="1" sqref="O2:O18">
      <formula1>"YES,NO"</formula1>
    </dataValidation>
    <dataValidation type="list" allowBlank="1" sqref="P2:P18">
      <formula1>"AVAILABLE,NOT AVAILABLE"</formula1>
    </dataValidation>
    <dataValidation type="list" allowBlank="1" sqref="Q2:Q18">
      <formula1>"AVAILABLE,UPLOADING,NOT AVAILABLE"</formula1>
    </dataValidation>
  </dataValidations>
  <printOptions gridLines="1" horizontalCentered="1"/>
  <pageMargins bottom="0.75" footer="0.0" header="0.0" left="0.7" right="0.7" top="0.75"/>
  <pageSetup fitToHeight="0" cellComments="atEnd" orientation="landscape" pageOrder="overThenDown"/>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sheetViews>
  <sheetFormatPr customHeight="1" defaultColWidth="14.43" defaultRowHeight="15.75"/>
  <cols>
    <col customWidth="1" min="1" max="1" width="40.14"/>
    <col customWidth="1" min="3" max="3" width="17.29"/>
    <col hidden="1" min="4" max="5" width="14.43"/>
    <col hidden="1" min="9" max="9" width="14.43"/>
  </cols>
  <sheetData>
    <row r="1">
      <c r="A1" s="47" t="s">
        <v>79</v>
      </c>
      <c r="B1" s="47" t="s">
        <v>80</v>
      </c>
      <c r="C1" s="67" t="s">
        <v>81</v>
      </c>
      <c r="D1" s="47" t="s">
        <v>82</v>
      </c>
      <c r="E1" s="47" t="s">
        <v>83</v>
      </c>
      <c r="F1" s="47" t="s">
        <v>84</v>
      </c>
      <c r="G1" s="47" t="s">
        <v>85</v>
      </c>
      <c r="H1" s="47" t="s">
        <v>86</v>
      </c>
      <c r="I1" s="47" t="s">
        <v>87</v>
      </c>
      <c r="J1" s="47" t="s">
        <v>88</v>
      </c>
      <c r="K1" s="47" t="s">
        <v>89</v>
      </c>
      <c r="L1" s="47" t="s">
        <v>90</v>
      </c>
      <c r="M1" s="46" t="s">
        <v>91</v>
      </c>
      <c r="N1" s="46" t="s">
        <v>92</v>
      </c>
      <c r="O1" s="50" t="s">
        <v>93</v>
      </c>
      <c r="P1" s="50" t="s">
        <v>94</v>
      </c>
      <c r="Q1" s="50" t="s">
        <v>95</v>
      </c>
    </row>
    <row r="2">
      <c r="A2" s="52" t="s">
        <v>179</v>
      </c>
      <c r="B2" s="52" t="s">
        <v>180</v>
      </c>
      <c r="C2" s="68" t="s">
        <v>181</v>
      </c>
      <c r="G2" s="57">
        <v>43774.0</v>
      </c>
      <c r="H2" s="55">
        <v>0.5208333333333334</v>
      </c>
      <c r="J2" s="55">
        <v>0.53125</v>
      </c>
      <c r="K2" s="59">
        <f t="shared" ref="K2:K7" si="1">J2-H2</f>
        <v>0.01041666667</v>
      </c>
      <c r="L2" s="2" t="str">
        <f t="array" ref="L2:L7">TEXT(K2:K7,"hhmmss")</f>
        <v>001500</v>
      </c>
      <c r="M2" s="62" t="s">
        <v>184</v>
      </c>
      <c r="N2" s="62" t="str">
        <f t="shared" ref="N2:N7" si="2">CONCATENATE(M2,"_",F2,"_","000000_000000.mp4")</f>
        <v>QA_5_1__000000_000000.mp4</v>
      </c>
      <c r="O2" s="50"/>
      <c r="P2" s="50"/>
      <c r="Q2" s="63"/>
    </row>
    <row r="3">
      <c r="A3" s="52" t="s">
        <v>185</v>
      </c>
      <c r="B3" s="52" t="s">
        <v>180</v>
      </c>
      <c r="C3" s="68" t="s">
        <v>187</v>
      </c>
      <c r="G3" s="57">
        <v>43774.0</v>
      </c>
      <c r="H3" s="55">
        <v>0.6041666666666666</v>
      </c>
      <c r="J3" s="55">
        <v>0.6145833333333334</v>
      </c>
      <c r="K3" s="59">
        <f t="shared" si="1"/>
        <v>0.01041666667</v>
      </c>
      <c r="L3" s="4" t="s">
        <v>116</v>
      </c>
      <c r="M3" s="62" t="s">
        <v>188</v>
      </c>
      <c r="N3" s="62" t="str">
        <f t="shared" si="2"/>
        <v>QA_5_2__000000_000000.mp4</v>
      </c>
      <c r="O3" s="50"/>
      <c r="P3" s="50"/>
      <c r="Q3" s="63"/>
    </row>
    <row r="4">
      <c r="A4" s="52" t="s">
        <v>189</v>
      </c>
      <c r="B4" s="52" t="s">
        <v>180</v>
      </c>
      <c r="C4" s="68" t="s">
        <v>190</v>
      </c>
      <c r="G4" s="57">
        <v>43774.0</v>
      </c>
      <c r="H4" s="55">
        <v>0.6354166666666666</v>
      </c>
      <c r="J4" s="55">
        <v>0.6458333333333334</v>
      </c>
      <c r="K4" s="59">
        <f t="shared" si="1"/>
        <v>0.01041666667</v>
      </c>
      <c r="L4" s="4" t="s">
        <v>116</v>
      </c>
      <c r="M4" s="62" t="s">
        <v>191</v>
      </c>
      <c r="N4" s="62" t="str">
        <f t="shared" si="2"/>
        <v>QA_5_3__000000_000000.mp4</v>
      </c>
      <c r="O4" s="50"/>
      <c r="P4" s="50"/>
      <c r="Q4" s="63"/>
    </row>
    <row r="5">
      <c r="A5" s="52" t="s">
        <v>193</v>
      </c>
      <c r="B5" s="52" t="s">
        <v>180</v>
      </c>
      <c r="C5" s="68" t="s">
        <v>194</v>
      </c>
      <c r="G5" s="57">
        <v>43775.0</v>
      </c>
      <c r="H5" s="55">
        <v>0.6145833333333334</v>
      </c>
      <c r="J5" s="55">
        <v>0.625</v>
      </c>
      <c r="K5" s="59">
        <f t="shared" si="1"/>
        <v>0.01041666667</v>
      </c>
      <c r="L5" s="4" t="s">
        <v>116</v>
      </c>
      <c r="M5" s="52" t="s">
        <v>195</v>
      </c>
      <c r="N5" s="62" t="str">
        <f t="shared" si="2"/>
        <v>QA_6_1__000000_000000.mp4</v>
      </c>
      <c r="O5" s="50"/>
      <c r="P5" s="50"/>
      <c r="Q5" s="63"/>
    </row>
    <row r="6">
      <c r="A6" s="52" t="s">
        <v>196</v>
      </c>
      <c r="B6" s="52" t="s">
        <v>180</v>
      </c>
      <c r="C6" s="68" t="s">
        <v>197</v>
      </c>
      <c r="G6" s="57">
        <v>43776.0</v>
      </c>
      <c r="H6" s="55">
        <v>0.3958333333333333</v>
      </c>
      <c r="J6" s="55">
        <v>0.40625</v>
      </c>
      <c r="K6" s="59">
        <f t="shared" si="1"/>
        <v>0.01041666667</v>
      </c>
      <c r="L6" s="4" t="s">
        <v>116</v>
      </c>
      <c r="M6" s="52" t="s">
        <v>198</v>
      </c>
      <c r="N6" s="62" t="str">
        <f t="shared" si="2"/>
        <v>QA_7_1__000000_000000.mp4</v>
      </c>
      <c r="O6" s="50"/>
      <c r="P6" s="50"/>
      <c r="Q6" s="63"/>
    </row>
    <row r="7">
      <c r="A7" s="52" t="s">
        <v>200</v>
      </c>
      <c r="B7" s="52" t="s">
        <v>180</v>
      </c>
      <c r="C7" s="68" t="s">
        <v>201</v>
      </c>
      <c r="G7" s="57">
        <v>43776.0</v>
      </c>
      <c r="H7" s="55">
        <v>0.5208333333333334</v>
      </c>
      <c r="J7" s="55">
        <v>0.53125</v>
      </c>
      <c r="K7" s="59">
        <f t="shared" si="1"/>
        <v>0.01041666667</v>
      </c>
      <c r="L7" s="4" t="s">
        <v>116</v>
      </c>
      <c r="M7" s="52" t="s">
        <v>202</v>
      </c>
      <c r="N7" s="62" t="str">
        <f t="shared" si="2"/>
        <v>QA_7_2__000000_000000.mp4</v>
      </c>
      <c r="O7" s="50"/>
      <c r="P7" s="50"/>
      <c r="Q7" s="63"/>
    </row>
  </sheetData>
  <conditionalFormatting sqref="O2:O7">
    <cfRule type="containsText" dxfId="4" priority="1" operator="containsText" text="YES">
      <formula>NOT(ISERROR(SEARCH(("YES"),(O2))))</formula>
    </cfRule>
  </conditionalFormatting>
  <conditionalFormatting sqref="O2:O7">
    <cfRule type="cellIs" dxfId="5" priority="2" operator="equal">
      <formula>"NO"</formula>
    </cfRule>
  </conditionalFormatting>
  <conditionalFormatting sqref="P2:Q7">
    <cfRule type="cellIs" dxfId="4" priority="3" operator="equal">
      <formula>"AVAILABLE"</formula>
    </cfRule>
  </conditionalFormatting>
  <conditionalFormatting sqref="P2:Q7">
    <cfRule type="cellIs" dxfId="5" priority="4" operator="equal">
      <formula>"NOT AVAILABLE"</formula>
    </cfRule>
  </conditionalFormatting>
  <conditionalFormatting sqref="Q2:Q7">
    <cfRule type="cellIs" dxfId="4" priority="5" operator="equal">
      <formula>"AVAILABLE"</formula>
    </cfRule>
  </conditionalFormatting>
  <conditionalFormatting sqref="Q2:Q7">
    <cfRule type="cellIs" dxfId="6" priority="6" operator="equal">
      <formula>"UPLOADING"</formula>
    </cfRule>
  </conditionalFormatting>
  <conditionalFormatting sqref="Q2:Q7">
    <cfRule type="cellIs" dxfId="5" priority="7" operator="equal">
      <formula>"NOT AVAILABLE"</formula>
    </cfRule>
  </conditionalFormatting>
  <dataValidations>
    <dataValidation type="list" allowBlank="1" sqref="O2:O7">
      <formula1>"YES,NO"</formula1>
    </dataValidation>
    <dataValidation type="list" allowBlank="1" sqref="P2:P7">
      <formula1>"AVAILABLE,NOT AVAILABLE"</formula1>
    </dataValidation>
    <dataValidation type="list" allowBlank="1" sqref="Q2:Q7">
      <formula1>"AVAILABLE,UPLOADING,NOT AVAILABLE"</formula1>
    </dataValidation>
  </dataValidations>
  <printOptions gridLines="1" horizontalCentered="1"/>
  <pageMargins bottom="0.75" footer="0.0" header="0.0" left="0.7" right="0.7" top="0.75"/>
  <pageSetup fitToHeight="0" cellComments="atEnd" orientation="landscape" pageOrder="overThenDown"/>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9.14"/>
    <col customWidth="1" min="3" max="3" width="20.0"/>
    <col hidden="1" min="4" max="5" width="14.43"/>
    <col customWidth="1" min="6" max="6" width="36.43"/>
    <col hidden="1" min="9" max="9" width="14.43"/>
    <col customWidth="1" min="14" max="14" width="30.14"/>
  </cols>
  <sheetData>
    <row r="1">
      <c r="A1" s="46" t="s">
        <v>79</v>
      </c>
      <c r="B1" s="46" t="s">
        <v>80</v>
      </c>
      <c r="C1" s="48" t="s">
        <v>81</v>
      </c>
      <c r="D1" s="46" t="s">
        <v>82</v>
      </c>
      <c r="E1" s="46" t="s">
        <v>83</v>
      </c>
      <c r="F1" s="46" t="s">
        <v>84</v>
      </c>
      <c r="G1" s="46" t="s">
        <v>85</v>
      </c>
      <c r="H1" s="46" t="s">
        <v>86</v>
      </c>
      <c r="I1" s="46" t="s">
        <v>87</v>
      </c>
      <c r="J1" s="46" t="s">
        <v>88</v>
      </c>
      <c r="K1" s="46" t="s">
        <v>89</v>
      </c>
      <c r="L1" s="46" t="s">
        <v>90</v>
      </c>
      <c r="M1" s="46" t="s">
        <v>91</v>
      </c>
      <c r="N1" s="46" t="s">
        <v>92</v>
      </c>
      <c r="O1" s="50" t="s">
        <v>93</v>
      </c>
      <c r="P1" s="50" t="s">
        <v>94</v>
      </c>
      <c r="Q1" s="50" t="s">
        <v>95</v>
      </c>
      <c r="R1" s="51"/>
      <c r="S1" s="51"/>
      <c r="T1" s="51"/>
    </row>
    <row r="2">
      <c r="A2" s="54" t="str">
        <f>IFERROR(__xludf.DUMMYFUNCTION("QUERY(Master!A:H,""SELECT A,C,D,F,G,H where C = 'SportsTrade' ORDER BY F"")"),"Opening remarks")</f>
        <v>Opening remarks</v>
      </c>
      <c r="B2" s="51" t="str">
        <f>IFERROR(__xludf.DUMMYFUNCTION("""COMPUTED_VALUE"""),"SportsTrade")</f>
        <v>SportsTrade</v>
      </c>
      <c r="C2" s="56" t="str">
        <f>IFERROR(__xludf.DUMMYFUNCTION("""COMPUTED_VALUE"""),"Nuno Gomes")</f>
        <v>Nuno Gomes</v>
      </c>
      <c r="D2" s="51" t="str">
        <f>IFERROR(__xludf.DUMMYFUNCTION("""COMPUTED_VALUE"""),"2019/11/05 10:25:00")</f>
        <v>2019/11/05 10:25:00</v>
      </c>
      <c r="E2" s="51" t="str">
        <f>IFERROR(__xludf.DUMMYFUNCTION("""COMPUTED_VALUE"""),"2019/11/05 10:30:00")</f>
        <v>2019/11/05 10:30:00</v>
      </c>
      <c r="F2" s="51" t="str">
        <f>IFERROR(__xludf.DUMMYFUNCTION("""COMPUTED_VALUE"""),"c5a3397c-cd6a-4900-90a7-f17132c97a77")</f>
        <v>c5a3397c-cd6a-4900-90a7-f17132c97a77</v>
      </c>
      <c r="G2" s="61">
        <f>IFERROR(__xludf.DUMMYFUNCTION("ARRAYFORMULA(SPLIT(D2:D533,"" ""))"),43774.0)</f>
        <v>43774</v>
      </c>
      <c r="H2" s="60">
        <f>IFERROR(__xludf.DUMMYFUNCTION("""COMPUTED_VALUE"""),0.4340277777777778)</f>
        <v>0.4340277778</v>
      </c>
      <c r="I2" s="61">
        <f>IFERROR(__xludf.DUMMYFUNCTION("ARRAYFORMULA(SPLIT(E2:E533,"" ""))"),43774.0)</f>
        <v>43774</v>
      </c>
      <c r="J2" s="60">
        <f>IFERROR(__xludf.DUMMYFUNCTION("""COMPUTED_VALUE"""),0.4375)</f>
        <v>0.4375</v>
      </c>
      <c r="K2" s="60">
        <f t="shared" ref="K2:K31" si="1">J2-H2</f>
        <v>0.003472222222</v>
      </c>
      <c r="L2" s="54" t="str">
        <f t="array" ref="L2:L533">TEXT(K2:K533,"hhmmss")</f>
        <v>000500</v>
      </c>
      <c r="M2" s="62" t="s">
        <v>216</v>
      </c>
      <c r="N2" s="62" t="str">
        <f t="shared" ref="N2:N21" si="2">CONCATENATE(M2,"_",F2,"_","000000_000000.mp4")</f>
        <v>ST_5_1_c5a3397c-cd6a-4900-90a7-f17132c97a77_000000_000000.mp4</v>
      </c>
      <c r="O2" s="50"/>
      <c r="P2" s="50"/>
      <c r="Q2" s="63"/>
      <c r="R2" s="51"/>
      <c r="S2" s="51"/>
      <c r="T2" s="51"/>
    </row>
    <row r="3">
      <c r="A3" s="51" t="str">
        <f>IFERROR(__xludf.DUMMYFUNCTION("""COMPUTED_VALUE"""),"Inside Benfica: The standard setter in talent development")</f>
        <v>Inside Benfica: The standard setter in talent development</v>
      </c>
      <c r="B3" s="51" t="str">
        <f>IFERROR(__xludf.DUMMYFUNCTION("""COMPUTED_VALUE"""),"SportsTrade")</f>
        <v>SportsTrade</v>
      </c>
      <c r="C3" s="56" t="str">
        <f>IFERROR(__xludf.DUMMYFUNCTION("""COMPUTED_VALUE""")," , Pedro Marques and Pedro Pinto")</f>
        <v> , Pedro Marques and Pedro Pinto</v>
      </c>
      <c r="D3" s="51" t="str">
        <f>IFERROR(__xludf.DUMMYFUNCTION("""COMPUTED_VALUE"""),"2019/11/05 10:30:00")</f>
        <v>2019/11/05 10:30:00</v>
      </c>
      <c r="E3" s="51" t="str">
        <f>IFERROR(__xludf.DUMMYFUNCTION("""COMPUTED_VALUE"""),"2019/11/05 10:50:00")</f>
        <v>2019/11/05 10:50:00</v>
      </c>
      <c r="F3" s="51" t="str">
        <f>IFERROR(__xludf.DUMMYFUNCTION("""COMPUTED_VALUE"""),"95532c47-2a3d-4fa5-a4d4-21cf50b965f2")</f>
        <v>95532c47-2a3d-4fa5-a4d4-21cf50b965f2</v>
      </c>
      <c r="G3" s="58">
        <f>IFERROR(__xludf.DUMMYFUNCTION("""COMPUTED_VALUE"""),43774.0)</f>
        <v>43774</v>
      </c>
      <c r="H3" s="60">
        <f>IFERROR(__xludf.DUMMYFUNCTION("""COMPUTED_VALUE"""),0.4375)</f>
        <v>0.4375</v>
      </c>
      <c r="I3" s="58">
        <f>IFERROR(__xludf.DUMMYFUNCTION("""COMPUTED_VALUE"""),43774.0)</f>
        <v>43774</v>
      </c>
      <c r="J3" s="60">
        <f>IFERROR(__xludf.DUMMYFUNCTION("""COMPUTED_VALUE"""),0.4513888888888889)</f>
        <v>0.4513888889</v>
      </c>
      <c r="K3" s="60">
        <f t="shared" si="1"/>
        <v>0.01388888889</v>
      </c>
      <c r="L3" s="51" t="s">
        <v>111</v>
      </c>
      <c r="M3" s="62" t="s">
        <v>219</v>
      </c>
      <c r="N3" s="62" t="str">
        <f t="shared" si="2"/>
        <v>ST_5_2_95532c47-2a3d-4fa5-a4d4-21cf50b965f2_000000_000000.mp4</v>
      </c>
      <c r="O3" s="50"/>
      <c r="P3" s="50"/>
      <c r="Q3" s="63"/>
      <c r="R3" s="51"/>
      <c r="S3" s="51"/>
      <c r="T3" s="51"/>
    </row>
    <row r="4">
      <c r="A4" s="51" t="str">
        <f>IFERROR(__xludf.DUMMYFUNCTION("""COMPUTED_VALUE"""),"Wladimir Klitschko: From boxing champion to challenge master ")</f>
        <v>Wladimir Klitschko: From boxing champion to challenge master </v>
      </c>
      <c r="B4" s="51" t="str">
        <f>IFERROR(__xludf.DUMMYFUNCTION("""COMPUTED_VALUE"""),"SportsTrade")</f>
        <v>SportsTrade</v>
      </c>
      <c r="C4" s="56" t="str">
        <f>IFERROR(__xludf.DUMMYFUNCTION("""COMPUTED_VALUE"""),"Wladimir Klitschko and Sachin Nakrani")</f>
        <v>Wladimir Klitschko and Sachin Nakrani</v>
      </c>
      <c r="D4" s="51" t="str">
        <f>IFERROR(__xludf.DUMMYFUNCTION("""COMPUTED_VALUE"""),"2019/11/05 10:50:00")</f>
        <v>2019/11/05 10:50:00</v>
      </c>
      <c r="E4" s="51" t="str">
        <f>IFERROR(__xludf.DUMMYFUNCTION("""COMPUTED_VALUE"""),"2019/11/05 11:05:00")</f>
        <v>2019/11/05 11:05:00</v>
      </c>
      <c r="F4" s="51" t="str">
        <f>IFERROR(__xludf.DUMMYFUNCTION("""COMPUTED_VALUE"""),"d8cb4530-6628-447a-b84e-d57bff0d3af2")</f>
        <v>d8cb4530-6628-447a-b84e-d57bff0d3af2</v>
      </c>
      <c r="G4" s="58">
        <f>IFERROR(__xludf.DUMMYFUNCTION("""COMPUTED_VALUE"""),43774.0)</f>
        <v>43774</v>
      </c>
      <c r="H4" s="60">
        <f>IFERROR(__xludf.DUMMYFUNCTION("""COMPUTED_VALUE"""),0.4513888888888889)</f>
        <v>0.4513888889</v>
      </c>
      <c r="I4" s="58">
        <f>IFERROR(__xludf.DUMMYFUNCTION("""COMPUTED_VALUE"""),43774.0)</f>
        <v>43774</v>
      </c>
      <c r="J4" s="60">
        <f>IFERROR(__xludf.DUMMYFUNCTION("""COMPUTED_VALUE"""),0.4618055555555556)</f>
        <v>0.4618055556</v>
      </c>
      <c r="K4" s="60">
        <f t="shared" si="1"/>
        <v>0.01041666667</v>
      </c>
      <c r="L4" s="51" t="s">
        <v>116</v>
      </c>
      <c r="M4" s="62" t="s">
        <v>221</v>
      </c>
      <c r="N4" s="62" t="str">
        <f t="shared" si="2"/>
        <v>ST_5_3_d8cb4530-6628-447a-b84e-d57bff0d3af2_000000_000000.mp4</v>
      </c>
      <c r="O4" s="50"/>
      <c r="P4" s="50"/>
      <c r="Q4" s="63"/>
      <c r="R4" s="51"/>
      <c r="S4" s="51"/>
      <c r="T4" s="51"/>
    </row>
    <row r="5">
      <c r="A5" s="51" t="str">
        <f>IFERROR(__xludf.DUMMYFUNCTION("""COMPUTED_VALUE"""),"Women's sport revolution: Inside the World Cup")</f>
        <v>Women's sport revolution: Inside the World Cup</v>
      </c>
      <c r="B5" s="51" t="str">
        <f>IFERROR(__xludf.DUMMYFUNCTION("""COMPUTED_VALUE"""),"SportsTrade")</f>
        <v>SportsTrade</v>
      </c>
      <c r="C5" s="56" t="str">
        <f>IFERROR(__xludf.DUMMYFUNCTION("""COMPUTED_VALUE"""),"Barbara Slater, Meghan Klingenberg, Jenny Wang, Eniola Aluko and Daniel Macaulay")</f>
        <v>Barbara Slater, Meghan Klingenberg, Jenny Wang, Eniola Aluko and Daniel Macaulay</v>
      </c>
      <c r="D5" s="51" t="str">
        <f>IFERROR(__xludf.DUMMYFUNCTION("""COMPUTED_VALUE"""),"2019/11/05 11:05:00")</f>
        <v>2019/11/05 11:05:00</v>
      </c>
      <c r="E5" s="51" t="str">
        <f>IFERROR(__xludf.DUMMYFUNCTION("""COMPUTED_VALUE"""),"2019/11/05 11:25:00")</f>
        <v>2019/11/05 11:25:00</v>
      </c>
      <c r="F5" s="51" t="str">
        <f>IFERROR(__xludf.DUMMYFUNCTION("""COMPUTED_VALUE"""),"879df1db-b60b-450c-af2a-bf48089803aa")</f>
        <v>879df1db-b60b-450c-af2a-bf48089803aa</v>
      </c>
      <c r="G5" s="58">
        <f>IFERROR(__xludf.DUMMYFUNCTION("""COMPUTED_VALUE"""),43774.0)</f>
        <v>43774</v>
      </c>
      <c r="H5" s="60">
        <f>IFERROR(__xludf.DUMMYFUNCTION("""COMPUTED_VALUE"""),0.4618055555555556)</f>
        <v>0.4618055556</v>
      </c>
      <c r="I5" s="58">
        <f>IFERROR(__xludf.DUMMYFUNCTION("""COMPUTED_VALUE"""),43774.0)</f>
        <v>43774</v>
      </c>
      <c r="J5" s="60">
        <f>IFERROR(__xludf.DUMMYFUNCTION("""COMPUTED_VALUE"""),0.4756944444444444)</f>
        <v>0.4756944444</v>
      </c>
      <c r="K5" s="60">
        <f t="shared" si="1"/>
        <v>0.01388888889</v>
      </c>
      <c r="L5" s="51" t="s">
        <v>111</v>
      </c>
      <c r="M5" s="62" t="s">
        <v>223</v>
      </c>
      <c r="N5" s="62" t="str">
        <f t="shared" si="2"/>
        <v>ST_5_4_879df1db-b60b-450c-af2a-bf48089803aa_000000_000000.mp4</v>
      </c>
      <c r="O5" s="50"/>
      <c r="P5" s="50"/>
      <c r="Q5" s="63"/>
      <c r="R5" s="51"/>
      <c r="S5" s="51"/>
      <c r="T5" s="51"/>
    </row>
    <row r="6">
      <c r="A6" s="51" t="str">
        <f>IFERROR(__xludf.DUMMYFUNCTION("""COMPUTED_VALUE"""),"eSports: Roadmapping the future")</f>
        <v>eSports: Roadmapping the future</v>
      </c>
      <c r="B6" s="51" t="str">
        <f>IFERROR(__xludf.DUMMYFUNCTION("""COMPUTED_VALUE"""),"SportsTrade")</f>
        <v>SportsTrade</v>
      </c>
      <c r="C6" s="56" t="str">
        <f>IFERROR(__xludf.DUMMYFUNCTION("""COMPUTED_VALUE"""),"Sergey Portnov, Bruce Stein and Rob Harris")</f>
        <v>Sergey Portnov, Bruce Stein and Rob Harris</v>
      </c>
      <c r="D6" s="51" t="str">
        <f>IFERROR(__xludf.DUMMYFUNCTION("""COMPUTED_VALUE"""),"2019/11/05 11:25:00")</f>
        <v>2019/11/05 11:25:00</v>
      </c>
      <c r="E6" s="51" t="str">
        <f>IFERROR(__xludf.DUMMYFUNCTION("""COMPUTED_VALUE"""),"2019/11/05 11:45:00")</f>
        <v>2019/11/05 11:45:00</v>
      </c>
      <c r="F6" s="51" t="str">
        <f>IFERROR(__xludf.DUMMYFUNCTION("""COMPUTED_VALUE"""),"d79d3ddd-1b99-4cb5-aa70-d337d3802bf3")</f>
        <v>d79d3ddd-1b99-4cb5-aa70-d337d3802bf3</v>
      </c>
      <c r="G6" s="58">
        <f>IFERROR(__xludf.DUMMYFUNCTION("""COMPUTED_VALUE"""),43774.0)</f>
        <v>43774</v>
      </c>
      <c r="H6" s="60">
        <f>IFERROR(__xludf.DUMMYFUNCTION("""COMPUTED_VALUE"""),0.4756944444444444)</f>
        <v>0.4756944444</v>
      </c>
      <c r="I6" s="58">
        <f>IFERROR(__xludf.DUMMYFUNCTION("""COMPUTED_VALUE"""),43774.0)</f>
        <v>43774</v>
      </c>
      <c r="J6" s="60">
        <f>IFERROR(__xludf.DUMMYFUNCTION("""COMPUTED_VALUE"""),0.4895833333333333)</f>
        <v>0.4895833333</v>
      </c>
      <c r="K6" s="60">
        <f t="shared" si="1"/>
        <v>0.01388888889</v>
      </c>
      <c r="L6" s="51" t="s">
        <v>111</v>
      </c>
      <c r="M6" s="62" t="s">
        <v>225</v>
      </c>
      <c r="N6" s="62" t="str">
        <f t="shared" si="2"/>
        <v>ST_5_5_d79d3ddd-1b99-4cb5-aa70-d337d3802bf3_000000_000000.mp4</v>
      </c>
      <c r="O6" s="50"/>
      <c r="P6" s="50"/>
      <c r="Q6" s="63"/>
      <c r="R6" s="51"/>
      <c r="S6" s="51"/>
      <c r="T6" s="51"/>
    </row>
    <row r="7">
      <c r="A7" s="51" t="str">
        <f>IFERROR(__xludf.DUMMYFUNCTION("""COMPUTED_VALUE"""),"The changing face of TV Sports")</f>
        <v>The changing face of TV Sports</v>
      </c>
      <c r="B7" s="51" t="str">
        <f>IFERROR(__xludf.DUMMYFUNCTION("""COMPUTED_VALUE"""),"SportsTrade")</f>
        <v>SportsTrade</v>
      </c>
      <c r="C7" s="56" t="str">
        <f>IFERROR(__xludf.DUMMYFUNCTION("""COMPUTED_VALUE"""),"Baron Davis, Zack Weiner and Michael Spirito")</f>
        <v>Baron Davis, Zack Weiner and Michael Spirito</v>
      </c>
      <c r="D7" s="51" t="str">
        <f>IFERROR(__xludf.DUMMYFUNCTION("""COMPUTED_VALUE"""),"2019/11/05 11:45:00")</f>
        <v>2019/11/05 11:45:00</v>
      </c>
      <c r="E7" s="51" t="str">
        <f>IFERROR(__xludf.DUMMYFUNCTION("""COMPUTED_VALUE"""),"2019/11/05 12:05:00")</f>
        <v>2019/11/05 12:05:00</v>
      </c>
      <c r="F7" s="51" t="str">
        <f>IFERROR(__xludf.DUMMYFUNCTION("""COMPUTED_VALUE"""),"59cc6a20-06d0-4e50-867f-655066403c91")</f>
        <v>59cc6a20-06d0-4e50-867f-655066403c91</v>
      </c>
      <c r="G7" s="58">
        <f>IFERROR(__xludf.DUMMYFUNCTION("""COMPUTED_VALUE"""),43774.0)</f>
        <v>43774</v>
      </c>
      <c r="H7" s="60">
        <f>IFERROR(__xludf.DUMMYFUNCTION("""COMPUTED_VALUE"""),0.4895833333333333)</f>
        <v>0.4895833333</v>
      </c>
      <c r="I7" s="58">
        <f>IFERROR(__xludf.DUMMYFUNCTION("""COMPUTED_VALUE"""),43774.0)</f>
        <v>43774</v>
      </c>
      <c r="J7" s="60">
        <f>IFERROR(__xludf.DUMMYFUNCTION("""COMPUTED_VALUE"""),0.5034722222222222)</f>
        <v>0.5034722222</v>
      </c>
      <c r="K7" s="60">
        <f t="shared" si="1"/>
        <v>0.01388888889</v>
      </c>
      <c r="L7" s="51" t="s">
        <v>111</v>
      </c>
      <c r="M7" s="62" t="s">
        <v>227</v>
      </c>
      <c r="N7" s="62" t="str">
        <f t="shared" si="2"/>
        <v>ST_5_6_59cc6a20-06d0-4e50-867f-655066403c91_000000_000000.mp4</v>
      </c>
      <c r="O7" s="50"/>
      <c r="P7" s="50"/>
      <c r="Q7" s="63"/>
      <c r="R7" s="51"/>
      <c r="S7" s="51"/>
      <c r="T7" s="51"/>
    </row>
    <row r="8">
      <c r="A8" s="51" t="str">
        <f>IFERROR(__xludf.DUMMYFUNCTION("""COMPUTED_VALUE"""),"Jessica Ennis-Hill: A winner's guide to business")</f>
        <v>Jessica Ennis-Hill: A winner's guide to business</v>
      </c>
      <c r="B8" s="51" t="str">
        <f>IFERROR(__xludf.DUMMYFUNCTION("""COMPUTED_VALUE"""),"SportsTrade")</f>
        <v>SportsTrade</v>
      </c>
      <c r="C8" s="56" t="str">
        <f>IFERROR(__xludf.DUMMYFUNCTION("""COMPUTED_VALUE"""),"Jessica Ennis-Hill and Ger Gilroy")</f>
        <v>Jessica Ennis-Hill and Ger Gilroy</v>
      </c>
      <c r="D8" s="51" t="str">
        <f>IFERROR(__xludf.DUMMYFUNCTION("""COMPUTED_VALUE"""),"2019/11/05 12:05:00")</f>
        <v>2019/11/05 12:05:00</v>
      </c>
      <c r="E8" s="51" t="str">
        <f>IFERROR(__xludf.DUMMYFUNCTION("""COMPUTED_VALUE"""),"2019/11/05 12:20:00")</f>
        <v>2019/11/05 12:20:00</v>
      </c>
      <c r="F8" s="51" t="str">
        <f>IFERROR(__xludf.DUMMYFUNCTION("""COMPUTED_VALUE"""),"1a071c7c-02b4-40f5-897b-84aaabadacd2")</f>
        <v>1a071c7c-02b4-40f5-897b-84aaabadacd2</v>
      </c>
      <c r="G8" s="58">
        <f>IFERROR(__xludf.DUMMYFUNCTION("""COMPUTED_VALUE"""),43774.0)</f>
        <v>43774</v>
      </c>
      <c r="H8" s="60">
        <f>IFERROR(__xludf.DUMMYFUNCTION("""COMPUTED_VALUE"""),0.5034722222222222)</f>
        <v>0.5034722222</v>
      </c>
      <c r="I8" s="58">
        <f>IFERROR(__xludf.DUMMYFUNCTION("""COMPUTED_VALUE"""),43774.0)</f>
        <v>43774</v>
      </c>
      <c r="J8" s="60">
        <f>IFERROR(__xludf.DUMMYFUNCTION("""COMPUTED_VALUE"""),0.5138888888888888)</f>
        <v>0.5138888889</v>
      </c>
      <c r="K8" s="60">
        <f t="shared" si="1"/>
        <v>0.01041666667</v>
      </c>
      <c r="L8" s="51" t="s">
        <v>116</v>
      </c>
      <c r="M8" s="62" t="s">
        <v>230</v>
      </c>
      <c r="N8" s="62" t="str">
        <f t="shared" si="2"/>
        <v>ST_5_7_1a071c7c-02b4-40f5-897b-84aaabadacd2_000000_000000.mp4</v>
      </c>
      <c r="O8" s="50"/>
      <c r="P8" s="50"/>
      <c r="Q8" s="63"/>
      <c r="R8" s="51"/>
      <c r="S8" s="51"/>
      <c r="T8" s="51"/>
    </row>
    <row r="9">
      <c r="A9" s="51" t="str">
        <f>IFERROR(__xludf.DUMMYFUNCTION("""COMPUTED_VALUE"""),"FutureProofing Golf ")</f>
        <v>FutureProofing Golf </v>
      </c>
      <c r="B9" s="51" t="str">
        <f>IFERROR(__xludf.DUMMYFUNCTION("""COMPUTED_VALUE"""),"SportsTrade")</f>
        <v>SportsTrade</v>
      </c>
      <c r="C9" s="56" t="str">
        <f>IFERROR(__xludf.DUMMYFUNCTION("""COMPUTED_VALUE"""),"Mike McCarley, Keith Pelley and Rob Harris")</f>
        <v>Mike McCarley, Keith Pelley and Rob Harris</v>
      </c>
      <c r="D9" s="51" t="str">
        <f>IFERROR(__xludf.DUMMYFUNCTION("""COMPUTED_VALUE"""),"2019/11/05 12:20:00")</f>
        <v>2019/11/05 12:20:00</v>
      </c>
      <c r="E9" s="51" t="str">
        <f>IFERROR(__xludf.DUMMYFUNCTION("""COMPUTED_VALUE"""),"2019/11/05 12:40:00")</f>
        <v>2019/11/05 12:40:00</v>
      </c>
      <c r="F9" s="51" t="str">
        <f>IFERROR(__xludf.DUMMYFUNCTION("""COMPUTED_VALUE"""),"0708fd2b-82b4-403f-84b0-8bacd6d1cf2e")</f>
        <v>0708fd2b-82b4-403f-84b0-8bacd6d1cf2e</v>
      </c>
      <c r="G9" s="58">
        <f>IFERROR(__xludf.DUMMYFUNCTION("""COMPUTED_VALUE"""),43774.0)</f>
        <v>43774</v>
      </c>
      <c r="H9" s="60">
        <f>IFERROR(__xludf.DUMMYFUNCTION("""COMPUTED_VALUE"""),0.5138888888888888)</f>
        <v>0.5138888889</v>
      </c>
      <c r="I9" s="58">
        <f>IFERROR(__xludf.DUMMYFUNCTION("""COMPUTED_VALUE"""),43774.0)</f>
        <v>43774</v>
      </c>
      <c r="J9" s="60">
        <f>IFERROR(__xludf.DUMMYFUNCTION("""COMPUTED_VALUE"""),0.5277777777777778)</f>
        <v>0.5277777778</v>
      </c>
      <c r="K9" s="60">
        <f t="shared" si="1"/>
        <v>0.01388888889</v>
      </c>
      <c r="L9" s="51" t="s">
        <v>111</v>
      </c>
      <c r="M9" s="62" t="s">
        <v>232</v>
      </c>
      <c r="N9" s="62" t="str">
        <f t="shared" si="2"/>
        <v>ST_5_8_0708fd2b-82b4-403f-84b0-8bacd6d1cf2e_000000_000000.mp4</v>
      </c>
      <c r="O9" s="50"/>
      <c r="P9" s="50"/>
      <c r="Q9" s="63"/>
      <c r="R9" s="51"/>
      <c r="S9" s="51"/>
      <c r="T9" s="51"/>
    </row>
    <row r="10">
      <c r="A10" s="51" t="str">
        <f>IFERROR(__xludf.DUMMYFUNCTION("""COMPUTED_VALUE"""),"Lunch break")</f>
        <v>Lunch break</v>
      </c>
      <c r="B10" s="51" t="str">
        <f>IFERROR(__xludf.DUMMYFUNCTION("""COMPUTED_VALUE"""),"SportsTrade")</f>
        <v>SportsTrade</v>
      </c>
      <c r="C10" s="56" t="str">
        <f>IFERROR(__xludf.DUMMYFUNCTION("""COMPUTED_VALUE"""),"")</f>
        <v/>
      </c>
      <c r="D10" s="51" t="str">
        <f>IFERROR(__xludf.DUMMYFUNCTION("""COMPUTED_VALUE"""),"2019/11/05 12:40:00")</f>
        <v>2019/11/05 12:40:00</v>
      </c>
      <c r="E10" s="51" t="str">
        <f>IFERROR(__xludf.DUMMYFUNCTION("""COMPUTED_VALUE"""),"2019/11/05 13:10:00")</f>
        <v>2019/11/05 13:10:00</v>
      </c>
      <c r="F10" s="51" t="str">
        <f>IFERROR(__xludf.DUMMYFUNCTION("""COMPUTED_VALUE"""),"9e0a254e-4273-4c0f-96e1-ebc4e7d5b1b5")</f>
        <v>9e0a254e-4273-4c0f-96e1-ebc4e7d5b1b5</v>
      </c>
      <c r="G10" s="58">
        <f>IFERROR(__xludf.DUMMYFUNCTION("""COMPUTED_VALUE"""),43774.0)</f>
        <v>43774</v>
      </c>
      <c r="H10" s="60">
        <f>IFERROR(__xludf.DUMMYFUNCTION("""COMPUTED_VALUE"""),0.5277777777777778)</f>
        <v>0.5277777778</v>
      </c>
      <c r="I10" s="58">
        <f>IFERROR(__xludf.DUMMYFUNCTION("""COMPUTED_VALUE"""),43774.0)</f>
        <v>43774</v>
      </c>
      <c r="J10" s="60">
        <f>IFERROR(__xludf.DUMMYFUNCTION("""COMPUTED_VALUE"""),0.5486111111111112)</f>
        <v>0.5486111111</v>
      </c>
      <c r="K10" s="60">
        <f t="shared" si="1"/>
        <v>0.02083333333</v>
      </c>
      <c r="L10" s="51" t="s">
        <v>105</v>
      </c>
      <c r="M10" s="62"/>
      <c r="N10" s="62" t="str">
        <f t="shared" si="2"/>
        <v>_9e0a254e-4273-4c0f-96e1-ebc4e7d5b1b5_000000_000000.mp4</v>
      </c>
      <c r="O10" s="50"/>
      <c r="P10" s="50"/>
      <c r="Q10" s="63"/>
      <c r="R10" s="51"/>
      <c r="S10" s="51"/>
      <c r="T10" s="51"/>
    </row>
    <row r="11">
      <c r="A11" s="51" t="str">
        <f>IFERROR(__xludf.DUMMYFUNCTION("""COMPUTED_VALUE"""),"Opening remarks")</f>
        <v>Opening remarks</v>
      </c>
      <c r="B11" s="51" t="str">
        <f>IFERROR(__xludf.DUMMYFUNCTION("""COMPUTED_VALUE"""),"SportsTrade")</f>
        <v>SportsTrade</v>
      </c>
      <c r="C11" s="56" t="str">
        <f>IFERROR(__xludf.DUMMYFUNCTION("""COMPUTED_VALUE"""),"Bernard Brogan")</f>
        <v>Bernard Brogan</v>
      </c>
      <c r="D11" s="51" t="str">
        <f>IFERROR(__xludf.DUMMYFUNCTION("""COMPUTED_VALUE"""),"2019/11/05 13:10:00")</f>
        <v>2019/11/05 13:10:00</v>
      </c>
      <c r="E11" s="51" t="str">
        <f>IFERROR(__xludf.DUMMYFUNCTION("""COMPUTED_VALUE"""),"2019/11/05 13:15:00")</f>
        <v>2019/11/05 13:15:00</v>
      </c>
      <c r="F11" s="51" t="str">
        <f>IFERROR(__xludf.DUMMYFUNCTION("""COMPUTED_VALUE"""),"b6b29815-62f1-4ce8-b773-c4198035b84b")</f>
        <v>b6b29815-62f1-4ce8-b773-c4198035b84b</v>
      </c>
      <c r="G11" s="58">
        <f>IFERROR(__xludf.DUMMYFUNCTION("""COMPUTED_VALUE"""),43774.0)</f>
        <v>43774</v>
      </c>
      <c r="H11" s="60">
        <f>IFERROR(__xludf.DUMMYFUNCTION("""COMPUTED_VALUE"""),0.5486111111111112)</f>
        <v>0.5486111111</v>
      </c>
      <c r="I11" s="58">
        <f>IFERROR(__xludf.DUMMYFUNCTION("""COMPUTED_VALUE"""),43774.0)</f>
        <v>43774</v>
      </c>
      <c r="J11" s="60">
        <f>IFERROR(__xludf.DUMMYFUNCTION("""COMPUTED_VALUE"""),0.5520833333333334)</f>
        <v>0.5520833333</v>
      </c>
      <c r="K11" s="60">
        <f t="shared" si="1"/>
        <v>0.003472222222</v>
      </c>
      <c r="L11" s="51" t="s">
        <v>234</v>
      </c>
      <c r="M11" s="62" t="s">
        <v>235</v>
      </c>
      <c r="N11" s="62" t="str">
        <f t="shared" si="2"/>
        <v>ST_5_9_b6b29815-62f1-4ce8-b773-c4198035b84b_000000_000000.mp4</v>
      </c>
      <c r="O11" s="50"/>
      <c r="P11" s="50"/>
      <c r="Q11" s="63"/>
      <c r="R11" s="51"/>
      <c r="S11" s="51"/>
      <c r="T11" s="51"/>
    </row>
    <row r="12">
      <c r="A12" s="51" t="str">
        <f>IFERROR(__xludf.DUMMYFUNCTION("""COMPUTED_VALUE"""),"The business of football")</f>
        <v>The business of football</v>
      </c>
      <c r="B12" s="51" t="str">
        <f>IFERROR(__xludf.DUMMYFUNCTION("""COMPUTED_VALUE"""),"SportsTrade")</f>
        <v>SportsTrade</v>
      </c>
      <c r="C12" s="56" t="str">
        <f>IFERROR(__xludf.DUMMYFUNCTION("""COMPUTED_VALUE"""),"Sean O’Connor, José María Cruz, Pascal Chimbonda and Andy Mitten")</f>
        <v>Sean O’Connor, José María Cruz, Pascal Chimbonda and Andy Mitten</v>
      </c>
      <c r="D12" s="51" t="str">
        <f>IFERROR(__xludf.DUMMYFUNCTION("""COMPUTED_VALUE"""),"2019/11/05 13:15:00")</f>
        <v>2019/11/05 13:15:00</v>
      </c>
      <c r="E12" s="51" t="str">
        <f>IFERROR(__xludf.DUMMYFUNCTION("""COMPUTED_VALUE"""),"2019/11/05 13:35:00")</f>
        <v>2019/11/05 13:35:00</v>
      </c>
      <c r="F12" s="51" t="str">
        <f>IFERROR(__xludf.DUMMYFUNCTION("""COMPUTED_VALUE"""),"8c203e64-61bb-4e15-baa6-38e051d17d09")</f>
        <v>8c203e64-61bb-4e15-baa6-38e051d17d09</v>
      </c>
      <c r="G12" s="58">
        <f>IFERROR(__xludf.DUMMYFUNCTION("""COMPUTED_VALUE"""),43774.0)</f>
        <v>43774</v>
      </c>
      <c r="H12" s="60">
        <f>IFERROR(__xludf.DUMMYFUNCTION("""COMPUTED_VALUE"""),0.5520833333333334)</f>
        <v>0.5520833333</v>
      </c>
      <c r="I12" s="58">
        <f>IFERROR(__xludf.DUMMYFUNCTION("""COMPUTED_VALUE"""),43774.0)</f>
        <v>43774</v>
      </c>
      <c r="J12" s="60">
        <f>IFERROR(__xludf.DUMMYFUNCTION("""COMPUTED_VALUE"""),0.5659722222222222)</f>
        <v>0.5659722222</v>
      </c>
      <c r="K12" s="60">
        <f t="shared" si="1"/>
        <v>0.01388888889</v>
      </c>
      <c r="L12" s="51" t="s">
        <v>111</v>
      </c>
      <c r="M12" s="62" t="s">
        <v>238</v>
      </c>
      <c r="N12" s="62" t="str">
        <f t="shared" si="2"/>
        <v>ST_5_10_8c203e64-61bb-4e15-baa6-38e051d17d09_000000_000000.mp4</v>
      </c>
      <c r="O12" s="50"/>
      <c r="P12" s="50"/>
      <c r="Q12" s="63"/>
      <c r="R12" s="51"/>
      <c r="S12" s="51"/>
      <c r="T12" s="51"/>
    </row>
    <row r="13">
      <c r="A13" s="51" t="str">
        <f>IFERROR(__xludf.DUMMYFUNCTION("""COMPUTED_VALUE"""),"Walking with giants")</f>
        <v>Walking with giants</v>
      </c>
      <c r="B13" s="51" t="str">
        <f>IFERROR(__xludf.DUMMYFUNCTION("""COMPUTED_VALUE"""),"SportsTrade")</f>
        <v>SportsTrade</v>
      </c>
      <c r="C13" s="56" t="str">
        <f>IFERROR(__xludf.DUMMYFUNCTION("""COMPUTED_VALUE"""),"José Castro Carmona and Miguel Delaney")</f>
        <v>José Castro Carmona and Miguel Delaney</v>
      </c>
      <c r="D13" s="51" t="str">
        <f>IFERROR(__xludf.DUMMYFUNCTION("""COMPUTED_VALUE"""),"2019/11/05 13:35:00")</f>
        <v>2019/11/05 13:35:00</v>
      </c>
      <c r="E13" s="51" t="str">
        <f>IFERROR(__xludf.DUMMYFUNCTION("""COMPUTED_VALUE"""),"2019/11/05 13:45:00")</f>
        <v>2019/11/05 13:45:00</v>
      </c>
      <c r="F13" s="51" t="str">
        <f>IFERROR(__xludf.DUMMYFUNCTION("""COMPUTED_VALUE"""),"99acb01d-d63e-4c97-9084-01fe59f09bb0")</f>
        <v>99acb01d-d63e-4c97-9084-01fe59f09bb0</v>
      </c>
      <c r="G13" s="58">
        <f>IFERROR(__xludf.DUMMYFUNCTION("""COMPUTED_VALUE"""),43774.0)</f>
        <v>43774</v>
      </c>
      <c r="H13" s="60">
        <f>IFERROR(__xludf.DUMMYFUNCTION("""COMPUTED_VALUE"""),0.5659722222222222)</f>
        <v>0.5659722222</v>
      </c>
      <c r="I13" s="58">
        <f>IFERROR(__xludf.DUMMYFUNCTION("""COMPUTED_VALUE"""),43774.0)</f>
        <v>43774</v>
      </c>
      <c r="J13" s="60">
        <f>IFERROR(__xludf.DUMMYFUNCTION("""COMPUTED_VALUE"""),0.5729166666666666)</f>
        <v>0.5729166667</v>
      </c>
      <c r="K13" s="60">
        <f t="shared" si="1"/>
        <v>0.006944444444</v>
      </c>
      <c r="L13" s="51" t="s">
        <v>124</v>
      </c>
      <c r="M13" s="62" t="s">
        <v>240</v>
      </c>
      <c r="N13" s="62" t="str">
        <f t="shared" si="2"/>
        <v>ST_5_11_99acb01d-d63e-4c97-9084-01fe59f09bb0_000000_000000.mp4</v>
      </c>
      <c r="O13" s="50"/>
      <c r="P13" s="50"/>
      <c r="Q13" s="63"/>
      <c r="R13" s="51"/>
      <c r="S13" s="51"/>
      <c r="T13" s="51"/>
    </row>
    <row r="14">
      <c r="A14" s="51" t="str">
        <f>IFERROR(__xludf.DUMMYFUNCTION("""COMPUTED_VALUE"""),"Ronaldinho: Reimagining the beautiful game ")</f>
        <v>Ronaldinho: Reimagining the beautiful game </v>
      </c>
      <c r="B14" s="51" t="str">
        <f>IFERROR(__xludf.DUMMYFUNCTION("""COMPUTED_VALUE"""),"SportsTrade")</f>
        <v>SportsTrade</v>
      </c>
      <c r="C14" s="56" t="str">
        <f>IFERROR(__xludf.DUMMYFUNCTION("""COMPUTED_VALUE""")," , Viktor Huszar and Pedro Pinto")</f>
        <v> , Viktor Huszar and Pedro Pinto</v>
      </c>
      <c r="D14" s="51" t="str">
        <f>IFERROR(__xludf.DUMMYFUNCTION("""COMPUTED_VALUE"""),"2019/11/05 13:45:00")</f>
        <v>2019/11/05 13:45:00</v>
      </c>
      <c r="E14" s="51" t="str">
        <f>IFERROR(__xludf.DUMMYFUNCTION("""COMPUTED_VALUE"""),"2019/11/05 14:05:00")</f>
        <v>2019/11/05 14:05:00</v>
      </c>
      <c r="F14" s="51" t="str">
        <f>IFERROR(__xludf.DUMMYFUNCTION("""COMPUTED_VALUE"""),"79dca639-2de9-4ac3-8b32-6b854f29d659")</f>
        <v>79dca639-2de9-4ac3-8b32-6b854f29d659</v>
      </c>
      <c r="G14" s="58">
        <f>IFERROR(__xludf.DUMMYFUNCTION("""COMPUTED_VALUE"""),43774.0)</f>
        <v>43774</v>
      </c>
      <c r="H14" s="60">
        <f>IFERROR(__xludf.DUMMYFUNCTION("""COMPUTED_VALUE"""),0.5729166666666666)</f>
        <v>0.5729166667</v>
      </c>
      <c r="I14" s="58">
        <f>IFERROR(__xludf.DUMMYFUNCTION("""COMPUTED_VALUE"""),43774.0)</f>
        <v>43774</v>
      </c>
      <c r="J14" s="60">
        <f>IFERROR(__xludf.DUMMYFUNCTION("""COMPUTED_VALUE"""),0.5868055555555556)</f>
        <v>0.5868055556</v>
      </c>
      <c r="K14" s="60">
        <f t="shared" si="1"/>
        <v>0.01388888889</v>
      </c>
      <c r="L14" s="51" t="s">
        <v>111</v>
      </c>
      <c r="M14" s="62" t="s">
        <v>242</v>
      </c>
      <c r="N14" s="62" t="str">
        <f t="shared" si="2"/>
        <v>ST_5_12_79dca639-2de9-4ac3-8b32-6b854f29d659_000000_000000.mp4</v>
      </c>
      <c r="O14" s="50"/>
      <c r="P14" s="50"/>
      <c r="Q14" s="63"/>
      <c r="R14" s="51"/>
      <c r="S14" s="51"/>
      <c r="T14" s="51"/>
    </row>
    <row r="15">
      <c r="A15" s="51" t="str">
        <f>IFERROR(__xludf.DUMMYFUNCTION("""COMPUTED_VALUE"""),"Leadership lessons from sport")</f>
        <v>Leadership lessons from sport</v>
      </c>
      <c r="B15" s="51" t="str">
        <f>IFERROR(__xludf.DUMMYFUNCTION("""COMPUTED_VALUE"""),"SportsTrade")</f>
        <v>SportsTrade</v>
      </c>
      <c r="C15" s="56" t="str">
        <f>IFERROR(__xludf.DUMMYFUNCTION("""COMPUTED_VALUE"""),"Alejandro Agag, Antonina Shevchenko, Liv Boeree, Valentina Shevchenko and Miguel Delaney")</f>
        <v>Alejandro Agag, Antonina Shevchenko, Liv Boeree, Valentina Shevchenko and Miguel Delaney</v>
      </c>
      <c r="D15" s="51" t="str">
        <f>IFERROR(__xludf.DUMMYFUNCTION("""COMPUTED_VALUE"""),"2019/11/05 14:05:00")</f>
        <v>2019/11/05 14:05:00</v>
      </c>
      <c r="E15" s="51" t="str">
        <f>IFERROR(__xludf.DUMMYFUNCTION("""COMPUTED_VALUE"""),"2019/11/05 14:25:00")</f>
        <v>2019/11/05 14:25:00</v>
      </c>
      <c r="F15" s="51" t="str">
        <f>IFERROR(__xludf.DUMMYFUNCTION("""COMPUTED_VALUE"""),"5cf5a864-bfdb-4980-be07-0ce909a15f4c")</f>
        <v>5cf5a864-bfdb-4980-be07-0ce909a15f4c</v>
      </c>
      <c r="G15" s="58">
        <f>IFERROR(__xludf.DUMMYFUNCTION("""COMPUTED_VALUE"""),43774.0)</f>
        <v>43774</v>
      </c>
      <c r="H15" s="60">
        <f>IFERROR(__xludf.DUMMYFUNCTION("""COMPUTED_VALUE"""),0.5868055555555556)</f>
        <v>0.5868055556</v>
      </c>
      <c r="I15" s="58">
        <f>IFERROR(__xludf.DUMMYFUNCTION("""COMPUTED_VALUE"""),43774.0)</f>
        <v>43774</v>
      </c>
      <c r="J15" s="60">
        <f>IFERROR(__xludf.DUMMYFUNCTION("""COMPUTED_VALUE"""),0.6006944444444444)</f>
        <v>0.6006944444</v>
      </c>
      <c r="K15" s="60">
        <f t="shared" si="1"/>
        <v>0.01388888889</v>
      </c>
      <c r="L15" s="51" t="s">
        <v>111</v>
      </c>
      <c r="M15" s="62" t="s">
        <v>244</v>
      </c>
      <c r="N15" s="62" t="str">
        <f t="shared" si="2"/>
        <v>ST_5_13_5cf5a864-bfdb-4980-be07-0ce909a15f4c_000000_000000.mp4</v>
      </c>
      <c r="O15" s="50"/>
      <c r="P15" s="50"/>
      <c r="Q15" s="63"/>
      <c r="R15" s="51"/>
      <c r="S15" s="51"/>
      <c r="T15" s="51"/>
    </row>
    <row r="16">
      <c r="A16" s="51" t="str">
        <f>IFERROR(__xludf.DUMMYFUNCTION("""COMPUTED_VALUE"""),"Inside La Liga: How technology is disrupting sport")</f>
        <v>Inside La Liga: How technology is disrupting sport</v>
      </c>
      <c r="B16" s="51" t="str">
        <f>IFERROR(__xludf.DUMMYFUNCTION("""COMPUTED_VALUE"""),"SportsTrade")</f>
        <v>SportsTrade</v>
      </c>
      <c r="C16" s="56" t="str">
        <f>IFERROR(__xludf.DUMMYFUNCTION("""COMPUTED_VALUE"""),"Javier Tebas and Guillem Balague")</f>
        <v>Javier Tebas and Guillem Balague</v>
      </c>
      <c r="D16" s="51" t="str">
        <f>IFERROR(__xludf.DUMMYFUNCTION("""COMPUTED_VALUE"""),"2019/11/05 14:25:00")</f>
        <v>2019/11/05 14:25:00</v>
      </c>
      <c r="E16" s="51" t="str">
        <f>IFERROR(__xludf.DUMMYFUNCTION("""COMPUTED_VALUE"""),"2019/11/05 14:45:00")</f>
        <v>2019/11/05 14:45:00</v>
      </c>
      <c r="F16" s="51" t="str">
        <f>IFERROR(__xludf.DUMMYFUNCTION("""COMPUTED_VALUE"""),"5fb8efdc-f17f-4c96-ba9e-0f62f7b95a7b")</f>
        <v>5fb8efdc-f17f-4c96-ba9e-0f62f7b95a7b</v>
      </c>
      <c r="G16" s="58">
        <f>IFERROR(__xludf.DUMMYFUNCTION("""COMPUTED_VALUE"""),43774.0)</f>
        <v>43774</v>
      </c>
      <c r="H16" s="60">
        <f>IFERROR(__xludf.DUMMYFUNCTION("""COMPUTED_VALUE"""),0.6006944444444444)</f>
        <v>0.6006944444</v>
      </c>
      <c r="I16" s="58">
        <f>IFERROR(__xludf.DUMMYFUNCTION("""COMPUTED_VALUE"""),43774.0)</f>
        <v>43774</v>
      </c>
      <c r="J16" s="60">
        <f>IFERROR(__xludf.DUMMYFUNCTION("""COMPUTED_VALUE"""),0.6145833333333334)</f>
        <v>0.6145833333</v>
      </c>
      <c r="K16" s="60">
        <f t="shared" si="1"/>
        <v>0.01388888889</v>
      </c>
      <c r="L16" s="51" t="s">
        <v>111</v>
      </c>
      <c r="M16" s="62" t="s">
        <v>245</v>
      </c>
      <c r="N16" s="62" t="str">
        <f t="shared" si="2"/>
        <v>ST_5_14_5fb8efdc-f17f-4c96-ba9e-0f62f7b95a7b_000000_000000.mp4</v>
      </c>
      <c r="O16" s="50"/>
      <c r="P16" s="50"/>
      <c r="Q16" s="63"/>
      <c r="R16" s="51"/>
      <c r="S16" s="51"/>
      <c r="T16" s="51"/>
    </row>
    <row r="17">
      <c r="A17" s="51" t="str">
        <f>IFERROR(__xludf.DUMMYFUNCTION("""COMPUTED_VALUE"""),"Adopting the Champion's mindset")</f>
        <v>Adopting the Champion's mindset</v>
      </c>
      <c r="B17" s="51" t="str">
        <f>IFERROR(__xludf.DUMMYFUNCTION("""COMPUTED_VALUE"""),"SportsTrade")</f>
        <v>SportsTrade</v>
      </c>
      <c r="C17" s="56" t="str">
        <f>IFERROR(__xludf.DUMMYFUNCTION("""COMPUTED_VALUE""")," , Paul Brighten, Gilberto Silva and Rosa Oliveira Pinto")</f>
        <v> , Paul Brighten, Gilberto Silva and Rosa Oliveira Pinto</v>
      </c>
      <c r="D17" s="51" t="str">
        <f>IFERROR(__xludf.DUMMYFUNCTION("""COMPUTED_VALUE"""),"2019/11/05 14:45:00")</f>
        <v>2019/11/05 14:45:00</v>
      </c>
      <c r="E17" s="51" t="str">
        <f>IFERROR(__xludf.DUMMYFUNCTION("""COMPUTED_VALUE"""),"2019/11/05 15:00:00")</f>
        <v>2019/11/05 15:00:00</v>
      </c>
      <c r="F17" s="51" t="str">
        <f>IFERROR(__xludf.DUMMYFUNCTION("""COMPUTED_VALUE"""),"bf9098ec-88f0-4e09-bd6b-e24df6dc696b")</f>
        <v>bf9098ec-88f0-4e09-bd6b-e24df6dc696b</v>
      </c>
      <c r="G17" s="58">
        <f>IFERROR(__xludf.DUMMYFUNCTION("""COMPUTED_VALUE"""),43774.0)</f>
        <v>43774</v>
      </c>
      <c r="H17" s="60">
        <f>IFERROR(__xludf.DUMMYFUNCTION("""COMPUTED_VALUE"""),0.6145833333333334)</f>
        <v>0.6145833333</v>
      </c>
      <c r="I17" s="58">
        <f>IFERROR(__xludf.DUMMYFUNCTION("""COMPUTED_VALUE"""),43774.0)</f>
        <v>43774</v>
      </c>
      <c r="J17" s="60">
        <f>IFERROR(__xludf.DUMMYFUNCTION("""COMPUTED_VALUE"""),0.625)</f>
        <v>0.625</v>
      </c>
      <c r="K17" s="60">
        <f t="shared" si="1"/>
        <v>0.01041666667</v>
      </c>
      <c r="L17" s="51" t="s">
        <v>116</v>
      </c>
      <c r="M17" s="62" t="s">
        <v>247</v>
      </c>
      <c r="N17" s="62" t="str">
        <f t="shared" si="2"/>
        <v>ST_5_15_bf9098ec-88f0-4e09-bd6b-e24df6dc696b_000000_000000.mp4</v>
      </c>
      <c r="O17" s="50"/>
      <c r="P17" s="50"/>
      <c r="Q17" s="63"/>
      <c r="R17" s="51"/>
      <c r="S17" s="51"/>
      <c r="T17" s="51"/>
    </row>
    <row r="18">
      <c r="A18" s="51" t="str">
        <f>IFERROR(__xludf.DUMMYFUNCTION("""COMPUTED_VALUE"""),"Eric Cantona: Tackling society's greatest challenge")</f>
        <v>Eric Cantona: Tackling society's greatest challenge</v>
      </c>
      <c r="B18" s="51" t="str">
        <f>IFERROR(__xludf.DUMMYFUNCTION("""COMPUTED_VALUE"""),"SportsTrade")</f>
        <v>SportsTrade</v>
      </c>
      <c r="C18" s="56" t="str">
        <f>IFERROR(__xludf.DUMMYFUNCTION("""COMPUTED_VALUE"""),"Eric Cantona, Jürgen Griesbeck and Sid Lowe")</f>
        <v>Eric Cantona, Jürgen Griesbeck and Sid Lowe</v>
      </c>
      <c r="D18" s="51" t="str">
        <f>IFERROR(__xludf.DUMMYFUNCTION("""COMPUTED_VALUE"""),"2019/11/05 15:15:00")</f>
        <v>2019/11/05 15:15:00</v>
      </c>
      <c r="E18" s="51" t="str">
        <f>IFERROR(__xludf.DUMMYFUNCTION("""COMPUTED_VALUE"""),"2019/11/05 15:35:00")</f>
        <v>2019/11/05 15:35:00</v>
      </c>
      <c r="F18" s="51" t="str">
        <f>IFERROR(__xludf.DUMMYFUNCTION("""COMPUTED_VALUE"""),"53f4c150-21c2-44d9-acb6-c72596fb4c8e")</f>
        <v>53f4c150-21c2-44d9-acb6-c72596fb4c8e</v>
      </c>
      <c r="G18" s="58">
        <f>IFERROR(__xludf.DUMMYFUNCTION("""COMPUTED_VALUE"""),43774.0)</f>
        <v>43774</v>
      </c>
      <c r="H18" s="60">
        <f>IFERROR(__xludf.DUMMYFUNCTION("""COMPUTED_VALUE"""),0.6354166666666666)</f>
        <v>0.6354166667</v>
      </c>
      <c r="I18" s="58">
        <f>IFERROR(__xludf.DUMMYFUNCTION("""COMPUTED_VALUE"""),43774.0)</f>
        <v>43774</v>
      </c>
      <c r="J18" s="60">
        <f>IFERROR(__xludf.DUMMYFUNCTION("""COMPUTED_VALUE"""),0.6493055555555556)</f>
        <v>0.6493055556</v>
      </c>
      <c r="K18" s="60">
        <f t="shared" si="1"/>
        <v>0.01388888889</v>
      </c>
      <c r="L18" s="51" t="s">
        <v>111</v>
      </c>
      <c r="M18" s="62" t="s">
        <v>249</v>
      </c>
      <c r="N18" s="62" t="str">
        <f t="shared" si="2"/>
        <v>ST_5_16_53f4c150-21c2-44d9-acb6-c72596fb4c8e_000000_000000.mp4</v>
      </c>
      <c r="O18" s="50"/>
      <c r="P18" s="50"/>
      <c r="Q18" s="63"/>
      <c r="R18" s="51"/>
      <c r="S18" s="51"/>
      <c r="T18" s="51"/>
    </row>
    <row r="19">
      <c r="A19" s="51" t="str">
        <f>IFERROR(__xludf.DUMMYFUNCTION("""COMPUTED_VALUE"""),"The athlete's guide to influence and brand building")</f>
        <v>The athlete's guide to influence and brand building</v>
      </c>
      <c r="B19" s="51" t="str">
        <f>IFERROR(__xludf.DUMMYFUNCTION("""COMPUTED_VALUE"""),"SportsTrade")</f>
        <v>SportsTrade</v>
      </c>
      <c r="C19" s="56" t="str">
        <f>IFERROR(__xludf.DUMMYFUNCTION("""COMPUTED_VALUE"""),"Louis Saha, Kate Hamer and Andy Mitten")</f>
        <v>Louis Saha, Kate Hamer and Andy Mitten</v>
      </c>
      <c r="D19" s="51" t="str">
        <f>IFERROR(__xludf.DUMMYFUNCTION("""COMPUTED_VALUE"""),"2019/11/05 15:35:00")</f>
        <v>2019/11/05 15:35:00</v>
      </c>
      <c r="E19" s="51" t="str">
        <f>IFERROR(__xludf.DUMMYFUNCTION("""COMPUTED_VALUE"""),"2019/11/05 15:55:00")</f>
        <v>2019/11/05 15:55:00</v>
      </c>
      <c r="F19" s="51" t="str">
        <f>IFERROR(__xludf.DUMMYFUNCTION("""COMPUTED_VALUE"""),"efde342b-590a-4149-af8f-e5cf476552d6")</f>
        <v>efde342b-590a-4149-af8f-e5cf476552d6</v>
      </c>
      <c r="G19" s="58">
        <f>IFERROR(__xludf.DUMMYFUNCTION("""COMPUTED_VALUE"""),43774.0)</f>
        <v>43774</v>
      </c>
      <c r="H19" s="60">
        <f>IFERROR(__xludf.DUMMYFUNCTION("""COMPUTED_VALUE"""),0.6493055555555556)</f>
        <v>0.6493055556</v>
      </c>
      <c r="I19" s="58">
        <f>IFERROR(__xludf.DUMMYFUNCTION("""COMPUTED_VALUE"""),43774.0)</f>
        <v>43774</v>
      </c>
      <c r="J19" s="60">
        <f>IFERROR(__xludf.DUMMYFUNCTION("""COMPUTED_VALUE"""),0.6631944444444444)</f>
        <v>0.6631944444</v>
      </c>
      <c r="K19" s="60">
        <f t="shared" si="1"/>
        <v>0.01388888889</v>
      </c>
      <c r="L19" s="51" t="s">
        <v>111</v>
      </c>
      <c r="M19" s="62" t="s">
        <v>251</v>
      </c>
      <c r="N19" s="62" t="str">
        <f t="shared" si="2"/>
        <v>ST_5_17_efde342b-590a-4149-af8f-e5cf476552d6_000000_000000.mp4</v>
      </c>
      <c r="O19" s="50"/>
      <c r="P19" s="50"/>
      <c r="Q19" s="63"/>
      <c r="R19" s="51"/>
      <c r="S19" s="51"/>
      <c r="T19" s="51"/>
    </row>
    <row r="20">
      <c r="A20" s="51" t="str">
        <f>IFERROR(__xludf.DUMMYFUNCTION("""COMPUTED_VALUE"""),"Changing the fight game")</f>
        <v>Changing the fight game</v>
      </c>
      <c r="B20" s="51" t="str">
        <f>IFERROR(__xludf.DUMMYFUNCTION("""COMPUTED_VALUE"""),"SportsTrade")</f>
        <v>SportsTrade</v>
      </c>
      <c r="C20" s="56" t="str">
        <f>IFERROR(__xludf.DUMMYFUNCTION("""COMPUTED_VALUE"""),"Paige VanZant, Cris Cyborg and James Dart")</f>
        <v>Paige VanZant, Cris Cyborg and James Dart</v>
      </c>
      <c r="D20" s="51" t="str">
        <f>IFERROR(__xludf.DUMMYFUNCTION("""COMPUTED_VALUE"""),"2019/11/05 15:55:00")</f>
        <v>2019/11/05 15:55:00</v>
      </c>
      <c r="E20" s="51" t="str">
        <f>IFERROR(__xludf.DUMMYFUNCTION("""COMPUTED_VALUE"""),"2019/11/05 16:15:00")</f>
        <v>2019/11/05 16:15:00</v>
      </c>
      <c r="F20" s="51" t="str">
        <f>IFERROR(__xludf.DUMMYFUNCTION("""COMPUTED_VALUE"""),"7bb6b4c4-de39-431e-81c1-013bb2e129e3")</f>
        <v>7bb6b4c4-de39-431e-81c1-013bb2e129e3</v>
      </c>
      <c r="G20" s="58">
        <f>IFERROR(__xludf.DUMMYFUNCTION("""COMPUTED_VALUE"""),43774.0)</f>
        <v>43774</v>
      </c>
      <c r="H20" s="60">
        <f>IFERROR(__xludf.DUMMYFUNCTION("""COMPUTED_VALUE"""),0.6631944444444444)</f>
        <v>0.6631944444</v>
      </c>
      <c r="I20" s="58">
        <f>IFERROR(__xludf.DUMMYFUNCTION("""COMPUTED_VALUE"""),43774.0)</f>
        <v>43774</v>
      </c>
      <c r="J20" s="60">
        <f>IFERROR(__xludf.DUMMYFUNCTION("""COMPUTED_VALUE"""),0.6770833333333334)</f>
        <v>0.6770833333</v>
      </c>
      <c r="K20" s="60">
        <f t="shared" si="1"/>
        <v>0.01388888889</v>
      </c>
      <c r="L20" s="51" t="s">
        <v>111</v>
      </c>
      <c r="M20" s="62" t="s">
        <v>253</v>
      </c>
      <c r="N20" s="62" t="str">
        <f t="shared" si="2"/>
        <v>ST_5_18_7bb6b4c4-de39-431e-81c1-013bb2e129e3_000000_000000.mp4</v>
      </c>
      <c r="O20" s="50"/>
      <c r="P20" s="50"/>
      <c r="Q20" s="63"/>
      <c r="R20" s="51"/>
      <c r="S20" s="51"/>
      <c r="T20" s="51"/>
    </row>
    <row r="21">
      <c r="A21" s="51" t="str">
        <f>IFERROR(__xludf.DUMMYFUNCTION("""COMPUTED_VALUE"""),"The Web Summit Innovation in Sport Award: Ronaldo, Real Valladolid")</f>
        <v>The Web Summit Innovation in Sport Award: Ronaldo, Real Valladolid</v>
      </c>
      <c r="B21" s="51" t="str">
        <f>IFERROR(__xludf.DUMMYFUNCTION("""COMPUTED_VALUE"""),"SportsTrade")</f>
        <v>SportsTrade</v>
      </c>
      <c r="C21" s="56" t="str">
        <f>IFERROR(__xludf.DUMMYFUNCTION("""COMPUTED_VALUE""")," , Pedro Siza Vieira and Ger Gilroy")</f>
        <v> , Pedro Siza Vieira and Ger Gilroy</v>
      </c>
      <c r="D21" s="51" t="str">
        <f>IFERROR(__xludf.DUMMYFUNCTION("""COMPUTED_VALUE"""),"2019/11/05 16:15:00")</f>
        <v>2019/11/05 16:15:00</v>
      </c>
      <c r="E21" s="51" t="str">
        <f>IFERROR(__xludf.DUMMYFUNCTION("""COMPUTED_VALUE"""),"2019/11/05 16:35:00")</f>
        <v>2019/11/05 16:35:00</v>
      </c>
      <c r="F21" s="51" t="str">
        <f>IFERROR(__xludf.DUMMYFUNCTION("""COMPUTED_VALUE"""),"745c7dab-8868-4964-bd0f-65bb9ca8bbad")</f>
        <v>745c7dab-8868-4964-bd0f-65bb9ca8bbad</v>
      </c>
      <c r="G21" s="58">
        <f>IFERROR(__xludf.DUMMYFUNCTION("""COMPUTED_VALUE"""),43774.0)</f>
        <v>43774</v>
      </c>
      <c r="H21" s="60">
        <f>IFERROR(__xludf.DUMMYFUNCTION("""COMPUTED_VALUE"""),0.6770833333333334)</f>
        <v>0.6770833333</v>
      </c>
      <c r="I21" s="58">
        <f>IFERROR(__xludf.DUMMYFUNCTION("""COMPUTED_VALUE"""),43774.0)</f>
        <v>43774</v>
      </c>
      <c r="J21" s="60">
        <f>IFERROR(__xludf.DUMMYFUNCTION("""COMPUTED_VALUE"""),0.6909722222222222)</f>
        <v>0.6909722222</v>
      </c>
      <c r="K21" s="60">
        <f t="shared" si="1"/>
        <v>0.01388888889</v>
      </c>
      <c r="L21" s="51" t="s">
        <v>111</v>
      </c>
      <c r="M21" s="62" t="s">
        <v>255</v>
      </c>
      <c r="N21" s="62" t="str">
        <f t="shared" si="2"/>
        <v>ST_5_19_745c7dab-8868-4964-bd0f-65bb9ca8bbad_000000_000000.mp4</v>
      </c>
      <c r="O21" s="50"/>
      <c r="P21" s="50"/>
      <c r="Q21" s="63"/>
      <c r="R21" s="51"/>
      <c r="S21" s="51"/>
      <c r="T21" s="51"/>
    </row>
    <row r="22">
      <c r="A22" s="51"/>
      <c r="B22" s="51"/>
      <c r="C22" s="56"/>
      <c r="D22" s="51"/>
      <c r="E22" s="51"/>
      <c r="F22" s="51"/>
      <c r="G22" s="51" t="str">
        <f>IFERROR(__xludf.DUMMYFUNCTION("""COMPUTED_VALUE"""),"#VALUE!")</f>
        <v>#VALUE!</v>
      </c>
      <c r="H22" s="51" t="str">
        <f>IFERROR(__xludf.DUMMYFUNCTION("""COMPUTED_VALUE"""),"")</f>
        <v/>
      </c>
      <c r="I22" s="51" t="str">
        <f>IFERROR(__xludf.DUMMYFUNCTION("""COMPUTED_VALUE"""),"#VALUE!")</f>
        <v>#VALUE!</v>
      </c>
      <c r="J22" s="51" t="str">
        <f>IFERROR(__xludf.DUMMYFUNCTION("""COMPUTED_VALUE"""),"")</f>
        <v/>
      </c>
      <c r="K22" s="51">
        <f t="shared" si="1"/>
        <v>0</v>
      </c>
      <c r="L22" s="51" t="s">
        <v>257</v>
      </c>
      <c r="M22" s="51"/>
      <c r="N22" s="51"/>
      <c r="O22" s="51"/>
      <c r="P22" s="51"/>
      <c r="Q22" s="51"/>
      <c r="R22" s="51"/>
      <c r="S22" s="51"/>
      <c r="T22" s="51"/>
    </row>
    <row r="23">
      <c r="A23" s="51"/>
      <c r="B23" s="51"/>
      <c r="C23" s="56"/>
      <c r="D23" s="51"/>
      <c r="E23" s="51"/>
      <c r="F23" s="51"/>
      <c r="G23" s="51" t="str">
        <f>IFERROR(__xludf.DUMMYFUNCTION("""COMPUTED_VALUE"""),"#VALUE!")</f>
        <v>#VALUE!</v>
      </c>
      <c r="H23" s="51" t="str">
        <f>IFERROR(__xludf.DUMMYFUNCTION("""COMPUTED_VALUE"""),"")</f>
        <v/>
      </c>
      <c r="I23" s="51" t="str">
        <f>IFERROR(__xludf.DUMMYFUNCTION("""COMPUTED_VALUE"""),"#VALUE!")</f>
        <v>#VALUE!</v>
      </c>
      <c r="J23" s="51" t="str">
        <f>IFERROR(__xludf.DUMMYFUNCTION("""COMPUTED_VALUE"""),"")</f>
        <v/>
      </c>
      <c r="K23" s="51">
        <f t="shared" si="1"/>
        <v>0</v>
      </c>
      <c r="L23" s="51" t="s">
        <v>257</v>
      </c>
      <c r="M23" s="51"/>
      <c r="N23" s="51"/>
      <c r="O23" s="51"/>
      <c r="P23" s="51"/>
      <c r="Q23" s="51"/>
      <c r="R23" s="51"/>
      <c r="S23" s="51"/>
      <c r="T23" s="51"/>
    </row>
    <row r="24">
      <c r="A24" s="51"/>
      <c r="B24" s="51"/>
      <c r="C24" s="56"/>
      <c r="D24" s="51"/>
      <c r="E24" s="51"/>
      <c r="F24" s="51"/>
      <c r="G24" s="51" t="str">
        <f>IFERROR(__xludf.DUMMYFUNCTION("""COMPUTED_VALUE"""),"#VALUE!")</f>
        <v>#VALUE!</v>
      </c>
      <c r="H24" s="51" t="str">
        <f>IFERROR(__xludf.DUMMYFUNCTION("""COMPUTED_VALUE"""),"")</f>
        <v/>
      </c>
      <c r="I24" s="51" t="str">
        <f>IFERROR(__xludf.DUMMYFUNCTION("""COMPUTED_VALUE"""),"#VALUE!")</f>
        <v>#VALUE!</v>
      </c>
      <c r="J24" s="51" t="str">
        <f>IFERROR(__xludf.DUMMYFUNCTION("""COMPUTED_VALUE"""),"")</f>
        <v/>
      </c>
      <c r="K24" s="51">
        <f t="shared" si="1"/>
        <v>0</v>
      </c>
      <c r="L24" s="51" t="s">
        <v>257</v>
      </c>
      <c r="M24" s="51"/>
      <c r="N24" s="51"/>
      <c r="O24" s="51"/>
      <c r="P24" s="51"/>
      <c r="Q24" s="51"/>
      <c r="R24" s="51"/>
      <c r="S24" s="51"/>
      <c r="T24" s="51"/>
    </row>
    <row r="25">
      <c r="A25" s="51"/>
      <c r="B25" s="51"/>
      <c r="C25" s="56"/>
      <c r="D25" s="51"/>
      <c r="E25" s="51"/>
      <c r="F25" s="51"/>
      <c r="G25" s="51" t="str">
        <f>IFERROR(__xludf.DUMMYFUNCTION("""COMPUTED_VALUE"""),"#VALUE!")</f>
        <v>#VALUE!</v>
      </c>
      <c r="H25" s="51" t="str">
        <f>IFERROR(__xludf.DUMMYFUNCTION("""COMPUTED_VALUE"""),"")</f>
        <v/>
      </c>
      <c r="I25" s="51" t="str">
        <f>IFERROR(__xludf.DUMMYFUNCTION("""COMPUTED_VALUE"""),"#VALUE!")</f>
        <v>#VALUE!</v>
      </c>
      <c r="J25" s="51" t="str">
        <f>IFERROR(__xludf.DUMMYFUNCTION("""COMPUTED_VALUE"""),"")</f>
        <v/>
      </c>
      <c r="K25" s="51">
        <f t="shared" si="1"/>
        <v>0</v>
      </c>
      <c r="L25" s="51" t="s">
        <v>257</v>
      </c>
      <c r="M25" s="51"/>
      <c r="N25" s="51"/>
      <c r="O25" s="51"/>
      <c r="P25" s="51"/>
      <c r="Q25" s="51"/>
      <c r="R25" s="51"/>
      <c r="S25" s="51"/>
      <c r="T25" s="51"/>
    </row>
    <row r="26">
      <c r="A26" s="51"/>
      <c r="B26" s="51"/>
      <c r="C26" s="56"/>
      <c r="D26" s="51"/>
      <c r="E26" s="51"/>
      <c r="F26" s="51"/>
      <c r="G26" s="51" t="str">
        <f>IFERROR(__xludf.DUMMYFUNCTION("""COMPUTED_VALUE"""),"#VALUE!")</f>
        <v>#VALUE!</v>
      </c>
      <c r="H26" s="51" t="str">
        <f>IFERROR(__xludf.DUMMYFUNCTION("""COMPUTED_VALUE"""),"")</f>
        <v/>
      </c>
      <c r="I26" s="51" t="str">
        <f>IFERROR(__xludf.DUMMYFUNCTION("""COMPUTED_VALUE"""),"#VALUE!")</f>
        <v>#VALUE!</v>
      </c>
      <c r="J26" s="51" t="str">
        <f>IFERROR(__xludf.DUMMYFUNCTION("""COMPUTED_VALUE"""),"")</f>
        <v/>
      </c>
      <c r="K26" s="51">
        <f t="shared" si="1"/>
        <v>0</v>
      </c>
      <c r="L26" s="51" t="s">
        <v>257</v>
      </c>
      <c r="M26" s="51"/>
      <c r="N26" s="51"/>
      <c r="O26" s="51"/>
      <c r="P26" s="51"/>
      <c r="Q26" s="51"/>
      <c r="R26" s="51"/>
      <c r="S26" s="51"/>
      <c r="T26" s="51"/>
    </row>
    <row r="27">
      <c r="A27" s="51"/>
      <c r="B27" s="51"/>
      <c r="C27" s="56"/>
      <c r="D27" s="51"/>
      <c r="E27" s="51"/>
      <c r="F27" s="51"/>
      <c r="G27" s="51" t="str">
        <f>IFERROR(__xludf.DUMMYFUNCTION("""COMPUTED_VALUE"""),"#VALUE!")</f>
        <v>#VALUE!</v>
      </c>
      <c r="H27" s="51" t="str">
        <f>IFERROR(__xludf.DUMMYFUNCTION("""COMPUTED_VALUE"""),"")</f>
        <v/>
      </c>
      <c r="I27" s="51" t="str">
        <f>IFERROR(__xludf.DUMMYFUNCTION("""COMPUTED_VALUE"""),"#VALUE!")</f>
        <v>#VALUE!</v>
      </c>
      <c r="J27" s="51" t="str">
        <f>IFERROR(__xludf.DUMMYFUNCTION("""COMPUTED_VALUE"""),"")</f>
        <v/>
      </c>
      <c r="K27" s="51">
        <f t="shared" si="1"/>
        <v>0</v>
      </c>
      <c r="L27" s="51" t="s">
        <v>257</v>
      </c>
      <c r="M27" s="51"/>
      <c r="N27" s="51"/>
      <c r="O27" s="51"/>
      <c r="P27" s="51"/>
      <c r="Q27" s="51"/>
      <c r="R27" s="51"/>
      <c r="S27" s="51"/>
      <c r="T27" s="51"/>
    </row>
    <row r="28">
      <c r="A28" s="51"/>
      <c r="B28" s="51"/>
      <c r="C28" s="56"/>
      <c r="D28" s="51"/>
      <c r="E28" s="51"/>
      <c r="F28" s="51"/>
      <c r="G28" s="51" t="str">
        <f>IFERROR(__xludf.DUMMYFUNCTION("""COMPUTED_VALUE"""),"#VALUE!")</f>
        <v>#VALUE!</v>
      </c>
      <c r="H28" s="51" t="str">
        <f>IFERROR(__xludf.DUMMYFUNCTION("""COMPUTED_VALUE"""),"")</f>
        <v/>
      </c>
      <c r="I28" s="51" t="str">
        <f>IFERROR(__xludf.DUMMYFUNCTION("""COMPUTED_VALUE"""),"#VALUE!")</f>
        <v>#VALUE!</v>
      </c>
      <c r="J28" s="51" t="str">
        <f>IFERROR(__xludf.DUMMYFUNCTION("""COMPUTED_VALUE"""),"")</f>
        <v/>
      </c>
      <c r="K28" s="51">
        <f t="shared" si="1"/>
        <v>0</v>
      </c>
      <c r="L28" s="51" t="s">
        <v>257</v>
      </c>
      <c r="M28" s="51"/>
      <c r="N28" s="51"/>
      <c r="O28" s="51"/>
      <c r="P28" s="51"/>
      <c r="Q28" s="51"/>
      <c r="R28" s="51"/>
      <c r="S28" s="51"/>
      <c r="T28" s="51"/>
    </row>
    <row r="29">
      <c r="A29" s="51"/>
      <c r="B29" s="51"/>
      <c r="C29" s="56"/>
      <c r="D29" s="51"/>
      <c r="E29" s="51"/>
      <c r="F29" s="51"/>
      <c r="G29" s="51" t="str">
        <f>IFERROR(__xludf.DUMMYFUNCTION("""COMPUTED_VALUE"""),"#VALUE!")</f>
        <v>#VALUE!</v>
      </c>
      <c r="H29" s="51" t="str">
        <f>IFERROR(__xludf.DUMMYFUNCTION("""COMPUTED_VALUE"""),"")</f>
        <v/>
      </c>
      <c r="I29" s="51" t="str">
        <f>IFERROR(__xludf.DUMMYFUNCTION("""COMPUTED_VALUE"""),"#VALUE!")</f>
        <v>#VALUE!</v>
      </c>
      <c r="J29" s="51" t="str">
        <f>IFERROR(__xludf.DUMMYFUNCTION("""COMPUTED_VALUE"""),"")</f>
        <v/>
      </c>
      <c r="K29" s="51">
        <f t="shared" si="1"/>
        <v>0</v>
      </c>
      <c r="L29" s="51" t="s">
        <v>257</v>
      </c>
      <c r="M29" s="51"/>
      <c r="N29" s="51"/>
      <c r="O29" s="51"/>
      <c r="P29" s="51"/>
      <c r="Q29" s="51"/>
      <c r="R29" s="51"/>
      <c r="S29" s="51"/>
      <c r="T29" s="51"/>
    </row>
    <row r="30">
      <c r="A30" s="51"/>
      <c r="B30" s="51"/>
      <c r="C30" s="56"/>
      <c r="D30" s="51"/>
      <c r="E30" s="51"/>
      <c r="F30" s="51"/>
      <c r="G30" s="51" t="str">
        <f>IFERROR(__xludf.DUMMYFUNCTION("""COMPUTED_VALUE"""),"#VALUE!")</f>
        <v>#VALUE!</v>
      </c>
      <c r="H30" s="51" t="str">
        <f>IFERROR(__xludf.DUMMYFUNCTION("""COMPUTED_VALUE"""),"")</f>
        <v/>
      </c>
      <c r="I30" s="51" t="str">
        <f>IFERROR(__xludf.DUMMYFUNCTION("""COMPUTED_VALUE"""),"#VALUE!")</f>
        <v>#VALUE!</v>
      </c>
      <c r="J30" s="51" t="str">
        <f>IFERROR(__xludf.DUMMYFUNCTION("""COMPUTED_VALUE"""),"")</f>
        <v/>
      </c>
      <c r="K30" s="51">
        <f t="shared" si="1"/>
        <v>0</v>
      </c>
      <c r="L30" s="51" t="s">
        <v>257</v>
      </c>
      <c r="M30" s="51"/>
      <c r="N30" s="51"/>
      <c r="O30" s="51"/>
      <c r="P30" s="51"/>
      <c r="Q30" s="51"/>
      <c r="R30" s="51"/>
      <c r="S30" s="51"/>
      <c r="T30" s="51"/>
    </row>
    <row r="31">
      <c r="A31" s="51"/>
      <c r="B31" s="51"/>
      <c r="C31" s="56"/>
      <c r="D31" s="51"/>
      <c r="E31" s="51"/>
      <c r="F31" s="51"/>
      <c r="G31" s="51" t="str">
        <f>IFERROR(__xludf.DUMMYFUNCTION("""COMPUTED_VALUE"""),"#VALUE!")</f>
        <v>#VALUE!</v>
      </c>
      <c r="H31" s="51" t="str">
        <f>IFERROR(__xludf.DUMMYFUNCTION("""COMPUTED_VALUE"""),"")</f>
        <v/>
      </c>
      <c r="I31" s="51" t="str">
        <f>IFERROR(__xludf.DUMMYFUNCTION("""COMPUTED_VALUE"""),"#VALUE!")</f>
        <v>#VALUE!</v>
      </c>
      <c r="J31" s="51" t="str">
        <f>IFERROR(__xludf.DUMMYFUNCTION("""COMPUTED_VALUE"""),"")</f>
        <v/>
      </c>
      <c r="K31" s="51">
        <f t="shared" si="1"/>
        <v>0</v>
      </c>
      <c r="L31" s="51" t="s">
        <v>257</v>
      </c>
      <c r="M31" s="51"/>
      <c r="N31" s="51"/>
      <c r="O31" s="51"/>
      <c r="P31" s="51"/>
      <c r="Q31" s="51"/>
      <c r="R31" s="51"/>
      <c r="S31" s="51"/>
      <c r="T31" s="51"/>
    </row>
    <row r="32">
      <c r="A32" s="51"/>
      <c r="B32" s="51"/>
      <c r="C32" s="56"/>
      <c r="D32" s="51"/>
      <c r="E32" s="51"/>
      <c r="F32" s="51"/>
      <c r="G32" s="51" t="str">
        <f>IFERROR(__xludf.DUMMYFUNCTION("""COMPUTED_VALUE"""),"#VALUE!")</f>
        <v>#VALUE!</v>
      </c>
      <c r="H32" s="51" t="str">
        <f>IFERROR(__xludf.DUMMYFUNCTION("""COMPUTED_VALUE"""),"")</f>
        <v/>
      </c>
      <c r="I32" s="51" t="str">
        <f>IFERROR(__xludf.DUMMYFUNCTION("""COMPUTED_VALUE"""),"#VALUE!")</f>
        <v>#VALUE!</v>
      </c>
      <c r="J32" s="51" t="str">
        <f>IFERROR(__xludf.DUMMYFUNCTION("""COMPUTED_VALUE"""),"")</f>
        <v/>
      </c>
      <c r="K32" s="51"/>
      <c r="L32" s="51" t="s">
        <v>257</v>
      </c>
      <c r="M32" s="51"/>
      <c r="N32" s="51"/>
      <c r="O32" s="51"/>
      <c r="P32" s="51"/>
      <c r="Q32" s="51"/>
      <c r="R32" s="51"/>
      <c r="S32" s="51"/>
      <c r="T32" s="51"/>
    </row>
    <row r="33">
      <c r="A33" s="51"/>
      <c r="B33" s="51"/>
      <c r="C33" s="56"/>
      <c r="D33" s="51"/>
      <c r="E33" s="51"/>
      <c r="F33" s="51"/>
      <c r="G33" s="51" t="str">
        <f>IFERROR(__xludf.DUMMYFUNCTION("""COMPUTED_VALUE"""),"#VALUE!")</f>
        <v>#VALUE!</v>
      </c>
      <c r="H33" s="51" t="str">
        <f>IFERROR(__xludf.DUMMYFUNCTION("""COMPUTED_VALUE"""),"")</f>
        <v/>
      </c>
      <c r="I33" s="51" t="str">
        <f>IFERROR(__xludf.DUMMYFUNCTION("""COMPUTED_VALUE"""),"#VALUE!")</f>
        <v>#VALUE!</v>
      </c>
      <c r="J33" s="51" t="str">
        <f>IFERROR(__xludf.DUMMYFUNCTION("""COMPUTED_VALUE"""),"")</f>
        <v/>
      </c>
      <c r="K33" s="51"/>
      <c r="L33" s="51" t="s">
        <v>257</v>
      </c>
      <c r="M33" s="51"/>
      <c r="N33" s="51"/>
      <c r="O33" s="51"/>
      <c r="P33" s="51"/>
      <c r="Q33" s="51"/>
      <c r="R33" s="51"/>
      <c r="S33" s="51"/>
      <c r="T33" s="51"/>
    </row>
    <row r="34">
      <c r="A34" s="51"/>
      <c r="B34" s="51"/>
      <c r="C34" s="56"/>
      <c r="D34" s="51"/>
      <c r="E34" s="51"/>
      <c r="F34" s="51"/>
      <c r="G34" s="51" t="str">
        <f>IFERROR(__xludf.DUMMYFUNCTION("""COMPUTED_VALUE"""),"#VALUE!")</f>
        <v>#VALUE!</v>
      </c>
      <c r="H34" s="51" t="str">
        <f>IFERROR(__xludf.DUMMYFUNCTION("""COMPUTED_VALUE"""),"")</f>
        <v/>
      </c>
      <c r="I34" s="51" t="str">
        <f>IFERROR(__xludf.DUMMYFUNCTION("""COMPUTED_VALUE"""),"#VALUE!")</f>
        <v>#VALUE!</v>
      </c>
      <c r="J34" s="51" t="str">
        <f>IFERROR(__xludf.DUMMYFUNCTION("""COMPUTED_VALUE"""),"")</f>
        <v/>
      </c>
      <c r="K34" s="51"/>
      <c r="L34" s="51" t="s">
        <v>257</v>
      </c>
      <c r="M34" s="51"/>
      <c r="N34" s="51"/>
      <c r="O34" s="51"/>
      <c r="P34" s="51"/>
      <c r="Q34" s="51"/>
      <c r="R34" s="51"/>
      <c r="S34" s="51"/>
      <c r="T34" s="51"/>
    </row>
    <row r="35">
      <c r="A35" s="51"/>
      <c r="B35" s="51"/>
      <c r="C35" s="56"/>
      <c r="D35" s="51"/>
      <c r="E35" s="51"/>
      <c r="F35" s="51"/>
      <c r="G35" s="51" t="str">
        <f>IFERROR(__xludf.DUMMYFUNCTION("""COMPUTED_VALUE"""),"#VALUE!")</f>
        <v>#VALUE!</v>
      </c>
      <c r="H35" s="51" t="str">
        <f>IFERROR(__xludf.DUMMYFUNCTION("""COMPUTED_VALUE"""),"")</f>
        <v/>
      </c>
      <c r="I35" s="51" t="str">
        <f>IFERROR(__xludf.DUMMYFUNCTION("""COMPUTED_VALUE"""),"#VALUE!")</f>
        <v>#VALUE!</v>
      </c>
      <c r="J35" s="51" t="str">
        <f>IFERROR(__xludf.DUMMYFUNCTION("""COMPUTED_VALUE"""),"")</f>
        <v/>
      </c>
      <c r="K35" s="51"/>
      <c r="L35" s="51" t="s">
        <v>257</v>
      </c>
      <c r="M35" s="51"/>
      <c r="N35" s="51"/>
      <c r="O35" s="51"/>
      <c r="P35" s="51"/>
      <c r="Q35" s="51"/>
      <c r="R35" s="51"/>
      <c r="S35" s="51"/>
      <c r="T35" s="51"/>
    </row>
    <row r="36">
      <c r="A36" s="51"/>
      <c r="B36" s="51"/>
      <c r="C36" s="56"/>
      <c r="D36" s="51"/>
      <c r="E36" s="51"/>
      <c r="F36" s="51"/>
      <c r="G36" s="51" t="str">
        <f>IFERROR(__xludf.DUMMYFUNCTION("""COMPUTED_VALUE"""),"#VALUE!")</f>
        <v>#VALUE!</v>
      </c>
      <c r="H36" s="51" t="str">
        <f>IFERROR(__xludf.DUMMYFUNCTION("""COMPUTED_VALUE"""),"")</f>
        <v/>
      </c>
      <c r="I36" s="51" t="str">
        <f>IFERROR(__xludf.DUMMYFUNCTION("""COMPUTED_VALUE"""),"#VALUE!")</f>
        <v>#VALUE!</v>
      </c>
      <c r="J36" s="51" t="str">
        <f>IFERROR(__xludf.DUMMYFUNCTION("""COMPUTED_VALUE"""),"")</f>
        <v/>
      </c>
      <c r="K36" s="51"/>
      <c r="L36" s="51" t="s">
        <v>257</v>
      </c>
      <c r="M36" s="51"/>
      <c r="N36" s="51"/>
      <c r="O36" s="51"/>
      <c r="P36" s="51"/>
      <c r="Q36" s="51"/>
      <c r="R36" s="51"/>
      <c r="S36" s="51"/>
      <c r="T36" s="51"/>
    </row>
    <row r="37">
      <c r="A37" s="51"/>
      <c r="B37" s="51"/>
      <c r="C37" s="56"/>
      <c r="D37" s="51"/>
      <c r="E37" s="51"/>
      <c r="F37" s="51"/>
      <c r="G37" s="51" t="str">
        <f>IFERROR(__xludf.DUMMYFUNCTION("""COMPUTED_VALUE"""),"#VALUE!")</f>
        <v>#VALUE!</v>
      </c>
      <c r="H37" s="51" t="str">
        <f>IFERROR(__xludf.DUMMYFUNCTION("""COMPUTED_VALUE"""),"")</f>
        <v/>
      </c>
      <c r="I37" s="51" t="str">
        <f>IFERROR(__xludf.DUMMYFUNCTION("""COMPUTED_VALUE"""),"#VALUE!")</f>
        <v>#VALUE!</v>
      </c>
      <c r="J37" s="51" t="str">
        <f>IFERROR(__xludf.DUMMYFUNCTION("""COMPUTED_VALUE"""),"")</f>
        <v/>
      </c>
      <c r="K37" s="51"/>
      <c r="L37" s="51" t="s">
        <v>257</v>
      </c>
      <c r="M37" s="51"/>
      <c r="N37" s="51"/>
      <c r="O37" s="51"/>
      <c r="P37" s="51"/>
      <c r="Q37" s="51"/>
      <c r="R37" s="51"/>
      <c r="S37" s="51"/>
      <c r="T37" s="51"/>
    </row>
    <row r="38">
      <c r="A38" s="51"/>
      <c r="B38" s="51"/>
      <c r="C38" s="56"/>
      <c r="D38" s="51"/>
      <c r="E38" s="51"/>
      <c r="F38" s="51"/>
      <c r="G38" s="51" t="str">
        <f>IFERROR(__xludf.DUMMYFUNCTION("""COMPUTED_VALUE"""),"#VALUE!")</f>
        <v>#VALUE!</v>
      </c>
      <c r="H38" s="51" t="str">
        <f>IFERROR(__xludf.DUMMYFUNCTION("""COMPUTED_VALUE"""),"")</f>
        <v/>
      </c>
      <c r="I38" s="51" t="str">
        <f>IFERROR(__xludf.DUMMYFUNCTION("""COMPUTED_VALUE"""),"#VALUE!")</f>
        <v>#VALUE!</v>
      </c>
      <c r="J38" s="51" t="str">
        <f>IFERROR(__xludf.DUMMYFUNCTION("""COMPUTED_VALUE"""),"")</f>
        <v/>
      </c>
      <c r="K38" s="51"/>
      <c r="L38" s="51" t="s">
        <v>257</v>
      </c>
      <c r="M38" s="51"/>
      <c r="N38" s="51"/>
      <c r="O38" s="51"/>
      <c r="P38" s="51"/>
      <c r="Q38" s="51"/>
      <c r="R38" s="51"/>
      <c r="S38" s="51"/>
      <c r="T38" s="51"/>
    </row>
    <row r="39">
      <c r="A39" s="51"/>
      <c r="B39" s="51"/>
      <c r="C39" s="56"/>
      <c r="D39" s="51"/>
      <c r="E39" s="51"/>
      <c r="F39" s="51"/>
      <c r="G39" s="51" t="str">
        <f>IFERROR(__xludf.DUMMYFUNCTION("""COMPUTED_VALUE"""),"#VALUE!")</f>
        <v>#VALUE!</v>
      </c>
      <c r="H39" s="51" t="str">
        <f>IFERROR(__xludf.DUMMYFUNCTION("""COMPUTED_VALUE"""),"")</f>
        <v/>
      </c>
      <c r="I39" s="51" t="str">
        <f>IFERROR(__xludf.DUMMYFUNCTION("""COMPUTED_VALUE"""),"#VALUE!")</f>
        <v>#VALUE!</v>
      </c>
      <c r="J39" s="51" t="str">
        <f>IFERROR(__xludf.DUMMYFUNCTION("""COMPUTED_VALUE"""),"")</f>
        <v/>
      </c>
      <c r="K39" s="51"/>
      <c r="L39" s="51" t="s">
        <v>257</v>
      </c>
      <c r="M39" s="51"/>
      <c r="N39" s="51"/>
      <c r="O39" s="51"/>
      <c r="P39" s="51"/>
      <c r="Q39" s="51"/>
      <c r="R39" s="51"/>
      <c r="S39" s="51"/>
      <c r="T39" s="51"/>
    </row>
    <row r="40">
      <c r="A40" s="51"/>
      <c r="B40" s="51"/>
      <c r="C40" s="56"/>
      <c r="D40" s="51"/>
      <c r="E40" s="51"/>
      <c r="F40" s="51"/>
      <c r="G40" s="51" t="str">
        <f>IFERROR(__xludf.DUMMYFUNCTION("""COMPUTED_VALUE"""),"#VALUE!")</f>
        <v>#VALUE!</v>
      </c>
      <c r="H40" s="51" t="str">
        <f>IFERROR(__xludf.DUMMYFUNCTION("""COMPUTED_VALUE"""),"")</f>
        <v/>
      </c>
      <c r="I40" s="51" t="str">
        <f>IFERROR(__xludf.DUMMYFUNCTION("""COMPUTED_VALUE"""),"#VALUE!")</f>
        <v>#VALUE!</v>
      </c>
      <c r="J40" s="51" t="str">
        <f>IFERROR(__xludf.DUMMYFUNCTION("""COMPUTED_VALUE"""),"")</f>
        <v/>
      </c>
      <c r="K40" s="51"/>
      <c r="L40" s="51" t="s">
        <v>257</v>
      </c>
      <c r="M40" s="51"/>
      <c r="N40" s="51"/>
      <c r="O40" s="51"/>
      <c r="P40" s="51"/>
      <c r="Q40" s="51"/>
      <c r="R40" s="51"/>
      <c r="S40" s="51"/>
      <c r="T40" s="51"/>
    </row>
    <row r="41">
      <c r="A41" s="51"/>
      <c r="B41" s="51"/>
      <c r="C41" s="56"/>
      <c r="D41" s="51"/>
      <c r="E41" s="51"/>
      <c r="F41" s="51"/>
      <c r="G41" s="51" t="str">
        <f>IFERROR(__xludf.DUMMYFUNCTION("""COMPUTED_VALUE"""),"#VALUE!")</f>
        <v>#VALUE!</v>
      </c>
      <c r="H41" s="51" t="str">
        <f>IFERROR(__xludf.DUMMYFUNCTION("""COMPUTED_VALUE"""),"")</f>
        <v/>
      </c>
      <c r="I41" s="51" t="str">
        <f>IFERROR(__xludf.DUMMYFUNCTION("""COMPUTED_VALUE"""),"#VALUE!")</f>
        <v>#VALUE!</v>
      </c>
      <c r="J41" s="51" t="str">
        <f>IFERROR(__xludf.DUMMYFUNCTION("""COMPUTED_VALUE"""),"")</f>
        <v/>
      </c>
      <c r="K41" s="51"/>
      <c r="L41" s="51" t="s">
        <v>257</v>
      </c>
      <c r="M41" s="51"/>
      <c r="N41" s="51"/>
      <c r="O41" s="51"/>
      <c r="P41" s="51"/>
      <c r="Q41" s="51"/>
      <c r="R41" s="51"/>
      <c r="S41" s="51"/>
      <c r="T41" s="51"/>
    </row>
    <row r="42">
      <c r="A42" s="51"/>
      <c r="B42" s="51"/>
      <c r="C42" s="56"/>
      <c r="D42" s="51"/>
      <c r="E42" s="51"/>
      <c r="F42" s="51"/>
      <c r="G42" s="51" t="str">
        <f>IFERROR(__xludf.DUMMYFUNCTION("""COMPUTED_VALUE"""),"#VALUE!")</f>
        <v>#VALUE!</v>
      </c>
      <c r="H42" s="51" t="str">
        <f>IFERROR(__xludf.DUMMYFUNCTION("""COMPUTED_VALUE"""),"")</f>
        <v/>
      </c>
      <c r="I42" s="51" t="str">
        <f>IFERROR(__xludf.DUMMYFUNCTION("""COMPUTED_VALUE"""),"#VALUE!")</f>
        <v>#VALUE!</v>
      </c>
      <c r="J42" s="51" t="str">
        <f>IFERROR(__xludf.DUMMYFUNCTION("""COMPUTED_VALUE"""),"")</f>
        <v/>
      </c>
      <c r="K42" s="51"/>
      <c r="L42" s="51" t="s">
        <v>257</v>
      </c>
      <c r="M42" s="51"/>
      <c r="N42" s="51"/>
      <c r="O42" s="51"/>
      <c r="P42" s="51"/>
      <c r="Q42" s="51"/>
      <c r="R42" s="51"/>
      <c r="S42" s="51"/>
      <c r="T42" s="51"/>
    </row>
    <row r="43">
      <c r="A43" s="51"/>
      <c r="B43" s="51"/>
      <c r="C43" s="56"/>
      <c r="D43" s="51"/>
      <c r="E43" s="51"/>
      <c r="F43" s="51"/>
      <c r="G43" s="51" t="str">
        <f>IFERROR(__xludf.DUMMYFUNCTION("""COMPUTED_VALUE"""),"#VALUE!")</f>
        <v>#VALUE!</v>
      </c>
      <c r="H43" s="51" t="str">
        <f>IFERROR(__xludf.DUMMYFUNCTION("""COMPUTED_VALUE"""),"")</f>
        <v/>
      </c>
      <c r="I43" s="51" t="str">
        <f>IFERROR(__xludf.DUMMYFUNCTION("""COMPUTED_VALUE"""),"#VALUE!")</f>
        <v>#VALUE!</v>
      </c>
      <c r="J43" s="51" t="str">
        <f>IFERROR(__xludf.DUMMYFUNCTION("""COMPUTED_VALUE"""),"")</f>
        <v/>
      </c>
      <c r="K43" s="51"/>
      <c r="L43" s="51" t="s">
        <v>257</v>
      </c>
      <c r="M43" s="51"/>
      <c r="N43" s="51"/>
      <c r="O43" s="51"/>
      <c r="P43" s="51"/>
      <c r="Q43" s="51"/>
      <c r="R43" s="51"/>
      <c r="S43" s="51"/>
      <c r="T43" s="51"/>
    </row>
    <row r="44">
      <c r="A44" s="51"/>
      <c r="B44" s="51"/>
      <c r="C44" s="56"/>
      <c r="D44" s="51"/>
      <c r="E44" s="51"/>
      <c r="F44" s="51"/>
      <c r="G44" s="51" t="str">
        <f>IFERROR(__xludf.DUMMYFUNCTION("""COMPUTED_VALUE"""),"#VALUE!")</f>
        <v>#VALUE!</v>
      </c>
      <c r="H44" s="51" t="str">
        <f>IFERROR(__xludf.DUMMYFUNCTION("""COMPUTED_VALUE"""),"")</f>
        <v/>
      </c>
      <c r="I44" s="51" t="str">
        <f>IFERROR(__xludf.DUMMYFUNCTION("""COMPUTED_VALUE"""),"#VALUE!")</f>
        <v>#VALUE!</v>
      </c>
      <c r="J44" s="51" t="str">
        <f>IFERROR(__xludf.DUMMYFUNCTION("""COMPUTED_VALUE"""),"")</f>
        <v/>
      </c>
      <c r="K44" s="51"/>
      <c r="L44" s="51" t="s">
        <v>257</v>
      </c>
      <c r="M44" s="51"/>
      <c r="N44" s="51"/>
      <c r="O44" s="51"/>
      <c r="P44" s="51"/>
      <c r="Q44" s="51"/>
      <c r="R44" s="51"/>
      <c r="S44" s="51"/>
      <c r="T44" s="51"/>
    </row>
    <row r="45">
      <c r="A45" s="51"/>
      <c r="B45" s="51"/>
      <c r="C45" s="56"/>
      <c r="D45" s="51"/>
      <c r="E45" s="51"/>
      <c r="F45" s="51"/>
      <c r="G45" s="51" t="str">
        <f>IFERROR(__xludf.DUMMYFUNCTION("""COMPUTED_VALUE"""),"#VALUE!")</f>
        <v>#VALUE!</v>
      </c>
      <c r="H45" s="51" t="str">
        <f>IFERROR(__xludf.DUMMYFUNCTION("""COMPUTED_VALUE"""),"")</f>
        <v/>
      </c>
      <c r="I45" s="51" t="str">
        <f>IFERROR(__xludf.DUMMYFUNCTION("""COMPUTED_VALUE"""),"#VALUE!")</f>
        <v>#VALUE!</v>
      </c>
      <c r="J45" s="51" t="str">
        <f>IFERROR(__xludf.DUMMYFUNCTION("""COMPUTED_VALUE"""),"")</f>
        <v/>
      </c>
      <c r="K45" s="51"/>
      <c r="L45" s="51" t="s">
        <v>257</v>
      </c>
      <c r="M45" s="51"/>
      <c r="N45" s="51"/>
      <c r="O45" s="51"/>
      <c r="P45" s="51"/>
      <c r="Q45" s="51"/>
      <c r="R45" s="51"/>
      <c r="S45" s="51"/>
      <c r="T45" s="51"/>
    </row>
    <row r="46">
      <c r="A46" s="51"/>
      <c r="B46" s="51"/>
      <c r="C46" s="56"/>
      <c r="D46" s="51"/>
      <c r="E46" s="51"/>
      <c r="F46" s="51"/>
      <c r="G46" s="51" t="str">
        <f>IFERROR(__xludf.DUMMYFUNCTION("""COMPUTED_VALUE"""),"#VALUE!")</f>
        <v>#VALUE!</v>
      </c>
      <c r="H46" s="51" t="str">
        <f>IFERROR(__xludf.DUMMYFUNCTION("""COMPUTED_VALUE"""),"")</f>
        <v/>
      </c>
      <c r="I46" s="51" t="str">
        <f>IFERROR(__xludf.DUMMYFUNCTION("""COMPUTED_VALUE"""),"#VALUE!")</f>
        <v>#VALUE!</v>
      </c>
      <c r="J46" s="51" t="str">
        <f>IFERROR(__xludf.DUMMYFUNCTION("""COMPUTED_VALUE"""),"")</f>
        <v/>
      </c>
      <c r="K46" s="51"/>
      <c r="L46" s="51" t="s">
        <v>257</v>
      </c>
      <c r="M46" s="51"/>
      <c r="N46" s="51"/>
      <c r="O46" s="51"/>
      <c r="P46" s="51"/>
      <c r="Q46" s="51"/>
      <c r="R46" s="51"/>
      <c r="S46" s="51"/>
      <c r="T46" s="51"/>
    </row>
    <row r="47">
      <c r="A47" s="51"/>
      <c r="B47" s="51"/>
      <c r="C47" s="56"/>
      <c r="D47" s="51"/>
      <c r="E47" s="51"/>
      <c r="F47" s="51"/>
      <c r="G47" s="51" t="str">
        <f>IFERROR(__xludf.DUMMYFUNCTION("""COMPUTED_VALUE"""),"#VALUE!")</f>
        <v>#VALUE!</v>
      </c>
      <c r="H47" s="51" t="str">
        <f>IFERROR(__xludf.DUMMYFUNCTION("""COMPUTED_VALUE"""),"")</f>
        <v/>
      </c>
      <c r="I47" s="51" t="str">
        <f>IFERROR(__xludf.DUMMYFUNCTION("""COMPUTED_VALUE"""),"#VALUE!")</f>
        <v>#VALUE!</v>
      </c>
      <c r="J47" s="51" t="str">
        <f>IFERROR(__xludf.DUMMYFUNCTION("""COMPUTED_VALUE"""),"")</f>
        <v/>
      </c>
      <c r="K47" s="51"/>
      <c r="L47" s="51" t="s">
        <v>257</v>
      </c>
      <c r="M47" s="51"/>
      <c r="N47" s="51"/>
      <c r="O47" s="51"/>
      <c r="P47" s="51"/>
      <c r="Q47" s="51"/>
      <c r="R47" s="51"/>
      <c r="S47" s="51"/>
      <c r="T47" s="51"/>
    </row>
    <row r="48">
      <c r="A48" s="51"/>
      <c r="B48" s="51"/>
      <c r="C48" s="56"/>
      <c r="D48" s="51"/>
      <c r="E48" s="51"/>
      <c r="F48" s="51"/>
      <c r="G48" s="51" t="str">
        <f>IFERROR(__xludf.DUMMYFUNCTION("""COMPUTED_VALUE"""),"#VALUE!")</f>
        <v>#VALUE!</v>
      </c>
      <c r="H48" s="51" t="str">
        <f>IFERROR(__xludf.DUMMYFUNCTION("""COMPUTED_VALUE"""),"")</f>
        <v/>
      </c>
      <c r="I48" s="51" t="str">
        <f>IFERROR(__xludf.DUMMYFUNCTION("""COMPUTED_VALUE"""),"#VALUE!")</f>
        <v>#VALUE!</v>
      </c>
      <c r="J48" s="51" t="str">
        <f>IFERROR(__xludf.DUMMYFUNCTION("""COMPUTED_VALUE"""),"")</f>
        <v/>
      </c>
      <c r="K48" s="51"/>
      <c r="L48" s="51" t="s">
        <v>257</v>
      </c>
      <c r="M48" s="51"/>
      <c r="N48" s="51"/>
      <c r="O48" s="51"/>
      <c r="P48" s="51"/>
      <c r="Q48" s="51"/>
      <c r="R48" s="51"/>
      <c r="S48" s="51"/>
      <c r="T48" s="51"/>
    </row>
    <row r="49">
      <c r="A49" s="51"/>
      <c r="B49" s="51"/>
      <c r="C49" s="56"/>
      <c r="D49" s="51"/>
      <c r="E49" s="51"/>
      <c r="F49" s="51"/>
      <c r="G49" s="51" t="str">
        <f>IFERROR(__xludf.DUMMYFUNCTION("""COMPUTED_VALUE"""),"#VALUE!")</f>
        <v>#VALUE!</v>
      </c>
      <c r="H49" s="51" t="str">
        <f>IFERROR(__xludf.DUMMYFUNCTION("""COMPUTED_VALUE"""),"")</f>
        <v/>
      </c>
      <c r="I49" s="51" t="str">
        <f>IFERROR(__xludf.DUMMYFUNCTION("""COMPUTED_VALUE"""),"#VALUE!")</f>
        <v>#VALUE!</v>
      </c>
      <c r="J49" s="51" t="str">
        <f>IFERROR(__xludf.DUMMYFUNCTION("""COMPUTED_VALUE"""),"")</f>
        <v/>
      </c>
      <c r="K49" s="51"/>
      <c r="L49" s="51" t="s">
        <v>257</v>
      </c>
      <c r="M49" s="51"/>
      <c r="N49" s="51"/>
      <c r="O49" s="51"/>
      <c r="P49" s="51"/>
      <c r="Q49" s="51"/>
      <c r="R49" s="51"/>
      <c r="S49" s="51"/>
      <c r="T49" s="51"/>
    </row>
    <row r="50">
      <c r="A50" s="51"/>
      <c r="B50" s="51"/>
      <c r="C50" s="56"/>
      <c r="D50" s="51"/>
      <c r="E50" s="51"/>
      <c r="F50" s="51"/>
      <c r="G50" s="51" t="str">
        <f>IFERROR(__xludf.DUMMYFUNCTION("""COMPUTED_VALUE"""),"#VALUE!")</f>
        <v>#VALUE!</v>
      </c>
      <c r="H50" s="51" t="str">
        <f>IFERROR(__xludf.DUMMYFUNCTION("""COMPUTED_VALUE"""),"")</f>
        <v/>
      </c>
      <c r="I50" s="51" t="str">
        <f>IFERROR(__xludf.DUMMYFUNCTION("""COMPUTED_VALUE"""),"#VALUE!")</f>
        <v>#VALUE!</v>
      </c>
      <c r="J50" s="51" t="str">
        <f>IFERROR(__xludf.DUMMYFUNCTION("""COMPUTED_VALUE"""),"")</f>
        <v/>
      </c>
      <c r="K50" s="51"/>
      <c r="L50" s="51" t="s">
        <v>257</v>
      </c>
      <c r="M50" s="51"/>
      <c r="N50" s="51"/>
      <c r="O50" s="51"/>
      <c r="P50" s="51"/>
      <c r="Q50" s="51"/>
      <c r="R50" s="51"/>
      <c r="S50" s="51"/>
      <c r="T50" s="51"/>
    </row>
    <row r="51">
      <c r="A51" s="51"/>
      <c r="B51" s="51"/>
      <c r="C51" s="56"/>
      <c r="D51" s="51"/>
      <c r="E51" s="51"/>
      <c r="F51" s="51"/>
      <c r="G51" s="51" t="str">
        <f>IFERROR(__xludf.DUMMYFUNCTION("""COMPUTED_VALUE"""),"#VALUE!")</f>
        <v>#VALUE!</v>
      </c>
      <c r="H51" s="51" t="str">
        <f>IFERROR(__xludf.DUMMYFUNCTION("""COMPUTED_VALUE"""),"")</f>
        <v/>
      </c>
      <c r="I51" s="51" t="str">
        <f>IFERROR(__xludf.DUMMYFUNCTION("""COMPUTED_VALUE"""),"#VALUE!")</f>
        <v>#VALUE!</v>
      </c>
      <c r="J51" s="51" t="str">
        <f>IFERROR(__xludf.DUMMYFUNCTION("""COMPUTED_VALUE"""),"")</f>
        <v/>
      </c>
      <c r="K51" s="51"/>
      <c r="L51" s="51" t="s">
        <v>257</v>
      </c>
      <c r="M51" s="51"/>
      <c r="N51" s="51"/>
      <c r="O51" s="51"/>
      <c r="P51" s="51"/>
      <c r="Q51" s="51"/>
      <c r="R51" s="51"/>
      <c r="S51" s="51"/>
      <c r="T51" s="51"/>
    </row>
    <row r="52">
      <c r="A52" s="51"/>
      <c r="B52" s="51"/>
      <c r="C52" s="56"/>
      <c r="D52" s="51"/>
      <c r="E52" s="51"/>
      <c r="F52" s="51"/>
      <c r="G52" s="51" t="str">
        <f>IFERROR(__xludf.DUMMYFUNCTION("""COMPUTED_VALUE"""),"#VALUE!")</f>
        <v>#VALUE!</v>
      </c>
      <c r="H52" s="51" t="str">
        <f>IFERROR(__xludf.DUMMYFUNCTION("""COMPUTED_VALUE"""),"")</f>
        <v/>
      </c>
      <c r="I52" s="51" t="str">
        <f>IFERROR(__xludf.DUMMYFUNCTION("""COMPUTED_VALUE"""),"#VALUE!")</f>
        <v>#VALUE!</v>
      </c>
      <c r="J52" s="51" t="str">
        <f>IFERROR(__xludf.DUMMYFUNCTION("""COMPUTED_VALUE"""),"")</f>
        <v/>
      </c>
      <c r="K52" s="51"/>
      <c r="L52" s="51" t="s">
        <v>257</v>
      </c>
      <c r="M52" s="51"/>
      <c r="N52" s="51"/>
      <c r="O52" s="51"/>
      <c r="P52" s="51"/>
      <c r="Q52" s="51"/>
      <c r="R52" s="51"/>
      <c r="S52" s="51"/>
      <c r="T52" s="51"/>
    </row>
    <row r="53">
      <c r="A53" s="51"/>
      <c r="B53" s="51"/>
      <c r="C53" s="56"/>
      <c r="D53" s="51"/>
      <c r="E53" s="51"/>
      <c r="F53" s="51"/>
      <c r="G53" s="51" t="str">
        <f>IFERROR(__xludf.DUMMYFUNCTION("""COMPUTED_VALUE"""),"#VALUE!")</f>
        <v>#VALUE!</v>
      </c>
      <c r="H53" s="51" t="str">
        <f>IFERROR(__xludf.DUMMYFUNCTION("""COMPUTED_VALUE"""),"")</f>
        <v/>
      </c>
      <c r="I53" s="51" t="str">
        <f>IFERROR(__xludf.DUMMYFUNCTION("""COMPUTED_VALUE"""),"#VALUE!")</f>
        <v>#VALUE!</v>
      </c>
      <c r="J53" s="51" t="str">
        <f>IFERROR(__xludf.DUMMYFUNCTION("""COMPUTED_VALUE"""),"")</f>
        <v/>
      </c>
      <c r="K53" s="51"/>
      <c r="L53" s="51" t="s">
        <v>257</v>
      </c>
      <c r="M53" s="51"/>
      <c r="N53" s="51"/>
      <c r="O53" s="51"/>
      <c r="P53" s="51"/>
      <c r="Q53" s="51"/>
      <c r="R53" s="51"/>
      <c r="S53" s="51"/>
      <c r="T53" s="51"/>
    </row>
    <row r="54">
      <c r="A54" s="51"/>
      <c r="B54" s="51"/>
      <c r="C54" s="56"/>
      <c r="D54" s="51"/>
      <c r="E54" s="51"/>
      <c r="F54" s="51"/>
      <c r="G54" s="51" t="str">
        <f>IFERROR(__xludf.DUMMYFUNCTION("""COMPUTED_VALUE"""),"#VALUE!")</f>
        <v>#VALUE!</v>
      </c>
      <c r="H54" s="51" t="str">
        <f>IFERROR(__xludf.DUMMYFUNCTION("""COMPUTED_VALUE"""),"")</f>
        <v/>
      </c>
      <c r="I54" s="51" t="str">
        <f>IFERROR(__xludf.DUMMYFUNCTION("""COMPUTED_VALUE"""),"#VALUE!")</f>
        <v>#VALUE!</v>
      </c>
      <c r="J54" s="51" t="str">
        <f>IFERROR(__xludf.DUMMYFUNCTION("""COMPUTED_VALUE"""),"")</f>
        <v/>
      </c>
      <c r="K54" s="51"/>
      <c r="L54" s="51" t="s">
        <v>257</v>
      </c>
      <c r="M54" s="51"/>
      <c r="N54" s="51"/>
      <c r="O54" s="51"/>
      <c r="P54" s="51"/>
      <c r="Q54" s="51"/>
      <c r="R54" s="51"/>
      <c r="S54" s="51"/>
      <c r="T54" s="51"/>
    </row>
    <row r="55">
      <c r="A55" s="51"/>
      <c r="B55" s="51"/>
      <c r="C55" s="56"/>
      <c r="D55" s="51"/>
      <c r="E55" s="51"/>
      <c r="F55" s="51"/>
      <c r="G55" s="51" t="str">
        <f>IFERROR(__xludf.DUMMYFUNCTION("""COMPUTED_VALUE"""),"#VALUE!")</f>
        <v>#VALUE!</v>
      </c>
      <c r="H55" s="51" t="str">
        <f>IFERROR(__xludf.DUMMYFUNCTION("""COMPUTED_VALUE"""),"")</f>
        <v/>
      </c>
      <c r="I55" s="51" t="str">
        <f>IFERROR(__xludf.DUMMYFUNCTION("""COMPUTED_VALUE"""),"#VALUE!")</f>
        <v>#VALUE!</v>
      </c>
      <c r="J55" s="51" t="str">
        <f>IFERROR(__xludf.DUMMYFUNCTION("""COMPUTED_VALUE"""),"")</f>
        <v/>
      </c>
      <c r="K55" s="51"/>
      <c r="L55" s="51" t="s">
        <v>257</v>
      </c>
      <c r="M55" s="51"/>
      <c r="N55" s="51"/>
      <c r="O55" s="51"/>
      <c r="P55" s="51"/>
      <c r="Q55" s="51"/>
      <c r="R55" s="51"/>
      <c r="S55" s="51"/>
      <c r="T55" s="51"/>
    </row>
    <row r="56">
      <c r="A56" s="51"/>
      <c r="B56" s="51"/>
      <c r="C56" s="56"/>
      <c r="D56" s="51"/>
      <c r="E56" s="51"/>
      <c r="F56" s="51"/>
      <c r="G56" s="51" t="str">
        <f>IFERROR(__xludf.DUMMYFUNCTION("""COMPUTED_VALUE"""),"#VALUE!")</f>
        <v>#VALUE!</v>
      </c>
      <c r="H56" s="51" t="str">
        <f>IFERROR(__xludf.DUMMYFUNCTION("""COMPUTED_VALUE"""),"")</f>
        <v/>
      </c>
      <c r="I56" s="51" t="str">
        <f>IFERROR(__xludf.DUMMYFUNCTION("""COMPUTED_VALUE"""),"#VALUE!")</f>
        <v>#VALUE!</v>
      </c>
      <c r="J56" s="51" t="str">
        <f>IFERROR(__xludf.DUMMYFUNCTION("""COMPUTED_VALUE"""),"")</f>
        <v/>
      </c>
      <c r="K56" s="51"/>
      <c r="L56" s="51" t="s">
        <v>257</v>
      </c>
      <c r="M56" s="51"/>
      <c r="N56" s="51"/>
      <c r="O56" s="51"/>
      <c r="P56" s="51"/>
      <c r="Q56" s="51"/>
      <c r="R56" s="51"/>
      <c r="S56" s="51"/>
      <c r="T56" s="51"/>
    </row>
    <row r="57">
      <c r="A57" s="51"/>
      <c r="B57" s="51"/>
      <c r="C57" s="56"/>
      <c r="D57" s="51"/>
      <c r="E57" s="51"/>
      <c r="F57" s="51"/>
      <c r="G57" s="51" t="str">
        <f>IFERROR(__xludf.DUMMYFUNCTION("""COMPUTED_VALUE"""),"#VALUE!")</f>
        <v>#VALUE!</v>
      </c>
      <c r="H57" s="51" t="str">
        <f>IFERROR(__xludf.DUMMYFUNCTION("""COMPUTED_VALUE"""),"")</f>
        <v/>
      </c>
      <c r="I57" s="51" t="str">
        <f>IFERROR(__xludf.DUMMYFUNCTION("""COMPUTED_VALUE"""),"#VALUE!")</f>
        <v>#VALUE!</v>
      </c>
      <c r="J57" s="51" t="str">
        <f>IFERROR(__xludf.DUMMYFUNCTION("""COMPUTED_VALUE"""),"")</f>
        <v/>
      </c>
      <c r="K57" s="51"/>
      <c r="L57" s="51" t="s">
        <v>257</v>
      </c>
      <c r="M57" s="51"/>
      <c r="N57" s="51"/>
      <c r="O57" s="51"/>
      <c r="P57" s="51"/>
      <c r="Q57" s="51"/>
      <c r="R57" s="51"/>
      <c r="S57" s="51"/>
      <c r="T57" s="51"/>
    </row>
    <row r="58">
      <c r="A58" s="51"/>
      <c r="B58" s="51"/>
      <c r="C58" s="56"/>
      <c r="D58" s="51"/>
      <c r="E58" s="51"/>
      <c r="F58" s="51"/>
      <c r="G58" s="51" t="str">
        <f>IFERROR(__xludf.DUMMYFUNCTION("""COMPUTED_VALUE"""),"#VALUE!")</f>
        <v>#VALUE!</v>
      </c>
      <c r="H58" s="51" t="str">
        <f>IFERROR(__xludf.DUMMYFUNCTION("""COMPUTED_VALUE"""),"")</f>
        <v/>
      </c>
      <c r="I58" s="51" t="str">
        <f>IFERROR(__xludf.DUMMYFUNCTION("""COMPUTED_VALUE"""),"#VALUE!")</f>
        <v>#VALUE!</v>
      </c>
      <c r="J58" s="51" t="str">
        <f>IFERROR(__xludf.DUMMYFUNCTION("""COMPUTED_VALUE"""),"")</f>
        <v/>
      </c>
      <c r="K58" s="51"/>
      <c r="L58" s="51" t="s">
        <v>257</v>
      </c>
      <c r="M58" s="51"/>
      <c r="N58" s="51"/>
      <c r="O58" s="51"/>
      <c r="P58" s="51"/>
      <c r="Q58" s="51"/>
      <c r="R58" s="51"/>
      <c r="S58" s="51"/>
      <c r="T58" s="51"/>
    </row>
    <row r="59">
      <c r="A59" s="51"/>
      <c r="B59" s="51"/>
      <c r="C59" s="56"/>
      <c r="D59" s="51"/>
      <c r="E59" s="51"/>
      <c r="F59" s="51"/>
      <c r="G59" s="51" t="str">
        <f>IFERROR(__xludf.DUMMYFUNCTION("""COMPUTED_VALUE"""),"#VALUE!")</f>
        <v>#VALUE!</v>
      </c>
      <c r="H59" s="51" t="str">
        <f>IFERROR(__xludf.DUMMYFUNCTION("""COMPUTED_VALUE"""),"")</f>
        <v/>
      </c>
      <c r="I59" s="51" t="str">
        <f>IFERROR(__xludf.DUMMYFUNCTION("""COMPUTED_VALUE"""),"#VALUE!")</f>
        <v>#VALUE!</v>
      </c>
      <c r="J59" s="51" t="str">
        <f>IFERROR(__xludf.DUMMYFUNCTION("""COMPUTED_VALUE"""),"")</f>
        <v/>
      </c>
      <c r="K59" s="51"/>
      <c r="L59" s="51" t="s">
        <v>257</v>
      </c>
      <c r="M59" s="51"/>
      <c r="N59" s="51"/>
      <c r="O59" s="51"/>
      <c r="P59" s="51"/>
      <c r="Q59" s="51"/>
      <c r="R59" s="51"/>
      <c r="S59" s="51"/>
      <c r="T59" s="51"/>
    </row>
    <row r="60">
      <c r="A60" s="51"/>
      <c r="B60" s="51"/>
      <c r="C60" s="56"/>
      <c r="D60" s="51"/>
      <c r="E60" s="51"/>
      <c r="F60" s="51"/>
      <c r="G60" s="51" t="str">
        <f>IFERROR(__xludf.DUMMYFUNCTION("""COMPUTED_VALUE"""),"#VALUE!")</f>
        <v>#VALUE!</v>
      </c>
      <c r="H60" s="51" t="str">
        <f>IFERROR(__xludf.DUMMYFUNCTION("""COMPUTED_VALUE"""),"")</f>
        <v/>
      </c>
      <c r="I60" s="51" t="str">
        <f>IFERROR(__xludf.DUMMYFUNCTION("""COMPUTED_VALUE"""),"#VALUE!")</f>
        <v>#VALUE!</v>
      </c>
      <c r="J60" s="51" t="str">
        <f>IFERROR(__xludf.DUMMYFUNCTION("""COMPUTED_VALUE"""),"")</f>
        <v/>
      </c>
      <c r="K60" s="51"/>
      <c r="L60" s="51" t="s">
        <v>257</v>
      </c>
      <c r="M60" s="51"/>
      <c r="N60" s="51"/>
      <c r="O60" s="51"/>
      <c r="P60" s="51"/>
      <c r="Q60" s="51"/>
      <c r="R60" s="51"/>
      <c r="S60" s="51"/>
      <c r="T60" s="51"/>
    </row>
    <row r="61">
      <c r="A61" s="51"/>
      <c r="B61" s="51"/>
      <c r="C61" s="56"/>
      <c r="D61" s="51"/>
      <c r="E61" s="51"/>
      <c r="F61" s="51"/>
      <c r="G61" s="51" t="str">
        <f>IFERROR(__xludf.DUMMYFUNCTION("""COMPUTED_VALUE"""),"#VALUE!")</f>
        <v>#VALUE!</v>
      </c>
      <c r="H61" s="51" t="str">
        <f>IFERROR(__xludf.DUMMYFUNCTION("""COMPUTED_VALUE"""),"")</f>
        <v/>
      </c>
      <c r="I61" s="51" t="str">
        <f>IFERROR(__xludf.DUMMYFUNCTION("""COMPUTED_VALUE"""),"#VALUE!")</f>
        <v>#VALUE!</v>
      </c>
      <c r="J61" s="51" t="str">
        <f>IFERROR(__xludf.DUMMYFUNCTION("""COMPUTED_VALUE"""),"")</f>
        <v/>
      </c>
      <c r="K61" s="51"/>
      <c r="L61" s="51" t="s">
        <v>257</v>
      </c>
      <c r="M61" s="51"/>
      <c r="N61" s="51"/>
      <c r="O61" s="51"/>
      <c r="P61" s="51"/>
      <c r="Q61" s="51"/>
      <c r="R61" s="51"/>
      <c r="S61" s="51"/>
      <c r="T61" s="51"/>
    </row>
    <row r="62">
      <c r="A62" s="51"/>
      <c r="B62" s="51"/>
      <c r="C62" s="56"/>
      <c r="D62" s="51"/>
      <c r="E62" s="51"/>
      <c r="F62" s="51"/>
      <c r="G62" s="51" t="str">
        <f>IFERROR(__xludf.DUMMYFUNCTION("""COMPUTED_VALUE"""),"#VALUE!")</f>
        <v>#VALUE!</v>
      </c>
      <c r="H62" s="51" t="str">
        <f>IFERROR(__xludf.DUMMYFUNCTION("""COMPUTED_VALUE"""),"")</f>
        <v/>
      </c>
      <c r="I62" s="51" t="str">
        <f>IFERROR(__xludf.DUMMYFUNCTION("""COMPUTED_VALUE"""),"#VALUE!")</f>
        <v>#VALUE!</v>
      </c>
      <c r="J62" s="51" t="str">
        <f>IFERROR(__xludf.DUMMYFUNCTION("""COMPUTED_VALUE"""),"")</f>
        <v/>
      </c>
      <c r="K62" s="51"/>
      <c r="L62" s="51" t="s">
        <v>257</v>
      </c>
      <c r="M62" s="51"/>
      <c r="N62" s="51"/>
      <c r="O62" s="51"/>
      <c r="P62" s="51"/>
      <c r="Q62" s="51"/>
      <c r="R62" s="51"/>
      <c r="S62" s="51"/>
      <c r="T62" s="51"/>
    </row>
    <row r="63">
      <c r="A63" s="51"/>
      <c r="B63" s="51"/>
      <c r="C63" s="56"/>
      <c r="D63" s="51"/>
      <c r="E63" s="51"/>
      <c r="F63" s="51"/>
      <c r="G63" s="51" t="str">
        <f>IFERROR(__xludf.DUMMYFUNCTION("""COMPUTED_VALUE"""),"#VALUE!")</f>
        <v>#VALUE!</v>
      </c>
      <c r="H63" s="51" t="str">
        <f>IFERROR(__xludf.DUMMYFUNCTION("""COMPUTED_VALUE"""),"")</f>
        <v/>
      </c>
      <c r="I63" s="51" t="str">
        <f>IFERROR(__xludf.DUMMYFUNCTION("""COMPUTED_VALUE"""),"#VALUE!")</f>
        <v>#VALUE!</v>
      </c>
      <c r="J63" s="51" t="str">
        <f>IFERROR(__xludf.DUMMYFUNCTION("""COMPUTED_VALUE"""),"")</f>
        <v/>
      </c>
      <c r="K63" s="51"/>
      <c r="L63" s="51" t="s">
        <v>257</v>
      </c>
      <c r="M63" s="51"/>
      <c r="N63" s="51"/>
      <c r="O63" s="51"/>
      <c r="P63" s="51"/>
      <c r="Q63" s="51"/>
      <c r="R63" s="51"/>
      <c r="S63" s="51"/>
      <c r="T63" s="51"/>
    </row>
    <row r="64">
      <c r="A64" s="51"/>
      <c r="B64" s="51"/>
      <c r="C64" s="56"/>
      <c r="D64" s="51"/>
      <c r="E64" s="51"/>
      <c r="F64" s="51"/>
      <c r="G64" s="51" t="str">
        <f>IFERROR(__xludf.DUMMYFUNCTION("""COMPUTED_VALUE"""),"#VALUE!")</f>
        <v>#VALUE!</v>
      </c>
      <c r="H64" s="51" t="str">
        <f>IFERROR(__xludf.DUMMYFUNCTION("""COMPUTED_VALUE"""),"")</f>
        <v/>
      </c>
      <c r="I64" s="51" t="str">
        <f>IFERROR(__xludf.DUMMYFUNCTION("""COMPUTED_VALUE"""),"#VALUE!")</f>
        <v>#VALUE!</v>
      </c>
      <c r="J64" s="51" t="str">
        <f>IFERROR(__xludf.DUMMYFUNCTION("""COMPUTED_VALUE"""),"")</f>
        <v/>
      </c>
      <c r="K64" s="51"/>
      <c r="L64" s="51" t="s">
        <v>257</v>
      </c>
      <c r="M64" s="51"/>
      <c r="N64" s="51"/>
      <c r="O64" s="51"/>
      <c r="P64" s="51"/>
      <c r="Q64" s="51"/>
      <c r="R64" s="51"/>
      <c r="S64" s="51"/>
      <c r="T64" s="51"/>
    </row>
    <row r="65">
      <c r="A65" s="51"/>
      <c r="B65" s="51"/>
      <c r="C65" s="56"/>
      <c r="D65" s="51"/>
      <c r="E65" s="51"/>
      <c r="F65" s="51"/>
      <c r="G65" s="51" t="str">
        <f>IFERROR(__xludf.DUMMYFUNCTION("""COMPUTED_VALUE"""),"#VALUE!")</f>
        <v>#VALUE!</v>
      </c>
      <c r="H65" s="51" t="str">
        <f>IFERROR(__xludf.DUMMYFUNCTION("""COMPUTED_VALUE"""),"")</f>
        <v/>
      </c>
      <c r="I65" s="51" t="str">
        <f>IFERROR(__xludf.DUMMYFUNCTION("""COMPUTED_VALUE"""),"#VALUE!")</f>
        <v>#VALUE!</v>
      </c>
      <c r="J65" s="51" t="str">
        <f>IFERROR(__xludf.DUMMYFUNCTION("""COMPUTED_VALUE"""),"")</f>
        <v/>
      </c>
      <c r="K65" s="51"/>
      <c r="L65" s="51" t="s">
        <v>257</v>
      </c>
      <c r="M65" s="51"/>
      <c r="N65" s="51"/>
      <c r="O65" s="51"/>
      <c r="P65" s="51"/>
      <c r="Q65" s="51"/>
      <c r="R65" s="51"/>
      <c r="S65" s="51"/>
      <c r="T65" s="51"/>
    </row>
    <row r="66">
      <c r="A66" s="51"/>
      <c r="B66" s="51"/>
      <c r="C66" s="56"/>
      <c r="D66" s="51"/>
      <c r="E66" s="51"/>
      <c r="F66" s="51"/>
      <c r="G66" s="51" t="str">
        <f>IFERROR(__xludf.DUMMYFUNCTION("""COMPUTED_VALUE"""),"#VALUE!")</f>
        <v>#VALUE!</v>
      </c>
      <c r="H66" s="51" t="str">
        <f>IFERROR(__xludf.DUMMYFUNCTION("""COMPUTED_VALUE"""),"")</f>
        <v/>
      </c>
      <c r="I66" s="51" t="str">
        <f>IFERROR(__xludf.DUMMYFUNCTION("""COMPUTED_VALUE"""),"#VALUE!")</f>
        <v>#VALUE!</v>
      </c>
      <c r="J66" s="51" t="str">
        <f>IFERROR(__xludf.DUMMYFUNCTION("""COMPUTED_VALUE"""),"")</f>
        <v/>
      </c>
      <c r="K66" s="51"/>
      <c r="L66" s="51" t="s">
        <v>257</v>
      </c>
      <c r="M66" s="51"/>
      <c r="N66" s="51"/>
      <c r="O66" s="51"/>
      <c r="P66" s="51"/>
      <c r="Q66" s="51"/>
      <c r="R66" s="51"/>
      <c r="S66" s="51"/>
      <c r="T66" s="51"/>
    </row>
    <row r="67">
      <c r="A67" s="51"/>
      <c r="B67" s="51"/>
      <c r="C67" s="56"/>
      <c r="D67" s="51"/>
      <c r="E67" s="51"/>
      <c r="F67" s="51"/>
      <c r="G67" s="51" t="str">
        <f>IFERROR(__xludf.DUMMYFUNCTION("""COMPUTED_VALUE"""),"#VALUE!")</f>
        <v>#VALUE!</v>
      </c>
      <c r="H67" s="51" t="str">
        <f>IFERROR(__xludf.DUMMYFUNCTION("""COMPUTED_VALUE"""),"")</f>
        <v/>
      </c>
      <c r="I67" s="51" t="str">
        <f>IFERROR(__xludf.DUMMYFUNCTION("""COMPUTED_VALUE"""),"#VALUE!")</f>
        <v>#VALUE!</v>
      </c>
      <c r="J67" s="51" t="str">
        <f>IFERROR(__xludf.DUMMYFUNCTION("""COMPUTED_VALUE"""),"")</f>
        <v/>
      </c>
      <c r="K67" s="51"/>
      <c r="L67" s="51" t="s">
        <v>257</v>
      </c>
      <c r="M67" s="51"/>
      <c r="N67" s="51"/>
      <c r="O67" s="51"/>
      <c r="P67" s="51"/>
      <c r="Q67" s="51"/>
      <c r="R67" s="51"/>
      <c r="S67" s="51"/>
      <c r="T67" s="51"/>
    </row>
    <row r="68">
      <c r="A68" s="51"/>
      <c r="B68" s="51"/>
      <c r="C68" s="56"/>
      <c r="D68" s="51"/>
      <c r="E68" s="51"/>
      <c r="F68" s="51"/>
      <c r="G68" s="51" t="str">
        <f>IFERROR(__xludf.DUMMYFUNCTION("""COMPUTED_VALUE"""),"#VALUE!")</f>
        <v>#VALUE!</v>
      </c>
      <c r="H68" s="51" t="str">
        <f>IFERROR(__xludf.DUMMYFUNCTION("""COMPUTED_VALUE"""),"")</f>
        <v/>
      </c>
      <c r="I68" s="51" t="str">
        <f>IFERROR(__xludf.DUMMYFUNCTION("""COMPUTED_VALUE"""),"#VALUE!")</f>
        <v>#VALUE!</v>
      </c>
      <c r="J68" s="51" t="str">
        <f>IFERROR(__xludf.DUMMYFUNCTION("""COMPUTED_VALUE"""),"")</f>
        <v/>
      </c>
      <c r="K68" s="51"/>
      <c r="L68" s="51" t="s">
        <v>257</v>
      </c>
      <c r="M68" s="51"/>
      <c r="N68" s="51"/>
      <c r="O68" s="51"/>
      <c r="P68" s="51"/>
      <c r="Q68" s="51"/>
      <c r="R68" s="51"/>
      <c r="S68" s="51"/>
      <c r="T68" s="51"/>
    </row>
    <row r="69">
      <c r="A69" s="51"/>
      <c r="B69" s="51"/>
      <c r="C69" s="56"/>
      <c r="D69" s="51"/>
      <c r="E69" s="51"/>
      <c r="F69" s="51"/>
      <c r="G69" s="51" t="str">
        <f>IFERROR(__xludf.DUMMYFUNCTION("""COMPUTED_VALUE"""),"#VALUE!")</f>
        <v>#VALUE!</v>
      </c>
      <c r="H69" s="51" t="str">
        <f>IFERROR(__xludf.DUMMYFUNCTION("""COMPUTED_VALUE"""),"")</f>
        <v/>
      </c>
      <c r="I69" s="51" t="str">
        <f>IFERROR(__xludf.DUMMYFUNCTION("""COMPUTED_VALUE"""),"#VALUE!")</f>
        <v>#VALUE!</v>
      </c>
      <c r="J69" s="51" t="str">
        <f>IFERROR(__xludf.DUMMYFUNCTION("""COMPUTED_VALUE"""),"")</f>
        <v/>
      </c>
      <c r="K69" s="51"/>
      <c r="L69" s="51" t="s">
        <v>257</v>
      </c>
      <c r="M69" s="51"/>
      <c r="N69" s="51"/>
      <c r="O69" s="51"/>
      <c r="P69" s="51"/>
      <c r="Q69" s="51"/>
      <c r="R69" s="51"/>
      <c r="S69" s="51"/>
      <c r="T69" s="51"/>
    </row>
    <row r="70">
      <c r="A70" s="51"/>
      <c r="B70" s="51"/>
      <c r="C70" s="56"/>
      <c r="D70" s="51"/>
      <c r="E70" s="51"/>
      <c r="F70" s="51"/>
      <c r="G70" s="51" t="str">
        <f>IFERROR(__xludf.DUMMYFUNCTION("""COMPUTED_VALUE"""),"#VALUE!")</f>
        <v>#VALUE!</v>
      </c>
      <c r="H70" s="51" t="str">
        <f>IFERROR(__xludf.DUMMYFUNCTION("""COMPUTED_VALUE"""),"")</f>
        <v/>
      </c>
      <c r="I70" s="51" t="str">
        <f>IFERROR(__xludf.DUMMYFUNCTION("""COMPUTED_VALUE"""),"#VALUE!")</f>
        <v>#VALUE!</v>
      </c>
      <c r="J70" s="51" t="str">
        <f>IFERROR(__xludf.DUMMYFUNCTION("""COMPUTED_VALUE"""),"")</f>
        <v/>
      </c>
      <c r="K70" s="51"/>
      <c r="L70" s="51" t="s">
        <v>257</v>
      </c>
      <c r="M70" s="51"/>
      <c r="N70" s="51"/>
      <c r="O70" s="51"/>
      <c r="P70" s="51"/>
      <c r="Q70" s="51"/>
      <c r="R70" s="51"/>
      <c r="S70" s="51"/>
      <c r="T70" s="51"/>
    </row>
    <row r="71">
      <c r="A71" s="51"/>
      <c r="B71" s="51"/>
      <c r="C71" s="56"/>
      <c r="D71" s="51"/>
      <c r="E71" s="51"/>
      <c r="F71" s="51"/>
      <c r="G71" s="51" t="str">
        <f>IFERROR(__xludf.DUMMYFUNCTION("""COMPUTED_VALUE"""),"#VALUE!")</f>
        <v>#VALUE!</v>
      </c>
      <c r="H71" s="51" t="str">
        <f>IFERROR(__xludf.DUMMYFUNCTION("""COMPUTED_VALUE"""),"")</f>
        <v/>
      </c>
      <c r="I71" s="51" t="str">
        <f>IFERROR(__xludf.DUMMYFUNCTION("""COMPUTED_VALUE"""),"#VALUE!")</f>
        <v>#VALUE!</v>
      </c>
      <c r="J71" s="51" t="str">
        <f>IFERROR(__xludf.DUMMYFUNCTION("""COMPUTED_VALUE"""),"")</f>
        <v/>
      </c>
      <c r="K71" s="51"/>
      <c r="L71" s="51" t="s">
        <v>257</v>
      </c>
      <c r="M71" s="51"/>
      <c r="N71" s="51"/>
      <c r="O71" s="51"/>
      <c r="P71" s="51"/>
      <c r="Q71" s="51"/>
      <c r="R71" s="51"/>
      <c r="S71" s="51"/>
      <c r="T71" s="51"/>
    </row>
    <row r="72">
      <c r="A72" s="51"/>
      <c r="B72" s="51"/>
      <c r="C72" s="56"/>
      <c r="D72" s="51"/>
      <c r="E72" s="51"/>
      <c r="F72" s="51"/>
      <c r="G72" s="51" t="str">
        <f>IFERROR(__xludf.DUMMYFUNCTION("""COMPUTED_VALUE"""),"#VALUE!")</f>
        <v>#VALUE!</v>
      </c>
      <c r="H72" s="51" t="str">
        <f>IFERROR(__xludf.DUMMYFUNCTION("""COMPUTED_VALUE"""),"")</f>
        <v/>
      </c>
      <c r="I72" s="51" t="str">
        <f>IFERROR(__xludf.DUMMYFUNCTION("""COMPUTED_VALUE"""),"#VALUE!")</f>
        <v>#VALUE!</v>
      </c>
      <c r="J72" s="51" t="str">
        <f>IFERROR(__xludf.DUMMYFUNCTION("""COMPUTED_VALUE"""),"")</f>
        <v/>
      </c>
      <c r="K72" s="51"/>
      <c r="L72" s="51" t="s">
        <v>257</v>
      </c>
      <c r="M72" s="51"/>
      <c r="N72" s="51"/>
      <c r="O72" s="51"/>
      <c r="P72" s="51"/>
      <c r="Q72" s="51"/>
      <c r="R72" s="51"/>
      <c r="S72" s="51"/>
      <c r="T72" s="51"/>
    </row>
    <row r="73">
      <c r="A73" s="51"/>
      <c r="B73" s="51"/>
      <c r="C73" s="56"/>
      <c r="D73" s="51"/>
      <c r="E73" s="51"/>
      <c r="F73" s="51"/>
      <c r="G73" s="51" t="str">
        <f>IFERROR(__xludf.DUMMYFUNCTION("""COMPUTED_VALUE"""),"#VALUE!")</f>
        <v>#VALUE!</v>
      </c>
      <c r="H73" s="51" t="str">
        <f>IFERROR(__xludf.DUMMYFUNCTION("""COMPUTED_VALUE"""),"")</f>
        <v/>
      </c>
      <c r="I73" s="51" t="str">
        <f>IFERROR(__xludf.DUMMYFUNCTION("""COMPUTED_VALUE"""),"#VALUE!")</f>
        <v>#VALUE!</v>
      </c>
      <c r="J73" s="51" t="str">
        <f>IFERROR(__xludf.DUMMYFUNCTION("""COMPUTED_VALUE"""),"")</f>
        <v/>
      </c>
      <c r="K73" s="51"/>
      <c r="L73" s="51" t="s">
        <v>257</v>
      </c>
      <c r="M73" s="51"/>
      <c r="N73" s="51"/>
      <c r="O73" s="51"/>
      <c r="P73" s="51"/>
      <c r="Q73" s="51"/>
      <c r="R73" s="51"/>
      <c r="S73" s="51"/>
      <c r="T73" s="51"/>
    </row>
    <row r="74">
      <c r="A74" s="51"/>
      <c r="B74" s="51"/>
      <c r="C74" s="56"/>
      <c r="D74" s="51"/>
      <c r="E74" s="51"/>
      <c r="F74" s="51"/>
      <c r="G74" s="51" t="str">
        <f>IFERROR(__xludf.DUMMYFUNCTION("""COMPUTED_VALUE"""),"#VALUE!")</f>
        <v>#VALUE!</v>
      </c>
      <c r="H74" s="51" t="str">
        <f>IFERROR(__xludf.DUMMYFUNCTION("""COMPUTED_VALUE"""),"")</f>
        <v/>
      </c>
      <c r="I74" s="51" t="str">
        <f>IFERROR(__xludf.DUMMYFUNCTION("""COMPUTED_VALUE"""),"#VALUE!")</f>
        <v>#VALUE!</v>
      </c>
      <c r="J74" s="51" t="str">
        <f>IFERROR(__xludf.DUMMYFUNCTION("""COMPUTED_VALUE"""),"")</f>
        <v/>
      </c>
      <c r="K74" s="51"/>
      <c r="L74" s="51" t="s">
        <v>257</v>
      </c>
      <c r="M74" s="51"/>
      <c r="N74" s="51"/>
      <c r="O74" s="51"/>
      <c r="P74" s="51"/>
      <c r="Q74" s="51"/>
      <c r="R74" s="51"/>
      <c r="S74" s="51"/>
      <c r="T74" s="51"/>
    </row>
    <row r="75">
      <c r="A75" s="51"/>
      <c r="B75" s="51"/>
      <c r="C75" s="56"/>
      <c r="D75" s="51"/>
      <c r="E75" s="51"/>
      <c r="F75" s="51"/>
      <c r="G75" s="51" t="str">
        <f>IFERROR(__xludf.DUMMYFUNCTION("""COMPUTED_VALUE"""),"#VALUE!")</f>
        <v>#VALUE!</v>
      </c>
      <c r="H75" s="51" t="str">
        <f>IFERROR(__xludf.DUMMYFUNCTION("""COMPUTED_VALUE"""),"")</f>
        <v/>
      </c>
      <c r="I75" s="51" t="str">
        <f>IFERROR(__xludf.DUMMYFUNCTION("""COMPUTED_VALUE"""),"#VALUE!")</f>
        <v>#VALUE!</v>
      </c>
      <c r="J75" s="51" t="str">
        <f>IFERROR(__xludf.DUMMYFUNCTION("""COMPUTED_VALUE"""),"")</f>
        <v/>
      </c>
      <c r="K75" s="51"/>
      <c r="L75" s="51" t="s">
        <v>257</v>
      </c>
      <c r="M75" s="51"/>
      <c r="N75" s="51"/>
      <c r="O75" s="51"/>
      <c r="P75" s="51"/>
      <c r="Q75" s="51"/>
      <c r="R75" s="51"/>
      <c r="S75" s="51"/>
      <c r="T75" s="51"/>
    </row>
    <row r="76">
      <c r="A76" s="51"/>
      <c r="B76" s="51"/>
      <c r="C76" s="56"/>
      <c r="D76" s="51"/>
      <c r="E76" s="51"/>
      <c r="F76" s="51"/>
      <c r="G76" s="51" t="str">
        <f>IFERROR(__xludf.DUMMYFUNCTION("""COMPUTED_VALUE"""),"#VALUE!")</f>
        <v>#VALUE!</v>
      </c>
      <c r="H76" s="51" t="str">
        <f>IFERROR(__xludf.DUMMYFUNCTION("""COMPUTED_VALUE"""),"")</f>
        <v/>
      </c>
      <c r="I76" s="51" t="str">
        <f>IFERROR(__xludf.DUMMYFUNCTION("""COMPUTED_VALUE"""),"#VALUE!")</f>
        <v>#VALUE!</v>
      </c>
      <c r="J76" s="51" t="str">
        <f>IFERROR(__xludf.DUMMYFUNCTION("""COMPUTED_VALUE"""),"")</f>
        <v/>
      </c>
      <c r="K76" s="51"/>
      <c r="L76" s="51" t="s">
        <v>257</v>
      </c>
      <c r="M76" s="51"/>
      <c r="N76" s="51"/>
      <c r="O76" s="51"/>
      <c r="P76" s="51"/>
      <c r="Q76" s="51"/>
      <c r="R76" s="51"/>
      <c r="S76" s="51"/>
      <c r="T76" s="51"/>
    </row>
    <row r="77">
      <c r="A77" s="51"/>
      <c r="B77" s="51"/>
      <c r="C77" s="56"/>
      <c r="D77" s="51"/>
      <c r="E77" s="51"/>
      <c r="F77" s="51"/>
      <c r="G77" s="51" t="str">
        <f>IFERROR(__xludf.DUMMYFUNCTION("""COMPUTED_VALUE"""),"#VALUE!")</f>
        <v>#VALUE!</v>
      </c>
      <c r="H77" s="51" t="str">
        <f>IFERROR(__xludf.DUMMYFUNCTION("""COMPUTED_VALUE"""),"")</f>
        <v/>
      </c>
      <c r="I77" s="51" t="str">
        <f>IFERROR(__xludf.DUMMYFUNCTION("""COMPUTED_VALUE"""),"#VALUE!")</f>
        <v>#VALUE!</v>
      </c>
      <c r="J77" s="51" t="str">
        <f>IFERROR(__xludf.DUMMYFUNCTION("""COMPUTED_VALUE"""),"")</f>
        <v/>
      </c>
      <c r="K77" s="51"/>
      <c r="L77" s="51" t="s">
        <v>257</v>
      </c>
      <c r="M77" s="51"/>
      <c r="N77" s="51"/>
      <c r="O77" s="51"/>
      <c r="P77" s="51"/>
      <c r="Q77" s="51"/>
      <c r="R77" s="51"/>
      <c r="S77" s="51"/>
      <c r="T77" s="51"/>
    </row>
    <row r="78">
      <c r="A78" s="51"/>
      <c r="B78" s="51"/>
      <c r="C78" s="56"/>
      <c r="D78" s="51"/>
      <c r="E78" s="51"/>
      <c r="F78" s="51"/>
      <c r="G78" s="51" t="str">
        <f>IFERROR(__xludf.DUMMYFUNCTION("""COMPUTED_VALUE"""),"#VALUE!")</f>
        <v>#VALUE!</v>
      </c>
      <c r="H78" s="51" t="str">
        <f>IFERROR(__xludf.DUMMYFUNCTION("""COMPUTED_VALUE"""),"")</f>
        <v/>
      </c>
      <c r="I78" s="51" t="str">
        <f>IFERROR(__xludf.DUMMYFUNCTION("""COMPUTED_VALUE"""),"#VALUE!")</f>
        <v>#VALUE!</v>
      </c>
      <c r="J78" s="51" t="str">
        <f>IFERROR(__xludf.DUMMYFUNCTION("""COMPUTED_VALUE"""),"")</f>
        <v/>
      </c>
      <c r="K78" s="51"/>
      <c r="L78" s="51" t="s">
        <v>257</v>
      </c>
      <c r="M78" s="51"/>
      <c r="N78" s="51"/>
      <c r="O78" s="51"/>
      <c r="P78" s="51"/>
      <c r="Q78" s="51"/>
      <c r="R78" s="51"/>
      <c r="S78" s="51"/>
      <c r="T78" s="51"/>
    </row>
    <row r="79">
      <c r="A79" s="51"/>
      <c r="B79" s="51"/>
      <c r="C79" s="56"/>
      <c r="D79" s="51"/>
      <c r="E79" s="51"/>
      <c r="F79" s="51"/>
      <c r="G79" s="51" t="str">
        <f>IFERROR(__xludf.DUMMYFUNCTION("""COMPUTED_VALUE"""),"#VALUE!")</f>
        <v>#VALUE!</v>
      </c>
      <c r="H79" s="51" t="str">
        <f>IFERROR(__xludf.DUMMYFUNCTION("""COMPUTED_VALUE"""),"")</f>
        <v/>
      </c>
      <c r="I79" s="51" t="str">
        <f>IFERROR(__xludf.DUMMYFUNCTION("""COMPUTED_VALUE"""),"#VALUE!")</f>
        <v>#VALUE!</v>
      </c>
      <c r="J79" s="51" t="str">
        <f>IFERROR(__xludf.DUMMYFUNCTION("""COMPUTED_VALUE"""),"")</f>
        <v/>
      </c>
      <c r="K79" s="51"/>
      <c r="L79" s="51" t="s">
        <v>257</v>
      </c>
      <c r="M79" s="51"/>
      <c r="N79" s="51"/>
      <c r="O79" s="51"/>
      <c r="P79" s="51"/>
      <c r="Q79" s="51"/>
      <c r="R79" s="51"/>
      <c r="S79" s="51"/>
      <c r="T79" s="51"/>
    </row>
    <row r="80">
      <c r="A80" s="51"/>
      <c r="B80" s="51"/>
      <c r="C80" s="56"/>
      <c r="D80" s="51"/>
      <c r="E80" s="51"/>
      <c r="F80" s="51"/>
      <c r="G80" s="51" t="str">
        <f>IFERROR(__xludf.DUMMYFUNCTION("""COMPUTED_VALUE"""),"#VALUE!")</f>
        <v>#VALUE!</v>
      </c>
      <c r="H80" s="51" t="str">
        <f>IFERROR(__xludf.DUMMYFUNCTION("""COMPUTED_VALUE"""),"")</f>
        <v/>
      </c>
      <c r="I80" s="51" t="str">
        <f>IFERROR(__xludf.DUMMYFUNCTION("""COMPUTED_VALUE"""),"#VALUE!")</f>
        <v>#VALUE!</v>
      </c>
      <c r="J80" s="51" t="str">
        <f>IFERROR(__xludf.DUMMYFUNCTION("""COMPUTED_VALUE"""),"")</f>
        <v/>
      </c>
      <c r="K80" s="51"/>
      <c r="L80" s="51" t="s">
        <v>257</v>
      </c>
      <c r="M80" s="51"/>
      <c r="N80" s="51"/>
      <c r="O80" s="51"/>
      <c r="P80" s="51"/>
      <c r="Q80" s="51"/>
      <c r="R80" s="51"/>
      <c r="S80" s="51"/>
      <c r="T80" s="51"/>
    </row>
    <row r="81">
      <c r="A81" s="51"/>
      <c r="B81" s="51"/>
      <c r="C81" s="56"/>
      <c r="D81" s="51"/>
      <c r="E81" s="51"/>
      <c r="F81" s="51"/>
      <c r="G81" s="51" t="str">
        <f>IFERROR(__xludf.DUMMYFUNCTION("""COMPUTED_VALUE"""),"#VALUE!")</f>
        <v>#VALUE!</v>
      </c>
      <c r="H81" s="51" t="str">
        <f>IFERROR(__xludf.DUMMYFUNCTION("""COMPUTED_VALUE"""),"")</f>
        <v/>
      </c>
      <c r="I81" s="51" t="str">
        <f>IFERROR(__xludf.DUMMYFUNCTION("""COMPUTED_VALUE"""),"#VALUE!")</f>
        <v>#VALUE!</v>
      </c>
      <c r="J81" s="51" t="str">
        <f>IFERROR(__xludf.DUMMYFUNCTION("""COMPUTED_VALUE"""),"")</f>
        <v/>
      </c>
      <c r="K81" s="51"/>
      <c r="L81" s="51" t="s">
        <v>257</v>
      </c>
      <c r="M81" s="51"/>
      <c r="N81" s="51"/>
      <c r="O81" s="51"/>
      <c r="P81" s="51"/>
      <c r="Q81" s="51"/>
      <c r="R81" s="51"/>
      <c r="S81" s="51"/>
      <c r="T81" s="51"/>
    </row>
    <row r="82">
      <c r="A82" s="51"/>
      <c r="B82" s="51"/>
      <c r="C82" s="56"/>
      <c r="D82" s="51"/>
      <c r="E82" s="51"/>
      <c r="F82" s="51"/>
      <c r="G82" s="51" t="str">
        <f>IFERROR(__xludf.DUMMYFUNCTION("""COMPUTED_VALUE"""),"#VALUE!")</f>
        <v>#VALUE!</v>
      </c>
      <c r="H82" s="51" t="str">
        <f>IFERROR(__xludf.DUMMYFUNCTION("""COMPUTED_VALUE"""),"")</f>
        <v/>
      </c>
      <c r="I82" s="51" t="str">
        <f>IFERROR(__xludf.DUMMYFUNCTION("""COMPUTED_VALUE"""),"#VALUE!")</f>
        <v>#VALUE!</v>
      </c>
      <c r="J82" s="51" t="str">
        <f>IFERROR(__xludf.DUMMYFUNCTION("""COMPUTED_VALUE"""),"")</f>
        <v/>
      </c>
      <c r="K82" s="51"/>
      <c r="L82" s="51" t="s">
        <v>257</v>
      </c>
      <c r="M82" s="51"/>
      <c r="N82" s="51"/>
      <c r="O82" s="51"/>
      <c r="P82" s="51"/>
      <c r="Q82" s="51"/>
      <c r="R82" s="51"/>
      <c r="S82" s="51"/>
      <c r="T82" s="51"/>
    </row>
    <row r="83">
      <c r="A83" s="51"/>
      <c r="B83" s="51"/>
      <c r="C83" s="56"/>
      <c r="D83" s="51"/>
      <c r="E83" s="51"/>
      <c r="F83" s="51"/>
      <c r="G83" s="51" t="str">
        <f>IFERROR(__xludf.DUMMYFUNCTION("""COMPUTED_VALUE"""),"#VALUE!")</f>
        <v>#VALUE!</v>
      </c>
      <c r="H83" s="51" t="str">
        <f>IFERROR(__xludf.DUMMYFUNCTION("""COMPUTED_VALUE"""),"")</f>
        <v/>
      </c>
      <c r="I83" s="51" t="str">
        <f>IFERROR(__xludf.DUMMYFUNCTION("""COMPUTED_VALUE"""),"#VALUE!")</f>
        <v>#VALUE!</v>
      </c>
      <c r="J83" s="51" t="str">
        <f>IFERROR(__xludf.DUMMYFUNCTION("""COMPUTED_VALUE"""),"")</f>
        <v/>
      </c>
      <c r="K83" s="51"/>
      <c r="L83" s="51" t="s">
        <v>257</v>
      </c>
      <c r="M83" s="51"/>
      <c r="N83" s="51"/>
      <c r="O83" s="51"/>
      <c r="P83" s="51"/>
      <c r="Q83" s="51"/>
      <c r="R83" s="51"/>
      <c r="S83" s="51"/>
      <c r="T83" s="51"/>
    </row>
    <row r="84">
      <c r="A84" s="51"/>
      <c r="B84" s="51"/>
      <c r="C84" s="56"/>
      <c r="D84" s="51"/>
      <c r="E84" s="51"/>
      <c r="F84" s="51"/>
      <c r="G84" s="51" t="str">
        <f>IFERROR(__xludf.DUMMYFUNCTION("""COMPUTED_VALUE"""),"#VALUE!")</f>
        <v>#VALUE!</v>
      </c>
      <c r="H84" s="51" t="str">
        <f>IFERROR(__xludf.DUMMYFUNCTION("""COMPUTED_VALUE"""),"")</f>
        <v/>
      </c>
      <c r="I84" s="51" t="str">
        <f>IFERROR(__xludf.DUMMYFUNCTION("""COMPUTED_VALUE"""),"#VALUE!")</f>
        <v>#VALUE!</v>
      </c>
      <c r="J84" s="51" t="str">
        <f>IFERROR(__xludf.DUMMYFUNCTION("""COMPUTED_VALUE"""),"")</f>
        <v/>
      </c>
      <c r="K84" s="51"/>
      <c r="L84" s="51" t="s">
        <v>257</v>
      </c>
      <c r="M84" s="51"/>
      <c r="N84" s="51"/>
      <c r="O84" s="51"/>
      <c r="P84" s="51"/>
      <c r="Q84" s="51"/>
      <c r="R84" s="51"/>
      <c r="S84" s="51"/>
      <c r="T84" s="51"/>
    </row>
    <row r="85">
      <c r="A85" s="51"/>
      <c r="B85" s="51"/>
      <c r="C85" s="56"/>
      <c r="D85" s="51"/>
      <c r="E85" s="51"/>
      <c r="F85" s="51"/>
      <c r="G85" s="51" t="str">
        <f>IFERROR(__xludf.DUMMYFUNCTION("""COMPUTED_VALUE"""),"#VALUE!")</f>
        <v>#VALUE!</v>
      </c>
      <c r="H85" s="51" t="str">
        <f>IFERROR(__xludf.DUMMYFUNCTION("""COMPUTED_VALUE"""),"")</f>
        <v/>
      </c>
      <c r="I85" s="51" t="str">
        <f>IFERROR(__xludf.DUMMYFUNCTION("""COMPUTED_VALUE"""),"#VALUE!")</f>
        <v>#VALUE!</v>
      </c>
      <c r="J85" s="51" t="str">
        <f>IFERROR(__xludf.DUMMYFUNCTION("""COMPUTED_VALUE"""),"")</f>
        <v/>
      </c>
      <c r="K85" s="51"/>
      <c r="L85" s="51" t="s">
        <v>257</v>
      </c>
      <c r="M85" s="51"/>
      <c r="N85" s="51"/>
      <c r="O85" s="51"/>
      <c r="P85" s="51"/>
      <c r="Q85" s="51"/>
      <c r="R85" s="51"/>
      <c r="S85" s="51"/>
      <c r="T85" s="51"/>
    </row>
    <row r="86">
      <c r="A86" s="51"/>
      <c r="B86" s="51"/>
      <c r="C86" s="56"/>
      <c r="D86" s="51"/>
      <c r="E86" s="51"/>
      <c r="F86" s="51"/>
      <c r="G86" s="51" t="str">
        <f>IFERROR(__xludf.DUMMYFUNCTION("""COMPUTED_VALUE"""),"#VALUE!")</f>
        <v>#VALUE!</v>
      </c>
      <c r="H86" s="51" t="str">
        <f>IFERROR(__xludf.DUMMYFUNCTION("""COMPUTED_VALUE"""),"")</f>
        <v/>
      </c>
      <c r="I86" s="51" t="str">
        <f>IFERROR(__xludf.DUMMYFUNCTION("""COMPUTED_VALUE"""),"#VALUE!")</f>
        <v>#VALUE!</v>
      </c>
      <c r="J86" s="51" t="str">
        <f>IFERROR(__xludf.DUMMYFUNCTION("""COMPUTED_VALUE"""),"")</f>
        <v/>
      </c>
      <c r="K86" s="51"/>
      <c r="L86" s="51" t="s">
        <v>257</v>
      </c>
      <c r="M86" s="51"/>
      <c r="N86" s="51"/>
      <c r="O86" s="51"/>
      <c r="P86" s="51"/>
      <c r="Q86" s="51"/>
      <c r="R86" s="51"/>
      <c r="S86" s="51"/>
      <c r="T86" s="51"/>
    </row>
    <row r="87">
      <c r="A87" s="51"/>
      <c r="B87" s="51"/>
      <c r="C87" s="56"/>
      <c r="D87" s="51"/>
      <c r="E87" s="51"/>
      <c r="F87" s="51"/>
      <c r="G87" s="51" t="str">
        <f>IFERROR(__xludf.DUMMYFUNCTION("""COMPUTED_VALUE"""),"#VALUE!")</f>
        <v>#VALUE!</v>
      </c>
      <c r="H87" s="51" t="str">
        <f>IFERROR(__xludf.DUMMYFUNCTION("""COMPUTED_VALUE"""),"")</f>
        <v/>
      </c>
      <c r="I87" s="51" t="str">
        <f>IFERROR(__xludf.DUMMYFUNCTION("""COMPUTED_VALUE"""),"#VALUE!")</f>
        <v>#VALUE!</v>
      </c>
      <c r="J87" s="51" t="str">
        <f>IFERROR(__xludf.DUMMYFUNCTION("""COMPUTED_VALUE"""),"")</f>
        <v/>
      </c>
      <c r="K87" s="51"/>
      <c r="L87" s="51" t="s">
        <v>257</v>
      </c>
      <c r="M87" s="51"/>
      <c r="N87" s="51"/>
      <c r="O87" s="51"/>
      <c r="P87" s="51"/>
      <c r="Q87" s="51"/>
      <c r="R87" s="51"/>
      <c r="S87" s="51"/>
      <c r="T87" s="51"/>
    </row>
    <row r="88">
      <c r="A88" s="51"/>
      <c r="B88" s="51"/>
      <c r="C88" s="56"/>
      <c r="D88" s="51"/>
      <c r="E88" s="51"/>
      <c r="F88" s="51"/>
      <c r="G88" s="51" t="str">
        <f>IFERROR(__xludf.DUMMYFUNCTION("""COMPUTED_VALUE"""),"#VALUE!")</f>
        <v>#VALUE!</v>
      </c>
      <c r="H88" s="51" t="str">
        <f>IFERROR(__xludf.DUMMYFUNCTION("""COMPUTED_VALUE"""),"")</f>
        <v/>
      </c>
      <c r="I88" s="51" t="str">
        <f>IFERROR(__xludf.DUMMYFUNCTION("""COMPUTED_VALUE"""),"#VALUE!")</f>
        <v>#VALUE!</v>
      </c>
      <c r="J88" s="51" t="str">
        <f>IFERROR(__xludf.DUMMYFUNCTION("""COMPUTED_VALUE"""),"")</f>
        <v/>
      </c>
      <c r="K88" s="51"/>
      <c r="L88" s="51" t="s">
        <v>257</v>
      </c>
      <c r="M88" s="51"/>
      <c r="N88" s="51"/>
      <c r="O88" s="51"/>
      <c r="P88" s="51"/>
      <c r="Q88" s="51"/>
      <c r="R88" s="51"/>
      <c r="S88" s="51"/>
      <c r="T88" s="51"/>
    </row>
    <row r="89">
      <c r="A89" s="51"/>
      <c r="B89" s="51"/>
      <c r="C89" s="56"/>
      <c r="D89" s="51"/>
      <c r="E89" s="51"/>
      <c r="F89" s="51"/>
      <c r="G89" s="51" t="str">
        <f>IFERROR(__xludf.DUMMYFUNCTION("""COMPUTED_VALUE"""),"#VALUE!")</f>
        <v>#VALUE!</v>
      </c>
      <c r="H89" s="51" t="str">
        <f>IFERROR(__xludf.DUMMYFUNCTION("""COMPUTED_VALUE"""),"")</f>
        <v/>
      </c>
      <c r="I89" s="51" t="str">
        <f>IFERROR(__xludf.DUMMYFUNCTION("""COMPUTED_VALUE"""),"#VALUE!")</f>
        <v>#VALUE!</v>
      </c>
      <c r="J89" s="51" t="str">
        <f>IFERROR(__xludf.DUMMYFUNCTION("""COMPUTED_VALUE"""),"")</f>
        <v/>
      </c>
      <c r="K89" s="51"/>
      <c r="L89" s="51" t="s">
        <v>257</v>
      </c>
      <c r="M89" s="51"/>
      <c r="N89" s="51"/>
      <c r="O89" s="51"/>
      <c r="P89" s="51"/>
      <c r="Q89" s="51"/>
      <c r="R89" s="51"/>
      <c r="S89" s="51"/>
      <c r="T89" s="51"/>
    </row>
    <row r="90">
      <c r="A90" s="51"/>
      <c r="B90" s="51"/>
      <c r="C90" s="56"/>
      <c r="D90" s="51"/>
      <c r="E90" s="51"/>
      <c r="F90" s="51"/>
      <c r="G90" s="51" t="str">
        <f>IFERROR(__xludf.DUMMYFUNCTION("""COMPUTED_VALUE"""),"#VALUE!")</f>
        <v>#VALUE!</v>
      </c>
      <c r="H90" s="51" t="str">
        <f>IFERROR(__xludf.DUMMYFUNCTION("""COMPUTED_VALUE"""),"")</f>
        <v/>
      </c>
      <c r="I90" s="51" t="str">
        <f>IFERROR(__xludf.DUMMYFUNCTION("""COMPUTED_VALUE"""),"#VALUE!")</f>
        <v>#VALUE!</v>
      </c>
      <c r="J90" s="51" t="str">
        <f>IFERROR(__xludf.DUMMYFUNCTION("""COMPUTED_VALUE"""),"")</f>
        <v/>
      </c>
      <c r="K90" s="51"/>
      <c r="L90" s="51" t="s">
        <v>257</v>
      </c>
      <c r="M90" s="51"/>
      <c r="N90" s="51"/>
      <c r="O90" s="51"/>
      <c r="P90" s="51"/>
      <c r="Q90" s="51"/>
      <c r="R90" s="51"/>
      <c r="S90" s="51"/>
      <c r="T90" s="51"/>
    </row>
    <row r="91">
      <c r="A91" s="51"/>
      <c r="B91" s="51"/>
      <c r="C91" s="56"/>
      <c r="D91" s="51"/>
      <c r="E91" s="51"/>
      <c r="F91" s="51"/>
      <c r="G91" s="51" t="str">
        <f>IFERROR(__xludf.DUMMYFUNCTION("""COMPUTED_VALUE"""),"#VALUE!")</f>
        <v>#VALUE!</v>
      </c>
      <c r="H91" s="51" t="str">
        <f>IFERROR(__xludf.DUMMYFUNCTION("""COMPUTED_VALUE"""),"")</f>
        <v/>
      </c>
      <c r="I91" s="51" t="str">
        <f>IFERROR(__xludf.DUMMYFUNCTION("""COMPUTED_VALUE"""),"#VALUE!")</f>
        <v>#VALUE!</v>
      </c>
      <c r="J91" s="51" t="str">
        <f>IFERROR(__xludf.DUMMYFUNCTION("""COMPUTED_VALUE"""),"")</f>
        <v/>
      </c>
      <c r="K91" s="51"/>
      <c r="L91" s="51" t="s">
        <v>257</v>
      </c>
      <c r="M91" s="51"/>
      <c r="N91" s="51"/>
      <c r="O91" s="51"/>
      <c r="P91" s="51"/>
      <c r="Q91" s="51"/>
      <c r="R91" s="51"/>
      <c r="S91" s="51"/>
      <c r="T91" s="51"/>
    </row>
    <row r="92">
      <c r="A92" s="51"/>
      <c r="B92" s="51"/>
      <c r="C92" s="56"/>
      <c r="D92" s="51"/>
      <c r="E92" s="51"/>
      <c r="F92" s="51"/>
      <c r="G92" s="51" t="str">
        <f>IFERROR(__xludf.DUMMYFUNCTION("""COMPUTED_VALUE"""),"#VALUE!")</f>
        <v>#VALUE!</v>
      </c>
      <c r="H92" s="51" t="str">
        <f>IFERROR(__xludf.DUMMYFUNCTION("""COMPUTED_VALUE"""),"")</f>
        <v/>
      </c>
      <c r="I92" s="51" t="str">
        <f>IFERROR(__xludf.DUMMYFUNCTION("""COMPUTED_VALUE"""),"#VALUE!")</f>
        <v>#VALUE!</v>
      </c>
      <c r="J92" s="51" t="str">
        <f>IFERROR(__xludf.DUMMYFUNCTION("""COMPUTED_VALUE"""),"")</f>
        <v/>
      </c>
      <c r="K92" s="51"/>
      <c r="L92" s="51" t="s">
        <v>257</v>
      </c>
      <c r="M92" s="51"/>
      <c r="N92" s="51"/>
      <c r="O92" s="51"/>
      <c r="P92" s="51"/>
      <c r="Q92" s="51"/>
      <c r="R92" s="51"/>
      <c r="S92" s="51"/>
      <c r="T92" s="51"/>
    </row>
    <row r="93">
      <c r="A93" s="51"/>
      <c r="B93" s="51"/>
      <c r="C93" s="56"/>
      <c r="D93" s="51"/>
      <c r="E93" s="51"/>
      <c r="F93" s="51"/>
      <c r="G93" s="51" t="str">
        <f>IFERROR(__xludf.DUMMYFUNCTION("""COMPUTED_VALUE"""),"#VALUE!")</f>
        <v>#VALUE!</v>
      </c>
      <c r="H93" s="51" t="str">
        <f>IFERROR(__xludf.DUMMYFUNCTION("""COMPUTED_VALUE"""),"")</f>
        <v/>
      </c>
      <c r="I93" s="51" t="str">
        <f>IFERROR(__xludf.DUMMYFUNCTION("""COMPUTED_VALUE"""),"#VALUE!")</f>
        <v>#VALUE!</v>
      </c>
      <c r="J93" s="51" t="str">
        <f>IFERROR(__xludf.DUMMYFUNCTION("""COMPUTED_VALUE"""),"")</f>
        <v/>
      </c>
      <c r="K93" s="51"/>
      <c r="L93" s="51" t="s">
        <v>257</v>
      </c>
      <c r="M93" s="51"/>
      <c r="N93" s="51"/>
      <c r="O93" s="51"/>
      <c r="P93" s="51"/>
      <c r="Q93" s="51"/>
      <c r="R93" s="51"/>
      <c r="S93" s="51"/>
      <c r="T93" s="51"/>
    </row>
    <row r="94">
      <c r="A94" s="51"/>
      <c r="B94" s="51"/>
      <c r="C94" s="56"/>
      <c r="D94" s="51"/>
      <c r="E94" s="51"/>
      <c r="F94" s="51"/>
      <c r="G94" s="51" t="str">
        <f>IFERROR(__xludf.DUMMYFUNCTION("""COMPUTED_VALUE"""),"#VALUE!")</f>
        <v>#VALUE!</v>
      </c>
      <c r="H94" s="51" t="str">
        <f>IFERROR(__xludf.DUMMYFUNCTION("""COMPUTED_VALUE"""),"")</f>
        <v/>
      </c>
      <c r="I94" s="51" t="str">
        <f>IFERROR(__xludf.DUMMYFUNCTION("""COMPUTED_VALUE"""),"#VALUE!")</f>
        <v>#VALUE!</v>
      </c>
      <c r="J94" s="51" t="str">
        <f>IFERROR(__xludf.DUMMYFUNCTION("""COMPUTED_VALUE"""),"")</f>
        <v/>
      </c>
      <c r="K94" s="51"/>
      <c r="L94" s="51" t="s">
        <v>257</v>
      </c>
      <c r="M94" s="51"/>
      <c r="N94" s="51"/>
      <c r="O94" s="51"/>
      <c r="P94" s="51"/>
      <c r="Q94" s="51"/>
      <c r="R94" s="51"/>
      <c r="S94" s="51"/>
      <c r="T94" s="51"/>
    </row>
    <row r="95">
      <c r="A95" s="51"/>
      <c r="B95" s="51"/>
      <c r="C95" s="56"/>
      <c r="D95" s="51"/>
      <c r="E95" s="51"/>
      <c r="F95" s="51"/>
      <c r="G95" s="51" t="str">
        <f>IFERROR(__xludf.DUMMYFUNCTION("""COMPUTED_VALUE"""),"#VALUE!")</f>
        <v>#VALUE!</v>
      </c>
      <c r="H95" s="51" t="str">
        <f>IFERROR(__xludf.DUMMYFUNCTION("""COMPUTED_VALUE"""),"")</f>
        <v/>
      </c>
      <c r="I95" s="51" t="str">
        <f>IFERROR(__xludf.DUMMYFUNCTION("""COMPUTED_VALUE"""),"#VALUE!")</f>
        <v>#VALUE!</v>
      </c>
      <c r="J95" s="51" t="str">
        <f>IFERROR(__xludf.DUMMYFUNCTION("""COMPUTED_VALUE"""),"")</f>
        <v/>
      </c>
      <c r="K95" s="51"/>
      <c r="L95" s="51" t="s">
        <v>257</v>
      </c>
      <c r="M95" s="51"/>
      <c r="N95" s="51"/>
      <c r="O95" s="51"/>
      <c r="P95" s="51"/>
      <c r="Q95" s="51"/>
      <c r="R95" s="51"/>
      <c r="S95" s="51"/>
      <c r="T95" s="51"/>
    </row>
    <row r="96">
      <c r="A96" s="51"/>
      <c r="B96" s="51"/>
      <c r="C96" s="56"/>
      <c r="D96" s="51"/>
      <c r="E96" s="51"/>
      <c r="F96" s="51"/>
      <c r="G96" s="51" t="str">
        <f>IFERROR(__xludf.DUMMYFUNCTION("""COMPUTED_VALUE"""),"#VALUE!")</f>
        <v>#VALUE!</v>
      </c>
      <c r="H96" s="51" t="str">
        <f>IFERROR(__xludf.DUMMYFUNCTION("""COMPUTED_VALUE"""),"")</f>
        <v/>
      </c>
      <c r="I96" s="51" t="str">
        <f>IFERROR(__xludf.DUMMYFUNCTION("""COMPUTED_VALUE"""),"#VALUE!")</f>
        <v>#VALUE!</v>
      </c>
      <c r="J96" s="51" t="str">
        <f>IFERROR(__xludf.DUMMYFUNCTION("""COMPUTED_VALUE"""),"")</f>
        <v/>
      </c>
      <c r="K96" s="51"/>
      <c r="L96" s="51" t="s">
        <v>257</v>
      </c>
      <c r="M96" s="51"/>
      <c r="N96" s="51"/>
      <c r="O96" s="51"/>
      <c r="P96" s="51"/>
      <c r="Q96" s="51"/>
      <c r="R96" s="51"/>
      <c r="S96" s="51"/>
      <c r="T96" s="51"/>
    </row>
    <row r="97">
      <c r="A97" s="51"/>
      <c r="B97" s="51"/>
      <c r="C97" s="56"/>
      <c r="D97" s="51"/>
      <c r="E97" s="51"/>
      <c r="F97" s="51"/>
      <c r="G97" s="51" t="str">
        <f>IFERROR(__xludf.DUMMYFUNCTION("""COMPUTED_VALUE"""),"#VALUE!")</f>
        <v>#VALUE!</v>
      </c>
      <c r="H97" s="51" t="str">
        <f>IFERROR(__xludf.DUMMYFUNCTION("""COMPUTED_VALUE"""),"")</f>
        <v/>
      </c>
      <c r="I97" s="51" t="str">
        <f>IFERROR(__xludf.DUMMYFUNCTION("""COMPUTED_VALUE"""),"#VALUE!")</f>
        <v>#VALUE!</v>
      </c>
      <c r="J97" s="51" t="str">
        <f>IFERROR(__xludf.DUMMYFUNCTION("""COMPUTED_VALUE"""),"")</f>
        <v/>
      </c>
      <c r="K97" s="51"/>
      <c r="L97" s="51" t="s">
        <v>257</v>
      </c>
      <c r="M97" s="51"/>
      <c r="N97" s="51"/>
      <c r="O97" s="51"/>
      <c r="P97" s="51"/>
      <c r="Q97" s="51"/>
      <c r="R97" s="51"/>
      <c r="S97" s="51"/>
      <c r="T97" s="51"/>
    </row>
    <row r="98">
      <c r="A98" s="51"/>
      <c r="B98" s="51"/>
      <c r="C98" s="56"/>
      <c r="D98" s="51"/>
      <c r="E98" s="51"/>
      <c r="F98" s="51"/>
      <c r="G98" s="51" t="str">
        <f>IFERROR(__xludf.DUMMYFUNCTION("""COMPUTED_VALUE"""),"#VALUE!")</f>
        <v>#VALUE!</v>
      </c>
      <c r="H98" s="51" t="str">
        <f>IFERROR(__xludf.DUMMYFUNCTION("""COMPUTED_VALUE"""),"")</f>
        <v/>
      </c>
      <c r="I98" s="51" t="str">
        <f>IFERROR(__xludf.DUMMYFUNCTION("""COMPUTED_VALUE"""),"#VALUE!")</f>
        <v>#VALUE!</v>
      </c>
      <c r="J98" s="51" t="str">
        <f>IFERROR(__xludf.DUMMYFUNCTION("""COMPUTED_VALUE"""),"")</f>
        <v/>
      </c>
      <c r="K98" s="51"/>
      <c r="L98" s="51" t="s">
        <v>257</v>
      </c>
      <c r="M98" s="51"/>
      <c r="N98" s="51"/>
      <c r="O98" s="51"/>
      <c r="P98" s="51"/>
      <c r="Q98" s="51"/>
      <c r="R98" s="51"/>
      <c r="S98" s="51"/>
      <c r="T98" s="51"/>
    </row>
    <row r="99">
      <c r="A99" s="51"/>
      <c r="B99" s="51"/>
      <c r="C99" s="56"/>
      <c r="D99" s="51"/>
      <c r="E99" s="51"/>
      <c r="F99" s="51"/>
      <c r="G99" s="51" t="str">
        <f>IFERROR(__xludf.DUMMYFUNCTION("""COMPUTED_VALUE"""),"#VALUE!")</f>
        <v>#VALUE!</v>
      </c>
      <c r="H99" s="51" t="str">
        <f>IFERROR(__xludf.DUMMYFUNCTION("""COMPUTED_VALUE"""),"")</f>
        <v/>
      </c>
      <c r="I99" s="51" t="str">
        <f>IFERROR(__xludf.DUMMYFUNCTION("""COMPUTED_VALUE"""),"#VALUE!")</f>
        <v>#VALUE!</v>
      </c>
      <c r="J99" s="51" t="str">
        <f>IFERROR(__xludf.DUMMYFUNCTION("""COMPUTED_VALUE"""),"")</f>
        <v/>
      </c>
      <c r="K99" s="51"/>
      <c r="L99" s="51" t="s">
        <v>257</v>
      </c>
      <c r="M99" s="51"/>
      <c r="N99" s="51"/>
      <c r="O99" s="51"/>
      <c r="P99" s="51"/>
      <c r="Q99" s="51"/>
      <c r="R99" s="51"/>
      <c r="S99" s="51"/>
      <c r="T99" s="51"/>
    </row>
    <row r="100">
      <c r="A100" s="51"/>
      <c r="B100" s="51"/>
      <c r="C100" s="56"/>
      <c r="D100" s="51"/>
      <c r="E100" s="51"/>
      <c r="F100" s="51"/>
      <c r="G100" s="51" t="str">
        <f>IFERROR(__xludf.DUMMYFUNCTION("""COMPUTED_VALUE"""),"#VALUE!")</f>
        <v>#VALUE!</v>
      </c>
      <c r="H100" s="51" t="str">
        <f>IFERROR(__xludf.DUMMYFUNCTION("""COMPUTED_VALUE"""),"")</f>
        <v/>
      </c>
      <c r="I100" s="51" t="str">
        <f>IFERROR(__xludf.DUMMYFUNCTION("""COMPUTED_VALUE"""),"#VALUE!")</f>
        <v>#VALUE!</v>
      </c>
      <c r="J100" s="51" t="str">
        <f>IFERROR(__xludf.DUMMYFUNCTION("""COMPUTED_VALUE"""),"")</f>
        <v/>
      </c>
      <c r="K100" s="51"/>
      <c r="L100" s="51" t="s">
        <v>257</v>
      </c>
      <c r="M100" s="51"/>
      <c r="N100" s="51"/>
      <c r="O100" s="51"/>
      <c r="P100" s="51"/>
      <c r="Q100" s="51"/>
      <c r="R100" s="51"/>
      <c r="S100" s="51"/>
      <c r="T100" s="51"/>
    </row>
    <row r="101">
      <c r="A101" s="51"/>
      <c r="B101" s="51"/>
      <c r="C101" s="56"/>
      <c r="D101" s="51"/>
      <c r="E101" s="51"/>
      <c r="F101" s="51"/>
      <c r="G101" s="51" t="str">
        <f>IFERROR(__xludf.DUMMYFUNCTION("""COMPUTED_VALUE"""),"#VALUE!")</f>
        <v>#VALUE!</v>
      </c>
      <c r="H101" s="51" t="str">
        <f>IFERROR(__xludf.DUMMYFUNCTION("""COMPUTED_VALUE"""),"")</f>
        <v/>
      </c>
      <c r="I101" s="51" t="str">
        <f>IFERROR(__xludf.DUMMYFUNCTION("""COMPUTED_VALUE"""),"#VALUE!")</f>
        <v>#VALUE!</v>
      </c>
      <c r="J101" s="51" t="str">
        <f>IFERROR(__xludf.DUMMYFUNCTION("""COMPUTED_VALUE"""),"")</f>
        <v/>
      </c>
      <c r="K101" s="51"/>
      <c r="L101" s="51" t="s">
        <v>257</v>
      </c>
      <c r="M101" s="51"/>
      <c r="N101" s="51"/>
      <c r="O101" s="51"/>
      <c r="P101" s="51"/>
      <c r="Q101" s="51"/>
      <c r="R101" s="51"/>
      <c r="S101" s="51"/>
      <c r="T101" s="51"/>
    </row>
    <row r="102">
      <c r="A102" s="51"/>
      <c r="B102" s="51"/>
      <c r="C102" s="56"/>
      <c r="D102" s="51"/>
      <c r="E102" s="51"/>
      <c r="F102" s="51"/>
      <c r="G102" s="51" t="str">
        <f>IFERROR(__xludf.DUMMYFUNCTION("""COMPUTED_VALUE"""),"#VALUE!")</f>
        <v>#VALUE!</v>
      </c>
      <c r="H102" s="51" t="str">
        <f>IFERROR(__xludf.DUMMYFUNCTION("""COMPUTED_VALUE"""),"")</f>
        <v/>
      </c>
      <c r="I102" s="51" t="str">
        <f>IFERROR(__xludf.DUMMYFUNCTION("""COMPUTED_VALUE"""),"#VALUE!")</f>
        <v>#VALUE!</v>
      </c>
      <c r="J102" s="51" t="str">
        <f>IFERROR(__xludf.DUMMYFUNCTION("""COMPUTED_VALUE"""),"")</f>
        <v/>
      </c>
      <c r="K102" s="51"/>
      <c r="L102" s="51" t="s">
        <v>257</v>
      </c>
      <c r="M102" s="51"/>
      <c r="N102" s="51"/>
      <c r="O102" s="51"/>
      <c r="P102" s="51"/>
      <c r="Q102" s="51"/>
      <c r="R102" s="51"/>
      <c r="S102" s="51"/>
      <c r="T102" s="51"/>
    </row>
    <row r="103">
      <c r="A103" s="51"/>
      <c r="B103" s="51"/>
      <c r="C103" s="56"/>
      <c r="D103" s="51"/>
      <c r="E103" s="51"/>
      <c r="F103" s="51"/>
      <c r="G103" s="51" t="str">
        <f>IFERROR(__xludf.DUMMYFUNCTION("""COMPUTED_VALUE"""),"#VALUE!")</f>
        <v>#VALUE!</v>
      </c>
      <c r="H103" s="51" t="str">
        <f>IFERROR(__xludf.DUMMYFUNCTION("""COMPUTED_VALUE"""),"")</f>
        <v/>
      </c>
      <c r="I103" s="51" t="str">
        <f>IFERROR(__xludf.DUMMYFUNCTION("""COMPUTED_VALUE"""),"#VALUE!")</f>
        <v>#VALUE!</v>
      </c>
      <c r="J103" s="51" t="str">
        <f>IFERROR(__xludf.DUMMYFUNCTION("""COMPUTED_VALUE"""),"")</f>
        <v/>
      </c>
      <c r="K103" s="51"/>
      <c r="L103" s="51" t="s">
        <v>257</v>
      </c>
      <c r="M103" s="51"/>
      <c r="N103" s="51"/>
      <c r="O103" s="51"/>
      <c r="P103" s="51"/>
      <c r="Q103" s="51"/>
      <c r="R103" s="51"/>
      <c r="S103" s="51"/>
      <c r="T103" s="51"/>
    </row>
    <row r="104">
      <c r="A104" s="51"/>
      <c r="B104" s="51"/>
      <c r="C104" s="56"/>
      <c r="D104" s="51"/>
      <c r="E104" s="51"/>
      <c r="F104" s="51"/>
      <c r="G104" s="51" t="str">
        <f>IFERROR(__xludf.DUMMYFUNCTION("""COMPUTED_VALUE"""),"#VALUE!")</f>
        <v>#VALUE!</v>
      </c>
      <c r="H104" s="51" t="str">
        <f>IFERROR(__xludf.DUMMYFUNCTION("""COMPUTED_VALUE"""),"")</f>
        <v/>
      </c>
      <c r="I104" s="51" t="str">
        <f>IFERROR(__xludf.DUMMYFUNCTION("""COMPUTED_VALUE"""),"#VALUE!")</f>
        <v>#VALUE!</v>
      </c>
      <c r="J104" s="51" t="str">
        <f>IFERROR(__xludf.DUMMYFUNCTION("""COMPUTED_VALUE"""),"")</f>
        <v/>
      </c>
      <c r="K104" s="51"/>
      <c r="L104" s="51" t="s">
        <v>257</v>
      </c>
      <c r="M104" s="51"/>
      <c r="N104" s="51"/>
      <c r="O104" s="51"/>
      <c r="P104" s="51"/>
      <c r="Q104" s="51"/>
      <c r="R104" s="51"/>
      <c r="S104" s="51"/>
      <c r="T104" s="51"/>
    </row>
    <row r="105">
      <c r="A105" s="51"/>
      <c r="B105" s="51"/>
      <c r="C105" s="56"/>
      <c r="D105" s="51"/>
      <c r="E105" s="51"/>
      <c r="F105" s="51"/>
      <c r="G105" s="51" t="str">
        <f>IFERROR(__xludf.DUMMYFUNCTION("""COMPUTED_VALUE"""),"#VALUE!")</f>
        <v>#VALUE!</v>
      </c>
      <c r="H105" s="51" t="str">
        <f>IFERROR(__xludf.DUMMYFUNCTION("""COMPUTED_VALUE"""),"")</f>
        <v/>
      </c>
      <c r="I105" s="51" t="str">
        <f>IFERROR(__xludf.DUMMYFUNCTION("""COMPUTED_VALUE"""),"#VALUE!")</f>
        <v>#VALUE!</v>
      </c>
      <c r="J105" s="51" t="str">
        <f>IFERROR(__xludf.DUMMYFUNCTION("""COMPUTED_VALUE"""),"")</f>
        <v/>
      </c>
      <c r="K105" s="51"/>
      <c r="L105" s="51" t="s">
        <v>257</v>
      </c>
      <c r="M105" s="51"/>
      <c r="N105" s="51"/>
      <c r="O105" s="51"/>
      <c r="P105" s="51"/>
      <c r="Q105" s="51"/>
      <c r="R105" s="51"/>
      <c r="S105" s="51"/>
      <c r="T105" s="51"/>
    </row>
    <row r="106">
      <c r="A106" s="51"/>
      <c r="B106" s="51"/>
      <c r="C106" s="56"/>
      <c r="D106" s="51"/>
      <c r="E106" s="51"/>
      <c r="F106" s="51"/>
      <c r="G106" s="51" t="str">
        <f>IFERROR(__xludf.DUMMYFUNCTION("""COMPUTED_VALUE"""),"#VALUE!")</f>
        <v>#VALUE!</v>
      </c>
      <c r="H106" s="51" t="str">
        <f>IFERROR(__xludf.DUMMYFUNCTION("""COMPUTED_VALUE"""),"")</f>
        <v/>
      </c>
      <c r="I106" s="51" t="str">
        <f>IFERROR(__xludf.DUMMYFUNCTION("""COMPUTED_VALUE"""),"#VALUE!")</f>
        <v>#VALUE!</v>
      </c>
      <c r="J106" s="51" t="str">
        <f>IFERROR(__xludf.DUMMYFUNCTION("""COMPUTED_VALUE"""),"")</f>
        <v/>
      </c>
      <c r="K106" s="51"/>
      <c r="L106" s="51" t="s">
        <v>257</v>
      </c>
      <c r="M106" s="51"/>
      <c r="N106" s="51"/>
      <c r="O106" s="51"/>
      <c r="P106" s="51"/>
      <c r="Q106" s="51"/>
      <c r="R106" s="51"/>
      <c r="S106" s="51"/>
      <c r="T106" s="51"/>
    </row>
    <row r="107">
      <c r="A107" s="51"/>
      <c r="B107" s="51"/>
      <c r="C107" s="56"/>
      <c r="D107" s="51"/>
      <c r="E107" s="51"/>
      <c r="F107" s="51"/>
      <c r="G107" s="51" t="str">
        <f>IFERROR(__xludf.DUMMYFUNCTION("""COMPUTED_VALUE"""),"#VALUE!")</f>
        <v>#VALUE!</v>
      </c>
      <c r="H107" s="51" t="str">
        <f>IFERROR(__xludf.DUMMYFUNCTION("""COMPUTED_VALUE"""),"")</f>
        <v/>
      </c>
      <c r="I107" s="51" t="str">
        <f>IFERROR(__xludf.DUMMYFUNCTION("""COMPUTED_VALUE"""),"#VALUE!")</f>
        <v>#VALUE!</v>
      </c>
      <c r="J107" s="51" t="str">
        <f>IFERROR(__xludf.DUMMYFUNCTION("""COMPUTED_VALUE"""),"")</f>
        <v/>
      </c>
      <c r="K107" s="51"/>
      <c r="L107" s="51" t="s">
        <v>257</v>
      </c>
      <c r="M107" s="51"/>
      <c r="N107" s="51"/>
      <c r="O107" s="51"/>
      <c r="P107" s="51"/>
      <c r="Q107" s="51"/>
      <c r="R107" s="51"/>
      <c r="S107" s="51"/>
      <c r="T107" s="51"/>
    </row>
    <row r="108">
      <c r="A108" s="51"/>
      <c r="B108" s="51"/>
      <c r="C108" s="56"/>
      <c r="D108" s="51"/>
      <c r="E108" s="51"/>
      <c r="F108" s="51"/>
      <c r="G108" s="51" t="str">
        <f>IFERROR(__xludf.DUMMYFUNCTION("""COMPUTED_VALUE"""),"#VALUE!")</f>
        <v>#VALUE!</v>
      </c>
      <c r="H108" s="51" t="str">
        <f>IFERROR(__xludf.DUMMYFUNCTION("""COMPUTED_VALUE"""),"")</f>
        <v/>
      </c>
      <c r="I108" s="51" t="str">
        <f>IFERROR(__xludf.DUMMYFUNCTION("""COMPUTED_VALUE"""),"#VALUE!")</f>
        <v>#VALUE!</v>
      </c>
      <c r="J108" s="51" t="str">
        <f>IFERROR(__xludf.DUMMYFUNCTION("""COMPUTED_VALUE"""),"")</f>
        <v/>
      </c>
      <c r="K108" s="51"/>
      <c r="L108" s="51" t="s">
        <v>257</v>
      </c>
      <c r="M108" s="51"/>
      <c r="N108" s="51"/>
      <c r="O108" s="51"/>
      <c r="P108" s="51"/>
      <c r="Q108" s="51"/>
      <c r="R108" s="51"/>
      <c r="S108" s="51"/>
      <c r="T108" s="51"/>
    </row>
    <row r="109">
      <c r="A109" s="51"/>
      <c r="B109" s="51"/>
      <c r="C109" s="56"/>
      <c r="D109" s="51"/>
      <c r="E109" s="51"/>
      <c r="F109" s="51"/>
      <c r="G109" s="51" t="str">
        <f>IFERROR(__xludf.DUMMYFUNCTION("""COMPUTED_VALUE"""),"#VALUE!")</f>
        <v>#VALUE!</v>
      </c>
      <c r="H109" s="51" t="str">
        <f>IFERROR(__xludf.DUMMYFUNCTION("""COMPUTED_VALUE"""),"")</f>
        <v/>
      </c>
      <c r="I109" s="51" t="str">
        <f>IFERROR(__xludf.DUMMYFUNCTION("""COMPUTED_VALUE"""),"#VALUE!")</f>
        <v>#VALUE!</v>
      </c>
      <c r="J109" s="51" t="str">
        <f>IFERROR(__xludf.DUMMYFUNCTION("""COMPUTED_VALUE"""),"")</f>
        <v/>
      </c>
      <c r="K109" s="51"/>
      <c r="L109" s="51" t="s">
        <v>257</v>
      </c>
      <c r="M109" s="51"/>
      <c r="N109" s="51"/>
      <c r="O109" s="51"/>
      <c r="P109" s="51"/>
      <c r="Q109" s="51"/>
      <c r="R109" s="51"/>
      <c r="S109" s="51"/>
      <c r="T109" s="51"/>
    </row>
    <row r="110">
      <c r="A110" s="51"/>
      <c r="B110" s="51"/>
      <c r="C110" s="56"/>
      <c r="D110" s="51"/>
      <c r="E110" s="51"/>
      <c r="F110" s="51"/>
      <c r="G110" s="51" t="str">
        <f>IFERROR(__xludf.DUMMYFUNCTION("""COMPUTED_VALUE"""),"#VALUE!")</f>
        <v>#VALUE!</v>
      </c>
      <c r="H110" s="51" t="str">
        <f>IFERROR(__xludf.DUMMYFUNCTION("""COMPUTED_VALUE"""),"")</f>
        <v/>
      </c>
      <c r="I110" s="51" t="str">
        <f>IFERROR(__xludf.DUMMYFUNCTION("""COMPUTED_VALUE"""),"#VALUE!")</f>
        <v>#VALUE!</v>
      </c>
      <c r="J110" s="51" t="str">
        <f>IFERROR(__xludf.DUMMYFUNCTION("""COMPUTED_VALUE"""),"")</f>
        <v/>
      </c>
      <c r="K110" s="51"/>
      <c r="L110" s="51" t="s">
        <v>257</v>
      </c>
      <c r="M110" s="51"/>
      <c r="N110" s="51"/>
      <c r="O110" s="51"/>
      <c r="P110" s="51"/>
      <c r="Q110" s="51"/>
      <c r="R110" s="51"/>
      <c r="S110" s="51"/>
      <c r="T110" s="51"/>
    </row>
    <row r="111">
      <c r="A111" s="51"/>
      <c r="B111" s="51"/>
      <c r="C111" s="56"/>
      <c r="D111" s="51"/>
      <c r="E111" s="51"/>
      <c r="F111" s="51"/>
      <c r="G111" s="51" t="str">
        <f>IFERROR(__xludf.DUMMYFUNCTION("""COMPUTED_VALUE"""),"#VALUE!")</f>
        <v>#VALUE!</v>
      </c>
      <c r="H111" s="51" t="str">
        <f>IFERROR(__xludf.DUMMYFUNCTION("""COMPUTED_VALUE"""),"")</f>
        <v/>
      </c>
      <c r="I111" s="51" t="str">
        <f>IFERROR(__xludf.DUMMYFUNCTION("""COMPUTED_VALUE"""),"#VALUE!")</f>
        <v>#VALUE!</v>
      </c>
      <c r="J111" s="51" t="str">
        <f>IFERROR(__xludf.DUMMYFUNCTION("""COMPUTED_VALUE"""),"")</f>
        <v/>
      </c>
      <c r="K111" s="51"/>
      <c r="L111" s="51" t="s">
        <v>257</v>
      </c>
      <c r="M111" s="51"/>
      <c r="N111" s="51"/>
      <c r="O111" s="51"/>
      <c r="P111" s="51"/>
      <c r="Q111" s="51"/>
      <c r="R111" s="51"/>
      <c r="S111" s="51"/>
      <c r="T111" s="51"/>
    </row>
    <row r="112">
      <c r="A112" s="51"/>
      <c r="B112" s="51"/>
      <c r="C112" s="56"/>
      <c r="D112" s="51"/>
      <c r="E112" s="51"/>
      <c r="F112" s="51"/>
      <c r="G112" s="51" t="str">
        <f>IFERROR(__xludf.DUMMYFUNCTION("""COMPUTED_VALUE"""),"#VALUE!")</f>
        <v>#VALUE!</v>
      </c>
      <c r="H112" s="51" t="str">
        <f>IFERROR(__xludf.DUMMYFUNCTION("""COMPUTED_VALUE"""),"")</f>
        <v/>
      </c>
      <c r="I112" s="51" t="str">
        <f>IFERROR(__xludf.DUMMYFUNCTION("""COMPUTED_VALUE"""),"#VALUE!")</f>
        <v>#VALUE!</v>
      </c>
      <c r="J112" s="51" t="str">
        <f>IFERROR(__xludf.DUMMYFUNCTION("""COMPUTED_VALUE"""),"")</f>
        <v/>
      </c>
      <c r="K112" s="51"/>
      <c r="L112" s="51" t="s">
        <v>257</v>
      </c>
      <c r="M112" s="51"/>
      <c r="N112" s="51"/>
      <c r="O112" s="51"/>
      <c r="P112" s="51"/>
      <c r="Q112" s="51"/>
      <c r="R112" s="51"/>
      <c r="S112" s="51"/>
      <c r="T112" s="51"/>
    </row>
    <row r="113">
      <c r="A113" s="51"/>
      <c r="B113" s="51"/>
      <c r="C113" s="56"/>
      <c r="D113" s="51"/>
      <c r="E113" s="51"/>
      <c r="F113" s="51"/>
      <c r="G113" s="51" t="str">
        <f>IFERROR(__xludf.DUMMYFUNCTION("""COMPUTED_VALUE"""),"#VALUE!")</f>
        <v>#VALUE!</v>
      </c>
      <c r="H113" s="51" t="str">
        <f>IFERROR(__xludf.DUMMYFUNCTION("""COMPUTED_VALUE"""),"")</f>
        <v/>
      </c>
      <c r="I113" s="51" t="str">
        <f>IFERROR(__xludf.DUMMYFUNCTION("""COMPUTED_VALUE"""),"#VALUE!")</f>
        <v>#VALUE!</v>
      </c>
      <c r="J113" s="51" t="str">
        <f>IFERROR(__xludf.DUMMYFUNCTION("""COMPUTED_VALUE"""),"")</f>
        <v/>
      </c>
      <c r="K113" s="51"/>
      <c r="L113" s="51" t="s">
        <v>257</v>
      </c>
      <c r="M113" s="51"/>
      <c r="N113" s="51"/>
      <c r="O113" s="51"/>
      <c r="P113" s="51"/>
      <c r="Q113" s="51"/>
      <c r="R113" s="51"/>
      <c r="S113" s="51"/>
      <c r="T113" s="51"/>
    </row>
    <row r="114">
      <c r="A114" s="51"/>
      <c r="B114" s="51"/>
      <c r="C114" s="56"/>
      <c r="D114" s="51"/>
      <c r="E114" s="51"/>
      <c r="F114" s="51"/>
      <c r="G114" s="51" t="str">
        <f>IFERROR(__xludf.DUMMYFUNCTION("""COMPUTED_VALUE"""),"#VALUE!")</f>
        <v>#VALUE!</v>
      </c>
      <c r="H114" s="51" t="str">
        <f>IFERROR(__xludf.DUMMYFUNCTION("""COMPUTED_VALUE"""),"")</f>
        <v/>
      </c>
      <c r="I114" s="51" t="str">
        <f>IFERROR(__xludf.DUMMYFUNCTION("""COMPUTED_VALUE"""),"#VALUE!")</f>
        <v>#VALUE!</v>
      </c>
      <c r="J114" s="51" t="str">
        <f>IFERROR(__xludf.DUMMYFUNCTION("""COMPUTED_VALUE"""),"")</f>
        <v/>
      </c>
      <c r="K114" s="51"/>
      <c r="L114" s="51" t="s">
        <v>257</v>
      </c>
      <c r="M114" s="51"/>
      <c r="N114" s="51"/>
      <c r="O114" s="51"/>
      <c r="P114" s="51"/>
      <c r="Q114" s="51"/>
      <c r="R114" s="51"/>
      <c r="S114" s="51"/>
      <c r="T114" s="51"/>
    </row>
    <row r="115">
      <c r="A115" s="51"/>
      <c r="B115" s="51"/>
      <c r="C115" s="56"/>
      <c r="D115" s="51"/>
      <c r="E115" s="51"/>
      <c r="F115" s="51"/>
      <c r="G115" s="51" t="str">
        <f>IFERROR(__xludf.DUMMYFUNCTION("""COMPUTED_VALUE"""),"#VALUE!")</f>
        <v>#VALUE!</v>
      </c>
      <c r="H115" s="51" t="str">
        <f>IFERROR(__xludf.DUMMYFUNCTION("""COMPUTED_VALUE"""),"")</f>
        <v/>
      </c>
      <c r="I115" s="51" t="str">
        <f>IFERROR(__xludf.DUMMYFUNCTION("""COMPUTED_VALUE"""),"#VALUE!")</f>
        <v>#VALUE!</v>
      </c>
      <c r="J115" s="51" t="str">
        <f>IFERROR(__xludf.DUMMYFUNCTION("""COMPUTED_VALUE"""),"")</f>
        <v/>
      </c>
      <c r="K115" s="51"/>
      <c r="L115" s="51" t="s">
        <v>257</v>
      </c>
      <c r="M115" s="51"/>
      <c r="N115" s="51"/>
      <c r="O115" s="51"/>
      <c r="P115" s="51"/>
      <c r="Q115" s="51"/>
      <c r="R115" s="51"/>
      <c r="S115" s="51"/>
      <c r="T115" s="51"/>
    </row>
    <row r="116">
      <c r="A116" s="51"/>
      <c r="B116" s="51"/>
      <c r="C116" s="56"/>
      <c r="D116" s="51"/>
      <c r="E116" s="51"/>
      <c r="F116" s="51"/>
      <c r="G116" s="51" t="str">
        <f>IFERROR(__xludf.DUMMYFUNCTION("""COMPUTED_VALUE"""),"#VALUE!")</f>
        <v>#VALUE!</v>
      </c>
      <c r="H116" s="51" t="str">
        <f>IFERROR(__xludf.DUMMYFUNCTION("""COMPUTED_VALUE"""),"")</f>
        <v/>
      </c>
      <c r="I116" s="51" t="str">
        <f>IFERROR(__xludf.DUMMYFUNCTION("""COMPUTED_VALUE"""),"#VALUE!")</f>
        <v>#VALUE!</v>
      </c>
      <c r="J116" s="51" t="str">
        <f>IFERROR(__xludf.DUMMYFUNCTION("""COMPUTED_VALUE"""),"")</f>
        <v/>
      </c>
      <c r="K116" s="51"/>
      <c r="L116" s="51" t="s">
        <v>257</v>
      </c>
      <c r="M116" s="51"/>
      <c r="N116" s="51"/>
      <c r="O116" s="51"/>
      <c r="P116" s="51"/>
      <c r="Q116" s="51"/>
      <c r="R116" s="51"/>
      <c r="S116" s="51"/>
      <c r="T116" s="51"/>
    </row>
    <row r="117">
      <c r="A117" s="51"/>
      <c r="B117" s="51"/>
      <c r="C117" s="56"/>
      <c r="D117" s="51"/>
      <c r="E117" s="51"/>
      <c r="F117" s="51"/>
      <c r="G117" s="51" t="str">
        <f>IFERROR(__xludf.DUMMYFUNCTION("""COMPUTED_VALUE"""),"#VALUE!")</f>
        <v>#VALUE!</v>
      </c>
      <c r="H117" s="51" t="str">
        <f>IFERROR(__xludf.DUMMYFUNCTION("""COMPUTED_VALUE"""),"")</f>
        <v/>
      </c>
      <c r="I117" s="51" t="str">
        <f>IFERROR(__xludf.DUMMYFUNCTION("""COMPUTED_VALUE"""),"#VALUE!")</f>
        <v>#VALUE!</v>
      </c>
      <c r="J117" s="51" t="str">
        <f>IFERROR(__xludf.DUMMYFUNCTION("""COMPUTED_VALUE"""),"")</f>
        <v/>
      </c>
      <c r="K117" s="51"/>
      <c r="L117" s="51" t="s">
        <v>257</v>
      </c>
      <c r="M117" s="51"/>
      <c r="N117" s="51"/>
      <c r="O117" s="51"/>
      <c r="P117" s="51"/>
      <c r="Q117" s="51"/>
      <c r="R117" s="51"/>
      <c r="S117" s="51"/>
      <c r="T117" s="51"/>
    </row>
    <row r="118">
      <c r="A118" s="51"/>
      <c r="B118" s="51"/>
      <c r="C118" s="56"/>
      <c r="D118" s="51"/>
      <c r="E118" s="51"/>
      <c r="F118" s="51"/>
      <c r="G118" s="51" t="str">
        <f>IFERROR(__xludf.DUMMYFUNCTION("""COMPUTED_VALUE"""),"#VALUE!")</f>
        <v>#VALUE!</v>
      </c>
      <c r="H118" s="51" t="str">
        <f>IFERROR(__xludf.DUMMYFUNCTION("""COMPUTED_VALUE"""),"")</f>
        <v/>
      </c>
      <c r="I118" s="51" t="str">
        <f>IFERROR(__xludf.DUMMYFUNCTION("""COMPUTED_VALUE"""),"#VALUE!")</f>
        <v>#VALUE!</v>
      </c>
      <c r="J118" s="51" t="str">
        <f>IFERROR(__xludf.DUMMYFUNCTION("""COMPUTED_VALUE"""),"")</f>
        <v/>
      </c>
      <c r="K118" s="51"/>
      <c r="L118" s="51" t="s">
        <v>257</v>
      </c>
      <c r="M118" s="51"/>
      <c r="N118" s="51"/>
      <c r="O118" s="51"/>
      <c r="P118" s="51"/>
      <c r="Q118" s="51"/>
      <c r="R118" s="51"/>
      <c r="S118" s="51"/>
      <c r="T118" s="51"/>
    </row>
    <row r="119">
      <c r="A119" s="51"/>
      <c r="B119" s="51"/>
      <c r="C119" s="56"/>
      <c r="D119" s="51"/>
      <c r="E119" s="51"/>
      <c r="F119" s="51"/>
      <c r="G119" s="51" t="str">
        <f>IFERROR(__xludf.DUMMYFUNCTION("""COMPUTED_VALUE"""),"#VALUE!")</f>
        <v>#VALUE!</v>
      </c>
      <c r="H119" s="51" t="str">
        <f>IFERROR(__xludf.DUMMYFUNCTION("""COMPUTED_VALUE"""),"")</f>
        <v/>
      </c>
      <c r="I119" s="51" t="str">
        <f>IFERROR(__xludf.DUMMYFUNCTION("""COMPUTED_VALUE"""),"#VALUE!")</f>
        <v>#VALUE!</v>
      </c>
      <c r="J119" s="51" t="str">
        <f>IFERROR(__xludf.DUMMYFUNCTION("""COMPUTED_VALUE"""),"")</f>
        <v/>
      </c>
      <c r="K119" s="51"/>
      <c r="L119" s="51" t="s">
        <v>257</v>
      </c>
      <c r="M119" s="51"/>
      <c r="N119" s="51"/>
      <c r="O119" s="51"/>
      <c r="P119" s="51"/>
      <c r="Q119" s="51"/>
      <c r="R119" s="51"/>
      <c r="S119" s="51"/>
      <c r="T119" s="51"/>
    </row>
    <row r="120">
      <c r="A120" s="51"/>
      <c r="B120" s="51"/>
      <c r="C120" s="56"/>
      <c r="D120" s="51"/>
      <c r="E120" s="51"/>
      <c r="F120" s="51"/>
      <c r="G120" s="51" t="str">
        <f>IFERROR(__xludf.DUMMYFUNCTION("""COMPUTED_VALUE"""),"#VALUE!")</f>
        <v>#VALUE!</v>
      </c>
      <c r="H120" s="51" t="str">
        <f>IFERROR(__xludf.DUMMYFUNCTION("""COMPUTED_VALUE"""),"")</f>
        <v/>
      </c>
      <c r="I120" s="51" t="str">
        <f>IFERROR(__xludf.DUMMYFUNCTION("""COMPUTED_VALUE"""),"#VALUE!")</f>
        <v>#VALUE!</v>
      </c>
      <c r="J120" s="51" t="str">
        <f>IFERROR(__xludf.DUMMYFUNCTION("""COMPUTED_VALUE"""),"")</f>
        <v/>
      </c>
      <c r="K120" s="51"/>
      <c r="L120" s="51" t="s">
        <v>257</v>
      </c>
      <c r="M120" s="51"/>
      <c r="N120" s="51"/>
      <c r="O120" s="51"/>
      <c r="P120" s="51"/>
      <c r="Q120" s="51"/>
      <c r="R120" s="51"/>
      <c r="S120" s="51"/>
      <c r="T120" s="51"/>
    </row>
    <row r="121">
      <c r="A121" s="51"/>
      <c r="B121" s="51"/>
      <c r="C121" s="56"/>
      <c r="D121" s="51"/>
      <c r="E121" s="51"/>
      <c r="F121" s="51"/>
      <c r="G121" s="51" t="str">
        <f>IFERROR(__xludf.DUMMYFUNCTION("""COMPUTED_VALUE"""),"#VALUE!")</f>
        <v>#VALUE!</v>
      </c>
      <c r="H121" s="51" t="str">
        <f>IFERROR(__xludf.DUMMYFUNCTION("""COMPUTED_VALUE"""),"")</f>
        <v/>
      </c>
      <c r="I121" s="51" t="str">
        <f>IFERROR(__xludf.DUMMYFUNCTION("""COMPUTED_VALUE"""),"#VALUE!")</f>
        <v>#VALUE!</v>
      </c>
      <c r="J121" s="51" t="str">
        <f>IFERROR(__xludf.DUMMYFUNCTION("""COMPUTED_VALUE"""),"")</f>
        <v/>
      </c>
      <c r="K121" s="51"/>
      <c r="L121" s="51" t="s">
        <v>257</v>
      </c>
      <c r="M121" s="51"/>
      <c r="N121" s="51"/>
      <c r="O121" s="51"/>
      <c r="P121" s="51"/>
      <c r="Q121" s="51"/>
      <c r="R121" s="51"/>
      <c r="S121" s="51"/>
      <c r="T121" s="51"/>
    </row>
    <row r="122">
      <c r="A122" s="51"/>
      <c r="B122" s="51"/>
      <c r="C122" s="56"/>
      <c r="D122" s="51"/>
      <c r="E122" s="51"/>
      <c r="F122" s="51"/>
      <c r="G122" s="51" t="str">
        <f>IFERROR(__xludf.DUMMYFUNCTION("""COMPUTED_VALUE"""),"#VALUE!")</f>
        <v>#VALUE!</v>
      </c>
      <c r="H122" s="51" t="str">
        <f>IFERROR(__xludf.DUMMYFUNCTION("""COMPUTED_VALUE"""),"")</f>
        <v/>
      </c>
      <c r="I122" s="51" t="str">
        <f>IFERROR(__xludf.DUMMYFUNCTION("""COMPUTED_VALUE"""),"#VALUE!")</f>
        <v>#VALUE!</v>
      </c>
      <c r="J122" s="51" t="str">
        <f>IFERROR(__xludf.DUMMYFUNCTION("""COMPUTED_VALUE"""),"")</f>
        <v/>
      </c>
      <c r="K122" s="51"/>
      <c r="L122" s="51" t="s">
        <v>257</v>
      </c>
      <c r="M122" s="51"/>
      <c r="N122" s="51"/>
      <c r="O122" s="51"/>
      <c r="P122" s="51"/>
      <c r="Q122" s="51"/>
      <c r="R122" s="51"/>
      <c r="S122" s="51"/>
      <c r="T122" s="51"/>
    </row>
    <row r="123">
      <c r="A123" s="51"/>
      <c r="B123" s="51"/>
      <c r="C123" s="56"/>
      <c r="D123" s="51"/>
      <c r="E123" s="51"/>
      <c r="F123" s="51"/>
      <c r="G123" s="51" t="str">
        <f>IFERROR(__xludf.DUMMYFUNCTION("""COMPUTED_VALUE"""),"#VALUE!")</f>
        <v>#VALUE!</v>
      </c>
      <c r="H123" s="51" t="str">
        <f>IFERROR(__xludf.DUMMYFUNCTION("""COMPUTED_VALUE"""),"")</f>
        <v/>
      </c>
      <c r="I123" s="51" t="str">
        <f>IFERROR(__xludf.DUMMYFUNCTION("""COMPUTED_VALUE"""),"#VALUE!")</f>
        <v>#VALUE!</v>
      </c>
      <c r="J123" s="51" t="str">
        <f>IFERROR(__xludf.DUMMYFUNCTION("""COMPUTED_VALUE"""),"")</f>
        <v/>
      </c>
      <c r="K123" s="51"/>
      <c r="L123" s="51" t="s">
        <v>257</v>
      </c>
      <c r="M123" s="51"/>
      <c r="N123" s="51"/>
      <c r="O123" s="51"/>
      <c r="P123" s="51"/>
      <c r="Q123" s="51"/>
      <c r="R123" s="51"/>
      <c r="S123" s="51"/>
      <c r="T123" s="51"/>
    </row>
    <row r="124">
      <c r="A124" s="51"/>
      <c r="B124" s="51"/>
      <c r="C124" s="56"/>
      <c r="D124" s="51"/>
      <c r="E124" s="51"/>
      <c r="F124" s="51"/>
      <c r="G124" s="51" t="str">
        <f>IFERROR(__xludf.DUMMYFUNCTION("""COMPUTED_VALUE"""),"#VALUE!")</f>
        <v>#VALUE!</v>
      </c>
      <c r="H124" s="51" t="str">
        <f>IFERROR(__xludf.DUMMYFUNCTION("""COMPUTED_VALUE"""),"")</f>
        <v/>
      </c>
      <c r="I124" s="51" t="str">
        <f>IFERROR(__xludf.DUMMYFUNCTION("""COMPUTED_VALUE"""),"#VALUE!")</f>
        <v>#VALUE!</v>
      </c>
      <c r="J124" s="51" t="str">
        <f>IFERROR(__xludf.DUMMYFUNCTION("""COMPUTED_VALUE"""),"")</f>
        <v/>
      </c>
      <c r="K124" s="51"/>
      <c r="L124" s="51" t="s">
        <v>257</v>
      </c>
      <c r="M124" s="51"/>
      <c r="N124" s="51"/>
      <c r="O124" s="51"/>
      <c r="P124" s="51"/>
      <c r="Q124" s="51"/>
      <c r="R124" s="51"/>
      <c r="S124" s="51"/>
      <c r="T124" s="51"/>
    </row>
    <row r="125">
      <c r="A125" s="51"/>
      <c r="B125" s="51"/>
      <c r="C125" s="56"/>
      <c r="D125" s="51"/>
      <c r="E125" s="51"/>
      <c r="F125" s="51"/>
      <c r="G125" s="51" t="str">
        <f>IFERROR(__xludf.DUMMYFUNCTION("""COMPUTED_VALUE"""),"#VALUE!")</f>
        <v>#VALUE!</v>
      </c>
      <c r="H125" s="51" t="str">
        <f>IFERROR(__xludf.DUMMYFUNCTION("""COMPUTED_VALUE"""),"")</f>
        <v/>
      </c>
      <c r="I125" s="51" t="str">
        <f>IFERROR(__xludf.DUMMYFUNCTION("""COMPUTED_VALUE"""),"#VALUE!")</f>
        <v>#VALUE!</v>
      </c>
      <c r="J125" s="51" t="str">
        <f>IFERROR(__xludf.DUMMYFUNCTION("""COMPUTED_VALUE"""),"")</f>
        <v/>
      </c>
      <c r="K125" s="51"/>
      <c r="L125" s="51" t="s">
        <v>257</v>
      </c>
      <c r="M125" s="51"/>
      <c r="N125" s="51"/>
      <c r="O125" s="51"/>
      <c r="P125" s="51"/>
      <c r="Q125" s="51"/>
      <c r="R125" s="51"/>
      <c r="S125" s="51"/>
      <c r="T125" s="51"/>
    </row>
    <row r="126">
      <c r="A126" s="51"/>
      <c r="B126" s="51"/>
      <c r="C126" s="56"/>
      <c r="D126" s="51"/>
      <c r="E126" s="51"/>
      <c r="F126" s="51"/>
      <c r="G126" s="51" t="str">
        <f>IFERROR(__xludf.DUMMYFUNCTION("""COMPUTED_VALUE"""),"#VALUE!")</f>
        <v>#VALUE!</v>
      </c>
      <c r="H126" s="51" t="str">
        <f>IFERROR(__xludf.DUMMYFUNCTION("""COMPUTED_VALUE"""),"")</f>
        <v/>
      </c>
      <c r="I126" s="51" t="str">
        <f>IFERROR(__xludf.DUMMYFUNCTION("""COMPUTED_VALUE"""),"#VALUE!")</f>
        <v>#VALUE!</v>
      </c>
      <c r="J126" s="51" t="str">
        <f>IFERROR(__xludf.DUMMYFUNCTION("""COMPUTED_VALUE"""),"")</f>
        <v/>
      </c>
      <c r="K126" s="51"/>
      <c r="L126" s="51" t="s">
        <v>257</v>
      </c>
      <c r="M126" s="51"/>
      <c r="N126" s="51"/>
      <c r="O126" s="51"/>
      <c r="P126" s="51"/>
      <c r="Q126" s="51"/>
      <c r="R126" s="51"/>
      <c r="S126" s="51"/>
      <c r="T126" s="51"/>
    </row>
    <row r="127">
      <c r="A127" s="51"/>
      <c r="B127" s="51"/>
      <c r="C127" s="56"/>
      <c r="D127" s="51"/>
      <c r="E127" s="51"/>
      <c r="F127" s="51"/>
      <c r="G127" s="51" t="str">
        <f>IFERROR(__xludf.DUMMYFUNCTION("""COMPUTED_VALUE"""),"#VALUE!")</f>
        <v>#VALUE!</v>
      </c>
      <c r="H127" s="51" t="str">
        <f>IFERROR(__xludf.DUMMYFUNCTION("""COMPUTED_VALUE"""),"")</f>
        <v/>
      </c>
      <c r="I127" s="51" t="str">
        <f>IFERROR(__xludf.DUMMYFUNCTION("""COMPUTED_VALUE"""),"#VALUE!")</f>
        <v>#VALUE!</v>
      </c>
      <c r="J127" s="51" t="str">
        <f>IFERROR(__xludf.DUMMYFUNCTION("""COMPUTED_VALUE"""),"")</f>
        <v/>
      </c>
      <c r="K127" s="51"/>
      <c r="L127" s="51" t="s">
        <v>257</v>
      </c>
      <c r="M127" s="51"/>
      <c r="N127" s="51"/>
      <c r="O127" s="51"/>
      <c r="P127" s="51"/>
      <c r="Q127" s="51"/>
      <c r="R127" s="51"/>
      <c r="S127" s="51"/>
      <c r="T127" s="51"/>
    </row>
    <row r="128">
      <c r="A128" s="51"/>
      <c r="B128" s="51"/>
      <c r="C128" s="56"/>
      <c r="D128" s="51"/>
      <c r="E128" s="51"/>
      <c r="F128" s="51"/>
      <c r="G128" s="51" t="str">
        <f>IFERROR(__xludf.DUMMYFUNCTION("""COMPUTED_VALUE"""),"#VALUE!")</f>
        <v>#VALUE!</v>
      </c>
      <c r="H128" s="51" t="str">
        <f>IFERROR(__xludf.DUMMYFUNCTION("""COMPUTED_VALUE"""),"")</f>
        <v/>
      </c>
      <c r="I128" s="51" t="str">
        <f>IFERROR(__xludf.DUMMYFUNCTION("""COMPUTED_VALUE"""),"#VALUE!")</f>
        <v>#VALUE!</v>
      </c>
      <c r="J128" s="51" t="str">
        <f>IFERROR(__xludf.DUMMYFUNCTION("""COMPUTED_VALUE"""),"")</f>
        <v/>
      </c>
      <c r="K128" s="51"/>
      <c r="L128" s="51" t="s">
        <v>257</v>
      </c>
      <c r="M128" s="51"/>
      <c r="N128" s="51"/>
      <c r="O128" s="51"/>
      <c r="P128" s="51"/>
      <c r="Q128" s="51"/>
      <c r="R128" s="51"/>
      <c r="S128" s="51"/>
      <c r="T128" s="51"/>
    </row>
    <row r="129">
      <c r="A129" s="51"/>
      <c r="B129" s="51"/>
      <c r="C129" s="56"/>
      <c r="D129" s="51"/>
      <c r="E129" s="51"/>
      <c r="F129" s="51"/>
      <c r="G129" s="51" t="str">
        <f>IFERROR(__xludf.DUMMYFUNCTION("""COMPUTED_VALUE"""),"#VALUE!")</f>
        <v>#VALUE!</v>
      </c>
      <c r="H129" s="51" t="str">
        <f>IFERROR(__xludf.DUMMYFUNCTION("""COMPUTED_VALUE"""),"")</f>
        <v/>
      </c>
      <c r="I129" s="51" t="str">
        <f>IFERROR(__xludf.DUMMYFUNCTION("""COMPUTED_VALUE"""),"#VALUE!")</f>
        <v>#VALUE!</v>
      </c>
      <c r="J129" s="51" t="str">
        <f>IFERROR(__xludf.DUMMYFUNCTION("""COMPUTED_VALUE"""),"")</f>
        <v/>
      </c>
      <c r="K129" s="51"/>
      <c r="L129" s="51" t="s">
        <v>257</v>
      </c>
      <c r="M129" s="51"/>
      <c r="N129" s="51"/>
      <c r="O129" s="51"/>
      <c r="P129" s="51"/>
      <c r="Q129" s="51"/>
      <c r="R129" s="51"/>
      <c r="S129" s="51"/>
      <c r="T129" s="51"/>
    </row>
    <row r="130">
      <c r="A130" s="51"/>
      <c r="B130" s="51"/>
      <c r="C130" s="56"/>
      <c r="D130" s="51"/>
      <c r="E130" s="51"/>
      <c r="F130" s="51"/>
      <c r="G130" s="51" t="str">
        <f>IFERROR(__xludf.DUMMYFUNCTION("""COMPUTED_VALUE"""),"#VALUE!")</f>
        <v>#VALUE!</v>
      </c>
      <c r="H130" s="51" t="str">
        <f>IFERROR(__xludf.DUMMYFUNCTION("""COMPUTED_VALUE"""),"")</f>
        <v/>
      </c>
      <c r="I130" s="51" t="str">
        <f>IFERROR(__xludf.DUMMYFUNCTION("""COMPUTED_VALUE"""),"#VALUE!")</f>
        <v>#VALUE!</v>
      </c>
      <c r="J130" s="51" t="str">
        <f>IFERROR(__xludf.DUMMYFUNCTION("""COMPUTED_VALUE"""),"")</f>
        <v/>
      </c>
      <c r="K130" s="51"/>
      <c r="L130" s="51" t="s">
        <v>257</v>
      </c>
      <c r="M130" s="51"/>
      <c r="N130" s="51"/>
      <c r="O130" s="51"/>
      <c r="P130" s="51"/>
      <c r="Q130" s="51"/>
      <c r="R130" s="51"/>
      <c r="S130" s="51"/>
      <c r="T130" s="51"/>
    </row>
    <row r="131">
      <c r="A131" s="51"/>
      <c r="B131" s="51"/>
      <c r="C131" s="56"/>
      <c r="D131" s="51"/>
      <c r="E131" s="51"/>
      <c r="F131" s="51"/>
      <c r="G131" s="51" t="str">
        <f>IFERROR(__xludf.DUMMYFUNCTION("""COMPUTED_VALUE"""),"#VALUE!")</f>
        <v>#VALUE!</v>
      </c>
      <c r="H131" s="51" t="str">
        <f>IFERROR(__xludf.DUMMYFUNCTION("""COMPUTED_VALUE"""),"")</f>
        <v/>
      </c>
      <c r="I131" s="51" t="str">
        <f>IFERROR(__xludf.DUMMYFUNCTION("""COMPUTED_VALUE"""),"#VALUE!")</f>
        <v>#VALUE!</v>
      </c>
      <c r="J131" s="51" t="str">
        <f>IFERROR(__xludf.DUMMYFUNCTION("""COMPUTED_VALUE"""),"")</f>
        <v/>
      </c>
      <c r="K131" s="51"/>
      <c r="L131" s="51" t="s">
        <v>257</v>
      </c>
      <c r="M131" s="51"/>
      <c r="N131" s="51"/>
      <c r="O131" s="51"/>
      <c r="P131" s="51"/>
      <c r="Q131" s="51"/>
      <c r="R131" s="51"/>
      <c r="S131" s="51"/>
      <c r="T131" s="51"/>
    </row>
    <row r="132">
      <c r="A132" s="51"/>
      <c r="B132" s="51"/>
      <c r="C132" s="56"/>
      <c r="D132" s="51"/>
      <c r="E132" s="51"/>
      <c r="F132" s="51"/>
      <c r="G132" s="51" t="str">
        <f>IFERROR(__xludf.DUMMYFUNCTION("""COMPUTED_VALUE"""),"#VALUE!")</f>
        <v>#VALUE!</v>
      </c>
      <c r="H132" s="51" t="str">
        <f>IFERROR(__xludf.DUMMYFUNCTION("""COMPUTED_VALUE"""),"")</f>
        <v/>
      </c>
      <c r="I132" s="51" t="str">
        <f>IFERROR(__xludf.DUMMYFUNCTION("""COMPUTED_VALUE"""),"#VALUE!")</f>
        <v>#VALUE!</v>
      </c>
      <c r="J132" s="51" t="str">
        <f>IFERROR(__xludf.DUMMYFUNCTION("""COMPUTED_VALUE"""),"")</f>
        <v/>
      </c>
      <c r="K132" s="51"/>
      <c r="L132" s="51" t="s">
        <v>257</v>
      </c>
      <c r="M132" s="51"/>
      <c r="N132" s="51"/>
      <c r="O132" s="51"/>
      <c r="P132" s="51"/>
      <c r="Q132" s="51"/>
      <c r="R132" s="51"/>
      <c r="S132" s="51"/>
      <c r="T132" s="51"/>
    </row>
    <row r="133">
      <c r="A133" s="51"/>
      <c r="B133" s="51"/>
      <c r="C133" s="56"/>
      <c r="D133" s="51"/>
      <c r="E133" s="51"/>
      <c r="F133" s="51"/>
      <c r="G133" s="51" t="str">
        <f>IFERROR(__xludf.DUMMYFUNCTION("""COMPUTED_VALUE"""),"#VALUE!")</f>
        <v>#VALUE!</v>
      </c>
      <c r="H133" s="51" t="str">
        <f>IFERROR(__xludf.DUMMYFUNCTION("""COMPUTED_VALUE"""),"")</f>
        <v/>
      </c>
      <c r="I133" s="51" t="str">
        <f>IFERROR(__xludf.DUMMYFUNCTION("""COMPUTED_VALUE"""),"#VALUE!")</f>
        <v>#VALUE!</v>
      </c>
      <c r="J133" s="51" t="str">
        <f>IFERROR(__xludf.DUMMYFUNCTION("""COMPUTED_VALUE"""),"")</f>
        <v/>
      </c>
      <c r="K133" s="51"/>
      <c r="L133" s="51" t="s">
        <v>257</v>
      </c>
      <c r="M133" s="51"/>
      <c r="N133" s="51"/>
      <c r="O133" s="51"/>
      <c r="P133" s="51"/>
      <c r="Q133" s="51"/>
      <c r="R133" s="51"/>
      <c r="S133" s="51"/>
      <c r="T133" s="51"/>
    </row>
    <row r="134">
      <c r="A134" s="51"/>
      <c r="B134" s="51"/>
      <c r="C134" s="56"/>
      <c r="D134" s="51"/>
      <c r="E134" s="51"/>
      <c r="F134" s="51"/>
      <c r="G134" s="51" t="str">
        <f>IFERROR(__xludf.DUMMYFUNCTION("""COMPUTED_VALUE"""),"#VALUE!")</f>
        <v>#VALUE!</v>
      </c>
      <c r="H134" s="51" t="str">
        <f>IFERROR(__xludf.DUMMYFUNCTION("""COMPUTED_VALUE"""),"")</f>
        <v/>
      </c>
      <c r="I134" s="51" t="str">
        <f>IFERROR(__xludf.DUMMYFUNCTION("""COMPUTED_VALUE"""),"#VALUE!")</f>
        <v>#VALUE!</v>
      </c>
      <c r="J134" s="51" t="str">
        <f>IFERROR(__xludf.DUMMYFUNCTION("""COMPUTED_VALUE"""),"")</f>
        <v/>
      </c>
      <c r="K134" s="51"/>
      <c r="L134" s="51" t="s">
        <v>257</v>
      </c>
      <c r="M134" s="51"/>
      <c r="N134" s="51"/>
      <c r="O134" s="51"/>
      <c r="P134" s="51"/>
      <c r="Q134" s="51"/>
      <c r="R134" s="51"/>
      <c r="S134" s="51"/>
      <c r="T134" s="51"/>
    </row>
    <row r="135">
      <c r="A135" s="51"/>
      <c r="B135" s="51"/>
      <c r="C135" s="56"/>
      <c r="D135" s="51"/>
      <c r="E135" s="51"/>
      <c r="F135" s="51"/>
      <c r="G135" s="51" t="str">
        <f>IFERROR(__xludf.DUMMYFUNCTION("""COMPUTED_VALUE"""),"#VALUE!")</f>
        <v>#VALUE!</v>
      </c>
      <c r="H135" s="51" t="str">
        <f>IFERROR(__xludf.DUMMYFUNCTION("""COMPUTED_VALUE"""),"")</f>
        <v/>
      </c>
      <c r="I135" s="51" t="str">
        <f>IFERROR(__xludf.DUMMYFUNCTION("""COMPUTED_VALUE"""),"#VALUE!")</f>
        <v>#VALUE!</v>
      </c>
      <c r="J135" s="51" t="str">
        <f>IFERROR(__xludf.DUMMYFUNCTION("""COMPUTED_VALUE"""),"")</f>
        <v/>
      </c>
      <c r="K135" s="51"/>
      <c r="L135" s="51" t="s">
        <v>257</v>
      </c>
      <c r="M135" s="51"/>
      <c r="N135" s="51"/>
      <c r="O135" s="51"/>
      <c r="P135" s="51"/>
      <c r="Q135" s="51"/>
      <c r="R135" s="51"/>
      <c r="S135" s="51"/>
      <c r="T135" s="51"/>
    </row>
    <row r="136">
      <c r="A136" s="51"/>
      <c r="B136" s="51"/>
      <c r="C136" s="56"/>
      <c r="D136" s="51"/>
      <c r="E136" s="51"/>
      <c r="F136" s="51"/>
      <c r="G136" s="51" t="str">
        <f>IFERROR(__xludf.DUMMYFUNCTION("""COMPUTED_VALUE"""),"#VALUE!")</f>
        <v>#VALUE!</v>
      </c>
      <c r="H136" s="51" t="str">
        <f>IFERROR(__xludf.DUMMYFUNCTION("""COMPUTED_VALUE"""),"")</f>
        <v/>
      </c>
      <c r="I136" s="51" t="str">
        <f>IFERROR(__xludf.DUMMYFUNCTION("""COMPUTED_VALUE"""),"#VALUE!")</f>
        <v>#VALUE!</v>
      </c>
      <c r="J136" s="51" t="str">
        <f>IFERROR(__xludf.DUMMYFUNCTION("""COMPUTED_VALUE"""),"")</f>
        <v/>
      </c>
      <c r="K136" s="51"/>
      <c r="L136" s="51" t="s">
        <v>257</v>
      </c>
      <c r="M136" s="51"/>
      <c r="N136" s="51"/>
      <c r="O136" s="51"/>
      <c r="P136" s="51"/>
      <c r="Q136" s="51"/>
      <c r="R136" s="51"/>
      <c r="S136" s="51"/>
      <c r="T136" s="51"/>
    </row>
    <row r="137">
      <c r="A137" s="51"/>
      <c r="B137" s="51"/>
      <c r="C137" s="56"/>
      <c r="D137" s="51"/>
      <c r="E137" s="51"/>
      <c r="F137" s="51"/>
      <c r="G137" s="51" t="str">
        <f>IFERROR(__xludf.DUMMYFUNCTION("""COMPUTED_VALUE"""),"#VALUE!")</f>
        <v>#VALUE!</v>
      </c>
      <c r="H137" s="51" t="str">
        <f>IFERROR(__xludf.DUMMYFUNCTION("""COMPUTED_VALUE"""),"")</f>
        <v/>
      </c>
      <c r="I137" s="51" t="str">
        <f>IFERROR(__xludf.DUMMYFUNCTION("""COMPUTED_VALUE"""),"#VALUE!")</f>
        <v>#VALUE!</v>
      </c>
      <c r="J137" s="51" t="str">
        <f>IFERROR(__xludf.DUMMYFUNCTION("""COMPUTED_VALUE"""),"")</f>
        <v/>
      </c>
      <c r="K137" s="51"/>
      <c r="L137" s="51" t="s">
        <v>257</v>
      </c>
      <c r="M137" s="51"/>
      <c r="N137" s="51"/>
      <c r="O137" s="51"/>
      <c r="P137" s="51"/>
      <c r="Q137" s="51"/>
      <c r="R137" s="51"/>
      <c r="S137" s="51"/>
      <c r="T137" s="51"/>
    </row>
    <row r="138">
      <c r="A138" s="51"/>
      <c r="B138" s="51"/>
      <c r="C138" s="56"/>
      <c r="D138" s="51"/>
      <c r="E138" s="51"/>
      <c r="F138" s="51"/>
      <c r="G138" s="51" t="str">
        <f>IFERROR(__xludf.DUMMYFUNCTION("""COMPUTED_VALUE"""),"#VALUE!")</f>
        <v>#VALUE!</v>
      </c>
      <c r="H138" s="51" t="str">
        <f>IFERROR(__xludf.DUMMYFUNCTION("""COMPUTED_VALUE"""),"")</f>
        <v/>
      </c>
      <c r="I138" s="51" t="str">
        <f>IFERROR(__xludf.DUMMYFUNCTION("""COMPUTED_VALUE"""),"#VALUE!")</f>
        <v>#VALUE!</v>
      </c>
      <c r="J138" s="51" t="str">
        <f>IFERROR(__xludf.DUMMYFUNCTION("""COMPUTED_VALUE"""),"")</f>
        <v/>
      </c>
      <c r="K138" s="51"/>
      <c r="L138" s="51" t="s">
        <v>257</v>
      </c>
      <c r="M138" s="51"/>
      <c r="N138" s="51"/>
      <c r="O138" s="51"/>
      <c r="P138" s="51"/>
      <c r="Q138" s="51"/>
      <c r="R138" s="51"/>
      <c r="S138" s="51"/>
      <c r="T138" s="51"/>
    </row>
    <row r="139">
      <c r="A139" s="51"/>
      <c r="B139" s="51"/>
      <c r="C139" s="56"/>
      <c r="D139" s="51"/>
      <c r="E139" s="51"/>
      <c r="F139" s="51"/>
      <c r="G139" s="51" t="str">
        <f>IFERROR(__xludf.DUMMYFUNCTION("""COMPUTED_VALUE"""),"#VALUE!")</f>
        <v>#VALUE!</v>
      </c>
      <c r="H139" s="51" t="str">
        <f>IFERROR(__xludf.DUMMYFUNCTION("""COMPUTED_VALUE"""),"")</f>
        <v/>
      </c>
      <c r="I139" s="51" t="str">
        <f>IFERROR(__xludf.DUMMYFUNCTION("""COMPUTED_VALUE"""),"#VALUE!")</f>
        <v>#VALUE!</v>
      </c>
      <c r="J139" s="51" t="str">
        <f>IFERROR(__xludf.DUMMYFUNCTION("""COMPUTED_VALUE"""),"")</f>
        <v/>
      </c>
      <c r="K139" s="51"/>
      <c r="L139" s="51" t="s">
        <v>257</v>
      </c>
      <c r="M139" s="51"/>
      <c r="N139" s="51"/>
      <c r="O139" s="51"/>
      <c r="P139" s="51"/>
      <c r="Q139" s="51"/>
      <c r="R139" s="51"/>
      <c r="S139" s="51"/>
      <c r="T139" s="51"/>
    </row>
    <row r="140">
      <c r="A140" s="51"/>
      <c r="B140" s="51"/>
      <c r="C140" s="56"/>
      <c r="D140" s="51"/>
      <c r="E140" s="51"/>
      <c r="F140" s="51"/>
      <c r="G140" s="51" t="str">
        <f>IFERROR(__xludf.DUMMYFUNCTION("""COMPUTED_VALUE"""),"#VALUE!")</f>
        <v>#VALUE!</v>
      </c>
      <c r="H140" s="51" t="str">
        <f>IFERROR(__xludf.DUMMYFUNCTION("""COMPUTED_VALUE"""),"")</f>
        <v/>
      </c>
      <c r="I140" s="51" t="str">
        <f>IFERROR(__xludf.DUMMYFUNCTION("""COMPUTED_VALUE"""),"#VALUE!")</f>
        <v>#VALUE!</v>
      </c>
      <c r="J140" s="51" t="str">
        <f>IFERROR(__xludf.DUMMYFUNCTION("""COMPUTED_VALUE"""),"")</f>
        <v/>
      </c>
      <c r="K140" s="51"/>
      <c r="L140" s="51" t="s">
        <v>257</v>
      </c>
      <c r="M140" s="51"/>
      <c r="N140" s="51"/>
      <c r="O140" s="51"/>
      <c r="P140" s="51"/>
      <c r="Q140" s="51"/>
      <c r="R140" s="51"/>
      <c r="S140" s="51"/>
      <c r="T140" s="51"/>
    </row>
    <row r="141">
      <c r="A141" s="51"/>
      <c r="B141" s="51"/>
      <c r="C141" s="56"/>
      <c r="D141" s="51"/>
      <c r="E141" s="51"/>
      <c r="F141" s="51"/>
      <c r="G141" s="51" t="str">
        <f>IFERROR(__xludf.DUMMYFUNCTION("""COMPUTED_VALUE"""),"#VALUE!")</f>
        <v>#VALUE!</v>
      </c>
      <c r="H141" s="51" t="str">
        <f>IFERROR(__xludf.DUMMYFUNCTION("""COMPUTED_VALUE"""),"")</f>
        <v/>
      </c>
      <c r="I141" s="51" t="str">
        <f>IFERROR(__xludf.DUMMYFUNCTION("""COMPUTED_VALUE"""),"#VALUE!")</f>
        <v>#VALUE!</v>
      </c>
      <c r="J141" s="51" t="str">
        <f>IFERROR(__xludf.DUMMYFUNCTION("""COMPUTED_VALUE"""),"")</f>
        <v/>
      </c>
      <c r="K141" s="51"/>
      <c r="L141" s="51" t="s">
        <v>257</v>
      </c>
      <c r="M141" s="51"/>
      <c r="N141" s="51"/>
      <c r="O141" s="51"/>
      <c r="P141" s="51"/>
      <c r="Q141" s="51"/>
      <c r="R141" s="51"/>
      <c r="S141" s="51"/>
      <c r="T141" s="51"/>
    </row>
    <row r="142">
      <c r="A142" s="51"/>
      <c r="B142" s="51"/>
      <c r="C142" s="56"/>
      <c r="D142" s="51"/>
      <c r="E142" s="51"/>
      <c r="F142" s="51"/>
      <c r="G142" s="51" t="str">
        <f>IFERROR(__xludf.DUMMYFUNCTION("""COMPUTED_VALUE"""),"#VALUE!")</f>
        <v>#VALUE!</v>
      </c>
      <c r="H142" s="51" t="str">
        <f>IFERROR(__xludf.DUMMYFUNCTION("""COMPUTED_VALUE"""),"")</f>
        <v/>
      </c>
      <c r="I142" s="51" t="str">
        <f>IFERROR(__xludf.DUMMYFUNCTION("""COMPUTED_VALUE"""),"#VALUE!")</f>
        <v>#VALUE!</v>
      </c>
      <c r="J142" s="51" t="str">
        <f>IFERROR(__xludf.DUMMYFUNCTION("""COMPUTED_VALUE"""),"")</f>
        <v/>
      </c>
      <c r="K142" s="51"/>
      <c r="L142" s="51" t="s">
        <v>257</v>
      </c>
      <c r="M142" s="51"/>
      <c r="N142" s="51"/>
      <c r="O142" s="51"/>
      <c r="P142" s="51"/>
      <c r="Q142" s="51"/>
      <c r="R142" s="51"/>
      <c r="S142" s="51"/>
      <c r="T142" s="51"/>
    </row>
    <row r="143">
      <c r="A143" s="51"/>
      <c r="B143" s="51"/>
      <c r="C143" s="56"/>
      <c r="D143" s="51"/>
      <c r="E143" s="51"/>
      <c r="F143" s="51"/>
      <c r="G143" s="51" t="str">
        <f>IFERROR(__xludf.DUMMYFUNCTION("""COMPUTED_VALUE"""),"#VALUE!")</f>
        <v>#VALUE!</v>
      </c>
      <c r="H143" s="51" t="str">
        <f>IFERROR(__xludf.DUMMYFUNCTION("""COMPUTED_VALUE"""),"")</f>
        <v/>
      </c>
      <c r="I143" s="51" t="str">
        <f>IFERROR(__xludf.DUMMYFUNCTION("""COMPUTED_VALUE"""),"#VALUE!")</f>
        <v>#VALUE!</v>
      </c>
      <c r="J143" s="51" t="str">
        <f>IFERROR(__xludf.DUMMYFUNCTION("""COMPUTED_VALUE"""),"")</f>
        <v/>
      </c>
      <c r="K143" s="51"/>
      <c r="L143" s="51" t="s">
        <v>257</v>
      </c>
      <c r="M143" s="51"/>
      <c r="N143" s="51"/>
      <c r="O143" s="51"/>
      <c r="P143" s="51"/>
      <c r="Q143" s="51"/>
      <c r="R143" s="51"/>
      <c r="S143" s="51"/>
      <c r="T143" s="51"/>
    </row>
    <row r="144">
      <c r="A144" s="51"/>
      <c r="B144" s="51"/>
      <c r="C144" s="56"/>
      <c r="D144" s="51"/>
      <c r="E144" s="51"/>
      <c r="F144" s="51"/>
      <c r="G144" s="51" t="str">
        <f>IFERROR(__xludf.DUMMYFUNCTION("""COMPUTED_VALUE"""),"#VALUE!")</f>
        <v>#VALUE!</v>
      </c>
      <c r="H144" s="51" t="str">
        <f>IFERROR(__xludf.DUMMYFUNCTION("""COMPUTED_VALUE"""),"")</f>
        <v/>
      </c>
      <c r="I144" s="51" t="str">
        <f>IFERROR(__xludf.DUMMYFUNCTION("""COMPUTED_VALUE"""),"#VALUE!")</f>
        <v>#VALUE!</v>
      </c>
      <c r="J144" s="51" t="str">
        <f>IFERROR(__xludf.DUMMYFUNCTION("""COMPUTED_VALUE"""),"")</f>
        <v/>
      </c>
      <c r="K144" s="51"/>
      <c r="L144" s="51" t="s">
        <v>257</v>
      </c>
      <c r="M144" s="51"/>
      <c r="N144" s="51"/>
      <c r="O144" s="51"/>
      <c r="P144" s="51"/>
      <c r="Q144" s="51"/>
      <c r="R144" s="51"/>
      <c r="S144" s="51"/>
      <c r="T144" s="51"/>
    </row>
    <row r="145">
      <c r="A145" s="51"/>
      <c r="B145" s="51"/>
      <c r="C145" s="56"/>
      <c r="D145" s="51"/>
      <c r="E145" s="51"/>
      <c r="F145" s="51"/>
      <c r="G145" s="51" t="str">
        <f>IFERROR(__xludf.DUMMYFUNCTION("""COMPUTED_VALUE"""),"#VALUE!")</f>
        <v>#VALUE!</v>
      </c>
      <c r="H145" s="51" t="str">
        <f>IFERROR(__xludf.DUMMYFUNCTION("""COMPUTED_VALUE"""),"")</f>
        <v/>
      </c>
      <c r="I145" s="51" t="str">
        <f>IFERROR(__xludf.DUMMYFUNCTION("""COMPUTED_VALUE"""),"#VALUE!")</f>
        <v>#VALUE!</v>
      </c>
      <c r="J145" s="51" t="str">
        <f>IFERROR(__xludf.DUMMYFUNCTION("""COMPUTED_VALUE"""),"")</f>
        <v/>
      </c>
      <c r="K145" s="51"/>
      <c r="L145" s="51" t="s">
        <v>257</v>
      </c>
      <c r="M145" s="51"/>
      <c r="N145" s="51"/>
      <c r="O145" s="51"/>
      <c r="P145" s="51"/>
      <c r="Q145" s="51"/>
      <c r="R145" s="51"/>
      <c r="S145" s="51"/>
      <c r="T145" s="51"/>
    </row>
    <row r="146">
      <c r="A146" s="51"/>
      <c r="B146" s="51"/>
      <c r="C146" s="56"/>
      <c r="D146" s="51"/>
      <c r="E146" s="51"/>
      <c r="F146" s="51"/>
      <c r="G146" s="51" t="str">
        <f>IFERROR(__xludf.DUMMYFUNCTION("""COMPUTED_VALUE"""),"#VALUE!")</f>
        <v>#VALUE!</v>
      </c>
      <c r="H146" s="51" t="str">
        <f>IFERROR(__xludf.DUMMYFUNCTION("""COMPUTED_VALUE"""),"")</f>
        <v/>
      </c>
      <c r="I146" s="51" t="str">
        <f>IFERROR(__xludf.DUMMYFUNCTION("""COMPUTED_VALUE"""),"#VALUE!")</f>
        <v>#VALUE!</v>
      </c>
      <c r="J146" s="51" t="str">
        <f>IFERROR(__xludf.DUMMYFUNCTION("""COMPUTED_VALUE"""),"")</f>
        <v/>
      </c>
      <c r="K146" s="51"/>
      <c r="L146" s="51" t="s">
        <v>257</v>
      </c>
      <c r="M146" s="51"/>
      <c r="N146" s="51"/>
      <c r="O146" s="51"/>
      <c r="P146" s="51"/>
      <c r="Q146" s="51"/>
      <c r="R146" s="51"/>
      <c r="S146" s="51"/>
      <c r="T146" s="51"/>
    </row>
    <row r="147">
      <c r="A147" s="51"/>
      <c r="B147" s="51"/>
      <c r="C147" s="56"/>
      <c r="D147" s="51"/>
      <c r="E147" s="51"/>
      <c r="F147" s="51"/>
      <c r="G147" s="51" t="str">
        <f>IFERROR(__xludf.DUMMYFUNCTION("""COMPUTED_VALUE"""),"#VALUE!")</f>
        <v>#VALUE!</v>
      </c>
      <c r="H147" s="51" t="str">
        <f>IFERROR(__xludf.DUMMYFUNCTION("""COMPUTED_VALUE"""),"")</f>
        <v/>
      </c>
      <c r="I147" s="51" t="str">
        <f>IFERROR(__xludf.DUMMYFUNCTION("""COMPUTED_VALUE"""),"#VALUE!")</f>
        <v>#VALUE!</v>
      </c>
      <c r="J147" s="51" t="str">
        <f>IFERROR(__xludf.DUMMYFUNCTION("""COMPUTED_VALUE"""),"")</f>
        <v/>
      </c>
      <c r="K147" s="51"/>
      <c r="L147" s="51" t="s">
        <v>257</v>
      </c>
      <c r="M147" s="51"/>
      <c r="N147" s="51"/>
      <c r="O147" s="51"/>
      <c r="P147" s="51"/>
      <c r="Q147" s="51"/>
      <c r="R147" s="51"/>
      <c r="S147" s="51"/>
      <c r="T147" s="51"/>
    </row>
    <row r="148">
      <c r="A148" s="51"/>
      <c r="B148" s="51"/>
      <c r="C148" s="56"/>
      <c r="D148" s="51"/>
      <c r="E148" s="51"/>
      <c r="F148" s="51"/>
      <c r="G148" s="51" t="str">
        <f>IFERROR(__xludf.DUMMYFUNCTION("""COMPUTED_VALUE"""),"#VALUE!")</f>
        <v>#VALUE!</v>
      </c>
      <c r="H148" s="51" t="str">
        <f>IFERROR(__xludf.DUMMYFUNCTION("""COMPUTED_VALUE"""),"")</f>
        <v/>
      </c>
      <c r="I148" s="51" t="str">
        <f>IFERROR(__xludf.DUMMYFUNCTION("""COMPUTED_VALUE"""),"#VALUE!")</f>
        <v>#VALUE!</v>
      </c>
      <c r="J148" s="51" t="str">
        <f>IFERROR(__xludf.DUMMYFUNCTION("""COMPUTED_VALUE"""),"")</f>
        <v/>
      </c>
      <c r="K148" s="51"/>
      <c r="L148" s="51" t="s">
        <v>257</v>
      </c>
      <c r="M148" s="51"/>
      <c r="N148" s="51"/>
      <c r="O148" s="51"/>
      <c r="P148" s="51"/>
      <c r="Q148" s="51"/>
      <c r="R148" s="51"/>
      <c r="S148" s="51"/>
      <c r="T148" s="51"/>
    </row>
    <row r="149">
      <c r="A149" s="51"/>
      <c r="B149" s="51"/>
      <c r="C149" s="56"/>
      <c r="D149" s="51"/>
      <c r="E149" s="51"/>
      <c r="F149" s="51"/>
      <c r="G149" s="51" t="str">
        <f>IFERROR(__xludf.DUMMYFUNCTION("""COMPUTED_VALUE"""),"#VALUE!")</f>
        <v>#VALUE!</v>
      </c>
      <c r="H149" s="51" t="str">
        <f>IFERROR(__xludf.DUMMYFUNCTION("""COMPUTED_VALUE"""),"")</f>
        <v/>
      </c>
      <c r="I149" s="51" t="str">
        <f>IFERROR(__xludf.DUMMYFUNCTION("""COMPUTED_VALUE"""),"#VALUE!")</f>
        <v>#VALUE!</v>
      </c>
      <c r="J149" s="51" t="str">
        <f>IFERROR(__xludf.DUMMYFUNCTION("""COMPUTED_VALUE"""),"")</f>
        <v/>
      </c>
      <c r="K149" s="51"/>
      <c r="L149" s="51" t="s">
        <v>257</v>
      </c>
      <c r="M149" s="51"/>
      <c r="N149" s="51"/>
      <c r="O149" s="51"/>
      <c r="P149" s="51"/>
      <c r="Q149" s="51"/>
      <c r="R149" s="51"/>
      <c r="S149" s="51"/>
      <c r="T149" s="51"/>
    </row>
    <row r="150">
      <c r="A150" s="51"/>
      <c r="B150" s="51"/>
      <c r="C150" s="56"/>
      <c r="D150" s="51"/>
      <c r="E150" s="51"/>
      <c r="F150" s="51"/>
      <c r="G150" s="51" t="str">
        <f>IFERROR(__xludf.DUMMYFUNCTION("""COMPUTED_VALUE"""),"#VALUE!")</f>
        <v>#VALUE!</v>
      </c>
      <c r="H150" s="51" t="str">
        <f>IFERROR(__xludf.DUMMYFUNCTION("""COMPUTED_VALUE"""),"")</f>
        <v/>
      </c>
      <c r="I150" s="51" t="str">
        <f>IFERROR(__xludf.DUMMYFUNCTION("""COMPUTED_VALUE"""),"#VALUE!")</f>
        <v>#VALUE!</v>
      </c>
      <c r="J150" s="51" t="str">
        <f>IFERROR(__xludf.DUMMYFUNCTION("""COMPUTED_VALUE"""),"")</f>
        <v/>
      </c>
      <c r="K150" s="51"/>
      <c r="L150" s="51" t="s">
        <v>257</v>
      </c>
      <c r="M150" s="51"/>
      <c r="N150" s="51"/>
      <c r="O150" s="51"/>
      <c r="P150" s="51"/>
      <c r="Q150" s="51"/>
      <c r="R150" s="51"/>
      <c r="S150" s="51"/>
      <c r="T150" s="51"/>
    </row>
    <row r="151">
      <c r="A151" s="51"/>
      <c r="B151" s="51"/>
      <c r="C151" s="56"/>
      <c r="D151" s="51"/>
      <c r="E151" s="51"/>
      <c r="F151" s="51"/>
      <c r="G151" s="51" t="str">
        <f>IFERROR(__xludf.DUMMYFUNCTION("""COMPUTED_VALUE"""),"#VALUE!")</f>
        <v>#VALUE!</v>
      </c>
      <c r="H151" s="51" t="str">
        <f>IFERROR(__xludf.DUMMYFUNCTION("""COMPUTED_VALUE"""),"")</f>
        <v/>
      </c>
      <c r="I151" s="51" t="str">
        <f>IFERROR(__xludf.DUMMYFUNCTION("""COMPUTED_VALUE"""),"#VALUE!")</f>
        <v>#VALUE!</v>
      </c>
      <c r="J151" s="51" t="str">
        <f>IFERROR(__xludf.DUMMYFUNCTION("""COMPUTED_VALUE"""),"")</f>
        <v/>
      </c>
      <c r="K151" s="51"/>
      <c r="L151" s="51" t="s">
        <v>257</v>
      </c>
      <c r="M151" s="51"/>
      <c r="N151" s="51"/>
      <c r="O151" s="51"/>
      <c r="P151" s="51"/>
      <c r="Q151" s="51"/>
      <c r="R151" s="51"/>
      <c r="S151" s="51"/>
      <c r="T151" s="51"/>
    </row>
    <row r="152">
      <c r="A152" s="51"/>
      <c r="B152" s="51"/>
      <c r="C152" s="56"/>
      <c r="D152" s="51"/>
      <c r="E152" s="51"/>
      <c r="F152" s="51"/>
      <c r="G152" s="51" t="str">
        <f>IFERROR(__xludf.DUMMYFUNCTION("""COMPUTED_VALUE"""),"#VALUE!")</f>
        <v>#VALUE!</v>
      </c>
      <c r="H152" s="51" t="str">
        <f>IFERROR(__xludf.DUMMYFUNCTION("""COMPUTED_VALUE"""),"")</f>
        <v/>
      </c>
      <c r="I152" s="51" t="str">
        <f>IFERROR(__xludf.DUMMYFUNCTION("""COMPUTED_VALUE"""),"#VALUE!")</f>
        <v>#VALUE!</v>
      </c>
      <c r="J152" s="51" t="str">
        <f>IFERROR(__xludf.DUMMYFUNCTION("""COMPUTED_VALUE"""),"")</f>
        <v/>
      </c>
      <c r="K152" s="51"/>
      <c r="L152" s="51" t="s">
        <v>257</v>
      </c>
      <c r="M152" s="51"/>
      <c r="N152" s="51"/>
      <c r="O152" s="51"/>
      <c r="P152" s="51"/>
      <c r="Q152" s="51"/>
      <c r="R152" s="51"/>
      <c r="S152" s="51"/>
      <c r="T152" s="51"/>
    </row>
    <row r="153">
      <c r="A153" s="51"/>
      <c r="B153" s="51"/>
      <c r="C153" s="56"/>
      <c r="D153" s="51"/>
      <c r="E153" s="51"/>
      <c r="F153" s="51"/>
      <c r="G153" s="51" t="str">
        <f>IFERROR(__xludf.DUMMYFUNCTION("""COMPUTED_VALUE"""),"#VALUE!")</f>
        <v>#VALUE!</v>
      </c>
      <c r="H153" s="51" t="str">
        <f>IFERROR(__xludf.DUMMYFUNCTION("""COMPUTED_VALUE"""),"")</f>
        <v/>
      </c>
      <c r="I153" s="51" t="str">
        <f>IFERROR(__xludf.DUMMYFUNCTION("""COMPUTED_VALUE"""),"#VALUE!")</f>
        <v>#VALUE!</v>
      </c>
      <c r="J153" s="51" t="str">
        <f>IFERROR(__xludf.DUMMYFUNCTION("""COMPUTED_VALUE"""),"")</f>
        <v/>
      </c>
      <c r="K153" s="51"/>
      <c r="L153" s="51" t="s">
        <v>257</v>
      </c>
      <c r="M153" s="51"/>
      <c r="N153" s="51"/>
      <c r="O153" s="51"/>
      <c r="P153" s="51"/>
      <c r="Q153" s="51"/>
      <c r="R153" s="51"/>
      <c r="S153" s="51"/>
      <c r="T153" s="51"/>
    </row>
    <row r="154">
      <c r="A154" s="51"/>
      <c r="B154" s="51"/>
      <c r="C154" s="56"/>
      <c r="D154" s="51"/>
      <c r="E154" s="51"/>
      <c r="F154" s="51"/>
      <c r="G154" s="51" t="str">
        <f>IFERROR(__xludf.DUMMYFUNCTION("""COMPUTED_VALUE"""),"#VALUE!")</f>
        <v>#VALUE!</v>
      </c>
      <c r="H154" s="51" t="str">
        <f>IFERROR(__xludf.DUMMYFUNCTION("""COMPUTED_VALUE"""),"")</f>
        <v/>
      </c>
      <c r="I154" s="51" t="str">
        <f>IFERROR(__xludf.DUMMYFUNCTION("""COMPUTED_VALUE"""),"#VALUE!")</f>
        <v>#VALUE!</v>
      </c>
      <c r="J154" s="51" t="str">
        <f>IFERROR(__xludf.DUMMYFUNCTION("""COMPUTED_VALUE"""),"")</f>
        <v/>
      </c>
      <c r="K154" s="51"/>
      <c r="L154" s="51" t="s">
        <v>257</v>
      </c>
      <c r="M154" s="51"/>
      <c r="N154" s="51"/>
      <c r="O154" s="51"/>
      <c r="P154" s="51"/>
      <c r="Q154" s="51"/>
      <c r="R154" s="51"/>
      <c r="S154" s="51"/>
      <c r="T154" s="51"/>
    </row>
    <row r="155">
      <c r="A155" s="51"/>
      <c r="B155" s="51"/>
      <c r="C155" s="56"/>
      <c r="D155" s="51"/>
      <c r="E155" s="51"/>
      <c r="F155" s="51"/>
      <c r="G155" s="51" t="str">
        <f>IFERROR(__xludf.DUMMYFUNCTION("""COMPUTED_VALUE"""),"#VALUE!")</f>
        <v>#VALUE!</v>
      </c>
      <c r="H155" s="51" t="str">
        <f>IFERROR(__xludf.DUMMYFUNCTION("""COMPUTED_VALUE"""),"")</f>
        <v/>
      </c>
      <c r="I155" s="51" t="str">
        <f>IFERROR(__xludf.DUMMYFUNCTION("""COMPUTED_VALUE"""),"#VALUE!")</f>
        <v>#VALUE!</v>
      </c>
      <c r="J155" s="51" t="str">
        <f>IFERROR(__xludf.DUMMYFUNCTION("""COMPUTED_VALUE"""),"")</f>
        <v/>
      </c>
      <c r="K155" s="51"/>
      <c r="L155" s="51" t="s">
        <v>257</v>
      </c>
      <c r="M155" s="51"/>
      <c r="N155" s="51"/>
      <c r="O155" s="51"/>
      <c r="P155" s="51"/>
      <c r="Q155" s="51"/>
      <c r="R155" s="51"/>
      <c r="S155" s="51"/>
      <c r="T155" s="51"/>
    </row>
    <row r="156">
      <c r="A156" s="51"/>
      <c r="B156" s="51"/>
      <c r="C156" s="56"/>
      <c r="D156" s="51"/>
      <c r="E156" s="51"/>
      <c r="F156" s="51"/>
      <c r="G156" s="51" t="str">
        <f>IFERROR(__xludf.DUMMYFUNCTION("""COMPUTED_VALUE"""),"#VALUE!")</f>
        <v>#VALUE!</v>
      </c>
      <c r="H156" s="51" t="str">
        <f>IFERROR(__xludf.DUMMYFUNCTION("""COMPUTED_VALUE"""),"")</f>
        <v/>
      </c>
      <c r="I156" s="51" t="str">
        <f>IFERROR(__xludf.DUMMYFUNCTION("""COMPUTED_VALUE"""),"#VALUE!")</f>
        <v>#VALUE!</v>
      </c>
      <c r="J156" s="51" t="str">
        <f>IFERROR(__xludf.DUMMYFUNCTION("""COMPUTED_VALUE"""),"")</f>
        <v/>
      </c>
      <c r="K156" s="51"/>
      <c r="L156" s="51" t="s">
        <v>257</v>
      </c>
      <c r="M156" s="51"/>
      <c r="N156" s="51"/>
      <c r="O156" s="51"/>
      <c r="P156" s="51"/>
      <c r="Q156" s="51"/>
      <c r="R156" s="51"/>
      <c r="S156" s="51"/>
      <c r="T156" s="51"/>
    </row>
    <row r="157">
      <c r="A157" s="51"/>
      <c r="B157" s="51"/>
      <c r="C157" s="56"/>
      <c r="D157" s="51"/>
      <c r="E157" s="51"/>
      <c r="F157" s="51"/>
      <c r="G157" s="51" t="str">
        <f>IFERROR(__xludf.DUMMYFUNCTION("""COMPUTED_VALUE"""),"#VALUE!")</f>
        <v>#VALUE!</v>
      </c>
      <c r="H157" s="51" t="str">
        <f>IFERROR(__xludf.DUMMYFUNCTION("""COMPUTED_VALUE"""),"")</f>
        <v/>
      </c>
      <c r="I157" s="51" t="str">
        <f>IFERROR(__xludf.DUMMYFUNCTION("""COMPUTED_VALUE"""),"#VALUE!")</f>
        <v>#VALUE!</v>
      </c>
      <c r="J157" s="51" t="str">
        <f>IFERROR(__xludf.DUMMYFUNCTION("""COMPUTED_VALUE"""),"")</f>
        <v/>
      </c>
      <c r="K157" s="51"/>
      <c r="L157" s="51" t="s">
        <v>257</v>
      </c>
      <c r="M157" s="51"/>
      <c r="N157" s="51"/>
      <c r="O157" s="51"/>
      <c r="P157" s="51"/>
      <c r="Q157" s="51"/>
      <c r="R157" s="51"/>
      <c r="S157" s="51"/>
      <c r="T157" s="51"/>
    </row>
    <row r="158">
      <c r="A158" s="51"/>
      <c r="B158" s="51"/>
      <c r="C158" s="56"/>
      <c r="D158" s="51"/>
      <c r="E158" s="51"/>
      <c r="F158" s="51"/>
      <c r="G158" s="51" t="str">
        <f>IFERROR(__xludf.DUMMYFUNCTION("""COMPUTED_VALUE"""),"#VALUE!")</f>
        <v>#VALUE!</v>
      </c>
      <c r="H158" s="51" t="str">
        <f>IFERROR(__xludf.DUMMYFUNCTION("""COMPUTED_VALUE"""),"")</f>
        <v/>
      </c>
      <c r="I158" s="51" t="str">
        <f>IFERROR(__xludf.DUMMYFUNCTION("""COMPUTED_VALUE"""),"#VALUE!")</f>
        <v>#VALUE!</v>
      </c>
      <c r="J158" s="51" t="str">
        <f>IFERROR(__xludf.DUMMYFUNCTION("""COMPUTED_VALUE"""),"")</f>
        <v/>
      </c>
      <c r="K158" s="51"/>
      <c r="L158" s="51" t="s">
        <v>257</v>
      </c>
      <c r="M158" s="51"/>
      <c r="N158" s="51"/>
      <c r="O158" s="51"/>
      <c r="P158" s="51"/>
      <c r="Q158" s="51"/>
      <c r="R158" s="51"/>
      <c r="S158" s="51"/>
      <c r="T158" s="51"/>
    </row>
    <row r="159">
      <c r="A159" s="51"/>
      <c r="B159" s="51"/>
      <c r="C159" s="56"/>
      <c r="D159" s="51"/>
      <c r="E159" s="51"/>
      <c r="F159" s="51"/>
      <c r="G159" s="51" t="str">
        <f>IFERROR(__xludf.DUMMYFUNCTION("""COMPUTED_VALUE"""),"#VALUE!")</f>
        <v>#VALUE!</v>
      </c>
      <c r="H159" s="51" t="str">
        <f>IFERROR(__xludf.DUMMYFUNCTION("""COMPUTED_VALUE"""),"")</f>
        <v/>
      </c>
      <c r="I159" s="51" t="str">
        <f>IFERROR(__xludf.DUMMYFUNCTION("""COMPUTED_VALUE"""),"#VALUE!")</f>
        <v>#VALUE!</v>
      </c>
      <c r="J159" s="51" t="str">
        <f>IFERROR(__xludf.DUMMYFUNCTION("""COMPUTED_VALUE"""),"")</f>
        <v/>
      </c>
      <c r="K159" s="51"/>
      <c r="L159" s="51" t="s">
        <v>257</v>
      </c>
      <c r="M159" s="51"/>
      <c r="N159" s="51"/>
      <c r="O159" s="51"/>
      <c r="P159" s="51"/>
      <c r="Q159" s="51"/>
      <c r="R159" s="51"/>
      <c r="S159" s="51"/>
      <c r="T159" s="51"/>
    </row>
    <row r="160">
      <c r="A160" s="51"/>
      <c r="B160" s="51"/>
      <c r="C160" s="56"/>
      <c r="D160" s="51"/>
      <c r="E160" s="51"/>
      <c r="F160" s="51"/>
      <c r="G160" s="51" t="str">
        <f>IFERROR(__xludf.DUMMYFUNCTION("""COMPUTED_VALUE"""),"#VALUE!")</f>
        <v>#VALUE!</v>
      </c>
      <c r="H160" s="51" t="str">
        <f>IFERROR(__xludf.DUMMYFUNCTION("""COMPUTED_VALUE"""),"")</f>
        <v/>
      </c>
      <c r="I160" s="51" t="str">
        <f>IFERROR(__xludf.DUMMYFUNCTION("""COMPUTED_VALUE"""),"#VALUE!")</f>
        <v>#VALUE!</v>
      </c>
      <c r="J160" s="51" t="str">
        <f>IFERROR(__xludf.DUMMYFUNCTION("""COMPUTED_VALUE"""),"")</f>
        <v/>
      </c>
      <c r="K160" s="51"/>
      <c r="L160" s="51" t="s">
        <v>257</v>
      </c>
      <c r="M160" s="51"/>
      <c r="N160" s="51"/>
      <c r="O160" s="51"/>
      <c r="P160" s="51"/>
      <c r="Q160" s="51"/>
      <c r="R160" s="51"/>
      <c r="S160" s="51"/>
      <c r="T160" s="51"/>
    </row>
    <row r="161">
      <c r="A161" s="51"/>
      <c r="B161" s="51"/>
      <c r="C161" s="56"/>
      <c r="D161" s="51"/>
      <c r="E161" s="51"/>
      <c r="F161" s="51"/>
      <c r="G161" s="51" t="str">
        <f>IFERROR(__xludf.DUMMYFUNCTION("""COMPUTED_VALUE"""),"#VALUE!")</f>
        <v>#VALUE!</v>
      </c>
      <c r="H161" s="51" t="str">
        <f>IFERROR(__xludf.DUMMYFUNCTION("""COMPUTED_VALUE"""),"")</f>
        <v/>
      </c>
      <c r="I161" s="51" t="str">
        <f>IFERROR(__xludf.DUMMYFUNCTION("""COMPUTED_VALUE"""),"#VALUE!")</f>
        <v>#VALUE!</v>
      </c>
      <c r="J161" s="51" t="str">
        <f>IFERROR(__xludf.DUMMYFUNCTION("""COMPUTED_VALUE"""),"")</f>
        <v/>
      </c>
      <c r="K161" s="51"/>
      <c r="L161" s="51" t="s">
        <v>257</v>
      </c>
      <c r="M161" s="51"/>
      <c r="N161" s="51"/>
      <c r="O161" s="51"/>
      <c r="P161" s="51"/>
      <c r="Q161" s="51"/>
      <c r="R161" s="51"/>
      <c r="S161" s="51"/>
      <c r="T161" s="51"/>
    </row>
    <row r="162">
      <c r="A162" s="51"/>
      <c r="B162" s="51"/>
      <c r="C162" s="56"/>
      <c r="D162" s="51"/>
      <c r="E162" s="51"/>
      <c r="F162" s="51"/>
      <c r="G162" s="51" t="str">
        <f>IFERROR(__xludf.DUMMYFUNCTION("""COMPUTED_VALUE"""),"#VALUE!")</f>
        <v>#VALUE!</v>
      </c>
      <c r="H162" s="51" t="str">
        <f>IFERROR(__xludf.DUMMYFUNCTION("""COMPUTED_VALUE"""),"")</f>
        <v/>
      </c>
      <c r="I162" s="51" t="str">
        <f>IFERROR(__xludf.DUMMYFUNCTION("""COMPUTED_VALUE"""),"#VALUE!")</f>
        <v>#VALUE!</v>
      </c>
      <c r="J162" s="51" t="str">
        <f>IFERROR(__xludf.DUMMYFUNCTION("""COMPUTED_VALUE"""),"")</f>
        <v/>
      </c>
      <c r="K162" s="51"/>
      <c r="L162" s="51" t="s">
        <v>257</v>
      </c>
      <c r="M162" s="51"/>
      <c r="N162" s="51"/>
      <c r="O162" s="51"/>
      <c r="P162" s="51"/>
      <c r="Q162" s="51"/>
      <c r="R162" s="51"/>
      <c r="S162" s="51"/>
      <c r="T162" s="51"/>
    </row>
    <row r="163">
      <c r="A163" s="51"/>
      <c r="B163" s="51"/>
      <c r="C163" s="56"/>
      <c r="D163" s="51"/>
      <c r="E163" s="51"/>
      <c r="F163" s="51"/>
      <c r="G163" s="51" t="str">
        <f>IFERROR(__xludf.DUMMYFUNCTION("""COMPUTED_VALUE"""),"#VALUE!")</f>
        <v>#VALUE!</v>
      </c>
      <c r="H163" s="51" t="str">
        <f>IFERROR(__xludf.DUMMYFUNCTION("""COMPUTED_VALUE"""),"")</f>
        <v/>
      </c>
      <c r="I163" s="51" t="str">
        <f>IFERROR(__xludf.DUMMYFUNCTION("""COMPUTED_VALUE"""),"#VALUE!")</f>
        <v>#VALUE!</v>
      </c>
      <c r="J163" s="51" t="str">
        <f>IFERROR(__xludf.DUMMYFUNCTION("""COMPUTED_VALUE"""),"")</f>
        <v/>
      </c>
      <c r="K163" s="51"/>
      <c r="L163" s="51" t="s">
        <v>257</v>
      </c>
      <c r="M163" s="51"/>
      <c r="N163" s="51"/>
      <c r="O163" s="51"/>
      <c r="P163" s="51"/>
      <c r="Q163" s="51"/>
      <c r="R163" s="51"/>
      <c r="S163" s="51"/>
      <c r="T163" s="51"/>
    </row>
    <row r="164">
      <c r="A164" s="51"/>
      <c r="B164" s="51"/>
      <c r="C164" s="56"/>
      <c r="D164" s="51"/>
      <c r="E164" s="51"/>
      <c r="F164" s="51"/>
      <c r="G164" s="51" t="str">
        <f>IFERROR(__xludf.DUMMYFUNCTION("""COMPUTED_VALUE"""),"#VALUE!")</f>
        <v>#VALUE!</v>
      </c>
      <c r="H164" s="51" t="str">
        <f>IFERROR(__xludf.DUMMYFUNCTION("""COMPUTED_VALUE"""),"")</f>
        <v/>
      </c>
      <c r="I164" s="51" t="str">
        <f>IFERROR(__xludf.DUMMYFUNCTION("""COMPUTED_VALUE"""),"#VALUE!")</f>
        <v>#VALUE!</v>
      </c>
      <c r="J164" s="51" t="str">
        <f>IFERROR(__xludf.DUMMYFUNCTION("""COMPUTED_VALUE"""),"")</f>
        <v/>
      </c>
      <c r="K164" s="51"/>
      <c r="L164" s="51" t="s">
        <v>257</v>
      </c>
      <c r="M164" s="51"/>
      <c r="N164" s="51"/>
      <c r="O164" s="51"/>
      <c r="P164" s="51"/>
      <c r="Q164" s="51"/>
      <c r="R164" s="51"/>
      <c r="S164" s="51"/>
      <c r="T164" s="51"/>
    </row>
    <row r="165">
      <c r="A165" s="51"/>
      <c r="B165" s="51"/>
      <c r="C165" s="56"/>
      <c r="D165" s="51"/>
      <c r="E165" s="51"/>
      <c r="F165" s="51"/>
      <c r="G165" s="51" t="str">
        <f>IFERROR(__xludf.DUMMYFUNCTION("""COMPUTED_VALUE"""),"#VALUE!")</f>
        <v>#VALUE!</v>
      </c>
      <c r="H165" s="51" t="str">
        <f>IFERROR(__xludf.DUMMYFUNCTION("""COMPUTED_VALUE"""),"")</f>
        <v/>
      </c>
      <c r="I165" s="51" t="str">
        <f>IFERROR(__xludf.DUMMYFUNCTION("""COMPUTED_VALUE"""),"#VALUE!")</f>
        <v>#VALUE!</v>
      </c>
      <c r="J165" s="51" t="str">
        <f>IFERROR(__xludf.DUMMYFUNCTION("""COMPUTED_VALUE"""),"")</f>
        <v/>
      </c>
      <c r="K165" s="51"/>
      <c r="L165" s="51" t="s">
        <v>257</v>
      </c>
      <c r="M165" s="51"/>
      <c r="N165" s="51"/>
      <c r="O165" s="51"/>
      <c r="P165" s="51"/>
      <c r="Q165" s="51"/>
      <c r="R165" s="51"/>
      <c r="S165" s="51"/>
      <c r="T165" s="51"/>
    </row>
    <row r="166">
      <c r="A166" s="51"/>
      <c r="B166" s="51"/>
      <c r="C166" s="56"/>
      <c r="D166" s="51"/>
      <c r="E166" s="51"/>
      <c r="F166" s="51"/>
      <c r="G166" s="51" t="str">
        <f>IFERROR(__xludf.DUMMYFUNCTION("""COMPUTED_VALUE"""),"#VALUE!")</f>
        <v>#VALUE!</v>
      </c>
      <c r="H166" s="51" t="str">
        <f>IFERROR(__xludf.DUMMYFUNCTION("""COMPUTED_VALUE"""),"")</f>
        <v/>
      </c>
      <c r="I166" s="51" t="str">
        <f>IFERROR(__xludf.DUMMYFUNCTION("""COMPUTED_VALUE"""),"#VALUE!")</f>
        <v>#VALUE!</v>
      </c>
      <c r="J166" s="51" t="str">
        <f>IFERROR(__xludf.DUMMYFUNCTION("""COMPUTED_VALUE"""),"")</f>
        <v/>
      </c>
      <c r="K166" s="51"/>
      <c r="L166" s="51" t="s">
        <v>257</v>
      </c>
      <c r="M166" s="51"/>
      <c r="N166" s="51"/>
      <c r="O166" s="51"/>
      <c r="P166" s="51"/>
      <c r="Q166" s="51"/>
      <c r="R166" s="51"/>
      <c r="S166" s="51"/>
      <c r="T166" s="51"/>
    </row>
    <row r="167">
      <c r="A167" s="51"/>
      <c r="B167" s="51"/>
      <c r="C167" s="56"/>
      <c r="D167" s="51"/>
      <c r="E167" s="51"/>
      <c r="F167" s="51"/>
      <c r="G167" s="51" t="str">
        <f>IFERROR(__xludf.DUMMYFUNCTION("""COMPUTED_VALUE"""),"#VALUE!")</f>
        <v>#VALUE!</v>
      </c>
      <c r="H167" s="51" t="str">
        <f>IFERROR(__xludf.DUMMYFUNCTION("""COMPUTED_VALUE"""),"")</f>
        <v/>
      </c>
      <c r="I167" s="51" t="str">
        <f>IFERROR(__xludf.DUMMYFUNCTION("""COMPUTED_VALUE"""),"#VALUE!")</f>
        <v>#VALUE!</v>
      </c>
      <c r="J167" s="51" t="str">
        <f>IFERROR(__xludf.DUMMYFUNCTION("""COMPUTED_VALUE"""),"")</f>
        <v/>
      </c>
      <c r="K167" s="51"/>
      <c r="L167" s="51" t="s">
        <v>257</v>
      </c>
      <c r="M167" s="51"/>
      <c r="N167" s="51"/>
      <c r="O167" s="51"/>
      <c r="P167" s="51"/>
      <c r="Q167" s="51"/>
      <c r="R167" s="51"/>
      <c r="S167" s="51"/>
      <c r="T167" s="51"/>
    </row>
    <row r="168">
      <c r="A168" s="51"/>
      <c r="B168" s="51"/>
      <c r="C168" s="56"/>
      <c r="D168" s="51"/>
      <c r="E168" s="51"/>
      <c r="F168" s="51"/>
      <c r="G168" s="51" t="str">
        <f>IFERROR(__xludf.DUMMYFUNCTION("""COMPUTED_VALUE"""),"#VALUE!")</f>
        <v>#VALUE!</v>
      </c>
      <c r="H168" s="51" t="str">
        <f>IFERROR(__xludf.DUMMYFUNCTION("""COMPUTED_VALUE"""),"")</f>
        <v/>
      </c>
      <c r="I168" s="51" t="str">
        <f>IFERROR(__xludf.DUMMYFUNCTION("""COMPUTED_VALUE"""),"#VALUE!")</f>
        <v>#VALUE!</v>
      </c>
      <c r="J168" s="51" t="str">
        <f>IFERROR(__xludf.DUMMYFUNCTION("""COMPUTED_VALUE"""),"")</f>
        <v/>
      </c>
      <c r="K168" s="51"/>
      <c r="L168" s="51" t="s">
        <v>257</v>
      </c>
      <c r="M168" s="51"/>
      <c r="N168" s="51"/>
      <c r="O168" s="51"/>
      <c r="P168" s="51"/>
      <c r="Q168" s="51"/>
      <c r="R168" s="51"/>
      <c r="S168" s="51"/>
      <c r="T168" s="51"/>
    </row>
    <row r="169">
      <c r="A169" s="51"/>
      <c r="B169" s="51"/>
      <c r="C169" s="56"/>
      <c r="D169" s="51"/>
      <c r="E169" s="51"/>
      <c r="F169" s="51"/>
      <c r="G169" s="51" t="str">
        <f>IFERROR(__xludf.DUMMYFUNCTION("""COMPUTED_VALUE"""),"#VALUE!")</f>
        <v>#VALUE!</v>
      </c>
      <c r="H169" s="51" t="str">
        <f>IFERROR(__xludf.DUMMYFUNCTION("""COMPUTED_VALUE"""),"")</f>
        <v/>
      </c>
      <c r="I169" s="51" t="str">
        <f>IFERROR(__xludf.DUMMYFUNCTION("""COMPUTED_VALUE"""),"#VALUE!")</f>
        <v>#VALUE!</v>
      </c>
      <c r="J169" s="51" t="str">
        <f>IFERROR(__xludf.DUMMYFUNCTION("""COMPUTED_VALUE"""),"")</f>
        <v/>
      </c>
      <c r="K169" s="51"/>
      <c r="L169" s="51" t="s">
        <v>257</v>
      </c>
      <c r="M169" s="51"/>
      <c r="N169" s="51"/>
      <c r="O169" s="51"/>
      <c r="P169" s="51"/>
      <c r="Q169" s="51"/>
      <c r="R169" s="51"/>
      <c r="S169" s="51"/>
      <c r="T169" s="51"/>
    </row>
    <row r="170">
      <c r="A170" s="51"/>
      <c r="B170" s="51"/>
      <c r="C170" s="56"/>
      <c r="D170" s="51"/>
      <c r="E170" s="51"/>
      <c r="F170" s="51"/>
      <c r="G170" s="51" t="str">
        <f>IFERROR(__xludf.DUMMYFUNCTION("""COMPUTED_VALUE"""),"#VALUE!")</f>
        <v>#VALUE!</v>
      </c>
      <c r="H170" s="51" t="str">
        <f>IFERROR(__xludf.DUMMYFUNCTION("""COMPUTED_VALUE"""),"")</f>
        <v/>
      </c>
      <c r="I170" s="51" t="str">
        <f>IFERROR(__xludf.DUMMYFUNCTION("""COMPUTED_VALUE"""),"#VALUE!")</f>
        <v>#VALUE!</v>
      </c>
      <c r="J170" s="51" t="str">
        <f>IFERROR(__xludf.DUMMYFUNCTION("""COMPUTED_VALUE"""),"")</f>
        <v/>
      </c>
      <c r="K170" s="51"/>
      <c r="L170" s="51" t="s">
        <v>257</v>
      </c>
      <c r="M170" s="51"/>
      <c r="N170" s="51"/>
      <c r="O170" s="51"/>
      <c r="P170" s="51"/>
      <c r="Q170" s="51"/>
      <c r="R170" s="51"/>
      <c r="S170" s="51"/>
      <c r="T170" s="51"/>
    </row>
    <row r="171">
      <c r="A171" s="51"/>
      <c r="B171" s="51"/>
      <c r="C171" s="56"/>
      <c r="D171" s="51"/>
      <c r="E171" s="51"/>
      <c r="F171" s="51"/>
      <c r="G171" s="51" t="str">
        <f>IFERROR(__xludf.DUMMYFUNCTION("""COMPUTED_VALUE"""),"#VALUE!")</f>
        <v>#VALUE!</v>
      </c>
      <c r="H171" s="51" t="str">
        <f>IFERROR(__xludf.DUMMYFUNCTION("""COMPUTED_VALUE"""),"")</f>
        <v/>
      </c>
      <c r="I171" s="51" t="str">
        <f>IFERROR(__xludf.DUMMYFUNCTION("""COMPUTED_VALUE"""),"#VALUE!")</f>
        <v>#VALUE!</v>
      </c>
      <c r="J171" s="51" t="str">
        <f>IFERROR(__xludf.DUMMYFUNCTION("""COMPUTED_VALUE"""),"")</f>
        <v/>
      </c>
      <c r="K171" s="51"/>
      <c r="L171" s="51" t="s">
        <v>257</v>
      </c>
      <c r="M171" s="51"/>
      <c r="N171" s="51"/>
      <c r="O171" s="51"/>
      <c r="P171" s="51"/>
      <c r="Q171" s="51"/>
      <c r="R171" s="51"/>
      <c r="S171" s="51"/>
      <c r="T171" s="51"/>
    </row>
    <row r="172">
      <c r="A172" s="51"/>
      <c r="B172" s="51"/>
      <c r="C172" s="56"/>
      <c r="D172" s="51"/>
      <c r="E172" s="51"/>
      <c r="F172" s="51"/>
      <c r="G172" s="51" t="str">
        <f>IFERROR(__xludf.DUMMYFUNCTION("""COMPUTED_VALUE"""),"#VALUE!")</f>
        <v>#VALUE!</v>
      </c>
      <c r="H172" s="51" t="str">
        <f>IFERROR(__xludf.DUMMYFUNCTION("""COMPUTED_VALUE"""),"")</f>
        <v/>
      </c>
      <c r="I172" s="51" t="str">
        <f>IFERROR(__xludf.DUMMYFUNCTION("""COMPUTED_VALUE"""),"#VALUE!")</f>
        <v>#VALUE!</v>
      </c>
      <c r="J172" s="51" t="str">
        <f>IFERROR(__xludf.DUMMYFUNCTION("""COMPUTED_VALUE"""),"")</f>
        <v/>
      </c>
      <c r="K172" s="51"/>
      <c r="L172" s="51" t="s">
        <v>257</v>
      </c>
      <c r="M172" s="51"/>
      <c r="N172" s="51"/>
      <c r="O172" s="51"/>
      <c r="P172" s="51"/>
      <c r="Q172" s="51"/>
      <c r="R172" s="51"/>
      <c r="S172" s="51"/>
      <c r="T172" s="51"/>
    </row>
    <row r="173">
      <c r="A173" s="51"/>
      <c r="B173" s="51"/>
      <c r="C173" s="56"/>
      <c r="D173" s="51"/>
      <c r="E173" s="51"/>
      <c r="F173" s="51"/>
      <c r="G173" s="51" t="str">
        <f>IFERROR(__xludf.DUMMYFUNCTION("""COMPUTED_VALUE"""),"#VALUE!")</f>
        <v>#VALUE!</v>
      </c>
      <c r="H173" s="51" t="str">
        <f>IFERROR(__xludf.DUMMYFUNCTION("""COMPUTED_VALUE"""),"")</f>
        <v/>
      </c>
      <c r="I173" s="51" t="str">
        <f>IFERROR(__xludf.DUMMYFUNCTION("""COMPUTED_VALUE"""),"#VALUE!")</f>
        <v>#VALUE!</v>
      </c>
      <c r="J173" s="51" t="str">
        <f>IFERROR(__xludf.DUMMYFUNCTION("""COMPUTED_VALUE"""),"")</f>
        <v/>
      </c>
      <c r="K173" s="51"/>
      <c r="L173" s="51" t="s">
        <v>257</v>
      </c>
      <c r="M173" s="51"/>
      <c r="N173" s="51"/>
      <c r="O173" s="51"/>
      <c r="P173" s="51"/>
      <c r="Q173" s="51"/>
      <c r="R173" s="51"/>
      <c r="S173" s="51"/>
      <c r="T173" s="51"/>
    </row>
    <row r="174">
      <c r="A174" s="51"/>
      <c r="B174" s="51"/>
      <c r="C174" s="56"/>
      <c r="D174" s="51"/>
      <c r="E174" s="51"/>
      <c r="F174" s="51"/>
      <c r="G174" s="51" t="str">
        <f>IFERROR(__xludf.DUMMYFUNCTION("""COMPUTED_VALUE"""),"#VALUE!")</f>
        <v>#VALUE!</v>
      </c>
      <c r="H174" s="51" t="str">
        <f>IFERROR(__xludf.DUMMYFUNCTION("""COMPUTED_VALUE"""),"")</f>
        <v/>
      </c>
      <c r="I174" s="51" t="str">
        <f>IFERROR(__xludf.DUMMYFUNCTION("""COMPUTED_VALUE"""),"#VALUE!")</f>
        <v>#VALUE!</v>
      </c>
      <c r="J174" s="51" t="str">
        <f>IFERROR(__xludf.DUMMYFUNCTION("""COMPUTED_VALUE"""),"")</f>
        <v/>
      </c>
      <c r="K174" s="51"/>
      <c r="L174" s="51" t="s">
        <v>257</v>
      </c>
      <c r="M174" s="51"/>
      <c r="N174" s="51"/>
      <c r="O174" s="51"/>
      <c r="P174" s="51"/>
      <c r="Q174" s="51"/>
      <c r="R174" s="51"/>
      <c r="S174" s="51"/>
      <c r="T174" s="51"/>
    </row>
    <row r="175">
      <c r="A175" s="51"/>
      <c r="B175" s="51"/>
      <c r="C175" s="56"/>
      <c r="D175" s="51"/>
      <c r="E175" s="51"/>
      <c r="F175" s="51"/>
      <c r="G175" s="51" t="str">
        <f>IFERROR(__xludf.DUMMYFUNCTION("""COMPUTED_VALUE"""),"#VALUE!")</f>
        <v>#VALUE!</v>
      </c>
      <c r="H175" s="51" t="str">
        <f>IFERROR(__xludf.DUMMYFUNCTION("""COMPUTED_VALUE"""),"")</f>
        <v/>
      </c>
      <c r="I175" s="51" t="str">
        <f>IFERROR(__xludf.DUMMYFUNCTION("""COMPUTED_VALUE"""),"#VALUE!")</f>
        <v>#VALUE!</v>
      </c>
      <c r="J175" s="51" t="str">
        <f>IFERROR(__xludf.DUMMYFUNCTION("""COMPUTED_VALUE"""),"")</f>
        <v/>
      </c>
      <c r="K175" s="51"/>
      <c r="L175" s="51" t="s">
        <v>257</v>
      </c>
      <c r="M175" s="51"/>
      <c r="N175" s="51"/>
      <c r="O175" s="51"/>
      <c r="P175" s="51"/>
      <c r="Q175" s="51"/>
      <c r="R175" s="51"/>
      <c r="S175" s="51"/>
      <c r="T175" s="51"/>
    </row>
    <row r="176">
      <c r="A176" s="51"/>
      <c r="B176" s="51"/>
      <c r="C176" s="56"/>
      <c r="D176" s="51"/>
      <c r="E176" s="51"/>
      <c r="F176" s="51"/>
      <c r="G176" s="51" t="str">
        <f>IFERROR(__xludf.DUMMYFUNCTION("""COMPUTED_VALUE"""),"#VALUE!")</f>
        <v>#VALUE!</v>
      </c>
      <c r="H176" s="51" t="str">
        <f>IFERROR(__xludf.DUMMYFUNCTION("""COMPUTED_VALUE"""),"")</f>
        <v/>
      </c>
      <c r="I176" s="51" t="str">
        <f>IFERROR(__xludf.DUMMYFUNCTION("""COMPUTED_VALUE"""),"#VALUE!")</f>
        <v>#VALUE!</v>
      </c>
      <c r="J176" s="51" t="str">
        <f>IFERROR(__xludf.DUMMYFUNCTION("""COMPUTED_VALUE"""),"")</f>
        <v/>
      </c>
      <c r="K176" s="51"/>
      <c r="L176" s="51" t="s">
        <v>257</v>
      </c>
      <c r="M176" s="51"/>
      <c r="N176" s="51"/>
      <c r="O176" s="51"/>
      <c r="P176" s="51"/>
      <c r="Q176" s="51"/>
      <c r="R176" s="51"/>
      <c r="S176" s="51"/>
      <c r="T176" s="51"/>
    </row>
    <row r="177">
      <c r="A177" s="51"/>
      <c r="B177" s="51"/>
      <c r="C177" s="56"/>
      <c r="D177" s="51"/>
      <c r="E177" s="51"/>
      <c r="F177" s="51"/>
      <c r="G177" s="51" t="str">
        <f>IFERROR(__xludf.DUMMYFUNCTION("""COMPUTED_VALUE"""),"#VALUE!")</f>
        <v>#VALUE!</v>
      </c>
      <c r="H177" s="51" t="str">
        <f>IFERROR(__xludf.DUMMYFUNCTION("""COMPUTED_VALUE"""),"")</f>
        <v/>
      </c>
      <c r="I177" s="51" t="str">
        <f>IFERROR(__xludf.DUMMYFUNCTION("""COMPUTED_VALUE"""),"#VALUE!")</f>
        <v>#VALUE!</v>
      </c>
      <c r="J177" s="51" t="str">
        <f>IFERROR(__xludf.DUMMYFUNCTION("""COMPUTED_VALUE"""),"")</f>
        <v/>
      </c>
      <c r="K177" s="51"/>
      <c r="L177" s="51" t="s">
        <v>257</v>
      </c>
      <c r="M177" s="51"/>
      <c r="N177" s="51"/>
      <c r="O177" s="51"/>
      <c r="P177" s="51"/>
      <c r="Q177" s="51"/>
      <c r="R177" s="51"/>
      <c r="S177" s="51"/>
      <c r="T177" s="51"/>
    </row>
    <row r="178">
      <c r="A178" s="51"/>
      <c r="B178" s="51"/>
      <c r="C178" s="56"/>
      <c r="D178" s="51"/>
      <c r="E178" s="51"/>
      <c r="F178" s="51"/>
      <c r="G178" s="51" t="str">
        <f>IFERROR(__xludf.DUMMYFUNCTION("""COMPUTED_VALUE"""),"#VALUE!")</f>
        <v>#VALUE!</v>
      </c>
      <c r="H178" s="51" t="str">
        <f>IFERROR(__xludf.DUMMYFUNCTION("""COMPUTED_VALUE"""),"")</f>
        <v/>
      </c>
      <c r="I178" s="51" t="str">
        <f>IFERROR(__xludf.DUMMYFUNCTION("""COMPUTED_VALUE"""),"#VALUE!")</f>
        <v>#VALUE!</v>
      </c>
      <c r="J178" s="51" t="str">
        <f>IFERROR(__xludf.DUMMYFUNCTION("""COMPUTED_VALUE"""),"")</f>
        <v/>
      </c>
      <c r="K178" s="51"/>
      <c r="L178" s="51" t="s">
        <v>257</v>
      </c>
      <c r="M178" s="51"/>
      <c r="N178" s="51"/>
      <c r="O178" s="51"/>
      <c r="P178" s="51"/>
      <c r="Q178" s="51"/>
      <c r="R178" s="51"/>
      <c r="S178" s="51"/>
      <c r="T178" s="51"/>
    </row>
    <row r="179">
      <c r="A179" s="51"/>
      <c r="B179" s="51"/>
      <c r="C179" s="56"/>
      <c r="D179" s="51"/>
      <c r="E179" s="51"/>
      <c r="F179" s="51"/>
      <c r="G179" s="51" t="str">
        <f>IFERROR(__xludf.DUMMYFUNCTION("""COMPUTED_VALUE"""),"#VALUE!")</f>
        <v>#VALUE!</v>
      </c>
      <c r="H179" s="51" t="str">
        <f>IFERROR(__xludf.DUMMYFUNCTION("""COMPUTED_VALUE"""),"")</f>
        <v/>
      </c>
      <c r="I179" s="51" t="str">
        <f>IFERROR(__xludf.DUMMYFUNCTION("""COMPUTED_VALUE"""),"#VALUE!")</f>
        <v>#VALUE!</v>
      </c>
      <c r="J179" s="51" t="str">
        <f>IFERROR(__xludf.DUMMYFUNCTION("""COMPUTED_VALUE"""),"")</f>
        <v/>
      </c>
      <c r="K179" s="51"/>
      <c r="L179" s="51" t="s">
        <v>257</v>
      </c>
      <c r="M179" s="51"/>
      <c r="N179" s="51"/>
      <c r="O179" s="51"/>
      <c r="P179" s="51"/>
      <c r="Q179" s="51"/>
      <c r="R179" s="51"/>
      <c r="S179" s="51"/>
      <c r="T179" s="51"/>
    </row>
    <row r="180">
      <c r="A180" s="51"/>
      <c r="B180" s="51"/>
      <c r="C180" s="56"/>
      <c r="D180" s="51"/>
      <c r="E180" s="51"/>
      <c r="F180" s="51"/>
      <c r="G180" s="51" t="str">
        <f>IFERROR(__xludf.DUMMYFUNCTION("""COMPUTED_VALUE"""),"#VALUE!")</f>
        <v>#VALUE!</v>
      </c>
      <c r="H180" s="51" t="str">
        <f>IFERROR(__xludf.DUMMYFUNCTION("""COMPUTED_VALUE"""),"")</f>
        <v/>
      </c>
      <c r="I180" s="51" t="str">
        <f>IFERROR(__xludf.DUMMYFUNCTION("""COMPUTED_VALUE"""),"#VALUE!")</f>
        <v>#VALUE!</v>
      </c>
      <c r="J180" s="51" t="str">
        <f>IFERROR(__xludf.DUMMYFUNCTION("""COMPUTED_VALUE"""),"")</f>
        <v/>
      </c>
      <c r="K180" s="51"/>
      <c r="L180" s="51" t="s">
        <v>257</v>
      </c>
      <c r="M180" s="51"/>
      <c r="N180" s="51"/>
      <c r="O180" s="51"/>
      <c r="P180" s="51"/>
      <c r="Q180" s="51"/>
      <c r="R180" s="51"/>
      <c r="S180" s="51"/>
      <c r="T180" s="51"/>
    </row>
    <row r="181">
      <c r="A181" s="51"/>
      <c r="B181" s="51"/>
      <c r="C181" s="56"/>
      <c r="D181" s="51"/>
      <c r="E181" s="51"/>
      <c r="F181" s="51"/>
      <c r="G181" s="51" t="str">
        <f>IFERROR(__xludf.DUMMYFUNCTION("""COMPUTED_VALUE"""),"#VALUE!")</f>
        <v>#VALUE!</v>
      </c>
      <c r="H181" s="51" t="str">
        <f>IFERROR(__xludf.DUMMYFUNCTION("""COMPUTED_VALUE"""),"")</f>
        <v/>
      </c>
      <c r="I181" s="51" t="str">
        <f>IFERROR(__xludf.DUMMYFUNCTION("""COMPUTED_VALUE"""),"#VALUE!")</f>
        <v>#VALUE!</v>
      </c>
      <c r="J181" s="51" t="str">
        <f>IFERROR(__xludf.DUMMYFUNCTION("""COMPUTED_VALUE"""),"")</f>
        <v/>
      </c>
      <c r="K181" s="51"/>
      <c r="L181" s="51" t="s">
        <v>257</v>
      </c>
      <c r="M181" s="51"/>
      <c r="N181" s="51"/>
      <c r="O181" s="51"/>
      <c r="P181" s="51"/>
      <c r="Q181" s="51"/>
      <c r="R181" s="51"/>
      <c r="S181" s="51"/>
      <c r="T181" s="51"/>
    </row>
    <row r="182">
      <c r="A182" s="51"/>
      <c r="B182" s="51"/>
      <c r="C182" s="56"/>
      <c r="D182" s="51"/>
      <c r="E182" s="51"/>
      <c r="F182" s="51"/>
      <c r="G182" s="51" t="str">
        <f>IFERROR(__xludf.DUMMYFUNCTION("""COMPUTED_VALUE"""),"#VALUE!")</f>
        <v>#VALUE!</v>
      </c>
      <c r="H182" s="51" t="str">
        <f>IFERROR(__xludf.DUMMYFUNCTION("""COMPUTED_VALUE"""),"")</f>
        <v/>
      </c>
      <c r="I182" s="51" t="str">
        <f>IFERROR(__xludf.DUMMYFUNCTION("""COMPUTED_VALUE"""),"#VALUE!")</f>
        <v>#VALUE!</v>
      </c>
      <c r="J182" s="51" t="str">
        <f>IFERROR(__xludf.DUMMYFUNCTION("""COMPUTED_VALUE"""),"")</f>
        <v/>
      </c>
      <c r="K182" s="51"/>
      <c r="L182" s="51" t="s">
        <v>257</v>
      </c>
      <c r="M182" s="51"/>
      <c r="N182" s="51"/>
      <c r="O182" s="51"/>
      <c r="P182" s="51"/>
      <c r="Q182" s="51"/>
      <c r="R182" s="51"/>
      <c r="S182" s="51"/>
      <c r="T182" s="51"/>
    </row>
    <row r="183">
      <c r="A183" s="51"/>
      <c r="B183" s="51"/>
      <c r="C183" s="56"/>
      <c r="D183" s="51"/>
      <c r="E183" s="51"/>
      <c r="F183" s="51"/>
      <c r="G183" s="51" t="str">
        <f>IFERROR(__xludf.DUMMYFUNCTION("""COMPUTED_VALUE"""),"#VALUE!")</f>
        <v>#VALUE!</v>
      </c>
      <c r="H183" s="51" t="str">
        <f>IFERROR(__xludf.DUMMYFUNCTION("""COMPUTED_VALUE"""),"")</f>
        <v/>
      </c>
      <c r="I183" s="51" t="str">
        <f>IFERROR(__xludf.DUMMYFUNCTION("""COMPUTED_VALUE"""),"#VALUE!")</f>
        <v>#VALUE!</v>
      </c>
      <c r="J183" s="51" t="str">
        <f>IFERROR(__xludf.DUMMYFUNCTION("""COMPUTED_VALUE"""),"")</f>
        <v/>
      </c>
      <c r="K183" s="51"/>
      <c r="L183" s="51" t="s">
        <v>257</v>
      </c>
      <c r="M183" s="51"/>
      <c r="N183" s="51"/>
      <c r="O183" s="51"/>
      <c r="P183" s="51"/>
      <c r="Q183" s="51"/>
      <c r="R183" s="51"/>
      <c r="S183" s="51"/>
      <c r="T183" s="51"/>
    </row>
    <row r="184">
      <c r="A184" s="51"/>
      <c r="B184" s="51"/>
      <c r="C184" s="56"/>
      <c r="D184" s="51"/>
      <c r="E184" s="51"/>
      <c r="F184" s="51"/>
      <c r="G184" s="51" t="str">
        <f>IFERROR(__xludf.DUMMYFUNCTION("""COMPUTED_VALUE"""),"#VALUE!")</f>
        <v>#VALUE!</v>
      </c>
      <c r="H184" s="51" t="str">
        <f>IFERROR(__xludf.DUMMYFUNCTION("""COMPUTED_VALUE"""),"")</f>
        <v/>
      </c>
      <c r="I184" s="51" t="str">
        <f>IFERROR(__xludf.DUMMYFUNCTION("""COMPUTED_VALUE"""),"#VALUE!")</f>
        <v>#VALUE!</v>
      </c>
      <c r="J184" s="51" t="str">
        <f>IFERROR(__xludf.DUMMYFUNCTION("""COMPUTED_VALUE"""),"")</f>
        <v/>
      </c>
      <c r="K184" s="51"/>
      <c r="L184" s="51" t="s">
        <v>257</v>
      </c>
      <c r="M184" s="51"/>
      <c r="N184" s="51"/>
      <c r="O184" s="51"/>
      <c r="P184" s="51"/>
      <c r="Q184" s="51"/>
      <c r="R184" s="51"/>
      <c r="S184" s="51"/>
      <c r="T184" s="51"/>
    </row>
    <row r="185">
      <c r="A185" s="51"/>
      <c r="B185" s="51"/>
      <c r="C185" s="56"/>
      <c r="D185" s="51"/>
      <c r="E185" s="51"/>
      <c r="F185" s="51"/>
      <c r="G185" s="51" t="str">
        <f>IFERROR(__xludf.DUMMYFUNCTION("""COMPUTED_VALUE"""),"#VALUE!")</f>
        <v>#VALUE!</v>
      </c>
      <c r="H185" s="51" t="str">
        <f>IFERROR(__xludf.DUMMYFUNCTION("""COMPUTED_VALUE"""),"")</f>
        <v/>
      </c>
      <c r="I185" s="51" t="str">
        <f>IFERROR(__xludf.DUMMYFUNCTION("""COMPUTED_VALUE"""),"#VALUE!")</f>
        <v>#VALUE!</v>
      </c>
      <c r="J185" s="51" t="str">
        <f>IFERROR(__xludf.DUMMYFUNCTION("""COMPUTED_VALUE"""),"")</f>
        <v/>
      </c>
      <c r="K185" s="51"/>
      <c r="L185" s="51" t="s">
        <v>257</v>
      </c>
      <c r="M185" s="51"/>
      <c r="N185" s="51"/>
      <c r="O185" s="51"/>
      <c r="P185" s="51"/>
      <c r="Q185" s="51"/>
      <c r="R185" s="51"/>
      <c r="S185" s="51"/>
      <c r="T185" s="51"/>
    </row>
    <row r="186">
      <c r="A186" s="51"/>
      <c r="B186" s="51"/>
      <c r="C186" s="56"/>
      <c r="D186" s="51"/>
      <c r="E186" s="51"/>
      <c r="F186" s="51"/>
      <c r="G186" s="51" t="str">
        <f>IFERROR(__xludf.DUMMYFUNCTION("""COMPUTED_VALUE"""),"#VALUE!")</f>
        <v>#VALUE!</v>
      </c>
      <c r="H186" s="51" t="str">
        <f>IFERROR(__xludf.DUMMYFUNCTION("""COMPUTED_VALUE"""),"")</f>
        <v/>
      </c>
      <c r="I186" s="51" t="str">
        <f>IFERROR(__xludf.DUMMYFUNCTION("""COMPUTED_VALUE"""),"#VALUE!")</f>
        <v>#VALUE!</v>
      </c>
      <c r="J186" s="51" t="str">
        <f>IFERROR(__xludf.DUMMYFUNCTION("""COMPUTED_VALUE"""),"")</f>
        <v/>
      </c>
      <c r="K186" s="51"/>
      <c r="L186" s="51" t="s">
        <v>257</v>
      </c>
      <c r="M186" s="51"/>
      <c r="N186" s="51"/>
      <c r="O186" s="51"/>
      <c r="P186" s="51"/>
      <c r="Q186" s="51"/>
      <c r="R186" s="51"/>
      <c r="S186" s="51"/>
      <c r="T186" s="51"/>
    </row>
    <row r="187">
      <c r="A187" s="51"/>
      <c r="B187" s="51"/>
      <c r="C187" s="56"/>
      <c r="D187" s="51"/>
      <c r="E187" s="51"/>
      <c r="F187" s="51"/>
      <c r="G187" s="51" t="str">
        <f>IFERROR(__xludf.DUMMYFUNCTION("""COMPUTED_VALUE"""),"#VALUE!")</f>
        <v>#VALUE!</v>
      </c>
      <c r="H187" s="51" t="str">
        <f>IFERROR(__xludf.DUMMYFUNCTION("""COMPUTED_VALUE"""),"")</f>
        <v/>
      </c>
      <c r="I187" s="51" t="str">
        <f>IFERROR(__xludf.DUMMYFUNCTION("""COMPUTED_VALUE"""),"#VALUE!")</f>
        <v>#VALUE!</v>
      </c>
      <c r="J187" s="51" t="str">
        <f>IFERROR(__xludf.DUMMYFUNCTION("""COMPUTED_VALUE"""),"")</f>
        <v/>
      </c>
      <c r="K187" s="51"/>
      <c r="L187" s="51" t="s">
        <v>257</v>
      </c>
      <c r="M187" s="51"/>
      <c r="N187" s="51"/>
      <c r="O187" s="51"/>
      <c r="P187" s="51"/>
      <c r="Q187" s="51"/>
      <c r="R187" s="51"/>
      <c r="S187" s="51"/>
      <c r="T187" s="51"/>
    </row>
    <row r="188">
      <c r="A188" s="51"/>
      <c r="B188" s="51"/>
      <c r="C188" s="56"/>
      <c r="D188" s="51"/>
      <c r="E188" s="51"/>
      <c r="F188" s="51"/>
      <c r="G188" s="51" t="str">
        <f>IFERROR(__xludf.DUMMYFUNCTION("""COMPUTED_VALUE"""),"#VALUE!")</f>
        <v>#VALUE!</v>
      </c>
      <c r="H188" s="51" t="str">
        <f>IFERROR(__xludf.DUMMYFUNCTION("""COMPUTED_VALUE"""),"")</f>
        <v/>
      </c>
      <c r="I188" s="51" t="str">
        <f>IFERROR(__xludf.DUMMYFUNCTION("""COMPUTED_VALUE"""),"#VALUE!")</f>
        <v>#VALUE!</v>
      </c>
      <c r="J188" s="51" t="str">
        <f>IFERROR(__xludf.DUMMYFUNCTION("""COMPUTED_VALUE"""),"")</f>
        <v/>
      </c>
      <c r="K188" s="51"/>
      <c r="L188" s="51" t="s">
        <v>257</v>
      </c>
      <c r="M188" s="51"/>
      <c r="N188" s="51"/>
      <c r="O188" s="51"/>
      <c r="P188" s="51"/>
      <c r="Q188" s="51"/>
      <c r="R188" s="51"/>
      <c r="S188" s="51"/>
      <c r="T188" s="51"/>
    </row>
    <row r="189">
      <c r="A189" s="51"/>
      <c r="B189" s="51"/>
      <c r="C189" s="56"/>
      <c r="D189" s="51"/>
      <c r="E189" s="51"/>
      <c r="F189" s="51"/>
      <c r="G189" s="51" t="str">
        <f>IFERROR(__xludf.DUMMYFUNCTION("""COMPUTED_VALUE"""),"#VALUE!")</f>
        <v>#VALUE!</v>
      </c>
      <c r="H189" s="51" t="str">
        <f>IFERROR(__xludf.DUMMYFUNCTION("""COMPUTED_VALUE"""),"")</f>
        <v/>
      </c>
      <c r="I189" s="51" t="str">
        <f>IFERROR(__xludf.DUMMYFUNCTION("""COMPUTED_VALUE"""),"#VALUE!")</f>
        <v>#VALUE!</v>
      </c>
      <c r="J189" s="51" t="str">
        <f>IFERROR(__xludf.DUMMYFUNCTION("""COMPUTED_VALUE"""),"")</f>
        <v/>
      </c>
      <c r="K189" s="51"/>
      <c r="L189" s="51" t="s">
        <v>257</v>
      </c>
      <c r="M189" s="51"/>
      <c r="N189" s="51"/>
      <c r="O189" s="51"/>
      <c r="P189" s="51"/>
      <c r="Q189" s="51"/>
      <c r="R189" s="51"/>
      <c r="S189" s="51"/>
      <c r="T189" s="51"/>
    </row>
    <row r="190">
      <c r="A190" s="51"/>
      <c r="B190" s="51"/>
      <c r="C190" s="56"/>
      <c r="D190" s="51"/>
      <c r="E190" s="51"/>
      <c r="F190" s="51"/>
      <c r="G190" s="51" t="str">
        <f>IFERROR(__xludf.DUMMYFUNCTION("""COMPUTED_VALUE"""),"#VALUE!")</f>
        <v>#VALUE!</v>
      </c>
      <c r="H190" s="51" t="str">
        <f>IFERROR(__xludf.DUMMYFUNCTION("""COMPUTED_VALUE"""),"")</f>
        <v/>
      </c>
      <c r="I190" s="51" t="str">
        <f>IFERROR(__xludf.DUMMYFUNCTION("""COMPUTED_VALUE"""),"#VALUE!")</f>
        <v>#VALUE!</v>
      </c>
      <c r="J190" s="51" t="str">
        <f>IFERROR(__xludf.DUMMYFUNCTION("""COMPUTED_VALUE"""),"")</f>
        <v/>
      </c>
      <c r="K190" s="51"/>
      <c r="L190" s="51" t="s">
        <v>257</v>
      </c>
      <c r="M190" s="51"/>
      <c r="N190" s="51"/>
      <c r="O190" s="51"/>
      <c r="P190" s="51"/>
      <c r="Q190" s="51"/>
      <c r="R190" s="51"/>
      <c r="S190" s="51"/>
      <c r="T190" s="51"/>
    </row>
    <row r="191">
      <c r="A191" s="51"/>
      <c r="B191" s="51"/>
      <c r="C191" s="56"/>
      <c r="D191" s="51"/>
      <c r="E191" s="51"/>
      <c r="F191" s="51"/>
      <c r="G191" s="51" t="str">
        <f>IFERROR(__xludf.DUMMYFUNCTION("""COMPUTED_VALUE"""),"#VALUE!")</f>
        <v>#VALUE!</v>
      </c>
      <c r="H191" s="51" t="str">
        <f>IFERROR(__xludf.DUMMYFUNCTION("""COMPUTED_VALUE"""),"")</f>
        <v/>
      </c>
      <c r="I191" s="51" t="str">
        <f>IFERROR(__xludf.DUMMYFUNCTION("""COMPUTED_VALUE"""),"#VALUE!")</f>
        <v>#VALUE!</v>
      </c>
      <c r="J191" s="51" t="str">
        <f>IFERROR(__xludf.DUMMYFUNCTION("""COMPUTED_VALUE"""),"")</f>
        <v/>
      </c>
      <c r="K191" s="51"/>
      <c r="L191" s="51" t="s">
        <v>257</v>
      </c>
      <c r="M191" s="51"/>
      <c r="N191" s="51"/>
      <c r="O191" s="51"/>
      <c r="P191" s="51"/>
      <c r="Q191" s="51"/>
      <c r="R191" s="51"/>
      <c r="S191" s="51"/>
      <c r="T191" s="51"/>
    </row>
    <row r="192">
      <c r="A192" s="51"/>
      <c r="B192" s="51"/>
      <c r="C192" s="56"/>
      <c r="D192" s="51"/>
      <c r="E192" s="51"/>
      <c r="F192" s="51"/>
      <c r="G192" s="51" t="str">
        <f>IFERROR(__xludf.DUMMYFUNCTION("""COMPUTED_VALUE"""),"#VALUE!")</f>
        <v>#VALUE!</v>
      </c>
      <c r="H192" s="51" t="str">
        <f>IFERROR(__xludf.DUMMYFUNCTION("""COMPUTED_VALUE"""),"")</f>
        <v/>
      </c>
      <c r="I192" s="51" t="str">
        <f>IFERROR(__xludf.DUMMYFUNCTION("""COMPUTED_VALUE"""),"#VALUE!")</f>
        <v>#VALUE!</v>
      </c>
      <c r="J192" s="51" t="str">
        <f>IFERROR(__xludf.DUMMYFUNCTION("""COMPUTED_VALUE"""),"")</f>
        <v/>
      </c>
      <c r="K192" s="51"/>
      <c r="L192" s="51" t="s">
        <v>257</v>
      </c>
      <c r="M192" s="51"/>
      <c r="N192" s="51"/>
      <c r="O192" s="51"/>
      <c r="P192" s="51"/>
      <c r="Q192" s="51"/>
      <c r="R192" s="51"/>
      <c r="S192" s="51"/>
      <c r="T192" s="51"/>
    </row>
    <row r="193">
      <c r="A193" s="51"/>
      <c r="B193" s="51"/>
      <c r="C193" s="56"/>
      <c r="D193" s="51"/>
      <c r="E193" s="51"/>
      <c r="F193" s="51"/>
      <c r="G193" s="51" t="str">
        <f>IFERROR(__xludf.DUMMYFUNCTION("""COMPUTED_VALUE"""),"#VALUE!")</f>
        <v>#VALUE!</v>
      </c>
      <c r="H193" s="51" t="str">
        <f>IFERROR(__xludf.DUMMYFUNCTION("""COMPUTED_VALUE"""),"")</f>
        <v/>
      </c>
      <c r="I193" s="51" t="str">
        <f>IFERROR(__xludf.DUMMYFUNCTION("""COMPUTED_VALUE"""),"#VALUE!")</f>
        <v>#VALUE!</v>
      </c>
      <c r="J193" s="51" t="str">
        <f>IFERROR(__xludf.DUMMYFUNCTION("""COMPUTED_VALUE"""),"")</f>
        <v/>
      </c>
      <c r="K193" s="51"/>
      <c r="L193" s="51" t="s">
        <v>257</v>
      </c>
      <c r="M193" s="51"/>
      <c r="N193" s="51"/>
      <c r="O193" s="51"/>
      <c r="P193" s="51"/>
      <c r="Q193" s="51"/>
      <c r="R193" s="51"/>
      <c r="S193" s="51"/>
      <c r="T193" s="51"/>
    </row>
    <row r="194">
      <c r="A194" s="51"/>
      <c r="B194" s="51"/>
      <c r="C194" s="56"/>
      <c r="D194" s="51"/>
      <c r="E194" s="51"/>
      <c r="F194" s="51"/>
      <c r="G194" s="51" t="str">
        <f>IFERROR(__xludf.DUMMYFUNCTION("""COMPUTED_VALUE"""),"#VALUE!")</f>
        <v>#VALUE!</v>
      </c>
      <c r="H194" s="51" t="str">
        <f>IFERROR(__xludf.DUMMYFUNCTION("""COMPUTED_VALUE"""),"")</f>
        <v/>
      </c>
      <c r="I194" s="51" t="str">
        <f>IFERROR(__xludf.DUMMYFUNCTION("""COMPUTED_VALUE"""),"#VALUE!")</f>
        <v>#VALUE!</v>
      </c>
      <c r="J194" s="51" t="str">
        <f>IFERROR(__xludf.DUMMYFUNCTION("""COMPUTED_VALUE"""),"")</f>
        <v/>
      </c>
      <c r="K194" s="51"/>
      <c r="L194" s="51" t="s">
        <v>257</v>
      </c>
      <c r="M194" s="51"/>
      <c r="N194" s="51"/>
      <c r="O194" s="51"/>
      <c r="P194" s="51"/>
      <c r="Q194" s="51"/>
      <c r="R194" s="51"/>
      <c r="S194" s="51"/>
      <c r="T194" s="51"/>
    </row>
    <row r="195">
      <c r="A195" s="51"/>
      <c r="B195" s="51"/>
      <c r="C195" s="56"/>
      <c r="D195" s="51"/>
      <c r="E195" s="51"/>
      <c r="F195" s="51"/>
      <c r="G195" s="51" t="str">
        <f>IFERROR(__xludf.DUMMYFUNCTION("""COMPUTED_VALUE"""),"#VALUE!")</f>
        <v>#VALUE!</v>
      </c>
      <c r="H195" s="51" t="str">
        <f>IFERROR(__xludf.DUMMYFUNCTION("""COMPUTED_VALUE"""),"")</f>
        <v/>
      </c>
      <c r="I195" s="51" t="str">
        <f>IFERROR(__xludf.DUMMYFUNCTION("""COMPUTED_VALUE"""),"#VALUE!")</f>
        <v>#VALUE!</v>
      </c>
      <c r="J195" s="51" t="str">
        <f>IFERROR(__xludf.DUMMYFUNCTION("""COMPUTED_VALUE"""),"")</f>
        <v/>
      </c>
      <c r="K195" s="51"/>
      <c r="L195" s="51" t="s">
        <v>257</v>
      </c>
      <c r="M195" s="51"/>
      <c r="N195" s="51"/>
      <c r="O195" s="51"/>
      <c r="P195" s="51"/>
      <c r="Q195" s="51"/>
      <c r="R195" s="51"/>
      <c r="S195" s="51"/>
      <c r="T195" s="51"/>
    </row>
    <row r="196">
      <c r="A196" s="51"/>
      <c r="B196" s="51"/>
      <c r="C196" s="56"/>
      <c r="D196" s="51"/>
      <c r="E196" s="51"/>
      <c r="F196" s="51"/>
      <c r="G196" s="51" t="str">
        <f>IFERROR(__xludf.DUMMYFUNCTION("""COMPUTED_VALUE"""),"#VALUE!")</f>
        <v>#VALUE!</v>
      </c>
      <c r="H196" s="51" t="str">
        <f>IFERROR(__xludf.DUMMYFUNCTION("""COMPUTED_VALUE"""),"")</f>
        <v/>
      </c>
      <c r="I196" s="51" t="str">
        <f>IFERROR(__xludf.DUMMYFUNCTION("""COMPUTED_VALUE"""),"#VALUE!")</f>
        <v>#VALUE!</v>
      </c>
      <c r="J196" s="51" t="str">
        <f>IFERROR(__xludf.DUMMYFUNCTION("""COMPUTED_VALUE"""),"")</f>
        <v/>
      </c>
      <c r="K196" s="51"/>
      <c r="L196" s="51" t="s">
        <v>257</v>
      </c>
      <c r="M196" s="51"/>
      <c r="N196" s="51"/>
      <c r="O196" s="51"/>
      <c r="P196" s="51"/>
      <c r="Q196" s="51"/>
      <c r="R196" s="51"/>
      <c r="S196" s="51"/>
      <c r="T196" s="51"/>
    </row>
    <row r="197">
      <c r="A197" s="51"/>
      <c r="B197" s="51"/>
      <c r="C197" s="56"/>
      <c r="D197" s="51"/>
      <c r="E197" s="51"/>
      <c r="F197" s="51"/>
      <c r="G197" s="51" t="str">
        <f>IFERROR(__xludf.DUMMYFUNCTION("""COMPUTED_VALUE"""),"#VALUE!")</f>
        <v>#VALUE!</v>
      </c>
      <c r="H197" s="51" t="str">
        <f>IFERROR(__xludf.DUMMYFUNCTION("""COMPUTED_VALUE"""),"")</f>
        <v/>
      </c>
      <c r="I197" s="51" t="str">
        <f>IFERROR(__xludf.DUMMYFUNCTION("""COMPUTED_VALUE"""),"#VALUE!")</f>
        <v>#VALUE!</v>
      </c>
      <c r="J197" s="51" t="str">
        <f>IFERROR(__xludf.DUMMYFUNCTION("""COMPUTED_VALUE"""),"")</f>
        <v/>
      </c>
      <c r="K197" s="51"/>
      <c r="L197" s="51" t="s">
        <v>257</v>
      </c>
      <c r="M197" s="51"/>
      <c r="N197" s="51"/>
      <c r="O197" s="51"/>
      <c r="P197" s="51"/>
      <c r="Q197" s="51"/>
      <c r="R197" s="51"/>
      <c r="S197" s="51"/>
      <c r="T197" s="51"/>
    </row>
    <row r="198">
      <c r="A198" s="51"/>
      <c r="B198" s="51"/>
      <c r="C198" s="56"/>
      <c r="D198" s="51"/>
      <c r="E198" s="51"/>
      <c r="F198" s="51"/>
      <c r="G198" s="51" t="str">
        <f>IFERROR(__xludf.DUMMYFUNCTION("""COMPUTED_VALUE"""),"#VALUE!")</f>
        <v>#VALUE!</v>
      </c>
      <c r="H198" s="51" t="str">
        <f>IFERROR(__xludf.DUMMYFUNCTION("""COMPUTED_VALUE"""),"")</f>
        <v/>
      </c>
      <c r="I198" s="51" t="str">
        <f>IFERROR(__xludf.DUMMYFUNCTION("""COMPUTED_VALUE"""),"#VALUE!")</f>
        <v>#VALUE!</v>
      </c>
      <c r="J198" s="51" t="str">
        <f>IFERROR(__xludf.DUMMYFUNCTION("""COMPUTED_VALUE"""),"")</f>
        <v/>
      </c>
      <c r="K198" s="51"/>
      <c r="L198" s="51" t="s">
        <v>257</v>
      </c>
      <c r="M198" s="51"/>
      <c r="N198" s="51"/>
      <c r="O198" s="51"/>
      <c r="P198" s="51"/>
      <c r="Q198" s="51"/>
      <c r="R198" s="51"/>
      <c r="S198" s="51"/>
      <c r="T198" s="51"/>
    </row>
    <row r="199">
      <c r="A199" s="51"/>
      <c r="B199" s="51"/>
      <c r="C199" s="56"/>
      <c r="D199" s="51"/>
      <c r="E199" s="51"/>
      <c r="F199" s="51"/>
      <c r="G199" s="51" t="str">
        <f>IFERROR(__xludf.DUMMYFUNCTION("""COMPUTED_VALUE"""),"#VALUE!")</f>
        <v>#VALUE!</v>
      </c>
      <c r="H199" s="51" t="str">
        <f>IFERROR(__xludf.DUMMYFUNCTION("""COMPUTED_VALUE"""),"")</f>
        <v/>
      </c>
      <c r="I199" s="51" t="str">
        <f>IFERROR(__xludf.DUMMYFUNCTION("""COMPUTED_VALUE"""),"#VALUE!")</f>
        <v>#VALUE!</v>
      </c>
      <c r="J199" s="51" t="str">
        <f>IFERROR(__xludf.DUMMYFUNCTION("""COMPUTED_VALUE"""),"")</f>
        <v/>
      </c>
      <c r="K199" s="51"/>
      <c r="L199" s="51" t="s">
        <v>257</v>
      </c>
      <c r="M199" s="51"/>
      <c r="N199" s="51"/>
      <c r="O199" s="51"/>
      <c r="P199" s="51"/>
      <c r="Q199" s="51"/>
      <c r="R199" s="51"/>
      <c r="S199" s="51"/>
      <c r="T199" s="51"/>
    </row>
    <row r="200">
      <c r="A200" s="51"/>
      <c r="B200" s="51"/>
      <c r="C200" s="56"/>
      <c r="D200" s="51"/>
      <c r="E200" s="51"/>
      <c r="F200" s="51"/>
      <c r="G200" s="51" t="str">
        <f>IFERROR(__xludf.DUMMYFUNCTION("""COMPUTED_VALUE"""),"#VALUE!")</f>
        <v>#VALUE!</v>
      </c>
      <c r="H200" s="51" t="str">
        <f>IFERROR(__xludf.DUMMYFUNCTION("""COMPUTED_VALUE"""),"")</f>
        <v/>
      </c>
      <c r="I200" s="51" t="str">
        <f>IFERROR(__xludf.DUMMYFUNCTION("""COMPUTED_VALUE"""),"#VALUE!")</f>
        <v>#VALUE!</v>
      </c>
      <c r="J200" s="51" t="str">
        <f>IFERROR(__xludf.DUMMYFUNCTION("""COMPUTED_VALUE"""),"")</f>
        <v/>
      </c>
      <c r="K200" s="51"/>
      <c r="L200" s="51" t="s">
        <v>257</v>
      </c>
      <c r="M200" s="51"/>
      <c r="N200" s="51"/>
      <c r="O200" s="51"/>
      <c r="P200" s="51"/>
      <c r="Q200" s="51"/>
      <c r="R200" s="51"/>
      <c r="S200" s="51"/>
      <c r="T200" s="51"/>
    </row>
    <row r="201">
      <c r="A201" s="51"/>
      <c r="B201" s="51"/>
      <c r="C201" s="56"/>
      <c r="D201" s="51"/>
      <c r="E201" s="51"/>
      <c r="F201" s="51"/>
      <c r="G201" s="51" t="str">
        <f>IFERROR(__xludf.DUMMYFUNCTION("""COMPUTED_VALUE"""),"#VALUE!")</f>
        <v>#VALUE!</v>
      </c>
      <c r="H201" s="51" t="str">
        <f>IFERROR(__xludf.DUMMYFUNCTION("""COMPUTED_VALUE"""),"")</f>
        <v/>
      </c>
      <c r="I201" s="51" t="str">
        <f>IFERROR(__xludf.DUMMYFUNCTION("""COMPUTED_VALUE"""),"#VALUE!")</f>
        <v>#VALUE!</v>
      </c>
      <c r="J201" s="51" t="str">
        <f>IFERROR(__xludf.DUMMYFUNCTION("""COMPUTED_VALUE"""),"")</f>
        <v/>
      </c>
      <c r="K201" s="51"/>
      <c r="L201" s="51" t="s">
        <v>257</v>
      </c>
      <c r="M201" s="51"/>
      <c r="N201" s="51"/>
      <c r="O201" s="51"/>
      <c r="P201" s="51"/>
      <c r="Q201" s="51"/>
      <c r="R201" s="51"/>
      <c r="S201" s="51"/>
      <c r="T201" s="51"/>
    </row>
    <row r="202">
      <c r="A202" s="51"/>
      <c r="B202" s="51"/>
      <c r="C202" s="56"/>
      <c r="D202" s="51"/>
      <c r="E202" s="51"/>
      <c r="F202" s="51"/>
      <c r="G202" s="51" t="str">
        <f>IFERROR(__xludf.DUMMYFUNCTION("""COMPUTED_VALUE"""),"#VALUE!")</f>
        <v>#VALUE!</v>
      </c>
      <c r="H202" s="51" t="str">
        <f>IFERROR(__xludf.DUMMYFUNCTION("""COMPUTED_VALUE"""),"")</f>
        <v/>
      </c>
      <c r="I202" s="51" t="str">
        <f>IFERROR(__xludf.DUMMYFUNCTION("""COMPUTED_VALUE"""),"#VALUE!")</f>
        <v>#VALUE!</v>
      </c>
      <c r="J202" s="51" t="str">
        <f>IFERROR(__xludf.DUMMYFUNCTION("""COMPUTED_VALUE"""),"")</f>
        <v/>
      </c>
      <c r="K202" s="51"/>
      <c r="L202" s="51" t="s">
        <v>257</v>
      </c>
      <c r="M202" s="51"/>
      <c r="N202" s="51"/>
      <c r="O202" s="51"/>
      <c r="P202" s="51"/>
      <c r="Q202" s="51"/>
      <c r="R202" s="51"/>
      <c r="S202" s="51"/>
      <c r="T202" s="51"/>
    </row>
    <row r="203">
      <c r="A203" s="51"/>
      <c r="B203" s="51"/>
      <c r="C203" s="56"/>
      <c r="D203" s="51"/>
      <c r="E203" s="51"/>
      <c r="F203" s="51"/>
      <c r="G203" s="51" t="str">
        <f>IFERROR(__xludf.DUMMYFUNCTION("""COMPUTED_VALUE"""),"#VALUE!")</f>
        <v>#VALUE!</v>
      </c>
      <c r="H203" s="51" t="str">
        <f>IFERROR(__xludf.DUMMYFUNCTION("""COMPUTED_VALUE"""),"")</f>
        <v/>
      </c>
      <c r="I203" s="51" t="str">
        <f>IFERROR(__xludf.DUMMYFUNCTION("""COMPUTED_VALUE"""),"#VALUE!")</f>
        <v>#VALUE!</v>
      </c>
      <c r="J203" s="51" t="str">
        <f>IFERROR(__xludf.DUMMYFUNCTION("""COMPUTED_VALUE"""),"")</f>
        <v/>
      </c>
      <c r="K203" s="51"/>
      <c r="L203" s="51" t="s">
        <v>257</v>
      </c>
      <c r="M203" s="51"/>
      <c r="N203" s="51"/>
      <c r="O203" s="51"/>
      <c r="P203" s="51"/>
      <c r="Q203" s="51"/>
      <c r="R203" s="51"/>
      <c r="S203" s="51"/>
      <c r="T203" s="51"/>
    </row>
    <row r="204">
      <c r="A204" s="51"/>
      <c r="B204" s="51"/>
      <c r="C204" s="56"/>
      <c r="D204" s="51"/>
      <c r="E204" s="51"/>
      <c r="F204" s="51"/>
      <c r="G204" s="51" t="str">
        <f>IFERROR(__xludf.DUMMYFUNCTION("""COMPUTED_VALUE"""),"#VALUE!")</f>
        <v>#VALUE!</v>
      </c>
      <c r="H204" s="51" t="str">
        <f>IFERROR(__xludf.DUMMYFUNCTION("""COMPUTED_VALUE"""),"")</f>
        <v/>
      </c>
      <c r="I204" s="51" t="str">
        <f>IFERROR(__xludf.DUMMYFUNCTION("""COMPUTED_VALUE"""),"#VALUE!")</f>
        <v>#VALUE!</v>
      </c>
      <c r="J204" s="51" t="str">
        <f>IFERROR(__xludf.DUMMYFUNCTION("""COMPUTED_VALUE"""),"")</f>
        <v/>
      </c>
      <c r="K204" s="51"/>
      <c r="L204" s="51" t="s">
        <v>257</v>
      </c>
      <c r="M204" s="51"/>
      <c r="N204" s="51"/>
      <c r="O204" s="51"/>
      <c r="P204" s="51"/>
      <c r="Q204" s="51"/>
      <c r="R204" s="51"/>
      <c r="S204" s="51"/>
      <c r="T204" s="51"/>
    </row>
    <row r="205">
      <c r="A205" s="51"/>
      <c r="B205" s="51"/>
      <c r="C205" s="56"/>
      <c r="D205" s="51"/>
      <c r="E205" s="51"/>
      <c r="F205" s="51"/>
      <c r="G205" s="51" t="str">
        <f>IFERROR(__xludf.DUMMYFUNCTION("""COMPUTED_VALUE"""),"#VALUE!")</f>
        <v>#VALUE!</v>
      </c>
      <c r="H205" s="51" t="str">
        <f>IFERROR(__xludf.DUMMYFUNCTION("""COMPUTED_VALUE"""),"")</f>
        <v/>
      </c>
      <c r="I205" s="51" t="str">
        <f>IFERROR(__xludf.DUMMYFUNCTION("""COMPUTED_VALUE"""),"#VALUE!")</f>
        <v>#VALUE!</v>
      </c>
      <c r="J205" s="51" t="str">
        <f>IFERROR(__xludf.DUMMYFUNCTION("""COMPUTED_VALUE"""),"")</f>
        <v/>
      </c>
      <c r="K205" s="51"/>
      <c r="L205" s="51" t="s">
        <v>257</v>
      </c>
      <c r="M205" s="51"/>
      <c r="N205" s="51"/>
      <c r="O205" s="51"/>
      <c r="P205" s="51"/>
      <c r="Q205" s="51"/>
      <c r="R205" s="51"/>
      <c r="S205" s="51"/>
      <c r="T205" s="51"/>
    </row>
    <row r="206">
      <c r="A206" s="51"/>
      <c r="B206" s="51"/>
      <c r="C206" s="56"/>
      <c r="D206" s="51"/>
      <c r="E206" s="51"/>
      <c r="F206" s="51"/>
      <c r="G206" s="51" t="str">
        <f>IFERROR(__xludf.DUMMYFUNCTION("""COMPUTED_VALUE"""),"#VALUE!")</f>
        <v>#VALUE!</v>
      </c>
      <c r="H206" s="51" t="str">
        <f>IFERROR(__xludf.DUMMYFUNCTION("""COMPUTED_VALUE"""),"")</f>
        <v/>
      </c>
      <c r="I206" s="51" t="str">
        <f>IFERROR(__xludf.DUMMYFUNCTION("""COMPUTED_VALUE"""),"#VALUE!")</f>
        <v>#VALUE!</v>
      </c>
      <c r="J206" s="51" t="str">
        <f>IFERROR(__xludf.DUMMYFUNCTION("""COMPUTED_VALUE"""),"")</f>
        <v/>
      </c>
      <c r="K206" s="51"/>
      <c r="L206" s="51" t="s">
        <v>257</v>
      </c>
      <c r="M206" s="51"/>
      <c r="N206" s="51"/>
      <c r="O206" s="51"/>
      <c r="P206" s="51"/>
      <c r="Q206" s="51"/>
      <c r="R206" s="51"/>
      <c r="S206" s="51"/>
      <c r="T206" s="51"/>
    </row>
    <row r="207">
      <c r="A207" s="51"/>
      <c r="B207" s="51"/>
      <c r="C207" s="56"/>
      <c r="D207" s="51"/>
      <c r="E207" s="51"/>
      <c r="F207" s="51"/>
      <c r="G207" s="51" t="str">
        <f>IFERROR(__xludf.DUMMYFUNCTION("""COMPUTED_VALUE"""),"#VALUE!")</f>
        <v>#VALUE!</v>
      </c>
      <c r="H207" s="51" t="str">
        <f>IFERROR(__xludf.DUMMYFUNCTION("""COMPUTED_VALUE"""),"")</f>
        <v/>
      </c>
      <c r="I207" s="51" t="str">
        <f>IFERROR(__xludf.DUMMYFUNCTION("""COMPUTED_VALUE"""),"#VALUE!")</f>
        <v>#VALUE!</v>
      </c>
      <c r="J207" s="51" t="str">
        <f>IFERROR(__xludf.DUMMYFUNCTION("""COMPUTED_VALUE"""),"")</f>
        <v/>
      </c>
      <c r="K207" s="51"/>
      <c r="L207" s="51" t="s">
        <v>257</v>
      </c>
      <c r="M207" s="51"/>
      <c r="N207" s="51"/>
      <c r="O207" s="51"/>
      <c r="P207" s="51"/>
      <c r="Q207" s="51"/>
      <c r="R207" s="51"/>
      <c r="S207" s="51"/>
      <c r="T207" s="51"/>
    </row>
    <row r="208">
      <c r="A208" s="51"/>
      <c r="B208" s="51"/>
      <c r="C208" s="56"/>
      <c r="D208" s="51"/>
      <c r="E208" s="51"/>
      <c r="F208" s="51"/>
      <c r="G208" s="51" t="str">
        <f>IFERROR(__xludf.DUMMYFUNCTION("""COMPUTED_VALUE"""),"#VALUE!")</f>
        <v>#VALUE!</v>
      </c>
      <c r="H208" s="51" t="str">
        <f>IFERROR(__xludf.DUMMYFUNCTION("""COMPUTED_VALUE"""),"")</f>
        <v/>
      </c>
      <c r="I208" s="51" t="str">
        <f>IFERROR(__xludf.DUMMYFUNCTION("""COMPUTED_VALUE"""),"#VALUE!")</f>
        <v>#VALUE!</v>
      </c>
      <c r="J208" s="51" t="str">
        <f>IFERROR(__xludf.DUMMYFUNCTION("""COMPUTED_VALUE"""),"")</f>
        <v/>
      </c>
      <c r="K208" s="51"/>
      <c r="L208" s="51" t="s">
        <v>257</v>
      </c>
      <c r="M208" s="51"/>
      <c r="N208" s="51"/>
      <c r="O208" s="51"/>
      <c r="P208" s="51"/>
      <c r="Q208" s="51"/>
      <c r="R208" s="51"/>
      <c r="S208" s="51"/>
      <c r="T208" s="51"/>
    </row>
    <row r="209">
      <c r="A209" s="51"/>
      <c r="B209" s="51"/>
      <c r="C209" s="56"/>
      <c r="D209" s="51"/>
      <c r="E209" s="51"/>
      <c r="F209" s="51"/>
      <c r="G209" s="51" t="str">
        <f>IFERROR(__xludf.DUMMYFUNCTION("""COMPUTED_VALUE"""),"#VALUE!")</f>
        <v>#VALUE!</v>
      </c>
      <c r="H209" s="51" t="str">
        <f>IFERROR(__xludf.DUMMYFUNCTION("""COMPUTED_VALUE"""),"")</f>
        <v/>
      </c>
      <c r="I209" s="51" t="str">
        <f>IFERROR(__xludf.DUMMYFUNCTION("""COMPUTED_VALUE"""),"#VALUE!")</f>
        <v>#VALUE!</v>
      </c>
      <c r="J209" s="51" t="str">
        <f>IFERROR(__xludf.DUMMYFUNCTION("""COMPUTED_VALUE"""),"")</f>
        <v/>
      </c>
      <c r="K209" s="51"/>
      <c r="L209" s="51" t="s">
        <v>257</v>
      </c>
      <c r="M209" s="51"/>
      <c r="N209" s="51"/>
      <c r="O209" s="51"/>
      <c r="P209" s="51"/>
      <c r="Q209" s="51"/>
      <c r="R209" s="51"/>
      <c r="S209" s="51"/>
      <c r="T209" s="51"/>
    </row>
    <row r="210">
      <c r="A210" s="51"/>
      <c r="B210" s="51"/>
      <c r="C210" s="56"/>
      <c r="D210" s="51"/>
      <c r="E210" s="51"/>
      <c r="F210" s="51"/>
      <c r="G210" s="51" t="str">
        <f>IFERROR(__xludf.DUMMYFUNCTION("""COMPUTED_VALUE"""),"#VALUE!")</f>
        <v>#VALUE!</v>
      </c>
      <c r="H210" s="51" t="str">
        <f>IFERROR(__xludf.DUMMYFUNCTION("""COMPUTED_VALUE"""),"")</f>
        <v/>
      </c>
      <c r="I210" s="51" t="str">
        <f>IFERROR(__xludf.DUMMYFUNCTION("""COMPUTED_VALUE"""),"#VALUE!")</f>
        <v>#VALUE!</v>
      </c>
      <c r="J210" s="51" t="str">
        <f>IFERROR(__xludf.DUMMYFUNCTION("""COMPUTED_VALUE"""),"")</f>
        <v/>
      </c>
      <c r="K210" s="51"/>
      <c r="L210" s="51" t="s">
        <v>257</v>
      </c>
      <c r="M210" s="51"/>
      <c r="N210" s="51"/>
      <c r="O210" s="51"/>
      <c r="P210" s="51"/>
      <c r="Q210" s="51"/>
      <c r="R210" s="51"/>
      <c r="S210" s="51"/>
      <c r="T210" s="51"/>
    </row>
    <row r="211">
      <c r="A211" s="51"/>
      <c r="B211" s="51"/>
      <c r="C211" s="56"/>
      <c r="D211" s="51"/>
      <c r="E211" s="51"/>
      <c r="F211" s="51"/>
      <c r="G211" s="51" t="str">
        <f>IFERROR(__xludf.DUMMYFUNCTION("""COMPUTED_VALUE"""),"#VALUE!")</f>
        <v>#VALUE!</v>
      </c>
      <c r="H211" s="51" t="str">
        <f>IFERROR(__xludf.DUMMYFUNCTION("""COMPUTED_VALUE"""),"")</f>
        <v/>
      </c>
      <c r="I211" s="51" t="str">
        <f>IFERROR(__xludf.DUMMYFUNCTION("""COMPUTED_VALUE"""),"#VALUE!")</f>
        <v>#VALUE!</v>
      </c>
      <c r="J211" s="51" t="str">
        <f>IFERROR(__xludf.DUMMYFUNCTION("""COMPUTED_VALUE"""),"")</f>
        <v/>
      </c>
      <c r="K211" s="51"/>
      <c r="L211" s="51" t="s">
        <v>257</v>
      </c>
      <c r="M211" s="51"/>
      <c r="N211" s="51"/>
      <c r="O211" s="51"/>
      <c r="P211" s="51"/>
      <c r="Q211" s="51"/>
      <c r="R211" s="51"/>
      <c r="S211" s="51"/>
      <c r="T211" s="51"/>
    </row>
    <row r="212">
      <c r="A212" s="51"/>
      <c r="B212" s="51"/>
      <c r="C212" s="56"/>
      <c r="D212" s="51"/>
      <c r="E212" s="51"/>
      <c r="F212" s="51"/>
      <c r="G212" s="51" t="str">
        <f>IFERROR(__xludf.DUMMYFUNCTION("""COMPUTED_VALUE"""),"#VALUE!")</f>
        <v>#VALUE!</v>
      </c>
      <c r="H212" s="51" t="str">
        <f>IFERROR(__xludf.DUMMYFUNCTION("""COMPUTED_VALUE"""),"")</f>
        <v/>
      </c>
      <c r="I212" s="51" t="str">
        <f>IFERROR(__xludf.DUMMYFUNCTION("""COMPUTED_VALUE"""),"#VALUE!")</f>
        <v>#VALUE!</v>
      </c>
      <c r="J212" s="51" t="str">
        <f>IFERROR(__xludf.DUMMYFUNCTION("""COMPUTED_VALUE"""),"")</f>
        <v/>
      </c>
      <c r="K212" s="51"/>
      <c r="L212" s="51" t="s">
        <v>257</v>
      </c>
      <c r="M212" s="51"/>
      <c r="N212" s="51"/>
      <c r="O212" s="51"/>
      <c r="P212" s="51"/>
      <c r="Q212" s="51"/>
      <c r="R212" s="51"/>
      <c r="S212" s="51"/>
      <c r="T212" s="51"/>
    </row>
    <row r="213">
      <c r="A213" s="51"/>
      <c r="B213" s="51"/>
      <c r="C213" s="56"/>
      <c r="D213" s="51"/>
      <c r="E213" s="51"/>
      <c r="F213" s="51"/>
      <c r="G213" s="51" t="str">
        <f>IFERROR(__xludf.DUMMYFUNCTION("""COMPUTED_VALUE"""),"#VALUE!")</f>
        <v>#VALUE!</v>
      </c>
      <c r="H213" s="51" t="str">
        <f>IFERROR(__xludf.DUMMYFUNCTION("""COMPUTED_VALUE"""),"")</f>
        <v/>
      </c>
      <c r="I213" s="51" t="str">
        <f>IFERROR(__xludf.DUMMYFUNCTION("""COMPUTED_VALUE"""),"#VALUE!")</f>
        <v>#VALUE!</v>
      </c>
      <c r="J213" s="51" t="str">
        <f>IFERROR(__xludf.DUMMYFUNCTION("""COMPUTED_VALUE"""),"")</f>
        <v/>
      </c>
      <c r="K213" s="51"/>
      <c r="L213" s="51" t="s">
        <v>257</v>
      </c>
      <c r="M213" s="51"/>
      <c r="N213" s="51"/>
      <c r="O213" s="51"/>
      <c r="P213" s="51"/>
      <c r="Q213" s="51"/>
      <c r="R213" s="51"/>
      <c r="S213" s="51"/>
      <c r="T213" s="51"/>
    </row>
    <row r="214">
      <c r="A214" s="51"/>
      <c r="B214" s="51"/>
      <c r="C214" s="56"/>
      <c r="D214" s="51"/>
      <c r="E214" s="51"/>
      <c r="F214" s="51"/>
      <c r="G214" s="51" t="str">
        <f>IFERROR(__xludf.DUMMYFUNCTION("""COMPUTED_VALUE"""),"#VALUE!")</f>
        <v>#VALUE!</v>
      </c>
      <c r="H214" s="51" t="str">
        <f>IFERROR(__xludf.DUMMYFUNCTION("""COMPUTED_VALUE"""),"")</f>
        <v/>
      </c>
      <c r="I214" s="51" t="str">
        <f>IFERROR(__xludf.DUMMYFUNCTION("""COMPUTED_VALUE"""),"#VALUE!")</f>
        <v>#VALUE!</v>
      </c>
      <c r="J214" s="51" t="str">
        <f>IFERROR(__xludf.DUMMYFUNCTION("""COMPUTED_VALUE"""),"")</f>
        <v/>
      </c>
      <c r="K214" s="51"/>
      <c r="L214" s="51" t="s">
        <v>257</v>
      </c>
      <c r="M214" s="51"/>
      <c r="N214" s="51"/>
      <c r="O214" s="51"/>
      <c r="P214" s="51"/>
      <c r="Q214" s="51"/>
      <c r="R214" s="51"/>
      <c r="S214" s="51"/>
      <c r="T214" s="51"/>
    </row>
    <row r="215">
      <c r="A215" s="51"/>
      <c r="B215" s="51"/>
      <c r="C215" s="56"/>
      <c r="D215" s="51"/>
      <c r="E215" s="51"/>
      <c r="F215" s="51"/>
      <c r="G215" s="51" t="str">
        <f>IFERROR(__xludf.DUMMYFUNCTION("""COMPUTED_VALUE"""),"#VALUE!")</f>
        <v>#VALUE!</v>
      </c>
      <c r="H215" s="51" t="str">
        <f>IFERROR(__xludf.DUMMYFUNCTION("""COMPUTED_VALUE"""),"")</f>
        <v/>
      </c>
      <c r="I215" s="51" t="str">
        <f>IFERROR(__xludf.DUMMYFUNCTION("""COMPUTED_VALUE"""),"#VALUE!")</f>
        <v>#VALUE!</v>
      </c>
      <c r="J215" s="51" t="str">
        <f>IFERROR(__xludf.DUMMYFUNCTION("""COMPUTED_VALUE"""),"")</f>
        <v/>
      </c>
      <c r="K215" s="51"/>
      <c r="L215" s="51" t="s">
        <v>257</v>
      </c>
      <c r="M215" s="51"/>
      <c r="N215" s="51"/>
      <c r="O215" s="51"/>
      <c r="P215" s="51"/>
      <c r="Q215" s="51"/>
      <c r="R215" s="51"/>
      <c r="S215" s="51"/>
      <c r="T215" s="51"/>
    </row>
    <row r="216">
      <c r="A216" s="51"/>
      <c r="B216" s="51"/>
      <c r="C216" s="56"/>
      <c r="D216" s="51"/>
      <c r="E216" s="51"/>
      <c r="F216" s="51"/>
      <c r="G216" s="51" t="str">
        <f>IFERROR(__xludf.DUMMYFUNCTION("""COMPUTED_VALUE"""),"#VALUE!")</f>
        <v>#VALUE!</v>
      </c>
      <c r="H216" s="51" t="str">
        <f>IFERROR(__xludf.DUMMYFUNCTION("""COMPUTED_VALUE"""),"")</f>
        <v/>
      </c>
      <c r="I216" s="51" t="str">
        <f>IFERROR(__xludf.DUMMYFUNCTION("""COMPUTED_VALUE"""),"#VALUE!")</f>
        <v>#VALUE!</v>
      </c>
      <c r="J216" s="51" t="str">
        <f>IFERROR(__xludf.DUMMYFUNCTION("""COMPUTED_VALUE"""),"")</f>
        <v/>
      </c>
      <c r="K216" s="51"/>
      <c r="L216" s="51" t="s">
        <v>257</v>
      </c>
      <c r="M216" s="51"/>
      <c r="N216" s="51"/>
      <c r="O216" s="51"/>
      <c r="P216" s="51"/>
      <c r="Q216" s="51"/>
      <c r="R216" s="51"/>
      <c r="S216" s="51"/>
      <c r="T216" s="51"/>
    </row>
    <row r="217">
      <c r="A217" s="51"/>
      <c r="B217" s="51"/>
      <c r="C217" s="56"/>
      <c r="D217" s="51"/>
      <c r="E217" s="51"/>
      <c r="F217" s="51"/>
      <c r="G217" s="51" t="str">
        <f>IFERROR(__xludf.DUMMYFUNCTION("""COMPUTED_VALUE"""),"#VALUE!")</f>
        <v>#VALUE!</v>
      </c>
      <c r="H217" s="51" t="str">
        <f>IFERROR(__xludf.DUMMYFUNCTION("""COMPUTED_VALUE"""),"")</f>
        <v/>
      </c>
      <c r="I217" s="51" t="str">
        <f>IFERROR(__xludf.DUMMYFUNCTION("""COMPUTED_VALUE"""),"#VALUE!")</f>
        <v>#VALUE!</v>
      </c>
      <c r="J217" s="51" t="str">
        <f>IFERROR(__xludf.DUMMYFUNCTION("""COMPUTED_VALUE"""),"")</f>
        <v/>
      </c>
      <c r="K217" s="51"/>
      <c r="L217" s="51" t="s">
        <v>257</v>
      </c>
      <c r="M217" s="51"/>
      <c r="N217" s="51"/>
      <c r="O217" s="51"/>
      <c r="P217" s="51"/>
      <c r="Q217" s="51"/>
      <c r="R217" s="51"/>
      <c r="S217" s="51"/>
      <c r="T217" s="51"/>
    </row>
    <row r="218">
      <c r="A218" s="51"/>
      <c r="B218" s="51"/>
      <c r="C218" s="56"/>
      <c r="D218" s="51"/>
      <c r="E218" s="51"/>
      <c r="F218" s="51"/>
      <c r="G218" s="51" t="str">
        <f>IFERROR(__xludf.DUMMYFUNCTION("""COMPUTED_VALUE"""),"#VALUE!")</f>
        <v>#VALUE!</v>
      </c>
      <c r="H218" s="51" t="str">
        <f>IFERROR(__xludf.DUMMYFUNCTION("""COMPUTED_VALUE"""),"")</f>
        <v/>
      </c>
      <c r="I218" s="51" t="str">
        <f>IFERROR(__xludf.DUMMYFUNCTION("""COMPUTED_VALUE"""),"#VALUE!")</f>
        <v>#VALUE!</v>
      </c>
      <c r="J218" s="51" t="str">
        <f>IFERROR(__xludf.DUMMYFUNCTION("""COMPUTED_VALUE"""),"")</f>
        <v/>
      </c>
      <c r="K218" s="51"/>
      <c r="L218" s="51" t="s">
        <v>257</v>
      </c>
      <c r="M218" s="51"/>
      <c r="N218" s="51"/>
      <c r="O218" s="51"/>
      <c r="P218" s="51"/>
      <c r="Q218" s="51"/>
      <c r="R218" s="51"/>
      <c r="S218" s="51"/>
      <c r="T218" s="51"/>
    </row>
    <row r="219">
      <c r="A219" s="51"/>
      <c r="B219" s="51"/>
      <c r="C219" s="56"/>
      <c r="D219" s="51"/>
      <c r="E219" s="51"/>
      <c r="F219" s="51"/>
      <c r="G219" s="51" t="str">
        <f>IFERROR(__xludf.DUMMYFUNCTION("""COMPUTED_VALUE"""),"#VALUE!")</f>
        <v>#VALUE!</v>
      </c>
      <c r="H219" s="51" t="str">
        <f>IFERROR(__xludf.DUMMYFUNCTION("""COMPUTED_VALUE"""),"")</f>
        <v/>
      </c>
      <c r="I219" s="51" t="str">
        <f>IFERROR(__xludf.DUMMYFUNCTION("""COMPUTED_VALUE"""),"#VALUE!")</f>
        <v>#VALUE!</v>
      </c>
      <c r="J219" s="51" t="str">
        <f>IFERROR(__xludf.DUMMYFUNCTION("""COMPUTED_VALUE"""),"")</f>
        <v/>
      </c>
      <c r="K219" s="51"/>
      <c r="L219" s="51" t="s">
        <v>257</v>
      </c>
      <c r="M219" s="51"/>
      <c r="N219" s="51"/>
      <c r="O219" s="51"/>
      <c r="P219" s="51"/>
      <c r="Q219" s="51"/>
      <c r="R219" s="51"/>
      <c r="S219" s="51"/>
      <c r="T219" s="51"/>
    </row>
    <row r="220">
      <c r="A220" s="51"/>
      <c r="B220" s="51"/>
      <c r="C220" s="56"/>
      <c r="D220" s="51"/>
      <c r="E220" s="51"/>
      <c r="F220" s="51"/>
      <c r="G220" s="51" t="str">
        <f>IFERROR(__xludf.DUMMYFUNCTION("""COMPUTED_VALUE"""),"#VALUE!")</f>
        <v>#VALUE!</v>
      </c>
      <c r="H220" s="51" t="str">
        <f>IFERROR(__xludf.DUMMYFUNCTION("""COMPUTED_VALUE"""),"")</f>
        <v/>
      </c>
      <c r="I220" s="51" t="str">
        <f>IFERROR(__xludf.DUMMYFUNCTION("""COMPUTED_VALUE"""),"#VALUE!")</f>
        <v>#VALUE!</v>
      </c>
      <c r="J220" s="51" t="str">
        <f>IFERROR(__xludf.DUMMYFUNCTION("""COMPUTED_VALUE"""),"")</f>
        <v/>
      </c>
      <c r="K220" s="51"/>
      <c r="L220" s="51" t="s">
        <v>257</v>
      </c>
      <c r="M220" s="51"/>
      <c r="N220" s="51"/>
      <c r="O220" s="51"/>
      <c r="P220" s="51"/>
      <c r="Q220" s="51"/>
      <c r="R220" s="51"/>
      <c r="S220" s="51"/>
      <c r="T220" s="51"/>
    </row>
    <row r="221">
      <c r="A221" s="51"/>
      <c r="B221" s="51"/>
      <c r="C221" s="56"/>
      <c r="D221" s="51"/>
      <c r="E221" s="51"/>
      <c r="F221" s="51"/>
      <c r="G221" s="51" t="str">
        <f>IFERROR(__xludf.DUMMYFUNCTION("""COMPUTED_VALUE"""),"#VALUE!")</f>
        <v>#VALUE!</v>
      </c>
      <c r="H221" s="51" t="str">
        <f>IFERROR(__xludf.DUMMYFUNCTION("""COMPUTED_VALUE"""),"")</f>
        <v/>
      </c>
      <c r="I221" s="51" t="str">
        <f>IFERROR(__xludf.DUMMYFUNCTION("""COMPUTED_VALUE"""),"#VALUE!")</f>
        <v>#VALUE!</v>
      </c>
      <c r="J221" s="51" t="str">
        <f>IFERROR(__xludf.DUMMYFUNCTION("""COMPUTED_VALUE"""),"")</f>
        <v/>
      </c>
      <c r="K221" s="51"/>
      <c r="L221" s="51" t="s">
        <v>257</v>
      </c>
      <c r="M221" s="51"/>
      <c r="N221" s="51"/>
      <c r="O221" s="51"/>
      <c r="P221" s="51"/>
      <c r="Q221" s="51"/>
      <c r="R221" s="51"/>
      <c r="S221" s="51"/>
      <c r="T221" s="51"/>
    </row>
    <row r="222">
      <c r="A222" s="51"/>
      <c r="B222" s="51"/>
      <c r="C222" s="56"/>
      <c r="D222" s="51"/>
      <c r="E222" s="51"/>
      <c r="F222" s="51"/>
      <c r="G222" s="51" t="str">
        <f>IFERROR(__xludf.DUMMYFUNCTION("""COMPUTED_VALUE"""),"#VALUE!")</f>
        <v>#VALUE!</v>
      </c>
      <c r="H222" s="51" t="str">
        <f>IFERROR(__xludf.DUMMYFUNCTION("""COMPUTED_VALUE"""),"")</f>
        <v/>
      </c>
      <c r="I222" s="51" t="str">
        <f>IFERROR(__xludf.DUMMYFUNCTION("""COMPUTED_VALUE"""),"#VALUE!")</f>
        <v>#VALUE!</v>
      </c>
      <c r="J222" s="51" t="str">
        <f>IFERROR(__xludf.DUMMYFUNCTION("""COMPUTED_VALUE"""),"")</f>
        <v/>
      </c>
      <c r="K222" s="51"/>
      <c r="L222" s="51" t="s">
        <v>257</v>
      </c>
      <c r="M222" s="51"/>
      <c r="N222" s="51"/>
      <c r="O222" s="51"/>
      <c r="P222" s="51"/>
      <c r="Q222" s="51"/>
      <c r="R222" s="51"/>
      <c r="S222" s="51"/>
      <c r="T222" s="51"/>
    </row>
    <row r="223">
      <c r="A223" s="51"/>
      <c r="B223" s="51"/>
      <c r="C223" s="56"/>
      <c r="D223" s="51"/>
      <c r="E223" s="51"/>
      <c r="F223" s="51"/>
      <c r="G223" s="51" t="str">
        <f>IFERROR(__xludf.DUMMYFUNCTION("""COMPUTED_VALUE"""),"#VALUE!")</f>
        <v>#VALUE!</v>
      </c>
      <c r="H223" s="51" t="str">
        <f>IFERROR(__xludf.DUMMYFUNCTION("""COMPUTED_VALUE"""),"")</f>
        <v/>
      </c>
      <c r="I223" s="51" t="str">
        <f>IFERROR(__xludf.DUMMYFUNCTION("""COMPUTED_VALUE"""),"#VALUE!")</f>
        <v>#VALUE!</v>
      </c>
      <c r="J223" s="51" t="str">
        <f>IFERROR(__xludf.DUMMYFUNCTION("""COMPUTED_VALUE"""),"")</f>
        <v/>
      </c>
      <c r="K223" s="51"/>
      <c r="L223" s="51" t="s">
        <v>257</v>
      </c>
      <c r="M223" s="51"/>
      <c r="N223" s="51"/>
      <c r="O223" s="51"/>
      <c r="P223" s="51"/>
      <c r="Q223" s="51"/>
      <c r="R223" s="51"/>
      <c r="S223" s="51"/>
      <c r="T223" s="51"/>
    </row>
    <row r="224">
      <c r="A224" s="51"/>
      <c r="B224" s="51"/>
      <c r="C224" s="56"/>
      <c r="D224" s="51"/>
      <c r="E224" s="51"/>
      <c r="F224" s="51"/>
      <c r="G224" s="51" t="str">
        <f>IFERROR(__xludf.DUMMYFUNCTION("""COMPUTED_VALUE"""),"#VALUE!")</f>
        <v>#VALUE!</v>
      </c>
      <c r="H224" s="51" t="str">
        <f>IFERROR(__xludf.DUMMYFUNCTION("""COMPUTED_VALUE"""),"")</f>
        <v/>
      </c>
      <c r="I224" s="51" t="str">
        <f>IFERROR(__xludf.DUMMYFUNCTION("""COMPUTED_VALUE"""),"#VALUE!")</f>
        <v>#VALUE!</v>
      </c>
      <c r="J224" s="51" t="str">
        <f>IFERROR(__xludf.DUMMYFUNCTION("""COMPUTED_VALUE"""),"")</f>
        <v/>
      </c>
      <c r="K224" s="51"/>
      <c r="L224" s="51" t="s">
        <v>257</v>
      </c>
      <c r="M224" s="51"/>
      <c r="N224" s="51"/>
      <c r="O224" s="51"/>
      <c r="P224" s="51"/>
      <c r="Q224" s="51"/>
      <c r="R224" s="51"/>
      <c r="S224" s="51"/>
      <c r="T224" s="51"/>
    </row>
    <row r="225">
      <c r="A225" s="51"/>
      <c r="B225" s="51"/>
      <c r="C225" s="56"/>
      <c r="D225" s="51"/>
      <c r="E225" s="51"/>
      <c r="F225" s="51"/>
      <c r="G225" s="51" t="str">
        <f>IFERROR(__xludf.DUMMYFUNCTION("""COMPUTED_VALUE"""),"#VALUE!")</f>
        <v>#VALUE!</v>
      </c>
      <c r="H225" s="51" t="str">
        <f>IFERROR(__xludf.DUMMYFUNCTION("""COMPUTED_VALUE"""),"")</f>
        <v/>
      </c>
      <c r="I225" s="51" t="str">
        <f>IFERROR(__xludf.DUMMYFUNCTION("""COMPUTED_VALUE"""),"#VALUE!")</f>
        <v>#VALUE!</v>
      </c>
      <c r="J225" s="51" t="str">
        <f>IFERROR(__xludf.DUMMYFUNCTION("""COMPUTED_VALUE"""),"")</f>
        <v/>
      </c>
      <c r="K225" s="51"/>
      <c r="L225" s="51" t="s">
        <v>257</v>
      </c>
      <c r="M225" s="51"/>
      <c r="N225" s="51"/>
      <c r="O225" s="51"/>
      <c r="P225" s="51"/>
      <c r="Q225" s="51"/>
      <c r="R225" s="51"/>
      <c r="S225" s="51"/>
      <c r="T225" s="51"/>
    </row>
    <row r="226">
      <c r="A226" s="51"/>
      <c r="B226" s="51"/>
      <c r="C226" s="56"/>
      <c r="D226" s="51"/>
      <c r="E226" s="51"/>
      <c r="F226" s="51"/>
      <c r="G226" s="51" t="str">
        <f>IFERROR(__xludf.DUMMYFUNCTION("""COMPUTED_VALUE"""),"#VALUE!")</f>
        <v>#VALUE!</v>
      </c>
      <c r="H226" s="51" t="str">
        <f>IFERROR(__xludf.DUMMYFUNCTION("""COMPUTED_VALUE"""),"")</f>
        <v/>
      </c>
      <c r="I226" s="51" t="str">
        <f>IFERROR(__xludf.DUMMYFUNCTION("""COMPUTED_VALUE"""),"#VALUE!")</f>
        <v>#VALUE!</v>
      </c>
      <c r="J226" s="51" t="str">
        <f>IFERROR(__xludf.DUMMYFUNCTION("""COMPUTED_VALUE"""),"")</f>
        <v/>
      </c>
      <c r="K226" s="51"/>
      <c r="L226" s="51" t="s">
        <v>257</v>
      </c>
      <c r="M226" s="51"/>
      <c r="N226" s="51"/>
      <c r="O226" s="51"/>
      <c r="P226" s="51"/>
      <c r="Q226" s="51"/>
      <c r="R226" s="51"/>
      <c r="S226" s="51"/>
      <c r="T226" s="51"/>
    </row>
    <row r="227">
      <c r="A227" s="51"/>
      <c r="B227" s="51"/>
      <c r="C227" s="56"/>
      <c r="D227" s="51"/>
      <c r="E227" s="51"/>
      <c r="F227" s="51"/>
      <c r="G227" s="51" t="str">
        <f>IFERROR(__xludf.DUMMYFUNCTION("""COMPUTED_VALUE"""),"#VALUE!")</f>
        <v>#VALUE!</v>
      </c>
      <c r="H227" s="51" t="str">
        <f>IFERROR(__xludf.DUMMYFUNCTION("""COMPUTED_VALUE"""),"")</f>
        <v/>
      </c>
      <c r="I227" s="51" t="str">
        <f>IFERROR(__xludf.DUMMYFUNCTION("""COMPUTED_VALUE"""),"#VALUE!")</f>
        <v>#VALUE!</v>
      </c>
      <c r="J227" s="51" t="str">
        <f>IFERROR(__xludf.DUMMYFUNCTION("""COMPUTED_VALUE"""),"")</f>
        <v/>
      </c>
      <c r="K227" s="51"/>
      <c r="L227" s="51" t="s">
        <v>257</v>
      </c>
      <c r="M227" s="51"/>
      <c r="N227" s="51"/>
      <c r="O227" s="51"/>
      <c r="P227" s="51"/>
      <c r="Q227" s="51"/>
      <c r="R227" s="51"/>
      <c r="S227" s="51"/>
      <c r="T227" s="51"/>
    </row>
    <row r="228">
      <c r="A228" s="51"/>
      <c r="B228" s="51"/>
      <c r="C228" s="56"/>
      <c r="D228" s="51"/>
      <c r="E228" s="51"/>
      <c r="F228" s="51"/>
      <c r="G228" s="51" t="str">
        <f>IFERROR(__xludf.DUMMYFUNCTION("""COMPUTED_VALUE"""),"#VALUE!")</f>
        <v>#VALUE!</v>
      </c>
      <c r="H228" s="51" t="str">
        <f>IFERROR(__xludf.DUMMYFUNCTION("""COMPUTED_VALUE"""),"")</f>
        <v/>
      </c>
      <c r="I228" s="51" t="str">
        <f>IFERROR(__xludf.DUMMYFUNCTION("""COMPUTED_VALUE"""),"#VALUE!")</f>
        <v>#VALUE!</v>
      </c>
      <c r="J228" s="51" t="str">
        <f>IFERROR(__xludf.DUMMYFUNCTION("""COMPUTED_VALUE"""),"")</f>
        <v/>
      </c>
      <c r="K228" s="51"/>
      <c r="L228" s="51" t="s">
        <v>257</v>
      </c>
      <c r="M228" s="51"/>
      <c r="N228" s="51"/>
      <c r="O228" s="51"/>
      <c r="P228" s="51"/>
      <c r="Q228" s="51"/>
      <c r="R228" s="51"/>
      <c r="S228" s="51"/>
      <c r="T228" s="51"/>
    </row>
    <row r="229">
      <c r="A229" s="51"/>
      <c r="B229" s="51"/>
      <c r="C229" s="56"/>
      <c r="D229" s="51"/>
      <c r="E229" s="51"/>
      <c r="F229" s="51"/>
      <c r="G229" s="51" t="str">
        <f>IFERROR(__xludf.DUMMYFUNCTION("""COMPUTED_VALUE"""),"#VALUE!")</f>
        <v>#VALUE!</v>
      </c>
      <c r="H229" s="51" t="str">
        <f>IFERROR(__xludf.DUMMYFUNCTION("""COMPUTED_VALUE"""),"")</f>
        <v/>
      </c>
      <c r="I229" s="51" t="str">
        <f>IFERROR(__xludf.DUMMYFUNCTION("""COMPUTED_VALUE"""),"#VALUE!")</f>
        <v>#VALUE!</v>
      </c>
      <c r="J229" s="51" t="str">
        <f>IFERROR(__xludf.DUMMYFUNCTION("""COMPUTED_VALUE"""),"")</f>
        <v/>
      </c>
      <c r="K229" s="51"/>
      <c r="L229" s="51" t="s">
        <v>257</v>
      </c>
      <c r="M229" s="51"/>
      <c r="N229" s="51"/>
      <c r="O229" s="51"/>
      <c r="P229" s="51"/>
      <c r="Q229" s="51"/>
      <c r="R229" s="51"/>
      <c r="S229" s="51"/>
      <c r="T229" s="51"/>
    </row>
    <row r="230">
      <c r="A230" s="51"/>
      <c r="B230" s="51"/>
      <c r="C230" s="56"/>
      <c r="D230" s="51"/>
      <c r="E230" s="51"/>
      <c r="F230" s="51"/>
      <c r="G230" s="51" t="str">
        <f>IFERROR(__xludf.DUMMYFUNCTION("""COMPUTED_VALUE"""),"#VALUE!")</f>
        <v>#VALUE!</v>
      </c>
      <c r="H230" s="51" t="str">
        <f>IFERROR(__xludf.DUMMYFUNCTION("""COMPUTED_VALUE"""),"")</f>
        <v/>
      </c>
      <c r="I230" s="51" t="str">
        <f>IFERROR(__xludf.DUMMYFUNCTION("""COMPUTED_VALUE"""),"#VALUE!")</f>
        <v>#VALUE!</v>
      </c>
      <c r="J230" s="51" t="str">
        <f>IFERROR(__xludf.DUMMYFUNCTION("""COMPUTED_VALUE"""),"")</f>
        <v/>
      </c>
      <c r="K230" s="51"/>
      <c r="L230" s="51" t="s">
        <v>257</v>
      </c>
      <c r="M230" s="51"/>
      <c r="N230" s="51"/>
      <c r="O230" s="51"/>
      <c r="P230" s="51"/>
      <c r="Q230" s="51"/>
      <c r="R230" s="51"/>
      <c r="S230" s="51"/>
      <c r="T230" s="51"/>
    </row>
    <row r="231">
      <c r="A231" s="51"/>
      <c r="B231" s="51"/>
      <c r="C231" s="56"/>
      <c r="D231" s="51"/>
      <c r="E231" s="51"/>
      <c r="F231" s="51"/>
      <c r="G231" s="51" t="str">
        <f>IFERROR(__xludf.DUMMYFUNCTION("""COMPUTED_VALUE"""),"#VALUE!")</f>
        <v>#VALUE!</v>
      </c>
      <c r="H231" s="51" t="str">
        <f>IFERROR(__xludf.DUMMYFUNCTION("""COMPUTED_VALUE"""),"")</f>
        <v/>
      </c>
      <c r="I231" s="51" t="str">
        <f>IFERROR(__xludf.DUMMYFUNCTION("""COMPUTED_VALUE"""),"#VALUE!")</f>
        <v>#VALUE!</v>
      </c>
      <c r="J231" s="51" t="str">
        <f>IFERROR(__xludf.DUMMYFUNCTION("""COMPUTED_VALUE"""),"")</f>
        <v/>
      </c>
      <c r="K231" s="51"/>
      <c r="L231" s="51" t="s">
        <v>257</v>
      </c>
      <c r="M231" s="51"/>
      <c r="N231" s="51"/>
      <c r="O231" s="51"/>
      <c r="P231" s="51"/>
      <c r="Q231" s="51"/>
      <c r="R231" s="51"/>
      <c r="S231" s="51"/>
      <c r="T231" s="51"/>
    </row>
    <row r="232">
      <c r="A232" s="51"/>
      <c r="B232" s="51"/>
      <c r="C232" s="56"/>
      <c r="D232" s="51"/>
      <c r="E232" s="51"/>
      <c r="F232" s="51"/>
      <c r="G232" s="51" t="str">
        <f>IFERROR(__xludf.DUMMYFUNCTION("""COMPUTED_VALUE"""),"#VALUE!")</f>
        <v>#VALUE!</v>
      </c>
      <c r="H232" s="51" t="str">
        <f>IFERROR(__xludf.DUMMYFUNCTION("""COMPUTED_VALUE"""),"")</f>
        <v/>
      </c>
      <c r="I232" s="51" t="str">
        <f>IFERROR(__xludf.DUMMYFUNCTION("""COMPUTED_VALUE"""),"#VALUE!")</f>
        <v>#VALUE!</v>
      </c>
      <c r="J232" s="51" t="str">
        <f>IFERROR(__xludf.DUMMYFUNCTION("""COMPUTED_VALUE"""),"")</f>
        <v/>
      </c>
      <c r="K232" s="51"/>
      <c r="L232" s="51" t="s">
        <v>257</v>
      </c>
      <c r="M232" s="51"/>
      <c r="N232" s="51"/>
      <c r="O232" s="51"/>
      <c r="P232" s="51"/>
      <c r="Q232" s="51"/>
      <c r="R232" s="51"/>
      <c r="S232" s="51"/>
      <c r="T232" s="51"/>
    </row>
    <row r="233">
      <c r="A233" s="51"/>
      <c r="B233" s="51"/>
      <c r="C233" s="56"/>
      <c r="D233" s="51"/>
      <c r="E233" s="51"/>
      <c r="F233" s="51"/>
      <c r="G233" s="51" t="str">
        <f>IFERROR(__xludf.DUMMYFUNCTION("""COMPUTED_VALUE"""),"#VALUE!")</f>
        <v>#VALUE!</v>
      </c>
      <c r="H233" s="51" t="str">
        <f>IFERROR(__xludf.DUMMYFUNCTION("""COMPUTED_VALUE"""),"")</f>
        <v/>
      </c>
      <c r="I233" s="51" t="str">
        <f>IFERROR(__xludf.DUMMYFUNCTION("""COMPUTED_VALUE"""),"#VALUE!")</f>
        <v>#VALUE!</v>
      </c>
      <c r="J233" s="51" t="str">
        <f>IFERROR(__xludf.DUMMYFUNCTION("""COMPUTED_VALUE"""),"")</f>
        <v/>
      </c>
      <c r="K233" s="51"/>
      <c r="L233" s="51" t="s">
        <v>257</v>
      </c>
      <c r="M233" s="51"/>
      <c r="N233" s="51"/>
      <c r="O233" s="51"/>
      <c r="P233" s="51"/>
      <c r="Q233" s="51"/>
      <c r="R233" s="51"/>
      <c r="S233" s="51"/>
      <c r="T233" s="51"/>
    </row>
    <row r="234">
      <c r="A234" s="51"/>
      <c r="B234" s="51"/>
      <c r="C234" s="56"/>
      <c r="D234" s="51"/>
      <c r="E234" s="51"/>
      <c r="F234" s="51"/>
      <c r="G234" s="51" t="str">
        <f>IFERROR(__xludf.DUMMYFUNCTION("""COMPUTED_VALUE"""),"#VALUE!")</f>
        <v>#VALUE!</v>
      </c>
      <c r="H234" s="51" t="str">
        <f>IFERROR(__xludf.DUMMYFUNCTION("""COMPUTED_VALUE"""),"")</f>
        <v/>
      </c>
      <c r="I234" s="51" t="str">
        <f>IFERROR(__xludf.DUMMYFUNCTION("""COMPUTED_VALUE"""),"#VALUE!")</f>
        <v>#VALUE!</v>
      </c>
      <c r="J234" s="51" t="str">
        <f>IFERROR(__xludf.DUMMYFUNCTION("""COMPUTED_VALUE"""),"")</f>
        <v/>
      </c>
      <c r="K234" s="51"/>
      <c r="L234" s="51" t="s">
        <v>257</v>
      </c>
      <c r="M234" s="51"/>
      <c r="N234" s="51"/>
      <c r="O234" s="51"/>
      <c r="P234" s="51"/>
      <c r="Q234" s="51"/>
      <c r="R234" s="51"/>
      <c r="S234" s="51"/>
      <c r="T234" s="51"/>
    </row>
    <row r="235">
      <c r="A235" s="51"/>
      <c r="B235" s="51"/>
      <c r="C235" s="56"/>
      <c r="D235" s="51"/>
      <c r="E235" s="51"/>
      <c r="F235" s="51"/>
      <c r="G235" s="51" t="str">
        <f>IFERROR(__xludf.DUMMYFUNCTION("""COMPUTED_VALUE"""),"#VALUE!")</f>
        <v>#VALUE!</v>
      </c>
      <c r="H235" s="51" t="str">
        <f>IFERROR(__xludf.DUMMYFUNCTION("""COMPUTED_VALUE"""),"")</f>
        <v/>
      </c>
      <c r="I235" s="51" t="str">
        <f>IFERROR(__xludf.DUMMYFUNCTION("""COMPUTED_VALUE"""),"#VALUE!")</f>
        <v>#VALUE!</v>
      </c>
      <c r="J235" s="51" t="str">
        <f>IFERROR(__xludf.DUMMYFUNCTION("""COMPUTED_VALUE"""),"")</f>
        <v/>
      </c>
      <c r="K235" s="51"/>
      <c r="L235" s="51" t="s">
        <v>257</v>
      </c>
      <c r="M235" s="51"/>
      <c r="N235" s="51"/>
      <c r="O235" s="51"/>
      <c r="P235" s="51"/>
      <c r="Q235" s="51"/>
      <c r="R235" s="51"/>
      <c r="S235" s="51"/>
      <c r="T235" s="51"/>
    </row>
    <row r="236">
      <c r="A236" s="51"/>
      <c r="B236" s="51"/>
      <c r="C236" s="56"/>
      <c r="D236" s="51"/>
      <c r="E236" s="51"/>
      <c r="F236" s="51"/>
      <c r="G236" s="51" t="str">
        <f>IFERROR(__xludf.DUMMYFUNCTION("""COMPUTED_VALUE"""),"#VALUE!")</f>
        <v>#VALUE!</v>
      </c>
      <c r="H236" s="51" t="str">
        <f>IFERROR(__xludf.DUMMYFUNCTION("""COMPUTED_VALUE"""),"")</f>
        <v/>
      </c>
      <c r="I236" s="51" t="str">
        <f>IFERROR(__xludf.DUMMYFUNCTION("""COMPUTED_VALUE"""),"#VALUE!")</f>
        <v>#VALUE!</v>
      </c>
      <c r="J236" s="51" t="str">
        <f>IFERROR(__xludf.DUMMYFUNCTION("""COMPUTED_VALUE"""),"")</f>
        <v/>
      </c>
      <c r="K236" s="51"/>
      <c r="L236" s="51" t="s">
        <v>257</v>
      </c>
      <c r="M236" s="51"/>
      <c r="N236" s="51"/>
      <c r="O236" s="51"/>
      <c r="P236" s="51"/>
      <c r="Q236" s="51"/>
      <c r="R236" s="51"/>
      <c r="S236" s="51"/>
      <c r="T236" s="51"/>
    </row>
    <row r="237">
      <c r="A237" s="51"/>
      <c r="B237" s="51"/>
      <c r="C237" s="56"/>
      <c r="D237" s="51"/>
      <c r="E237" s="51"/>
      <c r="F237" s="51"/>
      <c r="G237" s="51" t="str">
        <f>IFERROR(__xludf.DUMMYFUNCTION("""COMPUTED_VALUE"""),"#VALUE!")</f>
        <v>#VALUE!</v>
      </c>
      <c r="H237" s="51" t="str">
        <f>IFERROR(__xludf.DUMMYFUNCTION("""COMPUTED_VALUE"""),"")</f>
        <v/>
      </c>
      <c r="I237" s="51" t="str">
        <f>IFERROR(__xludf.DUMMYFUNCTION("""COMPUTED_VALUE"""),"#VALUE!")</f>
        <v>#VALUE!</v>
      </c>
      <c r="J237" s="51" t="str">
        <f>IFERROR(__xludf.DUMMYFUNCTION("""COMPUTED_VALUE"""),"")</f>
        <v/>
      </c>
      <c r="K237" s="51"/>
      <c r="L237" s="51" t="s">
        <v>257</v>
      </c>
      <c r="M237" s="51"/>
      <c r="N237" s="51"/>
      <c r="O237" s="51"/>
      <c r="P237" s="51"/>
      <c r="Q237" s="51"/>
      <c r="R237" s="51"/>
      <c r="S237" s="51"/>
      <c r="T237" s="51"/>
    </row>
    <row r="238">
      <c r="A238" s="51"/>
      <c r="B238" s="51"/>
      <c r="C238" s="56"/>
      <c r="D238" s="51"/>
      <c r="E238" s="51"/>
      <c r="F238" s="51"/>
      <c r="G238" s="51" t="str">
        <f>IFERROR(__xludf.DUMMYFUNCTION("""COMPUTED_VALUE"""),"#VALUE!")</f>
        <v>#VALUE!</v>
      </c>
      <c r="H238" s="51" t="str">
        <f>IFERROR(__xludf.DUMMYFUNCTION("""COMPUTED_VALUE"""),"")</f>
        <v/>
      </c>
      <c r="I238" s="51" t="str">
        <f>IFERROR(__xludf.DUMMYFUNCTION("""COMPUTED_VALUE"""),"#VALUE!")</f>
        <v>#VALUE!</v>
      </c>
      <c r="J238" s="51" t="str">
        <f>IFERROR(__xludf.DUMMYFUNCTION("""COMPUTED_VALUE"""),"")</f>
        <v/>
      </c>
      <c r="K238" s="51"/>
      <c r="L238" s="51" t="s">
        <v>257</v>
      </c>
      <c r="M238" s="51"/>
      <c r="N238" s="51"/>
      <c r="O238" s="51"/>
      <c r="P238" s="51"/>
      <c r="Q238" s="51"/>
      <c r="R238" s="51"/>
      <c r="S238" s="51"/>
      <c r="T238" s="51"/>
    </row>
    <row r="239">
      <c r="A239" s="51"/>
      <c r="B239" s="51"/>
      <c r="C239" s="56"/>
      <c r="D239" s="51"/>
      <c r="E239" s="51"/>
      <c r="F239" s="51"/>
      <c r="G239" s="51" t="str">
        <f>IFERROR(__xludf.DUMMYFUNCTION("""COMPUTED_VALUE"""),"#VALUE!")</f>
        <v>#VALUE!</v>
      </c>
      <c r="H239" s="51" t="str">
        <f>IFERROR(__xludf.DUMMYFUNCTION("""COMPUTED_VALUE"""),"")</f>
        <v/>
      </c>
      <c r="I239" s="51" t="str">
        <f>IFERROR(__xludf.DUMMYFUNCTION("""COMPUTED_VALUE"""),"#VALUE!")</f>
        <v>#VALUE!</v>
      </c>
      <c r="J239" s="51" t="str">
        <f>IFERROR(__xludf.DUMMYFUNCTION("""COMPUTED_VALUE"""),"")</f>
        <v/>
      </c>
      <c r="K239" s="51"/>
      <c r="L239" s="51" t="s">
        <v>257</v>
      </c>
      <c r="M239" s="51"/>
      <c r="N239" s="51"/>
      <c r="O239" s="51"/>
      <c r="P239" s="51"/>
      <c r="Q239" s="51"/>
      <c r="R239" s="51"/>
      <c r="S239" s="51"/>
      <c r="T239" s="51"/>
    </row>
    <row r="240">
      <c r="A240" s="51"/>
      <c r="B240" s="51"/>
      <c r="C240" s="56"/>
      <c r="D240" s="51"/>
      <c r="E240" s="51"/>
      <c r="F240" s="51"/>
      <c r="G240" s="51" t="str">
        <f>IFERROR(__xludf.DUMMYFUNCTION("""COMPUTED_VALUE"""),"#VALUE!")</f>
        <v>#VALUE!</v>
      </c>
      <c r="H240" s="51" t="str">
        <f>IFERROR(__xludf.DUMMYFUNCTION("""COMPUTED_VALUE"""),"")</f>
        <v/>
      </c>
      <c r="I240" s="51" t="str">
        <f>IFERROR(__xludf.DUMMYFUNCTION("""COMPUTED_VALUE"""),"#VALUE!")</f>
        <v>#VALUE!</v>
      </c>
      <c r="J240" s="51" t="str">
        <f>IFERROR(__xludf.DUMMYFUNCTION("""COMPUTED_VALUE"""),"")</f>
        <v/>
      </c>
      <c r="K240" s="51"/>
      <c r="L240" s="51" t="s">
        <v>257</v>
      </c>
      <c r="M240" s="51"/>
      <c r="N240" s="51"/>
      <c r="O240" s="51"/>
      <c r="P240" s="51"/>
      <c r="Q240" s="51"/>
      <c r="R240" s="51"/>
      <c r="S240" s="51"/>
      <c r="T240" s="51"/>
    </row>
    <row r="241">
      <c r="A241" s="51"/>
      <c r="B241" s="51"/>
      <c r="C241" s="56"/>
      <c r="D241" s="51"/>
      <c r="E241" s="51"/>
      <c r="F241" s="51"/>
      <c r="G241" s="51" t="str">
        <f>IFERROR(__xludf.DUMMYFUNCTION("""COMPUTED_VALUE"""),"#VALUE!")</f>
        <v>#VALUE!</v>
      </c>
      <c r="H241" s="51" t="str">
        <f>IFERROR(__xludf.DUMMYFUNCTION("""COMPUTED_VALUE"""),"")</f>
        <v/>
      </c>
      <c r="I241" s="51" t="str">
        <f>IFERROR(__xludf.DUMMYFUNCTION("""COMPUTED_VALUE"""),"#VALUE!")</f>
        <v>#VALUE!</v>
      </c>
      <c r="J241" s="51" t="str">
        <f>IFERROR(__xludf.DUMMYFUNCTION("""COMPUTED_VALUE"""),"")</f>
        <v/>
      </c>
      <c r="K241" s="51"/>
      <c r="L241" s="51" t="s">
        <v>257</v>
      </c>
      <c r="M241" s="51"/>
      <c r="N241" s="51"/>
      <c r="O241" s="51"/>
      <c r="P241" s="51"/>
      <c r="Q241" s="51"/>
      <c r="R241" s="51"/>
      <c r="S241" s="51"/>
      <c r="T241" s="51"/>
    </row>
    <row r="242">
      <c r="A242" s="51"/>
      <c r="B242" s="51"/>
      <c r="C242" s="56"/>
      <c r="D242" s="51"/>
      <c r="E242" s="51"/>
      <c r="F242" s="51"/>
      <c r="G242" s="51" t="str">
        <f>IFERROR(__xludf.DUMMYFUNCTION("""COMPUTED_VALUE"""),"#VALUE!")</f>
        <v>#VALUE!</v>
      </c>
      <c r="H242" s="51" t="str">
        <f>IFERROR(__xludf.DUMMYFUNCTION("""COMPUTED_VALUE"""),"")</f>
        <v/>
      </c>
      <c r="I242" s="51" t="str">
        <f>IFERROR(__xludf.DUMMYFUNCTION("""COMPUTED_VALUE"""),"#VALUE!")</f>
        <v>#VALUE!</v>
      </c>
      <c r="J242" s="51" t="str">
        <f>IFERROR(__xludf.DUMMYFUNCTION("""COMPUTED_VALUE"""),"")</f>
        <v/>
      </c>
      <c r="K242" s="51"/>
      <c r="L242" s="51" t="s">
        <v>257</v>
      </c>
      <c r="M242" s="51"/>
      <c r="N242" s="51"/>
      <c r="O242" s="51"/>
      <c r="P242" s="51"/>
      <c r="Q242" s="51"/>
      <c r="R242" s="51"/>
      <c r="S242" s="51"/>
      <c r="T242" s="51"/>
    </row>
    <row r="243">
      <c r="A243" s="51"/>
      <c r="B243" s="51"/>
      <c r="C243" s="56"/>
      <c r="D243" s="51"/>
      <c r="E243" s="51"/>
      <c r="F243" s="51"/>
      <c r="G243" s="51" t="str">
        <f>IFERROR(__xludf.DUMMYFUNCTION("""COMPUTED_VALUE"""),"#VALUE!")</f>
        <v>#VALUE!</v>
      </c>
      <c r="H243" s="51" t="str">
        <f>IFERROR(__xludf.DUMMYFUNCTION("""COMPUTED_VALUE"""),"")</f>
        <v/>
      </c>
      <c r="I243" s="51" t="str">
        <f>IFERROR(__xludf.DUMMYFUNCTION("""COMPUTED_VALUE"""),"#VALUE!")</f>
        <v>#VALUE!</v>
      </c>
      <c r="J243" s="51" t="str">
        <f>IFERROR(__xludf.DUMMYFUNCTION("""COMPUTED_VALUE"""),"")</f>
        <v/>
      </c>
      <c r="K243" s="51"/>
      <c r="L243" s="51" t="s">
        <v>257</v>
      </c>
      <c r="M243" s="51"/>
      <c r="N243" s="51"/>
      <c r="O243" s="51"/>
      <c r="P243" s="51"/>
      <c r="Q243" s="51"/>
      <c r="R243" s="51"/>
      <c r="S243" s="51"/>
      <c r="T243" s="51"/>
    </row>
    <row r="244">
      <c r="A244" s="51"/>
      <c r="B244" s="51"/>
      <c r="C244" s="56"/>
      <c r="D244" s="51"/>
      <c r="E244" s="51"/>
      <c r="F244" s="51"/>
      <c r="G244" s="51" t="str">
        <f>IFERROR(__xludf.DUMMYFUNCTION("""COMPUTED_VALUE"""),"#VALUE!")</f>
        <v>#VALUE!</v>
      </c>
      <c r="H244" s="51" t="str">
        <f>IFERROR(__xludf.DUMMYFUNCTION("""COMPUTED_VALUE"""),"")</f>
        <v/>
      </c>
      <c r="I244" s="51" t="str">
        <f>IFERROR(__xludf.DUMMYFUNCTION("""COMPUTED_VALUE"""),"#VALUE!")</f>
        <v>#VALUE!</v>
      </c>
      <c r="J244" s="51" t="str">
        <f>IFERROR(__xludf.DUMMYFUNCTION("""COMPUTED_VALUE"""),"")</f>
        <v/>
      </c>
      <c r="K244" s="51"/>
      <c r="L244" s="51" t="s">
        <v>257</v>
      </c>
      <c r="M244" s="51"/>
      <c r="N244" s="51"/>
      <c r="O244" s="51"/>
      <c r="P244" s="51"/>
      <c r="Q244" s="51"/>
      <c r="R244" s="51"/>
      <c r="S244" s="51"/>
      <c r="T244" s="51"/>
    </row>
    <row r="245">
      <c r="A245" s="51"/>
      <c r="B245" s="51"/>
      <c r="C245" s="56"/>
      <c r="D245" s="51"/>
      <c r="E245" s="51"/>
      <c r="F245" s="51"/>
      <c r="G245" s="51" t="str">
        <f>IFERROR(__xludf.DUMMYFUNCTION("""COMPUTED_VALUE"""),"#VALUE!")</f>
        <v>#VALUE!</v>
      </c>
      <c r="H245" s="51" t="str">
        <f>IFERROR(__xludf.DUMMYFUNCTION("""COMPUTED_VALUE"""),"")</f>
        <v/>
      </c>
      <c r="I245" s="51" t="str">
        <f>IFERROR(__xludf.DUMMYFUNCTION("""COMPUTED_VALUE"""),"#VALUE!")</f>
        <v>#VALUE!</v>
      </c>
      <c r="J245" s="51" t="str">
        <f>IFERROR(__xludf.DUMMYFUNCTION("""COMPUTED_VALUE"""),"")</f>
        <v/>
      </c>
      <c r="K245" s="51"/>
      <c r="L245" s="51" t="s">
        <v>257</v>
      </c>
      <c r="M245" s="51"/>
      <c r="N245" s="51"/>
      <c r="O245" s="51"/>
      <c r="P245" s="51"/>
      <c r="Q245" s="51"/>
      <c r="R245" s="51"/>
      <c r="S245" s="51"/>
      <c r="T245" s="51"/>
    </row>
    <row r="246">
      <c r="A246" s="51"/>
      <c r="B246" s="51"/>
      <c r="C246" s="56"/>
      <c r="D246" s="51"/>
      <c r="E246" s="51"/>
      <c r="F246" s="51"/>
      <c r="G246" s="51" t="str">
        <f>IFERROR(__xludf.DUMMYFUNCTION("""COMPUTED_VALUE"""),"#VALUE!")</f>
        <v>#VALUE!</v>
      </c>
      <c r="H246" s="51" t="str">
        <f>IFERROR(__xludf.DUMMYFUNCTION("""COMPUTED_VALUE"""),"")</f>
        <v/>
      </c>
      <c r="I246" s="51" t="str">
        <f>IFERROR(__xludf.DUMMYFUNCTION("""COMPUTED_VALUE"""),"#VALUE!")</f>
        <v>#VALUE!</v>
      </c>
      <c r="J246" s="51" t="str">
        <f>IFERROR(__xludf.DUMMYFUNCTION("""COMPUTED_VALUE"""),"")</f>
        <v/>
      </c>
      <c r="K246" s="51"/>
      <c r="L246" s="51" t="s">
        <v>257</v>
      </c>
      <c r="M246" s="51"/>
      <c r="N246" s="51"/>
      <c r="O246" s="51"/>
      <c r="P246" s="51"/>
      <c r="Q246" s="51"/>
      <c r="R246" s="51"/>
      <c r="S246" s="51"/>
      <c r="T246" s="51"/>
    </row>
    <row r="247">
      <c r="A247" s="51"/>
      <c r="B247" s="51"/>
      <c r="C247" s="56"/>
      <c r="D247" s="51"/>
      <c r="E247" s="51"/>
      <c r="F247" s="51"/>
      <c r="G247" s="51" t="str">
        <f>IFERROR(__xludf.DUMMYFUNCTION("""COMPUTED_VALUE"""),"#VALUE!")</f>
        <v>#VALUE!</v>
      </c>
      <c r="H247" s="51" t="str">
        <f>IFERROR(__xludf.DUMMYFUNCTION("""COMPUTED_VALUE"""),"")</f>
        <v/>
      </c>
      <c r="I247" s="51" t="str">
        <f>IFERROR(__xludf.DUMMYFUNCTION("""COMPUTED_VALUE"""),"#VALUE!")</f>
        <v>#VALUE!</v>
      </c>
      <c r="J247" s="51" t="str">
        <f>IFERROR(__xludf.DUMMYFUNCTION("""COMPUTED_VALUE"""),"")</f>
        <v/>
      </c>
      <c r="K247" s="51"/>
      <c r="L247" s="51" t="s">
        <v>257</v>
      </c>
      <c r="M247" s="51"/>
      <c r="N247" s="51"/>
      <c r="O247" s="51"/>
      <c r="P247" s="51"/>
      <c r="Q247" s="51"/>
      <c r="R247" s="51"/>
      <c r="S247" s="51"/>
      <c r="T247" s="51"/>
    </row>
    <row r="248">
      <c r="A248" s="51"/>
      <c r="B248" s="51"/>
      <c r="C248" s="56"/>
      <c r="D248" s="51"/>
      <c r="E248" s="51"/>
      <c r="F248" s="51"/>
      <c r="G248" s="51" t="str">
        <f>IFERROR(__xludf.DUMMYFUNCTION("""COMPUTED_VALUE"""),"#VALUE!")</f>
        <v>#VALUE!</v>
      </c>
      <c r="H248" s="51" t="str">
        <f>IFERROR(__xludf.DUMMYFUNCTION("""COMPUTED_VALUE"""),"")</f>
        <v/>
      </c>
      <c r="I248" s="51" t="str">
        <f>IFERROR(__xludf.DUMMYFUNCTION("""COMPUTED_VALUE"""),"#VALUE!")</f>
        <v>#VALUE!</v>
      </c>
      <c r="J248" s="51" t="str">
        <f>IFERROR(__xludf.DUMMYFUNCTION("""COMPUTED_VALUE"""),"")</f>
        <v/>
      </c>
      <c r="K248" s="51"/>
      <c r="L248" s="51" t="s">
        <v>257</v>
      </c>
      <c r="M248" s="51"/>
      <c r="N248" s="51"/>
      <c r="O248" s="51"/>
      <c r="P248" s="51"/>
      <c r="Q248" s="51"/>
      <c r="R248" s="51"/>
      <c r="S248" s="51"/>
      <c r="T248" s="51"/>
    </row>
    <row r="249">
      <c r="A249" s="51"/>
      <c r="B249" s="51"/>
      <c r="C249" s="56"/>
      <c r="D249" s="51"/>
      <c r="E249" s="51"/>
      <c r="F249" s="51"/>
      <c r="G249" s="51" t="str">
        <f>IFERROR(__xludf.DUMMYFUNCTION("""COMPUTED_VALUE"""),"#VALUE!")</f>
        <v>#VALUE!</v>
      </c>
      <c r="H249" s="51" t="str">
        <f>IFERROR(__xludf.DUMMYFUNCTION("""COMPUTED_VALUE"""),"")</f>
        <v/>
      </c>
      <c r="I249" s="51" t="str">
        <f>IFERROR(__xludf.DUMMYFUNCTION("""COMPUTED_VALUE"""),"#VALUE!")</f>
        <v>#VALUE!</v>
      </c>
      <c r="J249" s="51" t="str">
        <f>IFERROR(__xludf.DUMMYFUNCTION("""COMPUTED_VALUE"""),"")</f>
        <v/>
      </c>
      <c r="K249" s="51"/>
      <c r="L249" s="51" t="s">
        <v>257</v>
      </c>
      <c r="M249" s="51"/>
      <c r="N249" s="51"/>
      <c r="O249" s="51"/>
      <c r="P249" s="51"/>
      <c r="Q249" s="51"/>
      <c r="R249" s="51"/>
      <c r="S249" s="51"/>
      <c r="T249" s="51"/>
    </row>
    <row r="250">
      <c r="A250" s="51"/>
      <c r="B250" s="51"/>
      <c r="C250" s="56"/>
      <c r="D250" s="51"/>
      <c r="E250" s="51"/>
      <c r="F250" s="51"/>
      <c r="G250" s="51" t="str">
        <f>IFERROR(__xludf.DUMMYFUNCTION("""COMPUTED_VALUE"""),"#VALUE!")</f>
        <v>#VALUE!</v>
      </c>
      <c r="H250" s="51" t="str">
        <f>IFERROR(__xludf.DUMMYFUNCTION("""COMPUTED_VALUE"""),"")</f>
        <v/>
      </c>
      <c r="I250" s="51" t="str">
        <f>IFERROR(__xludf.DUMMYFUNCTION("""COMPUTED_VALUE"""),"#VALUE!")</f>
        <v>#VALUE!</v>
      </c>
      <c r="J250" s="51" t="str">
        <f>IFERROR(__xludf.DUMMYFUNCTION("""COMPUTED_VALUE"""),"")</f>
        <v/>
      </c>
      <c r="K250" s="51"/>
      <c r="L250" s="51" t="s">
        <v>257</v>
      </c>
      <c r="M250" s="51"/>
      <c r="N250" s="51"/>
      <c r="O250" s="51"/>
      <c r="P250" s="51"/>
      <c r="Q250" s="51"/>
      <c r="R250" s="51"/>
      <c r="S250" s="51"/>
      <c r="T250" s="51"/>
    </row>
    <row r="251">
      <c r="A251" s="51"/>
      <c r="B251" s="51"/>
      <c r="C251" s="56"/>
      <c r="D251" s="51"/>
      <c r="E251" s="51"/>
      <c r="F251" s="51"/>
      <c r="G251" s="51" t="str">
        <f>IFERROR(__xludf.DUMMYFUNCTION("""COMPUTED_VALUE"""),"#VALUE!")</f>
        <v>#VALUE!</v>
      </c>
      <c r="H251" s="51" t="str">
        <f>IFERROR(__xludf.DUMMYFUNCTION("""COMPUTED_VALUE"""),"")</f>
        <v/>
      </c>
      <c r="I251" s="51" t="str">
        <f>IFERROR(__xludf.DUMMYFUNCTION("""COMPUTED_VALUE"""),"#VALUE!")</f>
        <v>#VALUE!</v>
      </c>
      <c r="J251" s="51" t="str">
        <f>IFERROR(__xludf.DUMMYFUNCTION("""COMPUTED_VALUE"""),"")</f>
        <v/>
      </c>
      <c r="K251" s="51"/>
      <c r="L251" s="51" t="s">
        <v>257</v>
      </c>
      <c r="M251" s="51"/>
      <c r="N251" s="51"/>
      <c r="O251" s="51"/>
      <c r="P251" s="51"/>
      <c r="Q251" s="51"/>
      <c r="R251" s="51"/>
      <c r="S251" s="51"/>
      <c r="T251" s="51"/>
    </row>
    <row r="252">
      <c r="A252" s="51"/>
      <c r="B252" s="51"/>
      <c r="C252" s="56"/>
      <c r="D252" s="51"/>
      <c r="E252" s="51"/>
      <c r="F252" s="51"/>
      <c r="G252" s="51" t="str">
        <f>IFERROR(__xludf.DUMMYFUNCTION("""COMPUTED_VALUE"""),"#VALUE!")</f>
        <v>#VALUE!</v>
      </c>
      <c r="H252" s="51" t="str">
        <f>IFERROR(__xludf.DUMMYFUNCTION("""COMPUTED_VALUE"""),"")</f>
        <v/>
      </c>
      <c r="I252" s="51" t="str">
        <f>IFERROR(__xludf.DUMMYFUNCTION("""COMPUTED_VALUE"""),"#VALUE!")</f>
        <v>#VALUE!</v>
      </c>
      <c r="J252" s="51" t="str">
        <f>IFERROR(__xludf.DUMMYFUNCTION("""COMPUTED_VALUE"""),"")</f>
        <v/>
      </c>
      <c r="K252" s="51"/>
      <c r="L252" s="51" t="s">
        <v>257</v>
      </c>
      <c r="M252" s="51"/>
      <c r="N252" s="51"/>
      <c r="O252" s="51"/>
      <c r="P252" s="51"/>
      <c r="Q252" s="51"/>
      <c r="R252" s="51"/>
      <c r="S252" s="51"/>
      <c r="T252" s="51"/>
    </row>
    <row r="253">
      <c r="A253" s="51"/>
      <c r="B253" s="51"/>
      <c r="C253" s="56"/>
      <c r="D253" s="51"/>
      <c r="E253" s="51"/>
      <c r="F253" s="51"/>
      <c r="G253" s="51" t="str">
        <f>IFERROR(__xludf.DUMMYFUNCTION("""COMPUTED_VALUE"""),"#VALUE!")</f>
        <v>#VALUE!</v>
      </c>
      <c r="H253" s="51" t="str">
        <f>IFERROR(__xludf.DUMMYFUNCTION("""COMPUTED_VALUE"""),"")</f>
        <v/>
      </c>
      <c r="I253" s="51" t="str">
        <f>IFERROR(__xludf.DUMMYFUNCTION("""COMPUTED_VALUE"""),"#VALUE!")</f>
        <v>#VALUE!</v>
      </c>
      <c r="J253" s="51" t="str">
        <f>IFERROR(__xludf.DUMMYFUNCTION("""COMPUTED_VALUE"""),"")</f>
        <v/>
      </c>
      <c r="K253" s="51"/>
      <c r="L253" s="51" t="s">
        <v>257</v>
      </c>
      <c r="M253" s="51"/>
      <c r="N253" s="51"/>
      <c r="O253" s="51"/>
      <c r="P253" s="51"/>
      <c r="Q253" s="51"/>
      <c r="R253" s="51"/>
      <c r="S253" s="51"/>
      <c r="T253" s="51"/>
    </row>
    <row r="254">
      <c r="A254" s="51"/>
      <c r="B254" s="51"/>
      <c r="C254" s="56"/>
      <c r="D254" s="51"/>
      <c r="E254" s="51"/>
      <c r="F254" s="51"/>
      <c r="G254" s="51" t="str">
        <f>IFERROR(__xludf.DUMMYFUNCTION("""COMPUTED_VALUE"""),"#VALUE!")</f>
        <v>#VALUE!</v>
      </c>
      <c r="H254" s="51" t="str">
        <f>IFERROR(__xludf.DUMMYFUNCTION("""COMPUTED_VALUE"""),"")</f>
        <v/>
      </c>
      <c r="I254" s="51" t="str">
        <f>IFERROR(__xludf.DUMMYFUNCTION("""COMPUTED_VALUE"""),"#VALUE!")</f>
        <v>#VALUE!</v>
      </c>
      <c r="J254" s="51" t="str">
        <f>IFERROR(__xludf.DUMMYFUNCTION("""COMPUTED_VALUE"""),"")</f>
        <v/>
      </c>
      <c r="K254" s="51"/>
      <c r="L254" s="51" t="s">
        <v>257</v>
      </c>
      <c r="M254" s="51"/>
      <c r="N254" s="51"/>
      <c r="O254" s="51"/>
      <c r="P254" s="51"/>
      <c r="Q254" s="51"/>
      <c r="R254" s="51"/>
      <c r="S254" s="51"/>
      <c r="T254" s="51"/>
    </row>
    <row r="255">
      <c r="A255" s="51"/>
      <c r="B255" s="51"/>
      <c r="C255" s="56"/>
      <c r="D255" s="51"/>
      <c r="E255" s="51"/>
      <c r="F255" s="51"/>
      <c r="G255" s="51" t="str">
        <f>IFERROR(__xludf.DUMMYFUNCTION("""COMPUTED_VALUE"""),"#VALUE!")</f>
        <v>#VALUE!</v>
      </c>
      <c r="H255" s="51" t="str">
        <f>IFERROR(__xludf.DUMMYFUNCTION("""COMPUTED_VALUE"""),"")</f>
        <v/>
      </c>
      <c r="I255" s="51" t="str">
        <f>IFERROR(__xludf.DUMMYFUNCTION("""COMPUTED_VALUE"""),"#VALUE!")</f>
        <v>#VALUE!</v>
      </c>
      <c r="J255" s="51" t="str">
        <f>IFERROR(__xludf.DUMMYFUNCTION("""COMPUTED_VALUE"""),"")</f>
        <v/>
      </c>
      <c r="K255" s="51"/>
      <c r="L255" s="51" t="s">
        <v>257</v>
      </c>
      <c r="M255" s="51"/>
      <c r="N255" s="51"/>
      <c r="O255" s="51"/>
      <c r="P255" s="51"/>
      <c r="Q255" s="51"/>
      <c r="R255" s="51"/>
      <c r="S255" s="51"/>
      <c r="T255" s="51"/>
    </row>
    <row r="256">
      <c r="A256" s="51"/>
      <c r="B256" s="51"/>
      <c r="C256" s="56"/>
      <c r="D256" s="51"/>
      <c r="E256" s="51"/>
      <c r="F256" s="51"/>
      <c r="G256" s="51" t="str">
        <f>IFERROR(__xludf.DUMMYFUNCTION("""COMPUTED_VALUE"""),"#VALUE!")</f>
        <v>#VALUE!</v>
      </c>
      <c r="H256" s="51" t="str">
        <f>IFERROR(__xludf.DUMMYFUNCTION("""COMPUTED_VALUE"""),"")</f>
        <v/>
      </c>
      <c r="I256" s="51" t="str">
        <f>IFERROR(__xludf.DUMMYFUNCTION("""COMPUTED_VALUE"""),"#VALUE!")</f>
        <v>#VALUE!</v>
      </c>
      <c r="J256" s="51" t="str">
        <f>IFERROR(__xludf.DUMMYFUNCTION("""COMPUTED_VALUE"""),"")</f>
        <v/>
      </c>
      <c r="K256" s="51"/>
      <c r="L256" s="51" t="s">
        <v>257</v>
      </c>
      <c r="M256" s="51"/>
      <c r="N256" s="51"/>
      <c r="O256" s="51"/>
      <c r="P256" s="51"/>
      <c r="Q256" s="51"/>
      <c r="R256" s="51"/>
      <c r="S256" s="51"/>
      <c r="T256" s="51"/>
    </row>
    <row r="257">
      <c r="A257" s="51"/>
      <c r="B257" s="51"/>
      <c r="C257" s="56"/>
      <c r="D257" s="51"/>
      <c r="E257" s="51"/>
      <c r="F257" s="51"/>
      <c r="G257" s="51" t="str">
        <f>IFERROR(__xludf.DUMMYFUNCTION("""COMPUTED_VALUE"""),"#VALUE!")</f>
        <v>#VALUE!</v>
      </c>
      <c r="H257" s="51" t="str">
        <f>IFERROR(__xludf.DUMMYFUNCTION("""COMPUTED_VALUE"""),"")</f>
        <v/>
      </c>
      <c r="I257" s="51" t="str">
        <f>IFERROR(__xludf.DUMMYFUNCTION("""COMPUTED_VALUE"""),"#VALUE!")</f>
        <v>#VALUE!</v>
      </c>
      <c r="J257" s="51" t="str">
        <f>IFERROR(__xludf.DUMMYFUNCTION("""COMPUTED_VALUE"""),"")</f>
        <v/>
      </c>
      <c r="K257" s="51"/>
      <c r="L257" s="51" t="s">
        <v>257</v>
      </c>
      <c r="M257" s="51"/>
      <c r="N257" s="51"/>
      <c r="O257" s="51"/>
      <c r="P257" s="51"/>
      <c r="Q257" s="51"/>
      <c r="R257" s="51"/>
      <c r="S257" s="51"/>
      <c r="T257" s="51"/>
    </row>
    <row r="258">
      <c r="A258" s="51"/>
      <c r="B258" s="51"/>
      <c r="C258" s="56"/>
      <c r="D258" s="51"/>
      <c r="E258" s="51"/>
      <c r="F258" s="51"/>
      <c r="G258" s="51" t="str">
        <f>IFERROR(__xludf.DUMMYFUNCTION("""COMPUTED_VALUE"""),"#VALUE!")</f>
        <v>#VALUE!</v>
      </c>
      <c r="H258" s="51" t="str">
        <f>IFERROR(__xludf.DUMMYFUNCTION("""COMPUTED_VALUE"""),"")</f>
        <v/>
      </c>
      <c r="I258" s="51" t="str">
        <f>IFERROR(__xludf.DUMMYFUNCTION("""COMPUTED_VALUE"""),"#VALUE!")</f>
        <v>#VALUE!</v>
      </c>
      <c r="J258" s="51" t="str">
        <f>IFERROR(__xludf.DUMMYFUNCTION("""COMPUTED_VALUE"""),"")</f>
        <v/>
      </c>
      <c r="K258" s="51"/>
      <c r="L258" s="51" t="s">
        <v>257</v>
      </c>
      <c r="M258" s="51"/>
      <c r="N258" s="51"/>
      <c r="O258" s="51"/>
      <c r="P258" s="51"/>
      <c r="Q258" s="51"/>
      <c r="R258" s="51"/>
      <c r="S258" s="51"/>
      <c r="T258" s="51"/>
    </row>
    <row r="259">
      <c r="A259" s="51"/>
      <c r="B259" s="51"/>
      <c r="C259" s="56"/>
      <c r="D259" s="51"/>
      <c r="E259" s="51"/>
      <c r="F259" s="51"/>
      <c r="G259" s="51" t="str">
        <f>IFERROR(__xludf.DUMMYFUNCTION("""COMPUTED_VALUE"""),"#VALUE!")</f>
        <v>#VALUE!</v>
      </c>
      <c r="H259" s="51" t="str">
        <f>IFERROR(__xludf.DUMMYFUNCTION("""COMPUTED_VALUE"""),"")</f>
        <v/>
      </c>
      <c r="I259" s="51" t="str">
        <f>IFERROR(__xludf.DUMMYFUNCTION("""COMPUTED_VALUE"""),"#VALUE!")</f>
        <v>#VALUE!</v>
      </c>
      <c r="J259" s="51" t="str">
        <f>IFERROR(__xludf.DUMMYFUNCTION("""COMPUTED_VALUE"""),"")</f>
        <v/>
      </c>
      <c r="K259" s="51"/>
      <c r="L259" s="51" t="s">
        <v>257</v>
      </c>
      <c r="M259" s="51"/>
      <c r="N259" s="51"/>
      <c r="O259" s="51"/>
      <c r="P259" s="51"/>
      <c r="Q259" s="51"/>
      <c r="R259" s="51"/>
      <c r="S259" s="51"/>
      <c r="T259" s="51"/>
    </row>
    <row r="260">
      <c r="A260" s="51"/>
      <c r="B260" s="51"/>
      <c r="C260" s="56"/>
      <c r="D260" s="51"/>
      <c r="E260" s="51"/>
      <c r="F260" s="51"/>
      <c r="G260" s="51" t="str">
        <f>IFERROR(__xludf.DUMMYFUNCTION("""COMPUTED_VALUE"""),"#VALUE!")</f>
        <v>#VALUE!</v>
      </c>
      <c r="H260" s="51" t="str">
        <f>IFERROR(__xludf.DUMMYFUNCTION("""COMPUTED_VALUE"""),"")</f>
        <v/>
      </c>
      <c r="I260" s="51" t="str">
        <f>IFERROR(__xludf.DUMMYFUNCTION("""COMPUTED_VALUE"""),"#VALUE!")</f>
        <v>#VALUE!</v>
      </c>
      <c r="J260" s="51" t="str">
        <f>IFERROR(__xludf.DUMMYFUNCTION("""COMPUTED_VALUE"""),"")</f>
        <v/>
      </c>
      <c r="K260" s="51"/>
      <c r="L260" s="51" t="s">
        <v>257</v>
      </c>
      <c r="M260" s="51"/>
      <c r="N260" s="51"/>
      <c r="O260" s="51"/>
      <c r="P260" s="51"/>
      <c r="Q260" s="51"/>
      <c r="R260" s="51"/>
      <c r="S260" s="51"/>
      <c r="T260" s="51"/>
    </row>
    <row r="261">
      <c r="A261" s="51"/>
      <c r="B261" s="51"/>
      <c r="C261" s="56"/>
      <c r="D261" s="51"/>
      <c r="E261" s="51"/>
      <c r="F261" s="51"/>
      <c r="G261" s="51" t="str">
        <f>IFERROR(__xludf.DUMMYFUNCTION("""COMPUTED_VALUE"""),"#VALUE!")</f>
        <v>#VALUE!</v>
      </c>
      <c r="H261" s="51" t="str">
        <f>IFERROR(__xludf.DUMMYFUNCTION("""COMPUTED_VALUE"""),"")</f>
        <v/>
      </c>
      <c r="I261" s="51" t="str">
        <f>IFERROR(__xludf.DUMMYFUNCTION("""COMPUTED_VALUE"""),"#VALUE!")</f>
        <v>#VALUE!</v>
      </c>
      <c r="J261" s="51" t="str">
        <f>IFERROR(__xludf.DUMMYFUNCTION("""COMPUTED_VALUE"""),"")</f>
        <v/>
      </c>
      <c r="K261" s="51"/>
      <c r="L261" s="51" t="s">
        <v>257</v>
      </c>
      <c r="M261" s="51"/>
      <c r="N261" s="51"/>
      <c r="O261" s="51"/>
      <c r="P261" s="51"/>
      <c r="Q261" s="51"/>
      <c r="R261" s="51"/>
      <c r="S261" s="51"/>
      <c r="T261" s="51"/>
    </row>
    <row r="262">
      <c r="A262" s="51"/>
      <c r="B262" s="51"/>
      <c r="C262" s="56"/>
      <c r="D262" s="51"/>
      <c r="E262" s="51"/>
      <c r="F262" s="51"/>
      <c r="G262" s="51" t="str">
        <f>IFERROR(__xludf.DUMMYFUNCTION("""COMPUTED_VALUE"""),"#VALUE!")</f>
        <v>#VALUE!</v>
      </c>
      <c r="H262" s="51" t="str">
        <f>IFERROR(__xludf.DUMMYFUNCTION("""COMPUTED_VALUE"""),"")</f>
        <v/>
      </c>
      <c r="I262" s="51" t="str">
        <f>IFERROR(__xludf.DUMMYFUNCTION("""COMPUTED_VALUE"""),"#VALUE!")</f>
        <v>#VALUE!</v>
      </c>
      <c r="J262" s="51" t="str">
        <f>IFERROR(__xludf.DUMMYFUNCTION("""COMPUTED_VALUE"""),"")</f>
        <v/>
      </c>
      <c r="K262" s="51"/>
      <c r="L262" s="51" t="s">
        <v>257</v>
      </c>
      <c r="M262" s="51"/>
      <c r="N262" s="51"/>
      <c r="O262" s="51"/>
      <c r="P262" s="51"/>
      <c r="Q262" s="51"/>
      <c r="R262" s="51"/>
      <c r="S262" s="51"/>
      <c r="T262" s="51"/>
    </row>
    <row r="263">
      <c r="A263" s="51"/>
      <c r="B263" s="51"/>
      <c r="C263" s="56"/>
      <c r="D263" s="51"/>
      <c r="E263" s="51"/>
      <c r="F263" s="51"/>
      <c r="G263" s="51" t="str">
        <f>IFERROR(__xludf.DUMMYFUNCTION("""COMPUTED_VALUE"""),"#VALUE!")</f>
        <v>#VALUE!</v>
      </c>
      <c r="H263" s="51" t="str">
        <f>IFERROR(__xludf.DUMMYFUNCTION("""COMPUTED_VALUE"""),"")</f>
        <v/>
      </c>
      <c r="I263" s="51" t="str">
        <f>IFERROR(__xludf.DUMMYFUNCTION("""COMPUTED_VALUE"""),"#VALUE!")</f>
        <v>#VALUE!</v>
      </c>
      <c r="J263" s="51" t="str">
        <f>IFERROR(__xludf.DUMMYFUNCTION("""COMPUTED_VALUE"""),"")</f>
        <v/>
      </c>
      <c r="K263" s="51"/>
      <c r="L263" s="51" t="s">
        <v>257</v>
      </c>
      <c r="M263" s="51"/>
      <c r="N263" s="51"/>
      <c r="O263" s="51"/>
      <c r="P263" s="51"/>
      <c r="Q263" s="51"/>
      <c r="R263" s="51"/>
      <c r="S263" s="51"/>
      <c r="T263" s="51"/>
    </row>
    <row r="264">
      <c r="A264" s="51"/>
      <c r="B264" s="51"/>
      <c r="C264" s="56"/>
      <c r="D264" s="51"/>
      <c r="E264" s="51"/>
      <c r="F264" s="51"/>
      <c r="G264" s="51" t="str">
        <f>IFERROR(__xludf.DUMMYFUNCTION("""COMPUTED_VALUE"""),"#VALUE!")</f>
        <v>#VALUE!</v>
      </c>
      <c r="H264" s="51" t="str">
        <f>IFERROR(__xludf.DUMMYFUNCTION("""COMPUTED_VALUE"""),"")</f>
        <v/>
      </c>
      <c r="I264" s="51" t="str">
        <f>IFERROR(__xludf.DUMMYFUNCTION("""COMPUTED_VALUE"""),"#VALUE!")</f>
        <v>#VALUE!</v>
      </c>
      <c r="J264" s="51" t="str">
        <f>IFERROR(__xludf.DUMMYFUNCTION("""COMPUTED_VALUE"""),"")</f>
        <v/>
      </c>
      <c r="K264" s="51"/>
      <c r="L264" s="51" t="s">
        <v>257</v>
      </c>
      <c r="M264" s="51"/>
      <c r="N264" s="51"/>
      <c r="O264" s="51"/>
      <c r="P264" s="51"/>
      <c r="Q264" s="51"/>
      <c r="R264" s="51"/>
      <c r="S264" s="51"/>
      <c r="T264" s="51"/>
    </row>
    <row r="265">
      <c r="A265" s="51"/>
      <c r="B265" s="51"/>
      <c r="C265" s="56"/>
      <c r="D265" s="51"/>
      <c r="E265" s="51"/>
      <c r="F265" s="51"/>
      <c r="G265" s="51" t="str">
        <f>IFERROR(__xludf.DUMMYFUNCTION("""COMPUTED_VALUE"""),"#VALUE!")</f>
        <v>#VALUE!</v>
      </c>
      <c r="H265" s="51" t="str">
        <f>IFERROR(__xludf.DUMMYFUNCTION("""COMPUTED_VALUE"""),"")</f>
        <v/>
      </c>
      <c r="I265" s="51" t="str">
        <f>IFERROR(__xludf.DUMMYFUNCTION("""COMPUTED_VALUE"""),"#VALUE!")</f>
        <v>#VALUE!</v>
      </c>
      <c r="J265" s="51" t="str">
        <f>IFERROR(__xludf.DUMMYFUNCTION("""COMPUTED_VALUE"""),"")</f>
        <v/>
      </c>
      <c r="K265" s="51"/>
      <c r="L265" s="51" t="s">
        <v>257</v>
      </c>
      <c r="M265" s="51"/>
      <c r="N265" s="51"/>
      <c r="O265" s="51"/>
      <c r="P265" s="51"/>
      <c r="Q265" s="51"/>
      <c r="R265" s="51"/>
      <c r="S265" s="51"/>
      <c r="T265" s="51"/>
    </row>
    <row r="266">
      <c r="A266" s="51"/>
      <c r="B266" s="51"/>
      <c r="C266" s="56"/>
      <c r="D266" s="51"/>
      <c r="E266" s="51"/>
      <c r="F266" s="51"/>
      <c r="G266" s="51" t="str">
        <f>IFERROR(__xludf.DUMMYFUNCTION("""COMPUTED_VALUE"""),"#VALUE!")</f>
        <v>#VALUE!</v>
      </c>
      <c r="H266" s="51" t="str">
        <f>IFERROR(__xludf.DUMMYFUNCTION("""COMPUTED_VALUE"""),"")</f>
        <v/>
      </c>
      <c r="I266" s="51" t="str">
        <f>IFERROR(__xludf.DUMMYFUNCTION("""COMPUTED_VALUE"""),"#VALUE!")</f>
        <v>#VALUE!</v>
      </c>
      <c r="J266" s="51" t="str">
        <f>IFERROR(__xludf.DUMMYFUNCTION("""COMPUTED_VALUE"""),"")</f>
        <v/>
      </c>
      <c r="K266" s="51"/>
      <c r="L266" s="51" t="s">
        <v>257</v>
      </c>
      <c r="M266" s="51"/>
      <c r="N266" s="51"/>
      <c r="O266" s="51"/>
      <c r="P266" s="51"/>
      <c r="Q266" s="51"/>
      <c r="R266" s="51"/>
      <c r="S266" s="51"/>
      <c r="T266" s="51"/>
    </row>
    <row r="267">
      <c r="A267" s="51"/>
      <c r="B267" s="51"/>
      <c r="C267" s="56"/>
      <c r="D267" s="51"/>
      <c r="E267" s="51"/>
      <c r="F267" s="51"/>
      <c r="G267" s="51" t="str">
        <f>IFERROR(__xludf.DUMMYFUNCTION("""COMPUTED_VALUE"""),"#VALUE!")</f>
        <v>#VALUE!</v>
      </c>
      <c r="H267" s="51" t="str">
        <f>IFERROR(__xludf.DUMMYFUNCTION("""COMPUTED_VALUE"""),"")</f>
        <v/>
      </c>
      <c r="I267" s="51" t="str">
        <f>IFERROR(__xludf.DUMMYFUNCTION("""COMPUTED_VALUE"""),"#VALUE!")</f>
        <v>#VALUE!</v>
      </c>
      <c r="J267" s="51" t="str">
        <f>IFERROR(__xludf.DUMMYFUNCTION("""COMPUTED_VALUE"""),"")</f>
        <v/>
      </c>
      <c r="K267" s="51"/>
      <c r="L267" s="51" t="s">
        <v>257</v>
      </c>
      <c r="M267" s="51"/>
      <c r="N267" s="51"/>
      <c r="O267" s="51"/>
      <c r="P267" s="51"/>
      <c r="Q267" s="51"/>
      <c r="R267" s="51"/>
      <c r="S267" s="51"/>
      <c r="T267" s="51"/>
    </row>
    <row r="268">
      <c r="A268" s="51"/>
      <c r="B268" s="51"/>
      <c r="C268" s="56"/>
      <c r="D268" s="51"/>
      <c r="E268" s="51"/>
      <c r="F268" s="51"/>
      <c r="G268" s="51" t="str">
        <f>IFERROR(__xludf.DUMMYFUNCTION("""COMPUTED_VALUE"""),"#VALUE!")</f>
        <v>#VALUE!</v>
      </c>
      <c r="H268" s="51" t="str">
        <f>IFERROR(__xludf.DUMMYFUNCTION("""COMPUTED_VALUE"""),"")</f>
        <v/>
      </c>
      <c r="I268" s="51" t="str">
        <f>IFERROR(__xludf.DUMMYFUNCTION("""COMPUTED_VALUE"""),"#VALUE!")</f>
        <v>#VALUE!</v>
      </c>
      <c r="J268" s="51" t="str">
        <f>IFERROR(__xludf.DUMMYFUNCTION("""COMPUTED_VALUE"""),"")</f>
        <v/>
      </c>
      <c r="K268" s="51"/>
      <c r="L268" s="51" t="s">
        <v>257</v>
      </c>
      <c r="M268" s="51"/>
      <c r="N268" s="51"/>
      <c r="O268" s="51"/>
      <c r="P268" s="51"/>
      <c r="Q268" s="51"/>
      <c r="R268" s="51"/>
      <c r="S268" s="51"/>
      <c r="T268" s="51"/>
    </row>
    <row r="269">
      <c r="A269" s="51"/>
      <c r="B269" s="51"/>
      <c r="C269" s="56"/>
      <c r="D269" s="51"/>
      <c r="E269" s="51"/>
      <c r="F269" s="51"/>
      <c r="G269" s="51" t="str">
        <f>IFERROR(__xludf.DUMMYFUNCTION("""COMPUTED_VALUE"""),"#VALUE!")</f>
        <v>#VALUE!</v>
      </c>
      <c r="H269" s="51" t="str">
        <f>IFERROR(__xludf.DUMMYFUNCTION("""COMPUTED_VALUE"""),"")</f>
        <v/>
      </c>
      <c r="I269" s="51" t="str">
        <f>IFERROR(__xludf.DUMMYFUNCTION("""COMPUTED_VALUE"""),"#VALUE!")</f>
        <v>#VALUE!</v>
      </c>
      <c r="J269" s="51" t="str">
        <f>IFERROR(__xludf.DUMMYFUNCTION("""COMPUTED_VALUE"""),"")</f>
        <v/>
      </c>
      <c r="K269" s="51"/>
      <c r="L269" s="51" t="s">
        <v>257</v>
      </c>
      <c r="M269" s="51"/>
      <c r="N269" s="51"/>
      <c r="O269" s="51"/>
      <c r="P269" s="51"/>
      <c r="Q269" s="51"/>
      <c r="R269" s="51"/>
      <c r="S269" s="51"/>
      <c r="T269" s="51"/>
    </row>
    <row r="270">
      <c r="A270" s="51"/>
      <c r="B270" s="51"/>
      <c r="C270" s="56"/>
      <c r="D270" s="51"/>
      <c r="E270" s="51"/>
      <c r="F270" s="51"/>
      <c r="G270" s="51" t="str">
        <f>IFERROR(__xludf.DUMMYFUNCTION("""COMPUTED_VALUE"""),"#VALUE!")</f>
        <v>#VALUE!</v>
      </c>
      <c r="H270" s="51" t="str">
        <f>IFERROR(__xludf.DUMMYFUNCTION("""COMPUTED_VALUE"""),"")</f>
        <v/>
      </c>
      <c r="I270" s="51" t="str">
        <f>IFERROR(__xludf.DUMMYFUNCTION("""COMPUTED_VALUE"""),"#VALUE!")</f>
        <v>#VALUE!</v>
      </c>
      <c r="J270" s="51" t="str">
        <f>IFERROR(__xludf.DUMMYFUNCTION("""COMPUTED_VALUE"""),"")</f>
        <v/>
      </c>
      <c r="K270" s="51"/>
      <c r="L270" s="51" t="s">
        <v>257</v>
      </c>
      <c r="M270" s="51"/>
      <c r="N270" s="51"/>
      <c r="O270" s="51"/>
      <c r="P270" s="51"/>
      <c r="Q270" s="51"/>
      <c r="R270" s="51"/>
      <c r="S270" s="51"/>
      <c r="T270" s="51"/>
    </row>
    <row r="271">
      <c r="A271" s="51"/>
      <c r="B271" s="51"/>
      <c r="C271" s="56"/>
      <c r="D271" s="51"/>
      <c r="E271" s="51"/>
      <c r="F271" s="51"/>
      <c r="G271" s="51" t="str">
        <f>IFERROR(__xludf.DUMMYFUNCTION("""COMPUTED_VALUE"""),"#VALUE!")</f>
        <v>#VALUE!</v>
      </c>
      <c r="H271" s="51" t="str">
        <f>IFERROR(__xludf.DUMMYFUNCTION("""COMPUTED_VALUE"""),"")</f>
        <v/>
      </c>
      <c r="I271" s="51" t="str">
        <f>IFERROR(__xludf.DUMMYFUNCTION("""COMPUTED_VALUE"""),"#VALUE!")</f>
        <v>#VALUE!</v>
      </c>
      <c r="J271" s="51" t="str">
        <f>IFERROR(__xludf.DUMMYFUNCTION("""COMPUTED_VALUE"""),"")</f>
        <v/>
      </c>
      <c r="K271" s="51"/>
      <c r="L271" s="51" t="s">
        <v>257</v>
      </c>
      <c r="M271" s="51"/>
      <c r="N271" s="51"/>
      <c r="O271" s="51"/>
      <c r="P271" s="51"/>
      <c r="Q271" s="51"/>
      <c r="R271" s="51"/>
      <c r="S271" s="51"/>
      <c r="T271" s="51"/>
    </row>
    <row r="272">
      <c r="A272" s="51"/>
      <c r="B272" s="51"/>
      <c r="C272" s="56"/>
      <c r="D272" s="51"/>
      <c r="E272" s="51"/>
      <c r="F272" s="51"/>
      <c r="G272" s="51" t="str">
        <f>IFERROR(__xludf.DUMMYFUNCTION("""COMPUTED_VALUE"""),"#VALUE!")</f>
        <v>#VALUE!</v>
      </c>
      <c r="H272" s="51" t="str">
        <f>IFERROR(__xludf.DUMMYFUNCTION("""COMPUTED_VALUE"""),"")</f>
        <v/>
      </c>
      <c r="I272" s="51" t="str">
        <f>IFERROR(__xludf.DUMMYFUNCTION("""COMPUTED_VALUE"""),"#VALUE!")</f>
        <v>#VALUE!</v>
      </c>
      <c r="J272" s="51" t="str">
        <f>IFERROR(__xludf.DUMMYFUNCTION("""COMPUTED_VALUE"""),"")</f>
        <v/>
      </c>
      <c r="K272" s="51"/>
      <c r="L272" s="51" t="s">
        <v>257</v>
      </c>
      <c r="M272" s="51"/>
      <c r="N272" s="51"/>
      <c r="O272" s="51"/>
      <c r="P272" s="51"/>
      <c r="Q272" s="51"/>
      <c r="R272" s="51"/>
      <c r="S272" s="51"/>
      <c r="T272" s="51"/>
    </row>
    <row r="273">
      <c r="A273" s="51"/>
      <c r="B273" s="51"/>
      <c r="C273" s="56"/>
      <c r="D273" s="51"/>
      <c r="E273" s="51"/>
      <c r="F273" s="51"/>
      <c r="G273" s="51" t="str">
        <f>IFERROR(__xludf.DUMMYFUNCTION("""COMPUTED_VALUE"""),"#VALUE!")</f>
        <v>#VALUE!</v>
      </c>
      <c r="H273" s="51" t="str">
        <f>IFERROR(__xludf.DUMMYFUNCTION("""COMPUTED_VALUE"""),"")</f>
        <v/>
      </c>
      <c r="I273" s="51" t="str">
        <f>IFERROR(__xludf.DUMMYFUNCTION("""COMPUTED_VALUE"""),"#VALUE!")</f>
        <v>#VALUE!</v>
      </c>
      <c r="J273" s="51" t="str">
        <f>IFERROR(__xludf.DUMMYFUNCTION("""COMPUTED_VALUE"""),"")</f>
        <v/>
      </c>
      <c r="K273" s="51"/>
      <c r="L273" s="51" t="s">
        <v>257</v>
      </c>
      <c r="M273" s="51"/>
      <c r="N273" s="51"/>
      <c r="O273" s="51"/>
      <c r="P273" s="51"/>
      <c r="Q273" s="51"/>
      <c r="R273" s="51"/>
      <c r="S273" s="51"/>
      <c r="T273" s="51"/>
    </row>
    <row r="274">
      <c r="A274" s="51"/>
      <c r="B274" s="51"/>
      <c r="C274" s="56"/>
      <c r="D274" s="51"/>
      <c r="E274" s="51"/>
      <c r="F274" s="51"/>
      <c r="G274" s="51" t="str">
        <f>IFERROR(__xludf.DUMMYFUNCTION("""COMPUTED_VALUE"""),"#VALUE!")</f>
        <v>#VALUE!</v>
      </c>
      <c r="H274" s="51" t="str">
        <f>IFERROR(__xludf.DUMMYFUNCTION("""COMPUTED_VALUE"""),"")</f>
        <v/>
      </c>
      <c r="I274" s="51" t="str">
        <f>IFERROR(__xludf.DUMMYFUNCTION("""COMPUTED_VALUE"""),"#VALUE!")</f>
        <v>#VALUE!</v>
      </c>
      <c r="J274" s="51" t="str">
        <f>IFERROR(__xludf.DUMMYFUNCTION("""COMPUTED_VALUE"""),"")</f>
        <v/>
      </c>
      <c r="K274" s="51"/>
      <c r="L274" s="51" t="s">
        <v>257</v>
      </c>
      <c r="M274" s="51"/>
      <c r="N274" s="51"/>
      <c r="O274" s="51"/>
      <c r="P274" s="51"/>
      <c r="Q274" s="51"/>
      <c r="R274" s="51"/>
      <c r="S274" s="51"/>
      <c r="T274" s="51"/>
    </row>
    <row r="275">
      <c r="A275" s="51"/>
      <c r="B275" s="51"/>
      <c r="C275" s="56"/>
      <c r="D275" s="51"/>
      <c r="E275" s="51"/>
      <c r="F275" s="51"/>
      <c r="G275" s="51" t="str">
        <f>IFERROR(__xludf.DUMMYFUNCTION("""COMPUTED_VALUE"""),"#VALUE!")</f>
        <v>#VALUE!</v>
      </c>
      <c r="H275" s="51" t="str">
        <f>IFERROR(__xludf.DUMMYFUNCTION("""COMPUTED_VALUE"""),"")</f>
        <v/>
      </c>
      <c r="I275" s="51" t="str">
        <f>IFERROR(__xludf.DUMMYFUNCTION("""COMPUTED_VALUE"""),"#VALUE!")</f>
        <v>#VALUE!</v>
      </c>
      <c r="J275" s="51" t="str">
        <f>IFERROR(__xludf.DUMMYFUNCTION("""COMPUTED_VALUE"""),"")</f>
        <v/>
      </c>
      <c r="K275" s="51"/>
      <c r="L275" s="51" t="s">
        <v>257</v>
      </c>
      <c r="M275" s="51"/>
      <c r="N275" s="51"/>
      <c r="O275" s="51"/>
      <c r="P275" s="51"/>
      <c r="Q275" s="51"/>
      <c r="R275" s="51"/>
      <c r="S275" s="51"/>
      <c r="T275" s="51"/>
    </row>
    <row r="276">
      <c r="A276" s="51"/>
      <c r="B276" s="51"/>
      <c r="C276" s="56"/>
      <c r="D276" s="51"/>
      <c r="E276" s="51"/>
      <c r="F276" s="51"/>
      <c r="G276" s="51" t="str">
        <f>IFERROR(__xludf.DUMMYFUNCTION("""COMPUTED_VALUE"""),"#VALUE!")</f>
        <v>#VALUE!</v>
      </c>
      <c r="H276" s="51" t="str">
        <f>IFERROR(__xludf.DUMMYFUNCTION("""COMPUTED_VALUE"""),"")</f>
        <v/>
      </c>
      <c r="I276" s="51" t="str">
        <f>IFERROR(__xludf.DUMMYFUNCTION("""COMPUTED_VALUE"""),"#VALUE!")</f>
        <v>#VALUE!</v>
      </c>
      <c r="J276" s="51" t="str">
        <f>IFERROR(__xludf.DUMMYFUNCTION("""COMPUTED_VALUE"""),"")</f>
        <v/>
      </c>
      <c r="K276" s="51"/>
      <c r="L276" s="51" t="s">
        <v>257</v>
      </c>
      <c r="M276" s="51"/>
      <c r="N276" s="51"/>
      <c r="O276" s="51"/>
      <c r="P276" s="51"/>
      <c r="Q276" s="51"/>
      <c r="R276" s="51"/>
      <c r="S276" s="51"/>
      <c r="T276" s="51"/>
    </row>
    <row r="277">
      <c r="A277" s="51"/>
      <c r="B277" s="51"/>
      <c r="C277" s="56"/>
      <c r="D277" s="51"/>
      <c r="E277" s="51"/>
      <c r="F277" s="51"/>
      <c r="G277" s="51" t="str">
        <f>IFERROR(__xludf.DUMMYFUNCTION("""COMPUTED_VALUE"""),"#VALUE!")</f>
        <v>#VALUE!</v>
      </c>
      <c r="H277" s="51" t="str">
        <f>IFERROR(__xludf.DUMMYFUNCTION("""COMPUTED_VALUE"""),"")</f>
        <v/>
      </c>
      <c r="I277" s="51" t="str">
        <f>IFERROR(__xludf.DUMMYFUNCTION("""COMPUTED_VALUE"""),"#VALUE!")</f>
        <v>#VALUE!</v>
      </c>
      <c r="J277" s="51" t="str">
        <f>IFERROR(__xludf.DUMMYFUNCTION("""COMPUTED_VALUE"""),"")</f>
        <v/>
      </c>
      <c r="K277" s="51"/>
      <c r="L277" s="51" t="s">
        <v>257</v>
      </c>
      <c r="M277" s="51"/>
      <c r="N277" s="51"/>
      <c r="O277" s="51"/>
      <c r="P277" s="51"/>
      <c r="Q277" s="51"/>
      <c r="R277" s="51"/>
      <c r="S277" s="51"/>
      <c r="T277" s="51"/>
    </row>
    <row r="278">
      <c r="A278" s="51"/>
      <c r="B278" s="51"/>
      <c r="C278" s="56"/>
      <c r="D278" s="51"/>
      <c r="E278" s="51"/>
      <c r="F278" s="51"/>
      <c r="G278" s="51" t="str">
        <f>IFERROR(__xludf.DUMMYFUNCTION("""COMPUTED_VALUE"""),"#VALUE!")</f>
        <v>#VALUE!</v>
      </c>
      <c r="H278" s="51" t="str">
        <f>IFERROR(__xludf.DUMMYFUNCTION("""COMPUTED_VALUE"""),"")</f>
        <v/>
      </c>
      <c r="I278" s="51" t="str">
        <f>IFERROR(__xludf.DUMMYFUNCTION("""COMPUTED_VALUE"""),"#VALUE!")</f>
        <v>#VALUE!</v>
      </c>
      <c r="J278" s="51" t="str">
        <f>IFERROR(__xludf.DUMMYFUNCTION("""COMPUTED_VALUE"""),"")</f>
        <v/>
      </c>
      <c r="K278" s="51"/>
      <c r="L278" s="51" t="s">
        <v>257</v>
      </c>
      <c r="M278" s="51"/>
      <c r="N278" s="51"/>
      <c r="O278" s="51"/>
      <c r="P278" s="51"/>
      <c r="Q278" s="51"/>
      <c r="R278" s="51"/>
      <c r="S278" s="51"/>
      <c r="T278" s="51"/>
    </row>
    <row r="279">
      <c r="A279" s="51"/>
      <c r="B279" s="51"/>
      <c r="C279" s="56"/>
      <c r="D279" s="51"/>
      <c r="E279" s="51"/>
      <c r="F279" s="51"/>
      <c r="G279" s="51" t="str">
        <f>IFERROR(__xludf.DUMMYFUNCTION("""COMPUTED_VALUE"""),"#VALUE!")</f>
        <v>#VALUE!</v>
      </c>
      <c r="H279" s="51" t="str">
        <f>IFERROR(__xludf.DUMMYFUNCTION("""COMPUTED_VALUE"""),"")</f>
        <v/>
      </c>
      <c r="I279" s="51" t="str">
        <f>IFERROR(__xludf.DUMMYFUNCTION("""COMPUTED_VALUE"""),"#VALUE!")</f>
        <v>#VALUE!</v>
      </c>
      <c r="J279" s="51" t="str">
        <f>IFERROR(__xludf.DUMMYFUNCTION("""COMPUTED_VALUE"""),"")</f>
        <v/>
      </c>
      <c r="K279" s="51"/>
      <c r="L279" s="51" t="s">
        <v>257</v>
      </c>
      <c r="M279" s="51"/>
      <c r="N279" s="51"/>
      <c r="O279" s="51"/>
      <c r="P279" s="51"/>
      <c r="Q279" s="51"/>
      <c r="R279" s="51"/>
      <c r="S279" s="51"/>
      <c r="T279" s="51"/>
    </row>
    <row r="280">
      <c r="A280" s="51"/>
      <c r="B280" s="51"/>
      <c r="C280" s="56"/>
      <c r="D280" s="51"/>
      <c r="E280" s="51"/>
      <c r="F280" s="51"/>
      <c r="G280" s="51" t="str">
        <f>IFERROR(__xludf.DUMMYFUNCTION("""COMPUTED_VALUE"""),"#VALUE!")</f>
        <v>#VALUE!</v>
      </c>
      <c r="H280" s="51" t="str">
        <f>IFERROR(__xludf.DUMMYFUNCTION("""COMPUTED_VALUE"""),"")</f>
        <v/>
      </c>
      <c r="I280" s="51" t="str">
        <f>IFERROR(__xludf.DUMMYFUNCTION("""COMPUTED_VALUE"""),"#VALUE!")</f>
        <v>#VALUE!</v>
      </c>
      <c r="J280" s="51" t="str">
        <f>IFERROR(__xludf.DUMMYFUNCTION("""COMPUTED_VALUE"""),"")</f>
        <v/>
      </c>
      <c r="K280" s="51"/>
      <c r="L280" s="51" t="s">
        <v>257</v>
      </c>
      <c r="M280" s="51"/>
      <c r="N280" s="51"/>
      <c r="O280" s="51"/>
      <c r="P280" s="51"/>
      <c r="Q280" s="51"/>
      <c r="R280" s="51"/>
      <c r="S280" s="51"/>
      <c r="T280" s="51"/>
    </row>
    <row r="281">
      <c r="A281" s="51"/>
      <c r="B281" s="51"/>
      <c r="C281" s="56"/>
      <c r="D281" s="51"/>
      <c r="E281" s="51"/>
      <c r="F281" s="51"/>
      <c r="G281" s="51" t="str">
        <f>IFERROR(__xludf.DUMMYFUNCTION("""COMPUTED_VALUE"""),"#VALUE!")</f>
        <v>#VALUE!</v>
      </c>
      <c r="H281" s="51" t="str">
        <f>IFERROR(__xludf.DUMMYFUNCTION("""COMPUTED_VALUE"""),"")</f>
        <v/>
      </c>
      <c r="I281" s="51" t="str">
        <f>IFERROR(__xludf.DUMMYFUNCTION("""COMPUTED_VALUE"""),"#VALUE!")</f>
        <v>#VALUE!</v>
      </c>
      <c r="J281" s="51" t="str">
        <f>IFERROR(__xludf.DUMMYFUNCTION("""COMPUTED_VALUE"""),"")</f>
        <v/>
      </c>
      <c r="K281" s="51"/>
      <c r="L281" s="51" t="s">
        <v>257</v>
      </c>
      <c r="M281" s="51"/>
      <c r="N281" s="51"/>
      <c r="O281" s="51"/>
      <c r="P281" s="51"/>
      <c r="Q281" s="51"/>
      <c r="R281" s="51"/>
      <c r="S281" s="51"/>
      <c r="T281" s="51"/>
    </row>
    <row r="282">
      <c r="A282" s="51"/>
      <c r="B282" s="51"/>
      <c r="C282" s="56"/>
      <c r="D282" s="51"/>
      <c r="E282" s="51"/>
      <c r="F282" s="51"/>
      <c r="G282" s="51" t="str">
        <f>IFERROR(__xludf.DUMMYFUNCTION("""COMPUTED_VALUE"""),"#VALUE!")</f>
        <v>#VALUE!</v>
      </c>
      <c r="H282" s="51" t="str">
        <f>IFERROR(__xludf.DUMMYFUNCTION("""COMPUTED_VALUE"""),"")</f>
        <v/>
      </c>
      <c r="I282" s="51" t="str">
        <f>IFERROR(__xludf.DUMMYFUNCTION("""COMPUTED_VALUE"""),"#VALUE!")</f>
        <v>#VALUE!</v>
      </c>
      <c r="J282" s="51" t="str">
        <f>IFERROR(__xludf.DUMMYFUNCTION("""COMPUTED_VALUE"""),"")</f>
        <v/>
      </c>
      <c r="K282" s="51"/>
      <c r="L282" s="51" t="s">
        <v>257</v>
      </c>
      <c r="M282" s="51"/>
      <c r="N282" s="51"/>
      <c r="O282" s="51"/>
      <c r="P282" s="51"/>
      <c r="Q282" s="51"/>
      <c r="R282" s="51"/>
      <c r="S282" s="51"/>
      <c r="T282" s="51"/>
    </row>
    <row r="283">
      <c r="A283" s="51"/>
      <c r="B283" s="51"/>
      <c r="C283" s="56"/>
      <c r="D283" s="51"/>
      <c r="E283" s="51"/>
      <c r="F283" s="51"/>
      <c r="G283" s="51" t="str">
        <f>IFERROR(__xludf.DUMMYFUNCTION("""COMPUTED_VALUE"""),"#VALUE!")</f>
        <v>#VALUE!</v>
      </c>
      <c r="H283" s="51" t="str">
        <f>IFERROR(__xludf.DUMMYFUNCTION("""COMPUTED_VALUE"""),"")</f>
        <v/>
      </c>
      <c r="I283" s="51" t="str">
        <f>IFERROR(__xludf.DUMMYFUNCTION("""COMPUTED_VALUE"""),"#VALUE!")</f>
        <v>#VALUE!</v>
      </c>
      <c r="J283" s="51" t="str">
        <f>IFERROR(__xludf.DUMMYFUNCTION("""COMPUTED_VALUE"""),"")</f>
        <v/>
      </c>
      <c r="K283" s="51"/>
      <c r="L283" s="51" t="s">
        <v>257</v>
      </c>
      <c r="M283" s="51"/>
      <c r="N283" s="51"/>
      <c r="O283" s="51"/>
      <c r="P283" s="51"/>
      <c r="Q283" s="51"/>
      <c r="R283" s="51"/>
      <c r="S283" s="51"/>
      <c r="T283" s="51"/>
    </row>
    <row r="284">
      <c r="A284" s="51"/>
      <c r="B284" s="51"/>
      <c r="C284" s="56"/>
      <c r="D284" s="51"/>
      <c r="E284" s="51"/>
      <c r="F284" s="51"/>
      <c r="G284" s="51" t="str">
        <f>IFERROR(__xludf.DUMMYFUNCTION("""COMPUTED_VALUE"""),"#VALUE!")</f>
        <v>#VALUE!</v>
      </c>
      <c r="H284" s="51" t="str">
        <f>IFERROR(__xludf.DUMMYFUNCTION("""COMPUTED_VALUE"""),"")</f>
        <v/>
      </c>
      <c r="I284" s="51" t="str">
        <f>IFERROR(__xludf.DUMMYFUNCTION("""COMPUTED_VALUE"""),"#VALUE!")</f>
        <v>#VALUE!</v>
      </c>
      <c r="J284" s="51" t="str">
        <f>IFERROR(__xludf.DUMMYFUNCTION("""COMPUTED_VALUE"""),"")</f>
        <v/>
      </c>
      <c r="K284" s="51"/>
      <c r="L284" s="51" t="s">
        <v>257</v>
      </c>
      <c r="M284" s="51"/>
      <c r="N284" s="51"/>
      <c r="O284" s="51"/>
      <c r="P284" s="51"/>
      <c r="Q284" s="51"/>
      <c r="R284" s="51"/>
      <c r="S284" s="51"/>
      <c r="T284" s="51"/>
    </row>
    <row r="285">
      <c r="A285" s="51"/>
      <c r="B285" s="51"/>
      <c r="C285" s="56"/>
      <c r="D285" s="51"/>
      <c r="E285" s="51"/>
      <c r="F285" s="51"/>
      <c r="G285" s="51" t="str">
        <f>IFERROR(__xludf.DUMMYFUNCTION("""COMPUTED_VALUE"""),"#VALUE!")</f>
        <v>#VALUE!</v>
      </c>
      <c r="H285" s="51" t="str">
        <f>IFERROR(__xludf.DUMMYFUNCTION("""COMPUTED_VALUE"""),"")</f>
        <v/>
      </c>
      <c r="I285" s="51" t="str">
        <f>IFERROR(__xludf.DUMMYFUNCTION("""COMPUTED_VALUE"""),"#VALUE!")</f>
        <v>#VALUE!</v>
      </c>
      <c r="J285" s="51" t="str">
        <f>IFERROR(__xludf.DUMMYFUNCTION("""COMPUTED_VALUE"""),"")</f>
        <v/>
      </c>
      <c r="K285" s="51"/>
      <c r="L285" s="51" t="s">
        <v>257</v>
      </c>
      <c r="M285" s="51"/>
      <c r="N285" s="51"/>
      <c r="O285" s="51"/>
      <c r="P285" s="51"/>
      <c r="Q285" s="51"/>
      <c r="R285" s="51"/>
      <c r="S285" s="51"/>
      <c r="T285" s="51"/>
    </row>
    <row r="286">
      <c r="A286" s="51"/>
      <c r="B286" s="51"/>
      <c r="C286" s="56"/>
      <c r="D286" s="51"/>
      <c r="E286" s="51"/>
      <c r="F286" s="51"/>
      <c r="G286" s="51" t="str">
        <f>IFERROR(__xludf.DUMMYFUNCTION("""COMPUTED_VALUE"""),"#VALUE!")</f>
        <v>#VALUE!</v>
      </c>
      <c r="H286" s="51" t="str">
        <f>IFERROR(__xludf.DUMMYFUNCTION("""COMPUTED_VALUE"""),"")</f>
        <v/>
      </c>
      <c r="I286" s="51" t="str">
        <f>IFERROR(__xludf.DUMMYFUNCTION("""COMPUTED_VALUE"""),"#VALUE!")</f>
        <v>#VALUE!</v>
      </c>
      <c r="J286" s="51" t="str">
        <f>IFERROR(__xludf.DUMMYFUNCTION("""COMPUTED_VALUE"""),"")</f>
        <v/>
      </c>
      <c r="K286" s="51"/>
      <c r="L286" s="51" t="s">
        <v>257</v>
      </c>
      <c r="M286" s="51"/>
      <c r="N286" s="51"/>
      <c r="O286" s="51"/>
      <c r="P286" s="51"/>
      <c r="Q286" s="51"/>
      <c r="R286" s="51"/>
      <c r="S286" s="51"/>
      <c r="T286" s="51"/>
    </row>
    <row r="287">
      <c r="A287" s="51"/>
      <c r="B287" s="51"/>
      <c r="C287" s="56"/>
      <c r="D287" s="51"/>
      <c r="E287" s="51"/>
      <c r="F287" s="51"/>
      <c r="G287" s="51" t="str">
        <f>IFERROR(__xludf.DUMMYFUNCTION("""COMPUTED_VALUE"""),"#VALUE!")</f>
        <v>#VALUE!</v>
      </c>
      <c r="H287" s="51" t="str">
        <f>IFERROR(__xludf.DUMMYFUNCTION("""COMPUTED_VALUE"""),"")</f>
        <v/>
      </c>
      <c r="I287" s="51" t="str">
        <f>IFERROR(__xludf.DUMMYFUNCTION("""COMPUTED_VALUE"""),"#VALUE!")</f>
        <v>#VALUE!</v>
      </c>
      <c r="J287" s="51" t="str">
        <f>IFERROR(__xludf.DUMMYFUNCTION("""COMPUTED_VALUE"""),"")</f>
        <v/>
      </c>
      <c r="K287" s="51"/>
      <c r="L287" s="51" t="s">
        <v>257</v>
      </c>
      <c r="M287" s="51"/>
      <c r="N287" s="51"/>
      <c r="O287" s="51"/>
      <c r="P287" s="51"/>
      <c r="Q287" s="51"/>
      <c r="R287" s="51"/>
      <c r="S287" s="51"/>
      <c r="T287" s="51"/>
    </row>
    <row r="288">
      <c r="A288" s="51"/>
      <c r="B288" s="51"/>
      <c r="C288" s="56"/>
      <c r="D288" s="51"/>
      <c r="E288" s="51"/>
      <c r="F288" s="51"/>
      <c r="G288" s="51" t="str">
        <f>IFERROR(__xludf.DUMMYFUNCTION("""COMPUTED_VALUE"""),"#VALUE!")</f>
        <v>#VALUE!</v>
      </c>
      <c r="H288" s="51" t="str">
        <f>IFERROR(__xludf.DUMMYFUNCTION("""COMPUTED_VALUE"""),"")</f>
        <v/>
      </c>
      <c r="I288" s="51" t="str">
        <f>IFERROR(__xludf.DUMMYFUNCTION("""COMPUTED_VALUE"""),"#VALUE!")</f>
        <v>#VALUE!</v>
      </c>
      <c r="J288" s="51" t="str">
        <f>IFERROR(__xludf.DUMMYFUNCTION("""COMPUTED_VALUE"""),"")</f>
        <v/>
      </c>
      <c r="K288" s="51"/>
      <c r="L288" s="51" t="s">
        <v>257</v>
      </c>
      <c r="M288" s="51"/>
      <c r="N288" s="51"/>
      <c r="O288" s="51"/>
      <c r="P288" s="51"/>
      <c r="Q288" s="51"/>
      <c r="R288" s="51"/>
      <c r="S288" s="51"/>
      <c r="T288" s="51"/>
    </row>
    <row r="289">
      <c r="A289" s="51"/>
      <c r="B289" s="51"/>
      <c r="C289" s="56"/>
      <c r="D289" s="51"/>
      <c r="E289" s="51"/>
      <c r="F289" s="51"/>
      <c r="G289" s="51" t="str">
        <f>IFERROR(__xludf.DUMMYFUNCTION("""COMPUTED_VALUE"""),"#VALUE!")</f>
        <v>#VALUE!</v>
      </c>
      <c r="H289" s="51" t="str">
        <f>IFERROR(__xludf.DUMMYFUNCTION("""COMPUTED_VALUE"""),"")</f>
        <v/>
      </c>
      <c r="I289" s="51" t="str">
        <f>IFERROR(__xludf.DUMMYFUNCTION("""COMPUTED_VALUE"""),"#VALUE!")</f>
        <v>#VALUE!</v>
      </c>
      <c r="J289" s="51" t="str">
        <f>IFERROR(__xludf.DUMMYFUNCTION("""COMPUTED_VALUE"""),"")</f>
        <v/>
      </c>
      <c r="K289" s="51"/>
      <c r="L289" s="51" t="s">
        <v>257</v>
      </c>
      <c r="M289" s="51"/>
      <c r="N289" s="51"/>
      <c r="O289" s="51"/>
      <c r="P289" s="51"/>
      <c r="Q289" s="51"/>
      <c r="R289" s="51"/>
      <c r="S289" s="51"/>
      <c r="T289" s="51"/>
    </row>
    <row r="290">
      <c r="A290" s="51"/>
      <c r="B290" s="51"/>
      <c r="C290" s="56"/>
      <c r="D290" s="51"/>
      <c r="E290" s="51"/>
      <c r="F290" s="51"/>
      <c r="G290" s="51" t="str">
        <f>IFERROR(__xludf.DUMMYFUNCTION("""COMPUTED_VALUE"""),"#VALUE!")</f>
        <v>#VALUE!</v>
      </c>
      <c r="H290" s="51" t="str">
        <f>IFERROR(__xludf.DUMMYFUNCTION("""COMPUTED_VALUE"""),"")</f>
        <v/>
      </c>
      <c r="I290" s="51" t="str">
        <f>IFERROR(__xludf.DUMMYFUNCTION("""COMPUTED_VALUE"""),"#VALUE!")</f>
        <v>#VALUE!</v>
      </c>
      <c r="J290" s="51" t="str">
        <f>IFERROR(__xludf.DUMMYFUNCTION("""COMPUTED_VALUE"""),"")</f>
        <v/>
      </c>
      <c r="K290" s="51"/>
      <c r="L290" s="51" t="s">
        <v>257</v>
      </c>
      <c r="M290" s="51"/>
      <c r="N290" s="51"/>
      <c r="O290" s="51"/>
      <c r="P290" s="51"/>
      <c r="Q290" s="51"/>
      <c r="R290" s="51"/>
      <c r="S290" s="51"/>
      <c r="T290" s="51"/>
    </row>
    <row r="291">
      <c r="A291" s="51"/>
      <c r="B291" s="51"/>
      <c r="C291" s="56"/>
      <c r="D291" s="51"/>
      <c r="E291" s="51"/>
      <c r="F291" s="51"/>
      <c r="G291" s="51" t="str">
        <f>IFERROR(__xludf.DUMMYFUNCTION("""COMPUTED_VALUE"""),"#VALUE!")</f>
        <v>#VALUE!</v>
      </c>
      <c r="H291" s="51" t="str">
        <f>IFERROR(__xludf.DUMMYFUNCTION("""COMPUTED_VALUE"""),"")</f>
        <v/>
      </c>
      <c r="I291" s="51" t="str">
        <f>IFERROR(__xludf.DUMMYFUNCTION("""COMPUTED_VALUE"""),"#VALUE!")</f>
        <v>#VALUE!</v>
      </c>
      <c r="J291" s="51" t="str">
        <f>IFERROR(__xludf.DUMMYFUNCTION("""COMPUTED_VALUE"""),"")</f>
        <v/>
      </c>
      <c r="K291" s="51"/>
      <c r="L291" s="51" t="s">
        <v>257</v>
      </c>
      <c r="M291" s="51"/>
      <c r="N291" s="51"/>
      <c r="O291" s="51"/>
      <c r="P291" s="51"/>
      <c r="Q291" s="51"/>
      <c r="R291" s="51"/>
      <c r="S291" s="51"/>
      <c r="T291" s="51"/>
    </row>
    <row r="292">
      <c r="A292" s="51"/>
      <c r="B292" s="51"/>
      <c r="C292" s="56"/>
      <c r="D292" s="51"/>
      <c r="E292" s="51"/>
      <c r="F292" s="51"/>
      <c r="G292" s="51" t="str">
        <f>IFERROR(__xludf.DUMMYFUNCTION("""COMPUTED_VALUE"""),"#VALUE!")</f>
        <v>#VALUE!</v>
      </c>
      <c r="H292" s="51" t="str">
        <f>IFERROR(__xludf.DUMMYFUNCTION("""COMPUTED_VALUE"""),"")</f>
        <v/>
      </c>
      <c r="I292" s="51" t="str">
        <f>IFERROR(__xludf.DUMMYFUNCTION("""COMPUTED_VALUE"""),"#VALUE!")</f>
        <v>#VALUE!</v>
      </c>
      <c r="J292" s="51" t="str">
        <f>IFERROR(__xludf.DUMMYFUNCTION("""COMPUTED_VALUE"""),"")</f>
        <v/>
      </c>
      <c r="K292" s="51"/>
      <c r="L292" s="51" t="s">
        <v>257</v>
      </c>
      <c r="M292" s="51"/>
      <c r="N292" s="51"/>
      <c r="O292" s="51"/>
      <c r="P292" s="51"/>
      <c r="Q292" s="51"/>
      <c r="R292" s="51"/>
      <c r="S292" s="51"/>
      <c r="T292" s="51"/>
    </row>
    <row r="293">
      <c r="A293" s="51"/>
      <c r="B293" s="51"/>
      <c r="C293" s="56"/>
      <c r="D293" s="51"/>
      <c r="E293" s="51"/>
      <c r="F293" s="51"/>
      <c r="G293" s="51" t="str">
        <f>IFERROR(__xludf.DUMMYFUNCTION("""COMPUTED_VALUE"""),"#VALUE!")</f>
        <v>#VALUE!</v>
      </c>
      <c r="H293" s="51" t="str">
        <f>IFERROR(__xludf.DUMMYFUNCTION("""COMPUTED_VALUE"""),"")</f>
        <v/>
      </c>
      <c r="I293" s="51" t="str">
        <f>IFERROR(__xludf.DUMMYFUNCTION("""COMPUTED_VALUE"""),"#VALUE!")</f>
        <v>#VALUE!</v>
      </c>
      <c r="J293" s="51" t="str">
        <f>IFERROR(__xludf.DUMMYFUNCTION("""COMPUTED_VALUE"""),"")</f>
        <v/>
      </c>
      <c r="K293" s="51"/>
      <c r="L293" s="51" t="s">
        <v>257</v>
      </c>
      <c r="M293" s="51"/>
      <c r="N293" s="51"/>
      <c r="O293" s="51"/>
      <c r="P293" s="51"/>
      <c r="Q293" s="51"/>
      <c r="R293" s="51"/>
      <c r="S293" s="51"/>
      <c r="T293" s="51"/>
    </row>
    <row r="294">
      <c r="A294" s="51"/>
      <c r="B294" s="51"/>
      <c r="C294" s="56"/>
      <c r="D294" s="51"/>
      <c r="E294" s="51"/>
      <c r="F294" s="51"/>
      <c r="G294" s="51" t="str">
        <f>IFERROR(__xludf.DUMMYFUNCTION("""COMPUTED_VALUE"""),"#VALUE!")</f>
        <v>#VALUE!</v>
      </c>
      <c r="H294" s="51" t="str">
        <f>IFERROR(__xludf.DUMMYFUNCTION("""COMPUTED_VALUE"""),"")</f>
        <v/>
      </c>
      <c r="I294" s="51" t="str">
        <f>IFERROR(__xludf.DUMMYFUNCTION("""COMPUTED_VALUE"""),"#VALUE!")</f>
        <v>#VALUE!</v>
      </c>
      <c r="J294" s="51" t="str">
        <f>IFERROR(__xludf.DUMMYFUNCTION("""COMPUTED_VALUE"""),"")</f>
        <v/>
      </c>
      <c r="K294" s="51"/>
      <c r="L294" s="51" t="s">
        <v>257</v>
      </c>
      <c r="M294" s="51"/>
      <c r="N294" s="51"/>
      <c r="O294" s="51"/>
      <c r="P294" s="51"/>
      <c r="Q294" s="51"/>
      <c r="R294" s="51"/>
      <c r="S294" s="51"/>
      <c r="T294" s="51"/>
    </row>
    <row r="295">
      <c r="A295" s="51"/>
      <c r="B295" s="51"/>
      <c r="C295" s="56"/>
      <c r="D295" s="51"/>
      <c r="E295" s="51"/>
      <c r="F295" s="51"/>
      <c r="G295" s="51" t="str">
        <f>IFERROR(__xludf.DUMMYFUNCTION("""COMPUTED_VALUE"""),"#VALUE!")</f>
        <v>#VALUE!</v>
      </c>
      <c r="H295" s="51" t="str">
        <f>IFERROR(__xludf.DUMMYFUNCTION("""COMPUTED_VALUE"""),"")</f>
        <v/>
      </c>
      <c r="I295" s="51" t="str">
        <f>IFERROR(__xludf.DUMMYFUNCTION("""COMPUTED_VALUE"""),"#VALUE!")</f>
        <v>#VALUE!</v>
      </c>
      <c r="J295" s="51" t="str">
        <f>IFERROR(__xludf.DUMMYFUNCTION("""COMPUTED_VALUE"""),"")</f>
        <v/>
      </c>
      <c r="K295" s="51"/>
      <c r="L295" s="51" t="s">
        <v>257</v>
      </c>
      <c r="M295" s="51"/>
      <c r="N295" s="51"/>
      <c r="O295" s="51"/>
      <c r="P295" s="51"/>
      <c r="Q295" s="51"/>
      <c r="R295" s="51"/>
      <c r="S295" s="51"/>
      <c r="T295" s="51"/>
    </row>
    <row r="296">
      <c r="A296" s="51"/>
      <c r="B296" s="51"/>
      <c r="C296" s="56"/>
      <c r="D296" s="51"/>
      <c r="E296" s="51"/>
      <c r="F296" s="51"/>
      <c r="G296" s="51" t="str">
        <f>IFERROR(__xludf.DUMMYFUNCTION("""COMPUTED_VALUE"""),"#VALUE!")</f>
        <v>#VALUE!</v>
      </c>
      <c r="H296" s="51" t="str">
        <f>IFERROR(__xludf.DUMMYFUNCTION("""COMPUTED_VALUE"""),"")</f>
        <v/>
      </c>
      <c r="I296" s="51" t="str">
        <f>IFERROR(__xludf.DUMMYFUNCTION("""COMPUTED_VALUE"""),"#VALUE!")</f>
        <v>#VALUE!</v>
      </c>
      <c r="J296" s="51" t="str">
        <f>IFERROR(__xludf.DUMMYFUNCTION("""COMPUTED_VALUE"""),"")</f>
        <v/>
      </c>
      <c r="K296" s="51"/>
      <c r="L296" s="51" t="s">
        <v>257</v>
      </c>
      <c r="M296" s="51"/>
      <c r="N296" s="51"/>
      <c r="O296" s="51"/>
      <c r="P296" s="51"/>
      <c r="Q296" s="51"/>
      <c r="R296" s="51"/>
      <c r="S296" s="51"/>
      <c r="T296" s="51"/>
    </row>
    <row r="297">
      <c r="A297" s="51"/>
      <c r="B297" s="51"/>
      <c r="C297" s="56"/>
      <c r="D297" s="51"/>
      <c r="E297" s="51"/>
      <c r="F297" s="51"/>
      <c r="G297" s="51" t="str">
        <f>IFERROR(__xludf.DUMMYFUNCTION("""COMPUTED_VALUE"""),"#VALUE!")</f>
        <v>#VALUE!</v>
      </c>
      <c r="H297" s="51" t="str">
        <f>IFERROR(__xludf.DUMMYFUNCTION("""COMPUTED_VALUE"""),"")</f>
        <v/>
      </c>
      <c r="I297" s="51" t="str">
        <f>IFERROR(__xludf.DUMMYFUNCTION("""COMPUTED_VALUE"""),"#VALUE!")</f>
        <v>#VALUE!</v>
      </c>
      <c r="J297" s="51" t="str">
        <f>IFERROR(__xludf.DUMMYFUNCTION("""COMPUTED_VALUE"""),"")</f>
        <v/>
      </c>
      <c r="K297" s="51"/>
      <c r="L297" s="51" t="s">
        <v>257</v>
      </c>
      <c r="M297" s="51"/>
      <c r="N297" s="51"/>
      <c r="O297" s="51"/>
      <c r="P297" s="51"/>
      <c r="Q297" s="51"/>
      <c r="R297" s="51"/>
      <c r="S297" s="51"/>
      <c r="T297" s="51"/>
    </row>
    <row r="298">
      <c r="A298" s="51"/>
      <c r="B298" s="51"/>
      <c r="C298" s="56"/>
      <c r="D298" s="51"/>
      <c r="E298" s="51"/>
      <c r="F298" s="51"/>
      <c r="G298" s="51" t="str">
        <f>IFERROR(__xludf.DUMMYFUNCTION("""COMPUTED_VALUE"""),"#VALUE!")</f>
        <v>#VALUE!</v>
      </c>
      <c r="H298" s="51" t="str">
        <f>IFERROR(__xludf.DUMMYFUNCTION("""COMPUTED_VALUE"""),"")</f>
        <v/>
      </c>
      <c r="I298" s="51" t="str">
        <f>IFERROR(__xludf.DUMMYFUNCTION("""COMPUTED_VALUE"""),"#VALUE!")</f>
        <v>#VALUE!</v>
      </c>
      <c r="J298" s="51" t="str">
        <f>IFERROR(__xludf.DUMMYFUNCTION("""COMPUTED_VALUE"""),"")</f>
        <v/>
      </c>
      <c r="K298" s="51"/>
      <c r="L298" s="51" t="s">
        <v>257</v>
      </c>
      <c r="M298" s="51"/>
      <c r="N298" s="51"/>
      <c r="O298" s="51"/>
      <c r="P298" s="51"/>
      <c r="Q298" s="51"/>
      <c r="R298" s="51"/>
      <c r="S298" s="51"/>
      <c r="T298" s="51"/>
    </row>
    <row r="299">
      <c r="A299" s="51"/>
      <c r="B299" s="51"/>
      <c r="C299" s="56"/>
      <c r="D299" s="51"/>
      <c r="E299" s="51"/>
      <c r="F299" s="51"/>
      <c r="G299" s="51" t="str">
        <f>IFERROR(__xludf.DUMMYFUNCTION("""COMPUTED_VALUE"""),"#VALUE!")</f>
        <v>#VALUE!</v>
      </c>
      <c r="H299" s="51" t="str">
        <f>IFERROR(__xludf.DUMMYFUNCTION("""COMPUTED_VALUE"""),"")</f>
        <v/>
      </c>
      <c r="I299" s="51" t="str">
        <f>IFERROR(__xludf.DUMMYFUNCTION("""COMPUTED_VALUE"""),"#VALUE!")</f>
        <v>#VALUE!</v>
      </c>
      <c r="J299" s="51" t="str">
        <f>IFERROR(__xludf.DUMMYFUNCTION("""COMPUTED_VALUE"""),"")</f>
        <v/>
      </c>
      <c r="K299" s="51"/>
      <c r="L299" s="51" t="s">
        <v>257</v>
      </c>
      <c r="M299" s="51"/>
      <c r="N299" s="51"/>
      <c r="O299" s="51"/>
      <c r="P299" s="51"/>
      <c r="Q299" s="51"/>
      <c r="R299" s="51"/>
      <c r="S299" s="51"/>
      <c r="T299" s="51"/>
    </row>
    <row r="300">
      <c r="A300" s="51"/>
      <c r="B300" s="51"/>
      <c r="C300" s="56"/>
      <c r="D300" s="51"/>
      <c r="E300" s="51"/>
      <c r="F300" s="51"/>
      <c r="G300" s="51" t="str">
        <f>IFERROR(__xludf.DUMMYFUNCTION("""COMPUTED_VALUE"""),"#VALUE!")</f>
        <v>#VALUE!</v>
      </c>
      <c r="H300" s="51" t="str">
        <f>IFERROR(__xludf.DUMMYFUNCTION("""COMPUTED_VALUE"""),"")</f>
        <v/>
      </c>
      <c r="I300" s="51" t="str">
        <f>IFERROR(__xludf.DUMMYFUNCTION("""COMPUTED_VALUE"""),"#VALUE!")</f>
        <v>#VALUE!</v>
      </c>
      <c r="J300" s="51" t="str">
        <f>IFERROR(__xludf.DUMMYFUNCTION("""COMPUTED_VALUE"""),"")</f>
        <v/>
      </c>
      <c r="K300" s="51"/>
      <c r="L300" s="51" t="s">
        <v>257</v>
      </c>
      <c r="M300" s="51"/>
      <c r="N300" s="51"/>
      <c r="O300" s="51"/>
      <c r="P300" s="51"/>
      <c r="Q300" s="51"/>
      <c r="R300" s="51"/>
      <c r="S300" s="51"/>
      <c r="T300" s="51"/>
    </row>
    <row r="301">
      <c r="A301" s="51"/>
      <c r="B301" s="51"/>
      <c r="C301" s="56"/>
      <c r="D301" s="51"/>
      <c r="E301" s="51"/>
      <c r="F301" s="51"/>
      <c r="G301" s="51" t="str">
        <f>IFERROR(__xludf.DUMMYFUNCTION("""COMPUTED_VALUE"""),"#VALUE!")</f>
        <v>#VALUE!</v>
      </c>
      <c r="H301" s="51" t="str">
        <f>IFERROR(__xludf.DUMMYFUNCTION("""COMPUTED_VALUE"""),"")</f>
        <v/>
      </c>
      <c r="I301" s="51" t="str">
        <f>IFERROR(__xludf.DUMMYFUNCTION("""COMPUTED_VALUE"""),"#VALUE!")</f>
        <v>#VALUE!</v>
      </c>
      <c r="J301" s="51" t="str">
        <f>IFERROR(__xludf.DUMMYFUNCTION("""COMPUTED_VALUE"""),"")</f>
        <v/>
      </c>
      <c r="K301" s="51"/>
      <c r="L301" s="51" t="s">
        <v>257</v>
      </c>
      <c r="M301" s="51"/>
      <c r="N301" s="51"/>
      <c r="O301" s="51"/>
      <c r="P301" s="51"/>
      <c r="Q301" s="51"/>
      <c r="R301" s="51"/>
      <c r="S301" s="51"/>
      <c r="T301" s="51"/>
    </row>
    <row r="302">
      <c r="A302" s="51"/>
      <c r="B302" s="51"/>
      <c r="C302" s="56"/>
      <c r="D302" s="51"/>
      <c r="E302" s="51"/>
      <c r="F302" s="51"/>
      <c r="G302" s="51" t="str">
        <f>IFERROR(__xludf.DUMMYFUNCTION("""COMPUTED_VALUE"""),"#VALUE!")</f>
        <v>#VALUE!</v>
      </c>
      <c r="H302" s="51" t="str">
        <f>IFERROR(__xludf.DUMMYFUNCTION("""COMPUTED_VALUE"""),"")</f>
        <v/>
      </c>
      <c r="I302" s="51" t="str">
        <f>IFERROR(__xludf.DUMMYFUNCTION("""COMPUTED_VALUE"""),"#VALUE!")</f>
        <v>#VALUE!</v>
      </c>
      <c r="J302" s="51" t="str">
        <f>IFERROR(__xludf.DUMMYFUNCTION("""COMPUTED_VALUE"""),"")</f>
        <v/>
      </c>
      <c r="K302" s="51"/>
      <c r="L302" s="51" t="s">
        <v>257</v>
      </c>
      <c r="M302" s="51"/>
      <c r="N302" s="51"/>
      <c r="O302" s="51"/>
      <c r="P302" s="51"/>
      <c r="Q302" s="51"/>
      <c r="R302" s="51"/>
      <c r="S302" s="51"/>
      <c r="T302" s="51"/>
    </row>
    <row r="303">
      <c r="A303" s="51"/>
      <c r="B303" s="51"/>
      <c r="C303" s="56"/>
      <c r="D303" s="51"/>
      <c r="E303" s="51"/>
      <c r="F303" s="51"/>
      <c r="G303" s="51" t="str">
        <f>IFERROR(__xludf.DUMMYFUNCTION("""COMPUTED_VALUE"""),"#VALUE!")</f>
        <v>#VALUE!</v>
      </c>
      <c r="H303" s="51" t="str">
        <f>IFERROR(__xludf.DUMMYFUNCTION("""COMPUTED_VALUE"""),"")</f>
        <v/>
      </c>
      <c r="I303" s="51" t="str">
        <f>IFERROR(__xludf.DUMMYFUNCTION("""COMPUTED_VALUE"""),"#VALUE!")</f>
        <v>#VALUE!</v>
      </c>
      <c r="J303" s="51" t="str">
        <f>IFERROR(__xludf.DUMMYFUNCTION("""COMPUTED_VALUE"""),"")</f>
        <v/>
      </c>
      <c r="K303" s="51"/>
      <c r="L303" s="51" t="s">
        <v>257</v>
      </c>
      <c r="M303" s="51"/>
      <c r="N303" s="51"/>
      <c r="O303" s="51"/>
      <c r="P303" s="51"/>
      <c r="Q303" s="51"/>
      <c r="R303" s="51"/>
      <c r="S303" s="51"/>
      <c r="T303" s="51"/>
    </row>
    <row r="304">
      <c r="A304" s="51"/>
      <c r="B304" s="51"/>
      <c r="C304" s="56"/>
      <c r="D304" s="51"/>
      <c r="E304" s="51"/>
      <c r="F304" s="51"/>
      <c r="G304" s="51" t="str">
        <f>IFERROR(__xludf.DUMMYFUNCTION("""COMPUTED_VALUE"""),"#VALUE!")</f>
        <v>#VALUE!</v>
      </c>
      <c r="H304" s="51" t="str">
        <f>IFERROR(__xludf.DUMMYFUNCTION("""COMPUTED_VALUE"""),"")</f>
        <v/>
      </c>
      <c r="I304" s="51" t="str">
        <f>IFERROR(__xludf.DUMMYFUNCTION("""COMPUTED_VALUE"""),"#VALUE!")</f>
        <v>#VALUE!</v>
      </c>
      <c r="J304" s="51" t="str">
        <f>IFERROR(__xludf.DUMMYFUNCTION("""COMPUTED_VALUE"""),"")</f>
        <v/>
      </c>
      <c r="K304" s="51"/>
      <c r="L304" s="51" t="s">
        <v>257</v>
      </c>
      <c r="M304" s="51"/>
      <c r="N304" s="51"/>
      <c r="O304" s="51"/>
      <c r="P304" s="51"/>
      <c r="Q304" s="51"/>
      <c r="R304" s="51"/>
      <c r="S304" s="51"/>
      <c r="T304" s="51"/>
    </row>
    <row r="305">
      <c r="A305" s="51"/>
      <c r="B305" s="51"/>
      <c r="C305" s="56"/>
      <c r="D305" s="51"/>
      <c r="E305" s="51"/>
      <c r="F305" s="51"/>
      <c r="G305" s="51" t="str">
        <f>IFERROR(__xludf.DUMMYFUNCTION("""COMPUTED_VALUE"""),"#VALUE!")</f>
        <v>#VALUE!</v>
      </c>
      <c r="H305" s="51" t="str">
        <f>IFERROR(__xludf.DUMMYFUNCTION("""COMPUTED_VALUE"""),"")</f>
        <v/>
      </c>
      <c r="I305" s="51" t="str">
        <f>IFERROR(__xludf.DUMMYFUNCTION("""COMPUTED_VALUE"""),"#VALUE!")</f>
        <v>#VALUE!</v>
      </c>
      <c r="J305" s="51" t="str">
        <f>IFERROR(__xludf.DUMMYFUNCTION("""COMPUTED_VALUE"""),"")</f>
        <v/>
      </c>
      <c r="K305" s="51"/>
      <c r="L305" s="51" t="s">
        <v>257</v>
      </c>
      <c r="M305" s="51"/>
      <c r="N305" s="51"/>
      <c r="O305" s="51"/>
      <c r="P305" s="51"/>
      <c r="Q305" s="51"/>
      <c r="R305" s="51"/>
      <c r="S305" s="51"/>
      <c r="T305" s="51"/>
    </row>
    <row r="306">
      <c r="A306" s="51"/>
      <c r="B306" s="51"/>
      <c r="C306" s="56"/>
      <c r="D306" s="51"/>
      <c r="E306" s="51"/>
      <c r="F306" s="51"/>
      <c r="G306" s="51" t="str">
        <f>IFERROR(__xludf.DUMMYFUNCTION("""COMPUTED_VALUE"""),"#VALUE!")</f>
        <v>#VALUE!</v>
      </c>
      <c r="H306" s="51" t="str">
        <f>IFERROR(__xludf.DUMMYFUNCTION("""COMPUTED_VALUE"""),"")</f>
        <v/>
      </c>
      <c r="I306" s="51" t="str">
        <f>IFERROR(__xludf.DUMMYFUNCTION("""COMPUTED_VALUE"""),"#VALUE!")</f>
        <v>#VALUE!</v>
      </c>
      <c r="J306" s="51" t="str">
        <f>IFERROR(__xludf.DUMMYFUNCTION("""COMPUTED_VALUE"""),"")</f>
        <v/>
      </c>
      <c r="K306" s="51"/>
      <c r="L306" s="51" t="s">
        <v>257</v>
      </c>
      <c r="M306" s="51"/>
      <c r="N306" s="51"/>
      <c r="O306" s="51"/>
      <c r="P306" s="51"/>
      <c r="Q306" s="51"/>
      <c r="R306" s="51"/>
      <c r="S306" s="51"/>
      <c r="T306" s="51"/>
    </row>
    <row r="307">
      <c r="A307" s="51"/>
      <c r="B307" s="51"/>
      <c r="C307" s="56"/>
      <c r="D307" s="51"/>
      <c r="E307" s="51"/>
      <c r="F307" s="51"/>
      <c r="G307" s="51" t="str">
        <f>IFERROR(__xludf.DUMMYFUNCTION("""COMPUTED_VALUE"""),"#VALUE!")</f>
        <v>#VALUE!</v>
      </c>
      <c r="H307" s="51" t="str">
        <f>IFERROR(__xludf.DUMMYFUNCTION("""COMPUTED_VALUE"""),"")</f>
        <v/>
      </c>
      <c r="I307" s="51" t="str">
        <f>IFERROR(__xludf.DUMMYFUNCTION("""COMPUTED_VALUE"""),"#VALUE!")</f>
        <v>#VALUE!</v>
      </c>
      <c r="J307" s="51" t="str">
        <f>IFERROR(__xludf.DUMMYFUNCTION("""COMPUTED_VALUE"""),"")</f>
        <v/>
      </c>
      <c r="K307" s="51"/>
      <c r="L307" s="51" t="s">
        <v>257</v>
      </c>
      <c r="M307" s="51"/>
      <c r="N307" s="51"/>
      <c r="O307" s="51"/>
      <c r="P307" s="51"/>
      <c r="Q307" s="51"/>
      <c r="R307" s="51"/>
      <c r="S307" s="51"/>
      <c r="T307" s="51"/>
    </row>
    <row r="308">
      <c r="A308" s="51"/>
      <c r="B308" s="51"/>
      <c r="C308" s="56"/>
      <c r="D308" s="51"/>
      <c r="E308" s="51"/>
      <c r="F308" s="51"/>
      <c r="G308" s="51" t="str">
        <f>IFERROR(__xludf.DUMMYFUNCTION("""COMPUTED_VALUE"""),"#VALUE!")</f>
        <v>#VALUE!</v>
      </c>
      <c r="H308" s="51" t="str">
        <f>IFERROR(__xludf.DUMMYFUNCTION("""COMPUTED_VALUE"""),"")</f>
        <v/>
      </c>
      <c r="I308" s="51" t="str">
        <f>IFERROR(__xludf.DUMMYFUNCTION("""COMPUTED_VALUE"""),"#VALUE!")</f>
        <v>#VALUE!</v>
      </c>
      <c r="J308" s="51" t="str">
        <f>IFERROR(__xludf.DUMMYFUNCTION("""COMPUTED_VALUE"""),"")</f>
        <v/>
      </c>
      <c r="K308" s="51"/>
      <c r="L308" s="51" t="s">
        <v>257</v>
      </c>
      <c r="M308" s="51"/>
      <c r="N308" s="51"/>
      <c r="O308" s="51"/>
      <c r="P308" s="51"/>
      <c r="Q308" s="51"/>
      <c r="R308" s="51"/>
      <c r="S308" s="51"/>
      <c r="T308" s="51"/>
    </row>
    <row r="309">
      <c r="A309" s="51"/>
      <c r="B309" s="51"/>
      <c r="C309" s="56"/>
      <c r="D309" s="51"/>
      <c r="E309" s="51"/>
      <c r="F309" s="51"/>
      <c r="G309" s="51" t="str">
        <f>IFERROR(__xludf.DUMMYFUNCTION("""COMPUTED_VALUE"""),"#VALUE!")</f>
        <v>#VALUE!</v>
      </c>
      <c r="H309" s="51" t="str">
        <f>IFERROR(__xludf.DUMMYFUNCTION("""COMPUTED_VALUE"""),"")</f>
        <v/>
      </c>
      <c r="I309" s="51" t="str">
        <f>IFERROR(__xludf.DUMMYFUNCTION("""COMPUTED_VALUE"""),"#VALUE!")</f>
        <v>#VALUE!</v>
      </c>
      <c r="J309" s="51" t="str">
        <f>IFERROR(__xludf.DUMMYFUNCTION("""COMPUTED_VALUE"""),"")</f>
        <v/>
      </c>
      <c r="K309" s="51"/>
      <c r="L309" s="51" t="s">
        <v>257</v>
      </c>
      <c r="M309" s="51"/>
      <c r="N309" s="51"/>
      <c r="O309" s="51"/>
      <c r="P309" s="51"/>
      <c r="Q309" s="51"/>
      <c r="R309" s="51"/>
      <c r="S309" s="51"/>
      <c r="T309" s="51"/>
    </row>
    <row r="310">
      <c r="A310" s="51"/>
      <c r="B310" s="51"/>
      <c r="C310" s="56"/>
      <c r="D310" s="51"/>
      <c r="E310" s="51"/>
      <c r="F310" s="51"/>
      <c r="G310" s="51" t="str">
        <f>IFERROR(__xludf.DUMMYFUNCTION("""COMPUTED_VALUE"""),"#VALUE!")</f>
        <v>#VALUE!</v>
      </c>
      <c r="H310" s="51" t="str">
        <f>IFERROR(__xludf.DUMMYFUNCTION("""COMPUTED_VALUE"""),"")</f>
        <v/>
      </c>
      <c r="I310" s="51" t="str">
        <f>IFERROR(__xludf.DUMMYFUNCTION("""COMPUTED_VALUE"""),"#VALUE!")</f>
        <v>#VALUE!</v>
      </c>
      <c r="J310" s="51" t="str">
        <f>IFERROR(__xludf.DUMMYFUNCTION("""COMPUTED_VALUE"""),"")</f>
        <v/>
      </c>
      <c r="K310" s="51"/>
      <c r="L310" s="51" t="s">
        <v>257</v>
      </c>
      <c r="M310" s="51"/>
      <c r="N310" s="51"/>
      <c r="O310" s="51"/>
      <c r="P310" s="51"/>
      <c r="Q310" s="51"/>
      <c r="R310" s="51"/>
      <c r="S310" s="51"/>
      <c r="T310" s="51"/>
    </row>
    <row r="311">
      <c r="A311" s="51"/>
      <c r="B311" s="51"/>
      <c r="C311" s="56"/>
      <c r="D311" s="51"/>
      <c r="E311" s="51"/>
      <c r="F311" s="51"/>
      <c r="G311" s="51" t="str">
        <f>IFERROR(__xludf.DUMMYFUNCTION("""COMPUTED_VALUE"""),"#VALUE!")</f>
        <v>#VALUE!</v>
      </c>
      <c r="H311" s="51" t="str">
        <f>IFERROR(__xludf.DUMMYFUNCTION("""COMPUTED_VALUE"""),"")</f>
        <v/>
      </c>
      <c r="I311" s="51" t="str">
        <f>IFERROR(__xludf.DUMMYFUNCTION("""COMPUTED_VALUE"""),"#VALUE!")</f>
        <v>#VALUE!</v>
      </c>
      <c r="J311" s="51" t="str">
        <f>IFERROR(__xludf.DUMMYFUNCTION("""COMPUTED_VALUE"""),"")</f>
        <v/>
      </c>
      <c r="K311" s="51"/>
      <c r="L311" s="51" t="s">
        <v>257</v>
      </c>
      <c r="M311" s="51"/>
      <c r="N311" s="51"/>
      <c r="O311" s="51"/>
      <c r="P311" s="51"/>
      <c r="Q311" s="51"/>
      <c r="R311" s="51"/>
      <c r="S311" s="51"/>
      <c r="T311" s="51"/>
    </row>
    <row r="312">
      <c r="A312" s="51"/>
      <c r="B312" s="51"/>
      <c r="C312" s="56"/>
      <c r="D312" s="51"/>
      <c r="E312" s="51"/>
      <c r="F312" s="51"/>
      <c r="G312" s="51" t="str">
        <f>IFERROR(__xludf.DUMMYFUNCTION("""COMPUTED_VALUE"""),"#VALUE!")</f>
        <v>#VALUE!</v>
      </c>
      <c r="H312" s="51" t="str">
        <f>IFERROR(__xludf.DUMMYFUNCTION("""COMPUTED_VALUE"""),"")</f>
        <v/>
      </c>
      <c r="I312" s="51" t="str">
        <f>IFERROR(__xludf.DUMMYFUNCTION("""COMPUTED_VALUE"""),"#VALUE!")</f>
        <v>#VALUE!</v>
      </c>
      <c r="J312" s="51" t="str">
        <f>IFERROR(__xludf.DUMMYFUNCTION("""COMPUTED_VALUE"""),"")</f>
        <v/>
      </c>
      <c r="K312" s="51"/>
      <c r="L312" s="51" t="s">
        <v>257</v>
      </c>
      <c r="M312" s="51"/>
      <c r="N312" s="51"/>
      <c r="O312" s="51"/>
      <c r="P312" s="51"/>
      <c r="Q312" s="51"/>
      <c r="R312" s="51"/>
      <c r="S312" s="51"/>
      <c r="T312" s="51"/>
    </row>
    <row r="313">
      <c r="A313" s="51"/>
      <c r="B313" s="51"/>
      <c r="C313" s="56"/>
      <c r="D313" s="51"/>
      <c r="E313" s="51"/>
      <c r="F313" s="51"/>
      <c r="G313" s="51" t="str">
        <f>IFERROR(__xludf.DUMMYFUNCTION("""COMPUTED_VALUE"""),"#VALUE!")</f>
        <v>#VALUE!</v>
      </c>
      <c r="H313" s="51" t="str">
        <f>IFERROR(__xludf.DUMMYFUNCTION("""COMPUTED_VALUE"""),"")</f>
        <v/>
      </c>
      <c r="I313" s="51" t="str">
        <f>IFERROR(__xludf.DUMMYFUNCTION("""COMPUTED_VALUE"""),"#VALUE!")</f>
        <v>#VALUE!</v>
      </c>
      <c r="J313" s="51" t="str">
        <f>IFERROR(__xludf.DUMMYFUNCTION("""COMPUTED_VALUE"""),"")</f>
        <v/>
      </c>
      <c r="K313" s="51"/>
      <c r="L313" s="51" t="s">
        <v>257</v>
      </c>
      <c r="M313" s="51"/>
      <c r="N313" s="51"/>
      <c r="O313" s="51"/>
      <c r="P313" s="51"/>
      <c r="Q313" s="51"/>
      <c r="R313" s="51"/>
      <c r="S313" s="51"/>
      <c r="T313" s="51"/>
    </row>
    <row r="314">
      <c r="A314" s="51"/>
      <c r="B314" s="51"/>
      <c r="C314" s="56"/>
      <c r="D314" s="51"/>
      <c r="E314" s="51"/>
      <c r="F314" s="51"/>
      <c r="G314" s="51" t="str">
        <f>IFERROR(__xludf.DUMMYFUNCTION("""COMPUTED_VALUE"""),"#VALUE!")</f>
        <v>#VALUE!</v>
      </c>
      <c r="H314" s="51" t="str">
        <f>IFERROR(__xludf.DUMMYFUNCTION("""COMPUTED_VALUE"""),"")</f>
        <v/>
      </c>
      <c r="I314" s="51" t="str">
        <f>IFERROR(__xludf.DUMMYFUNCTION("""COMPUTED_VALUE"""),"#VALUE!")</f>
        <v>#VALUE!</v>
      </c>
      <c r="J314" s="51" t="str">
        <f>IFERROR(__xludf.DUMMYFUNCTION("""COMPUTED_VALUE"""),"")</f>
        <v/>
      </c>
      <c r="K314" s="51"/>
      <c r="L314" s="51" t="s">
        <v>257</v>
      </c>
      <c r="M314" s="51"/>
      <c r="N314" s="51"/>
      <c r="O314" s="51"/>
      <c r="P314" s="51"/>
      <c r="Q314" s="51"/>
      <c r="R314" s="51"/>
      <c r="S314" s="51"/>
      <c r="T314" s="51"/>
    </row>
    <row r="315">
      <c r="A315" s="51"/>
      <c r="B315" s="51"/>
      <c r="C315" s="56"/>
      <c r="D315" s="51"/>
      <c r="E315" s="51"/>
      <c r="F315" s="51"/>
      <c r="G315" s="51" t="str">
        <f>IFERROR(__xludf.DUMMYFUNCTION("""COMPUTED_VALUE"""),"#VALUE!")</f>
        <v>#VALUE!</v>
      </c>
      <c r="H315" s="51" t="str">
        <f>IFERROR(__xludf.DUMMYFUNCTION("""COMPUTED_VALUE"""),"")</f>
        <v/>
      </c>
      <c r="I315" s="51" t="str">
        <f>IFERROR(__xludf.DUMMYFUNCTION("""COMPUTED_VALUE"""),"#VALUE!")</f>
        <v>#VALUE!</v>
      </c>
      <c r="J315" s="51" t="str">
        <f>IFERROR(__xludf.DUMMYFUNCTION("""COMPUTED_VALUE"""),"")</f>
        <v/>
      </c>
      <c r="K315" s="51"/>
      <c r="L315" s="51" t="s">
        <v>257</v>
      </c>
      <c r="M315" s="51"/>
      <c r="N315" s="51"/>
      <c r="O315" s="51"/>
      <c r="P315" s="51"/>
      <c r="Q315" s="51"/>
      <c r="R315" s="51"/>
      <c r="S315" s="51"/>
      <c r="T315" s="51"/>
    </row>
    <row r="316">
      <c r="A316" s="51"/>
      <c r="B316" s="51"/>
      <c r="C316" s="56"/>
      <c r="D316" s="51"/>
      <c r="E316" s="51"/>
      <c r="F316" s="51"/>
      <c r="G316" s="51" t="str">
        <f>IFERROR(__xludf.DUMMYFUNCTION("""COMPUTED_VALUE"""),"#VALUE!")</f>
        <v>#VALUE!</v>
      </c>
      <c r="H316" s="51" t="str">
        <f>IFERROR(__xludf.DUMMYFUNCTION("""COMPUTED_VALUE"""),"")</f>
        <v/>
      </c>
      <c r="I316" s="51" t="str">
        <f>IFERROR(__xludf.DUMMYFUNCTION("""COMPUTED_VALUE"""),"#VALUE!")</f>
        <v>#VALUE!</v>
      </c>
      <c r="J316" s="51" t="str">
        <f>IFERROR(__xludf.DUMMYFUNCTION("""COMPUTED_VALUE"""),"")</f>
        <v/>
      </c>
      <c r="K316" s="51"/>
      <c r="L316" s="51" t="s">
        <v>257</v>
      </c>
      <c r="M316" s="51"/>
      <c r="N316" s="51"/>
      <c r="O316" s="51"/>
      <c r="P316" s="51"/>
      <c r="Q316" s="51"/>
      <c r="R316" s="51"/>
      <c r="S316" s="51"/>
      <c r="T316" s="51"/>
    </row>
    <row r="317">
      <c r="A317" s="51"/>
      <c r="B317" s="51"/>
      <c r="C317" s="56"/>
      <c r="D317" s="51"/>
      <c r="E317" s="51"/>
      <c r="F317" s="51"/>
      <c r="G317" s="51" t="str">
        <f>IFERROR(__xludf.DUMMYFUNCTION("""COMPUTED_VALUE"""),"#VALUE!")</f>
        <v>#VALUE!</v>
      </c>
      <c r="H317" s="51" t="str">
        <f>IFERROR(__xludf.DUMMYFUNCTION("""COMPUTED_VALUE"""),"")</f>
        <v/>
      </c>
      <c r="I317" s="51" t="str">
        <f>IFERROR(__xludf.DUMMYFUNCTION("""COMPUTED_VALUE"""),"#VALUE!")</f>
        <v>#VALUE!</v>
      </c>
      <c r="J317" s="51" t="str">
        <f>IFERROR(__xludf.DUMMYFUNCTION("""COMPUTED_VALUE"""),"")</f>
        <v/>
      </c>
      <c r="K317" s="51"/>
      <c r="L317" s="51" t="s">
        <v>257</v>
      </c>
      <c r="M317" s="51"/>
      <c r="N317" s="51"/>
      <c r="O317" s="51"/>
      <c r="P317" s="51"/>
      <c r="Q317" s="51"/>
      <c r="R317" s="51"/>
      <c r="S317" s="51"/>
      <c r="T317" s="51"/>
    </row>
    <row r="318">
      <c r="A318" s="51"/>
      <c r="B318" s="51"/>
      <c r="C318" s="56"/>
      <c r="D318" s="51"/>
      <c r="E318" s="51"/>
      <c r="F318" s="51"/>
      <c r="G318" s="51" t="str">
        <f>IFERROR(__xludf.DUMMYFUNCTION("""COMPUTED_VALUE"""),"#VALUE!")</f>
        <v>#VALUE!</v>
      </c>
      <c r="H318" s="51" t="str">
        <f>IFERROR(__xludf.DUMMYFUNCTION("""COMPUTED_VALUE"""),"")</f>
        <v/>
      </c>
      <c r="I318" s="51" t="str">
        <f>IFERROR(__xludf.DUMMYFUNCTION("""COMPUTED_VALUE"""),"#VALUE!")</f>
        <v>#VALUE!</v>
      </c>
      <c r="J318" s="51" t="str">
        <f>IFERROR(__xludf.DUMMYFUNCTION("""COMPUTED_VALUE"""),"")</f>
        <v/>
      </c>
      <c r="K318" s="51"/>
      <c r="L318" s="51" t="s">
        <v>257</v>
      </c>
      <c r="M318" s="51"/>
      <c r="N318" s="51"/>
      <c r="O318" s="51"/>
      <c r="P318" s="51"/>
      <c r="Q318" s="51"/>
      <c r="R318" s="51"/>
      <c r="S318" s="51"/>
      <c r="T318" s="51"/>
    </row>
    <row r="319">
      <c r="A319" s="51"/>
      <c r="B319" s="51"/>
      <c r="C319" s="56"/>
      <c r="D319" s="51"/>
      <c r="E319" s="51"/>
      <c r="F319" s="51"/>
      <c r="G319" s="51" t="str">
        <f>IFERROR(__xludf.DUMMYFUNCTION("""COMPUTED_VALUE"""),"#VALUE!")</f>
        <v>#VALUE!</v>
      </c>
      <c r="H319" s="51" t="str">
        <f>IFERROR(__xludf.DUMMYFUNCTION("""COMPUTED_VALUE"""),"")</f>
        <v/>
      </c>
      <c r="I319" s="51" t="str">
        <f>IFERROR(__xludf.DUMMYFUNCTION("""COMPUTED_VALUE"""),"#VALUE!")</f>
        <v>#VALUE!</v>
      </c>
      <c r="J319" s="51" t="str">
        <f>IFERROR(__xludf.DUMMYFUNCTION("""COMPUTED_VALUE"""),"")</f>
        <v/>
      </c>
      <c r="K319" s="51"/>
      <c r="L319" s="51" t="s">
        <v>257</v>
      </c>
      <c r="M319" s="51"/>
      <c r="N319" s="51"/>
      <c r="O319" s="51"/>
      <c r="P319" s="51"/>
      <c r="Q319" s="51"/>
      <c r="R319" s="51"/>
      <c r="S319" s="51"/>
      <c r="T319" s="51"/>
    </row>
    <row r="320">
      <c r="A320" s="51"/>
      <c r="B320" s="51"/>
      <c r="C320" s="56"/>
      <c r="D320" s="51"/>
      <c r="E320" s="51"/>
      <c r="F320" s="51"/>
      <c r="G320" s="51" t="str">
        <f>IFERROR(__xludf.DUMMYFUNCTION("""COMPUTED_VALUE"""),"#VALUE!")</f>
        <v>#VALUE!</v>
      </c>
      <c r="H320" s="51" t="str">
        <f>IFERROR(__xludf.DUMMYFUNCTION("""COMPUTED_VALUE"""),"")</f>
        <v/>
      </c>
      <c r="I320" s="51" t="str">
        <f>IFERROR(__xludf.DUMMYFUNCTION("""COMPUTED_VALUE"""),"#VALUE!")</f>
        <v>#VALUE!</v>
      </c>
      <c r="J320" s="51" t="str">
        <f>IFERROR(__xludf.DUMMYFUNCTION("""COMPUTED_VALUE"""),"")</f>
        <v/>
      </c>
      <c r="K320" s="51"/>
      <c r="L320" s="51" t="s">
        <v>257</v>
      </c>
      <c r="M320" s="51"/>
      <c r="N320" s="51"/>
      <c r="O320" s="51"/>
      <c r="P320" s="51"/>
      <c r="Q320" s="51"/>
      <c r="R320" s="51"/>
      <c r="S320" s="51"/>
      <c r="T320" s="51"/>
    </row>
    <row r="321">
      <c r="A321" s="51"/>
      <c r="B321" s="51"/>
      <c r="C321" s="56"/>
      <c r="D321" s="51"/>
      <c r="E321" s="51"/>
      <c r="F321" s="51"/>
      <c r="G321" s="51" t="str">
        <f>IFERROR(__xludf.DUMMYFUNCTION("""COMPUTED_VALUE"""),"#VALUE!")</f>
        <v>#VALUE!</v>
      </c>
      <c r="H321" s="51" t="str">
        <f>IFERROR(__xludf.DUMMYFUNCTION("""COMPUTED_VALUE"""),"")</f>
        <v/>
      </c>
      <c r="I321" s="51" t="str">
        <f>IFERROR(__xludf.DUMMYFUNCTION("""COMPUTED_VALUE"""),"#VALUE!")</f>
        <v>#VALUE!</v>
      </c>
      <c r="J321" s="51" t="str">
        <f>IFERROR(__xludf.DUMMYFUNCTION("""COMPUTED_VALUE"""),"")</f>
        <v/>
      </c>
      <c r="K321" s="51"/>
      <c r="L321" s="51" t="s">
        <v>257</v>
      </c>
      <c r="M321" s="51"/>
      <c r="N321" s="51"/>
      <c r="O321" s="51"/>
      <c r="P321" s="51"/>
      <c r="Q321" s="51"/>
      <c r="R321" s="51"/>
      <c r="S321" s="51"/>
      <c r="T321" s="51"/>
    </row>
    <row r="322">
      <c r="A322" s="51"/>
      <c r="B322" s="51"/>
      <c r="C322" s="56"/>
      <c r="D322" s="51"/>
      <c r="E322" s="51"/>
      <c r="F322" s="51"/>
      <c r="G322" s="51" t="str">
        <f>IFERROR(__xludf.DUMMYFUNCTION("""COMPUTED_VALUE"""),"#VALUE!")</f>
        <v>#VALUE!</v>
      </c>
      <c r="H322" s="51" t="str">
        <f>IFERROR(__xludf.DUMMYFUNCTION("""COMPUTED_VALUE"""),"")</f>
        <v/>
      </c>
      <c r="I322" s="51" t="str">
        <f>IFERROR(__xludf.DUMMYFUNCTION("""COMPUTED_VALUE"""),"#VALUE!")</f>
        <v>#VALUE!</v>
      </c>
      <c r="J322" s="51" t="str">
        <f>IFERROR(__xludf.DUMMYFUNCTION("""COMPUTED_VALUE"""),"")</f>
        <v/>
      </c>
      <c r="K322" s="51"/>
      <c r="L322" s="51" t="s">
        <v>257</v>
      </c>
      <c r="M322" s="51"/>
      <c r="N322" s="51"/>
      <c r="O322" s="51"/>
      <c r="P322" s="51"/>
      <c r="Q322" s="51"/>
      <c r="R322" s="51"/>
      <c r="S322" s="51"/>
      <c r="T322" s="51"/>
    </row>
    <row r="323">
      <c r="A323" s="51"/>
      <c r="B323" s="51"/>
      <c r="C323" s="56"/>
      <c r="D323" s="51"/>
      <c r="E323" s="51"/>
      <c r="F323" s="51"/>
      <c r="G323" s="51" t="str">
        <f>IFERROR(__xludf.DUMMYFUNCTION("""COMPUTED_VALUE"""),"#VALUE!")</f>
        <v>#VALUE!</v>
      </c>
      <c r="H323" s="51" t="str">
        <f>IFERROR(__xludf.DUMMYFUNCTION("""COMPUTED_VALUE"""),"")</f>
        <v/>
      </c>
      <c r="I323" s="51" t="str">
        <f>IFERROR(__xludf.DUMMYFUNCTION("""COMPUTED_VALUE"""),"#VALUE!")</f>
        <v>#VALUE!</v>
      </c>
      <c r="J323" s="51" t="str">
        <f>IFERROR(__xludf.DUMMYFUNCTION("""COMPUTED_VALUE"""),"")</f>
        <v/>
      </c>
      <c r="K323" s="51"/>
      <c r="L323" s="51" t="s">
        <v>257</v>
      </c>
      <c r="M323" s="51"/>
      <c r="N323" s="51"/>
      <c r="O323" s="51"/>
      <c r="P323" s="51"/>
      <c r="Q323" s="51"/>
      <c r="R323" s="51"/>
      <c r="S323" s="51"/>
      <c r="T323" s="51"/>
    </row>
    <row r="324">
      <c r="A324" s="51"/>
      <c r="B324" s="51"/>
      <c r="C324" s="56"/>
      <c r="D324" s="51"/>
      <c r="E324" s="51"/>
      <c r="F324" s="51"/>
      <c r="G324" s="51" t="str">
        <f>IFERROR(__xludf.DUMMYFUNCTION("""COMPUTED_VALUE"""),"#VALUE!")</f>
        <v>#VALUE!</v>
      </c>
      <c r="H324" s="51" t="str">
        <f>IFERROR(__xludf.DUMMYFUNCTION("""COMPUTED_VALUE"""),"")</f>
        <v/>
      </c>
      <c r="I324" s="51" t="str">
        <f>IFERROR(__xludf.DUMMYFUNCTION("""COMPUTED_VALUE"""),"#VALUE!")</f>
        <v>#VALUE!</v>
      </c>
      <c r="J324" s="51" t="str">
        <f>IFERROR(__xludf.DUMMYFUNCTION("""COMPUTED_VALUE"""),"")</f>
        <v/>
      </c>
      <c r="K324" s="51"/>
      <c r="L324" s="51" t="s">
        <v>257</v>
      </c>
      <c r="M324" s="51"/>
      <c r="N324" s="51"/>
      <c r="O324" s="51"/>
      <c r="P324" s="51"/>
      <c r="Q324" s="51"/>
      <c r="R324" s="51"/>
      <c r="S324" s="51"/>
      <c r="T324" s="51"/>
    </row>
    <row r="325">
      <c r="A325" s="51"/>
      <c r="B325" s="51"/>
      <c r="C325" s="56"/>
      <c r="D325" s="51"/>
      <c r="E325" s="51"/>
      <c r="F325" s="51"/>
      <c r="G325" s="51" t="str">
        <f>IFERROR(__xludf.DUMMYFUNCTION("""COMPUTED_VALUE"""),"#VALUE!")</f>
        <v>#VALUE!</v>
      </c>
      <c r="H325" s="51" t="str">
        <f>IFERROR(__xludf.DUMMYFUNCTION("""COMPUTED_VALUE"""),"")</f>
        <v/>
      </c>
      <c r="I325" s="51" t="str">
        <f>IFERROR(__xludf.DUMMYFUNCTION("""COMPUTED_VALUE"""),"#VALUE!")</f>
        <v>#VALUE!</v>
      </c>
      <c r="J325" s="51" t="str">
        <f>IFERROR(__xludf.DUMMYFUNCTION("""COMPUTED_VALUE"""),"")</f>
        <v/>
      </c>
      <c r="K325" s="51"/>
      <c r="L325" s="51" t="s">
        <v>257</v>
      </c>
      <c r="M325" s="51"/>
      <c r="N325" s="51"/>
      <c r="O325" s="51"/>
      <c r="P325" s="51"/>
      <c r="Q325" s="51"/>
      <c r="R325" s="51"/>
      <c r="S325" s="51"/>
      <c r="T325" s="51"/>
    </row>
    <row r="326">
      <c r="A326" s="51"/>
      <c r="B326" s="51"/>
      <c r="C326" s="56"/>
      <c r="D326" s="51"/>
      <c r="E326" s="51"/>
      <c r="F326" s="51"/>
      <c r="G326" s="51" t="str">
        <f>IFERROR(__xludf.DUMMYFUNCTION("""COMPUTED_VALUE"""),"#VALUE!")</f>
        <v>#VALUE!</v>
      </c>
      <c r="H326" s="51" t="str">
        <f>IFERROR(__xludf.DUMMYFUNCTION("""COMPUTED_VALUE"""),"")</f>
        <v/>
      </c>
      <c r="I326" s="51" t="str">
        <f>IFERROR(__xludf.DUMMYFUNCTION("""COMPUTED_VALUE"""),"#VALUE!")</f>
        <v>#VALUE!</v>
      </c>
      <c r="J326" s="51" t="str">
        <f>IFERROR(__xludf.DUMMYFUNCTION("""COMPUTED_VALUE"""),"")</f>
        <v/>
      </c>
      <c r="K326" s="51"/>
      <c r="L326" s="51" t="s">
        <v>257</v>
      </c>
      <c r="M326" s="51"/>
      <c r="N326" s="51"/>
      <c r="O326" s="51"/>
      <c r="P326" s="51"/>
      <c r="Q326" s="51"/>
      <c r="R326" s="51"/>
      <c r="S326" s="51"/>
      <c r="T326" s="51"/>
    </row>
    <row r="327">
      <c r="A327" s="51"/>
      <c r="B327" s="51"/>
      <c r="C327" s="56"/>
      <c r="D327" s="51"/>
      <c r="E327" s="51"/>
      <c r="F327" s="51"/>
      <c r="G327" s="51" t="str">
        <f>IFERROR(__xludf.DUMMYFUNCTION("""COMPUTED_VALUE"""),"#VALUE!")</f>
        <v>#VALUE!</v>
      </c>
      <c r="H327" s="51" t="str">
        <f>IFERROR(__xludf.DUMMYFUNCTION("""COMPUTED_VALUE"""),"")</f>
        <v/>
      </c>
      <c r="I327" s="51" t="str">
        <f>IFERROR(__xludf.DUMMYFUNCTION("""COMPUTED_VALUE"""),"#VALUE!")</f>
        <v>#VALUE!</v>
      </c>
      <c r="J327" s="51" t="str">
        <f>IFERROR(__xludf.DUMMYFUNCTION("""COMPUTED_VALUE"""),"")</f>
        <v/>
      </c>
      <c r="K327" s="51"/>
      <c r="L327" s="51" t="s">
        <v>257</v>
      </c>
      <c r="M327" s="51"/>
      <c r="N327" s="51"/>
      <c r="O327" s="51"/>
      <c r="P327" s="51"/>
      <c r="Q327" s="51"/>
      <c r="R327" s="51"/>
      <c r="S327" s="51"/>
      <c r="T327" s="51"/>
    </row>
    <row r="328">
      <c r="A328" s="51"/>
      <c r="B328" s="51"/>
      <c r="C328" s="56"/>
      <c r="D328" s="51"/>
      <c r="E328" s="51"/>
      <c r="F328" s="51"/>
      <c r="G328" s="51" t="str">
        <f>IFERROR(__xludf.DUMMYFUNCTION("""COMPUTED_VALUE"""),"#VALUE!")</f>
        <v>#VALUE!</v>
      </c>
      <c r="H328" s="51" t="str">
        <f>IFERROR(__xludf.DUMMYFUNCTION("""COMPUTED_VALUE"""),"")</f>
        <v/>
      </c>
      <c r="I328" s="51" t="str">
        <f>IFERROR(__xludf.DUMMYFUNCTION("""COMPUTED_VALUE"""),"#VALUE!")</f>
        <v>#VALUE!</v>
      </c>
      <c r="J328" s="51" t="str">
        <f>IFERROR(__xludf.DUMMYFUNCTION("""COMPUTED_VALUE"""),"")</f>
        <v/>
      </c>
      <c r="K328" s="51"/>
      <c r="L328" s="51" t="s">
        <v>257</v>
      </c>
      <c r="M328" s="51"/>
      <c r="N328" s="51"/>
      <c r="O328" s="51"/>
      <c r="P328" s="51"/>
      <c r="Q328" s="51"/>
      <c r="R328" s="51"/>
      <c r="S328" s="51"/>
      <c r="T328" s="51"/>
    </row>
    <row r="329">
      <c r="A329" s="51"/>
      <c r="B329" s="51"/>
      <c r="C329" s="56"/>
      <c r="D329" s="51"/>
      <c r="E329" s="51"/>
      <c r="F329" s="51"/>
      <c r="G329" s="51" t="str">
        <f>IFERROR(__xludf.DUMMYFUNCTION("""COMPUTED_VALUE"""),"#VALUE!")</f>
        <v>#VALUE!</v>
      </c>
      <c r="H329" s="51" t="str">
        <f>IFERROR(__xludf.DUMMYFUNCTION("""COMPUTED_VALUE"""),"")</f>
        <v/>
      </c>
      <c r="I329" s="51" t="str">
        <f>IFERROR(__xludf.DUMMYFUNCTION("""COMPUTED_VALUE"""),"#VALUE!")</f>
        <v>#VALUE!</v>
      </c>
      <c r="J329" s="51" t="str">
        <f>IFERROR(__xludf.DUMMYFUNCTION("""COMPUTED_VALUE"""),"")</f>
        <v/>
      </c>
      <c r="K329" s="51"/>
      <c r="L329" s="51" t="s">
        <v>257</v>
      </c>
      <c r="M329" s="51"/>
      <c r="N329" s="51"/>
      <c r="O329" s="51"/>
      <c r="P329" s="51"/>
      <c r="Q329" s="51"/>
      <c r="R329" s="51"/>
      <c r="S329" s="51"/>
      <c r="T329" s="51"/>
    </row>
    <row r="330">
      <c r="A330" s="51"/>
      <c r="B330" s="51"/>
      <c r="C330" s="56"/>
      <c r="D330" s="51"/>
      <c r="E330" s="51"/>
      <c r="F330" s="51"/>
      <c r="G330" s="51" t="str">
        <f>IFERROR(__xludf.DUMMYFUNCTION("""COMPUTED_VALUE"""),"#VALUE!")</f>
        <v>#VALUE!</v>
      </c>
      <c r="H330" s="51" t="str">
        <f>IFERROR(__xludf.DUMMYFUNCTION("""COMPUTED_VALUE"""),"")</f>
        <v/>
      </c>
      <c r="I330" s="51" t="str">
        <f>IFERROR(__xludf.DUMMYFUNCTION("""COMPUTED_VALUE"""),"#VALUE!")</f>
        <v>#VALUE!</v>
      </c>
      <c r="J330" s="51" t="str">
        <f>IFERROR(__xludf.DUMMYFUNCTION("""COMPUTED_VALUE"""),"")</f>
        <v/>
      </c>
      <c r="K330" s="51"/>
      <c r="L330" s="51" t="s">
        <v>257</v>
      </c>
      <c r="M330" s="51"/>
      <c r="N330" s="51"/>
      <c r="O330" s="51"/>
      <c r="P330" s="51"/>
      <c r="Q330" s="51"/>
      <c r="R330" s="51"/>
      <c r="S330" s="51"/>
      <c r="T330" s="51"/>
    </row>
    <row r="331">
      <c r="A331" s="51"/>
      <c r="B331" s="51"/>
      <c r="C331" s="56"/>
      <c r="D331" s="51"/>
      <c r="E331" s="51"/>
      <c r="F331" s="51"/>
      <c r="G331" s="51" t="str">
        <f>IFERROR(__xludf.DUMMYFUNCTION("""COMPUTED_VALUE"""),"#VALUE!")</f>
        <v>#VALUE!</v>
      </c>
      <c r="H331" s="51" t="str">
        <f>IFERROR(__xludf.DUMMYFUNCTION("""COMPUTED_VALUE"""),"")</f>
        <v/>
      </c>
      <c r="I331" s="51" t="str">
        <f>IFERROR(__xludf.DUMMYFUNCTION("""COMPUTED_VALUE"""),"#VALUE!")</f>
        <v>#VALUE!</v>
      </c>
      <c r="J331" s="51" t="str">
        <f>IFERROR(__xludf.DUMMYFUNCTION("""COMPUTED_VALUE"""),"")</f>
        <v/>
      </c>
      <c r="K331" s="51"/>
      <c r="L331" s="51" t="s">
        <v>257</v>
      </c>
      <c r="M331" s="51"/>
      <c r="N331" s="51"/>
      <c r="O331" s="51"/>
      <c r="P331" s="51"/>
      <c r="Q331" s="51"/>
      <c r="R331" s="51"/>
      <c r="S331" s="51"/>
      <c r="T331" s="51"/>
    </row>
    <row r="332">
      <c r="A332" s="51"/>
      <c r="B332" s="51"/>
      <c r="C332" s="56"/>
      <c r="D332" s="51"/>
      <c r="E332" s="51"/>
      <c r="F332" s="51"/>
      <c r="G332" s="51" t="str">
        <f>IFERROR(__xludf.DUMMYFUNCTION("""COMPUTED_VALUE"""),"#VALUE!")</f>
        <v>#VALUE!</v>
      </c>
      <c r="H332" s="51" t="str">
        <f>IFERROR(__xludf.DUMMYFUNCTION("""COMPUTED_VALUE"""),"")</f>
        <v/>
      </c>
      <c r="I332" s="51" t="str">
        <f>IFERROR(__xludf.DUMMYFUNCTION("""COMPUTED_VALUE"""),"#VALUE!")</f>
        <v>#VALUE!</v>
      </c>
      <c r="J332" s="51" t="str">
        <f>IFERROR(__xludf.DUMMYFUNCTION("""COMPUTED_VALUE"""),"")</f>
        <v/>
      </c>
      <c r="K332" s="51"/>
      <c r="L332" s="51" t="s">
        <v>257</v>
      </c>
      <c r="M332" s="51"/>
      <c r="N332" s="51"/>
      <c r="O332" s="51"/>
      <c r="P332" s="51"/>
      <c r="Q332" s="51"/>
      <c r="R332" s="51"/>
      <c r="S332" s="51"/>
      <c r="T332" s="51"/>
    </row>
    <row r="333">
      <c r="A333" s="51"/>
      <c r="B333" s="51"/>
      <c r="C333" s="56"/>
      <c r="D333" s="51"/>
      <c r="E333" s="51"/>
      <c r="F333" s="51"/>
      <c r="G333" s="51" t="str">
        <f>IFERROR(__xludf.DUMMYFUNCTION("""COMPUTED_VALUE"""),"#VALUE!")</f>
        <v>#VALUE!</v>
      </c>
      <c r="H333" s="51" t="str">
        <f>IFERROR(__xludf.DUMMYFUNCTION("""COMPUTED_VALUE"""),"")</f>
        <v/>
      </c>
      <c r="I333" s="51" t="str">
        <f>IFERROR(__xludf.DUMMYFUNCTION("""COMPUTED_VALUE"""),"#VALUE!")</f>
        <v>#VALUE!</v>
      </c>
      <c r="J333" s="51" t="str">
        <f>IFERROR(__xludf.DUMMYFUNCTION("""COMPUTED_VALUE"""),"")</f>
        <v/>
      </c>
      <c r="K333" s="51"/>
      <c r="L333" s="51" t="s">
        <v>257</v>
      </c>
      <c r="M333" s="51"/>
      <c r="N333" s="51"/>
      <c r="O333" s="51"/>
      <c r="P333" s="51"/>
      <c r="Q333" s="51"/>
      <c r="R333" s="51"/>
      <c r="S333" s="51"/>
      <c r="T333" s="51"/>
    </row>
    <row r="334">
      <c r="A334" s="51"/>
      <c r="B334" s="51"/>
      <c r="C334" s="56"/>
      <c r="D334" s="51"/>
      <c r="E334" s="51"/>
      <c r="F334" s="51"/>
      <c r="G334" s="51" t="str">
        <f>IFERROR(__xludf.DUMMYFUNCTION("""COMPUTED_VALUE"""),"#VALUE!")</f>
        <v>#VALUE!</v>
      </c>
      <c r="H334" s="51" t="str">
        <f>IFERROR(__xludf.DUMMYFUNCTION("""COMPUTED_VALUE"""),"")</f>
        <v/>
      </c>
      <c r="I334" s="51" t="str">
        <f>IFERROR(__xludf.DUMMYFUNCTION("""COMPUTED_VALUE"""),"#VALUE!")</f>
        <v>#VALUE!</v>
      </c>
      <c r="J334" s="51" t="str">
        <f>IFERROR(__xludf.DUMMYFUNCTION("""COMPUTED_VALUE"""),"")</f>
        <v/>
      </c>
      <c r="K334" s="51"/>
      <c r="L334" s="51" t="s">
        <v>257</v>
      </c>
      <c r="M334" s="51"/>
      <c r="N334" s="51"/>
      <c r="O334" s="51"/>
      <c r="P334" s="51"/>
      <c r="Q334" s="51"/>
      <c r="R334" s="51"/>
      <c r="S334" s="51"/>
      <c r="T334" s="51"/>
    </row>
    <row r="335">
      <c r="A335" s="51"/>
      <c r="B335" s="51"/>
      <c r="C335" s="56"/>
      <c r="D335" s="51"/>
      <c r="E335" s="51"/>
      <c r="F335" s="51"/>
      <c r="G335" s="51" t="str">
        <f>IFERROR(__xludf.DUMMYFUNCTION("""COMPUTED_VALUE"""),"#VALUE!")</f>
        <v>#VALUE!</v>
      </c>
      <c r="H335" s="51" t="str">
        <f>IFERROR(__xludf.DUMMYFUNCTION("""COMPUTED_VALUE"""),"")</f>
        <v/>
      </c>
      <c r="I335" s="51" t="str">
        <f>IFERROR(__xludf.DUMMYFUNCTION("""COMPUTED_VALUE"""),"#VALUE!")</f>
        <v>#VALUE!</v>
      </c>
      <c r="J335" s="51" t="str">
        <f>IFERROR(__xludf.DUMMYFUNCTION("""COMPUTED_VALUE"""),"")</f>
        <v/>
      </c>
      <c r="K335" s="51"/>
      <c r="L335" s="51" t="s">
        <v>257</v>
      </c>
      <c r="M335" s="51"/>
      <c r="N335" s="51"/>
      <c r="O335" s="51"/>
      <c r="P335" s="51"/>
      <c r="Q335" s="51"/>
      <c r="R335" s="51"/>
      <c r="S335" s="51"/>
      <c r="T335" s="51"/>
    </row>
    <row r="336">
      <c r="A336" s="51"/>
      <c r="B336" s="51"/>
      <c r="C336" s="56"/>
      <c r="D336" s="51"/>
      <c r="E336" s="51"/>
      <c r="F336" s="51"/>
      <c r="G336" s="51" t="str">
        <f>IFERROR(__xludf.DUMMYFUNCTION("""COMPUTED_VALUE"""),"#VALUE!")</f>
        <v>#VALUE!</v>
      </c>
      <c r="H336" s="51" t="str">
        <f>IFERROR(__xludf.DUMMYFUNCTION("""COMPUTED_VALUE"""),"")</f>
        <v/>
      </c>
      <c r="I336" s="51" t="str">
        <f>IFERROR(__xludf.DUMMYFUNCTION("""COMPUTED_VALUE"""),"#VALUE!")</f>
        <v>#VALUE!</v>
      </c>
      <c r="J336" s="51" t="str">
        <f>IFERROR(__xludf.DUMMYFUNCTION("""COMPUTED_VALUE"""),"")</f>
        <v/>
      </c>
      <c r="K336" s="51"/>
      <c r="L336" s="51" t="s">
        <v>257</v>
      </c>
      <c r="M336" s="51"/>
      <c r="N336" s="51"/>
      <c r="O336" s="51"/>
      <c r="P336" s="51"/>
      <c r="Q336" s="51"/>
      <c r="R336" s="51"/>
      <c r="S336" s="51"/>
      <c r="T336" s="51"/>
    </row>
    <row r="337">
      <c r="A337" s="51"/>
      <c r="B337" s="51"/>
      <c r="C337" s="56"/>
      <c r="D337" s="51"/>
      <c r="E337" s="51"/>
      <c r="F337" s="51"/>
      <c r="G337" s="51" t="str">
        <f>IFERROR(__xludf.DUMMYFUNCTION("""COMPUTED_VALUE"""),"#VALUE!")</f>
        <v>#VALUE!</v>
      </c>
      <c r="H337" s="51" t="str">
        <f>IFERROR(__xludf.DUMMYFUNCTION("""COMPUTED_VALUE"""),"")</f>
        <v/>
      </c>
      <c r="I337" s="51" t="str">
        <f>IFERROR(__xludf.DUMMYFUNCTION("""COMPUTED_VALUE"""),"#VALUE!")</f>
        <v>#VALUE!</v>
      </c>
      <c r="J337" s="51" t="str">
        <f>IFERROR(__xludf.DUMMYFUNCTION("""COMPUTED_VALUE"""),"")</f>
        <v/>
      </c>
      <c r="K337" s="51"/>
      <c r="L337" s="51" t="s">
        <v>257</v>
      </c>
      <c r="M337" s="51"/>
      <c r="N337" s="51"/>
      <c r="O337" s="51"/>
      <c r="P337" s="51"/>
      <c r="Q337" s="51"/>
      <c r="R337" s="51"/>
      <c r="S337" s="51"/>
      <c r="T337" s="51"/>
    </row>
    <row r="338">
      <c r="A338" s="51"/>
      <c r="B338" s="51"/>
      <c r="C338" s="56"/>
      <c r="D338" s="51"/>
      <c r="E338" s="51"/>
      <c r="F338" s="51"/>
      <c r="G338" s="51" t="str">
        <f>IFERROR(__xludf.DUMMYFUNCTION("""COMPUTED_VALUE"""),"#VALUE!")</f>
        <v>#VALUE!</v>
      </c>
      <c r="H338" s="51" t="str">
        <f>IFERROR(__xludf.DUMMYFUNCTION("""COMPUTED_VALUE"""),"")</f>
        <v/>
      </c>
      <c r="I338" s="51" t="str">
        <f>IFERROR(__xludf.DUMMYFUNCTION("""COMPUTED_VALUE"""),"#VALUE!")</f>
        <v>#VALUE!</v>
      </c>
      <c r="J338" s="51" t="str">
        <f>IFERROR(__xludf.DUMMYFUNCTION("""COMPUTED_VALUE"""),"")</f>
        <v/>
      </c>
      <c r="K338" s="51"/>
      <c r="L338" s="51" t="s">
        <v>257</v>
      </c>
      <c r="M338" s="51"/>
      <c r="N338" s="51"/>
      <c r="O338" s="51"/>
      <c r="P338" s="51"/>
      <c r="Q338" s="51"/>
      <c r="R338" s="51"/>
      <c r="S338" s="51"/>
      <c r="T338" s="51"/>
    </row>
    <row r="339">
      <c r="A339" s="51"/>
      <c r="B339" s="51"/>
      <c r="C339" s="56"/>
      <c r="D339" s="51"/>
      <c r="E339" s="51"/>
      <c r="F339" s="51"/>
      <c r="G339" s="51" t="str">
        <f>IFERROR(__xludf.DUMMYFUNCTION("""COMPUTED_VALUE"""),"#VALUE!")</f>
        <v>#VALUE!</v>
      </c>
      <c r="H339" s="51" t="str">
        <f>IFERROR(__xludf.DUMMYFUNCTION("""COMPUTED_VALUE"""),"")</f>
        <v/>
      </c>
      <c r="I339" s="51" t="str">
        <f>IFERROR(__xludf.DUMMYFUNCTION("""COMPUTED_VALUE"""),"#VALUE!")</f>
        <v>#VALUE!</v>
      </c>
      <c r="J339" s="51" t="str">
        <f>IFERROR(__xludf.DUMMYFUNCTION("""COMPUTED_VALUE"""),"")</f>
        <v/>
      </c>
      <c r="K339" s="51"/>
      <c r="L339" s="51" t="s">
        <v>257</v>
      </c>
      <c r="M339" s="51"/>
      <c r="N339" s="51"/>
      <c r="O339" s="51"/>
      <c r="P339" s="51"/>
      <c r="Q339" s="51"/>
      <c r="R339" s="51"/>
      <c r="S339" s="51"/>
      <c r="T339" s="51"/>
    </row>
    <row r="340">
      <c r="A340" s="51"/>
      <c r="B340" s="51"/>
      <c r="C340" s="56"/>
      <c r="D340" s="51"/>
      <c r="E340" s="51"/>
      <c r="F340" s="51"/>
      <c r="G340" s="51" t="str">
        <f>IFERROR(__xludf.DUMMYFUNCTION("""COMPUTED_VALUE"""),"#VALUE!")</f>
        <v>#VALUE!</v>
      </c>
      <c r="H340" s="51" t="str">
        <f>IFERROR(__xludf.DUMMYFUNCTION("""COMPUTED_VALUE"""),"")</f>
        <v/>
      </c>
      <c r="I340" s="51" t="str">
        <f>IFERROR(__xludf.DUMMYFUNCTION("""COMPUTED_VALUE"""),"#VALUE!")</f>
        <v>#VALUE!</v>
      </c>
      <c r="J340" s="51" t="str">
        <f>IFERROR(__xludf.DUMMYFUNCTION("""COMPUTED_VALUE"""),"")</f>
        <v/>
      </c>
      <c r="K340" s="51"/>
      <c r="L340" s="51" t="s">
        <v>257</v>
      </c>
      <c r="M340" s="51"/>
      <c r="N340" s="51"/>
      <c r="O340" s="51"/>
      <c r="P340" s="51"/>
      <c r="Q340" s="51"/>
      <c r="R340" s="51"/>
      <c r="S340" s="51"/>
      <c r="T340" s="51"/>
    </row>
    <row r="341">
      <c r="A341" s="51"/>
      <c r="B341" s="51"/>
      <c r="C341" s="56"/>
      <c r="D341" s="51"/>
      <c r="E341" s="51"/>
      <c r="F341" s="51"/>
      <c r="G341" s="51" t="str">
        <f>IFERROR(__xludf.DUMMYFUNCTION("""COMPUTED_VALUE"""),"#VALUE!")</f>
        <v>#VALUE!</v>
      </c>
      <c r="H341" s="51" t="str">
        <f>IFERROR(__xludf.DUMMYFUNCTION("""COMPUTED_VALUE"""),"")</f>
        <v/>
      </c>
      <c r="I341" s="51" t="str">
        <f>IFERROR(__xludf.DUMMYFUNCTION("""COMPUTED_VALUE"""),"#VALUE!")</f>
        <v>#VALUE!</v>
      </c>
      <c r="J341" s="51" t="str">
        <f>IFERROR(__xludf.DUMMYFUNCTION("""COMPUTED_VALUE"""),"")</f>
        <v/>
      </c>
      <c r="K341" s="51"/>
      <c r="L341" s="51" t="s">
        <v>257</v>
      </c>
      <c r="M341" s="51"/>
      <c r="N341" s="51"/>
      <c r="O341" s="51"/>
      <c r="P341" s="51"/>
      <c r="Q341" s="51"/>
      <c r="R341" s="51"/>
      <c r="S341" s="51"/>
      <c r="T341" s="51"/>
    </row>
    <row r="342">
      <c r="A342" s="51"/>
      <c r="B342" s="51"/>
      <c r="C342" s="56"/>
      <c r="D342" s="51"/>
      <c r="E342" s="51"/>
      <c r="F342" s="51"/>
      <c r="G342" s="51" t="str">
        <f>IFERROR(__xludf.DUMMYFUNCTION("""COMPUTED_VALUE"""),"#VALUE!")</f>
        <v>#VALUE!</v>
      </c>
      <c r="H342" s="51" t="str">
        <f>IFERROR(__xludf.DUMMYFUNCTION("""COMPUTED_VALUE"""),"")</f>
        <v/>
      </c>
      <c r="I342" s="51" t="str">
        <f>IFERROR(__xludf.DUMMYFUNCTION("""COMPUTED_VALUE"""),"#VALUE!")</f>
        <v>#VALUE!</v>
      </c>
      <c r="J342" s="51" t="str">
        <f>IFERROR(__xludf.DUMMYFUNCTION("""COMPUTED_VALUE"""),"")</f>
        <v/>
      </c>
      <c r="K342" s="51"/>
      <c r="L342" s="51" t="s">
        <v>257</v>
      </c>
      <c r="M342" s="51"/>
      <c r="N342" s="51"/>
      <c r="O342" s="51"/>
      <c r="P342" s="51"/>
      <c r="Q342" s="51"/>
      <c r="R342" s="51"/>
      <c r="S342" s="51"/>
      <c r="T342" s="51"/>
    </row>
    <row r="343">
      <c r="A343" s="51"/>
      <c r="B343" s="51"/>
      <c r="C343" s="56"/>
      <c r="D343" s="51"/>
      <c r="E343" s="51"/>
      <c r="F343" s="51"/>
      <c r="G343" s="51" t="str">
        <f>IFERROR(__xludf.DUMMYFUNCTION("""COMPUTED_VALUE"""),"#VALUE!")</f>
        <v>#VALUE!</v>
      </c>
      <c r="H343" s="51" t="str">
        <f>IFERROR(__xludf.DUMMYFUNCTION("""COMPUTED_VALUE"""),"")</f>
        <v/>
      </c>
      <c r="I343" s="51" t="str">
        <f>IFERROR(__xludf.DUMMYFUNCTION("""COMPUTED_VALUE"""),"#VALUE!")</f>
        <v>#VALUE!</v>
      </c>
      <c r="J343" s="51" t="str">
        <f>IFERROR(__xludf.DUMMYFUNCTION("""COMPUTED_VALUE"""),"")</f>
        <v/>
      </c>
      <c r="K343" s="51"/>
      <c r="L343" s="51" t="s">
        <v>257</v>
      </c>
      <c r="M343" s="51"/>
      <c r="N343" s="51"/>
      <c r="O343" s="51"/>
      <c r="P343" s="51"/>
      <c r="Q343" s="51"/>
      <c r="R343" s="51"/>
      <c r="S343" s="51"/>
      <c r="T343" s="51"/>
    </row>
    <row r="344">
      <c r="A344" s="51"/>
      <c r="B344" s="51"/>
      <c r="C344" s="56"/>
      <c r="D344" s="51"/>
      <c r="E344" s="51"/>
      <c r="F344" s="51"/>
      <c r="G344" s="51" t="str">
        <f>IFERROR(__xludf.DUMMYFUNCTION("""COMPUTED_VALUE"""),"#VALUE!")</f>
        <v>#VALUE!</v>
      </c>
      <c r="H344" s="51" t="str">
        <f>IFERROR(__xludf.DUMMYFUNCTION("""COMPUTED_VALUE"""),"")</f>
        <v/>
      </c>
      <c r="I344" s="51" t="str">
        <f>IFERROR(__xludf.DUMMYFUNCTION("""COMPUTED_VALUE"""),"#VALUE!")</f>
        <v>#VALUE!</v>
      </c>
      <c r="J344" s="51" t="str">
        <f>IFERROR(__xludf.DUMMYFUNCTION("""COMPUTED_VALUE"""),"")</f>
        <v/>
      </c>
      <c r="K344" s="51"/>
      <c r="L344" s="51" t="s">
        <v>257</v>
      </c>
      <c r="M344" s="51"/>
      <c r="N344" s="51"/>
      <c r="O344" s="51"/>
      <c r="P344" s="51"/>
      <c r="Q344" s="51"/>
      <c r="R344" s="51"/>
      <c r="S344" s="51"/>
      <c r="T344" s="51"/>
    </row>
    <row r="345">
      <c r="A345" s="51"/>
      <c r="B345" s="51"/>
      <c r="C345" s="56"/>
      <c r="D345" s="51"/>
      <c r="E345" s="51"/>
      <c r="F345" s="51"/>
      <c r="G345" s="51" t="str">
        <f>IFERROR(__xludf.DUMMYFUNCTION("""COMPUTED_VALUE"""),"#VALUE!")</f>
        <v>#VALUE!</v>
      </c>
      <c r="H345" s="51" t="str">
        <f>IFERROR(__xludf.DUMMYFUNCTION("""COMPUTED_VALUE"""),"")</f>
        <v/>
      </c>
      <c r="I345" s="51" t="str">
        <f>IFERROR(__xludf.DUMMYFUNCTION("""COMPUTED_VALUE"""),"#VALUE!")</f>
        <v>#VALUE!</v>
      </c>
      <c r="J345" s="51" t="str">
        <f>IFERROR(__xludf.DUMMYFUNCTION("""COMPUTED_VALUE"""),"")</f>
        <v/>
      </c>
      <c r="K345" s="51"/>
      <c r="L345" s="51" t="s">
        <v>257</v>
      </c>
      <c r="M345" s="51"/>
      <c r="N345" s="51"/>
      <c r="O345" s="51"/>
      <c r="P345" s="51"/>
      <c r="Q345" s="51"/>
      <c r="R345" s="51"/>
      <c r="S345" s="51"/>
      <c r="T345" s="51"/>
    </row>
    <row r="346">
      <c r="A346" s="51"/>
      <c r="B346" s="51"/>
      <c r="C346" s="56"/>
      <c r="D346" s="51"/>
      <c r="E346" s="51"/>
      <c r="F346" s="51"/>
      <c r="G346" s="51" t="str">
        <f>IFERROR(__xludf.DUMMYFUNCTION("""COMPUTED_VALUE"""),"#VALUE!")</f>
        <v>#VALUE!</v>
      </c>
      <c r="H346" s="51" t="str">
        <f>IFERROR(__xludf.DUMMYFUNCTION("""COMPUTED_VALUE"""),"")</f>
        <v/>
      </c>
      <c r="I346" s="51" t="str">
        <f>IFERROR(__xludf.DUMMYFUNCTION("""COMPUTED_VALUE"""),"#VALUE!")</f>
        <v>#VALUE!</v>
      </c>
      <c r="J346" s="51" t="str">
        <f>IFERROR(__xludf.DUMMYFUNCTION("""COMPUTED_VALUE"""),"")</f>
        <v/>
      </c>
      <c r="K346" s="51"/>
      <c r="L346" s="51" t="s">
        <v>257</v>
      </c>
      <c r="M346" s="51"/>
      <c r="N346" s="51"/>
      <c r="O346" s="51"/>
      <c r="P346" s="51"/>
      <c r="Q346" s="51"/>
      <c r="R346" s="51"/>
      <c r="S346" s="51"/>
      <c r="T346" s="51"/>
    </row>
    <row r="347">
      <c r="A347" s="51"/>
      <c r="B347" s="51"/>
      <c r="C347" s="56"/>
      <c r="D347" s="51"/>
      <c r="E347" s="51"/>
      <c r="F347" s="51"/>
      <c r="G347" s="51" t="str">
        <f>IFERROR(__xludf.DUMMYFUNCTION("""COMPUTED_VALUE"""),"#VALUE!")</f>
        <v>#VALUE!</v>
      </c>
      <c r="H347" s="51" t="str">
        <f>IFERROR(__xludf.DUMMYFUNCTION("""COMPUTED_VALUE"""),"")</f>
        <v/>
      </c>
      <c r="I347" s="51" t="str">
        <f>IFERROR(__xludf.DUMMYFUNCTION("""COMPUTED_VALUE"""),"#VALUE!")</f>
        <v>#VALUE!</v>
      </c>
      <c r="J347" s="51" t="str">
        <f>IFERROR(__xludf.DUMMYFUNCTION("""COMPUTED_VALUE"""),"")</f>
        <v/>
      </c>
      <c r="K347" s="51"/>
      <c r="L347" s="51" t="s">
        <v>257</v>
      </c>
      <c r="M347" s="51"/>
      <c r="N347" s="51"/>
      <c r="O347" s="51"/>
      <c r="P347" s="51"/>
      <c r="Q347" s="51"/>
      <c r="R347" s="51"/>
      <c r="S347" s="51"/>
      <c r="T347" s="51"/>
    </row>
    <row r="348">
      <c r="A348" s="51"/>
      <c r="B348" s="51"/>
      <c r="C348" s="56"/>
      <c r="D348" s="51"/>
      <c r="E348" s="51"/>
      <c r="F348" s="51"/>
      <c r="G348" s="51" t="str">
        <f>IFERROR(__xludf.DUMMYFUNCTION("""COMPUTED_VALUE"""),"#VALUE!")</f>
        <v>#VALUE!</v>
      </c>
      <c r="H348" s="51" t="str">
        <f>IFERROR(__xludf.DUMMYFUNCTION("""COMPUTED_VALUE"""),"")</f>
        <v/>
      </c>
      <c r="I348" s="51" t="str">
        <f>IFERROR(__xludf.DUMMYFUNCTION("""COMPUTED_VALUE"""),"#VALUE!")</f>
        <v>#VALUE!</v>
      </c>
      <c r="J348" s="51" t="str">
        <f>IFERROR(__xludf.DUMMYFUNCTION("""COMPUTED_VALUE"""),"")</f>
        <v/>
      </c>
      <c r="K348" s="51"/>
      <c r="L348" s="51" t="s">
        <v>257</v>
      </c>
      <c r="M348" s="51"/>
      <c r="N348" s="51"/>
      <c r="O348" s="51"/>
      <c r="P348" s="51"/>
      <c r="Q348" s="51"/>
      <c r="R348" s="51"/>
      <c r="S348" s="51"/>
      <c r="T348" s="51"/>
    </row>
    <row r="349">
      <c r="A349" s="51"/>
      <c r="B349" s="51"/>
      <c r="C349" s="56"/>
      <c r="D349" s="51"/>
      <c r="E349" s="51"/>
      <c r="F349" s="51"/>
      <c r="G349" s="51" t="str">
        <f>IFERROR(__xludf.DUMMYFUNCTION("""COMPUTED_VALUE"""),"#VALUE!")</f>
        <v>#VALUE!</v>
      </c>
      <c r="H349" s="51" t="str">
        <f>IFERROR(__xludf.DUMMYFUNCTION("""COMPUTED_VALUE"""),"")</f>
        <v/>
      </c>
      <c r="I349" s="51" t="str">
        <f>IFERROR(__xludf.DUMMYFUNCTION("""COMPUTED_VALUE"""),"#VALUE!")</f>
        <v>#VALUE!</v>
      </c>
      <c r="J349" s="51" t="str">
        <f>IFERROR(__xludf.DUMMYFUNCTION("""COMPUTED_VALUE"""),"")</f>
        <v/>
      </c>
      <c r="K349" s="51"/>
      <c r="L349" s="51" t="s">
        <v>257</v>
      </c>
      <c r="M349" s="51"/>
      <c r="N349" s="51"/>
      <c r="O349" s="51"/>
      <c r="P349" s="51"/>
      <c r="Q349" s="51"/>
      <c r="R349" s="51"/>
      <c r="S349" s="51"/>
      <c r="T349" s="51"/>
    </row>
    <row r="350">
      <c r="A350" s="51"/>
      <c r="B350" s="51"/>
      <c r="C350" s="56"/>
      <c r="D350" s="51"/>
      <c r="E350" s="51"/>
      <c r="F350" s="51"/>
      <c r="G350" s="51" t="str">
        <f>IFERROR(__xludf.DUMMYFUNCTION("""COMPUTED_VALUE"""),"#VALUE!")</f>
        <v>#VALUE!</v>
      </c>
      <c r="H350" s="51" t="str">
        <f>IFERROR(__xludf.DUMMYFUNCTION("""COMPUTED_VALUE"""),"")</f>
        <v/>
      </c>
      <c r="I350" s="51" t="str">
        <f>IFERROR(__xludf.DUMMYFUNCTION("""COMPUTED_VALUE"""),"#VALUE!")</f>
        <v>#VALUE!</v>
      </c>
      <c r="J350" s="51" t="str">
        <f>IFERROR(__xludf.DUMMYFUNCTION("""COMPUTED_VALUE"""),"")</f>
        <v/>
      </c>
      <c r="K350" s="51"/>
      <c r="L350" s="51" t="s">
        <v>257</v>
      </c>
      <c r="M350" s="51"/>
      <c r="N350" s="51"/>
      <c r="O350" s="51"/>
      <c r="P350" s="51"/>
      <c r="Q350" s="51"/>
      <c r="R350" s="51"/>
      <c r="S350" s="51"/>
      <c r="T350" s="51"/>
    </row>
    <row r="351">
      <c r="A351" s="51"/>
      <c r="B351" s="51"/>
      <c r="C351" s="56"/>
      <c r="D351" s="51"/>
      <c r="E351" s="51"/>
      <c r="F351" s="51"/>
      <c r="G351" s="51" t="str">
        <f>IFERROR(__xludf.DUMMYFUNCTION("""COMPUTED_VALUE"""),"#VALUE!")</f>
        <v>#VALUE!</v>
      </c>
      <c r="H351" s="51" t="str">
        <f>IFERROR(__xludf.DUMMYFUNCTION("""COMPUTED_VALUE"""),"")</f>
        <v/>
      </c>
      <c r="I351" s="51" t="str">
        <f>IFERROR(__xludf.DUMMYFUNCTION("""COMPUTED_VALUE"""),"#VALUE!")</f>
        <v>#VALUE!</v>
      </c>
      <c r="J351" s="51" t="str">
        <f>IFERROR(__xludf.DUMMYFUNCTION("""COMPUTED_VALUE"""),"")</f>
        <v/>
      </c>
      <c r="K351" s="51"/>
      <c r="L351" s="51" t="s">
        <v>257</v>
      </c>
      <c r="M351" s="51"/>
      <c r="N351" s="51"/>
      <c r="O351" s="51"/>
      <c r="P351" s="51"/>
      <c r="Q351" s="51"/>
      <c r="R351" s="51"/>
      <c r="S351" s="51"/>
      <c r="T351" s="51"/>
    </row>
    <row r="352">
      <c r="A352" s="51"/>
      <c r="B352" s="51"/>
      <c r="C352" s="56"/>
      <c r="D352" s="51"/>
      <c r="E352" s="51"/>
      <c r="F352" s="51"/>
      <c r="G352" s="51" t="str">
        <f>IFERROR(__xludf.DUMMYFUNCTION("""COMPUTED_VALUE"""),"#VALUE!")</f>
        <v>#VALUE!</v>
      </c>
      <c r="H352" s="51" t="str">
        <f>IFERROR(__xludf.DUMMYFUNCTION("""COMPUTED_VALUE"""),"")</f>
        <v/>
      </c>
      <c r="I352" s="51" t="str">
        <f>IFERROR(__xludf.DUMMYFUNCTION("""COMPUTED_VALUE"""),"#VALUE!")</f>
        <v>#VALUE!</v>
      </c>
      <c r="J352" s="51" t="str">
        <f>IFERROR(__xludf.DUMMYFUNCTION("""COMPUTED_VALUE"""),"")</f>
        <v/>
      </c>
      <c r="K352" s="51"/>
      <c r="L352" s="51" t="s">
        <v>257</v>
      </c>
      <c r="M352" s="51"/>
      <c r="N352" s="51"/>
      <c r="O352" s="51"/>
      <c r="P352" s="51"/>
      <c r="Q352" s="51"/>
      <c r="R352" s="51"/>
      <c r="S352" s="51"/>
      <c r="T352" s="51"/>
    </row>
    <row r="353">
      <c r="A353" s="51"/>
      <c r="B353" s="51"/>
      <c r="C353" s="56"/>
      <c r="D353" s="51"/>
      <c r="E353" s="51"/>
      <c r="F353" s="51"/>
      <c r="G353" s="51" t="str">
        <f>IFERROR(__xludf.DUMMYFUNCTION("""COMPUTED_VALUE"""),"#VALUE!")</f>
        <v>#VALUE!</v>
      </c>
      <c r="H353" s="51" t="str">
        <f>IFERROR(__xludf.DUMMYFUNCTION("""COMPUTED_VALUE"""),"")</f>
        <v/>
      </c>
      <c r="I353" s="51" t="str">
        <f>IFERROR(__xludf.DUMMYFUNCTION("""COMPUTED_VALUE"""),"#VALUE!")</f>
        <v>#VALUE!</v>
      </c>
      <c r="J353" s="51" t="str">
        <f>IFERROR(__xludf.DUMMYFUNCTION("""COMPUTED_VALUE"""),"")</f>
        <v/>
      </c>
      <c r="K353" s="51"/>
      <c r="L353" s="51" t="s">
        <v>257</v>
      </c>
      <c r="M353" s="51"/>
      <c r="N353" s="51"/>
      <c r="O353" s="51"/>
      <c r="P353" s="51"/>
      <c r="Q353" s="51"/>
      <c r="R353" s="51"/>
      <c r="S353" s="51"/>
      <c r="T353" s="51"/>
    </row>
    <row r="354">
      <c r="A354" s="51"/>
      <c r="B354" s="51"/>
      <c r="C354" s="56"/>
      <c r="D354" s="51"/>
      <c r="E354" s="51"/>
      <c r="F354" s="51"/>
      <c r="G354" s="51" t="str">
        <f>IFERROR(__xludf.DUMMYFUNCTION("""COMPUTED_VALUE"""),"#VALUE!")</f>
        <v>#VALUE!</v>
      </c>
      <c r="H354" s="51" t="str">
        <f>IFERROR(__xludf.DUMMYFUNCTION("""COMPUTED_VALUE"""),"")</f>
        <v/>
      </c>
      <c r="I354" s="51" t="str">
        <f>IFERROR(__xludf.DUMMYFUNCTION("""COMPUTED_VALUE"""),"#VALUE!")</f>
        <v>#VALUE!</v>
      </c>
      <c r="J354" s="51" t="str">
        <f>IFERROR(__xludf.DUMMYFUNCTION("""COMPUTED_VALUE"""),"")</f>
        <v/>
      </c>
      <c r="K354" s="51"/>
      <c r="L354" s="51" t="s">
        <v>257</v>
      </c>
      <c r="M354" s="51"/>
      <c r="N354" s="51"/>
      <c r="O354" s="51"/>
      <c r="P354" s="51"/>
      <c r="Q354" s="51"/>
      <c r="R354" s="51"/>
      <c r="S354" s="51"/>
      <c r="T354" s="51"/>
    </row>
    <row r="355">
      <c r="A355" s="51"/>
      <c r="B355" s="51"/>
      <c r="C355" s="56"/>
      <c r="D355" s="51"/>
      <c r="E355" s="51"/>
      <c r="F355" s="51"/>
      <c r="G355" s="51" t="str">
        <f>IFERROR(__xludf.DUMMYFUNCTION("""COMPUTED_VALUE"""),"#VALUE!")</f>
        <v>#VALUE!</v>
      </c>
      <c r="H355" s="51" t="str">
        <f>IFERROR(__xludf.DUMMYFUNCTION("""COMPUTED_VALUE"""),"")</f>
        <v/>
      </c>
      <c r="I355" s="51" t="str">
        <f>IFERROR(__xludf.DUMMYFUNCTION("""COMPUTED_VALUE"""),"#VALUE!")</f>
        <v>#VALUE!</v>
      </c>
      <c r="J355" s="51" t="str">
        <f>IFERROR(__xludf.DUMMYFUNCTION("""COMPUTED_VALUE"""),"")</f>
        <v/>
      </c>
      <c r="K355" s="51"/>
      <c r="L355" s="51" t="s">
        <v>257</v>
      </c>
      <c r="M355" s="51"/>
      <c r="N355" s="51"/>
      <c r="O355" s="51"/>
      <c r="P355" s="51"/>
      <c r="Q355" s="51"/>
      <c r="R355" s="51"/>
      <c r="S355" s="51"/>
      <c r="T355" s="51"/>
    </row>
    <row r="356">
      <c r="A356" s="51"/>
      <c r="B356" s="51"/>
      <c r="C356" s="56"/>
      <c r="D356" s="51"/>
      <c r="E356" s="51"/>
      <c r="F356" s="51"/>
      <c r="G356" s="51" t="str">
        <f>IFERROR(__xludf.DUMMYFUNCTION("""COMPUTED_VALUE"""),"#VALUE!")</f>
        <v>#VALUE!</v>
      </c>
      <c r="H356" s="51" t="str">
        <f>IFERROR(__xludf.DUMMYFUNCTION("""COMPUTED_VALUE"""),"")</f>
        <v/>
      </c>
      <c r="I356" s="51" t="str">
        <f>IFERROR(__xludf.DUMMYFUNCTION("""COMPUTED_VALUE"""),"#VALUE!")</f>
        <v>#VALUE!</v>
      </c>
      <c r="J356" s="51" t="str">
        <f>IFERROR(__xludf.DUMMYFUNCTION("""COMPUTED_VALUE"""),"")</f>
        <v/>
      </c>
      <c r="K356" s="51"/>
      <c r="L356" s="51" t="s">
        <v>257</v>
      </c>
      <c r="M356" s="51"/>
      <c r="N356" s="51"/>
      <c r="O356" s="51"/>
      <c r="P356" s="51"/>
      <c r="Q356" s="51"/>
      <c r="R356" s="51"/>
      <c r="S356" s="51"/>
      <c r="T356" s="51"/>
    </row>
    <row r="357">
      <c r="A357" s="51"/>
      <c r="B357" s="51"/>
      <c r="C357" s="56"/>
      <c r="D357" s="51"/>
      <c r="E357" s="51"/>
      <c r="F357" s="51"/>
      <c r="G357" s="51" t="str">
        <f>IFERROR(__xludf.DUMMYFUNCTION("""COMPUTED_VALUE"""),"#VALUE!")</f>
        <v>#VALUE!</v>
      </c>
      <c r="H357" s="51" t="str">
        <f>IFERROR(__xludf.DUMMYFUNCTION("""COMPUTED_VALUE"""),"")</f>
        <v/>
      </c>
      <c r="I357" s="51" t="str">
        <f>IFERROR(__xludf.DUMMYFUNCTION("""COMPUTED_VALUE"""),"#VALUE!")</f>
        <v>#VALUE!</v>
      </c>
      <c r="J357" s="51" t="str">
        <f>IFERROR(__xludf.DUMMYFUNCTION("""COMPUTED_VALUE"""),"")</f>
        <v/>
      </c>
      <c r="K357" s="51"/>
      <c r="L357" s="51" t="s">
        <v>257</v>
      </c>
      <c r="M357" s="51"/>
      <c r="N357" s="51"/>
      <c r="O357" s="51"/>
      <c r="P357" s="51"/>
      <c r="Q357" s="51"/>
      <c r="R357" s="51"/>
      <c r="S357" s="51"/>
      <c r="T357" s="51"/>
    </row>
    <row r="358">
      <c r="A358" s="51"/>
      <c r="B358" s="51"/>
      <c r="C358" s="56"/>
      <c r="D358" s="51"/>
      <c r="E358" s="51"/>
      <c r="F358" s="51"/>
      <c r="G358" s="51" t="str">
        <f>IFERROR(__xludf.DUMMYFUNCTION("""COMPUTED_VALUE"""),"#VALUE!")</f>
        <v>#VALUE!</v>
      </c>
      <c r="H358" s="51" t="str">
        <f>IFERROR(__xludf.DUMMYFUNCTION("""COMPUTED_VALUE"""),"")</f>
        <v/>
      </c>
      <c r="I358" s="51" t="str">
        <f>IFERROR(__xludf.DUMMYFUNCTION("""COMPUTED_VALUE"""),"#VALUE!")</f>
        <v>#VALUE!</v>
      </c>
      <c r="J358" s="51" t="str">
        <f>IFERROR(__xludf.DUMMYFUNCTION("""COMPUTED_VALUE"""),"")</f>
        <v/>
      </c>
      <c r="K358" s="51"/>
      <c r="L358" s="51" t="s">
        <v>257</v>
      </c>
      <c r="M358" s="51"/>
      <c r="N358" s="51"/>
      <c r="O358" s="51"/>
      <c r="P358" s="51"/>
      <c r="Q358" s="51"/>
      <c r="R358" s="51"/>
      <c r="S358" s="51"/>
      <c r="T358" s="51"/>
    </row>
    <row r="359">
      <c r="A359" s="51"/>
      <c r="B359" s="51"/>
      <c r="C359" s="56"/>
      <c r="D359" s="51"/>
      <c r="E359" s="51"/>
      <c r="F359" s="51"/>
      <c r="G359" s="51" t="str">
        <f>IFERROR(__xludf.DUMMYFUNCTION("""COMPUTED_VALUE"""),"#VALUE!")</f>
        <v>#VALUE!</v>
      </c>
      <c r="H359" s="51" t="str">
        <f>IFERROR(__xludf.DUMMYFUNCTION("""COMPUTED_VALUE"""),"")</f>
        <v/>
      </c>
      <c r="I359" s="51" t="str">
        <f>IFERROR(__xludf.DUMMYFUNCTION("""COMPUTED_VALUE"""),"#VALUE!")</f>
        <v>#VALUE!</v>
      </c>
      <c r="J359" s="51" t="str">
        <f>IFERROR(__xludf.DUMMYFUNCTION("""COMPUTED_VALUE"""),"")</f>
        <v/>
      </c>
      <c r="K359" s="51"/>
      <c r="L359" s="51" t="s">
        <v>257</v>
      </c>
      <c r="M359" s="51"/>
      <c r="N359" s="51"/>
      <c r="O359" s="51"/>
      <c r="P359" s="51"/>
      <c r="Q359" s="51"/>
      <c r="R359" s="51"/>
      <c r="S359" s="51"/>
      <c r="T359" s="51"/>
    </row>
    <row r="360">
      <c r="A360" s="51"/>
      <c r="B360" s="51"/>
      <c r="C360" s="56"/>
      <c r="D360" s="51"/>
      <c r="E360" s="51"/>
      <c r="F360" s="51"/>
      <c r="G360" s="51" t="str">
        <f>IFERROR(__xludf.DUMMYFUNCTION("""COMPUTED_VALUE"""),"#VALUE!")</f>
        <v>#VALUE!</v>
      </c>
      <c r="H360" s="51" t="str">
        <f>IFERROR(__xludf.DUMMYFUNCTION("""COMPUTED_VALUE"""),"")</f>
        <v/>
      </c>
      <c r="I360" s="51" t="str">
        <f>IFERROR(__xludf.DUMMYFUNCTION("""COMPUTED_VALUE"""),"#VALUE!")</f>
        <v>#VALUE!</v>
      </c>
      <c r="J360" s="51" t="str">
        <f>IFERROR(__xludf.DUMMYFUNCTION("""COMPUTED_VALUE"""),"")</f>
        <v/>
      </c>
      <c r="K360" s="51"/>
      <c r="L360" s="51" t="s">
        <v>257</v>
      </c>
      <c r="M360" s="51"/>
      <c r="N360" s="51"/>
      <c r="O360" s="51"/>
      <c r="P360" s="51"/>
      <c r="Q360" s="51"/>
      <c r="R360" s="51"/>
      <c r="S360" s="51"/>
      <c r="T360" s="51"/>
    </row>
    <row r="361">
      <c r="A361" s="51"/>
      <c r="B361" s="51"/>
      <c r="C361" s="56"/>
      <c r="D361" s="51"/>
      <c r="E361" s="51"/>
      <c r="F361" s="51"/>
      <c r="G361" s="51" t="str">
        <f>IFERROR(__xludf.DUMMYFUNCTION("""COMPUTED_VALUE"""),"#VALUE!")</f>
        <v>#VALUE!</v>
      </c>
      <c r="H361" s="51" t="str">
        <f>IFERROR(__xludf.DUMMYFUNCTION("""COMPUTED_VALUE"""),"")</f>
        <v/>
      </c>
      <c r="I361" s="51" t="str">
        <f>IFERROR(__xludf.DUMMYFUNCTION("""COMPUTED_VALUE"""),"#VALUE!")</f>
        <v>#VALUE!</v>
      </c>
      <c r="J361" s="51" t="str">
        <f>IFERROR(__xludf.DUMMYFUNCTION("""COMPUTED_VALUE"""),"")</f>
        <v/>
      </c>
      <c r="K361" s="51"/>
      <c r="L361" s="51" t="s">
        <v>257</v>
      </c>
      <c r="M361" s="51"/>
      <c r="N361" s="51"/>
      <c r="O361" s="51"/>
      <c r="P361" s="51"/>
      <c r="Q361" s="51"/>
      <c r="R361" s="51"/>
      <c r="S361" s="51"/>
      <c r="T361" s="51"/>
    </row>
    <row r="362">
      <c r="A362" s="51"/>
      <c r="B362" s="51"/>
      <c r="C362" s="56"/>
      <c r="D362" s="51"/>
      <c r="E362" s="51"/>
      <c r="F362" s="51"/>
      <c r="G362" s="51" t="str">
        <f>IFERROR(__xludf.DUMMYFUNCTION("""COMPUTED_VALUE"""),"#VALUE!")</f>
        <v>#VALUE!</v>
      </c>
      <c r="H362" s="51" t="str">
        <f>IFERROR(__xludf.DUMMYFUNCTION("""COMPUTED_VALUE"""),"")</f>
        <v/>
      </c>
      <c r="I362" s="51" t="str">
        <f>IFERROR(__xludf.DUMMYFUNCTION("""COMPUTED_VALUE"""),"#VALUE!")</f>
        <v>#VALUE!</v>
      </c>
      <c r="J362" s="51" t="str">
        <f>IFERROR(__xludf.DUMMYFUNCTION("""COMPUTED_VALUE"""),"")</f>
        <v/>
      </c>
      <c r="K362" s="51"/>
      <c r="L362" s="51" t="s">
        <v>257</v>
      </c>
      <c r="M362" s="51"/>
      <c r="N362" s="51"/>
      <c r="O362" s="51"/>
      <c r="P362" s="51"/>
      <c r="Q362" s="51"/>
      <c r="R362" s="51"/>
      <c r="S362" s="51"/>
      <c r="T362" s="51"/>
    </row>
    <row r="363">
      <c r="A363" s="51"/>
      <c r="B363" s="51"/>
      <c r="C363" s="56"/>
      <c r="D363" s="51"/>
      <c r="E363" s="51"/>
      <c r="F363" s="51"/>
      <c r="G363" s="51" t="str">
        <f>IFERROR(__xludf.DUMMYFUNCTION("""COMPUTED_VALUE"""),"#VALUE!")</f>
        <v>#VALUE!</v>
      </c>
      <c r="H363" s="51" t="str">
        <f>IFERROR(__xludf.DUMMYFUNCTION("""COMPUTED_VALUE"""),"")</f>
        <v/>
      </c>
      <c r="I363" s="51" t="str">
        <f>IFERROR(__xludf.DUMMYFUNCTION("""COMPUTED_VALUE"""),"#VALUE!")</f>
        <v>#VALUE!</v>
      </c>
      <c r="J363" s="51" t="str">
        <f>IFERROR(__xludf.DUMMYFUNCTION("""COMPUTED_VALUE"""),"")</f>
        <v/>
      </c>
      <c r="K363" s="51"/>
      <c r="L363" s="51" t="s">
        <v>257</v>
      </c>
      <c r="M363" s="51"/>
      <c r="N363" s="51"/>
      <c r="O363" s="51"/>
      <c r="P363" s="51"/>
      <c r="Q363" s="51"/>
      <c r="R363" s="51"/>
      <c r="S363" s="51"/>
      <c r="T363" s="51"/>
    </row>
    <row r="364">
      <c r="A364" s="51"/>
      <c r="B364" s="51"/>
      <c r="C364" s="56"/>
      <c r="D364" s="51"/>
      <c r="E364" s="51"/>
      <c r="F364" s="51"/>
      <c r="G364" s="51" t="str">
        <f>IFERROR(__xludf.DUMMYFUNCTION("""COMPUTED_VALUE"""),"#VALUE!")</f>
        <v>#VALUE!</v>
      </c>
      <c r="H364" s="51" t="str">
        <f>IFERROR(__xludf.DUMMYFUNCTION("""COMPUTED_VALUE"""),"")</f>
        <v/>
      </c>
      <c r="I364" s="51" t="str">
        <f>IFERROR(__xludf.DUMMYFUNCTION("""COMPUTED_VALUE"""),"#VALUE!")</f>
        <v>#VALUE!</v>
      </c>
      <c r="J364" s="51" t="str">
        <f>IFERROR(__xludf.DUMMYFUNCTION("""COMPUTED_VALUE"""),"")</f>
        <v/>
      </c>
      <c r="K364" s="51"/>
      <c r="L364" s="51" t="s">
        <v>257</v>
      </c>
      <c r="M364" s="51"/>
      <c r="N364" s="51"/>
      <c r="O364" s="51"/>
      <c r="P364" s="51"/>
      <c r="Q364" s="51"/>
      <c r="R364" s="51"/>
      <c r="S364" s="51"/>
      <c r="T364" s="51"/>
    </row>
    <row r="365">
      <c r="A365" s="51"/>
      <c r="B365" s="51"/>
      <c r="C365" s="56"/>
      <c r="D365" s="51"/>
      <c r="E365" s="51"/>
      <c r="F365" s="51"/>
      <c r="G365" s="51" t="str">
        <f>IFERROR(__xludf.DUMMYFUNCTION("""COMPUTED_VALUE"""),"#VALUE!")</f>
        <v>#VALUE!</v>
      </c>
      <c r="H365" s="51" t="str">
        <f>IFERROR(__xludf.DUMMYFUNCTION("""COMPUTED_VALUE"""),"")</f>
        <v/>
      </c>
      <c r="I365" s="51" t="str">
        <f>IFERROR(__xludf.DUMMYFUNCTION("""COMPUTED_VALUE"""),"#VALUE!")</f>
        <v>#VALUE!</v>
      </c>
      <c r="J365" s="51" t="str">
        <f>IFERROR(__xludf.DUMMYFUNCTION("""COMPUTED_VALUE"""),"")</f>
        <v/>
      </c>
      <c r="K365" s="51"/>
      <c r="L365" s="51" t="s">
        <v>257</v>
      </c>
      <c r="M365" s="51"/>
      <c r="N365" s="51"/>
      <c r="O365" s="51"/>
      <c r="P365" s="51"/>
      <c r="Q365" s="51"/>
      <c r="R365" s="51"/>
      <c r="S365" s="51"/>
      <c r="T365" s="51"/>
    </row>
    <row r="366">
      <c r="A366" s="51"/>
      <c r="B366" s="51"/>
      <c r="C366" s="56"/>
      <c r="D366" s="51"/>
      <c r="E366" s="51"/>
      <c r="F366" s="51"/>
      <c r="G366" s="51" t="str">
        <f>IFERROR(__xludf.DUMMYFUNCTION("""COMPUTED_VALUE"""),"#VALUE!")</f>
        <v>#VALUE!</v>
      </c>
      <c r="H366" s="51" t="str">
        <f>IFERROR(__xludf.DUMMYFUNCTION("""COMPUTED_VALUE"""),"")</f>
        <v/>
      </c>
      <c r="I366" s="51" t="str">
        <f>IFERROR(__xludf.DUMMYFUNCTION("""COMPUTED_VALUE"""),"#VALUE!")</f>
        <v>#VALUE!</v>
      </c>
      <c r="J366" s="51" t="str">
        <f>IFERROR(__xludf.DUMMYFUNCTION("""COMPUTED_VALUE"""),"")</f>
        <v/>
      </c>
      <c r="K366" s="51"/>
      <c r="L366" s="51" t="s">
        <v>257</v>
      </c>
      <c r="M366" s="51"/>
      <c r="N366" s="51"/>
      <c r="O366" s="51"/>
      <c r="P366" s="51"/>
      <c r="Q366" s="51"/>
      <c r="R366" s="51"/>
      <c r="S366" s="51"/>
      <c r="T366" s="51"/>
    </row>
    <row r="367">
      <c r="A367" s="51"/>
      <c r="B367" s="51"/>
      <c r="C367" s="56"/>
      <c r="D367" s="51"/>
      <c r="E367" s="51"/>
      <c r="F367" s="51"/>
      <c r="G367" s="51" t="str">
        <f>IFERROR(__xludf.DUMMYFUNCTION("""COMPUTED_VALUE"""),"#VALUE!")</f>
        <v>#VALUE!</v>
      </c>
      <c r="H367" s="51" t="str">
        <f>IFERROR(__xludf.DUMMYFUNCTION("""COMPUTED_VALUE"""),"")</f>
        <v/>
      </c>
      <c r="I367" s="51" t="str">
        <f>IFERROR(__xludf.DUMMYFUNCTION("""COMPUTED_VALUE"""),"#VALUE!")</f>
        <v>#VALUE!</v>
      </c>
      <c r="J367" s="51" t="str">
        <f>IFERROR(__xludf.DUMMYFUNCTION("""COMPUTED_VALUE"""),"")</f>
        <v/>
      </c>
      <c r="K367" s="51"/>
      <c r="L367" s="51" t="s">
        <v>257</v>
      </c>
      <c r="M367" s="51"/>
      <c r="N367" s="51"/>
      <c r="O367" s="51"/>
      <c r="P367" s="51"/>
      <c r="Q367" s="51"/>
      <c r="R367" s="51"/>
      <c r="S367" s="51"/>
      <c r="T367" s="51"/>
    </row>
    <row r="368">
      <c r="A368" s="51"/>
      <c r="B368" s="51"/>
      <c r="C368" s="56"/>
      <c r="D368" s="51"/>
      <c r="E368" s="51"/>
      <c r="F368" s="51"/>
      <c r="G368" s="51" t="str">
        <f>IFERROR(__xludf.DUMMYFUNCTION("""COMPUTED_VALUE"""),"#VALUE!")</f>
        <v>#VALUE!</v>
      </c>
      <c r="H368" s="51" t="str">
        <f>IFERROR(__xludf.DUMMYFUNCTION("""COMPUTED_VALUE"""),"")</f>
        <v/>
      </c>
      <c r="I368" s="51" t="str">
        <f>IFERROR(__xludf.DUMMYFUNCTION("""COMPUTED_VALUE"""),"#VALUE!")</f>
        <v>#VALUE!</v>
      </c>
      <c r="J368" s="51" t="str">
        <f>IFERROR(__xludf.DUMMYFUNCTION("""COMPUTED_VALUE"""),"")</f>
        <v/>
      </c>
      <c r="K368" s="51"/>
      <c r="L368" s="51" t="s">
        <v>257</v>
      </c>
      <c r="M368" s="51"/>
      <c r="N368" s="51"/>
      <c r="O368" s="51"/>
      <c r="P368" s="51"/>
      <c r="Q368" s="51"/>
      <c r="R368" s="51"/>
      <c r="S368" s="51"/>
      <c r="T368" s="51"/>
    </row>
    <row r="369">
      <c r="A369" s="51"/>
      <c r="B369" s="51"/>
      <c r="C369" s="56"/>
      <c r="D369" s="51"/>
      <c r="E369" s="51"/>
      <c r="F369" s="51"/>
      <c r="G369" s="51" t="str">
        <f>IFERROR(__xludf.DUMMYFUNCTION("""COMPUTED_VALUE"""),"#VALUE!")</f>
        <v>#VALUE!</v>
      </c>
      <c r="H369" s="51" t="str">
        <f>IFERROR(__xludf.DUMMYFUNCTION("""COMPUTED_VALUE"""),"")</f>
        <v/>
      </c>
      <c r="I369" s="51" t="str">
        <f>IFERROR(__xludf.DUMMYFUNCTION("""COMPUTED_VALUE"""),"#VALUE!")</f>
        <v>#VALUE!</v>
      </c>
      <c r="J369" s="51" t="str">
        <f>IFERROR(__xludf.DUMMYFUNCTION("""COMPUTED_VALUE"""),"")</f>
        <v/>
      </c>
      <c r="K369" s="51"/>
      <c r="L369" s="51" t="s">
        <v>257</v>
      </c>
      <c r="M369" s="51"/>
      <c r="N369" s="51"/>
      <c r="O369" s="51"/>
      <c r="P369" s="51"/>
      <c r="Q369" s="51"/>
      <c r="R369" s="51"/>
      <c r="S369" s="51"/>
      <c r="T369" s="51"/>
    </row>
    <row r="370">
      <c r="A370" s="51"/>
      <c r="B370" s="51"/>
      <c r="C370" s="56"/>
      <c r="D370" s="51"/>
      <c r="E370" s="51"/>
      <c r="F370" s="51"/>
      <c r="G370" s="51" t="str">
        <f>IFERROR(__xludf.DUMMYFUNCTION("""COMPUTED_VALUE"""),"#VALUE!")</f>
        <v>#VALUE!</v>
      </c>
      <c r="H370" s="51" t="str">
        <f>IFERROR(__xludf.DUMMYFUNCTION("""COMPUTED_VALUE"""),"")</f>
        <v/>
      </c>
      <c r="I370" s="51" t="str">
        <f>IFERROR(__xludf.DUMMYFUNCTION("""COMPUTED_VALUE"""),"#VALUE!")</f>
        <v>#VALUE!</v>
      </c>
      <c r="J370" s="51" t="str">
        <f>IFERROR(__xludf.DUMMYFUNCTION("""COMPUTED_VALUE"""),"")</f>
        <v/>
      </c>
      <c r="K370" s="51"/>
      <c r="L370" s="51" t="s">
        <v>257</v>
      </c>
      <c r="M370" s="51"/>
      <c r="N370" s="51"/>
      <c r="O370" s="51"/>
      <c r="P370" s="51"/>
      <c r="Q370" s="51"/>
      <c r="R370" s="51"/>
      <c r="S370" s="51"/>
      <c r="T370" s="51"/>
    </row>
    <row r="371">
      <c r="A371" s="51"/>
      <c r="B371" s="51"/>
      <c r="C371" s="56"/>
      <c r="D371" s="51"/>
      <c r="E371" s="51"/>
      <c r="F371" s="51"/>
      <c r="G371" s="51" t="str">
        <f>IFERROR(__xludf.DUMMYFUNCTION("""COMPUTED_VALUE"""),"#VALUE!")</f>
        <v>#VALUE!</v>
      </c>
      <c r="H371" s="51" t="str">
        <f>IFERROR(__xludf.DUMMYFUNCTION("""COMPUTED_VALUE"""),"")</f>
        <v/>
      </c>
      <c r="I371" s="51" t="str">
        <f>IFERROR(__xludf.DUMMYFUNCTION("""COMPUTED_VALUE"""),"#VALUE!")</f>
        <v>#VALUE!</v>
      </c>
      <c r="J371" s="51" t="str">
        <f>IFERROR(__xludf.DUMMYFUNCTION("""COMPUTED_VALUE"""),"")</f>
        <v/>
      </c>
      <c r="K371" s="51"/>
      <c r="L371" s="51" t="s">
        <v>257</v>
      </c>
      <c r="M371" s="51"/>
      <c r="N371" s="51"/>
      <c r="O371" s="51"/>
      <c r="P371" s="51"/>
      <c r="Q371" s="51"/>
      <c r="R371" s="51"/>
      <c r="S371" s="51"/>
      <c r="T371" s="51"/>
    </row>
    <row r="372">
      <c r="A372" s="51"/>
      <c r="B372" s="51"/>
      <c r="C372" s="56"/>
      <c r="D372" s="51"/>
      <c r="E372" s="51"/>
      <c r="F372" s="51"/>
      <c r="G372" s="51" t="str">
        <f>IFERROR(__xludf.DUMMYFUNCTION("""COMPUTED_VALUE"""),"#VALUE!")</f>
        <v>#VALUE!</v>
      </c>
      <c r="H372" s="51" t="str">
        <f>IFERROR(__xludf.DUMMYFUNCTION("""COMPUTED_VALUE"""),"")</f>
        <v/>
      </c>
      <c r="I372" s="51" t="str">
        <f>IFERROR(__xludf.DUMMYFUNCTION("""COMPUTED_VALUE"""),"#VALUE!")</f>
        <v>#VALUE!</v>
      </c>
      <c r="J372" s="51" t="str">
        <f>IFERROR(__xludf.DUMMYFUNCTION("""COMPUTED_VALUE"""),"")</f>
        <v/>
      </c>
      <c r="K372" s="51"/>
      <c r="L372" s="51" t="s">
        <v>257</v>
      </c>
      <c r="M372" s="51"/>
      <c r="N372" s="51"/>
      <c r="O372" s="51"/>
      <c r="P372" s="51"/>
      <c r="Q372" s="51"/>
      <c r="R372" s="51"/>
      <c r="S372" s="51"/>
      <c r="T372" s="51"/>
    </row>
    <row r="373">
      <c r="A373" s="51"/>
      <c r="B373" s="51"/>
      <c r="C373" s="56"/>
      <c r="D373" s="51"/>
      <c r="E373" s="51"/>
      <c r="F373" s="51"/>
      <c r="G373" s="51" t="str">
        <f>IFERROR(__xludf.DUMMYFUNCTION("""COMPUTED_VALUE"""),"#VALUE!")</f>
        <v>#VALUE!</v>
      </c>
      <c r="H373" s="51" t="str">
        <f>IFERROR(__xludf.DUMMYFUNCTION("""COMPUTED_VALUE"""),"")</f>
        <v/>
      </c>
      <c r="I373" s="51" t="str">
        <f>IFERROR(__xludf.DUMMYFUNCTION("""COMPUTED_VALUE"""),"#VALUE!")</f>
        <v>#VALUE!</v>
      </c>
      <c r="J373" s="51" t="str">
        <f>IFERROR(__xludf.DUMMYFUNCTION("""COMPUTED_VALUE"""),"")</f>
        <v/>
      </c>
      <c r="K373" s="51"/>
      <c r="L373" s="51" t="s">
        <v>257</v>
      </c>
      <c r="M373" s="51"/>
      <c r="N373" s="51"/>
      <c r="O373" s="51"/>
      <c r="P373" s="51"/>
      <c r="Q373" s="51"/>
      <c r="R373" s="51"/>
      <c r="S373" s="51"/>
      <c r="T373" s="51"/>
    </row>
    <row r="374">
      <c r="A374" s="51"/>
      <c r="B374" s="51"/>
      <c r="C374" s="56"/>
      <c r="D374" s="51"/>
      <c r="E374" s="51"/>
      <c r="F374" s="51"/>
      <c r="G374" s="51" t="str">
        <f>IFERROR(__xludf.DUMMYFUNCTION("""COMPUTED_VALUE"""),"#VALUE!")</f>
        <v>#VALUE!</v>
      </c>
      <c r="H374" s="51" t="str">
        <f>IFERROR(__xludf.DUMMYFUNCTION("""COMPUTED_VALUE"""),"")</f>
        <v/>
      </c>
      <c r="I374" s="51" t="str">
        <f>IFERROR(__xludf.DUMMYFUNCTION("""COMPUTED_VALUE"""),"#VALUE!")</f>
        <v>#VALUE!</v>
      </c>
      <c r="J374" s="51" t="str">
        <f>IFERROR(__xludf.DUMMYFUNCTION("""COMPUTED_VALUE"""),"")</f>
        <v/>
      </c>
      <c r="K374" s="51"/>
      <c r="L374" s="51" t="s">
        <v>257</v>
      </c>
      <c r="M374" s="51"/>
      <c r="N374" s="51"/>
      <c r="O374" s="51"/>
      <c r="P374" s="51"/>
      <c r="Q374" s="51"/>
      <c r="R374" s="51"/>
      <c r="S374" s="51"/>
      <c r="T374" s="51"/>
    </row>
    <row r="375">
      <c r="A375" s="51"/>
      <c r="B375" s="51"/>
      <c r="C375" s="56"/>
      <c r="D375" s="51"/>
      <c r="E375" s="51"/>
      <c r="F375" s="51"/>
      <c r="G375" s="51" t="str">
        <f>IFERROR(__xludf.DUMMYFUNCTION("""COMPUTED_VALUE"""),"#VALUE!")</f>
        <v>#VALUE!</v>
      </c>
      <c r="H375" s="51" t="str">
        <f>IFERROR(__xludf.DUMMYFUNCTION("""COMPUTED_VALUE"""),"")</f>
        <v/>
      </c>
      <c r="I375" s="51" t="str">
        <f>IFERROR(__xludf.DUMMYFUNCTION("""COMPUTED_VALUE"""),"#VALUE!")</f>
        <v>#VALUE!</v>
      </c>
      <c r="J375" s="51" t="str">
        <f>IFERROR(__xludf.DUMMYFUNCTION("""COMPUTED_VALUE"""),"")</f>
        <v/>
      </c>
      <c r="K375" s="51"/>
      <c r="L375" s="51" t="s">
        <v>257</v>
      </c>
      <c r="M375" s="51"/>
      <c r="N375" s="51"/>
      <c r="O375" s="51"/>
      <c r="P375" s="51"/>
      <c r="Q375" s="51"/>
      <c r="R375" s="51"/>
      <c r="S375" s="51"/>
      <c r="T375" s="51"/>
    </row>
    <row r="376">
      <c r="A376" s="51"/>
      <c r="B376" s="51"/>
      <c r="C376" s="56"/>
      <c r="D376" s="51"/>
      <c r="E376" s="51"/>
      <c r="F376" s="51"/>
      <c r="G376" s="51" t="str">
        <f>IFERROR(__xludf.DUMMYFUNCTION("""COMPUTED_VALUE"""),"#VALUE!")</f>
        <v>#VALUE!</v>
      </c>
      <c r="H376" s="51" t="str">
        <f>IFERROR(__xludf.DUMMYFUNCTION("""COMPUTED_VALUE"""),"")</f>
        <v/>
      </c>
      <c r="I376" s="51" t="str">
        <f>IFERROR(__xludf.DUMMYFUNCTION("""COMPUTED_VALUE"""),"#VALUE!")</f>
        <v>#VALUE!</v>
      </c>
      <c r="J376" s="51" t="str">
        <f>IFERROR(__xludf.DUMMYFUNCTION("""COMPUTED_VALUE"""),"")</f>
        <v/>
      </c>
      <c r="K376" s="51"/>
      <c r="L376" s="51" t="s">
        <v>257</v>
      </c>
      <c r="M376" s="51"/>
      <c r="N376" s="51"/>
      <c r="O376" s="51"/>
      <c r="P376" s="51"/>
      <c r="Q376" s="51"/>
      <c r="R376" s="51"/>
      <c r="S376" s="51"/>
      <c r="T376" s="51"/>
    </row>
    <row r="377">
      <c r="A377" s="51"/>
      <c r="B377" s="51"/>
      <c r="C377" s="56"/>
      <c r="D377" s="51"/>
      <c r="E377" s="51"/>
      <c r="F377" s="51"/>
      <c r="G377" s="51" t="str">
        <f>IFERROR(__xludf.DUMMYFUNCTION("""COMPUTED_VALUE"""),"#VALUE!")</f>
        <v>#VALUE!</v>
      </c>
      <c r="H377" s="51" t="str">
        <f>IFERROR(__xludf.DUMMYFUNCTION("""COMPUTED_VALUE"""),"")</f>
        <v/>
      </c>
      <c r="I377" s="51" t="str">
        <f>IFERROR(__xludf.DUMMYFUNCTION("""COMPUTED_VALUE"""),"#VALUE!")</f>
        <v>#VALUE!</v>
      </c>
      <c r="J377" s="51" t="str">
        <f>IFERROR(__xludf.DUMMYFUNCTION("""COMPUTED_VALUE"""),"")</f>
        <v/>
      </c>
      <c r="K377" s="51"/>
      <c r="L377" s="51" t="s">
        <v>257</v>
      </c>
      <c r="M377" s="51"/>
      <c r="N377" s="51"/>
      <c r="O377" s="51"/>
      <c r="P377" s="51"/>
      <c r="Q377" s="51"/>
      <c r="R377" s="51"/>
      <c r="S377" s="51"/>
      <c r="T377" s="51"/>
    </row>
    <row r="378">
      <c r="A378" s="51"/>
      <c r="B378" s="51"/>
      <c r="C378" s="56"/>
      <c r="D378" s="51"/>
      <c r="E378" s="51"/>
      <c r="F378" s="51"/>
      <c r="G378" s="51" t="str">
        <f>IFERROR(__xludf.DUMMYFUNCTION("""COMPUTED_VALUE"""),"#VALUE!")</f>
        <v>#VALUE!</v>
      </c>
      <c r="H378" s="51" t="str">
        <f>IFERROR(__xludf.DUMMYFUNCTION("""COMPUTED_VALUE"""),"")</f>
        <v/>
      </c>
      <c r="I378" s="51" t="str">
        <f>IFERROR(__xludf.DUMMYFUNCTION("""COMPUTED_VALUE"""),"#VALUE!")</f>
        <v>#VALUE!</v>
      </c>
      <c r="J378" s="51" t="str">
        <f>IFERROR(__xludf.DUMMYFUNCTION("""COMPUTED_VALUE"""),"")</f>
        <v/>
      </c>
      <c r="K378" s="51"/>
      <c r="L378" s="51" t="s">
        <v>257</v>
      </c>
      <c r="M378" s="51"/>
      <c r="N378" s="51"/>
      <c r="O378" s="51"/>
      <c r="P378" s="51"/>
      <c r="Q378" s="51"/>
      <c r="R378" s="51"/>
      <c r="S378" s="51"/>
      <c r="T378" s="51"/>
    </row>
    <row r="379">
      <c r="A379" s="51"/>
      <c r="B379" s="51"/>
      <c r="C379" s="56"/>
      <c r="D379" s="51"/>
      <c r="E379" s="51"/>
      <c r="F379" s="51"/>
      <c r="G379" s="51" t="str">
        <f>IFERROR(__xludf.DUMMYFUNCTION("""COMPUTED_VALUE"""),"#VALUE!")</f>
        <v>#VALUE!</v>
      </c>
      <c r="H379" s="51" t="str">
        <f>IFERROR(__xludf.DUMMYFUNCTION("""COMPUTED_VALUE"""),"")</f>
        <v/>
      </c>
      <c r="I379" s="51" t="str">
        <f>IFERROR(__xludf.DUMMYFUNCTION("""COMPUTED_VALUE"""),"#VALUE!")</f>
        <v>#VALUE!</v>
      </c>
      <c r="J379" s="51" t="str">
        <f>IFERROR(__xludf.DUMMYFUNCTION("""COMPUTED_VALUE"""),"")</f>
        <v/>
      </c>
      <c r="K379" s="51"/>
      <c r="L379" s="51" t="s">
        <v>257</v>
      </c>
      <c r="M379" s="51"/>
      <c r="N379" s="51"/>
      <c r="O379" s="51"/>
      <c r="P379" s="51"/>
      <c r="Q379" s="51"/>
      <c r="R379" s="51"/>
      <c r="S379" s="51"/>
      <c r="T379" s="51"/>
    </row>
    <row r="380">
      <c r="A380" s="51"/>
      <c r="B380" s="51"/>
      <c r="C380" s="56"/>
      <c r="D380" s="51"/>
      <c r="E380" s="51"/>
      <c r="F380" s="51"/>
      <c r="G380" s="51" t="str">
        <f>IFERROR(__xludf.DUMMYFUNCTION("""COMPUTED_VALUE"""),"#VALUE!")</f>
        <v>#VALUE!</v>
      </c>
      <c r="H380" s="51" t="str">
        <f>IFERROR(__xludf.DUMMYFUNCTION("""COMPUTED_VALUE"""),"")</f>
        <v/>
      </c>
      <c r="I380" s="51" t="str">
        <f>IFERROR(__xludf.DUMMYFUNCTION("""COMPUTED_VALUE"""),"#VALUE!")</f>
        <v>#VALUE!</v>
      </c>
      <c r="J380" s="51" t="str">
        <f>IFERROR(__xludf.DUMMYFUNCTION("""COMPUTED_VALUE"""),"")</f>
        <v/>
      </c>
      <c r="K380" s="51"/>
      <c r="L380" s="51" t="s">
        <v>257</v>
      </c>
      <c r="M380" s="51"/>
      <c r="N380" s="51"/>
      <c r="O380" s="51"/>
      <c r="P380" s="51"/>
      <c r="Q380" s="51"/>
      <c r="R380" s="51"/>
      <c r="S380" s="51"/>
      <c r="T380" s="51"/>
    </row>
    <row r="381">
      <c r="A381" s="51"/>
      <c r="B381" s="51"/>
      <c r="C381" s="56"/>
      <c r="D381" s="51"/>
      <c r="E381" s="51"/>
      <c r="F381" s="51"/>
      <c r="G381" s="51" t="str">
        <f>IFERROR(__xludf.DUMMYFUNCTION("""COMPUTED_VALUE"""),"#VALUE!")</f>
        <v>#VALUE!</v>
      </c>
      <c r="H381" s="51" t="str">
        <f>IFERROR(__xludf.DUMMYFUNCTION("""COMPUTED_VALUE"""),"")</f>
        <v/>
      </c>
      <c r="I381" s="51" t="str">
        <f>IFERROR(__xludf.DUMMYFUNCTION("""COMPUTED_VALUE"""),"#VALUE!")</f>
        <v>#VALUE!</v>
      </c>
      <c r="J381" s="51" t="str">
        <f>IFERROR(__xludf.DUMMYFUNCTION("""COMPUTED_VALUE"""),"")</f>
        <v/>
      </c>
      <c r="K381" s="51"/>
      <c r="L381" s="51" t="s">
        <v>257</v>
      </c>
      <c r="M381" s="51"/>
      <c r="N381" s="51"/>
      <c r="O381" s="51"/>
      <c r="P381" s="51"/>
      <c r="Q381" s="51"/>
      <c r="R381" s="51"/>
      <c r="S381" s="51"/>
      <c r="T381" s="51"/>
    </row>
    <row r="382">
      <c r="A382" s="51"/>
      <c r="B382" s="51"/>
      <c r="C382" s="56"/>
      <c r="D382" s="51"/>
      <c r="E382" s="51"/>
      <c r="F382" s="51"/>
      <c r="G382" s="51" t="str">
        <f>IFERROR(__xludf.DUMMYFUNCTION("""COMPUTED_VALUE"""),"#VALUE!")</f>
        <v>#VALUE!</v>
      </c>
      <c r="H382" s="51" t="str">
        <f>IFERROR(__xludf.DUMMYFUNCTION("""COMPUTED_VALUE"""),"")</f>
        <v/>
      </c>
      <c r="I382" s="51" t="str">
        <f>IFERROR(__xludf.DUMMYFUNCTION("""COMPUTED_VALUE"""),"#VALUE!")</f>
        <v>#VALUE!</v>
      </c>
      <c r="J382" s="51" t="str">
        <f>IFERROR(__xludf.DUMMYFUNCTION("""COMPUTED_VALUE"""),"")</f>
        <v/>
      </c>
      <c r="K382" s="51"/>
      <c r="L382" s="51" t="s">
        <v>257</v>
      </c>
      <c r="M382" s="51"/>
      <c r="N382" s="51"/>
      <c r="O382" s="51"/>
      <c r="P382" s="51"/>
      <c r="Q382" s="51"/>
      <c r="R382" s="51"/>
      <c r="S382" s="51"/>
      <c r="T382" s="51"/>
    </row>
    <row r="383">
      <c r="A383" s="51"/>
      <c r="B383" s="51"/>
      <c r="C383" s="56"/>
      <c r="D383" s="51"/>
      <c r="E383" s="51"/>
      <c r="F383" s="51"/>
      <c r="G383" s="51" t="str">
        <f>IFERROR(__xludf.DUMMYFUNCTION("""COMPUTED_VALUE"""),"#VALUE!")</f>
        <v>#VALUE!</v>
      </c>
      <c r="H383" s="51" t="str">
        <f>IFERROR(__xludf.DUMMYFUNCTION("""COMPUTED_VALUE"""),"")</f>
        <v/>
      </c>
      <c r="I383" s="51" t="str">
        <f>IFERROR(__xludf.DUMMYFUNCTION("""COMPUTED_VALUE"""),"#VALUE!")</f>
        <v>#VALUE!</v>
      </c>
      <c r="J383" s="51" t="str">
        <f>IFERROR(__xludf.DUMMYFUNCTION("""COMPUTED_VALUE"""),"")</f>
        <v/>
      </c>
      <c r="K383" s="51"/>
      <c r="L383" s="51" t="s">
        <v>257</v>
      </c>
      <c r="M383" s="51"/>
      <c r="N383" s="51"/>
      <c r="O383" s="51"/>
      <c r="P383" s="51"/>
      <c r="Q383" s="51"/>
      <c r="R383" s="51"/>
      <c r="S383" s="51"/>
      <c r="T383" s="51"/>
    </row>
    <row r="384">
      <c r="A384" s="51"/>
      <c r="B384" s="51"/>
      <c r="C384" s="56"/>
      <c r="D384" s="51"/>
      <c r="E384" s="51"/>
      <c r="F384" s="51"/>
      <c r="G384" s="51" t="str">
        <f>IFERROR(__xludf.DUMMYFUNCTION("""COMPUTED_VALUE"""),"#VALUE!")</f>
        <v>#VALUE!</v>
      </c>
      <c r="H384" s="51" t="str">
        <f>IFERROR(__xludf.DUMMYFUNCTION("""COMPUTED_VALUE"""),"")</f>
        <v/>
      </c>
      <c r="I384" s="51" t="str">
        <f>IFERROR(__xludf.DUMMYFUNCTION("""COMPUTED_VALUE"""),"#VALUE!")</f>
        <v>#VALUE!</v>
      </c>
      <c r="J384" s="51" t="str">
        <f>IFERROR(__xludf.DUMMYFUNCTION("""COMPUTED_VALUE"""),"")</f>
        <v/>
      </c>
      <c r="K384" s="51"/>
      <c r="L384" s="51" t="s">
        <v>257</v>
      </c>
      <c r="M384" s="51"/>
      <c r="N384" s="51"/>
      <c r="O384" s="51"/>
      <c r="P384" s="51"/>
      <c r="Q384" s="51"/>
      <c r="R384" s="51"/>
      <c r="S384" s="51"/>
      <c r="T384" s="51"/>
    </row>
    <row r="385">
      <c r="A385" s="51"/>
      <c r="B385" s="51"/>
      <c r="C385" s="56"/>
      <c r="D385" s="51"/>
      <c r="E385" s="51"/>
      <c r="F385" s="51"/>
      <c r="G385" s="51" t="str">
        <f>IFERROR(__xludf.DUMMYFUNCTION("""COMPUTED_VALUE"""),"#VALUE!")</f>
        <v>#VALUE!</v>
      </c>
      <c r="H385" s="51" t="str">
        <f>IFERROR(__xludf.DUMMYFUNCTION("""COMPUTED_VALUE"""),"")</f>
        <v/>
      </c>
      <c r="I385" s="51" t="str">
        <f>IFERROR(__xludf.DUMMYFUNCTION("""COMPUTED_VALUE"""),"#VALUE!")</f>
        <v>#VALUE!</v>
      </c>
      <c r="J385" s="51" t="str">
        <f>IFERROR(__xludf.DUMMYFUNCTION("""COMPUTED_VALUE"""),"")</f>
        <v/>
      </c>
      <c r="K385" s="51"/>
      <c r="L385" s="51" t="s">
        <v>257</v>
      </c>
      <c r="M385" s="51"/>
      <c r="N385" s="51"/>
      <c r="O385" s="51"/>
      <c r="P385" s="51"/>
      <c r="Q385" s="51"/>
      <c r="R385" s="51"/>
      <c r="S385" s="51"/>
      <c r="T385" s="51"/>
    </row>
    <row r="386">
      <c r="A386" s="51"/>
      <c r="B386" s="51"/>
      <c r="C386" s="56"/>
      <c r="D386" s="51"/>
      <c r="E386" s="51"/>
      <c r="F386" s="51"/>
      <c r="G386" s="51" t="str">
        <f>IFERROR(__xludf.DUMMYFUNCTION("""COMPUTED_VALUE"""),"#VALUE!")</f>
        <v>#VALUE!</v>
      </c>
      <c r="H386" s="51" t="str">
        <f>IFERROR(__xludf.DUMMYFUNCTION("""COMPUTED_VALUE"""),"")</f>
        <v/>
      </c>
      <c r="I386" s="51" t="str">
        <f>IFERROR(__xludf.DUMMYFUNCTION("""COMPUTED_VALUE"""),"#VALUE!")</f>
        <v>#VALUE!</v>
      </c>
      <c r="J386" s="51" t="str">
        <f>IFERROR(__xludf.DUMMYFUNCTION("""COMPUTED_VALUE"""),"")</f>
        <v/>
      </c>
      <c r="K386" s="51"/>
      <c r="L386" s="51" t="s">
        <v>257</v>
      </c>
      <c r="M386" s="51"/>
      <c r="N386" s="51"/>
      <c r="O386" s="51"/>
      <c r="P386" s="51"/>
      <c r="Q386" s="51"/>
      <c r="R386" s="51"/>
      <c r="S386" s="51"/>
      <c r="T386" s="51"/>
    </row>
    <row r="387">
      <c r="A387" s="51"/>
      <c r="B387" s="51"/>
      <c r="C387" s="56"/>
      <c r="D387" s="51"/>
      <c r="E387" s="51"/>
      <c r="F387" s="51"/>
      <c r="G387" s="51" t="str">
        <f>IFERROR(__xludf.DUMMYFUNCTION("""COMPUTED_VALUE"""),"#VALUE!")</f>
        <v>#VALUE!</v>
      </c>
      <c r="H387" s="51" t="str">
        <f>IFERROR(__xludf.DUMMYFUNCTION("""COMPUTED_VALUE"""),"")</f>
        <v/>
      </c>
      <c r="I387" s="51" t="str">
        <f>IFERROR(__xludf.DUMMYFUNCTION("""COMPUTED_VALUE"""),"#VALUE!")</f>
        <v>#VALUE!</v>
      </c>
      <c r="J387" s="51" t="str">
        <f>IFERROR(__xludf.DUMMYFUNCTION("""COMPUTED_VALUE"""),"")</f>
        <v/>
      </c>
      <c r="K387" s="51"/>
      <c r="L387" s="51" t="s">
        <v>257</v>
      </c>
      <c r="M387" s="51"/>
      <c r="N387" s="51"/>
      <c r="O387" s="51"/>
      <c r="P387" s="51"/>
      <c r="Q387" s="51"/>
      <c r="R387" s="51"/>
      <c r="S387" s="51"/>
      <c r="T387" s="51"/>
    </row>
    <row r="388">
      <c r="A388" s="51"/>
      <c r="B388" s="51"/>
      <c r="C388" s="56"/>
      <c r="D388" s="51"/>
      <c r="E388" s="51"/>
      <c r="F388" s="51"/>
      <c r="G388" s="51" t="str">
        <f>IFERROR(__xludf.DUMMYFUNCTION("""COMPUTED_VALUE"""),"#VALUE!")</f>
        <v>#VALUE!</v>
      </c>
      <c r="H388" s="51" t="str">
        <f>IFERROR(__xludf.DUMMYFUNCTION("""COMPUTED_VALUE"""),"")</f>
        <v/>
      </c>
      <c r="I388" s="51" t="str">
        <f>IFERROR(__xludf.DUMMYFUNCTION("""COMPUTED_VALUE"""),"#VALUE!")</f>
        <v>#VALUE!</v>
      </c>
      <c r="J388" s="51" t="str">
        <f>IFERROR(__xludf.DUMMYFUNCTION("""COMPUTED_VALUE"""),"")</f>
        <v/>
      </c>
      <c r="K388" s="51"/>
      <c r="L388" s="51" t="s">
        <v>257</v>
      </c>
      <c r="M388" s="51"/>
      <c r="N388" s="51"/>
      <c r="O388" s="51"/>
      <c r="P388" s="51"/>
      <c r="Q388" s="51"/>
      <c r="R388" s="51"/>
      <c r="S388" s="51"/>
      <c r="T388" s="51"/>
    </row>
    <row r="389">
      <c r="A389" s="51"/>
      <c r="B389" s="51"/>
      <c r="C389" s="56"/>
      <c r="D389" s="51"/>
      <c r="E389" s="51"/>
      <c r="F389" s="51"/>
      <c r="G389" s="51" t="str">
        <f>IFERROR(__xludf.DUMMYFUNCTION("""COMPUTED_VALUE"""),"#VALUE!")</f>
        <v>#VALUE!</v>
      </c>
      <c r="H389" s="51" t="str">
        <f>IFERROR(__xludf.DUMMYFUNCTION("""COMPUTED_VALUE"""),"")</f>
        <v/>
      </c>
      <c r="I389" s="51" t="str">
        <f>IFERROR(__xludf.DUMMYFUNCTION("""COMPUTED_VALUE"""),"#VALUE!")</f>
        <v>#VALUE!</v>
      </c>
      <c r="J389" s="51" t="str">
        <f>IFERROR(__xludf.DUMMYFUNCTION("""COMPUTED_VALUE"""),"")</f>
        <v/>
      </c>
      <c r="K389" s="51"/>
      <c r="L389" s="51" t="s">
        <v>257</v>
      </c>
      <c r="M389" s="51"/>
      <c r="N389" s="51"/>
      <c r="O389" s="51"/>
      <c r="P389" s="51"/>
      <c r="Q389" s="51"/>
      <c r="R389" s="51"/>
      <c r="S389" s="51"/>
      <c r="T389" s="51"/>
    </row>
    <row r="390">
      <c r="A390" s="51"/>
      <c r="B390" s="51"/>
      <c r="C390" s="56"/>
      <c r="D390" s="51"/>
      <c r="E390" s="51"/>
      <c r="F390" s="51"/>
      <c r="G390" s="51" t="str">
        <f>IFERROR(__xludf.DUMMYFUNCTION("""COMPUTED_VALUE"""),"#VALUE!")</f>
        <v>#VALUE!</v>
      </c>
      <c r="H390" s="51" t="str">
        <f>IFERROR(__xludf.DUMMYFUNCTION("""COMPUTED_VALUE"""),"")</f>
        <v/>
      </c>
      <c r="I390" s="51" t="str">
        <f>IFERROR(__xludf.DUMMYFUNCTION("""COMPUTED_VALUE"""),"#VALUE!")</f>
        <v>#VALUE!</v>
      </c>
      <c r="J390" s="51" t="str">
        <f>IFERROR(__xludf.DUMMYFUNCTION("""COMPUTED_VALUE"""),"")</f>
        <v/>
      </c>
      <c r="K390" s="51"/>
      <c r="L390" s="51" t="s">
        <v>257</v>
      </c>
      <c r="M390" s="51"/>
      <c r="N390" s="51"/>
      <c r="O390" s="51"/>
      <c r="P390" s="51"/>
      <c r="Q390" s="51"/>
      <c r="R390" s="51"/>
      <c r="S390" s="51"/>
      <c r="T390" s="51"/>
    </row>
    <row r="391">
      <c r="A391" s="51"/>
      <c r="B391" s="51"/>
      <c r="C391" s="56"/>
      <c r="D391" s="51"/>
      <c r="E391" s="51"/>
      <c r="F391" s="51"/>
      <c r="G391" s="51" t="str">
        <f>IFERROR(__xludf.DUMMYFUNCTION("""COMPUTED_VALUE"""),"#VALUE!")</f>
        <v>#VALUE!</v>
      </c>
      <c r="H391" s="51" t="str">
        <f>IFERROR(__xludf.DUMMYFUNCTION("""COMPUTED_VALUE"""),"")</f>
        <v/>
      </c>
      <c r="I391" s="51" t="str">
        <f>IFERROR(__xludf.DUMMYFUNCTION("""COMPUTED_VALUE"""),"#VALUE!")</f>
        <v>#VALUE!</v>
      </c>
      <c r="J391" s="51" t="str">
        <f>IFERROR(__xludf.DUMMYFUNCTION("""COMPUTED_VALUE"""),"")</f>
        <v/>
      </c>
      <c r="K391" s="51"/>
      <c r="L391" s="51" t="s">
        <v>257</v>
      </c>
      <c r="M391" s="51"/>
      <c r="N391" s="51"/>
      <c r="O391" s="51"/>
      <c r="P391" s="51"/>
      <c r="Q391" s="51"/>
      <c r="R391" s="51"/>
      <c r="S391" s="51"/>
      <c r="T391" s="51"/>
    </row>
    <row r="392">
      <c r="A392" s="51"/>
      <c r="B392" s="51"/>
      <c r="C392" s="56"/>
      <c r="D392" s="51"/>
      <c r="E392" s="51"/>
      <c r="F392" s="51"/>
      <c r="G392" s="51" t="str">
        <f>IFERROR(__xludf.DUMMYFUNCTION("""COMPUTED_VALUE"""),"#VALUE!")</f>
        <v>#VALUE!</v>
      </c>
      <c r="H392" s="51" t="str">
        <f>IFERROR(__xludf.DUMMYFUNCTION("""COMPUTED_VALUE"""),"")</f>
        <v/>
      </c>
      <c r="I392" s="51" t="str">
        <f>IFERROR(__xludf.DUMMYFUNCTION("""COMPUTED_VALUE"""),"#VALUE!")</f>
        <v>#VALUE!</v>
      </c>
      <c r="J392" s="51" t="str">
        <f>IFERROR(__xludf.DUMMYFUNCTION("""COMPUTED_VALUE"""),"")</f>
        <v/>
      </c>
      <c r="K392" s="51"/>
      <c r="L392" s="51" t="s">
        <v>257</v>
      </c>
      <c r="M392" s="51"/>
      <c r="N392" s="51"/>
      <c r="O392" s="51"/>
      <c r="P392" s="51"/>
      <c r="Q392" s="51"/>
      <c r="R392" s="51"/>
      <c r="S392" s="51"/>
      <c r="T392" s="51"/>
    </row>
    <row r="393">
      <c r="A393" s="51"/>
      <c r="B393" s="51"/>
      <c r="C393" s="56"/>
      <c r="D393" s="51"/>
      <c r="E393" s="51"/>
      <c r="F393" s="51"/>
      <c r="G393" s="51" t="str">
        <f>IFERROR(__xludf.DUMMYFUNCTION("""COMPUTED_VALUE"""),"#VALUE!")</f>
        <v>#VALUE!</v>
      </c>
      <c r="H393" s="51" t="str">
        <f>IFERROR(__xludf.DUMMYFUNCTION("""COMPUTED_VALUE"""),"")</f>
        <v/>
      </c>
      <c r="I393" s="51" t="str">
        <f>IFERROR(__xludf.DUMMYFUNCTION("""COMPUTED_VALUE"""),"#VALUE!")</f>
        <v>#VALUE!</v>
      </c>
      <c r="J393" s="51" t="str">
        <f>IFERROR(__xludf.DUMMYFUNCTION("""COMPUTED_VALUE"""),"")</f>
        <v/>
      </c>
      <c r="K393" s="51"/>
      <c r="L393" s="51" t="s">
        <v>257</v>
      </c>
      <c r="M393" s="51"/>
      <c r="N393" s="51"/>
      <c r="O393" s="51"/>
      <c r="P393" s="51"/>
      <c r="Q393" s="51"/>
      <c r="R393" s="51"/>
      <c r="S393" s="51"/>
      <c r="T393" s="51"/>
    </row>
    <row r="394">
      <c r="A394" s="51"/>
      <c r="B394" s="51"/>
      <c r="C394" s="56"/>
      <c r="D394" s="51"/>
      <c r="E394" s="51"/>
      <c r="F394" s="51"/>
      <c r="G394" s="51" t="str">
        <f>IFERROR(__xludf.DUMMYFUNCTION("""COMPUTED_VALUE"""),"#VALUE!")</f>
        <v>#VALUE!</v>
      </c>
      <c r="H394" s="51" t="str">
        <f>IFERROR(__xludf.DUMMYFUNCTION("""COMPUTED_VALUE"""),"")</f>
        <v/>
      </c>
      <c r="I394" s="51" t="str">
        <f>IFERROR(__xludf.DUMMYFUNCTION("""COMPUTED_VALUE"""),"#VALUE!")</f>
        <v>#VALUE!</v>
      </c>
      <c r="J394" s="51" t="str">
        <f>IFERROR(__xludf.DUMMYFUNCTION("""COMPUTED_VALUE"""),"")</f>
        <v/>
      </c>
      <c r="K394" s="51"/>
      <c r="L394" s="51" t="s">
        <v>257</v>
      </c>
      <c r="M394" s="51"/>
      <c r="N394" s="51"/>
      <c r="O394" s="51"/>
      <c r="P394" s="51"/>
      <c r="Q394" s="51"/>
      <c r="R394" s="51"/>
      <c r="S394" s="51"/>
      <c r="T394" s="51"/>
    </row>
    <row r="395">
      <c r="A395" s="51"/>
      <c r="B395" s="51"/>
      <c r="C395" s="56"/>
      <c r="D395" s="51"/>
      <c r="E395" s="51"/>
      <c r="F395" s="51"/>
      <c r="G395" s="51" t="str">
        <f>IFERROR(__xludf.DUMMYFUNCTION("""COMPUTED_VALUE"""),"#VALUE!")</f>
        <v>#VALUE!</v>
      </c>
      <c r="H395" s="51" t="str">
        <f>IFERROR(__xludf.DUMMYFUNCTION("""COMPUTED_VALUE"""),"")</f>
        <v/>
      </c>
      <c r="I395" s="51" t="str">
        <f>IFERROR(__xludf.DUMMYFUNCTION("""COMPUTED_VALUE"""),"#VALUE!")</f>
        <v>#VALUE!</v>
      </c>
      <c r="J395" s="51" t="str">
        <f>IFERROR(__xludf.DUMMYFUNCTION("""COMPUTED_VALUE"""),"")</f>
        <v/>
      </c>
      <c r="K395" s="51"/>
      <c r="L395" s="51" t="s">
        <v>257</v>
      </c>
      <c r="M395" s="51"/>
      <c r="N395" s="51"/>
      <c r="O395" s="51"/>
      <c r="P395" s="51"/>
      <c r="Q395" s="51"/>
      <c r="R395" s="51"/>
      <c r="S395" s="51"/>
      <c r="T395" s="51"/>
    </row>
    <row r="396">
      <c r="A396" s="51"/>
      <c r="B396" s="51"/>
      <c r="C396" s="56"/>
      <c r="D396" s="51"/>
      <c r="E396" s="51"/>
      <c r="F396" s="51"/>
      <c r="G396" s="51" t="str">
        <f>IFERROR(__xludf.DUMMYFUNCTION("""COMPUTED_VALUE"""),"#VALUE!")</f>
        <v>#VALUE!</v>
      </c>
      <c r="H396" s="51" t="str">
        <f>IFERROR(__xludf.DUMMYFUNCTION("""COMPUTED_VALUE"""),"")</f>
        <v/>
      </c>
      <c r="I396" s="51" t="str">
        <f>IFERROR(__xludf.DUMMYFUNCTION("""COMPUTED_VALUE"""),"#VALUE!")</f>
        <v>#VALUE!</v>
      </c>
      <c r="J396" s="51" t="str">
        <f>IFERROR(__xludf.DUMMYFUNCTION("""COMPUTED_VALUE"""),"")</f>
        <v/>
      </c>
      <c r="K396" s="51"/>
      <c r="L396" s="51" t="s">
        <v>257</v>
      </c>
      <c r="M396" s="51"/>
      <c r="N396" s="51"/>
      <c r="O396" s="51"/>
      <c r="P396" s="51"/>
      <c r="Q396" s="51"/>
      <c r="R396" s="51"/>
      <c r="S396" s="51"/>
      <c r="T396" s="51"/>
    </row>
    <row r="397">
      <c r="A397" s="51"/>
      <c r="B397" s="51"/>
      <c r="C397" s="56"/>
      <c r="D397" s="51"/>
      <c r="E397" s="51"/>
      <c r="F397" s="51"/>
      <c r="G397" s="51" t="str">
        <f>IFERROR(__xludf.DUMMYFUNCTION("""COMPUTED_VALUE"""),"#VALUE!")</f>
        <v>#VALUE!</v>
      </c>
      <c r="H397" s="51" t="str">
        <f>IFERROR(__xludf.DUMMYFUNCTION("""COMPUTED_VALUE"""),"")</f>
        <v/>
      </c>
      <c r="I397" s="51" t="str">
        <f>IFERROR(__xludf.DUMMYFUNCTION("""COMPUTED_VALUE"""),"#VALUE!")</f>
        <v>#VALUE!</v>
      </c>
      <c r="J397" s="51" t="str">
        <f>IFERROR(__xludf.DUMMYFUNCTION("""COMPUTED_VALUE"""),"")</f>
        <v/>
      </c>
      <c r="K397" s="51"/>
      <c r="L397" s="51" t="s">
        <v>257</v>
      </c>
      <c r="M397" s="51"/>
      <c r="N397" s="51"/>
      <c r="O397" s="51"/>
      <c r="P397" s="51"/>
      <c r="Q397" s="51"/>
      <c r="R397" s="51"/>
      <c r="S397" s="51"/>
      <c r="T397" s="51"/>
    </row>
    <row r="398">
      <c r="A398" s="51"/>
      <c r="B398" s="51"/>
      <c r="C398" s="56"/>
      <c r="D398" s="51"/>
      <c r="E398" s="51"/>
      <c r="F398" s="51"/>
      <c r="G398" s="51" t="str">
        <f>IFERROR(__xludf.DUMMYFUNCTION("""COMPUTED_VALUE"""),"#VALUE!")</f>
        <v>#VALUE!</v>
      </c>
      <c r="H398" s="51" t="str">
        <f>IFERROR(__xludf.DUMMYFUNCTION("""COMPUTED_VALUE"""),"")</f>
        <v/>
      </c>
      <c r="I398" s="51" t="str">
        <f>IFERROR(__xludf.DUMMYFUNCTION("""COMPUTED_VALUE"""),"#VALUE!")</f>
        <v>#VALUE!</v>
      </c>
      <c r="J398" s="51" t="str">
        <f>IFERROR(__xludf.DUMMYFUNCTION("""COMPUTED_VALUE"""),"")</f>
        <v/>
      </c>
      <c r="K398" s="51"/>
      <c r="L398" s="51" t="s">
        <v>257</v>
      </c>
      <c r="M398" s="51"/>
      <c r="N398" s="51"/>
      <c r="O398" s="51"/>
      <c r="P398" s="51"/>
      <c r="Q398" s="51"/>
      <c r="R398" s="51"/>
      <c r="S398" s="51"/>
      <c r="T398" s="51"/>
    </row>
    <row r="399">
      <c r="A399" s="51"/>
      <c r="B399" s="51"/>
      <c r="C399" s="56"/>
      <c r="D399" s="51"/>
      <c r="E399" s="51"/>
      <c r="F399" s="51"/>
      <c r="G399" s="51" t="str">
        <f>IFERROR(__xludf.DUMMYFUNCTION("""COMPUTED_VALUE"""),"#VALUE!")</f>
        <v>#VALUE!</v>
      </c>
      <c r="H399" s="51" t="str">
        <f>IFERROR(__xludf.DUMMYFUNCTION("""COMPUTED_VALUE"""),"")</f>
        <v/>
      </c>
      <c r="I399" s="51" t="str">
        <f>IFERROR(__xludf.DUMMYFUNCTION("""COMPUTED_VALUE"""),"#VALUE!")</f>
        <v>#VALUE!</v>
      </c>
      <c r="J399" s="51" t="str">
        <f>IFERROR(__xludf.DUMMYFUNCTION("""COMPUTED_VALUE"""),"")</f>
        <v/>
      </c>
      <c r="K399" s="51"/>
      <c r="L399" s="51" t="s">
        <v>257</v>
      </c>
      <c r="M399" s="51"/>
      <c r="N399" s="51"/>
      <c r="O399" s="51"/>
      <c r="P399" s="51"/>
      <c r="Q399" s="51"/>
      <c r="R399" s="51"/>
      <c r="S399" s="51"/>
      <c r="T399" s="51"/>
    </row>
    <row r="400">
      <c r="A400" s="51"/>
      <c r="B400" s="51"/>
      <c r="C400" s="56"/>
      <c r="D400" s="51"/>
      <c r="E400" s="51"/>
      <c r="F400" s="51"/>
      <c r="G400" s="51" t="str">
        <f>IFERROR(__xludf.DUMMYFUNCTION("""COMPUTED_VALUE"""),"#VALUE!")</f>
        <v>#VALUE!</v>
      </c>
      <c r="H400" s="51" t="str">
        <f>IFERROR(__xludf.DUMMYFUNCTION("""COMPUTED_VALUE"""),"")</f>
        <v/>
      </c>
      <c r="I400" s="51" t="str">
        <f>IFERROR(__xludf.DUMMYFUNCTION("""COMPUTED_VALUE"""),"#VALUE!")</f>
        <v>#VALUE!</v>
      </c>
      <c r="J400" s="51" t="str">
        <f>IFERROR(__xludf.DUMMYFUNCTION("""COMPUTED_VALUE"""),"")</f>
        <v/>
      </c>
      <c r="K400" s="51"/>
      <c r="L400" s="51" t="s">
        <v>257</v>
      </c>
      <c r="M400" s="51"/>
      <c r="N400" s="51"/>
      <c r="O400" s="51"/>
      <c r="P400" s="51"/>
      <c r="Q400" s="51"/>
      <c r="R400" s="51"/>
      <c r="S400" s="51"/>
      <c r="T400" s="51"/>
    </row>
    <row r="401">
      <c r="A401" s="51"/>
      <c r="B401" s="51"/>
      <c r="C401" s="56"/>
      <c r="D401" s="51"/>
      <c r="E401" s="51"/>
      <c r="F401" s="51"/>
      <c r="G401" s="51" t="str">
        <f>IFERROR(__xludf.DUMMYFUNCTION("""COMPUTED_VALUE"""),"#VALUE!")</f>
        <v>#VALUE!</v>
      </c>
      <c r="H401" s="51" t="str">
        <f>IFERROR(__xludf.DUMMYFUNCTION("""COMPUTED_VALUE"""),"")</f>
        <v/>
      </c>
      <c r="I401" s="51" t="str">
        <f>IFERROR(__xludf.DUMMYFUNCTION("""COMPUTED_VALUE"""),"#VALUE!")</f>
        <v>#VALUE!</v>
      </c>
      <c r="J401" s="51" t="str">
        <f>IFERROR(__xludf.DUMMYFUNCTION("""COMPUTED_VALUE"""),"")</f>
        <v/>
      </c>
      <c r="K401" s="51"/>
      <c r="L401" s="51" t="s">
        <v>257</v>
      </c>
      <c r="M401" s="51"/>
      <c r="N401" s="51"/>
      <c r="O401" s="51"/>
      <c r="P401" s="51"/>
      <c r="Q401" s="51"/>
      <c r="R401" s="51"/>
      <c r="S401" s="51"/>
      <c r="T401" s="51"/>
    </row>
    <row r="402">
      <c r="A402" s="51"/>
      <c r="B402" s="51"/>
      <c r="C402" s="56"/>
      <c r="D402" s="51"/>
      <c r="E402" s="51"/>
      <c r="F402" s="51"/>
      <c r="G402" s="51" t="str">
        <f>IFERROR(__xludf.DUMMYFUNCTION("""COMPUTED_VALUE"""),"#VALUE!")</f>
        <v>#VALUE!</v>
      </c>
      <c r="H402" s="51" t="str">
        <f>IFERROR(__xludf.DUMMYFUNCTION("""COMPUTED_VALUE"""),"")</f>
        <v/>
      </c>
      <c r="I402" s="51" t="str">
        <f>IFERROR(__xludf.DUMMYFUNCTION("""COMPUTED_VALUE"""),"#VALUE!")</f>
        <v>#VALUE!</v>
      </c>
      <c r="J402" s="51" t="str">
        <f>IFERROR(__xludf.DUMMYFUNCTION("""COMPUTED_VALUE"""),"")</f>
        <v/>
      </c>
      <c r="K402" s="51"/>
      <c r="L402" s="51" t="s">
        <v>257</v>
      </c>
      <c r="M402" s="51"/>
      <c r="N402" s="51"/>
      <c r="O402" s="51"/>
      <c r="P402" s="51"/>
      <c r="Q402" s="51"/>
      <c r="R402" s="51"/>
      <c r="S402" s="51"/>
      <c r="T402" s="51"/>
    </row>
    <row r="403">
      <c r="A403" s="51"/>
      <c r="B403" s="51"/>
      <c r="C403" s="56"/>
      <c r="D403" s="51"/>
      <c r="E403" s="51"/>
      <c r="F403" s="51"/>
      <c r="G403" s="51" t="str">
        <f>IFERROR(__xludf.DUMMYFUNCTION("""COMPUTED_VALUE"""),"#VALUE!")</f>
        <v>#VALUE!</v>
      </c>
      <c r="H403" s="51" t="str">
        <f>IFERROR(__xludf.DUMMYFUNCTION("""COMPUTED_VALUE"""),"")</f>
        <v/>
      </c>
      <c r="I403" s="51" t="str">
        <f>IFERROR(__xludf.DUMMYFUNCTION("""COMPUTED_VALUE"""),"#VALUE!")</f>
        <v>#VALUE!</v>
      </c>
      <c r="J403" s="51" t="str">
        <f>IFERROR(__xludf.DUMMYFUNCTION("""COMPUTED_VALUE"""),"")</f>
        <v/>
      </c>
      <c r="K403" s="51"/>
      <c r="L403" s="51" t="s">
        <v>257</v>
      </c>
      <c r="M403" s="51"/>
      <c r="N403" s="51"/>
      <c r="O403" s="51"/>
      <c r="P403" s="51"/>
      <c r="Q403" s="51"/>
      <c r="R403" s="51"/>
      <c r="S403" s="51"/>
      <c r="T403" s="51"/>
    </row>
    <row r="404">
      <c r="A404" s="51"/>
      <c r="B404" s="51"/>
      <c r="C404" s="56"/>
      <c r="D404" s="51"/>
      <c r="E404" s="51"/>
      <c r="F404" s="51"/>
      <c r="G404" s="51" t="str">
        <f>IFERROR(__xludf.DUMMYFUNCTION("""COMPUTED_VALUE"""),"#VALUE!")</f>
        <v>#VALUE!</v>
      </c>
      <c r="H404" s="51" t="str">
        <f>IFERROR(__xludf.DUMMYFUNCTION("""COMPUTED_VALUE"""),"")</f>
        <v/>
      </c>
      <c r="I404" s="51" t="str">
        <f>IFERROR(__xludf.DUMMYFUNCTION("""COMPUTED_VALUE"""),"#VALUE!")</f>
        <v>#VALUE!</v>
      </c>
      <c r="J404" s="51" t="str">
        <f>IFERROR(__xludf.DUMMYFUNCTION("""COMPUTED_VALUE"""),"")</f>
        <v/>
      </c>
      <c r="K404" s="51"/>
      <c r="L404" s="51" t="s">
        <v>257</v>
      </c>
      <c r="M404" s="51"/>
      <c r="N404" s="51"/>
      <c r="O404" s="51"/>
      <c r="P404" s="51"/>
      <c r="Q404" s="51"/>
      <c r="R404" s="51"/>
      <c r="S404" s="51"/>
      <c r="T404" s="51"/>
    </row>
    <row r="405">
      <c r="A405" s="51"/>
      <c r="B405" s="51"/>
      <c r="C405" s="56"/>
      <c r="D405" s="51"/>
      <c r="E405" s="51"/>
      <c r="F405" s="51"/>
      <c r="G405" s="51" t="str">
        <f>IFERROR(__xludf.DUMMYFUNCTION("""COMPUTED_VALUE"""),"#VALUE!")</f>
        <v>#VALUE!</v>
      </c>
      <c r="H405" s="51" t="str">
        <f>IFERROR(__xludf.DUMMYFUNCTION("""COMPUTED_VALUE"""),"")</f>
        <v/>
      </c>
      <c r="I405" s="51" t="str">
        <f>IFERROR(__xludf.DUMMYFUNCTION("""COMPUTED_VALUE"""),"#VALUE!")</f>
        <v>#VALUE!</v>
      </c>
      <c r="J405" s="51" t="str">
        <f>IFERROR(__xludf.DUMMYFUNCTION("""COMPUTED_VALUE"""),"")</f>
        <v/>
      </c>
      <c r="K405" s="51"/>
      <c r="L405" s="51" t="s">
        <v>257</v>
      </c>
      <c r="M405" s="51"/>
      <c r="N405" s="51"/>
      <c r="O405" s="51"/>
      <c r="P405" s="51"/>
      <c r="Q405" s="51"/>
      <c r="R405" s="51"/>
      <c r="S405" s="51"/>
      <c r="T405" s="51"/>
    </row>
    <row r="406">
      <c r="A406" s="51"/>
      <c r="B406" s="51"/>
      <c r="C406" s="56"/>
      <c r="D406" s="51"/>
      <c r="E406" s="51"/>
      <c r="F406" s="51"/>
      <c r="G406" s="51" t="str">
        <f>IFERROR(__xludf.DUMMYFUNCTION("""COMPUTED_VALUE"""),"#VALUE!")</f>
        <v>#VALUE!</v>
      </c>
      <c r="H406" s="51" t="str">
        <f>IFERROR(__xludf.DUMMYFUNCTION("""COMPUTED_VALUE"""),"")</f>
        <v/>
      </c>
      <c r="I406" s="51" t="str">
        <f>IFERROR(__xludf.DUMMYFUNCTION("""COMPUTED_VALUE"""),"#VALUE!")</f>
        <v>#VALUE!</v>
      </c>
      <c r="J406" s="51" t="str">
        <f>IFERROR(__xludf.DUMMYFUNCTION("""COMPUTED_VALUE"""),"")</f>
        <v/>
      </c>
      <c r="K406" s="51"/>
      <c r="L406" s="51" t="s">
        <v>257</v>
      </c>
      <c r="M406" s="51"/>
      <c r="N406" s="51"/>
      <c r="O406" s="51"/>
      <c r="P406" s="51"/>
      <c r="Q406" s="51"/>
      <c r="R406" s="51"/>
      <c r="S406" s="51"/>
      <c r="T406" s="51"/>
    </row>
    <row r="407">
      <c r="A407" s="51"/>
      <c r="B407" s="51"/>
      <c r="C407" s="56"/>
      <c r="D407" s="51"/>
      <c r="E407" s="51"/>
      <c r="F407" s="51"/>
      <c r="G407" s="51" t="str">
        <f>IFERROR(__xludf.DUMMYFUNCTION("""COMPUTED_VALUE"""),"#VALUE!")</f>
        <v>#VALUE!</v>
      </c>
      <c r="H407" s="51" t="str">
        <f>IFERROR(__xludf.DUMMYFUNCTION("""COMPUTED_VALUE"""),"")</f>
        <v/>
      </c>
      <c r="I407" s="51" t="str">
        <f>IFERROR(__xludf.DUMMYFUNCTION("""COMPUTED_VALUE"""),"#VALUE!")</f>
        <v>#VALUE!</v>
      </c>
      <c r="J407" s="51" t="str">
        <f>IFERROR(__xludf.DUMMYFUNCTION("""COMPUTED_VALUE"""),"")</f>
        <v/>
      </c>
      <c r="K407" s="51"/>
      <c r="L407" s="51" t="s">
        <v>257</v>
      </c>
      <c r="M407" s="51"/>
      <c r="N407" s="51"/>
      <c r="O407" s="51"/>
      <c r="P407" s="51"/>
      <c r="Q407" s="51"/>
      <c r="R407" s="51"/>
      <c r="S407" s="51"/>
      <c r="T407" s="51"/>
    </row>
    <row r="408">
      <c r="A408" s="51"/>
      <c r="B408" s="51"/>
      <c r="C408" s="56"/>
      <c r="D408" s="51"/>
      <c r="E408" s="51"/>
      <c r="F408" s="51"/>
      <c r="G408" s="51" t="str">
        <f>IFERROR(__xludf.DUMMYFUNCTION("""COMPUTED_VALUE"""),"#VALUE!")</f>
        <v>#VALUE!</v>
      </c>
      <c r="H408" s="51" t="str">
        <f>IFERROR(__xludf.DUMMYFUNCTION("""COMPUTED_VALUE"""),"")</f>
        <v/>
      </c>
      <c r="I408" s="51" t="str">
        <f>IFERROR(__xludf.DUMMYFUNCTION("""COMPUTED_VALUE"""),"#VALUE!")</f>
        <v>#VALUE!</v>
      </c>
      <c r="J408" s="51" t="str">
        <f>IFERROR(__xludf.DUMMYFUNCTION("""COMPUTED_VALUE"""),"")</f>
        <v/>
      </c>
      <c r="K408" s="51"/>
      <c r="L408" s="51" t="s">
        <v>257</v>
      </c>
      <c r="M408" s="51"/>
      <c r="N408" s="51"/>
      <c r="O408" s="51"/>
      <c r="P408" s="51"/>
      <c r="Q408" s="51"/>
      <c r="R408" s="51"/>
      <c r="S408" s="51"/>
      <c r="T408" s="51"/>
    </row>
    <row r="409">
      <c r="A409" s="51"/>
      <c r="B409" s="51"/>
      <c r="C409" s="56"/>
      <c r="D409" s="51"/>
      <c r="E409" s="51"/>
      <c r="F409" s="51"/>
      <c r="G409" s="51" t="str">
        <f>IFERROR(__xludf.DUMMYFUNCTION("""COMPUTED_VALUE"""),"#VALUE!")</f>
        <v>#VALUE!</v>
      </c>
      <c r="H409" s="51" t="str">
        <f>IFERROR(__xludf.DUMMYFUNCTION("""COMPUTED_VALUE"""),"")</f>
        <v/>
      </c>
      <c r="I409" s="51" t="str">
        <f>IFERROR(__xludf.DUMMYFUNCTION("""COMPUTED_VALUE"""),"#VALUE!")</f>
        <v>#VALUE!</v>
      </c>
      <c r="J409" s="51" t="str">
        <f>IFERROR(__xludf.DUMMYFUNCTION("""COMPUTED_VALUE"""),"")</f>
        <v/>
      </c>
      <c r="K409" s="51"/>
      <c r="L409" s="51" t="s">
        <v>257</v>
      </c>
      <c r="M409" s="51"/>
      <c r="N409" s="51"/>
      <c r="O409" s="51"/>
      <c r="P409" s="51"/>
      <c r="Q409" s="51"/>
      <c r="R409" s="51"/>
      <c r="S409" s="51"/>
      <c r="T409" s="51"/>
    </row>
    <row r="410">
      <c r="A410" s="51"/>
      <c r="B410" s="51"/>
      <c r="C410" s="56"/>
      <c r="D410" s="51"/>
      <c r="E410" s="51"/>
      <c r="F410" s="51"/>
      <c r="G410" s="51" t="str">
        <f>IFERROR(__xludf.DUMMYFUNCTION("""COMPUTED_VALUE"""),"#VALUE!")</f>
        <v>#VALUE!</v>
      </c>
      <c r="H410" s="51" t="str">
        <f>IFERROR(__xludf.DUMMYFUNCTION("""COMPUTED_VALUE"""),"")</f>
        <v/>
      </c>
      <c r="I410" s="51" t="str">
        <f>IFERROR(__xludf.DUMMYFUNCTION("""COMPUTED_VALUE"""),"#VALUE!")</f>
        <v>#VALUE!</v>
      </c>
      <c r="J410" s="51" t="str">
        <f>IFERROR(__xludf.DUMMYFUNCTION("""COMPUTED_VALUE"""),"")</f>
        <v/>
      </c>
      <c r="K410" s="51"/>
      <c r="L410" s="51" t="s">
        <v>257</v>
      </c>
      <c r="M410" s="51"/>
      <c r="N410" s="51"/>
      <c r="O410" s="51"/>
      <c r="P410" s="51"/>
      <c r="Q410" s="51"/>
      <c r="R410" s="51"/>
      <c r="S410" s="51"/>
      <c r="T410" s="51"/>
    </row>
    <row r="411">
      <c r="A411" s="51"/>
      <c r="B411" s="51"/>
      <c r="C411" s="56"/>
      <c r="D411" s="51"/>
      <c r="E411" s="51"/>
      <c r="F411" s="51"/>
      <c r="G411" s="51" t="str">
        <f>IFERROR(__xludf.DUMMYFUNCTION("""COMPUTED_VALUE"""),"#VALUE!")</f>
        <v>#VALUE!</v>
      </c>
      <c r="H411" s="51" t="str">
        <f>IFERROR(__xludf.DUMMYFUNCTION("""COMPUTED_VALUE"""),"")</f>
        <v/>
      </c>
      <c r="I411" s="51" t="str">
        <f>IFERROR(__xludf.DUMMYFUNCTION("""COMPUTED_VALUE"""),"#VALUE!")</f>
        <v>#VALUE!</v>
      </c>
      <c r="J411" s="51" t="str">
        <f>IFERROR(__xludf.DUMMYFUNCTION("""COMPUTED_VALUE"""),"")</f>
        <v/>
      </c>
      <c r="K411" s="51"/>
      <c r="L411" s="51" t="s">
        <v>257</v>
      </c>
      <c r="M411" s="51"/>
      <c r="N411" s="51"/>
      <c r="O411" s="51"/>
      <c r="P411" s="51"/>
      <c r="Q411" s="51"/>
      <c r="R411" s="51"/>
      <c r="S411" s="51"/>
      <c r="T411" s="51"/>
    </row>
    <row r="412">
      <c r="A412" s="51"/>
      <c r="B412" s="51"/>
      <c r="C412" s="56"/>
      <c r="D412" s="51"/>
      <c r="E412" s="51"/>
      <c r="F412" s="51"/>
      <c r="G412" s="51" t="str">
        <f>IFERROR(__xludf.DUMMYFUNCTION("""COMPUTED_VALUE"""),"#VALUE!")</f>
        <v>#VALUE!</v>
      </c>
      <c r="H412" s="51" t="str">
        <f>IFERROR(__xludf.DUMMYFUNCTION("""COMPUTED_VALUE"""),"")</f>
        <v/>
      </c>
      <c r="I412" s="51" t="str">
        <f>IFERROR(__xludf.DUMMYFUNCTION("""COMPUTED_VALUE"""),"#VALUE!")</f>
        <v>#VALUE!</v>
      </c>
      <c r="J412" s="51" t="str">
        <f>IFERROR(__xludf.DUMMYFUNCTION("""COMPUTED_VALUE"""),"")</f>
        <v/>
      </c>
      <c r="K412" s="51"/>
      <c r="L412" s="51" t="s">
        <v>257</v>
      </c>
      <c r="M412" s="51"/>
      <c r="N412" s="51"/>
      <c r="O412" s="51"/>
      <c r="P412" s="51"/>
      <c r="Q412" s="51"/>
      <c r="R412" s="51"/>
      <c r="S412" s="51"/>
      <c r="T412" s="51"/>
    </row>
    <row r="413">
      <c r="A413" s="51"/>
      <c r="B413" s="51"/>
      <c r="C413" s="56"/>
      <c r="D413" s="51"/>
      <c r="E413" s="51"/>
      <c r="F413" s="51"/>
      <c r="G413" s="51" t="str">
        <f>IFERROR(__xludf.DUMMYFUNCTION("""COMPUTED_VALUE"""),"#VALUE!")</f>
        <v>#VALUE!</v>
      </c>
      <c r="H413" s="51" t="str">
        <f>IFERROR(__xludf.DUMMYFUNCTION("""COMPUTED_VALUE"""),"")</f>
        <v/>
      </c>
      <c r="I413" s="51" t="str">
        <f>IFERROR(__xludf.DUMMYFUNCTION("""COMPUTED_VALUE"""),"#VALUE!")</f>
        <v>#VALUE!</v>
      </c>
      <c r="J413" s="51" t="str">
        <f>IFERROR(__xludf.DUMMYFUNCTION("""COMPUTED_VALUE"""),"")</f>
        <v/>
      </c>
      <c r="K413" s="51"/>
      <c r="L413" s="51" t="s">
        <v>257</v>
      </c>
      <c r="M413" s="51"/>
      <c r="N413" s="51"/>
      <c r="O413" s="51"/>
      <c r="P413" s="51"/>
      <c r="Q413" s="51"/>
      <c r="R413" s="51"/>
      <c r="S413" s="51"/>
      <c r="T413" s="51"/>
    </row>
    <row r="414">
      <c r="A414" s="51"/>
      <c r="B414" s="51"/>
      <c r="C414" s="56"/>
      <c r="D414" s="51"/>
      <c r="E414" s="51"/>
      <c r="F414" s="51"/>
      <c r="G414" s="51" t="str">
        <f>IFERROR(__xludf.DUMMYFUNCTION("""COMPUTED_VALUE"""),"#VALUE!")</f>
        <v>#VALUE!</v>
      </c>
      <c r="H414" s="51" t="str">
        <f>IFERROR(__xludf.DUMMYFUNCTION("""COMPUTED_VALUE"""),"")</f>
        <v/>
      </c>
      <c r="I414" s="51" t="str">
        <f>IFERROR(__xludf.DUMMYFUNCTION("""COMPUTED_VALUE"""),"#VALUE!")</f>
        <v>#VALUE!</v>
      </c>
      <c r="J414" s="51" t="str">
        <f>IFERROR(__xludf.DUMMYFUNCTION("""COMPUTED_VALUE"""),"")</f>
        <v/>
      </c>
      <c r="K414" s="51"/>
      <c r="L414" s="51" t="s">
        <v>257</v>
      </c>
      <c r="M414" s="51"/>
      <c r="N414" s="51"/>
      <c r="O414" s="51"/>
      <c r="P414" s="51"/>
      <c r="Q414" s="51"/>
      <c r="R414" s="51"/>
      <c r="S414" s="51"/>
      <c r="T414" s="51"/>
    </row>
    <row r="415">
      <c r="A415" s="51"/>
      <c r="B415" s="51"/>
      <c r="C415" s="56"/>
      <c r="D415" s="51"/>
      <c r="E415" s="51"/>
      <c r="F415" s="51"/>
      <c r="G415" s="51" t="str">
        <f>IFERROR(__xludf.DUMMYFUNCTION("""COMPUTED_VALUE"""),"#VALUE!")</f>
        <v>#VALUE!</v>
      </c>
      <c r="H415" s="51" t="str">
        <f>IFERROR(__xludf.DUMMYFUNCTION("""COMPUTED_VALUE"""),"")</f>
        <v/>
      </c>
      <c r="I415" s="51" t="str">
        <f>IFERROR(__xludf.DUMMYFUNCTION("""COMPUTED_VALUE"""),"#VALUE!")</f>
        <v>#VALUE!</v>
      </c>
      <c r="J415" s="51" t="str">
        <f>IFERROR(__xludf.DUMMYFUNCTION("""COMPUTED_VALUE"""),"")</f>
        <v/>
      </c>
      <c r="K415" s="51"/>
      <c r="L415" s="51" t="s">
        <v>257</v>
      </c>
      <c r="M415" s="51"/>
      <c r="N415" s="51"/>
      <c r="O415" s="51"/>
      <c r="P415" s="51"/>
      <c r="Q415" s="51"/>
      <c r="R415" s="51"/>
      <c r="S415" s="51"/>
      <c r="T415" s="51"/>
    </row>
    <row r="416">
      <c r="A416" s="51"/>
      <c r="B416" s="51"/>
      <c r="C416" s="56"/>
      <c r="D416" s="51"/>
      <c r="E416" s="51"/>
      <c r="F416" s="51"/>
      <c r="G416" s="51" t="str">
        <f>IFERROR(__xludf.DUMMYFUNCTION("""COMPUTED_VALUE"""),"#VALUE!")</f>
        <v>#VALUE!</v>
      </c>
      <c r="H416" s="51" t="str">
        <f>IFERROR(__xludf.DUMMYFUNCTION("""COMPUTED_VALUE"""),"")</f>
        <v/>
      </c>
      <c r="I416" s="51" t="str">
        <f>IFERROR(__xludf.DUMMYFUNCTION("""COMPUTED_VALUE"""),"#VALUE!")</f>
        <v>#VALUE!</v>
      </c>
      <c r="J416" s="51" t="str">
        <f>IFERROR(__xludf.DUMMYFUNCTION("""COMPUTED_VALUE"""),"")</f>
        <v/>
      </c>
      <c r="K416" s="51"/>
      <c r="L416" s="51" t="s">
        <v>257</v>
      </c>
      <c r="M416" s="51"/>
      <c r="N416" s="51"/>
      <c r="O416" s="51"/>
      <c r="P416" s="51"/>
      <c r="Q416" s="51"/>
      <c r="R416" s="51"/>
      <c r="S416" s="51"/>
      <c r="T416" s="51"/>
    </row>
    <row r="417">
      <c r="A417" s="51"/>
      <c r="B417" s="51"/>
      <c r="C417" s="56"/>
      <c r="D417" s="51"/>
      <c r="E417" s="51"/>
      <c r="F417" s="51"/>
      <c r="G417" s="51" t="str">
        <f>IFERROR(__xludf.DUMMYFUNCTION("""COMPUTED_VALUE"""),"#VALUE!")</f>
        <v>#VALUE!</v>
      </c>
      <c r="H417" s="51" t="str">
        <f>IFERROR(__xludf.DUMMYFUNCTION("""COMPUTED_VALUE"""),"")</f>
        <v/>
      </c>
      <c r="I417" s="51" t="str">
        <f>IFERROR(__xludf.DUMMYFUNCTION("""COMPUTED_VALUE"""),"#VALUE!")</f>
        <v>#VALUE!</v>
      </c>
      <c r="J417" s="51" t="str">
        <f>IFERROR(__xludf.DUMMYFUNCTION("""COMPUTED_VALUE"""),"")</f>
        <v/>
      </c>
      <c r="K417" s="51"/>
      <c r="L417" s="51" t="s">
        <v>257</v>
      </c>
      <c r="M417" s="51"/>
      <c r="N417" s="51"/>
      <c r="O417" s="51"/>
      <c r="P417" s="51"/>
      <c r="Q417" s="51"/>
      <c r="R417" s="51"/>
      <c r="S417" s="51"/>
      <c r="T417" s="51"/>
    </row>
    <row r="418">
      <c r="A418" s="51"/>
      <c r="B418" s="51"/>
      <c r="C418" s="56"/>
      <c r="D418" s="51"/>
      <c r="E418" s="51"/>
      <c r="F418" s="51"/>
      <c r="G418" s="51" t="str">
        <f>IFERROR(__xludf.DUMMYFUNCTION("""COMPUTED_VALUE"""),"#VALUE!")</f>
        <v>#VALUE!</v>
      </c>
      <c r="H418" s="51" t="str">
        <f>IFERROR(__xludf.DUMMYFUNCTION("""COMPUTED_VALUE"""),"")</f>
        <v/>
      </c>
      <c r="I418" s="51" t="str">
        <f>IFERROR(__xludf.DUMMYFUNCTION("""COMPUTED_VALUE"""),"#VALUE!")</f>
        <v>#VALUE!</v>
      </c>
      <c r="J418" s="51" t="str">
        <f>IFERROR(__xludf.DUMMYFUNCTION("""COMPUTED_VALUE"""),"")</f>
        <v/>
      </c>
      <c r="K418" s="51"/>
      <c r="L418" s="51" t="s">
        <v>257</v>
      </c>
      <c r="M418" s="51"/>
      <c r="N418" s="51"/>
      <c r="O418" s="51"/>
      <c r="P418" s="51"/>
      <c r="Q418" s="51"/>
      <c r="R418" s="51"/>
      <c r="S418" s="51"/>
      <c r="T418" s="51"/>
    </row>
    <row r="419">
      <c r="A419" s="51"/>
      <c r="B419" s="51"/>
      <c r="C419" s="56"/>
      <c r="D419" s="51"/>
      <c r="E419" s="51"/>
      <c r="F419" s="51"/>
      <c r="G419" s="51" t="str">
        <f>IFERROR(__xludf.DUMMYFUNCTION("""COMPUTED_VALUE"""),"#VALUE!")</f>
        <v>#VALUE!</v>
      </c>
      <c r="H419" s="51" t="str">
        <f>IFERROR(__xludf.DUMMYFUNCTION("""COMPUTED_VALUE"""),"")</f>
        <v/>
      </c>
      <c r="I419" s="51" t="str">
        <f>IFERROR(__xludf.DUMMYFUNCTION("""COMPUTED_VALUE"""),"#VALUE!")</f>
        <v>#VALUE!</v>
      </c>
      <c r="J419" s="51" t="str">
        <f>IFERROR(__xludf.DUMMYFUNCTION("""COMPUTED_VALUE"""),"")</f>
        <v/>
      </c>
      <c r="K419" s="51"/>
      <c r="L419" s="51" t="s">
        <v>257</v>
      </c>
      <c r="M419" s="51"/>
      <c r="N419" s="51"/>
      <c r="O419" s="51"/>
      <c r="P419" s="51"/>
      <c r="Q419" s="51"/>
      <c r="R419" s="51"/>
      <c r="S419" s="51"/>
      <c r="T419" s="51"/>
    </row>
    <row r="420">
      <c r="A420" s="51"/>
      <c r="B420" s="51"/>
      <c r="C420" s="56"/>
      <c r="D420" s="51"/>
      <c r="E420" s="51"/>
      <c r="F420" s="51"/>
      <c r="G420" s="51" t="str">
        <f>IFERROR(__xludf.DUMMYFUNCTION("""COMPUTED_VALUE"""),"#VALUE!")</f>
        <v>#VALUE!</v>
      </c>
      <c r="H420" s="51" t="str">
        <f>IFERROR(__xludf.DUMMYFUNCTION("""COMPUTED_VALUE"""),"")</f>
        <v/>
      </c>
      <c r="I420" s="51" t="str">
        <f>IFERROR(__xludf.DUMMYFUNCTION("""COMPUTED_VALUE"""),"#VALUE!")</f>
        <v>#VALUE!</v>
      </c>
      <c r="J420" s="51" t="str">
        <f>IFERROR(__xludf.DUMMYFUNCTION("""COMPUTED_VALUE"""),"")</f>
        <v/>
      </c>
      <c r="K420" s="51"/>
      <c r="L420" s="51" t="s">
        <v>257</v>
      </c>
      <c r="M420" s="51"/>
      <c r="N420" s="51"/>
      <c r="O420" s="51"/>
      <c r="P420" s="51"/>
      <c r="Q420" s="51"/>
      <c r="R420" s="51"/>
      <c r="S420" s="51"/>
      <c r="T420" s="51"/>
    </row>
    <row r="421">
      <c r="A421" s="51"/>
      <c r="B421" s="51"/>
      <c r="C421" s="56"/>
      <c r="D421" s="51"/>
      <c r="E421" s="51"/>
      <c r="F421" s="51"/>
      <c r="G421" s="51" t="str">
        <f>IFERROR(__xludf.DUMMYFUNCTION("""COMPUTED_VALUE"""),"#VALUE!")</f>
        <v>#VALUE!</v>
      </c>
      <c r="H421" s="51" t="str">
        <f>IFERROR(__xludf.DUMMYFUNCTION("""COMPUTED_VALUE"""),"")</f>
        <v/>
      </c>
      <c r="I421" s="51" t="str">
        <f>IFERROR(__xludf.DUMMYFUNCTION("""COMPUTED_VALUE"""),"#VALUE!")</f>
        <v>#VALUE!</v>
      </c>
      <c r="J421" s="51" t="str">
        <f>IFERROR(__xludf.DUMMYFUNCTION("""COMPUTED_VALUE"""),"")</f>
        <v/>
      </c>
      <c r="K421" s="51"/>
      <c r="L421" s="51" t="s">
        <v>257</v>
      </c>
      <c r="M421" s="51"/>
      <c r="N421" s="51"/>
      <c r="O421" s="51"/>
      <c r="P421" s="51"/>
      <c r="Q421" s="51"/>
      <c r="R421" s="51"/>
      <c r="S421" s="51"/>
      <c r="T421" s="51"/>
    </row>
    <row r="422">
      <c r="A422" s="51"/>
      <c r="B422" s="51"/>
      <c r="C422" s="56"/>
      <c r="D422" s="51"/>
      <c r="E422" s="51"/>
      <c r="F422" s="51"/>
      <c r="G422" s="51" t="str">
        <f>IFERROR(__xludf.DUMMYFUNCTION("""COMPUTED_VALUE"""),"#VALUE!")</f>
        <v>#VALUE!</v>
      </c>
      <c r="H422" s="51" t="str">
        <f>IFERROR(__xludf.DUMMYFUNCTION("""COMPUTED_VALUE"""),"")</f>
        <v/>
      </c>
      <c r="I422" s="51" t="str">
        <f>IFERROR(__xludf.DUMMYFUNCTION("""COMPUTED_VALUE"""),"#VALUE!")</f>
        <v>#VALUE!</v>
      </c>
      <c r="J422" s="51" t="str">
        <f>IFERROR(__xludf.DUMMYFUNCTION("""COMPUTED_VALUE"""),"")</f>
        <v/>
      </c>
      <c r="K422" s="51"/>
      <c r="L422" s="51" t="s">
        <v>257</v>
      </c>
      <c r="M422" s="51"/>
      <c r="N422" s="51"/>
      <c r="O422" s="51"/>
      <c r="P422" s="51"/>
      <c r="Q422" s="51"/>
      <c r="R422" s="51"/>
      <c r="S422" s="51"/>
      <c r="T422" s="51"/>
    </row>
    <row r="423">
      <c r="A423" s="51"/>
      <c r="B423" s="51"/>
      <c r="C423" s="56"/>
      <c r="D423" s="51"/>
      <c r="E423" s="51"/>
      <c r="F423" s="51"/>
      <c r="G423" s="51" t="str">
        <f>IFERROR(__xludf.DUMMYFUNCTION("""COMPUTED_VALUE"""),"#VALUE!")</f>
        <v>#VALUE!</v>
      </c>
      <c r="H423" s="51" t="str">
        <f>IFERROR(__xludf.DUMMYFUNCTION("""COMPUTED_VALUE"""),"")</f>
        <v/>
      </c>
      <c r="I423" s="51" t="str">
        <f>IFERROR(__xludf.DUMMYFUNCTION("""COMPUTED_VALUE"""),"#VALUE!")</f>
        <v>#VALUE!</v>
      </c>
      <c r="J423" s="51" t="str">
        <f>IFERROR(__xludf.DUMMYFUNCTION("""COMPUTED_VALUE"""),"")</f>
        <v/>
      </c>
      <c r="K423" s="51"/>
      <c r="L423" s="51" t="s">
        <v>257</v>
      </c>
      <c r="M423" s="51"/>
      <c r="N423" s="51"/>
      <c r="O423" s="51"/>
      <c r="P423" s="51"/>
      <c r="Q423" s="51"/>
      <c r="R423" s="51"/>
      <c r="S423" s="51"/>
      <c r="T423" s="51"/>
    </row>
    <row r="424">
      <c r="A424" s="51"/>
      <c r="B424" s="51"/>
      <c r="C424" s="56"/>
      <c r="D424" s="51"/>
      <c r="E424" s="51"/>
      <c r="F424" s="51"/>
      <c r="G424" s="51" t="str">
        <f>IFERROR(__xludf.DUMMYFUNCTION("""COMPUTED_VALUE"""),"#VALUE!")</f>
        <v>#VALUE!</v>
      </c>
      <c r="H424" s="51" t="str">
        <f>IFERROR(__xludf.DUMMYFUNCTION("""COMPUTED_VALUE"""),"")</f>
        <v/>
      </c>
      <c r="I424" s="51" t="str">
        <f>IFERROR(__xludf.DUMMYFUNCTION("""COMPUTED_VALUE"""),"#VALUE!")</f>
        <v>#VALUE!</v>
      </c>
      <c r="J424" s="51" t="str">
        <f>IFERROR(__xludf.DUMMYFUNCTION("""COMPUTED_VALUE"""),"")</f>
        <v/>
      </c>
      <c r="K424" s="51"/>
      <c r="L424" s="51" t="s">
        <v>257</v>
      </c>
      <c r="M424" s="51"/>
      <c r="N424" s="51"/>
      <c r="O424" s="51"/>
      <c r="P424" s="51"/>
      <c r="Q424" s="51"/>
      <c r="R424" s="51"/>
      <c r="S424" s="51"/>
      <c r="T424" s="51"/>
    </row>
    <row r="425">
      <c r="A425" s="51"/>
      <c r="B425" s="51"/>
      <c r="C425" s="56"/>
      <c r="D425" s="51"/>
      <c r="E425" s="51"/>
      <c r="F425" s="51"/>
      <c r="G425" s="51" t="str">
        <f>IFERROR(__xludf.DUMMYFUNCTION("""COMPUTED_VALUE"""),"#VALUE!")</f>
        <v>#VALUE!</v>
      </c>
      <c r="H425" s="51" t="str">
        <f>IFERROR(__xludf.DUMMYFUNCTION("""COMPUTED_VALUE"""),"")</f>
        <v/>
      </c>
      <c r="I425" s="51" t="str">
        <f>IFERROR(__xludf.DUMMYFUNCTION("""COMPUTED_VALUE"""),"#VALUE!")</f>
        <v>#VALUE!</v>
      </c>
      <c r="J425" s="51" t="str">
        <f>IFERROR(__xludf.DUMMYFUNCTION("""COMPUTED_VALUE"""),"")</f>
        <v/>
      </c>
      <c r="K425" s="51"/>
      <c r="L425" s="51" t="s">
        <v>257</v>
      </c>
      <c r="M425" s="51"/>
      <c r="N425" s="51"/>
      <c r="O425" s="51"/>
      <c r="P425" s="51"/>
      <c r="Q425" s="51"/>
      <c r="R425" s="51"/>
      <c r="S425" s="51"/>
      <c r="T425" s="51"/>
    </row>
    <row r="426">
      <c r="A426" s="51"/>
      <c r="B426" s="51"/>
      <c r="C426" s="56"/>
      <c r="D426" s="51"/>
      <c r="E426" s="51"/>
      <c r="F426" s="51"/>
      <c r="G426" s="51" t="str">
        <f>IFERROR(__xludf.DUMMYFUNCTION("""COMPUTED_VALUE"""),"#VALUE!")</f>
        <v>#VALUE!</v>
      </c>
      <c r="H426" s="51" t="str">
        <f>IFERROR(__xludf.DUMMYFUNCTION("""COMPUTED_VALUE"""),"")</f>
        <v/>
      </c>
      <c r="I426" s="51" t="str">
        <f>IFERROR(__xludf.DUMMYFUNCTION("""COMPUTED_VALUE"""),"#VALUE!")</f>
        <v>#VALUE!</v>
      </c>
      <c r="J426" s="51" t="str">
        <f>IFERROR(__xludf.DUMMYFUNCTION("""COMPUTED_VALUE"""),"")</f>
        <v/>
      </c>
      <c r="K426" s="51"/>
      <c r="L426" s="51" t="s">
        <v>257</v>
      </c>
      <c r="M426" s="51"/>
      <c r="N426" s="51"/>
      <c r="O426" s="51"/>
      <c r="P426" s="51"/>
      <c r="Q426" s="51"/>
      <c r="R426" s="51"/>
      <c r="S426" s="51"/>
      <c r="T426" s="51"/>
    </row>
    <row r="427">
      <c r="A427" s="51"/>
      <c r="B427" s="51"/>
      <c r="C427" s="56"/>
      <c r="D427" s="51"/>
      <c r="E427" s="51"/>
      <c r="F427" s="51"/>
      <c r="G427" s="51" t="str">
        <f>IFERROR(__xludf.DUMMYFUNCTION("""COMPUTED_VALUE"""),"#VALUE!")</f>
        <v>#VALUE!</v>
      </c>
      <c r="H427" s="51" t="str">
        <f>IFERROR(__xludf.DUMMYFUNCTION("""COMPUTED_VALUE"""),"")</f>
        <v/>
      </c>
      <c r="I427" s="51" t="str">
        <f>IFERROR(__xludf.DUMMYFUNCTION("""COMPUTED_VALUE"""),"#VALUE!")</f>
        <v>#VALUE!</v>
      </c>
      <c r="J427" s="51" t="str">
        <f>IFERROR(__xludf.DUMMYFUNCTION("""COMPUTED_VALUE"""),"")</f>
        <v/>
      </c>
      <c r="K427" s="51"/>
      <c r="L427" s="51" t="s">
        <v>257</v>
      </c>
      <c r="M427" s="51"/>
      <c r="N427" s="51"/>
      <c r="O427" s="51"/>
      <c r="P427" s="51"/>
      <c r="Q427" s="51"/>
      <c r="R427" s="51"/>
      <c r="S427" s="51"/>
      <c r="T427" s="51"/>
    </row>
    <row r="428">
      <c r="A428" s="51"/>
      <c r="B428" s="51"/>
      <c r="C428" s="56"/>
      <c r="D428" s="51"/>
      <c r="E428" s="51"/>
      <c r="F428" s="51"/>
      <c r="G428" s="51" t="str">
        <f>IFERROR(__xludf.DUMMYFUNCTION("""COMPUTED_VALUE"""),"#VALUE!")</f>
        <v>#VALUE!</v>
      </c>
      <c r="H428" s="51" t="str">
        <f>IFERROR(__xludf.DUMMYFUNCTION("""COMPUTED_VALUE"""),"")</f>
        <v/>
      </c>
      <c r="I428" s="51" t="str">
        <f>IFERROR(__xludf.DUMMYFUNCTION("""COMPUTED_VALUE"""),"#VALUE!")</f>
        <v>#VALUE!</v>
      </c>
      <c r="J428" s="51" t="str">
        <f>IFERROR(__xludf.DUMMYFUNCTION("""COMPUTED_VALUE"""),"")</f>
        <v/>
      </c>
      <c r="K428" s="51"/>
      <c r="L428" s="51" t="s">
        <v>257</v>
      </c>
      <c r="M428" s="51"/>
      <c r="N428" s="51"/>
      <c r="O428" s="51"/>
      <c r="P428" s="51"/>
      <c r="Q428" s="51"/>
      <c r="R428" s="51"/>
      <c r="S428" s="51"/>
      <c r="T428" s="51"/>
    </row>
    <row r="429">
      <c r="A429" s="51"/>
      <c r="B429" s="51"/>
      <c r="C429" s="56"/>
      <c r="D429" s="51"/>
      <c r="E429" s="51"/>
      <c r="F429" s="51"/>
      <c r="G429" s="51" t="str">
        <f>IFERROR(__xludf.DUMMYFUNCTION("""COMPUTED_VALUE"""),"#VALUE!")</f>
        <v>#VALUE!</v>
      </c>
      <c r="H429" s="51" t="str">
        <f>IFERROR(__xludf.DUMMYFUNCTION("""COMPUTED_VALUE"""),"")</f>
        <v/>
      </c>
      <c r="I429" s="51" t="str">
        <f>IFERROR(__xludf.DUMMYFUNCTION("""COMPUTED_VALUE"""),"#VALUE!")</f>
        <v>#VALUE!</v>
      </c>
      <c r="J429" s="51" t="str">
        <f>IFERROR(__xludf.DUMMYFUNCTION("""COMPUTED_VALUE"""),"")</f>
        <v/>
      </c>
      <c r="K429" s="51"/>
      <c r="L429" s="51" t="s">
        <v>257</v>
      </c>
      <c r="M429" s="51"/>
      <c r="N429" s="51"/>
      <c r="O429" s="51"/>
      <c r="P429" s="51"/>
      <c r="Q429" s="51"/>
      <c r="R429" s="51"/>
      <c r="S429" s="51"/>
      <c r="T429" s="51"/>
    </row>
    <row r="430">
      <c r="A430" s="51"/>
      <c r="B430" s="51"/>
      <c r="C430" s="56"/>
      <c r="D430" s="51"/>
      <c r="E430" s="51"/>
      <c r="F430" s="51"/>
      <c r="G430" s="51" t="str">
        <f>IFERROR(__xludf.DUMMYFUNCTION("""COMPUTED_VALUE"""),"#VALUE!")</f>
        <v>#VALUE!</v>
      </c>
      <c r="H430" s="51" t="str">
        <f>IFERROR(__xludf.DUMMYFUNCTION("""COMPUTED_VALUE"""),"")</f>
        <v/>
      </c>
      <c r="I430" s="51" t="str">
        <f>IFERROR(__xludf.DUMMYFUNCTION("""COMPUTED_VALUE"""),"#VALUE!")</f>
        <v>#VALUE!</v>
      </c>
      <c r="J430" s="51" t="str">
        <f>IFERROR(__xludf.DUMMYFUNCTION("""COMPUTED_VALUE"""),"")</f>
        <v/>
      </c>
      <c r="K430" s="51"/>
      <c r="L430" s="51" t="s">
        <v>257</v>
      </c>
      <c r="M430" s="51"/>
      <c r="N430" s="51"/>
      <c r="O430" s="51"/>
      <c r="P430" s="51"/>
      <c r="Q430" s="51"/>
      <c r="R430" s="51"/>
      <c r="S430" s="51"/>
      <c r="T430" s="51"/>
    </row>
    <row r="431">
      <c r="A431" s="51"/>
      <c r="B431" s="51"/>
      <c r="C431" s="56"/>
      <c r="D431" s="51"/>
      <c r="E431" s="51"/>
      <c r="F431" s="51"/>
      <c r="G431" s="51" t="str">
        <f>IFERROR(__xludf.DUMMYFUNCTION("""COMPUTED_VALUE"""),"#VALUE!")</f>
        <v>#VALUE!</v>
      </c>
      <c r="H431" s="51" t="str">
        <f>IFERROR(__xludf.DUMMYFUNCTION("""COMPUTED_VALUE"""),"")</f>
        <v/>
      </c>
      <c r="I431" s="51" t="str">
        <f>IFERROR(__xludf.DUMMYFUNCTION("""COMPUTED_VALUE"""),"#VALUE!")</f>
        <v>#VALUE!</v>
      </c>
      <c r="J431" s="51" t="str">
        <f>IFERROR(__xludf.DUMMYFUNCTION("""COMPUTED_VALUE"""),"")</f>
        <v/>
      </c>
      <c r="K431" s="51"/>
      <c r="L431" s="51" t="s">
        <v>257</v>
      </c>
      <c r="M431" s="51"/>
      <c r="N431" s="51"/>
      <c r="O431" s="51"/>
      <c r="P431" s="51"/>
      <c r="Q431" s="51"/>
      <c r="R431" s="51"/>
      <c r="S431" s="51"/>
      <c r="T431" s="51"/>
    </row>
    <row r="432">
      <c r="A432" s="51"/>
      <c r="B432" s="51"/>
      <c r="C432" s="56"/>
      <c r="D432" s="51"/>
      <c r="E432" s="51"/>
      <c r="F432" s="51"/>
      <c r="G432" s="51" t="str">
        <f>IFERROR(__xludf.DUMMYFUNCTION("""COMPUTED_VALUE"""),"#VALUE!")</f>
        <v>#VALUE!</v>
      </c>
      <c r="H432" s="51" t="str">
        <f>IFERROR(__xludf.DUMMYFUNCTION("""COMPUTED_VALUE"""),"")</f>
        <v/>
      </c>
      <c r="I432" s="51" t="str">
        <f>IFERROR(__xludf.DUMMYFUNCTION("""COMPUTED_VALUE"""),"#VALUE!")</f>
        <v>#VALUE!</v>
      </c>
      <c r="J432" s="51" t="str">
        <f>IFERROR(__xludf.DUMMYFUNCTION("""COMPUTED_VALUE"""),"")</f>
        <v/>
      </c>
      <c r="K432" s="51"/>
      <c r="L432" s="51" t="s">
        <v>257</v>
      </c>
      <c r="M432" s="51"/>
      <c r="N432" s="51"/>
      <c r="O432" s="51"/>
      <c r="P432" s="51"/>
      <c r="Q432" s="51"/>
      <c r="R432" s="51"/>
      <c r="S432" s="51"/>
      <c r="T432" s="51"/>
    </row>
    <row r="433">
      <c r="A433" s="51"/>
      <c r="B433" s="51"/>
      <c r="C433" s="56"/>
      <c r="D433" s="51"/>
      <c r="E433" s="51"/>
      <c r="F433" s="51"/>
      <c r="G433" s="51" t="str">
        <f>IFERROR(__xludf.DUMMYFUNCTION("""COMPUTED_VALUE"""),"#VALUE!")</f>
        <v>#VALUE!</v>
      </c>
      <c r="H433" s="51" t="str">
        <f>IFERROR(__xludf.DUMMYFUNCTION("""COMPUTED_VALUE"""),"")</f>
        <v/>
      </c>
      <c r="I433" s="51" t="str">
        <f>IFERROR(__xludf.DUMMYFUNCTION("""COMPUTED_VALUE"""),"#VALUE!")</f>
        <v>#VALUE!</v>
      </c>
      <c r="J433" s="51" t="str">
        <f>IFERROR(__xludf.DUMMYFUNCTION("""COMPUTED_VALUE"""),"")</f>
        <v/>
      </c>
      <c r="K433" s="51"/>
      <c r="L433" s="51" t="s">
        <v>257</v>
      </c>
      <c r="M433" s="51"/>
      <c r="N433" s="51"/>
      <c r="O433" s="51"/>
      <c r="P433" s="51"/>
      <c r="Q433" s="51"/>
      <c r="R433" s="51"/>
      <c r="S433" s="51"/>
      <c r="T433" s="51"/>
    </row>
    <row r="434">
      <c r="A434" s="51"/>
      <c r="B434" s="51"/>
      <c r="C434" s="56"/>
      <c r="D434" s="51"/>
      <c r="E434" s="51"/>
      <c r="F434" s="51"/>
      <c r="G434" s="51" t="str">
        <f>IFERROR(__xludf.DUMMYFUNCTION("""COMPUTED_VALUE"""),"#VALUE!")</f>
        <v>#VALUE!</v>
      </c>
      <c r="H434" s="51" t="str">
        <f>IFERROR(__xludf.DUMMYFUNCTION("""COMPUTED_VALUE"""),"")</f>
        <v/>
      </c>
      <c r="I434" s="51" t="str">
        <f>IFERROR(__xludf.DUMMYFUNCTION("""COMPUTED_VALUE"""),"#VALUE!")</f>
        <v>#VALUE!</v>
      </c>
      <c r="J434" s="51" t="str">
        <f>IFERROR(__xludf.DUMMYFUNCTION("""COMPUTED_VALUE"""),"")</f>
        <v/>
      </c>
      <c r="K434" s="51"/>
      <c r="L434" s="51" t="s">
        <v>257</v>
      </c>
      <c r="M434" s="51"/>
      <c r="N434" s="51"/>
      <c r="O434" s="51"/>
      <c r="P434" s="51"/>
      <c r="Q434" s="51"/>
      <c r="R434" s="51"/>
      <c r="S434" s="51"/>
      <c r="T434" s="51"/>
    </row>
    <row r="435">
      <c r="A435" s="51"/>
      <c r="B435" s="51"/>
      <c r="C435" s="56"/>
      <c r="D435" s="51"/>
      <c r="E435" s="51"/>
      <c r="F435" s="51"/>
      <c r="G435" s="51" t="str">
        <f>IFERROR(__xludf.DUMMYFUNCTION("""COMPUTED_VALUE"""),"#VALUE!")</f>
        <v>#VALUE!</v>
      </c>
      <c r="H435" s="51" t="str">
        <f>IFERROR(__xludf.DUMMYFUNCTION("""COMPUTED_VALUE"""),"")</f>
        <v/>
      </c>
      <c r="I435" s="51" t="str">
        <f>IFERROR(__xludf.DUMMYFUNCTION("""COMPUTED_VALUE"""),"#VALUE!")</f>
        <v>#VALUE!</v>
      </c>
      <c r="J435" s="51" t="str">
        <f>IFERROR(__xludf.DUMMYFUNCTION("""COMPUTED_VALUE"""),"")</f>
        <v/>
      </c>
      <c r="K435" s="51"/>
      <c r="L435" s="51" t="s">
        <v>257</v>
      </c>
      <c r="M435" s="51"/>
      <c r="N435" s="51"/>
      <c r="O435" s="51"/>
      <c r="P435" s="51"/>
      <c r="Q435" s="51"/>
      <c r="R435" s="51"/>
      <c r="S435" s="51"/>
      <c r="T435" s="51"/>
    </row>
    <row r="436">
      <c r="A436" s="51"/>
      <c r="B436" s="51"/>
      <c r="C436" s="56"/>
      <c r="D436" s="51"/>
      <c r="E436" s="51"/>
      <c r="F436" s="51"/>
      <c r="G436" s="51" t="str">
        <f>IFERROR(__xludf.DUMMYFUNCTION("""COMPUTED_VALUE"""),"#VALUE!")</f>
        <v>#VALUE!</v>
      </c>
      <c r="H436" s="51" t="str">
        <f>IFERROR(__xludf.DUMMYFUNCTION("""COMPUTED_VALUE"""),"")</f>
        <v/>
      </c>
      <c r="I436" s="51" t="str">
        <f>IFERROR(__xludf.DUMMYFUNCTION("""COMPUTED_VALUE"""),"#VALUE!")</f>
        <v>#VALUE!</v>
      </c>
      <c r="J436" s="51" t="str">
        <f>IFERROR(__xludf.DUMMYFUNCTION("""COMPUTED_VALUE"""),"")</f>
        <v/>
      </c>
      <c r="K436" s="51"/>
      <c r="L436" s="51" t="s">
        <v>257</v>
      </c>
      <c r="M436" s="51"/>
      <c r="N436" s="51"/>
      <c r="O436" s="51"/>
      <c r="P436" s="51"/>
      <c r="Q436" s="51"/>
      <c r="R436" s="51"/>
      <c r="S436" s="51"/>
      <c r="T436" s="51"/>
    </row>
    <row r="437">
      <c r="A437" s="51"/>
      <c r="B437" s="51"/>
      <c r="C437" s="56"/>
      <c r="D437" s="51"/>
      <c r="E437" s="51"/>
      <c r="F437" s="51"/>
      <c r="G437" s="51" t="str">
        <f>IFERROR(__xludf.DUMMYFUNCTION("""COMPUTED_VALUE"""),"#VALUE!")</f>
        <v>#VALUE!</v>
      </c>
      <c r="H437" s="51" t="str">
        <f>IFERROR(__xludf.DUMMYFUNCTION("""COMPUTED_VALUE"""),"")</f>
        <v/>
      </c>
      <c r="I437" s="51" t="str">
        <f>IFERROR(__xludf.DUMMYFUNCTION("""COMPUTED_VALUE"""),"#VALUE!")</f>
        <v>#VALUE!</v>
      </c>
      <c r="J437" s="51" t="str">
        <f>IFERROR(__xludf.DUMMYFUNCTION("""COMPUTED_VALUE"""),"")</f>
        <v/>
      </c>
      <c r="K437" s="51"/>
      <c r="L437" s="51" t="s">
        <v>257</v>
      </c>
      <c r="M437" s="51"/>
      <c r="N437" s="51"/>
      <c r="O437" s="51"/>
      <c r="P437" s="51"/>
      <c r="Q437" s="51"/>
      <c r="R437" s="51"/>
      <c r="S437" s="51"/>
      <c r="T437" s="51"/>
    </row>
    <row r="438">
      <c r="A438" s="51"/>
      <c r="B438" s="51"/>
      <c r="C438" s="56"/>
      <c r="D438" s="51"/>
      <c r="E438" s="51"/>
      <c r="F438" s="51"/>
      <c r="G438" s="51" t="str">
        <f>IFERROR(__xludf.DUMMYFUNCTION("""COMPUTED_VALUE"""),"#VALUE!")</f>
        <v>#VALUE!</v>
      </c>
      <c r="H438" s="51" t="str">
        <f>IFERROR(__xludf.DUMMYFUNCTION("""COMPUTED_VALUE"""),"")</f>
        <v/>
      </c>
      <c r="I438" s="51" t="str">
        <f>IFERROR(__xludf.DUMMYFUNCTION("""COMPUTED_VALUE"""),"#VALUE!")</f>
        <v>#VALUE!</v>
      </c>
      <c r="J438" s="51" t="str">
        <f>IFERROR(__xludf.DUMMYFUNCTION("""COMPUTED_VALUE"""),"")</f>
        <v/>
      </c>
      <c r="K438" s="51"/>
      <c r="L438" s="51" t="s">
        <v>257</v>
      </c>
      <c r="M438" s="51"/>
      <c r="N438" s="51"/>
      <c r="O438" s="51"/>
      <c r="P438" s="51"/>
      <c r="Q438" s="51"/>
      <c r="R438" s="51"/>
      <c r="S438" s="51"/>
      <c r="T438" s="51"/>
    </row>
    <row r="439">
      <c r="A439" s="51"/>
      <c r="B439" s="51"/>
      <c r="C439" s="56"/>
      <c r="D439" s="51"/>
      <c r="E439" s="51"/>
      <c r="F439" s="51"/>
      <c r="G439" s="51" t="str">
        <f>IFERROR(__xludf.DUMMYFUNCTION("""COMPUTED_VALUE"""),"#VALUE!")</f>
        <v>#VALUE!</v>
      </c>
      <c r="H439" s="51" t="str">
        <f>IFERROR(__xludf.DUMMYFUNCTION("""COMPUTED_VALUE"""),"")</f>
        <v/>
      </c>
      <c r="I439" s="51" t="str">
        <f>IFERROR(__xludf.DUMMYFUNCTION("""COMPUTED_VALUE"""),"#VALUE!")</f>
        <v>#VALUE!</v>
      </c>
      <c r="J439" s="51" t="str">
        <f>IFERROR(__xludf.DUMMYFUNCTION("""COMPUTED_VALUE"""),"")</f>
        <v/>
      </c>
      <c r="K439" s="51"/>
      <c r="L439" s="51" t="s">
        <v>257</v>
      </c>
      <c r="M439" s="51"/>
      <c r="N439" s="51"/>
      <c r="O439" s="51"/>
      <c r="P439" s="51"/>
      <c r="Q439" s="51"/>
      <c r="R439" s="51"/>
      <c r="S439" s="51"/>
      <c r="T439" s="51"/>
    </row>
    <row r="440">
      <c r="A440" s="51"/>
      <c r="B440" s="51"/>
      <c r="C440" s="56"/>
      <c r="D440" s="51"/>
      <c r="E440" s="51"/>
      <c r="F440" s="51"/>
      <c r="G440" s="51" t="str">
        <f>IFERROR(__xludf.DUMMYFUNCTION("""COMPUTED_VALUE"""),"#VALUE!")</f>
        <v>#VALUE!</v>
      </c>
      <c r="H440" s="51" t="str">
        <f>IFERROR(__xludf.DUMMYFUNCTION("""COMPUTED_VALUE"""),"")</f>
        <v/>
      </c>
      <c r="I440" s="51" t="str">
        <f>IFERROR(__xludf.DUMMYFUNCTION("""COMPUTED_VALUE"""),"#VALUE!")</f>
        <v>#VALUE!</v>
      </c>
      <c r="J440" s="51" t="str">
        <f>IFERROR(__xludf.DUMMYFUNCTION("""COMPUTED_VALUE"""),"")</f>
        <v/>
      </c>
      <c r="K440" s="51"/>
      <c r="L440" s="51" t="s">
        <v>257</v>
      </c>
      <c r="M440" s="51"/>
      <c r="N440" s="51"/>
      <c r="O440" s="51"/>
      <c r="P440" s="51"/>
      <c r="Q440" s="51"/>
      <c r="R440" s="51"/>
      <c r="S440" s="51"/>
      <c r="T440" s="51"/>
    </row>
    <row r="441">
      <c r="A441" s="51"/>
      <c r="B441" s="51"/>
      <c r="C441" s="56"/>
      <c r="D441" s="51"/>
      <c r="E441" s="51"/>
      <c r="F441" s="51"/>
      <c r="G441" s="51" t="str">
        <f>IFERROR(__xludf.DUMMYFUNCTION("""COMPUTED_VALUE"""),"#VALUE!")</f>
        <v>#VALUE!</v>
      </c>
      <c r="H441" s="51" t="str">
        <f>IFERROR(__xludf.DUMMYFUNCTION("""COMPUTED_VALUE"""),"")</f>
        <v/>
      </c>
      <c r="I441" s="51" t="str">
        <f>IFERROR(__xludf.DUMMYFUNCTION("""COMPUTED_VALUE"""),"#VALUE!")</f>
        <v>#VALUE!</v>
      </c>
      <c r="J441" s="51" t="str">
        <f>IFERROR(__xludf.DUMMYFUNCTION("""COMPUTED_VALUE"""),"")</f>
        <v/>
      </c>
      <c r="K441" s="51"/>
      <c r="L441" s="51" t="s">
        <v>257</v>
      </c>
      <c r="M441" s="51"/>
      <c r="N441" s="51"/>
      <c r="O441" s="51"/>
      <c r="P441" s="51"/>
      <c r="Q441" s="51"/>
      <c r="R441" s="51"/>
      <c r="S441" s="51"/>
      <c r="T441" s="51"/>
    </row>
    <row r="442">
      <c r="A442" s="51"/>
      <c r="B442" s="51"/>
      <c r="C442" s="56"/>
      <c r="D442" s="51"/>
      <c r="E442" s="51"/>
      <c r="F442" s="51"/>
      <c r="G442" s="51" t="str">
        <f>IFERROR(__xludf.DUMMYFUNCTION("""COMPUTED_VALUE"""),"#VALUE!")</f>
        <v>#VALUE!</v>
      </c>
      <c r="H442" s="51" t="str">
        <f>IFERROR(__xludf.DUMMYFUNCTION("""COMPUTED_VALUE"""),"")</f>
        <v/>
      </c>
      <c r="I442" s="51" t="str">
        <f>IFERROR(__xludf.DUMMYFUNCTION("""COMPUTED_VALUE"""),"#VALUE!")</f>
        <v>#VALUE!</v>
      </c>
      <c r="J442" s="51" t="str">
        <f>IFERROR(__xludf.DUMMYFUNCTION("""COMPUTED_VALUE"""),"")</f>
        <v/>
      </c>
      <c r="K442" s="51"/>
      <c r="L442" s="51" t="s">
        <v>257</v>
      </c>
      <c r="M442" s="51"/>
      <c r="N442" s="51"/>
      <c r="O442" s="51"/>
      <c r="P442" s="51"/>
      <c r="Q442" s="51"/>
      <c r="R442" s="51"/>
      <c r="S442" s="51"/>
      <c r="T442" s="51"/>
    </row>
    <row r="443">
      <c r="A443" s="51"/>
      <c r="B443" s="51"/>
      <c r="C443" s="56"/>
      <c r="D443" s="51"/>
      <c r="E443" s="51"/>
      <c r="F443" s="51"/>
      <c r="G443" s="51" t="str">
        <f>IFERROR(__xludf.DUMMYFUNCTION("""COMPUTED_VALUE"""),"#VALUE!")</f>
        <v>#VALUE!</v>
      </c>
      <c r="H443" s="51" t="str">
        <f>IFERROR(__xludf.DUMMYFUNCTION("""COMPUTED_VALUE"""),"")</f>
        <v/>
      </c>
      <c r="I443" s="51" t="str">
        <f>IFERROR(__xludf.DUMMYFUNCTION("""COMPUTED_VALUE"""),"#VALUE!")</f>
        <v>#VALUE!</v>
      </c>
      <c r="J443" s="51" t="str">
        <f>IFERROR(__xludf.DUMMYFUNCTION("""COMPUTED_VALUE"""),"")</f>
        <v/>
      </c>
      <c r="K443" s="51"/>
      <c r="L443" s="51" t="s">
        <v>257</v>
      </c>
      <c r="M443" s="51"/>
      <c r="N443" s="51"/>
      <c r="O443" s="51"/>
      <c r="P443" s="51"/>
      <c r="Q443" s="51"/>
      <c r="R443" s="51"/>
      <c r="S443" s="51"/>
      <c r="T443" s="51"/>
    </row>
    <row r="444">
      <c r="A444" s="51"/>
      <c r="B444" s="51"/>
      <c r="C444" s="56"/>
      <c r="D444" s="51"/>
      <c r="E444" s="51"/>
      <c r="F444" s="51"/>
      <c r="G444" s="51" t="str">
        <f>IFERROR(__xludf.DUMMYFUNCTION("""COMPUTED_VALUE"""),"#VALUE!")</f>
        <v>#VALUE!</v>
      </c>
      <c r="H444" s="51" t="str">
        <f>IFERROR(__xludf.DUMMYFUNCTION("""COMPUTED_VALUE"""),"")</f>
        <v/>
      </c>
      <c r="I444" s="51" t="str">
        <f>IFERROR(__xludf.DUMMYFUNCTION("""COMPUTED_VALUE"""),"#VALUE!")</f>
        <v>#VALUE!</v>
      </c>
      <c r="J444" s="51" t="str">
        <f>IFERROR(__xludf.DUMMYFUNCTION("""COMPUTED_VALUE"""),"")</f>
        <v/>
      </c>
      <c r="K444" s="51"/>
      <c r="L444" s="51" t="s">
        <v>257</v>
      </c>
      <c r="M444" s="51"/>
      <c r="N444" s="51"/>
      <c r="O444" s="51"/>
      <c r="P444" s="51"/>
      <c r="Q444" s="51"/>
      <c r="R444" s="51"/>
      <c r="S444" s="51"/>
      <c r="T444" s="51"/>
    </row>
    <row r="445">
      <c r="A445" s="51"/>
      <c r="B445" s="51"/>
      <c r="C445" s="56"/>
      <c r="D445" s="51"/>
      <c r="E445" s="51"/>
      <c r="F445" s="51"/>
      <c r="G445" s="51" t="str">
        <f>IFERROR(__xludf.DUMMYFUNCTION("""COMPUTED_VALUE"""),"#VALUE!")</f>
        <v>#VALUE!</v>
      </c>
      <c r="H445" s="51" t="str">
        <f>IFERROR(__xludf.DUMMYFUNCTION("""COMPUTED_VALUE"""),"")</f>
        <v/>
      </c>
      <c r="I445" s="51" t="str">
        <f>IFERROR(__xludf.DUMMYFUNCTION("""COMPUTED_VALUE"""),"#VALUE!")</f>
        <v>#VALUE!</v>
      </c>
      <c r="J445" s="51" t="str">
        <f>IFERROR(__xludf.DUMMYFUNCTION("""COMPUTED_VALUE"""),"")</f>
        <v/>
      </c>
      <c r="K445" s="51"/>
      <c r="L445" s="51" t="s">
        <v>257</v>
      </c>
      <c r="M445" s="51"/>
      <c r="N445" s="51"/>
      <c r="O445" s="51"/>
      <c r="P445" s="51"/>
      <c r="Q445" s="51"/>
      <c r="R445" s="51"/>
      <c r="S445" s="51"/>
      <c r="T445" s="51"/>
    </row>
    <row r="446">
      <c r="A446" s="51"/>
      <c r="B446" s="51"/>
      <c r="C446" s="56"/>
      <c r="D446" s="51"/>
      <c r="E446" s="51"/>
      <c r="F446" s="51"/>
      <c r="G446" s="51" t="str">
        <f>IFERROR(__xludf.DUMMYFUNCTION("""COMPUTED_VALUE"""),"#VALUE!")</f>
        <v>#VALUE!</v>
      </c>
      <c r="H446" s="51" t="str">
        <f>IFERROR(__xludf.DUMMYFUNCTION("""COMPUTED_VALUE"""),"")</f>
        <v/>
      </c>
      <c r="I446" s="51" t="str">
        <f>IFERROR(__xludf.DUMMYFUNCTION("""COMPUTED_VALUE"""),"#VALUE!")</f>
        <v>#VALUE!</v>
      </c>
      <c r="J446" s="51" t="str">
        <f>IFERROR(__xludf.DUMMYFUNCTION("""COMPUTED_VALUE"""),"")</f>
        <v/>
      </c>
      <c r="K446" s="51"/>
      <c r="L446" s="51" t="s">
        <v>257</v>
      </c>
      <c r="M446" s="51"/>
      <c r="N446" s="51"/>
      <c r="O446" s="51"/>
      <c r="P446" s="51"/>
      <c r="Q446" s="51"/>
      <c r="R446" s="51"/>
      <c r="S446" s="51"/>
      <c r="T446" s="51"/>
    </row>
    <row r="447">
      <c r="A447" s="51"/>
      <c r="B447" s="51"/>
      <c r="C447" s="56"/>
      <c r="D447" s="51"/>
      <c r="E447" s="51"/>
      <c r="F447" s="51"/>
      <c r="G447" s="51" t="str">
        <f>IFERROR(__xludf.DUMMYFUNCTION("""COMPUTED_VALUE"""),"#VALUE!")</f>
        <v>#VALUE!</v>
      </c>
      <c r="H447" s="51" t="str">
        <f>IFERROR(__xludf.DUMMYFUNCTION("""COMPUTED_VALUE"""),"")</f>
        <v/>
      </c>
      <c r="I447" s="51" t="str">
        <f>IFERROR(__xludf.DUMMYFUNCTION("""COMPUTED_VALUE"""),"#VALUE!")</f>
        <v>#VALUE!</v>
      </c>
      <c r="J447" s="51" t="str">
        <f>IFERROR(__xludf.DUMMYFUNCTION("""COMPUTED_VALUE"""),"")</f>
        <v/>
      </c>
      <c r="K447" s="51"/>
      <c r="L447" s="51" t="s">
        <v>257</v>
      </c>
      <c r="M447" s="51"/>
      <c r="N447" s="51"/>
      <c r="O447" s="51"/>
      <c r="P447" s="51"/>
      <c r="Q447" s="51"/>
      <c r="R447" s="51"/>
      <c r="S447" s="51"/>
      <c r="T447" s="51"/>
    </row>
    <row r="448">
      <c r="A448" s="51"/>
      <c r="B448" s="51"/>
      <c r="C448" s="56"/>
      <c r="D448" s="51"/>
      <c r="E448" s="51"/>
      <c r="F448" s="51"/>
      <c r="G448" s="51" t="str">
        <f>IFERROR(__xludf.DUMMYFUNCTION("""COMPUTED_VALUE"""),"#VALUE!")</f>
        <v>#VALUE!</v>
      </c>
      <c r="H448" s="51" t="str">
        <f>IFERROR(__xludf.DUMMYFUNCTION("""COMPUTED_VALUE"""),"")</f>
        <v/>
      </c>
      <c r="I448" s="51" t="str">
        <f>IFERROR(__xludf.DUMMYFUNCTION("""COMPUTED_VALUE"""),"#VALUE!")</f>
        <v>#VALUE!</v>
      </c>
      <c r="J448" s="51" t="str">
        <f>IFERROR(__xludf.DUMMYFUNCTION("""COMPUTED_VALUE"""),"")</f>
        <v/>
      </c>
      <c r="K448" s="51"/>
      <c r="L448" s="51" t="s">
        <v>257</v>
      </c>
      <c r="M448" s="51"/>
      <c r="N448" s="51"/>
      <c r="O448" s="51"/>
      <c r="P448" s="51"/>
      <c r="Q448" s="51"/>
      <c r="R448" s="51"/>
      <c r="S448" s="51"/>
      <c r="T448" s="51"/>
    </row>
    <row r="449">
      <c r="A449" s="51"/>
      <c r="B449" s="51"/>
      <c r="C449" s="56"/>
      <c r="D449" s="51"/>
      <c r="E449" s="51"/>
      <c r="F449" s="51"/>
      <c r="G449" s="51" t="str">
        <f>IFERROR(__xludf.DUMMYFUNCTION("""COMPUTED_VALUE"""),"#VALUE!")</f>
        <v>#VALUE!</v>
      </c>
      <c r="H449" s="51" t="str">
        <f>IFERROR(__xludf.DUMMYFUNCTION("""COMPUTED_VALUE"""),"")</f>
        <v/>
      </c>
      <c r="I449" s="51" t="str">
        <f>IFERROR(__xludf.DUMMYFUNCTION("""COMPUTED_VALUE"""),"#VALUE!")</f>
        <v>#VALUE!</v>
      </c>
      <c r="J449" s="51" t="str">
        <f>IFERROR(__xludf.DUMMYFUNCTION("""COMPUTED_VALUE"""),"")</f>
        <v/>
      </c>
      <c r="K449" s="51"/>
      <c r="L449" s="51" t="s">
        <v>257</v>
      </c>
      <c r="M449" s="51"/>
      <c r="N449" s="51"/>
      <c r="O449" s="51"/>
      <c r="P449" s="51"/>
      <c r="Q449" s="51"/>
      <c r="R449" s="51"/>
      <c r="S449" s="51"/>
      <c r="T449" s="51"/>
    </row>
    <row r="450">
      <c r="A450" s="51"/>
      <c r="B450" s="51"/>
      <c r="C450" s="56"/>
      <c r="D450" s="51"/>
      <c r="E450" s="51"/>
      <c r="F450" s="51"/>
      <c r="G450" s="51" t="str">
        <f>IFERROR(__xludf.DUMMYFUNCTION("""COMPUTED_VALUE"""),"#VALUE!")</f>
        <v>#VALUE!</v>
      </c>
      <c r="H450" s="51" t="str">
        <f>IFERROR(__xludf.DUMMYFUNCTION("""COMPUTED_VALUE"""),"")</f>
        <v/>
      </c>
      <c r="I450" s="51" t="str">
        <f>IFERROR(__xludf.DUMMYFUNCTION("""COMPUTED_VALUE"""),"#VALUE!")</f>
        <v>#VALUE!</v>
      </c>
      <c r="J450" s="51" t="str">
        <f>IFERROR(__xludf.DUMMYFUNCTION("""COMPUTED_VALUE"""),"")</f>
        <v/>
      </c>
      <c r="K450" s="51"/>
      <c r="L450" s="51" t="s">
        <v>257</v>
      </c>
      <c r="M450" s="51"/>
      <c r="N450" s="51"/>
      <c r="O450" s="51"/>
      <c r="P450" s="51"/>
      <c r="Q450" s="51"/>
      <c r="R450" s="51"/>
      <c r="S450" s="51"/>
      <c r="T450" s="51"/>
    </row>
    <row r="451">
      <c r="A451" s="51"/>
      <c r="B451" s="51"/>
      <c r="C451" s="56"/>
      <c r="D451" s="51"/>
      <c r="E451" s="51"/>
      <c r="F451" s="51"/>
      <c r="G451" s="51" t="str">
        <f>IFERROR(__xludf.DUMMYFUNCTION("""COMPUTED_VALUE"""),"#VALUE!")</f>
        <v>#VALUE!</v>
      </c>
      <c r="H451" s="51" t="str">
        <f>IFERROR(__xludf.DUMMYFUNCTION("""COMPUTED_VALUE"""),"")</f>
        <v/>
      </c>
      <c r="I451" s="51" t="str">
        <f>IFERROR(__xludf.DUMMYFUNCTION("""COMPUTED_VALUE"""),"#VALUE!")</f>
        <v>#VALUE!</v>
      </c>
      <c r="J451" s="51" t="str">
        <f>IFERROR(__xludf.DUMMYFUNCTION("""COMPUTED_VALUE"""),"")</f>
        <v/>
      </c>
      <c r="K451" s="51"/>
      <c r="L451" s="51" t="s">
        <v>257</v>
      </c>
      <c r="M451" s="51"/>
      <c r="N451" s="51"/>
      <c r="O451" s="51"/>
      <c r="P451" s="51"/>
      <c r="Q451" s="51"/>
      <c r="R451" s="51"/>
      <c r="S451" s="51"/>
      <c r="T451" s="51"/>
    </row>
    <row r="452">
      <c r="A452" s="51"/>
      <c r="B452" s="51"/>
      <c r="C452" s="56"/>
      <c r="D452" s="51"/>
      <c r="E452" s="51"/>
      <c r="F452" s="51"/>
      <c r="G452" s="51" t="str">
        <f>IFERROR(__xludf.DUMMYFUNCTION("""COMPUTED_VALUE"""),"#VALUE!")</f>
        <v>#VALUE!</v>
      </c>
      <c r="H452" s="51" t="str">
        <f>IFERROR(__xludf.DUMMYFUNCTION("""COMPUTED_VALUE"""),"")</f>
        <v/>
      </c>
      <c r="I452" s="51" t="str">
        <f>IFERROR(__xludf.DUMMYFUNCTION("""COMPUTED_VALUE"""),"#VALUE!")</f>
        <v>#VALUE!</v>
      </c>
      <c r="J452" s="51" t="str">
        <f>IFERROR(__xludf.DUMMYFUNCTION("""COMPUTED_VALUE"""),"")</f>
        <v/>
      </c>
      <c r="K452" s="51"/>
      <c r="L452" s="51" t="s">
        <v>257</v>
      </c>
      <c r="M452" s="51"/>
      <c r="N452" s="51"/>
      <c r="O452" s="51"/>
      <c r="P452" s="51"/>
      <c r="Q452" s="51"/>
      <c r="R452" s="51"/>
      <c r="S452" s="51"/>
      <c r="T452" s="51"/>
    </row>
    <row r="453">
      <c r="A453" s="51"/>
      <c r="B453" s="51"/>
      <c r="C453" s="56"/>
      <c r="D453" s="51"/>
      <c r="E453" s="51"/>
      <c r="F453" s="51"/>
      <c r="G453" s="51" t="str">
        <f>IFERROR(__xludf.DUMMYFUNCTION("""COMPUTED_VALUE"""),"#VALUE!")</f>
        <v>#VALUE!</v>
      </c>
      <c r="H453" s="51" t="str">
        <f>IFERROR(__xludf.DUMMYFUNCTION("""COMPUTED_VALUE"""),"")</f>
        <v/>
      </c>
      <c r="I453" s="51" t="str">
        <f>IFERROR(__xludf.DUMMYFUNCTION("""COMPUTED_VALUE"""),"#VALUE!")</f>
        <v>#VALUE!</v>
      </c>
      <c r="J453" s="51" t="str">
        <f>IFERROR(__xludf.DUMMYFUNCTION("""COMPUTED_VALUE"""),"")</f>
        <v/>
      </c>
      <c r="K453" s="51"/>
      <c r="L453" s="51" t="s">
        <v>257</v>
      </c>
      <c r="M453" s="51"/>
      <c r="N453" s="51"/>
      <c r="O453" s="51"/>
      <c r="P453" s="51"/>
      <c r="Q453" s="51"/>
      <c r="R453" s="51"/>
      <c r="S453" s="51"/>
      <c r="T453" s="51"/>
    </row>
    <row r="454">
      <c r="A454" s="51"/>
      <c r="B454" s="51"/>
      <c r="C454" s="56"/>
      <c r="D454" s="51"/>
      <c r="E454" s="51"/>
      <c r="F454" s="51"/>
      <c r="G454" s="51" t="str">
        <f>IFERROR(__xludf.DUMMYFUNCTION("""COMPUTED_VALUE"""),"#VALUE!")</f>
        <v>#VALUE!</v>
      </c>
      <c r="H454" s="51" t="str">
        <f>IFERROR(__xludf.DUMMYFUNCTION("""COMPUTED_VALUE"""),"")</f>
        <v/>
      </c>
      <c r="I454" s="51" t="str">
        <f>IFERROR(__xludf.DUMMYFUNCTION("""COMPUTED_VALUE"""),"#VALUE!")</f>
        <v>#VALUE!</v>
      </c>
      <c r="J454" s="51" t="str">
        <f>IFERROR(__xludf.DUMMYFUNCTION("""COMPUTED_VALUE"""),"")</f>
        <v/>
      </c>
      <c r="K454" s="51"/>
      <c r="L454" s="51" t="s">
        <v>257</v>
      </c>
      <c r="M454" s="51"/>
      <c r="N454" s="51"/>
      <c r="O454" s="51"/>
      <c r="P454" s="51"/>
      <c r="Q454" s="51"/>
      <c r="R454" s="51"/>
      <c r="S454" s="51"/>
      <c r="T454" s="51"/>
    </row>
    <row r="455">
      <c r="A455" s="51"/>
      <c r="B455" s="51"/>
      <c r="C455" s="56"/>
      <c r="D455" s="51"/>
      <c r="E455" s="51"/>
      <c r="F455" s="51"/>
      <c r="G455" s="51" t="str">
        <f>IFERROR(__xludf.DUMMYFUNCTION("""COMPUTED_VALUE"""),"#VALUE!")</f>
        <v>#VALUE!</v>
      </c>
      <c r="H455" s="51" t="str">
        <f>IFERROR(__xludf.DUMMYFUNCTION("""COMPUTED_VALUE"""),"")</f>
        <v/>
      </c>
      <c r="I455" s="51" t="str">
        <f>IFERROR(__xludf.DUMMYFUNCTION("""COMPUTED_VALUE"""),"#VALUE!")</f>
        <v>#VALUE!</v>
      </c>
      <c r="J455" s="51" t="str">
        <f>IFERROR(__xludf.DUMMYFUNCTION("""COMPUTED_VALUE"""),"")</f>
        <v/>
      </c>
      <c r="K455" s="51"/>
      <c r="L455" s="51" t="s">
        <v>257</v>
      </c>
      <c r="M455" s="51"/>
      <c r="N455" s="51"/>
      <c r="O455" s="51"/>
      <c r="P455" s="51"/>
      <c r="Q455" s="51"/>
      <c r="R455" s="51"/>
      <c r="S455" s="51"/>
      <c r="T455" s="51"/>
    </row>
    <row r="456">
      <c r="A456" s="51"/>
      <c r="B456" s="51"/>
      <c r="C456" s="56"/>
      <c r="D456" s="51"/>
      <c r="E456" s="51"/>
      <c r="F456" s="51"/>
      <c r="G456" s="51" t="str">
        <f>IFERROR(__xludf.DUMMYFUNCTION("""COMPUTED_VALUE"""),"#VALUE!")</f>
        <v>#VALUE!</v>
      </c>
      <c r="H456" s="51" t="str">
        <f>IFERROR(__xludf.DUMMYFUNCTION("""COMPUTED_VALUE"""),"")</f>
        <v/>
      </c>
      <c r="I456" s="51" t="str">
        <f>IFERROR(__xludf.DUMMYFUNCTION("""COMPUTED_VALUE"""),"#VALUE!")</f>
        <v>#VALUE!</v>
      </c>
      <c r="J456" s="51" t="str">
        <f>IFERROR(__xludf.DUMMYFUNCTION("""COMPUTED_VALUE"""),"")</f>
        <v/>
      </c>
      <c r="K456" s="51"/>
      <c r="L456" s="51" t="s">
        <v>257</v>
      </c>
      <c r="M456" s="51"/>
      <c r="N456" s="51"/>
      <c r="O456" s="51"/>
      <c r="P456" s="51"/>
      <c r="Q456" s="51"/>
      <c r="R456" s="51"/>
      <c r="S456" s="51"/>
      <c r="T456" s="51"/>
    </row>
    <row r="457">
      <c r="A457" s="51"/>
      <c r="B457" s="51"/>
      <c r="C457" s="56"/>
      <c r="D457" s="51"/>
      <c r="E457" s="51"/>
      <c r="F457" s="51"/>
      <c r="G457" s="51" t="str">
        <f>IFERROR(__xludf.DUMMYFUNCTION("""COMPUTED_VALUE"""),"#VALUE!")</f>
        <v>#VALUE!</v>
      </c>
      <c r="H457" s="51" t="str">
        <f>IFERROR(__xludf.DUMMYFUNCTION("""COMPUTED_VALUE"""),"")</f>
        <v/>
      </c>
      <c r="I457" s="51" t="str">
        <f>IFERROR(__xludf.DUMMYFUNCTION("""COMPUTED_VALUE"""),"#VALUE!")</f>
        <v>#VALUE!</v>
      </c>
      <c r="J457" s="51" t="str">
        <f>IFERROR(__xludf.DUMMYFUNCTION("""COMPUTED_VALUE"""),"")</f>
        <v/>
      </c>
      <c r="K457" s="51"/>
      <c r="L457" s="51" t="s">
        <v>257</v>
      </c>
      <c r="M457" s="51"/>
      <c r="N457" s="51"/>
      <c r="O457" s="51"/>
      <c r="P457" s="51"/>
      <c r="Q457" s="51"/>
      <c r="R457" s="51"/>
      <c r="S457" s="51"/>
      <c r="T457" s="51"/>
    </row>
    <row r="458">
      <c r="A458" s="51"/>
      <c r="B458" s="51"/>
      <c r="C458" s="56"/>
      <c r="D458" s="51"/>
      <c r="E458" s="51"/>
      <c r="F458" s="51"/>
      <c r="G458" s="51" t="str">
        <f>IFERROR(__xludf.DUMMYFUNCTION("""COMPUTED_VALUE"""),"#VALUE!")</f>
        <v>#VALUE!</v>
      </c>
      <c r="H458" s="51" t="str">
        <f>IFERROR(__xludf.DUMMYFUNCTION("""COMPUTED_VALUE"""),"")</f>
        <v/>
      </c>
      <c r="I458" s="51" t="str">
        <f>IFERROR(__xludf.DUMMYFUNCTION("""COMPUTED_VALUE"""),"#VALUE!")</f>
        <v>#VALUE!</v>
      </c>
      <c r="J458" s="51" t="str">
        <f>IFERROR(__xludf.DUMMYFUNCTION("""COMPUTED_VALUE"""),"")</f>
        <v/>
      </c>
      <c r="K458" s="51"/>
      <c r="L458" s="51" t="s">
        <v>257</v>
      </c>
      <c r="M458" s="51"/>
      <c r="N458" s="51"/>
      <c r="O458" s="51"/>
      <c r="P458" s="51"/>
      <c r="Q458" s="51"/>
      <c r="R458" s="51"/>
      <c r="S458" s="51"/>
      <c r="T458" s="51"/>
    </row>
    <row r="459">
      <c r="A459" s="51"/>
      <c r="B459" s="51"/>
      <c r="C459" s="56"/>
      <c r="D459" s="51"/>
      <c r="E459" s="51"/>
      <c r="F459" s="51"/>
      <c r="G459" s="51" t="str">
        <f>IFERROR(__xludf.DUMMYFUNCTION("""COMPUTED_VALUE"""),"#VALUE!")</f>
        <v>#VALUE!</v>
      </c>
      <c r="H459" s="51" t="str">
        <f>IFERROR(__xludf.DUMMYFUNCTION("""COMPUTED_VALUE"""),"")</f>
        <v/>
      </c>
      <c r="I459" s="51" t="str">
        <f>IFERROR(__xludf.DUMMYFUNCTION("""COMPUTED_VALUE"""),"#VALUE!")</f>
        <v>#VALUE!</v>
      </c>
      <c r="J459" s="51" t="str">
        <f>IFERROR(__xludf.DUMMYFUNCTION("""COMPUTED_VALUE"""),"")</f>
        <v/>
      </c>
      <c r="K459" s="51"/>
      <c r="L459" s="51" t="s">
        <v>257</v>
      </c>
      <c r="M459" s="51"/>
      <c r="N459" s="51"/>
      <c r="O459" s="51"/>
      <c r="P459" s="51"/>
      <c r="Q459" s="51"/>
      <c r="R459" s="51"/>
      <c r="S459" s="51"/>
      <c r="T459" s="51"/>
    </row>
    <row r="460">
      <c r="A460" s="51"/>
      <c r="B460" s="51"/>
      <c r="C460" s="56"/>
      <c r="D460" s="51"/>
      <c r="E460" s="51"/>
      <c r="F460" s="51"/>
      <c r="G460" s="51" t="str">
        <f>IFERROR(__xludf.DUMMYFUNCTION("""COMPUTED_VALUE"""),"#VALUE!")</f>
        <v>#VALUE!</v>
      </c>
      <c r="H460" s="51" t="str">
        <f>IFERROR(__xludf.DUMMYFUNCTION("""COMPUTED_VALUE"""),"")</f>
        <v/>
      </c>
      <c r="I460" s="51" t="str">
        <f>IFERROR(__xludf.DUMMYFUNCTION("""COMPUTED_VALUE"""),"#VALUE!")</f>
        <v>#VALUE!</v>
      </c>
      <c r="J460" s="51" t="str">
        <f>IFERROR(__xludf.DUMMYFUNCTION("""COMPUTED_VALUE"""),"")</f>
        <v/>
      </c>
      <c r="K460" s="51"/>
      <c r="L460" s="51" t="s">
        <v>257</v>
      </c>
      <c r="M460" s="51"/>
      <c r="N460" s="51"/>
      <c r="O460" s="51"/>
      <c r="P460" s="51"/>
      <c r="Q460" s="51"/>
      <c r="R460" s="51"/>
      <c r="S460" s="51"/>
      <c r="T460" s="51"/>
    </row>
    <row r="461">
      <c r="A461" s="51"/>
      <c r="B461" s="51"/>
      <c r="C461" s="56"/>
      <c r="D461" s="51"/>
      <c r="E461" s="51"/>
      <c r="F461" s="51"/>
      <c r="G461" s="51" t="str">
        <f>IFERROR(__xludf.DUMMYFUNCTION("""COMPUTED_VALUE"""),"#VALUE!")</f>
        <v>#VALUE!</v>
      </c>
      <c r="H461" s="51" t="str">
        <f>IFERROR(__xludf.DUMMYFUNCTION("""COMPUTED_VALUE"""),"")</f>
        <v/>
      </c>
      <c r="I461" s="51" t="str">
        <f>IFERROR(__xludf.DUMMYFUNCTION("""COMPUTED_VALUE"""),"#VALUE!")</f>
        <v>#VALUE!</v>
      </c>
      <c r="J461" s="51" t="str">
        <f>IFERROR(__xludf.DUMMYFUNCTION("""COMPUTED_VALUE"""),"")</f>
        <v/>
      </c>
      <c r="K461" s="51"/>
      <c r="L461" s="51" t="s">
        <v>257</v>
      </c>
      <c r="M461" s="51"/>
      <c r="N461" s="51"/>
      <c r="O461" s="51"/>
      <c r="P461" s="51"/>
      <c r="Q461" s="51"/>
      <c r="R461" s="51"/>
      <c r="S461" s="51"/>
      <c r="T461" s="51"/>
    </row>
    <row r="462">
      <c r="A462" s="51"/>
      <c r="B462" s="51"/>
      <c r="C462" s="56"/>
      <c r="D462" s="51"/>
      <c r="E462" s="51"/>
      <c r="F462" s="51"/>
      <c r="G462" s="51" t="str">
        <f>IFERROR(__xludf.DUMMYFUNCTION("""COMPUTED_VALUE"""),"#VALUE!")</f>
        <v>#VALUE!</v>
      </c>
      <c r="H462" s="51" t="str">
        <f>IFERROR(__xludf.DUMMYFUNCTION("""COMPUTED_VALUE"""),"")</f>
        <v/>
      </c>
      <c r="I462" s="51" t="str">
        <f>IFERROR(__xludf.DUMMYFUNCTION("""COMPUTED_VALUE"""),"#VALUE!")</f>
        <v>#VALUE!</v>
      </c>
      <c r="J462" s="51" t="str">
        <f>IFERROR(__xludf.DUMMYFUNCTION("""COMPUTED_VALUE"""),"")</f>
        <v/>
      </c>
      <c r="K462" s="51"/>
      <c r="L462" s="51" t="s">
        <v>257</v>
      </c>
      <c r="M462" s="51"/>
      <c r="N462" s="51"/>
      <c r="O462" s="51"/>
      <c r="P462" s="51"/>
      <c r="Q462" s="51"/>
      <c r="R462" s="51"/>
      <c r="S462" s="51"/>
      <c r="T462" s="51"/>
    </row>
    <row r="463">
      <c r="A463" s="51"/>
      <c r="B463" s="51"/>
      <c r="C463" s="56"/>
      <c r="D463" s="51"/>
      <c r="E463" s="51"/>
      <c r="F463" s="51"/>
      <c r="G463" s="51" t="str">
        <f>IFERROR(__xludf.DUMMYFUNCTION("""COMPUTED_VALUE"""),"#VALUE!")</f>
        <v>#VALUE!</v>
      </c>
      <c r="H463" s="51" t="str">
        <f>IFERROR(__xludf.DUMMYFUNCTION("""COMPUTED_VALUE"""),"")</f>
        <v/>
      </c>
      <c r="I463" s="51" t="str">
        <f>IFERROR(__xludf.DUMMYFUNCTION("""COMPUTED_VALUE"""),"#VALUE!")</f>
        <v>#VALUE!</v>
      </c>
      <c r="J463" s="51" t="str">
        <f>IFERROR(__xludf.DUMMYFUNCTION("""COMPUTED_VALUE"""),"")</f>
        <v/>
      </c>
      <c r="K463" s="51"/>
      <c r="L463" s="51" t="s">
        <v>257</v>
      </c>
      <c r="M463" s="51"/>
      <c r="N463" s="51"/>
      <c r="O463" s="51"/>
      <c r="P463" s="51"/>
      <c r="Q463" s="51"/>
      <c r="R463" s="51"/>
      <c r="S463" s="51"/>
      <c r="T463" s="51"/>
    </row>
    <row r="464">
      <c r="A464" s="51"/>
      <c r="B464" s="51"/>
      <c r="C464" s="56"/>
      <c r="D464" s="51"/>
      <c r="E464" s="51"/>
      <c r="F464" s="51"/>
      <c r="G464" s="51" t="str">
        <f>IFERROR(__xludf.DUMMYFUNCTION("""COMPUTED_VALUE"""),"#VALUE!")</f>
        <v>#VALUE!</v>
      </c>
      <c r="H464" s="51" t="str">
        <f>IFERROR(__xludf.DUMMYFUNCTION("""COMPUTED_VALUE"""),"")</f>
        <v/>
      </c>
      <c r="I464" s="51" t="str">
        <f>IFERROR(__xludf.DUMMYFUNCTION("""COMPUTED_VALUE"""),"#VALUE!")</f>
        <v>#VALUE!</v>
      </c>
      <c r="J464" s="51" t="str">
        <f>IFERROR(__xludf.DUMMYFUNCTION("""COMPUTED_VALUE"""),"")</f>
        <v/>
      </c>
      <c r="K464" s="51"/>
      <c r="L464" s="51" t="s">
        <v>257</v>
      </c>
      <c r="M464" s="51"/>
      <c r="N464" s="51"/>
      <c r="O464" s="51"/>
      <c r="P464" s="51"/>
      <c r="Q464" s="51"/>
      <c r="R464" s="51"/>
      <c r="S464" s="51"/>
      <c r="T464" s="51"/>
    </row>
    <row r="465">
      <c r="A465" s="51"/>
      <c r="B465" s="51"/>
      <c r="C465" s="56"/>
      <c r="D465" s="51"/>
      <c r="E465" s="51"/>
      <c r="F465" s="51"/>
      <c r="G465" s="51" t="str">
        <f>IFERROR(__xludf.DUMMYFUNCTION("""COMPUTED_VALUE"""),"#VALUE!")</f>
        <v>#VALUE!</v>
      </c>
      <c r="H465" s="51" t="str">
        <f>IFERROR(__xludf.DUMMYFUNCTION("""COMPUTED_VALUE"""),"")</f>
        <v/>
      </c>
      <c r="I465" s="51" t="str">
        <f>IFERROR(__xludf.DUMMYFUNCTION("""COMPUTED_VALUE"""),"#VALUE!")</f>
        <v>#VALUE!</v>
      </c>
      <c r="J465" s="51" t="str">
        <f>IFERROR(__xludf.DUMMYFUNCTION("""COMPUTED_VALUE"""),"")</f>
        <v/>
      </c>
      <c r="K465" s="51"/>
      <c r="L465" s="51" t="s">
        <v>257</v>
      </c>
      <c r="M465" s="51"/>
      <c r="N465" s="51"/>
      <c r="O465" s="51"/>
      <c r="P465" s="51"/>
      <c r="Q465" s="51"/>
      <c r="R465" s="51"/>
      <c r="S465" s="51"/>
      <c r="T465" s="51"/>
    </row>
    <row r="466">
      <c r="A466" s="51"/>
      <c r="B466" s="51"/>
      <c r="C466" s="56"/>
      <c r="D466" s="51"/>
      <c r="E466" s="51"/>
      <c r="F466" s="51"/>
      <c r="G466" s="51" t="str">
        <f>IFERROR(__xludf.DUMMYFUNCTION("""COMPUTED_VALUE"""),"#VALUE!")</f>
        <v>#VALUE!</v>
      </c>
      <c r="H466" s="51" t="str">
        <f>IFERROR(__xludf.DUMMYFUNCTION("""COMPUTED_VALUE"""),"")</f>
        <v/>
      </c>
      <c r="I466" s="51" t="str">
        <f>IFERROR(__xludf.DUMMYFUNCTION("""COMPUTED_VALUE"""),"#VALUE!")</f>
        <v>#VALUE!</v>
      </c>
      <c r="J466" s="51" t="str">
        <f>IFERROR(__xludf.DUMMYFUNCTION("""COMPUTED_VALUE"""),"")</f>
        <v/>
      </c>
      <c r="K466" s="51"/>
      <c r="L466" s="51" t="s">
        <v>257</v>
      </c>
      <c r="M466" s="51"/>
      <c r="N466" s="51"/>
      <c r="O466" s="51"/>
      <c r="P466" s="51"/>
      <c r="Q466" s="51"/>
      <c r="R466" s="51"/>
      <c r="S466" s="51"/>
      <c r="T466" s="51"/>
    </row>
    <row r="467">
      <c r="A467" s="51"/>
      <c r="B467" s="51"/>
      <c r="C467" s="56"/>
      <c r="D467" s="51"/>
      <c r="E467" s="51"/>
      <c r="F467" s="51"/>
      <c r="G467" s="51" t="str">
        <f>IFERROR(__xludf.DUMMYFUNCTION("""COMPUTED_VALUE"""),"#VALUE!")</f>
        <v>#VALUE!</v>
      </c>
      <c r="H467" s="51" t="str">
        <f>IFERROR(__xludf.DUMMYFUNCTION("""COMPUTED_VALUE"""),"")</f>
        <v/>
      </c>
      <c r="I467" s="51" t="str">
        <f>IFERROR(__xludf.DUMMYFUNCTION("""COMPUTED_VALUE"""),"#VALUE!")</f>
        <v>#VALUE!</v>
      </c>
      <c r="J467" s="51" t="str">
        <f>IFERROR(__xludf.DUMMYFUNCTION("""COMPUTED_VALUE"""),"")</f>
        <v/>
      </c>
      <c r="K467" s="51"/>
      <c r="L467" s="51" t="s">
        <v>257</v>
      </c>
      <c r="M467" s="51"/>
      <c r="N467" s="51"/>
      <c r="O467" s="51"/>
      <c r="P467" s="51"/>
      <c r="Q467" s="51"/>
      <c r="R467" s="51"/>
      <c r="S467" s="51"/>
      <c r="T467" s="51"/>
    </row>
    <row r="468">
      <c r="A468" s="51"/>
      <c r="B468" s="51"/>
      <c r="C468" s="56"/>
      <c r="D468" s="51"/>
      <c r="E468" s="51"/>
      <c r="F468" s="51"/>
      <c r="G468" s="51" t="str">
        <f>IFERROR(__xludf.DUMMYFUNCTION("""COMPUTED_VALUE"""),"#VALUE!")</f>
        <v>#VALUE!</v>
      </c>
      <c r="H468" s="51" t="str">
        <f>IFERROR(__xludf.DUMMYFUNCTION("""COMPUTED_VALUE"""),"")</f>
        <v/>
      </c>
      <c r="I468" s="51" t="str">
        <f>IFERROR(__xludf.DUMMYFUNCTION("""COMPUTED_VALUE"""),"#VALUE!")</f>
        <v>#VALUE!</v>
      </c>
      <c r="J468" s="51" t="str">
        <f>IFERROR(__xludf.DUMMYFUNCTION("""COMPUTED_VALUE"""),"")</f>
        <v/>
      </c>
      <c r="K468" s="51"/>
      <c r="L468" s="51" t="s">
        <v>257</v>
      </c>
      <c r="M468" s="51"/>
      <c r="N468" s="51"/>
      <c r="O468" s="51"/>
      <c r="P468" s="51"/>
      <c r="Q468" s="51"/>
      <c r="R468" s="51"/>
      <c r="S468" s="51"/>
      <c r="T468" s="51"/>
    </row>
    <row r="469">
      <c r="A469" s="51"/>
      <c r="B469" s="51"/>
      <c r="C469" s="56"/>
      <c r="D469" s="51"/>
      <c r="E469" s="51"/>
      <c r="F469" s="51"/>
      <c r="G469" s="51" t="str">
        <f>IFERROR(__xludf.DUMMYFUNCTION("""COMPUTED_VALUE"""),"#VALUE!")</f>
        <v>#VALUE!</v>
      </c>
      <c r="H469" s="51" t="str">
        <f>IFERROR(__xludf.DUMMYFUNCTION("""COMPUTED_VALUE"""),"")</f>
        <v/>
      </c>
      <c r="I469" s="51" t="str">
        <f>IFERROR(__xludf.DUMMYFUNCTION("""COMPUTED_VALUE"""),"#VALUE!")</f>
        <v>#VALUE!</v>
      </c>
      <c r="J469" s="51" t="str">
        <f>IFERROR(__xludf.DUMMYFUNCTION("""COMPUTED_VALUE"""),"")</f>
        <v/>
      </c>
      <c r="K469" s="51"/>
      <c r="L469" s="51" t="s">
        <v>257</v>
      </c>
      <c r="M469" s="51"/>
      <c r="N469" s="51"/>
      <c r="O469" s="51"/>
      <c r="P469" s="51"/>
      <c r="Q469" s="51"/>
      <c r="R469" s="51"/>
      <c r="S469" s="51"/>
      <c r="T469" s="51"/>
    </row>
    <row r="470">
      <c r="A470" s="51"/>
      <c r="B470" s="51"/>
      <c r="C470" s="56"/>
      <c r="D470" s="51"/>
      <c r="E470" s="51"/>
      <c r="F470" s="51"/>
      <c r="G470" s="51" t="str">
        <f>IFERROR(__xludf.DUMMYFUNCTION("""COMPUTED_VALUE"""),"#VALUE!")</f>
        <v>#VALUE!</v>
      </c>
      <c r="H470" s="51" t="str">
        <f>IFERROR(__xludf.DUMMYFUNCTION("""COMPUTED_VALUE"""),"")</f>
        <v/>
      </c>
      <c r="I470" s="51" t="str">
        <f>IFERROR(__xludf.DUMMYFUNCTION("""COMPUTED_VALUE"""),"#VALUE!")</f>
        <v>#VALUE!</v>
      </c>
      <c r="J470" s="51" t="str">
        <f>IFERROR(__xludf.DUMMYFUNCTION("""COMPUTED_VALUE"""),"")</f>
        <v/>
      </c>
      <c r="K470" s="51"/>
      <c r="L470" s="51" t="s">
        <v>257</v>
      </c>
      <c r="M470" s="51"/>
      <c r="N470" s="51"/>
      <c r="O470" s="51"/>
      <c r="P470" s="51"/>
      <c r="Q470" s="51"/>
      <c r="R470" s="51"/>
      <c r="S470" s="51"/>
      <c r="T470" s="51"/>
    </row>
    <row r="471">
      <c r="A471" s="51"/>
      <c r="B471" s="51"/>
      <c r="C471" s="56"/>
      <c r="D471" s="51"/>
      <c r="E471" s="51"/>
      <c r="F471" s="51"/>
      <c r="G471" s="51" t="str">
        <f>IFERROR(__xludf.DUMMYFUNCTION("""COMPUTED_VALUE"""),"#VALUE!")</f>
        <v>#VALUE!</v>
      </c>
      <c r="H471" s="51" t="str">
        <f>IFERROR(__xludf.DUMMYFUNCTION("""COMPUTED_VALUE"""),"")</f>
        <v/>
      </c>
      <c r="I471" s="51" t="str">
        <f>IFERROR(__xludf.DUMMYFUNCTION("""COMPUTED_VALUE"""),"#VALUE!")</f>
        <v>#VALUE!</v>
      </c>
      <c r="J471" s="51" t="str">
        <f>IFERROR(__xludf.DUMMYFUNCTION("""COMPUTED_VALUE"""),"")</f>
        <v/>
      </c>
      <c r="K471" s="51"/>
      <c r="L471" s="51" t="s">
        <v>257</v>
      </c>
      <c r="M471" s="51"/>
      <c r="N471" s="51"/>
      <c r="O471" s="51"/>
      <c r="P471" s="51"/>
      <c r="Q471" s="51"/>
      <c r="R471" s="51"/>
      <c r="S471" s="51"/>
      <c r="T471" s="51"/>
    </row>
    <row r="472">
      <c r="A472" s="51"/>
      <c r="B472" s="51"/>
      <c r="C472" s="56"/>
      <c r="D472" s="51"/>
      <c r="E472" s="51"/>
      <c r="F472" s="51"/>
      <c r="G472" s="51" t="str">
        <f>IFERROR(__xludf.DUMMYFUNCTION("""COMPUTED_VALUE"""),"#VALUE!")</f>
        <v>#VALUE!</v>
      </c>
      <c r="H472" s="51" t="str">
        <f>IFERROR(__xludf.DUMMYFUNCTION("""COMPUTED_VALUE"""),"")</f>
        <v/>
      </c>
      <c r="I472" s="51" t="str">
        <f>IFERROR(__xludf.DUMMYFUNCTION("""COMPUTED_VALUE"""),"#VALUE!")</f>
        <v>#VALUE!</v>
      </c>
      <c r="J472" s="51" t="str">
        <f>IFERROR(__xludf.DUMMYFUNCTION("""COMPUTED_VALUE"""),"")</f>
        <v/>
      </c>
      <c r="K472" s="51"/>
      <c r="L472" s="51" t="s">
        <v>257</v>
      </c>
      <c r="M472" s="51"/>
      <c r="N472" s="51"/>
      <c r="O472" s="51"/>
      <c r="P472" s="51"/>
      <c r="Q472" s="51"/>
      <c r="R472" s="51"/>
      <c r="S472" s="51"/>
      <c r="T472" s="51"/>
    </row>
    <row r="473">
      <c r="A473" s="51"/>
      <c r="B473" s="51"/>
      <c r="C473" s="56"/>
      <c r="D473" s="51"/>
      <c r="E473" s="51"/>
      <c r="F473" s="51"/>
      <c r="G473" s="51" t="str">
        <f>IFERROR(__xludf.DUMMYFUNCTION("""COMPUTED_VALUE"""),"#VALUE!")</f>
        <v>#VALUE!</v>
      </c>
      <c r="H473" s="51" t="str">
        <f>IFERROR(__xludf.DUMMYFUNCTION("""COMPUTED_VALUE"""),"")</f>
        <v/>
      </c>
      <c r="I473" s="51" t="str">
        <f>IFERROR(__xludf.DUMMYFUNCTION("""COMPUTED_VALUE"""),"#VALUE!")</f>
        <v>#VALUE!</v>
      </c>
      <c r="J473" s="51" t="str">
        <f>IFERROR(__xludf.DUMMYFUNCTION("""COMPUTED_VALUE"""),"")</f>
        <v/>
      </c>
      <c r="K473" s="51"/>
      <c r="L473" s="51" t="s">
        <v>257</v>
      </c>
      <c r="M473" s="51"/>
      <c r="N473" s="51"/>
      <c r="O473" s="51"/>
      <c r="P473" s="51"/>
      <c r="Q473" s="51"/>
      <c r="R473" s="51"/>
      <c r="S473" s="51"/>
      <c r="T473" s="51"/>
    </row>
    <row r="474">
      <c r="A474" s="51"/>
      <c r="B474" s="51"/>
      <c r="C474" s="56"/>
      <c r="D474" s="51"/>
      <c r="E474" s="51"/>
      <c r="F474" s="51"/>
      <c r="G474" s="51" t="str">
        <f>IFERROR(__xludf.DUMMYFUNCTION("""COMPUTED_VALUE"""),"#VALUE!")</f>
        <v>#VALUE!</v>
      </c>
      <c r="H474" s="51" t="str">
        <f>IFERROR(__xludf.DUMMYFUNCTION("""COMPUTED_VALUE"""),"")</f>
        <v/>
      </c>
      <c r="I474" s="51" t="str">
        <f>IFERROR(__xludf.DUMMYFUNCTION("""COMPUTED_VALUE"""),"#VALUE!")</f>
        <v>#VALUE!</v>
      </c>
      <c r="J474" s="51" t="str">
        <f>IFERROR(__xludf.DUMMYFUNCTION("""COMPUTED_VALUE"""),"")</f>
        <v/>
      </c>
      <c r="K474" s="51"/>
      <c r="L474" s="51" t="s">
        <v>257</v>
      </c>
      <c r="M474" s="51"/>
      <c r="N474" s="51"/>
      <c r="O474" s="51"/>
      <c r="P474" s="51"/>
      <c r="Q474" s="51"/>
      <c r="R474" s="51"/>
      <c r="S474" s="51"/>
      <c r="T474" s="51"/>
    </row>
    <row r="475">
      <c r="A475" s="51"/>
      <c r="B475" s="51"/>
      <c r="C475" s="56"/>
      <c r="D475" s="51"/>
      <c r="E475" s="51"/>
      <c r="F475" s="51"/>
      <c r="G475" s="51" t="str">
        <f>IFERROR(__xludf.DUMMYFUNCTION("""COMPUTED_VALUE"""),"#VALUE!")</f>
        <v>#VALUE!</v>
      </c>
      <c r="H475" s="51" t="str">
        <f>IFERROR(__xludf.DUMMYFUNCTION("""COMPUTED_VALUE"""),"")</f>
        <v/>
      </c>
      <c r="I475" s="51" t="str">
        <f>IFERROR(__xludf.DUMMYFUNCTION("""COMPUTED_VALUE"""),"#VALUE!")</f>
        <v>#VALUE!</v>
      </c>
      <c r="J475" s="51" t="str">
        <f>IFERROR(__xludf.DUMMYFUNCTION("""COMPUTED_VALUE"""),"")</f>
        <v/>
      </c>
      <c r="K475" s="51"/>
      <c r="L475" s="51" t="s">
        <v>257</v>
      </c>
      <c r="M475" s="51"/>
      <c r="N475" s="51"/>
      <c r="O475" s="51"/>
      <c r="P475" s="51"/>
      <c r="Q475" s="51"/>
      <c r="R475" s="51"/>
      <c r="S475" s="51"/>
      <c r="T475" s="51"/>
    </row>
    <row r="476">
      <c r="A476" s="51"/>
      <c r="B476" s="51"/>
      <c r="C476" s="56"/>
      <c r="D476" s="51"/>
      <c r="E476" s="51"/>
      <c r="F476" s="51"/>
      <c r="G476" s="51" t="str">
        <f>IFERROR(__xludf.DUMMYFUNCTION("""COMPUTED_VALUE"""),"#VALUE!")</f>
        <v>#VALUE!</v>
      </c>
      <c r="H476" s="51" t="str">
        <f>IFERROR(__xludf.DUMMYFUNCTION("""COMPUTED_VALUE"""),"")</f>
        <v/>
      </c>
      <c r="I476" s="51" t="str">
        <f>IFERROR(__xludf.DUMMYFUNCTION("""COMPUTED_VALUE"""),"#VALUE!")</f>
        <v>#VALUE!</v>
      </c>
      <c r="J476" s="51" t="str">
        <f>IFERROR(__xludf.DUMMYFUNCTION("""COMPUTED_VALUE"""),"")</f>
        <v/>
      </c>
      <c r="K476" s="51"/>
      <c r="L476" s="51" t="s">
        <v>257</v>
      </c>
      <c r="M476" s="51"/>
      <c r="N476" s="51"/>
      <c r="O476" s="51"/>
      <c r="P476" s="51"/>
      <c r="Q476" s="51"/>
      <c r="R476" s="51"/>
      <c r="S476" s="51"/>
      <c r="T476" s="51"/>
    </row>
    <row r="477">
      <c r="A477" s="51"/>
      <c r="B477" s="51"/>
      <c r="C477" s="56"/>
      <c r="D477" s="51"/>
      <c r="E477" s="51"/>
      <c r="F477" s="51"/>
      <c r="G477" s="51" t="str">
        <f>IFERROR(__xludf.DUMMYFUNCTION("""COMPUTED_VALUE"""),"#VALUE!")</f>
        <v>#VALUE!</v>
      </c>
      <c r="H477" s="51" t="str">
        <f>IFERROR(__xludf.DUMMYFUNCTION("""COMPUTED_VALUE"""),"")</f>
        <v/>
      </c>
      <c r="I477" s="51" t="str">
        <f>IFERROR(__xludf.DUMMYFUNCTION("""COMPUTED_VALUE"""),"#VALUE!")</f>
        <v>#VALUE!</v>
      </c>
      <c r="J477" s="51" t="str">
        <f>IFERROR(__xludf.DUMMYFUNCTION("""COMPUTED_VALUE"""),"")</f>
        <v/>
      </c>
      <c r="K477" s="51"/>
      <c r="L477" s="51" t="s">
        <v>257</v>
      </c>
      <c r="M477" s="51"/>
      <c r="N477" s="51"/>
      <c r="O477" s="51"/>
      <c r="P477" s="51"/>
      <c r="Q477" s="51"/>
      <c r="R477" s="51"/>
      <c r="S477" s="51"/>
      <c r="T477" s="51"/>
    </row>
    <row r="478">
      <c r="A478" s="51"/>
      <c r="B478" s="51"/>
      <c r="C478" s="56"/>
      <c r="D478" s="51"/>
      <c r="E478" s="51"/>
      <c r="F478" s="51"/>
      <c r="G478" s="51" t="str">
        <f>IFERROR(__xludf.DUMMYFUNCTION("""COMPUTED_VALUE"""),"#VALUE!")</f>
        <v>#VALUE!</v>
      </c>
      <c r="H478" s="51" t="str">
        <f>IFERROR(__xludf.DUMMYFUNCTION("""COMPUTED_VALUE"""),"")</f>
        <v/>
      </c>
      <c r="I478" s="51" t="str">
        <f>IFERROR(__xludf.DUMMYFUNCTION("""COMPUTED_VALUE"""),"#VALUE!")</f>
        <v>#VALUE!</v>
      </c>
      <c r="J478" s="51" t="str">
        <f>IFERROR(__xludf.DUMMYFUNCTION("""COMPUTED_VALUE"""),"")</f>
        <v/>
      </c>
      <c r="K478" s="51"/>
      <c r="L478" s="51" t="s">
        <v>257</v>
      </c>
      <c r="M478" s="51"/>
      <c r="N478" s="51"/>
      <c r="O478" s="51"/>
      <c r="P478" s="51"/>
      <c r="Q478" s="51"/>
      <c r="R478" s="51"/>
      <c r="S478" s="51"/>
      <c r="T478" s="51"/>
    </row>
    <row r="479">
      <c r="A479" s="51"/>
      <c r="B479" s="51"/>
      <c r="C479" s="56"/>
      <c r="D479" s="51"/>
      <c r="E479" s="51"/>
      <c r="F479" s="51"/>
      <c r="G479" s="51" t="str">
        <f>IFERROR(__xludf.DUMMYFUNCTION("""COMPUTED_VALUE"""),"#VALUE!")</f>
        <v>#VALUE!</v>
      </c>
      <c r="H479" s="51" t="str">
        <f>IFERROR(__xludf.DUMMYFUNCTION("""COMPUTED_VALUE"""),"")</f>
        <v/>
      </c>
      <c r="I479" s="51" t="str">
        <f>IFERROR(__xludf.DUMMYFUNCTION("""COMPUTED_VALUE"""),"#VALUE!")</f>
        <v>#VALUE!</v>
      </c>
      <c r="J479" s="51" t="str">
        <f>IFERROR(__xludf.DUMMYFUNCTION("""COMPUTED_VALUE"""),"")</f>
        <v/>
      </c>
      <c r="K479" s="51"/>
      <c r="L479" s="51" t="s">
        <v>257</v>
      </c>
      <c r="M479" s="51"/>
      <c r="N479" s="51"/>
      <c r="O479" s="51"/>
      <c r="P479" s="51"/>
      <c r="Q479" s="51"/>
      <c r="R479" s="51"/>
      <c r="S479" s="51"/>
      <c r="T479" s="51"/>
    </row>
    <row r="480">
      <c r="A480" s="51"/>
      <c r="B480" s="51"/>
      <c r="C480" s="56"/>
      <c r="D480" s="51"/>
      <c r="E480" s="51"/>
      <c r="F480" s="51"/>
      <c r="G480" s="51" t="str">
        <f>IFERROR(__xludf.DUMMYFUNCTION("""COMPUTED_VALUE"""),"#VALUE!")</f>
        <v>#VALUE!</v>
      </c>
      <c r="H480" s="51" t="str">
        <f>IFERROR(__xludf.DUMMYFUNCTION("""COMPUTED_VALUE"""),"")</f>
        <v/>
      </c>
      <c r="I480" s="51" t="str">
        <f>IFERROR(__xludf.DUMMYFUNCTION("""COMPUTED_VALUE"""),"#VALUE!")</f>
        <v>#VALUE!</v>
      </c>
      <c r="J480" s="51" t="str">
        <f>IFERROR(__xludf.DUMMYFUNCTION("""COMPUTED_VALUE"""),"")</f>
        <v/>
      </c>
      <c r="K480" s="51"/>
      <c r="L480" s="51" t="s">
        <v>257</v>
      </c>
      <c r="M480" s="51"/>
      <c r="N480" s="51"/>
      <c r="O480" s="51"/>
      <c r="P480" s="51"/>
      <c r="Q480" s="51"/>
      <c r="R480" s="51"/>
      <c r="S480" s="51"/>
      <c r="T480" s="51"/>
    </row>
    <row r="481">
      <c r="A481" s="51"/>
      <c r="B481" s="51"/>
      <c r="C481" s="56"/>
      <c r="D481" s="51"/>
      <c r="E481" s="51"/>
      <c r="F481" s="51"/>
      <c r="G481" s="51" t="str">
        <f>IFERROR(__xludf.DUMMYFUNCTION("""COMPUTED_VALUE"""),"#VALUE!")</f>
        <v>#VALUE!</v>
      </c>
      <c r="H481" s="51" t="str">
        <f>IFERROR(__xludf.DUMMYFUNCTION("""COMPUTED_VALUE"""),"")</f>
        <v/>
      </c>
      <c r="I481" s="51" t="str">
        <f>IFERROR(__xludf.DUMMYFUNCTION("""COMPUTED_VALUE"""),"#VALUE!")</f>
        <v>#VALUE!</v>
      </c>
      <c r="J481" s="51" t="str">
        <f>IFERROR(__xludf.DUMMYFUNCTION("""COMPUTED_VALUE"""),"")</f>
        <v/>
      </c>
      <c r="K481" s="51"/>
      <c r="L481" s="51" t="s">
        <v>257</v>
      </c>
      <c r="M481" s="51"/>
      <c r="N481" s="51"/>
      <c r="O481" s="51"/>
      <c r="P481" s="51"/>
      <c r="Q481" s="51"/>
      <c r="R481" s="51"/>
      <c r="S481" s="51"/>
      <c r="T481" s="51"/>
    </row>
    <row r="482">
      <c r="A482" s="51"/>
      <c r="B482" s="51"/>
      <c r="C482" s="56"/>
      <c r="D482" s="51"/>
      <c r="E482" s="51"/>
      <c r="F482" s="51"/>
      <c r="G482" s="51" t="str">
        <f>IFERROR(__xludf.DUMMYFUNCTION("""COMPUTED_VALUE"""),"#VALUE!")</f>
        <v>#VALUE!</v>
      </c>
      <c r="H482" s="51" t="str">
        <f>IFERROR(__xludf.DUMMYFUNCTION("""COMPUTED_VALUE"""),"")</f>
        <v/>
      </c>
      <c r="I482" s="51" t="str">
        <f>IFERROR(__xludf.DUMMYFUNCTION("""COMPUTED_VALUE"""),"#VALUE!")</f>
        <v>#VALUE!</v>
      </c>
      <c r="J482" s="51" t="str">
        <f>IFERROR(__xludf.DUMMYFUNCTION("""COMPUTED_VALUE"""),"")</f>
        <v/>
      </c>
      <c r="K482" s="51"/>
      <c r="L482" s="51" t="s">
        <v>257</v>
      </c>
      <c r="M482" s="51"/>
      <c r="N482" s="51"/>
      <c r="O482" s="51"/>
      <c r="P482" s="51"/>
      <c r="Q482" s="51"/>
      <c r="R482" s="51"/>
      <c r="S482" s="51"/>
      <c r="T482" s="51"/>
    </row>
    <row r="483">
      <c r="A483" s="51"/>
      <c r="B483" s="51"/>
      <c r="C483" s="56"/>
      <c r="D483" s="51"/>
      <c r="E483" s="51"/>
      <c r="F483" s="51"/>
      <c r="G483" s="51" t="str">
        <f>IFERROR(__xludf.DUMMYFUNCTION("""COMPUTED_VALUE"""),"#VALUE!")</f>
        <v>#VALUE!</v>
      </c>
      <c r="H483" s="51" t="str">
        <f>IFERROR(__xludf.DUMMYFUNCTION("""COMPUTED_VALUE"""),"")</f>
        <v/>
      </c>
      <c r="I483" s="51" t="str">
        <f>IFERROR(__xludf.DUMMYFUNCTION("""COMPUTED_VALUE"""),"#VALUE!")</f>
        <v>#VALUE!</v>
      </c>
      <c r="J483" s="51" t="str">
        <f>IFERROR(__xludf.DUMMYFUNCTION("""COMPUTED_VALUE"""),"")</f>
        <v/>
      </c>
      <c r="K483" s="51"/>
      <c r="L483" s="51" t="s">
        <v>257</v>
      </c>
      <c r="M483" s="51"/>
      <c r="N483" s="51"/>
      <c r="O483" s="51"/>
      <c r="P483" s="51"/>
      <c r="Q483" s="51"/>
      <c r="R483" s="51"/>
      <c r="S483" s="51"/>
      <c r="T483" s="51"/>
    </row>
    <row r="484">
      <c r="A484" s="51"/>
      <c r="B484" s="51"/>
      <c r="C484" s="56"/>
      <c r="D484" s="51"/>
      <c r="E484" s="51"/>
      <c r="F484" s="51"/>
      <c r="G484" s="51" t="str">
        <f>IFERROR(__xludf.DUMMYFUNCTION("""COMPUTED_VALUE"""),"#VALUE!")</f>
        <v>#VALUE!</v>
      </c>
      <c r="H484" s="51" t="str">
        <f>IFERROR(__xludf.DUMMYFUNCTION("""COMPUTED_VALUE"""),"")</f>
        <v/>
      </c>
      <c r="I484" s="51" t="str">
        <f>IFERROR(__xludf.DUMMYFUNCTION("""COMPUTED_VALUE"""),"#VALUE!")</f>
        <v>#VALUE!</v>
      </c>
      <c r="J484" s="51" t="str">
        <f>IFERROR(__xludf.DUMMYFUNCTION("""COMPUTED_VALUE"""),"")</f>
        <v/>
      </c>
      <c r="K484" s="51"/>
      <c r="L484" s="51" t="s">
        <v>257</v>
      </c>
      <c r="M484" s="51"/>
      <c r="N484" s="51"/>
      <c r="O484" s="51"/>
      <c r="P484" s="51"/>
      <c r="Q484" s="51"/>
      <c r="R484" s="51"/>
      <c r="S484" s="51"/>
      <c r="T484" s="51"/>
    </row>
    <row r="485">
      <c r="A485" s="51"/>
      <c r="B485" s="51"/>
      <c r="C485" s="56"/>
      <c r="D485" s="51"/>
      <c r="E485" s="51"/>
      <c r="F485" s="51"/>
      <c r="G485" s="51" t="str">
        <f>IFERROR(__xludf.DUMMYFUNCTION("""COMPUTED_VALUE"""),"#VALUE!")</f>
        <v>#VALUE!</v>
      </c>
      <c r="H485" s="51" t="str">
        <f>IFERROR(__xludf.DUMMYFUNCTION("""COMPUTED_VALUE"""),"")</f>
        <v/>
      </c>
      <c r="I485" s="51" t="str">
        <f>IFERROR(__xludf.DUMMYFUNCTION("""COMPUTED_VALUE"""),"#VALUE!")</f>
        <v>#VALUE!</v>
      </c>
      <c r="J485" s="51" t="str">
        <f>IFERROR(__xludf.DUMMYFUNCTION("""COMPUTED_VALUE"""),"")</f>
        <v/>
      </c>
      <c r="K485" s="51"/>
      <c r="L485" s="51" t="s">
        <v>257</v>
      </c>
      <c r="M485" s="51"/>
      <c r="N485" s="51"/>
      <c r="O485" s="51"/>
      <c r="P485" s="51"/>
      <c r="Q485" s="51"/>
      <c r="R485" s="51"/>
      <c r="S485" s="51"/>
      <c r="T485" s="51"/>
    </row>
    <row r="486">
      <c r="A486" s="51"/>
      <c r="B486" s="51"/>
      <c r="C486" s="56"/>
      <c r="D486" s="51"/>
      <c r="E486" s="51"/>
      <c r="F486" s="51"/>
      <c r="G486" s="51" t="str">
        <f>IFERROR(__xludf.DUMMYFUNCTION("""COMPUTED_VALUE"""),"#VALUE!")</f>
        <v>#VALUE!</v>
      </c>
      <c r="H486" s="51" t="str">
        <f>IFERROR(__xludf.DUMMYFUNCTION("""COMPUTED_VALUE"""),"")</f>
        <v/>
      </c>
      <c r="I486" s="51" t="str">
        <f>IFERROR(__xludf.DUMMYFUNCTION("""COMPUTED_VALUE"""),"#VALUE!")</f>
        <v>#VALUE!</v>
      </c>
      <c r="J486" s="51" t="str">
        <f>IFERROR(__xludf.DUMMYFUNCTION("""COMPUTED_VALUE"""),"")</f>
        <v/>
      </c>
      <c r="K486" s="51"/>
      <c r="L486" s="51" t="s">
        <v>257</v>
      </c>
      <c r="M486" s="51"/>
      <c r="N486" s="51"/>
      <c r="O486" s="51"/>
      <c r="P486" s="51"/>
      <c r="Q486" s="51"/>
      <c r="R486" s="51"/>
      <c r="S486" s="51"/>
      <c r="T486" s="51"/>
    </row>
    <row r="487">
      <c r="A487" s="51"/>
      <c r="B487" s="51"/>
      <c r="C487" s="56"/>
      <c r="D487" s="51"/>
      <c r="E487" s="51"/>
      <c r="F487" s="51"/>
      <c r="G487" s="51" t="str">
        <f>IFERROR(__xludf.DUMMYFUNCTION("""COMPUTED_VALUE"""),"#VALUE!")</f>
        <v>#VALUE!</v>
      </c>
      <c r="H487" s="51" t="str">
        <f>IFERROR(__xludf.DUMMYFUNCTION("""COMPUTED_VALUE"""),"")</f>
        <v/>
      </c>
      <c r="I487" s="51" t="str">
        <f>IFERROR(__xludf.DUMMYFUNCTION("""COMPUTED_VALUE"""),"#VALUE!")</f>
        <v>#VALUE!</v>
      </c>
      <c r="J487" s="51" t="str">
        <f>IFERROR(__xludf.DUMMYFUNCTION("""COMPUTED_VALUE"""),"")</f>
        <v/>
      </c>
      <c r="K487" s="51"/>
      <c r="L487" s="51" t="s">
        <v>257</v>
      </c>
      <c r="M487" s="51"/>
      <c r="N487" s="51"/>
      <c r="O487" s="51"/>
      <c r="P487" s="51"/>
      <c r="Q487" s="51"/>
      <c r="R487" s="51"/>
      <c r="S487" s="51"/>
      <c r="T487" s="51"/>
    </row>
    <row r="488">
      <c r="A488" s="51"/>
      <c r="B488" s="51"/>
      <c r="C488" s="56"/>
      <c r="D488" s="51"/>
      <c r="E488" s="51"/>
      <c r="F488" s="51"/>
      <c r="G488" s="51" t="str">
        <f>IFERROR(__xludf.DUMMYFUNCTION("""COMPUTED_VALUE"""),"#VALUE!")</f>
        <v>#VALUE!</v>
      </c>
      <c r="H488" s="51" t="str">
        <f>IFERROR(__xludf.DUMMYFUNCTION("""COMPUTED_VALUE"""),"")</f>
        <v/>
      </c>
      <c r="I488" s="51" t="str">
        <f>IFERROR(__xludf.DUMMYFUNCTION("""COMPUTED_VALUE"""),"#VALUE!")</f>
        <v>#VALUE!</v>
      </c>
      <c r="J488" s="51" t="str">
        <f>IFERROR(__xludf.DUMMYFUNCTION("""COMPUTED_VALUE"""),"")</f>
        <v/>
      </c>
      <c r="K488" s="51"/>
      <c r="L488" s="51" t="s">
        <v>257</v>
      </c>
      <c r="M488" s="51"/>
      <c r="N488" s="51"/>
      <c r="O488" s="51"/>
      <c r="P488" s="51"/>
      <c r="Q488" s="51"/>
      <c r="R488" s="51"/>
      <c r="S488" s="51"/>
      <c r="T488" s="51"/>
    </row>
    <row r="489">
      <c r="A489" s="51"/>
      <c r="B489" s="51"/>
      <c r="C489" s="56"/>
      <c r="D489" s="51"/>
      <c r="E489" s="51"/>
      <c r="F489" s="51"/>
      <c r="G489" s="51" t="str">
        <f>IFERROR(__xludf.DUMMYFUNCTION("""COMPUTED_VALUE"""),"#VALUE!")</f>
        <v>#VALUE!</v>
      </c>
      <c r="H489" s="51" t="str">
        <f>IFERROR(__xludf.DUMMYFUNCTION("""COMPUTED_VALUE"""),"")</f>
        <v/>
      </c>
      <c r="I489" s="51" t="str">
        <f>IFERROR(__xludf.DUMMYFUNCTION("""COMPUTED_VALUE"""),"#VALUE!")</f>
        <v>#VALUE!</v>
      </c>
      <c r="J489" s="51" t="str">
        <f>IFERROR(__xludf.DUMMYFUNCTION("""COMPUTED_VALUE"""),"")</f>
        <v/>
      </c>
      <c r="K489" s="51"/>
      <c r="L489" s="51" t="s">
        <v>257</v>
      </c>
      <c r="M489" s="51"/>
      <c r="N489" s="51"/>
      <c r="O489" s="51"/>
      <c r="P489" s="51"/>
      <c r="Q489" s="51"/>
      <c r="R489" s="51"/>
      <c r="S489" s="51"/>
      <c r="T489" s="51"/>
    </row>
    <row r="490">
      <c r="A490" s="51"/>
      <c r="B490" s="51"/>
      <c r="C490" s="56"/>
      <c r="D490" s="51"/>
      <c r="E490" s="51"/>
      <c r="F490" s="51"/>
      <c r="G490" s="51" t="str">
        <f>IFERROR(__xludf.DUMMYFUNCTION("""COMPUTED_VALUE"""),"#VALUE!")</f>
        <v>#VALUE!</v>
      </c>
      <c r="H490" s="51" t="str">
        <f>IFERROR(__xludf.DUMMYFUNCTION("""COMPUTED_VALUE"""),"")</f>
        <v/>
      </c>
      <c r="I490" s="51" t="str">
        <f>IFERROR(__xludf.DUMMYFUNCTION("""COMPUTED_VALUE"""),"#VALUE!")</f>
        <v>#VALUE!</v>
      </c>
      <c r="J490" s="51" t="str">
        <f>IFERROR(__xludf.DUMMYFUNCTION("""COMPUTED_VALUE"""),"")</f>
        <v/>
      </c>
      <c r="K490" s="51"/>
      <c r="L490" s="51" t="s">
        <v>257</v>
      </c>
      <c r="M490" s="51"/>
      <c r="N490" s="51"/>
      <c r="O490" s="51"/>
      <c r="P490" s="51"/>
      <c r="Q490" s="51"/>
      <c r="R490" s="51"/>
      <c r="S490" s="51"/>
      <c r="T490" s="51"/>
    </row>
    <row r="491">
      <c r="A491" s="51"/>
      <c r="B491" s="51"/>
      <c r="C491" s="56"/>
      <c r="D491" s="51"/>
      <c r="E491" s="51"/>
      <c r="F491" s="51"/>
      <c r="G491" s="51" t="str">
        <f>IFERROR(__xludf.DUMMYFUNCTION("""COMPUTED_VALUE"""),"#VALUE!")</f>
        <v>#VALUE!</v>
      </c>
      <c r="H491" s="51" t="str">
        <f>IFERROR(__xludf.DUMMYFUNCTION("""COMPUTED_VALUE"""),"")</f>
        <v/>
      </c>
      <c r="I491" s="51" t="str">
        <f>IFERROR(__xludf.DUMMYFUNCTION("""COMPUTED_VALUE"""),"#VALUE!")</f>
        <v>#VALUE!</v>
      </c>
      <c r="J491" s="51" t="str">
        <f>IFERROR(__xludf.DUMMYFUNCTION("""COMPUTED_VALUE"""),"")</f>
        <v/>
      </c>
      <c r="K491" s="51"/>
      <c r="L491" s="51" t="s">
        <v>257</v>
      </c>
      <c r="M491" s="51"/>
      <c r="N491" s="51"/>
      <c r="O491" s="51"/>
      <c r="P491" s="51"/>
      <c r="Q491" s="51"/>
      <c r="R491" s="51"/>
      <c r="S491" s="51"/>
      <c r="T491" s="51"/>
    </row>
    <row r="492">
      <c r="A492" s="51"/>
      <c r="B492" s="51"/>
      <c r="C492" s="56"/>
      <c r="D492" s="51"/>
      <c r="E492" s="51"/>
      <c r="F492" s="51"/>
      <c r="G492" s="51" t="str">
        <f>IFERROR(__xludf.DUMMYFUNCTION("""COMPUTED_VALUE"""),"#VALUE!")</f>
        <v>#VALUE!</v>
      </c>
      <c r="H492" s="51" t="str">
        <f>IFERROR(__xludf.DUMMYFUNCTION("""COMPUTED_VALUE"""),"")</f>
        <v/>
      </c>
      <c r="I492" s="51" t="str">
        <f>IFERROR(__xludf.DUMMYFUNCTION("""COMPUTED_VALUE"""),"#VALUE!")</f>
        <v>#VALUE!</v>
      </c>
      <c r="J492" s="51" t="str">
        <f>IFERROR(__xludf.DUMMYFUNCTION("""COMPUTED_VALUE"""),"")</f>
        <v/>
      </c>
      <c r="K492" s="51"/>
      <c r="L492" s="51" t="s">
        <v>257</v>
      </c>
      <c r="M492" s="51"/>
      <c r="N492" s="51"/>
      <c r="O492" s="51"/>
      <c r="P492" s="51"/>
      <c r="Q492" s="51"/>
      <c r="R492" s="51"/>
      <c r="S492" s="51"/>
      <c r="T492" s="51"/>
    </row>
    <row r="493">
      <c r="A493" s="51"/>
      <c r="B493" s="51"/>
      <c r="C493" s="56"/>
      <c r="D493" s="51"/>
      <c r="E493" s="51"/>
      <c r="F493" s="51"/>
      <c r="G493" s="51" t="str">
        <f>IFERROR(__xludf.DUMMYFUNCTION("""COMPUTED_VALUE"""),"#VALUE!")</f>
        <v>#VALUE!</v>
      </c>
      <c r="H493" s="51" t="str">
        <f>IFERROR(__xludf.DUMMYFUNCTION("""COMPUTED_VALUE"""),"")</f>
        <v/>
      </c>
      <c r="I493" s="51" t="str">
        <f>IFERROR(__xludf.DUMMYFUNCTION("""COMPUTED_VALUE"""),"#VALUE!")</f>
        <v>#VALUE!</v>
      </c>
      <c r="J493" s="51" t="str">
        <f>IFERROR(__xludf.DUMMYFUNCTION("""COMPUTED_VALUE"""),"")</f>
        <v/>
      </c>
      <c r="K493" s="51"/>
      <c r="L493" s="51" t="s">
        <v>257</v>
      </c>
      <c r="M493" s="51"/>
      <c r="N493" s="51"/>
      <c r="O493" s="51"/>
      <c r="P493" s="51"/>
      <c r="Q493" s="51"/>
      <c r="R493" s="51"/>
      <c r="S493" s="51"/>
      <c r="T493" s="51"/>
    </row>
    <row r="494">
      <c r="A494" s="51"/>
      <c r="B494" s="51"/>
      <c r="C494" s="56"/>
      <c r="D494" s="51"/>
      <c r="E494" s="51"/>
      <c r="F494" s="51"/>
      <c r="G494" s="51" t="str">
        <f>IFERROR(__xludf.DUMMYFUNCTION("""COMPUTED_VALUE"""),"#VALUE!")</f>
        <v>#VALUE!</v>
      </c>
      <c r="H494" s="51" t="str">
        <f>IFERROR(__xludf.DUMMYFUNCTION("""COMPUTED_VALUE"""),"")</f>
        <v/>
      </c>
      <c r="I494" s="51" t="str">
        <f>IFERROR(__xludf.DUMMYFUNCTION("""COMPUTED_VALUE"""),"#VALUE!")</f>
        <v>#VALUE!</v>
      </c>
      <c r="J494" s="51" t="str">
        <f>IFERROR(__xludf.DUMMYFUNCTION("""COMPUTED_VALUE"""),"")</f>
        <v/>
      </c>
      <c r="K494" s="51"/>
      <c r="L494" s="51" t="s">
        <v>257</v>
      </c>
      <c r="M494" s="51"/>
      <c r="N494" s="51"/>
      <c r="O494" s="51"/>
      <c r="P494" s="51"/>
      <c r="Q494" s="51"/>
      <c r="R494" s="51"/>
      <c r="S494" s="51"/>
      <c r="T494" s="51"/>
    </row>
    <row r="495">
      <c r="A495" s="51"/>
      <c r="B495" s="51"/>
      <c r="C495" s="56"/>
      <c r="D495" s="51"/>
      <c r="E495" s="51"/>
      <c r="F495" s="51"/>
      <c r="G495" s="51" t="str">
        <f>IFERROR(__xludf.DUMMYFUNCTION("""COMPUTED_VALUE"""),"#VALUE!")</f>
        <v>#VALUE!</v>
      </c>
      <c r="H495" s="51" t="str">
        <f>IFERROR(__xludf.DUMMYFUNCTION("""COMPUTED_VALUE"""),"")</f>
        <v/>
      </c>
      <c r="I495" s="51" t="str">
        <f>IFERROR(__xludf.DUMMYFUNCTION("""COMPUTED_VALUE"""),"#VALUE!")</f>
        <v>#VALUE!</v>
      </c>
      <c r="J495" s="51" t="str">
        <f>IFERROR(__xludf.DUMMYFUNCTION("""COMPUTED_VALUE"""),"")</f>
        <v/>
      </c>
      <c r="K495" s="51"/>
      <c r="L495" s="51" t="s">
        <v>257</v>
      </c>
      <c r="M495" s="51"/>
      <c r="N495" s="51"/>
      <c r="O495" s="51"/>
      <c r="P495" s="51"/>
      <c r="Q495" s="51"/>
      <c r="R495" s="51"/>
      <c r="S495" s="51"/>
      <c r="T495" s="51"/>
    </row>
    <row r="496">
      <c r="A496" s="51"/>
      <c r="B496" s="51"/>
      <c r="C496" s="56"/>
      <c r="D496" s="51"/>
      <c r="E496" s="51"/>
      <c r="F496" s="51"/>
      <c r="G496" s="51" t="str">
        <f>IFERROR(__xludf.DUMMYFUNCTION("""COMPUTED_VALUE"""),"#VALUE!")</f>
        <v>#VALUE!</v>
      </c>
      <c r="H496" s="51" t="str">
        <f>IFERROR(__xludf.DUMMYFUNCTION("""COMPUTED_VALUE"""),"")</f>
        <v/>
      </c>
      <c r="I496" s="51" t="str">
        <f>IFERROR(__xludf.DUMMYFUNCTION("""COMPUTED_VALUE"""),"#VALUE!")</f>
        <v>#VALUE!</v>
      </c>
      <c r="J496" s="51" t="str">
        <f>IFERROR(__xludf.DUMMYFUNCTION("""COMPUTED_VALUE"""),"")</f>
        <v/>
      </c>
      <c r="K496" s="51"/>
      <c r="L496" s="51" t="s">
        <v>257</v>
      </c>
      <c r="M496" s="51"/>
      <c r="N496" s="51"/>
      <c r="O496" s="51"/>
      <c r="P496" s="51"/>
      <c r="Q496" s="51"/>
      <c r="R496" s="51"/>
      <c r="S496" s="51"/>
      <c r="T496" s="51"/>
    </row>
    <row r="497">
      <c r="A497" s="51"/>
      <c r="B497" s="51"/>
      <c r="C497" s="56"/>
      <c r="D497" s="51"/>
      <c r="E497" s="51"/>
      <c r="F497" s="51"/>
      <c r="G497" s="51" t="str">
        <f>IFERROR(__xludf.DUMMYFUNCTION("""COMPUTED_VALUE"""),"#VALUE!")</f>
        <v>#VALUE!</v>
      </c>
      <c r="H497" s="51" t="str">
        <f>IFERROR(__xludf.DUMMYFUNCTION("""COMPUTED_VALUE"""),"")</f>
        <v/>
      </c>
      <c r="I497" s="51" t="str">
        <f>IFERROR(__xludf.DUMMYFUNCTION("""COMPUTED_VALUE"""),"#VALUE!")</f>
        <v>#VALUE!</v>
      </c>
      <c r="J497" s="51" t="str">
        <f>IFERROR(__xludf.DUMMYFUNCTION("""COMPUTED_VALUE"""),"")</f>
        <v/>
      </c>
      <c r="K497" s="51"/>
      <c r="L497" s="51" t="s">
        <v>257</v>
      </c>
      <c r="M497" s="51"/>
      <c r="N497" s="51"/>
      <c r="O497" s="51"/>
      <c r="P497" s="51"/>
      <c r="Q497" s="51"/>
      <c r="R497" s="51"/>
      <c r="S497" s="51"/>
      <c r="T497" s="51"/>
    </row>
    <row r="498">
      <c r="A498" s="51"/>
      <c r="B498" s="51"/>
      <c r="C498" s="56"/>
      <c r="D498" s="51"/>
      <c r="E498" s="51"/>
      <c r="F498" s="51"/>
      <c r="G498" s="51" t="str">
        <f>IFERROR(__xludf.DUMMYFUNCTION("""COMPUTED_VALUE"""),"#VALUE!")</f>
        <v>#VALUE!</v>
      </c>
      <c r="H498" s="51" t="str">
        <f>IFERROR(__xludf.DUMMYFUNCTION("""COMPUTED_VALUE"""),"")</f>
        <v/>
      </c>
      <c r="I498" s="51" t="str">
        <f>IFERROR(__xludf.DUMMYFUNCTION("""COMPUTED_VALUE"""),"#VALUE!")</f>
        <v>#VALUE!</v>
      </c>
      <c r="J498" s="51" t="str">
        <f>IFERROR(__xludf.DUMMYFUNCTION("""COMPUTED_VALUE"""),"")</f>
        <v/>
      </c>
      <c r="K498" s="51"/>
      <c r="L498" s="51" t="s">
        <v>257</v>
      </c>
      <c r="M498" s="51"/>
      <c r="N498" s="51"/>
      <c r="O498" s="51"/>
      <c r="P498" s="51"/>
      <c r="Q498" s="51"/>
      <c r="R498" s="51"/>
      <c r="S498" s="51"/>
      <c r="T498" s="51"/>
    </row>
    <row r="499">
      <c r="A499" s="51"/>
      <c r="B499" s="51"/>
      <c r="C499" s="56"/>
      <c r="D499" s="51"/>
      <c r="E499" s="51"/>
      <c r="F499" s="51"/>
      <c r="G499" s="51" t="str">
        <f>IFERROR(__xludf.DUMMYFUNCTION("""COMPUTED_VALUE"""),"#VALUE!")</f>
        <v>#VALUE!</v>
      </c>
      <c r="H499" s="51" t="str">
        <f>IFERROR(__xludf.DUMMYFUNCTION("""COMPUTED_VALUE"""),"")</f>
        <v/>
      </c>
      <c r="I499" s="51" t="str">
        <f>IFERROR(__xludf.DUMMYFUNCTION("""COMPUTED_VALUE"""),"#VALUE!")</f>
        <v>#VALUE!</v>
      </c>
      <c r="J499" s="51" t="str">
        <f>IFERROR(__xludf.DUMMYFUNCTION("""COMPUTED_VALUE"""),"")</f>
        <v/>
      </c>
      <c r="K499" s="51"/>
      <c r="L499" s="51" t="s">
        <v>257</v>
      </c>
      <c r="M499" s="51"/>
      <c r="N499" s="51"/>
      <c r="O499" s="51"/>
      <c r="P499" s="51"/>
      <c r="Q499" s="51"/>
      <c r="R499" s="51"/>
      <c r="S499" s="51"/>
      <c r="T499" s="51"/>
    </row>
    <row r="500">
      <c r="A500" s="51"/>
      <c r="B500" s="51"/>
      <c r="C500" s="56"/>
      <c r="D500" s="51"/>
      <c r="E500" s="51"/>
      <c r="F500" s="51"/>
      <c r="G500" s="51" t="str">
        <f>IFERROR(__xludf.DUMMYFUNCTION("""COMPUTED_VALUE"""),"#VALUE!")</f>
        <v>#VALUE!</v>
      </c>
      <c r="H500" s="51" t="str">
        <f>IFERROR(__xludf.DUMMYFUNCTION("""COMPUTED_VALUE"""),"")</f>
        <v/>
      </c>
      <c r="I500" s="51" t="str">
        <f>IFERROR(__xludf.DUMMYFUNCTION("""COMPUTED_VALUE"""),"#VALUE!")</f>
        <v>#VALUE!</v>
      </c>
      <c r="J500" s="51" t="str">
        <f>IFERROR(__xludf.DUMMYFUNCTION("""COMPUTED_VALUE"""),"")</f>
        <v/>
      </c>
      <c r="K500" s="51"/>
      <c r="L500" s="51" t="s">
        <v>257</v>
      </c>
      <c r="M500" s="51"/>
      <c r="N500" s="51"/>
      <c r="O500" s="51"/>
      <c r="P500" s="51"/>
      <c r="Q500" s="51"/>
      <c r="R500" s="51"/>
      <c r="S500" s="51"/>
      <c r="T500" s="51"/>
    </row>
    <row r="501">
      <c r="A501" s="51"/>
      <c r="B501" s="51"/>
      <c r="C501" s="56"/>
      <c r="D501" s="51"/>
      <c r="E501" s="51"/>
      <c r="F501" s="51"/>
      <c r="G501" s="51" t="str">
        <f>IFERROR(__xludf.DUMMYFUNCTION("""COMPUTED_VALUE"""),"#VALUE!")</f>
        <v>#VALUE!</v>
      </c>
      <c r="H501" s="51" t="str">
        <f>IFERROR(__xludf.DUMMYFUNCTION("""COMPUTED_VALUE"""),"")</f>
        <v/>
      </c>
      <c r="I501" s="51" t="str">
        <f>IFERROR(__xludf.DUMMYFUNCTION("""COMPUTED_VALUE"""),"#VALUE!")</f>
        <v>#VALUE!</v>
      </c>
      <c r="J501" s="51" t="str">
        <f>IFERROR(__xludf.DUMMYFUNCTION("""COMPUTED_VALUE"""),"")</f>
        <v/>
      </c>
      <c r="K501" s="51"/>
      <c r="L501" s="51" t="s">
        <v>257</v>
      </c>
      <c r="M501" s="51"/>
      <c r="N501" s="51"/>
      <c r="O501" s="51"/>
      <c r="P501" s="51"/>
      <c r="Q501" s="51"/>
      <c r="R501" s="51"/>
      <c r="S501" s="51"/>
      <c r="T501" s="51"/>
    </row>
    <row r="502">
      <c r="A502" s="51"/>
      <c r="B502" s="51"/>
      <c r="C502" s="56"/>
      <c r="D502" s="51"/>
      <c r="E502" s="51"/>
      <c r="F502" s="51"/>
      <c r="G502" s="51" t="str">
        <f>IFERROR(__xludf.DUMMYFUNCTION("""COMPUTED_VALUE"""),"#VALUE!")</f>
        <v>#VALUE!</v>
      </c>
      <c r="H502" s="51" t="str">
        <f>IFERROR(__xludf.DUMMYFUNCTION("""COMPUTED_VALUE"""),"")</f>
        <v/>
      </c>
      <c r="I502" s="51" t="str">
        <f>IFERROR(__xludf.DUMMYFUNCTION("""COMPUTED_VALUE"""),"#VALUE!")</f>
        <v>#VALUE!</v>
      </c>
      <c r="J502" s="51" t="str">
        <f>IFERROR(__xludf.DUMMYFUNCTION("""COMPUTED_VALUE"""),"")</f>
        <v/>
      </c>
      <c r="K502" s="51"/>
      <c r="L502" s="51" t="s">
        <v>257</v>
      </c>
      <c r="M502" s="51"/>
      <c r="N502" s="51"/>
      <c r="O502" s="51"/>
      <c r="P502" s="51"/>
      <c r="Q502" s="51"/>
      <c r="R502" s="51"/>
      <c r="S502" s="51"/>
      <c r="T502" s="51"/>
    </row>
    <row r="503">
      <c r="A503" s="51"/>
      <c r="B503" s="51"/>
      <c r="C503" s="56"/>
      <c r="D503" s="51"/>
      <c r="E503" s="51"/>
      <c r="F503" s="51"/>
      <c r="G503" s="51" t="str">
        <f>IFERROR(__xludf.DUMMYFUNCTION("""COMPUTED_VALUE"""),"#VALUE!")</f>
        <v>#VALUE!</v>
      </c>
      <c r="H503" s="51" t="str">
        <f>IFERROR(__xludf.DUMMYFUNCTION("""COMPUTED_VALUE"""),"")</f>
        <v/>
      </c>
      <c r="I503" s="51" t="str">
        <f>IFERROR(__xludf.DUMMYFUNCTION("""COMPUTED_VALUE"""),"#VALUE!")</f>
        <v>#VALUE!</v>
      </c>
      <c r="J503" s="51" t="str">
        <f>IFERROR(__xludf.DUMMYFUNCTION("""COMPUTED_VALUE"""),"")</f>
        <v/>
      </c>
      <c r="K503" s="51"/>
      <c r="L503" s="51" t="s">
        <v>257</v>
      </c>
      <c r="M503" s="51"/>
      <c r="N503" s="51"/>
      <c r="O503" s="51"/>
      <c r="P503" s="51"/>
      <c r="Q503" s="51"/>
      <c r="R503" s="51"/>
      <c r="S503" s="51"/>
      <c r="T503" s="51"/>
    </row>
    <row r="504">
      <c r="A504" s="51"/>
      <c r="B504" s="51"/>
      <c r="C504" s="56"/>
      <c r="D504" s="51"/>
      <c r="E504" s="51"/>
      <c r="F504" s="51"/>
      <c r="G504" s="51" t="str">
        <f>IFERROR(__xludf.DUMMYFUNCTION("""COMPUTED_VALUE"""),"#VALUE!")</f>
        <v>#VALUE!</v>
      </c>
      <c r="H504" s="51" t="str">
        <f>IFERROR(__xludf.DUMMYFUNCTION("""COMPUTED_VALUE"""),"")</f>
        <v/>
      </c>
      <c r="I504" s="51" t="str">
        <f>IFERROR(__xludf.DUMMYFUNCTION("""COMPUTED_VALUE"""),"#VALUE!")</f>
        <v>#VALUE!</v>
      </c>
      <c r="J504" s="51" t="str">
        <f>IFERROR(__xludf.DUMMYFUNCTION("""COMPUTED_VALUE"""),"")</f>
        <v/>
      </c>
      <c r="K504" s="51"/>
      <c r="L504" s="51" t="s">
        <v>257</v>
      </c>
      <c r="M504" s="51"/>
      <c r="N504" s="51"/>
      <c r="O504" s="51"/>
      <c r="P504" s="51"/>
      <c r="Q504" s="51"/>
      <c r="R504" s="51"/>
      <c r="S504" s="51"/>
      <c r="T504" s="51"/>
    </row>
    <row r="505">
      <c r="A505" s="51"/>
      <c r="B505" s="51"/>
      <c r="C505" s="56"/>
      <c r="D505" s="51"/>
      <c r="E505" s="51"/>
      <c r="F505" s="51"/>
      <c r="G505" s="51" t="str">
        <f>IFERROR(__xludf.DUMMYFUNCTION("""COMPUTED_VALUE"""),"#VALUE!")</f>
        <v>#VALUE!</v>
      </c>
      <c r="H505" s="51" t="str">
        <f>IFERROR(__xludf.DUMMYFUNCTION("""COMPUTED_VALUE"""),"")</f>
        <v/>
      </c>
      <c r="I505" s="51" t="str">
        <f>IFERROR(__xludf.DUMMYFUNCTION("""COMPUTED_VALUE"""),"#VALUE!")</f>
        <v>#VALUE!</v>
      </c>
      <c r="J505" s="51" t="str">
        <f>IFERROR(__xludf.DUMMYFUNCTION("""COMPUTED_VALUE"""),"")</f>
        <v/>
      </c>
      <c r="K505" s="51"/>
      <c r="L505" s="51" t="s">
        <v>257</v>
      </c>
      <c r="M505" s="51"/>
      <c r="N505" s="51"/>
      <c r="O505" s="51"/>
      <c r="P505" s="51"/>
      <c r="Q505" s="51"/>
      <c r="R505" s="51"/>
      <c r="S505" s="51"/>
      <c r="T505" s="51"/>
    </row>
    <row r="506">
      <c r="A506" s="51"/>
      <c r="B506" s="51"/>
      <c r="C506" s="56"/>
      <c r="D506" s="51"/>
      <c r="E506" s="51"/>
      <c r="F506" s="51"/>
      <c r="G506" s="51" t="str">
        <f>IFERROR(__xludf.DUMMYFUNCTION("""COMPUTED_VALUE"""),"#VALUE!")</f>
        <v>#VALUE!</v>
      </c>
      <c r="H506" s="51" t="str">
        <f>IFERROR(__xludf.DUMMYFUNCTION("""COMPUTED_VALUE"""),"")</f>
        <v/>
      </c>
      <c r="I506" s="51" t="str">
        <f>IFERROR(__xludf.DUMMYFUNCTION("""COMPUTED_VALUE"""),"#VALUE!")</f>
        <v>#VALUE!</v>
      </c>
      <c r="J506" s="51" t="str">
        <f>IFERROR(__xludf.DUMMYFUNCTION("""COMPUTED_VALUE"""),"")</f>
        <v/>
      </c>
      <c r="K506" s="51"/>
      <c r="L506" s="51" t="s">
        <v>257</v>
      </c>
      <c r="M506" s="51"/>
      <c r="N506" s="51"/>
      <c r="O506" s="51"/>
      <c r="P506" s="51"/>
      <c r="Q506" s="51"/>
      <c r="R506" s="51"/>
      <c r="S506" s="51"/>
      <c r="T506" s="51"/>
    </row>
    <row r="507">
      <c r="A507" s="51"/>
      <c r="B507" s="51"/>
      <c r="C507" s="56"/>
      <c r="D507" s="51"/>
      <c r="E507" s="51"/>
      <c r="F507" s="51"/>
      <c r="G507" s="51" t="str">
        <f>IFERROR(__xludf.DUMMYFUNCTION("""COMPUTED_VALUE"""),"#VALUE!")</f>
        <v>#VALUE!</v>
      </c>
      <c r="H507" s="51" t="str">
        <f>IFERROR(__xludf.DUMMYFUNCTION("""COMPUTED_VALUE"""),"")</f>
        <v/>
      </c>
      <c r="I507" s="51" t="str">
        <f>IFERROR(__xludf.DUMMYFUNCTION("""COMPUTED_VALUE"""),"#VALUE!")</f>
        <v>#VALUE!</v>
      </c>
      <c r="J507" s="51" t="str">
        <f>IFERROR(__xludf.DUMMYFUNCTION("""COMPUTED_VALUE"""),"")</f>
        <v/>
      </c>
      <c r="K507" s="51"/>
      <c r="L507" s="51" t="s">
        <v>257</v>
      </c>
      <c r="M507" s="51"/>
      <c r="N507" s="51"/>
      <c r="O507" s="51"/>
      <c r="P507" s="51"/>
      <c r="Q507" s="51"/>
      <c r="R507" s="51"/>
      <c r="S507" s="51"/>
      <c r="T507" s="51"/>
    </row>
    <row r="508">
      <c r="A508" s="51"/>
      <c r="B508" s="51"/>
      <c r="C508" s="56"/>
      <c r="D508" s="51"/>
      <c r="E508" s="51"/>
      <c r="F508" s="51"/>
      <c r="G508" s="51" t="str">
        <f>IFERROR(__xludf.DUMMYFUNCTION("""COMPUTED_VALUE"""),"#VALUE!")</f>
        <v>#VALUE!</v>
      </c>
      <c r="H508" s="51" t="str">
        <f>IFERROR(__xludf.DUMMYFUNCTION("""COMPUTED_VALUE"""),"")</f>
        <v/>
      </c>
      <c r="I508" s="51" t="str">
        <f>IFERROR(__xludf.DUMMYFUNCTION("""COMPUTED_VALUE"""),"#VALUE!")</f>
        <v>#VALUE!</v>
      </c>
      <c r="J508" s="51" t="str">
        <f>IFERROR(__xludf.DUMMYFUNCTION("""COMPUTED_VALUE"""),"")</f>
        <v/>
      </c>
      <c r="K508" s="51"/>
      <c r="L508" s="51" t="s">
        <v>257</v>
      </c>
      <c r="M508" s="51"/>
      <c r="N508" s="51"/>
      <c r="O508" s="51"/>
      <c r="P508" s="51"/>
      <c r="Q508" s="51"/>
      <c r="R508" s="51"/>
      <c r="S508" s="51"/>
      <c r="T508" s="51"/>
    </row>
    <row r="509">
      <c r="A509" s="51"/>
      <c r="B509" s="51"/>
      <c r="C509" s="56"/>
      <c r="D509" s="51"/>
      <c r="E509" s="51"/>
      <c r="F509" s="51"/>
      <c r="G509" s="51" t="str">
        <f>IFERROR(__xludf.DUMMYFUNCTION("""COMPUTED_VALUE"""),"#VALUE!")</f>
        <v>#VALUE!</v>
      </c>
      <c r="H509" s="51" t="str">
        <f>IFERROR(__xludf.DUMMYFUNCTION("""COMPUTED_VALUE"""),"")</f>
        <v/>
      </c>
      <c r="I509" s="51" t="str">
        <f>IFERROR(__xludf.DUMMYFUNCTION("""COMPUTED_VALUE"""),"#VALUE!")</f>
        <v>#VALUE!</v>
      </c>
      <c r="J509" s="51" t="str">
        <f>IFERROR(__xludf.DUMMYFUNCTION("""COMPUTED_VALUE"""),"")</f>
        <v/>
      </c>
      <c r="K509" s="51"/>
      <c r="L509" s="51" t="s">
        <v>257</v>
      </c>
      <c r="M509" s="51"/>
      <c r="N509" s="51"/>
      <c r="O509" s="51"/>
      <c r="P509" s="51"/>
      <c r="Q509" s="51"/>
      <c r="R509" s="51"/>
      <c r="S509" s="51"/>
      <c r="T509" s="51"/>
    </row>
    <row r="510">
      <c r="A510" s="51"/>
      <c r="B510" s="51"/>
      <c r="C510" s="56"/>
      <c r="D510" s="51"/>
      <c r="E510" s="51"/>
      <c r="F510" s="51"/>
      <c r="G510" s="51" t="str">
        <f>IFERROR(__xludf.DUMMYFUNCTION("""COMPUTED_VALUE"""),"#VALUE!")</f>
        <v>#VALUE!</v>
      </c>
      <c r="H510" s="51" t="str">
        <f>IFERROR(__xludf.DUMMYFUNCTION("""COMPUTED_VALUE"""),"")</f>
        <v/>
      </c>
      <c r="I510" s="51" t="str">
        <f>IFERROR(__xludf.DUMMYFUNCTION("""COMPUTED_VALUE"""),"#VALUE!")</f>
        <v>#VALUE!</v>
      </c>
      <c r="J510" s="51" t="str">
        <f>IFERROR(__xludf.DUMMYFUNCTION("""COMPUTED_VALUE"""),"")</f>
        <v/>
      </c>
      <c r="K510" s="51"/>
      <c r="L510" s="51" t="s">
        <v>257</v>
      </c>
      <c r="M510" s="51"/>
      <c r="N510" s="51"/>
      <c r="O510" s="51"/>
      <c r="P510" s="51"/>
      <c r="Q510" s="51"/>
      <c r="R510" s="51"/>
      <c r="S510" s="51"/>
      <c r="T510" s="51"/>
    </row>
    <row r="511">
      <c r="A511" s="51"/>
      <c r="B511" s="51"/>
      <c r="C511" s="56"/>
      <c r="D511" s="51"/>
      <c r="E511" s="51"/>
      <c r="F511" s="51"/>
      <c r="G511" s="51" t="str">
        <f>IFERROR(__xludf.DUMMYFUNCTION("""COMPUTED_VALUE"""),"#VALUE!")</f>
        <v>#VALUE!</v>
      </c>
      <c r="H511" s="51" t="str">
        <f>IFERROR(__xludf.DUMMYFUNCTION("""COMPUTED_VALUE"""),"")</f>
        <v/>
      </c>
      <c r="I511" s="51" t="str">
        <f>IFERROR(__xludf.DUMMYFUNCTION("""COMPUTED_VALUE"""),"#VALUE!")</f>
        <v>#VALUE!</v>
      </c>
      <c r="J511" s="51" t="str">
        <f>IFERROR(__xludf.DUMMYFUNCTION("""COMPUTED_VALUE"""),"")</f>
        <v/>
      </c>
      <c r="K511" s="51"/>
      <c r="L511" s="51" t="s">
        <v>257</v>
      </c>
      <c r="M511" s="51"/>
      <c r="N511" s="51"/>
      <c r="O511" s="51"/>
      <c r="P511" s="51"/>
      <c r="Q511" s="51"/>
      <c r="R511" s="51"/>
      <c r="S511" s="51"/>
      <c r="T511" s="51"/>
    </row>
    <row r="512">
      <c r="A512" s="51"/>
      <c r="B512" s="51"/>
      <c r="C512" s="56"/>
      <c r="D512" s="51"/>
      <c r="E512" s="51"/>
      <c r="F512" s="51"/>
      <c r="G512" s="51" t="str">
        <f>IFERROR(__xludf.DUMMYFUNCTION("""COMPUTED_VALUE"""),"#VALUE!")</f>
        <v>#VALUE!</v>
      </c>
      <c r="H512" s="51" t="str">
        <f>IFERROR(__xludf.DUMMYFUNCTION("""COMPUTED_VALUE"""),"")</f>
        <v/>
      </c>
      <c r="I512" s="51" t="str">
        <f>IFERROR(__xludf.DUMMYFUNCTION("""COMPUTED_VALUE"""),"#VALUE!")</f>
        <v>#VALUE!</v>
      </c>
      <c r="J512" s="51" t="str">
        <f>IFERROR(__xludf.DUMMYFUNCTION("""COMPUTED_VALUE"""),"")</f>
        <v/>
      </c>
      <c r="K512" s="51"/>
      <c r="L512" s="51" t="s">
        <v>257</v>
      </c>
      <c r="M512" s="51"/>
      <c r="N512" s="51"/>
      <c r="O512" s="51"/>
      <c r="P512" s="51"/>
      <c r="Q512" s="51"/>
      <c r="R512" s="51"/>
      <c r="S512" s="51"/>
      <c r="T512" s="51"/>
    </row>
    <row r="513">
      <c r="A513" s="51"/>
      <c r="B513" s="51"/>
      <c r="C513" s="56"/>
      <c r="D513" s="51"/>
      <c r="E513" s="51"/>
      <c r="F513" s="51"/>
      <c r="G513" s="51" t="str">
        <f>IFERROR(__xludf.DUMMYFUNCTION("""COMPUTED_VALUE"""),"#VALUE!")</f>
        <v>#VALUE!</v>
      </c>
      <c r="H513" s="51" t="str">
        <f>IFERROR(__xludf.DUMMYFUNCTION("""COMPUTED_VALUE"""),"")</f>
        <v/>
      </c>
      <c r="I513" s="51" t="str">
        <f>IFERROR(__xludf.DUMMYFUNCTION("""COMPUTED_VALUE"""),"#VALUE!")</f>
        <v>#VALUE!</v>
      </c>
      <c r="J513" s="51" t="str">
        <f>IFERROR(__xludf.DUMMYFUNCTION("""COMPUTED_VALUE"""),"")</f>
        <v/>
      </c>
      <c r="K513" s="51"/>
      <c r="L513" s="51" t="s">
        <v>257</v>
      </c>
      <c r="M513" s="51"/>
      <c r="N513" s="51"/>
      <c r="O513" s="51"/>
      <c r="P513" s="51"/>
      <c r="Q513" s="51"/>
      <c r="R513" s="51"/>
      <c r="S513" s="51"/>
      <c r="T513" s="51"/>
    </row>
    <row r="514">
      <c r="A514" s="51"/>
      <c r="B514" s="51"/>
      <c r="C514" s="56"/>
      <c r="D514" s="51"/>
      <c r="E514" s="51"/>
      <c r="F514" s="51"/>
      <c r="G514" s="51" t="str">
        <f>IFERROR(__xludf.DUMMYFUNCTION("""COMPUTED_VALUE"""),"#VALUE!")</f>
        <v>#VALUE!</v>
      </c>
      <c r="H514" s="51" t="str">
        <f>IFERROR(__xludf.DUMMYFUNCTION("""COMPUTED_VALUE"""),"")</f>
        <v/>
      </c>
      <c r="I514" s="51" t="str">
        <f>IFERROR(__xludf.DUMMYFUNCTION("""COMPUTED_VALUE"""),"#VALUE!")</f>
        <v>#VALUE!</v>
      </c>
      <c r="J514" s="51" t="str">
        <f>IFERROR(__xludf.DUMMYFUNCTION("""COMPUTED_VALUE"""),"")</f>
        <v/>
      </c>
      <c r="K514" s="51"/>
      <c r="L514" s="51" t="s">
        <v>257</v>
      </c>
      <c r="M514" s="51"/>
      <c r="N514" s="51"/>
      <c r="O514" s="51"/>
      <c r="P514" s="51"/>
      <c r="Q514" s="51"/>
      <c r="R514" s="51"/>
      <c r="S514" s="51"/>
      <c r="T514" s="51"/>
    </row>
    <row r="515">
      <c r="A515" s="51"/>
      <c r="B515" s="51"/>
      <c r="C515" s="56"/>
      <c r="D515" s="51"/>
      <c r="E515" s="51"/>
      <c r="F515" s="51"/>
      <c r="G515" s="51" t="str">
        <f>IFERROR(__xludf.DUMMYFUNCTION("""COMPUTED_VALUE"""),"#VALUE!")</f>
        <v>#VALUE!</v>
      </c>
      <c r="H515" s="51" t="str">
        <f>IFERROR(__xludf.DUMMYFUNCTION("""COMPUTED_VALUE"""),"")</f>
        <v/>
      </c>
      <c r="I515" s="51" t="str">
        <f>IFERROR(__xludf.DUMMYFUNCTION("""COMPUTED_VALUE"""),"#VALUE!")</f>
        <v>#VALUE!</v>
      </c>
      <c r="J515" s="51" t="str">
        <f>IFERROR(__xludf.DUMMYFUNCTION("""COMPUTED_VALUE"""),"")</f>
        <v/>
      </c>
      <c r="K515" s="51"/>
      <c r="L515" s="51" t="s">
        <v>257</v>
      </c>
      <c r="M515" s="51"/>
      <c r="N515" s="51"/>
      <c r="O515" s="51"/>
      <c r="P515" s="51"/>
      <c r="Q515" s="51"/>
      <c r="R515" s="51"/>
      <c r="S515" s="51"/>
      <c r="T515" s="51"/>
    </row>
    <row r="516">
      <c r="A516" s="51"/>
      <c r="B516" s="51"/>
      <c r="C516" s="56"/>
      <c r="D516" s="51"/>
      <c r="E516" s="51"/>
      <c r="F516" s="51"/>
      <c r="G516" s="51" t="str">
        <f>IFERROR(__xludf.DUMMYFUNCTION("""COMPUTED_VALUE"""),"#VALUE!")</f>
        <v>#VALUE!</v>
      </c>
      <c r="H516" s="51" t="str">
        <f>IFERROR(__xludf.DUMMYFUNCTION("""COMPUTED_VALUE"""),"")</f>
        <v/>
      </c>
      <c r="I516" s="51" t="str">
        <f>IFERROR(__xludf.DUMMYFUNCTION("""COMPUTED_VALUE"""),"#VALUE!")</f>
        <v>#VALUE!</v>
      </c>
      <c r="J516" s="51" t="str">
        <f>IFERROR(__xludf.DUMMYFUNCTION("""COMPUTED_VALUE"""),"")</f>
        <v/>
      </c>
      <c r="K516" s="51"/>
      <c r="L516" s="51" t="s">
        <v>257</v>
      </c>
      <c r="M516" s="51"/>
      <c r="N516" s="51"/>
      <c r="O516" s="51"/>
      <c r="P516" s="51"/>
      <c r="Q516" s="51"/>
      <c r="R516" s="51"/>
      <c r="S516" s="51"/>
      <c r="T516" s="51"/>
    </row>
    <row r="517">
      <c r="A517" s="51"/>
      <c r="B517" s="51"/>
      <c r="C517" s="56"/>
      <c r="D517" s="51"/>
      <c r="E517" s="51"/>
      <c r="F517" s="51"/>
      <c r="G517" s="51" t="str">
        <f>IFERROR(__xludf.DUMMYFUNCTION("""COMPUTED_VALUE"""),"#VALUE!")</f>
        <v>#VALUE!</v>
      </c>
      <c r="H517" s="51" t="str">
        <f>IFERROR(__xludf.DUMMYFUNCTION("""COMPUTED_VALUE"""),"")</f>
        <v/>
      </c>
      <c r="I517" s="51" t="str">
        <f>IFERROR(__xludf.DUMMYFUNCTION("""COMPUTED_VALUE"""),"#VALUE!")</f>
        <v>#VALUE!</v>
      </c>
      <c r="J517" s="51" t="str">
        <f>IFERROR(__xludf.DUMMYFUNCTION("""COMPUTED_VALUE"""),"")</f>
        <v/>
      </c>
      <c r="K517" s="51"/>
      <c r="L517" s="51" t="s">
        <v>257</v>
      </c>
      <c r="M517" s="51"/>
      <c r="N517" s="51"/>
      <c r="O517" s="51"/>
      <c r="P517" s="51"/>
      <c r="Q517" s="51"/>
      <c r="R517" s="51"/>
      <c r="S517" s="51"/>
      <c r="T517" s="51"/>
    </row>
    <row r="518">
      <c r="A518" s="51"/>
      <c r="B518" s="51"/>
      <c r="C518" s="56"/>
      <c r="D518" s="51"/>
      <c r="E518" s="51"/>
      <c r="F518" s="51"/>
      <c r="G518" s="51" t="str">
        <f>IFERROR(__xludf.DUMMYFUNCTION("""COMPUTED_VALUE"""),"#VALUE!")</f>
        <v>#VALUE!</v>
      </c>
      <c r="H518" s="51" t="str">
        <f>IFERROR(__xludf.DUMMYFUNCTION("""COMPUTED_VALUE"""),"")</f>
        <v/>
      </c>
      <c r="I518" s="51" t="str">
        <f>IFERROR(__xludf.DUMMYFUNCTION("""COMPUTED_VALUE"""),"#VALUE!")</f>
        <v>#VALUE!</v>
      </c>
      <c r="J518" s="51" t="str">
        <f>IFERROR(__xludf.DUMMYFUNCTION("""COMPUTED_VALUE"""),"")</f>
        <v/>
      </c>
      <c r="K518" s="51"/>
      <c r="L518" s="51" t="s">
        <v>257</v>
      </c>
      <c r="M518" s="51"/>
      <c r="N518" s="51"/>
      <c r="O518" s="51"/>
      <c r="P518" s="51"/>
      <c r="Q518" s="51"/>
      <c r="R518" s="51"/>
      <c r="S518" s="51"/>
      <c r="T518" s="51"/>
    </row>
    <row r="519">
      <c r="A519" s="51"/>
      <c r="B519" s="51"/>
      <c r="C519" s="56"/>
      <c r="D519" s="51"/>
      <c r="E519" s="51"/>
      <c r="F519" s="51"/>
      <c r="G519" s="51" t="str">
        <f>IFERROR(__xludf.DUMMYFUNCTION("""COMPUTED_VALUE"""),"#VALUE!")</f>
        <v>#VALUE!</v>
      </c>
      <c r="H519" s="51" t="str">
        <f>IFERROR(__xludf.DUMMYFUNCTION("""COMPUTED_VALUE"""),"")</f>
        <v/>
      </c>
      <c r="I519" s="51" t="str">
        <f>IFERROR(__xludf.DUMMYFUNCTION("""COMPUTED_VALUE"""),"#VALUE!")</f>
        <v>#VALUE!</v>
      </c>
      <c r="J519" s="51" t="str">
        <f>IFERROR(__xludf.DUMMYFUNCTION("""COMPUTED_VALUE"""),"")</f>
        <v/>
      </c>
      <c r="K519" s="51"/>
      <c r="L519" s="51" t="s">
        <v>257</v>
      </c>
      <c r="M519" s="51"/>
      <c r="N519" s="51"/>
      <c r="O519" s="51"/>
      <c r="P519" s="51"/>
      <c r="Q519" s="51"/>
      <c r="R519" s="51"/>
      <c r="S519" s="51"/>
      <c r="T519" s="51"/>
    </row>
    <row r="520">
      <c r="A520" s="51"/>
      <c r="B520" s="51"/>
      <c r="C520" s="56"/>
      <c r="D520" s="51"/>
      <c r="E520" s="51"/>
      <c r="F520" s="51"/>
      <c r="G520" s="51" t="str">
        <f>IFERROR(__xludf.DUMMYFUNCTION("""COMPUTED_VALUE"""),"#VALUE!")</f>
        <v>#VALUE!</v>
      </c>
      <c r="H520" s="51" t="str">
        <f>IFERROR(__xludf.DUMMYFUNCTION("""COMPUTED_VALUE"""),"")</f>
        <v/>
      </c>
      <c r="I520" s="51" t="str">
        <f>IFERROR(__xludf.DUMMYFUNCTION("""COMPUTED_VALUE"""),"#VALUE!")</f>
        <v>#VALUE!</v>
      </c>
      <c r="J520" s="51" t="str">
        <f>IFERROR(__xludf.DUMMYFUNCTION("""COMPUTED_VALUE"""),"")</f>
        <v/>
      </c>
      <c r="K520" s="51"/>
      <c r="L520" s="51" t="s">
        <v>257</v>
      </c>
      <c r="M520" s="51"/>
      <c r="N520" s="51"/>
      <c r="O520" s="51"/>
      <c r="P520" s="51"/>
      <c r="Q520" s="51"/>
      <c r="R520" s="51"/>
      <c r="S520" s="51"/>
      <c r="T520" s="51"/>
    </row>
    <row r="521">
      <c r="A521" s="51"/>
      <c r="B521" s="51"/>
      <c r="C521" s="56"/>
      <c r="D521" s="51"/>
      <c r="E521" s="51"/>
      <c r="F521" s="51"/>
      <c r="G521" s="51" t="str">
        <f>IFERROR(__xludf.DUMMYFUNCTION("""COMPUTED_VALUE"""),"#VALUE!")</f>
        <v>#VALUE!</v>
      </c>
      <c r="H521" s="51" t="str">
        <f>IFERROR(__xludf.DUMMYFUNCTION("""COMPUTED_VALUE"""),"")</f>
        <v/>
      </c>
      <c r="I521" s="51" t="str">
        <f>IFERROR(__xludf.DUMMYFUNCTION("""COMPUTED_VALUE"""),"#VALUE!")</f>
        <v>#VALUE!</v>
      </c>
      <c r="J521" s="51" t="str">
        <f>IFERROR(__xludf.DUMMYFUNCTION("""COMPUTED_VALUE"""),"")</f>
        <v/>
      </c>
      <c r="K521" s="51"/>
      <c r="L521" s="51" t="s">
        <v>257</v>
      </c>
      <c r="M521" s="51"/>
      <c r="N521" s="51"/>
      <c r="O521" s="51"/>
      <c r="P521" s="51"/>
      <c r="Q521" s="51"/>
      <c r="R521" s="51"/>
      <c r="S521" s="51"/>
      <c r="T521" s="51"/>
    </row>
    <row r="522">
      <c r="A522" s="51"/>
      <c r="B522" s="51"/>
      <c r="C522" s="56"/>
      <c r="D522" s="51"/>
      <c r="E522" s="51"/>
      <c r="F522" s="51"/>
      <c r="G522" s="51" t="str">
        <f>IFERROR(__xludf.DUMMYFUNCTION("""COMPUTED_VALUE"""),"#VALUE!")</f>
        <v>#VALUE!</v>
      </c>
      <c r="H522" s="51" t="str">
        <f>IFERROR(__xludf.DUMMYFUNCTION("""COMPUTED_VALUE"""),"")</f>
        <v/>
      </c>
      <c r="I522" s="51" t="str">
        <f>IFERROR(__xludf.DUMMYFUNCTION("""COMPUTED_VALUE"""),"#VALUE!")</f>
        <v>#VALUE!</v>
      </c>
      <c r="J522" s="51" t="str">
        <f>IFERROR(__xludf.DUMMYFUNCTION("""COMPUTED_VALUE"""),"")</f>
        <v/>
      </c>
      <c r="K522" s="51"/>
      <c r="L522" s="51" t="s">
        <v>257</v>
      </c>
      <c r="M522" s="51"/>
      <c r="N522" s="51"/>
      <c r="O522" s="51"/>
      <c r="P522" s="51"/>
      <c r="Q522" s="51"/>
      <c r="R522" s="51"/>
      <c r="S522" s="51"/>
      <c r="T522" s="51"/>
    </row>
    <row r="523">
      <c r="A523" s="51"/>
      <c r="B523" s="51"/>
      <c r="C523" s="56"/>
      <c r="D523" s="51"/>
      <c r="E523" s="51"/>
      <c r="F523" s="51"/>
      <c r="G523" s="51" t="str">
        <f>IFERROR(__xludf.DUMMYFUNCTION("""COMPUTED_VALUE"""),"#VALUE!")</f>
        <v>#VALUE!</v>
      </c>
      <c r="H523" s="51" t="str">
        <f>IFERROR(__xludf.DUMMYFUNCTION("""COMPUTED_VALUE"""),"")</f>
        <v/>
      </c>
      <c r="I523" s="51" t="str">
        <f>IFERROR(__xludf.DUMMYFUNCTION("""COMPUTED_VALUE"""),"#VALUE!")</f>
        <v>#VALUE!</v>
      </c>
      <c r="J523" s="51" t="str">
        <f>IFERROR(__xludf.DUMMYFUNCTION("""COMPUTED_VALUE"""),"")</f>
        <v/>
      </c>
      <c r="K523" s="51"/>
      <c r="L523" s="51" t="s">
        <v>257</v>
      </c>
      <c r="M523" s="51"/>
      <c r="N523" s="51"/>
      <c r="O523" s="51"/>
      <c r="P523" s="51"/>
      <c r="Q523" s="51"/>
      <c r="R523" s="51"/>
      <c r="S523" s="51"/>
      <c r="T523" s="51"/>
    </row>
    <row r="524">
      <c r="A524" s="51"/>
      <c r="B524" s="51"/>
      <c r="C524" s="56"/>
      <c r="D524" s="51"/>
      <c r="E524" s="51"/>
      <c r="F524" s="51"/>
      <c r="G524" s="51" t="str">
        <f>IFERROR(__xludf.DUMMYFUNCTION("""COMPUTED_VALUE"""),"#VALUE!")</f>
        <v>#VALUE!</v>
      </c>
      <c r="H524" s="51" t="str">
        <f>IFERROR(__xludf.DUMMYFUNCTION("""COMPUTED_VALUE"""),"")</f>
        <v/>
      </c>
      <c r="I524" s="51" t="str">
        <f>IFERROR(__xludf.DUMMYFUNCTION("""COMPUTED_VALUE"""),"#VALUE!")</f>
        <v>#VALUE!</v>
      </c>
      <c r="J524" s="51" t="str">
        <f>IFERROR(__xludf.DUMMYFUNCTION("""COMPUTED_VALUE"""),"")</f>
        <v/>
      </c>
      <c r="K524" s="51"/>
      <c r="L524" s="51" t="s">
        <v>257</v>
      </c>
      <c r="M524" s="51"/>
      <c r="N524" s="51"/>
      <c r="O524" s="51"/>
      <c r="P524" s="51"/>
      <c r="Q524" s="51"/>
      <c r="R524" s="51"/>
      <c r="S524" s="51"/>
      <c r="T524" s="51"/>
    </row>
    <row r="525">
      <c r="A525" s="51"/>
      <c r="B525" s="51"/>
      <c r="C525" s="56"/>
      <c r="D525" s="51"/>
      <c r="E525" s="51"/>
      <c r="F525" s="51"/>
      <c r="G525" s="51" t="str">
        <f>IFERROR(__xludf.DUMMYFUNCTION("""COMPUTED_VALUE"""),"#VALUE!")</f>
        <v>#VALUE!</v>
      </c>
      <c r="H525" s="51" t="str">
        <f>IFERROR(__xludf.DUMMYFUNCTION("""COMPUTED_VALUE"""),"")</f>
        <v/>
      </c>
      <c r="I525" s="51" t="str">
        <f>IFERROR(__xludf.DUMMYFUNCTION("""COMPUTED_VALUE"""),"#VALUE!")</f>
        <v>#VALUE!</v>
      </c>
      <c r="J525" s="51" t="str">
        <f>IFERROR(__xludf.DUMMYFUNCTION("""COMPUTED_VALUE"""),"")</f>
        <v/>
      </c>
      <c r="K525" s="51"/>
      <c r="L525" s="51" t="s">
        <v>257</v>
      </c>
      <c r="M525" s="51"/>
      <c r="N525" s="51"/>
      <c r="O525" s="51"/>
      <c r="P525" s="51"/>
      <c r="Q525" s="51"/>
      <c r="R525" s="51"/>
      <c r="S525" s="51"/>
      <c r="T525" s="51"/>
    </row>
    <row r="526">
      <c r="A526" s="51"/>
      <c r="B526" s="51"/>
      <c r="C526" s="56"/>
      <c r="D526" s="51"/>
      <c r="E526" s="51"/>
      <c r="F526" s="51"/>
      <c r="G526" s="51" t="str">
        <f>IFERROR(__xludf.DUMMYFUNCTION("""COMPUTED_VALUE"""),"#VALUE!")</f>
        <v>#VALUE!</v>
      </c>
      <c r="H526" s="51" t="str">
        <f>IFERROR(__xludf.DUMMYFUNCTION("""COMPUTED_VALUE"""),"")</f>
        <v/>
      </c>
      <c r="I526" s="51" t="str">
        <f>IFERROR(__xludf.DUMMYFUNCTION("""COMPUTED_VALUE"""),"#VALUE!")</f>
        <v>#VALUE!</v>
      </c>
      <c r="J526" s="51" t="str">
        <f>IFERROR(__xludf.DUMMYFUNCTION("""COMPUTED_VALUE"""),"")</f>
        <v/>
      </c>
      <c r="K526" s="51"/>
      <c r="L526" s="51" t="s">
        <v>257</v>
      </c>
      <c r="M526" s="51"/>
      <c r="N526" s="51"/>
      <c r="O526" s="51"/>
      <c r="P526" s="51"/>
      <c r="Q526" s="51"/>
      <c r="R526" s="51"/>
      <c r="S526" s="51"/>
      <c r="T526" s="51"/>
    </row>
    <row r="527">
      <c r="A527" s="51"/>
      <c r="B527" s="51"/>
      <c r="C527" s="56"/>
      <c r="D527" s="51"/>
      <c r="E527" s="51"/>
      <c r="F527" s="51"/>
      <c r="G527" s="51" t="str">
        <f>IFERROR(__xludf.DUMMYFUNCTION("""COMPUTED_VALUE"""),"#VALUE!")</f>
        <v>#VALUE!</v>
      </c>
      <c r="H527" s="51" t="str">
        <f>IFERROR(__xludf.DUMMYFUNCTION("""COMPUTED_VALUE"""),"")</f>
        <v/>
      </c>
      <c r="I527" s="51" t="str">
        <f>IFERROR(__xludf.DUMMYFUNCTION("""COMPUTED_VALUE"""),"#VALUE!")</f>
        <v>#VALUE!</v>
      </c>
      <c r="J527" s="51" t="str">
        <f>IFERROR(__xludf.DUMMYFUNCTION("""COMPUTED_VALUE"""),"")</f>
        <v/>
      </c>
      <c r="K527" s="51"/>
      <c r="L527" s="51" t="s">
        <v>257</v>
      </c>
      <c r="M527" s="51"/>
      <c r="N527" s="51"/>
      <c r="O527" s="51"/>
      <c r="P527" s="51"/>
      <c r="Q527" s="51"/>
      <c r="R527" s="51"/>
      <c r="S527" s="51"/>
      <c r="T527" s="51"/>
    </row>
    <row r="528">
      <c r="A528" s="51"/>
      <c r="B528" s="51"/>
      <c r="C528" s="56"/>
      <c r="D528" s="51"/>
      <c r="E528" s="51"/>
      <c r="F528" s="51"/>
      <c r="G528" s="51" t="str">
        <f>IFERROR(__xludf.DUMMYFUNCTION("""COMPUTED_VALUE"""),"#VALUE!")</f>
        <v>#VALUE!</v>
      </c>
      <c r="H528" s="51" t="str">
        <f>IFERROR(__xludf.DUMMYFUNCTION("""COMPUTED_VALUE"""),"")</f>
        <v/>
      </c>
      <c r="I528" s="51" t="str">
        <f>IFERROR(__xludf.DUMMYFUNCTION("""COMPUTED_VALUE"""),"#VALUE!")</f>
        <v>#VALUE!</v>
      </c>
      <c r="J528" s="51" t="str">
        <f>IFERROR(__xludf.DUMMYFUNCTION("""COMPUTED_VALUE"""),"")</f>
        <v/>
      </c>
      <c r="K528" s="51"/>
      <c r="L528" s="51" t="s">
        <v>257</v>
      </c>
      <c r="M528" s="51"/>
      <c r="N528" s="51"/>
      <c r="O528" s="51"/>
      <c r="P528" s="51"/>
      <c r="Q528" s="51"/>
      <c r="R528" s="51"/>
      <c r="S528" s="51"/>
      <c r="T528" s="51"/>
    </row>
    <row r="529">
      <c r="A529" s="51"/>
      <c r="B529" s="51"/>
      <c r="C529" s="56"/>
      <c r="D529" s="51"/>
      <c r="E529" s="51"/>
      <c r="F529" s="51"/>
      <c r="G529" s="51" t="str">
        <f>IFERROR(__xludf.DUMMYFUNCTION("""COMPUTED_VALUE"""),"#VALUE!")</f>
        <v>#VALUE!</v>
      </c>
      <c r="H529" s="51" t="str">
        <f>IFERROR(__xludf.DUMMYFUNCTION("""COMPUTED_VALUE"""),"")</f>
        <v/>
      </c>
      <c r="I529" s="51" t="str">
        <f>IFERROR(__xludf.DUMMYFUNCTION("""COMPUTED_VALUE"""),"#VALUE!")</f>
        <v>#VALUE!</v>
      </c>
      <c r="J529" s="51" t="str">
        <f>IFERROR(__xludf.DUMMYFUNCTION("""COMPUTED_VALUE"""),"")</f>
        <v/>
      </c>
      <c r="K529" s="51"/>
      <c r="L529" s="51" t="s">
        <v>257</v>
      </c>
      <c r="M529" s="51"/>
      <c r="N529" s="51"/>
      <c r="O529" s="51"/>
      <c r="P529" s="51"/>
      <c r="Q529" s="51"/>
      <c r="R529" s="51"/>
      <c r="S529" s="51"/>
      <c r="T529" s="51"/>
    </row>
    <row r="530">
      <c r="A530" s="51"/>
      <c r="B530" s="51"/>
      <c r="C530" s="56"/>
      <c r="D530" s="51"/>
      <c r="E530" s="51"/>
      <c r="F530" s="51"/>
      <c r="G530" s="51" t="str">
        <f>IFERROR(__xludf.DUMMYFUNCTION("""COMPUTED_VALUE"""),"#VALUE!")</f>
        <v>#VALUE!</v>
      </c>
      <c r="H530" s="51" t="str">
        <f>IFERROR(__xludf.DUMMYFUNCTION("""COMPUTED_VALUE"""),"")</f>
        <v/>
      </c>
      <c r="I530" s="51" t="str">
        <f>IFERROR(__xludf.DUMMYFUNCTION("""COMPUTED_VALUE"""),"#VALUE!")</f>
        <v>#VALUE!</v>
      </c>
      <c r="J530" s="51" t="str">
        <f>IFERROR(__xludf.DUMMYFUNCTION("""COMPUTED_VALUE"""),"")</f>
        <v/>
      </c>
      <c r="K530" s="51"/>
      <c r="L530" s="51" t="s">
        <v>257</v>
      </c>
      <c r="M530" s="51"/>
      <c r="N530" s="51"/>
      <c r="O530" s="51"/>
      <c r="P530" s="51"/>
      <c r="Q530" s="51"/>
      <c r="R530" s="51"/>
      <c r="S530" s="51"/>
      <c r="T530" s="51"/>
    </row>
    <row r="531">
      <c r="A531" s="51"/>
      <c r="B531" s="51"/>
      <c r="C531" s="56"/>
      <c r="D531" s="51"/>
      <c r="E531" s="51"/>
      <c r="F531" s="51"/>
      <c r="G531" s="51" t="str">
        <f>IFERROR(__xludf.DUMMYFUNCTION("""COMPUTED_VALUE"""),"#VALUE!")</f>
        <v>#VALUE!</v>
      </c>
      <c r="H531" s="51" t="str">
        <f>IFERROR(__xludf.DUMMYFUNCTION("""COMPUTED_VALUE"""),"")</f>
        <v/>
      </c>
      <c r="I531" s="51" t="str">
        <f>IFERROR(__xludf.DUMMYFUNCTION("""COMPUTED_VALUE"""),"#VALUE!")</f>
        <v>#VALUE!</v>
      </c>
      <c r="J531" s="51" t="str">
        <f>IFERROR(__xludf.DUMMYFUNCTION("""COMPUTED_VALUE"""),"")</f>
        <v/>
      </c>
      <c r="K531" s="51"/>
      <c r="L531" s="51" t="s">
        <v>257</v>
      </c>
      <c r="M531" s="51"/>
      <c r="N531" s="51"/>
      <c r="O531" s="51"/>
      <c r="P531" s="51"/>
      <c r="Q531" s="51"/>
      <c r="R531" s="51"/>
      <c r="S531" s="51"/>
      <c r="T531" s="51"/>
    </row>
    <row r="532">
      <c r="A532" s="51"/>
      <c r="B532" s="51"/>
      <c r="C532" s="56"/>
      <c r="D532" s="51"/>
      <c r="E532" s="51"/>
      <c r="F532" s="51"/>
      <c r="G532" s="51" t="str">
        <f>IFERROR(__xludf.DUMMYFUNCTION("""COMPUTED_VALUE"""),"#VALUE!")</f>
        <v>#VALUE!</v>
      </c>
      <c r="H532" s="51" t="str">
        <f>IFERROR(__xludf.DUMMYFUNCTION("""COMPUTED_VALUE"""),"")</f>
        <v/>
      </c>
      <c r="I532" s="51" t="str">
        <f>IFERROR(__xludf.DUMMYFUNCTION("""COMPUTED_VALUE"""),"#VALUE!")</f>
        <v>#VALUE!</v>
      </c>
      <c r="J532" s="51" t="str">
        <f>IFERROR(__xludf.DUMMYFUNCTION("""COMPUTED_VALUE"""),"")</f>
        <v/>
      </c>
      <c r="K532" s="51"/>
      <c r="L532" s="51" t="s">
        <v>257</v>
      </c>
      <c r="M532" s="51"/>
      <c r="N532" s="51"/>
      <c r="O532" s="51"/>
      <c r="P532" s="51"/>
      <c r="Q532" s="51"/>
      <c r="R532" s="51"/>
      <c r="S532" s="51"/>
      <c r="T532" s="51"/>
    </row>
    <row r="533">
      <c r="A533" s="51"/>
      <c r="B533" s="51"/>
      <c r="C533" s="56"/>
      <c r="D533" s="51"/>
      <c r="E533" s="51"/>
      <c r="F533" s="51"/>
      <c r="G533" s="51" t="str">
        <f>IFERROR(__xludf.DUMMYFUNCTION("""COMPUTED_VALUE"""),"#VALUE!")</f>
        <v>#VALUE!</v>
      </c>
      <c r="H533" s="51" t="str">
        <f>IFERROR(__xludf.DUMMYFUNCTION("""COMPUTED_VALUE"""),"")</f>
        <v/>
      </c>
      <c r="I533" s="51" t="str">
        <f>IFERROR(__xludf.DUMMYFUNCTION("""COMPUTED_VALUE"""),"#VALUE!")</f>
        <v>#VALUE!</v>
      </c>
      <c r="J533" s="51" t="str">
        <f>IFERROR(__xludf.DUMMYFUNCTION("""COMPUTED_VALUE"""),"")</f>
        <v/>
      </c>
      <c r="K533" s="51"/>
      <c r="L533" s="51" t="s">
        <v>257</v>
      </c>
      <c r="M533" s="51"/>
      <c r="N533" s="51"/>
      <c r="O533" s="51"/>
      <c r="P533" s="51"/>
      <c r="Q533" s="51"/>
      <c r="R533" s="51"/>
      <c r="S533" s="51"/>
      <c r="T533" s="51"/>
    </row>
  </sheetData>
  <conditionalFormatting sqref="O2:O21">
    <cfRule type="containsText" dxfId="4" priority="1" operator="containsText" text="YES">
      <formula>NOT(ISERROR(SEARCH(("YES"),(O2))))</formula>
    </cfRule>
  </conditionalFormatting>
  <conditionalFormatting sqref="O2:O21">
    <cfRule type="cellIs" dxfId="5" priority="2" operator="equal">
      <formula>"NO"</formula>
    </cfRule>
  </conditionalFormatting>
  <conditionalFormatting sqref="P2:Q21">
    <cfRule type="cellIs" dxfId="4" priority="3" operator="equal">
      <formula>"AVAILABLE"</formula>
    </cfRule>
  </conditionalFormatting>
  <conditionalFormatting sqref="P2:Q21">
    <cfRule type="cellIs" dxfId="5" priority="4" operator="equal">
      <formula>"NOT AVAILABLE"</formula>
    </cfRule>
  </conditionalFormatting>
  <conditionalFormatting sqref="Q2:Q21">
    <cfRule type="cellIs" dxfId="4" priority="5" operator="equal">
      <formula>"AVAILABLE"</formula>
    </cfRule>
  </conditionalFormatting>
  <conditionalFormatting sqref="Q2:Q21">
    <cfRule type="cellIs" dxfId="6" priority="6" operator="equal">
      <formula>"UPLOADING"</formula>
    </cfRule>
  </conditionalFormatting>
  <conditionalFormatting sqref="Q2:Q21">
    <cfRule type="cellIs" dxfId="5" priority="7" operator="equal">
      <formula>"NOT AVAILABLE"</formula>
    </cfRule>
  </conditionalFormatting>
  <dataValidations>
    <dataValidation type="list" allowBlank="1" sqref="O2:O21">
      <formula1>"YES,NO"</formula1>
    </dataValidation>
    <dataValidation type="list" allowBlank="1" sqref="P2:P21">
      <formula1>"AVAILABLE,NOT AVAILABLE"</formula1>
    </dataValidation>
    <dataValidation type="list" allowBlank="1" sqref="Q2:Q21">
      <formula1>"AVAILABLE,UPLOADING,NOT AVAILABLE"</formula1>
    </dataValidation>
  </dataValidations>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6.29"/>
    <col customWidth="1" min="3" max="3" width="20.43"/>
    <col hidden="1" min="4" max="5" width="14.43"/>
    <col customWidth="1" min="6" max="6" width="37.71"/>
    <col hidden="1" min="9" max="9" width="14.43"/>
    <col customWidth="1" min="14" max="14" width="32.14"/>
  </cols>
  <sheetData>
    <row r="1">
      <c r="A1" s="46" t="s">
        <v>79</v>
      </c>
      <c r="B1" s="46" t="s">
        <v>80</v>
      </c>
      <c r="C1" s="48" t="s">
        <v>81</v>
      </c>
      <c r="D1" s="46" t="s">
        <v>82</v>
      </c>
      <c r="E1" s="46" t="s">
        <v>83</v>
      </c>
      <c r="F1" s="46" t="s">
        <v>84</v>
      </c>
      <c r="G1" s="46" t="s">
        <v>85</v>
      </c>
      <c r="H1" s="46" t="s">
        <v>86</v>
      </c>
      <c r="I1" s="46" t="s">
        <v>87</v>
      </c>
      <c r="J1" s="46" t="s">
        <v>88</v>
      </c>
      <c r="K1" s="46" t="s">
        <v>89</v>
      </c>
      <c r="L1" s="46" t="s">
        <v>90</v>
      </c>
      <c r="M1" s="46" t="s">
        <v>91</v>
      </c>
      <c r="N1" s="46" t="s">
        <v>92</v>
      </c>
      <c r="O1" s="50" t="s">
        <v>93</v>
      </c>
      <c r="P1" s="50" t="s">
        <v>94</v>
      </c>
      <c r="Q1" s="50" t="s">
        <v>95</v>
      </c>
      <c r="R1" s="51"/>
      <c r="S1" s="51"/>
      <c r="T1" s="51"/>
    </row>
    <row r="2">
      <c r="A2" s="54" t="str">
        <f>IFERROR(__xludf.DUMMYFUNCTION("QUERY(Master!A:H,""SELECT A,C,D,F,G,H where C = 'ContentMakers' ORDER BY F"")"),"Opening remarks")</f>
        <v>Opening remarks</v>
      </c>
      <c r="B2" s="51" t="str">
        <f>IFERROR(__xludf.DUMMYFUNCTION("""COMPUTED_VALUE"""),"ContentMakers")</f>
        <v>ContentMakers</v>
      </c>
      <c r="C2" s="56" t="str">
        <f>IFERROR(__xludf.DUMMYFUNCTION("""COMPUTED_VALUE"""),"Natalie Monbiot")</f>
        <v>Natalie Monbiot</v>
      </c>
      <c r="D2" s="51" t="str">
        <f>IFERROR(__xludf.DUMMYFUNCTION("""COMPUTED_VALUE"""),"2019/11/06 11:00:00")</f>
        <v>2019/11/06 11:00:00</v>
      </c>
      <c r="E2" s="51" t="str">
        <f>IFERROR(__xludf.DUMMYFUNCTION("""COMPUTED_VALUE"""),"2019/11/06 11:10:00")</f>
        <v>2019/11/06 11:10:00</v>
      </c>
      <c r="F2" s="51" t="str">
        <f>IFERROR(__xludf.DUMMYFUNCTION("""COMPUTED_VALUE"""),"6a3d15a8-1309-4b0d-9603-829f65347946")</f>
        <v>6a3d15a8-1309-4b0d-9603-829f65347946</v>
      </c>
      <c r="G2" s="61">
        <f>IFERROR(__xludf.DUMMYFUNCTION("ARRAYFORMULA(SPLIT(D2:D43,"" ""))"),43775.0)</f>
        <v>43775</v>
      </c>
      <c r="H2" s="60">
        <f>IFERROR(__xludf.DUMMYFUNCTION("""COMPUTED_VALUE"""),0.4583333333333333)</f>
        <v>0.4583333333</v>
      </c>
      <c r="I2" s="61">
        <f>IFERROR(__xludf.DUMMYFUNCTION("ARRAYFORMULA(SPLIT(E2:E43,"" ""))"),43775.0)</f>
        <v>43775</v>
      </c>
      <c r="J2" s="60">
        <f>IFERROR(__xludf.DUMMYFUNCTION("""COMPUTED_VALUE"""),0.4652777777777778)</f>
        <v>0.4652777778</v>
      </c>
      <c r="K2" s="60">
        <f t="shared" ref="K2:K43" si="1">J2-H2</f>
        <v>0.006944444444</v>
      </c>
      <c r="L2" s="54" t="str">
        <f t="array" ref="L2:L43">TEXT(K2:K43,"hhmmss")</f>
        <v>001000</v>
      </c>
      <c r="M2" s="62" t="s">
        <v>268</v>
      </c>
      <c r="N2" s="62" t="str">
        <f t="shared" ref="N2:N31" si="2">CONCATENATE(M2,"_",F2,"_","000000_000000.mp4")</f>
        <v>CM_6_1_6a3d15a8-1309-4b0d-9603-829f65347946_000000_000000.mp4</v>
      </c>
      <c r="O2" s="50"/>
      <c r="P2" s="50"/>
      <c r="Q2" s="63"/>
      <c r="R2" s="51"/>
      <c r="S2" s="51"/>
      <c r="T2" s="51"/>
    </row>
    <row r="3">
      <c r="A3" s="51" t="str">
        <f>IFERROR(__xludf.DUMMYFUNCTION("""COMPUTED_VALUE"""),"How every brand became a content creator, and every content creator a brand")</f>
        <v>How every brand became a content creator, and every content creator a brand</v>
      </c>
      <c r="B3" s="51" t="str">
        <f>IFERROR(__xludf.DUMMYFUNCTION("""COMPUTED_VALUE"""),"ContentMakers")</f>
        <v>ContentMakers</v>
      </c>
      <c r="C3" s="56" t="str">
        <f>IFERROR(__xludf.DUMMYFUNCTION("""COMPUTED_VALUE"""),"Ian Somerhalder, Eyal Baumel and Dylan Collins")</f>
        <v>Ian Somerhalder, Eyal Baumel and Dylan Collins</v>
      </c>
      <c r="D3" s="51" t="str">
        <f>IFERROR(__xludf.DUMMYFUNCTION("""COMPUTED_VALUE"""),"2019/11/06 11:10:00")</f>
        <v>2019/11/06 11:10:00</v>
      </c>
      <c r="E3" s="51" t="str">
        <f>IFERROR(__xludf.DUMMYFUNCTION("""COMPUTED_VALUE"""),"2019/11/06 11:30:00")</f>
        <v>2019/11/06 11:30:00</v>
      </c>
      <c r="F3" s="51" t="str">
        <f>IFERROR(__xludf.DUMMYFUNCTION("""COMPUTED_VALUE"""),"6de11e57-af39-46c1-a6c6-bbb04a21f4c1")</f>
        <v>6de11e57-af39-46c1-a6c6-bbb04a21f4c1</v>
      </c>
      <c r="G3" s="58">
        <f>IFERROR(__xludf.DUMMYFUNCTION("""COMPUTED_VALUE"""),43775.0)</f>
        <v>43775</v>
      </c>
      <c r="H3" s="60">
        <f>IFERROR(__xludf.DUMMYFUNCTION("""COMPUTED_VALUE"""),0.4652777777777778)</f>
        <v>0.4652777778</v>
      </c>
      <c r="I3" s="58">
        <f>IFERROR(__xludf.DUMMYFUNCTION("""COMPUTED_VALUE"""),43775.0)</f>
        <v>43775</v>
      </c>
      <c r="J3" s="60">
        <f>IFERROR(__xludf.DUMMYFUNCTION("""COMPUTED_VALUE"""),0.4791666666666667)</f>
        <v>0.4791666667</v>
      </c>
      <c r="K3" s="60">
        <f t="shared" si="1"/>
        <v>0.01388888889</v>
      </c>
      <c r="L3" s="51" t="s">
        <v>111</v>
      </c>
      <c r="M3" s="62" t="s">
        <v>269</v>
      </c>
      <c r="N3" s="62" t="str">
        <f t="shared" si="2"/>
        <v>CM_6_2_6de11e57-af39-46c1-a6c6-bbb04a21f4c1_000000_000000.mp4</v>
      </c>
      <c r="O3" s="50"/>
      <c r="P3" s="50"/>
      <c r="Q3" s="63"/>
      <c r="R3" s="51"/>
      <c r="S3" s="51"/>
      <c r="T3" s="51"/>
    </row>
    <row r="4">
      <c r="A4" s="51" t="str">
        <f>IFERROR(__xludf.DUMMYFUNCTION("""COMPUTED_VALUE""")," Private messaging by design")</f>
        <v> Private messaging by design</v>
      </c>
      <c r="B4" s="51" t="str">
        <f>IFERROR(__xludf.DUMMYFUNCTION("""COMPUTED_VALUE"""),"ContentMakers")</f>
        <v>ContentMakers</v>
      </c>
      <c r="C4" s="56" t="str">
        <f>IFERROR(__xludf.DUMMYFUNCTION("""COMPUTED_VALUE"""),"Jay Sullivan and Joseph Menn")</f>
        <v>Jay Sullivan and Joseph Menn</v>
      </c>
      <c r="D4" s="51" t="str">
        <f>IFERROR(__xludf.DUMMYFUNCTION("""COMPUTED_VALUE"""),"2019/11/06 11:30:00")</f>
        <v>2019/11/06 11:30:00</v>
      </c>
      <c r="E4" s="51" t="str">
        <f>IFERROR(__xludf.DUMMYFUNCTION("""COMPUTED_VALUE"""),"2019/11/06 11:50:00")</f>
        <v>2019/11/06 11:50:00</v>
      </c>
      <c r="F4" s="51" t="str">
        <f>IFERROR(__xludf.DUMMYFUNCTION("""COMPUTED_VALUE"""),"1071911b-1377-4a72-b5a9-ef5f83490fe2")</f>
        <v>1071911b-1377-4a72-b5a9-ef5f83490fe2</v>
      </c>
      <c r="G4" s="58">
        <f>IFERROR(__xludf.DUMMYFUNCTION("""COMPUTED_VALUE"""),43775.0)</f>
        <v>43775</v>
      </c>
      <c r="H4" s="60">
        <f>IFERROR(__xludf.DUMMYFUNCTION("""COMPUTED_VALUE"""),0.4791666666666667)</f>
        <v>0.4791666667</v>
      </c>
      <c r="I4" s="58">
        <f>IFERROR(__xludf.DUMMYFUNCTION("""COMPUTED_VALUE"""),43775.0)</f>
        <v>43775</v>
      </c>
      <c r="J4" s="60">
        <f>IFERROR(__xludf.DUMMYFUNCTION("""COMPUTED_VALUE"""),0.4930555555555556)</f>
        <v>0.4930555556</v>
      </c>
      <c r="K4" s="60">
        <f t="shared" si="1"/>
        <v>0.01388888889</v>
      </c>
      <c r="L4" s="51" t="s">
        <v>111</v>
      </c>
      <c r="M4" s="62" t="s">
        <v>270</v>
      </c>
      <c r="N4" s="62" t="str">
        <f t="shared" si="2"/>
        <v>CM_6_3_1071911b-1377-4a72-b5a9-ef5f83490fe2_000000_000000.mp4</v>
      </c>
      <c r="O4" s="50"/>
      <c r="P4" s="50"/>
      <c r="Q4" s="63"/>
      <c r="R4" s="51"/>
      <c r="S4" s="51"/>
      <c r="T4" s="51"/>
    </row>
    <row r="5">
      <c r="A5" s="51" t="str">
        <f>IFERROR(__xludf.DUMMYFUNCTION("""COMPUTED_VALUE"""),"The real-time revolution")</f>
        <v>The real-time revolution</v>
      </c>
      <c r="B5" s="51" t="str">
        <f>IFERROR(__xludf.DUMMYFUNCTION("""COMPUTED_VALUE"""),"ContentMakers")</f>
        <v>ContentMakers</v>
      </c>
      <c r="C5" s="56" t="str">
        <f>IFERROR(__xludf.DUMMYFUNCTION("""COMPUTED_VALUE"""),"Clive Downie")</f>
        <v>Clive Downie</v>
      </c>
      <c r="D5" s="51" t="str">
        <f>IFERROR(__xludf.DUMMYFUNCTION("""COMPUTED_VALUE"""),"2019/11/06 11:50:00")</f>
        <v>2019/11/06 11:50:00</v>
      </c>
      <c r="E5" s="51" t="str">
        <f>IFERROR(__xludf.DUMMYFUNCTION("""COMPUTED_VALUE"""),"2019/11/06 12:10:00")</f>
        <v>2019/11/06 12:10:00</v>
      </c>
      <c r="F5" s="51" t="str">
        <f>IFERROR(__xludf.DUMMYFUNCTION("""COMPUTED_VALUE"""),"051d4f15-693c-4dc3-b0e7-55af59077093")</f>
        <v>051d4f15-693c-4dc3-b0e7-55af59077093</v>
      </c>
      <c r="G5" s="58">
        <f>IFERROR(__xludf.DUMMYFUNCTION("""COMPUTED_VALUE"""),43775.0)</f>
        <v>43775</v>
      </c>
      <c r="H5" s="60">
        <f>IFERROR(__xludf.DUMMYFUNCTION("""COMPUTED_VALUE"""),0.4930555555555556)</f>
        <v>0.4930555556</v>
      </c>
      <c r="I5" s="58">
        <f>IFERROR(__xludf.DUMMYFUNCTION("""COMPUTED_VALUE"""),43775.0)</f>
        <v>43775</v>
      </c>
      <c r="J5" s="60">
        <f>IFERROR(__xludf.DUMMYFUNCTION("""COMPUTED_VALUE"""),0.5069444444444444)</f>
        <v>0.5069444444</v>
      </c>
      <c r="K5" s="60">
        <f t="shared" si="1"/>
        <v>0.01388888889</v>
      </c>
      <c r="L5" s="51" t="s">
        <v>111</v>
      </c>
      <c r="M5" s="62" t="s">
        <v>271</v>
      </c>
      <c r="N5" s="62" t="str">
        <f t="shared" si="2"/>
        <v>CM_6_4_051d4f15-693c-4dc3-b0e7-55af59077093_000000_000000.mp4</v>
      </c>
      <c r="O5" s="50"/>
      <c r="P5" s="50"/>
      <c r="Q5" s="63"/>
      <c r="R5" s="51"/>
      <c r="S5" s="51"/>
      <c r="T5" s="51"/>
    </row>
    <row r="6">
      <c r="A6" s="51" t="str">
        <f>IFERROR(__xludf.DUMMYFUNCTION("""COMPUTED_VALUE"""),"View from the kingdom")</f>
        <v>View from the kingdom</v>
      </c>
      <c r="B6" s="51" t="str">
        <f>IFERROR(__xludf.DUMMYFUNCTION("""COMPUTED_VALUE"""),"ContentMakers")</f>
        <v>ContentMakers</v>
      </c>
      <c r="C6" s="56" t="str">
        <f>IFERROR(__xludf.DUMMYFUNCTION("""COMPUTED_VALUE"""),"Humam Sakhnini and Dave Thier")</f>
        <v>Humam Sakhnini and Dave Thier</v>
      </c>
      <c r="D6" s="51" t="str">
        <f>IFERROR(__xludf.DUMMYFUNCTION("""COMPUTED_VALUE"""),"2019/11/06 12:10:00")</f>
        <v>2019/11/06 12:10:00</v>
      </c>
      <c r="E6" s="51" t="str">
        <f>IFERROR(__xludf.DUMMYFUNCTION("""COMPUTED_VALUE"""),"2019/11/06 12:30:00")</f>
        <v>2019/11/06 12:30:00</v>
      </c>
      <c r="F6" s="51" t="str">
        <f>IFERROR(__xludf.DUMMYFUNCTION("""COMPUTED_VALUE"""),"9d8d1d98-d621-4eea-8268-0415b6905e5b")</f>
        <v>9d8d1d98-d621-4eea-8268-0415b6905e5b</v>
      </c>
      <c r="G6" s="58">
        <f>IFERROR(__xludf.DUMMYFUNCTION("""COMPUTED_VALUE"""),43775.0)</f>
        <v>43775</v>
      </c>
      <c r="H6" s="60">
        <f>IFERROR(__xludf.DUMMYFUNCTION("""COMPUTED_VALUE"""),0.5069444444444444)</f>
        <v>0.5069444444</v>
      </c>
      <c r="I6" s="58">
        <f>IFERROR(__xludf.DUMMYFUNCTION("""COMPUTED_VALUE"""),43775.0)</f>
        <v>43775</v>
      </c>
      <c r="J6" s="60">
        <f>IFERROR(__xludf.DUMMYFUNCTION("""COMPUTED_VALUE"""),0.5208333333333334)</f>
        <v>0.5208333333</v>
      </c>
      <c r="K6" s="60">
        <f t="shared" si="1"/>
        <v>0.01388888889</v>
      </c>
      <c r="L6" s="51" t="s">
        <v>111</v>
      </c>
      <c r="M6" s="62" t="s">
        <v>272</v>
      </c>
      <c r="N6" s="62" t="str">
        <f t="shared" si="2"/>
        <v>CM_6_5_9d8d1d98-d621-4eea-8268-0415b6905e5b_000000_000000.mp4</v>
      </c>
      <c r="O6" s="50"/>
      <c r="P6" s="50"/>
      <c r="Q6" s="63"/>
      <c r="R6" s="51"/>
      <c r="S6" s="51"/>
      <c r="T6" s="51"/>
    </row>
    <row r="7">
      <c r="A7" s="51" t="str">
        <f>IFERROR(__xludf.DUMMYFUNCTION("""COMPUTED_VALUE"""),"Multi-platform media: The digital challenge")</f>
        <v>Multi-platform media: The digital challenge</v>
      </c>
      <c r="B7" s="51" t="str">
        <f>IFERROR(__xludf.DUMMYFUNCTION("""COMPUTED_VALUE"""),"ContentMakers")</f>
        <v>ContentMakers</v>
      </c>
      <c r="C7" s="56" t="str">
        <f>IFERROR(__xludf.DUMMYFUNCTION("""COMPUTED_VALUE"""),"Larry Fitzgibbon, Victoriya Boklag, Kelly Bales and Erika Allen")</f>
        <v>Larry Fitzgibbon, Victoriya Boklag, Kelly Bales and Erika Allen</v>
      </c>
      <c r="D7" s="51" t="str">
        <f>IFERROR(__xludf.DUMMYFUNCTION("""COMPUTED_VALUE"""),"2019/11/06 12:30:00")</f>
        <v>2019/11/06 12:30:00</v>
      </c>
      <c r="E7" s="51" t="str">
        <f>IFERROR(__xludf.DUMMYFUNCTION("""COMPUTED_VALUE"""),"2019/11/06 12:50:00")</f>
        <v>2019/11/06 12:50:00</v>
      </c>
      <c r="F7" s="51" t="str">
        <f>IFERROR(__xludf.DUMMYFUNCTION("""COMPUTED_VALUE"""),"f3067ba0-d16f-476b-b9db-bf84b746156f")</f>
        <v>f3067ba0-d16f-476b-b9db-bf84b746156f</v>
      </c>
      <c r="G7" s="58">
        <f>IFERROR(__xludf.DUMMYFUNCTION("""COMPUTED_VALUE"""),43775.0)</f>
        <v>43775</v>
      </c>
      <c r="H7" s="60">
        <f>IFERROR(__xludf.DUMMYFUNCTION("""COMPUTED_VALUE"""),0.5208333333333334)</f>
        <v>0.5208333333</v>
      </c>
      <c r="I7" s="58">
        <f>IFERROR(__xludf.DUMMYFUNCTION("""COMPUTED_VALUE"""),43775.0)</f>
        <v>43775</v>
      </c>
      <c r="J7" s="60">
        <f>IFERROR(__xludf.DUMMYFUNCTION("""COMPUTED_VALUE"""),0.5347222222222222)</f>
        <v>0.5347222222</v>
      </c>
      <c r="K7" s="60">
        <f t="shared" si="1"/>
        <v>0.01388888889</v>
      </c>
      <c r="L7" s="51" t="s">
        <v>111</v>
      </c>
      <c r="M7" s="62" t="s">
        <v>273</v>
      </c>
      <c r="N7" s="62" t="str">
        <f t="shared" si="2"/>
        <v>CM_6_6_f3067ba0-d16f-476b-b9db-bf84b746156f_000000_000000.mp4</v>
      </c>
      <c r="O7" s="50"/>
      <c r="P7" s="50"/>
      <c r="Q7" s="63"/>
      <c r="R7" s="51"/>
      <c r="S7" s="51"/>
      <c r="T7" s="51"/>
    </row>
    <row r="8">
      <c r="A8" s="51" t="str">
        <f>IFERROR(__xludf.DUMMYFUNCTION("""COMPUTED_VALUE"""),"The New York Times: Storytelling and brands")</f>
        <v>The New York Times: Storytelling and brands</v>
      </c>
      <c r="B8" s="51" t="str">
        <f>IFERROR(__xludf.DUMMYFUNCTION("""COMPUTED_VALUE"""),"ContentMakers")</f>
        <v>ContentMakers</v>
      </c>
      <c r="C8" s="56" t="str">
        <f>IFERROR(__xludf.DUMMYFUNCTION("""COMPUTED_VALUE"""),"Graham McDonnell")</f>
        <v>Graham McDonnell</v>
      </c>
      <c r="D8" s="51" t="str">
        <f>IFERROR(__xludf.DUMMYFUNCTION("""COMPUTED_VALUE"""),"2019/11/06 12:50:00")</f>
        <v>2019/11/06 12:50:00</v>
      </c>
      <c r="E8" s="51" t="str">
        <f>IFERROR(__xludf.DUMMYFUNCTION("""COMPUTED_VALUE"""),"2019/11/06 13:10:00")</f>
        <v>2019/11/06 13:10:00</v>
      </c>
      <c r="F8" s="51" t="str">
        <f>IFERROR(__xludf.DUMMYFUNCTION("""COMPUTED_VALUE"""),"1d77fc32-e449-4eb2-9e31-ac590f340617")</f>
        <v>1d77fc32-e449-4eb2-9e31-ac590f340617</v>
      </c>
      <c r="G8" s="58">
        <f>IFERROR(__xludf.DUMMYFUNCTION("""COMPUTED_VALUE"""),43775.0)</f>
        <v>43775</v>
      </c>
      <c r="H8" s="60">
        <f>IFERROR(__xludf.DUMMYFUNCTION("""COMPUTED_VALUE"""),0.5347222222222222)</f>
        <v>0.5347222222</v>
      </c>
      <c r="I8" s="58">
        <f>IFERROR(__xludf.DUMMYFUNCTION("""COMPUTED_VALUE"""),43775.0)</f>
        <v>43775</v>
      </c>
      <c r="J8" s="60">
        <f>IFERROR(__xludf.DUMMYFUNCTION("""COMPUTED_VALUE"""),0.5486111111111112)</f>
        <v>0.5486111111</v>
      </c>
      <c r="K8" s="60">
        <f t="shared" si="1"/>
        <v>0.01388888889</v>
      </c>
      <c r="L8" s="51" t="s">
        <v>111</v>
      </c>
      <c r="M8" s="62" t="s">
        <v>274</v>
      </c>
      <c r="N8" s="62" t="str">
        <f t="shared" si="2"/>
        <v>CM_6_7_1d77fc32-e449-4eb2-9e31-ac590f340617_000000_000000.mp4</v>
      </c>
      <c r="O8" s="50"/>
      <c r="P8" s="50"/>
      <c r="Q8" s="63"/>
      <c r="R8" s="51"/>
      <c r="S8" s="51"/>
      <c r="T8" s="51"/>
    </row>
    <row r="9">
      <c r="A9" s="51" t="str">
        <f>IFERROR(__xludf.DUMMYFUNCTION("""COMPUTED_VALUE"""),"Immersive entertainment: The next generation")</f>
        <v>Immersive entertainment: The next generation</v>
      </c>
      <c r="B9" s="51" t="str">
        <f>IFERROR(__xludf.DUMMYFUNCTION("""COMPUTED_VALUE"""),"ContentMakers")</f>
        <v>ContentMakers</v>
      </c>
      <c r="C9" s="56" t="str">
        <f>IFERROR(__xludf.DUMMYFUNCTION("""COMPUTED_VALUE"""),"Mike McGee")</f>
        <v>Mike McGee</v>
      </c>
      <c r="D9" s="51" t="str">
        <f>IFERROR(__xludf.DUMMYFUNCTION("""COMPUTED_VALUE"""),"2019/11/06 13:10:00")</f>
        <v>2019/11/06 13:10:00</v>
      </c>
      <c r="E9" s="51" t="str">
        <f>IFERROR(__xludf.DUMMYFUNCTION("""COMPUTED_VALUE"""),"2019/11/06 13:30:00")</f>
        <v>2019/11/06 13:30:00</v>
      </c>
      <c r="F9" s="51" t="str">
        <f>IFERROR(__xludf.DUMMYFUNCTION("""COMPUTED_VALUE"""),"01a52227-4e40-46fb-ba79-643f48ca2d68")</f>
        <v>01a52227-4e40-46fb-ba79-643f48ca2d68</v>
      </c>
      <c r="G9" s="58">
        <f>IFERROR(__xludf.DUMMYFUNCTION("""COMPUTED_VALUE"""),43775.0)</f>
        <v>43775</v>
      </c>
      <c r="H9" s="60">
        <f>IFERROR(__xludf.DUMMYFUNCTION("""COMPUTED_VALUE"""),0.5486111111111112)</f>
        <v>0.5486111111</v>
      </c>
      <c r="I9" s="58">
        <f>IFERROR(__xludf.DUMMYFUNCTION("""COMPUTED_VALUE"""),43775.0)</f>
        <v>43775</v>
      </c>
      <c r="J9" s="60">
        <f>IFERROR(__xludf.DUMMYFUNCTION("""COMPUTED_VALUE"""),0.5625)</f>
        <v>0.5625</v>
      </c>
      <c r="K9" s="60">
        <f t="shared" si="1"/>
        <v>0.01388888889</v>
      </c>
      <c r="L9" s="51" t="s">
        <v>111</v>
      </c>
      <c r="M9" s="62" t="s">
        <v>275</v>
      </c>
      <c r="N9" s="62" t="str">
        <f t="shared" si="2"/>
        <v>CM_6_8_01a52227-4e40-46fb-ba79-643f48ca2d68_000000_000000.mp4</v>
      </c>
      <c r="O9" s="50"/>
      <c r="P9" s="50"/>
      <c r="Q9" s="63"/>
      <c r="R9" s="51"/>
      <c r="S9" s="51"/>
      <c r="T9" s="51"/>
    </row>
    <row r="10">
      <c r="A10" s="51" t="str">
        <f>IFERROR(__xludf.DUMMYFUNCTION("""COMPUTED_VALUE"""),"Lunch break")</f>
        <v>Lunch break</v>
      </c>
      <c r="B10" s="51" t="str">
        <f>IFERROR(__xludf.DUMMYFUNCTION("""COMPUTED_VALUE"""),"ContentMakers")</f>
        <v>ContentMakers</v>
      </c>
      <c r="C10" s="56" t="str">
        <f>IFERROR(__xludf.DUMMYFUNCTION("""COMPUTED_VALUE"""),"")</f>
        <v/>
      </c>
      <c r="D10" s="51" t="str">
        <f>IFERROR(__xludf.DUMMYFUNCTION("""COMPUTED_VALUE"""),"2019/11/06 13:30:00")</f>
        <v>2019/11/06 13:30:00</v>
      </c>
      <c r="E10" s="51" t="str">
        <f>IFERROR(__xludf.DUMMYFUNCTION("""COMPUTED_VALUE"""),"2019/11/06 14:00:00")</f>
        <v>2019/11/06 14:00:00</v>
      </c>
      <c r="F10" s="51" t="str">
        <f>IFERROR(__xludf.DUMMYFUNCTION("""COMPUTED_VALUE"""),"7ca496e4-68f1-4fa1-a6be-ed4fa978ebb8")</f>
        <v>7ca496e4-68f1-4fa1-a6be-ed4fa978ebb8</v>
      </c>
      <c r="G10" s="58">
        <f>IFERROR(__xludf.DUMMYFUNCTION("""COMPUTED_VALUE"""),43775.0)</f>
        <v>43775</v>
      </c>
      <c r="H10" s="60">
        <f>IFERROR(__xludf.DUMMYFUNCTION("""COMPUTED_VALUE"""),0.5625)</f>
        <v>0.5625</v>
      </c>
      <c r="I10" s="58">
        <f>IFERROR(__xludf.DUMMYFUNCTION("""COMPUTED_VALUE"""),43775.0)</f>
        <v>43775</v>
      </c>
      <c r="J10" s="60">
        <f>IFERROR(__xludf.DUMMYFUNCTION("""COMPUTED_VALUE"""),0.5833333333333334)</f>
        <v>0.5833333333</v>
      </c>
      <c r="K10" s="60">
        <f t="shared" si="1"/>
        <v>0.02083333333</v>
      </c>
      <c r="L10" s="51" t="s">
        <v>105</v>
      </c>
      <c r="M10" s="62"/>
      <c r="N10" s="62" t="str">
        <f t="shared" si="2"/>
        <v>_7ca496e4-68f1-4fa1-a6be-ed4fa978ebb8_000000_000000.mp4</v>
      </c>
      <c r="O10" s="50"/>
      <c r="P10" s="50"/>
      <c r="Q10" s="63"/>
      <c r="R10" s="51"/>
      <c r="S10" s="51"/>
      <c r="T10" s="51"/>
    </row>
    <row r="11">
      <c r="A11" s="51" t="str">
        <f>IFERROR(__xludf.DUMMYFUNCTION("""COMPUTED_VALUE"""),"Opening remarks")</f>
        <v>Opening remarks</v>
      </c>
      <c r="B11" s="51" t="str">
        <f>IFERROR(__xludf.DUMMYFUNCTION("""COMPUTED_VALUE"""),"ContentMakers")</f>
        <v>ContentMakers</v>
      </c>
      <c r="C11" s="56" t="str">
        <f>IFERROR(__xludf.DUMMYFUNCTION("""COMPUTED_VALUE"""),"Keaton Keller")</f>
        <v>Keaton Keller</v>
      </c>
      <c r="D11" s="51" t="str">
        <f>IFERROR(__xludf.DUMMYFUNCTION("""COMPUTED_VALUE"""),"2019/11/06 14:00:00")</f>
        <v>2019/11/06 14:00:00</v>
      </c>
      <c r="E11" s="51" t="str">
        <f>IFERROR(__xludf.DUMMYFUNCTION("""COMPUTED_VALUE"""),"2019/11/06 14:15:00")</f>
        <v>2019/11/06 14:15:00</v>
      </c>
      <c r="F11" s="51" t="str">
        <f>IFERROR(__xludf.DUMMYFUNCTION("""COMPUTED_VALUE"""),"32aa3726-5c2e-433c-a030-4523421597bd")</f>
        <v>32aa3726-5c2e-433c-a030-4523421597bd</v>
      </c>
      <c r="G11" s="58">
        <f>IFERROR(__xludf.DUMMYFUNCTION("""COMPUTED_VALUE"""),43775.0)</f>
        <v>43775</v>
      </c>
      <c r="H11" s="60">
        <f>IFERROR(__xludf.DUMMYFUNCTION("""COMPUTED_VALUE"""),0.5833333333333334)</f>
        <v>0.5833333333</v>
      </c>
      <c r="I11" s="58">
        <f>IFERROR(__xludf.DUMMYFUNCTION("""COMPUTED_VALUE"""),43775.0)</f>
        <v>43775</v>
      </c>
      <c r="J11" s="60">
        <f>IFERROR(__xludf.DUMMYFUNCTION("""COMPUTED_VALUE"""),0.59375)</f>
        <v>0.59375</v>
      </c>
      <c r="K11" s="60">
        <f t="shared" si="1"/>
        <v>0.01041666667</v>
      </c>
      <c r="L11" s="51" t="s">
        <v>116</v>
      </c>
      <c r="M11" s="62" t="s">
        <v>276</v>
      </c>
      <c r="N11" s="62" t="str">
        <f t="shared" si="2"/>
        <v>CM_6_9_32aa3726-5c2e-433c-a030-4523421597bd_000000_000000.mp4</v>
      </c>
      <c r="O11" s="50"/>
      <c r="P11" s="50"/>
      <c r="Q11" s="63"/>
      <c r="R11" s="51"/>
      <c r="S11" s="51"/>
      <c r="T11" s="51"/>
    </row>
    <row r="12">
      <c r="A12" s="51" t="str">
        <f>IFERROR(__xludf.DUMMYFUNCTION("""COMPUTED_VALUE"""),"A picture is worth a thousand words")</f>
        <v>A picture is worth a thousand words</v>
      </c>
      <c r="B12" s="51" t="str">
        <f>IFERROR(__xludf.DUMMYFUNCTION("""COMPUTED_VALUE"""),"ContentMakers")</f>
        <v>ContentMakers</v>
      </c>
      <c r="C12" s="56" t="str">
        <f>IFERROR(__xludf.DUMMYFUNCTION("""COMPUTED_VALUE"""),"  and Rob Schwartz")</f>
        <v>  and Rob Schwartz</v>
      </c>
      <c r="D12" s="51" t="str">
        <f>IFERROR(__xludf.DUMMYFUNCTION("""COMPUTED_VALUE"""),"2019/11/06 14:15:00")</f>
        <v>2019/11/06 14:15:00</v>
      </c>
      <c r="E12" s="51" t="str">
        <f>IFERROR(__xludf.DUMMYFUNCTION("""COMPUTED_VALUE"""),"2019/11/06 14:35:00")</f>
        <v>2019/11/06 14:35:00</v>
      </c>
      <c r="F12" s="51" t="str">
        <f>IFERROR(__xludf.DUMMYFUNCTION("""COMPUTED_VALUE"""),"dfb4965a-f237-40d1-b849-365622e84eaf")</f>
        <v>dfb4965a-f237-40d1-b849-365622e84eaf</v>
      </c>
      <c r="G12" s="58">
        <f>IFERROR(__xludf.DUMMYFUNCTION("""COMPUTED_VALUE"""),43775.0)</f>
        <v>43775</v>
      </c>
      <c r="H12" s="60">
        <f>IFERROR(__xludf.DUMMYFUNCTION("""COMPUTED_VALUE"""),0.59375)</f>
        <v>0.59375</v>
      </c>
      <c r="I12" s="58">
        <f>IFERROR(__xludf.DUMMYFUNCTION("""COMPUTED_VALUE"""),43775.0)</f>
        <v>43775</v>
      </c>
      <c r="J12" s="60">
        <f>IFERROR(__xludf.DUMMYFUNCTION("""COMPUTED_VALUE"""),0.6076388888888888)</f>
        <v>0.6076388889</v>
      </c>
      <c r="K12" s="60">
        <f t="shared" si="1"/>
        <v>0.01388888889</v>
      </c>
      <c r="L12" s="51" t="s">
        <v>111</v>
      </c>
      <c r="M12" s="62" t="s">
        <v>277</v>
      </c>
      <c r="N12" s="62" t="str">
        <f t="shared" si="2"/>
        <v>CM_6_10_dfb4965a-f237-40d1-b849-365622e84eaf_000000_000000.mp4</v>
      </c>
      <c r="O12" s="50"/>
      <c r="P12" s="50"/>
      <c r="Q12" s="63"/>
      <c r="R12" s="51"/>
      <c r="S12" s="51"/>
      <c r="T12" s="51"/>
    </row>
    <row r="13">
      <c r="A13" s="51" t="str">
        <f>IFERROR(__xludf.DUMMYFUNCTION("""COMPUTED_VALUE"""),"The business of GIF$")</f>
        <v>The business of GIF$</v>
      </c>
      <c r="B13" s="51" t="str">
        <f>IFERROR(__xludf.DUMMYFUNCTION("""COMPUTED_VALUE"""),"ContentMakers")</f>
        <v>ContentMakers</v>
      </c>
      <c r="C13" s="56" t="str">
        <f>IFERROR(__xludf.DUMMYFUNCTION("""COMPUTED_VALUE"""),"Alex Chung")</f>
        <v>Alex Chung</v>
      </c>
      <c r="D13" s="51" t="str">
        <f>IFERROR(__xludf.DUMMYFUNCTION("""COMPUTED_VALUE"""),"2019/11/06 14:35:00")</f>
        <v>2019/11/06 14:35:00</v>
      </c>
      <c r="E13" s="51" t="str">
        <f>IFERROR(__xludf.DUMMYFUNCTION("""COMPUTED_VALUE"""),"2019/11/06 14:55:00")</f>
        <v>2019/11/06 14:55:00</v>
      </c>
      <c r="F13" s="51" t="str">
        <f>IFERROR(__xludf.DUMMYFUNCTION("""COMPUTED_VALUE"""),"af1878ef-bc0a-4bff-a4db-003b42eb0a61")</f>
        <v>af1878ef-bc0a-4bff-a4db-003b42eb0a61</v>
      </c>
      <c r="G13" s="58">
        <f>IFERROR(__xludf.DUMMYFUNCTION("""COMPUTED_VALUE"""),43775.0)</f>
        <v>43775</v>
      </c>
      <c r="H13" s="60">
        <f>IFERROR(__xludf.DUMMYFUNCTION("""COMPUTED_VALUE"""),0.6076388888888888)</f>
        <v>0.6076388889</v>
      </c>
      <c r="I13" s="58">
        <f>IFERROR(__xludf.DUMMYFUNCTION("""COMPUTED_VALUE"""),43775.0)</f>
        <v>43775</v>
      </c>
      <c r="J13" s="60">
        <f>IFERROR(__xludf.DUMMYFUNCTION("""COMPUTED_VALUE"""),0.6215277777777778)</f>
        <v>0.6215277778</v>
      </c>
      <c r="K13" s="60">
        <f t="shared" si="1"/>
        <v>0.01388888889</v>
      </c>
      <c r="L13" s="51" t="s">
        <v>111</v>
      </c>
      <c r="M13" s="62" t="s">
        <v>278</v>
      </c>
      <c r="N13" s="62" t="str">
        <f t="shared" si="2"/>
        <v>CM_6_11_af1878ef-bc0a-4bff-a4db-003b42eb0a61_000000_000000.mp4</v>
      </c>
      <c r="O13" s="50"/>
      <c r="P13" s="50"/>
      <c r="Q13" s="63"/>
      <c r="R13" s="51"/>
      <c r="S13" s="51"/>
      <c r="T13" s="51"/>
    </row>
    <row r="14">
      <c r="A14" s="51" t="str">
        <f>IFERROR(__xludf.DUMMYFUNCTION("""COMPUTED_VALUE"""),"Building a community of creators (at scale)")</f>
        <v>Building a community of creators (at scale)</v>
      </c>
      <c r="B14" s="51" t="str">
        <f>IFERROR(__xludf.DUMMYFUNCTION("""COMPUTED_VALUE"""),"ContentMakers")</f>
        <v>ContentMakers</v>
      </c>
      <c r="C14" s="56" t="str">
        <f>IFERROR(__xludf.DUMMYFUNCTION("""COMPUTED_VALUE"""),"Craig Donato")</f>
        <v>Craig Donato</v>
      </c>
      <c r="D14" s="51" t="str">
        <f>IFERROR(__xludf.DUMMYFUNCTION("""COMPUTED_VALUE"""),"2019/11/06 14:55:00")</f>
        <v>2019/11/06 14:55:00</v>
      </c>
      <c r="E14" s="51" t="str">
        <f>IFERROR(__xludf.DUMMYFUNCTION("""COMPUTED_VALUE"""),"2019/11/06 15:15:00")</f>
        <v>2019/11/06 15:15:00</v>
      </c>
      <c r="F14" s="51" t="str">
        <f>IFERROR(__xludf.DUMMYFUNCTION("""COMPUTED_VALUE"""),"db4c4448-5611-49c8-b8be-e621294585f3")</f>
        <v>db4c4448-5611-49c8-b8be-e621294585f3</v>
      </c>
      <c r="G14" s="58">
        <f>IFERROR(__xludf.DUMMYFUNCTION("""COMPUTED_VALUE"""),43775.0)</f>
        <v>43775</v>
      </c>
      <c r="H14" s="60">
        <f>IFERROR(__xludf.DUMMYFUNCTION("""COMPUTED_VALUE"""),0.6215277777777778)</f>
        <v>0.6215277778</v>
      </c>
      <c r="I14" s="58">
        <f>IFERROR(__xludf.DUMMYFUNCTION("""COMPUTED_VALUE"""),43775.0)</f>
        <v>43775</v>
      </c>
      <c r="J14" s="60">
        <f>IFERROR(__xludf.DUMMYFUNCTION("""COMPUTED_VALUE"""),0.6354166666666666)</f>
        <v>0.6354166667</v>
      </c>
      <c r="K14" s="60">
        <f t="shared" si="1"/>
        <v>0.01388888889</v>
      </c>
      <c r="L14" s="51" t="s">
        <v>111</v>
      </c>
      <c r="M14" s="62" t="s">
        <v>279</v>
      </c>
      <c r="N14" s="62" t="str">
        <f t="shared" si="2"/>
        <v>CM_6_12_db4c4448-5611-49c8-b8be-e621294585f3_000000_000000.mp4</v>
      </c>
      <c r="O14" s="50"/>
      <c r="P14" s="50"/>
      <c r="Q14" s="63"/>
      <c r="R14" s="51"/>
      <c r="S14" s="51"/>
      <c r="T14" s="51"/>
    </row>
    <row r="15">
      <c r="A15" s="51" t="str">
        <f>IFERROR(__xludf.DUMMYFUNCTION("""COMPUTED_VALUE"""),"Baby shark: Creating a multi-billion dollar monster")</f>
        <v>Baby shark: Creating a multi-billion dollar monster</v>
      </c>
      <c r="B15" s="51" t="str">
        <f>IFERROR(__xludf.DUMMYFUNCTION("""COMPUTED_VALUE"""),"ContentMakers")</f>
        <v>ContentMakers</v>
      </c>
      <c r="C15" s="56" t="str">
        <f>IFERROR(__xludf.DUMMYFUNCTION("""COMPUTED_VALUE"""),"Ryan Lee")</f>
        <v>Ryan Lee</v>
      </c>
      <c r="D15" s="51" t="str">
        <f>IFERROR(__xludf.DUMMYFUNCTION("""COMPUTED_VALUE"""),"2019/11/06 15:15:00")</f>
        <v>2019/11/06 15:15:00</v>
      </c>
      <c r="E15" s="51" t="str">
        <f>IFERROR(__xludf.DUMMYFUNCTION("""COMPUTED_VALUE"""),"2019/11/06 15:35:00")</f>
        <v>2019/11/06 15:35:00</v>
      </c>
      <c r="F15" s="51" t="str">
        <f>IFERROR(__xludf.DUMMYFUNCTION("""COMPUTED_VALUE"""),"70f7e88e-19cc-4fb0-b821-3bbe460a531a")</f>
        <v>70f7e88e-19cc-4fb0-b821-3bbe460a531a</v>
      </c>
      <c r="G15" s="58">
        <f>IFERROR(__xludf.DUMMYFUNCTION("""COMPUTED_VALUE"""),43775.0)</f>
        <v>43775</v>
      </c>
      <c r="H15" s="60">
        <f>IFERROR(__xludf.DUMMYFUNCTION("""COMPUTED_VALUE"""),0.6354166666666666)</f>
        <v>0.6354166667</v>
      </c>
      <c r="I15" s="58">
        <f>IFERROR(__xludf.DUMMYFUNCTION("""COMPUTED_VALUE"""),43775.0)</f>
        <v>43775</v>
      </c>
      <c r="J15" s="60">
        <f>IFERROR(__xludf.DUMMYFUNCTION("""COMPUTED_VALUE"""),0.6493055555555556)</f>
        <v>0.6493055556</v>
      </c>
      <c r="K15" s="60">
        <f t="shared" si="1"/>
        <v>0.01388888889</v>
      </c>
      <c r="L15" s="51" t="s">
        <v>111</v>
      </c>
      <c r="M15" s="62" t="s">
        <v>280</v>
      </c>
      <c r="N15" s="62" t="str">
        <f t="shared" si="2"/>
        <v>CM_6_13_70f7e88e-19cc-4fb0-b821-3bbe460a531a_000000_000000.mp4</v>
      </c>
      <c r="O15" s="50"/>
      <c r="P15" s="50"/>
      <c r="Q15" s="63"/>
      <c r="R15" s="51"/>
      <c r="S15" s="51"/>
      <c r="T15" s="51"/>
    </row>
    <row r="16">
      <c r="A16" s="51" t="str">
        <f>IFERROR(__xludf.DUMMYFUNCTION("""COMPUTED_VALUE"""),"Breaking news in a video-first world")</f>
        <v>Breaking news in a video-first world</v>
      </c>
      <c r="B16" s="51" t="str">
        <f>IFERROR(__xludf.DUMMYFUNCTION("""COMPUTED_VALUE"""),"ContentMakers")</f>
        <v>ContentMakers</v>
      </c>
      <c r="C16" s="56" t="str">
        <f>IFERROR(__xludf.DUMMYFUNCTION("""COMPUTED_VALUE"""),"Dinara Toktosunova, Juan Branco and Sara Fischer")</f>
        <v>Dinara Toktosunova, Juan Branco and Sara Fischer</v>
      </c>
      <c r="D16" s="51" t="str">
        <f>IFERROR(__xludf.DUMMYFUNCTION("""COMPUTED_VALUE"""),"2019/11/06 15:35:00")</f>
        <v>2019/11/06 15:35:00</v>
      </c>
      <c r="E16" s="51" t="str">
        <f>IFERROR(__xludf.DUMMYFUNCTION("""COMPUTED_VALUE"""),"2019/11/06 15:55:00")</f>
        <v>2019/11/06 15:55:00</v>
      </c>
      <c r="F16" s="51" t="str">
        <f>IFERROR(__xludf.DUMMYFUNCTION("""COMPUTED_VALUE"""),"307300a4-2093-45ea-971e-1af85ebc8685")</f>
        <v>307300a4-2093-45ea-971e-1af85ebc8685</v>
      </c>
      <c r="G16" s="58">
        <f>IFERROR(__xludf.DUMMYFUNCTION("""COMPUTED_VALUE"""),43775.0)</f>
        <v>43775</v>
      </c>
      <c r="H16" s="60">
        <f>IFERROR(__xludf.DUMMYFUNCTION("""COMPUTED_VALUE"""),0.6493055555555556)</f>
        <v>0.6493055556</v>
      </c>
      <c r="I16" s="58">
        <f>IFERROR(__xludf.DUMMYFUNCTION("""COMPUTED_VALUE"""),43775.0)</f>
        <v>43775</v>
      </c>
      <c r="J16" s="60">
        <f>IFERROR(__xludf.DUMMYFUNCTION("""COMPUTED_VALUE"""),0.6631944444444444)</f>
        <v>0.6631944444</v>
      </c>
      <c r="K16" s="60">
        <f t="shared" si="1"/>
        <v>0.01388888889</v>
      </c>
      <c r="L16" s="51" t="s">
        <v>111</v>
      </c>
      <c r="M16" s="62" t="s">
        <v>281</v>
      </c>
      <c r="N16" s="62" t="str">
        <f t="shared" si="2"/>
        <v>CM_6_14_307300a4-2093-45ea-971e-1af85ebc8685_000000_000000.mp4</v>
      </c>
      <c r="O16" s="50"/>
      <c r="P16" s="50"/>
      <c r="Q16" s="63"/>
      <c r="R16" s="51"/>
      <c r="S16" s="51"/>
      <c r="T16" s="51"/>
    </row>
    <row r="17">
      <c r="A17" s="51" t="str">
        <f>IFERROR(__xludf.DUMMYFUNCTION("""COMPUTED_VALUE"""),"Fixing the gender imbalance in digital media")</f>
        <v>Fixing the gender imbalance in digital media</v>
      </c>
      <c r="B17" s="51" t="str">
        <f>IFERROR(__xludf.DUMMYFUNCTION("""COMPUTED_VALUE"""),"ContentMakers")</f>
        <v>ContentMakers</v>
      </c>
      <c r="C17" s="56" t="str">
        <f>IFERROR(__xludf.DUMMYFUNCTION("""COMPUTED_VALUE"""),"Dima Khatib")</f>
        <v>Dima Khatib</v>
      </c>
      <c r="D17" s="51" t="str">
        <f>IFERROR(__xludf.DUMMYFUNCTION("""COMPUTED_VALUE"""),"2019/11/06 15:55:00")</f>
        <v>2019/11/06 15:55:00</v>
      </c>
      <c r="E17" s="51" t="str">
        <f>IFERROR(__xludf.DUMMYFUNCTION("""COMPUTED_VALUE"""),"2019/11/06 16:15:00")</f>
        <v>2019/11/06 16:15:00</v>
      </c>
      <c r="F17" s="51" t="str">
        <f>IFERROR(__xludf.DUMMYFUNCTION("""COMPUTED_VALUE"""),"51a0bba4-d437-4989-b612-c262f250c7eb")</f>
        <v>51a0bba4-d437-4989-b612-c262f250c7eb</v>
      </c>
      <c r="G17" s="58">
        <f>IFERROR(__xludf.DUMMYFUNCTION("""COMPUTED_VALUE"""),43775.0)</f>
        <v>43775</v>
      </c>
      <c r="H17" s="60">
        <f>IFERROR(__xludf.DUMMYFUNCTION("""COMPUTED_VALUE"""),0.6631944444444444)</f>
        <v>0.6631944444</v>
      </c>
      <c r="I17" s="58">
        <f>IFERROR(__xludf.DUMMYFUNCTION("""COMPUTED_VALUE"""),43775.0)</f>
        <v>43775</v>
      </c>
      <c r="J17" s="60">
        <f>IFERROR(__xludf.DUMMYFUNCTION("""COMPUTED_VALUE"""),0.6770833333333334)</f>
        <v>0.6770833333</v>
      </c>
      <c r="K17" s="60">
        <f t="shared" si="1"/>
        <v>0.01388888889</v>
      </c>
      <c r="L17" s="51" t="s">
        <v>111</v>
      </c>
      <c r="M17" s="62" t="s">
        <v>282</v>
      </c>
      <c r="N17" s="62" t="str">
        <f t="shared" si="2"/>
        <v>CM_6_15_51a0bba4-d437-4989-b612-c262f250c7eb_000000_000000.mp4</v>
      </c>
      <c r="O17" s="50"/>
      <c r="P17" s="50"/>
      <c r="Q17" s="63"/>
      <c r="R17" s="51"/>
      <c r="S17" s="51"/>
      <c r="T17" s="51"/>
    </row>
    <row r="18">
      <c r="A18" s="51" t="str">
        <f>IFERROR(__xludf.DUMMYFUNCTION("""COMPUTED_VALUE"""),"Don't shoot the messenger")</f>
        <v>Don't shoot the messenger</v>
      </c>
      <c r="B18" s="51" t="str">
        <f>IFERROR(__xludf.DUMMYFUNCTION("""COMPUTED_VALUE"""),"ContentMakers")</f>
        <v>ContentMakers</v>
      </c>
      <c r="C18" s="56" t="str">
        <f>IFERROR(__xludf.DUMMYFUNCTION("""COMPUTED_VALUE"""),"James Ball, John Tye, Brittany Kaiser and Ali Aydin")</f>
        <v>James Ball, John Tye, Brittany Kaiser and Ali Aydin</v>
      </c>
      <c r="D18" s="51" t="str">
        <f>IFERROR(__xludf.DUMMYFUNCTION("""COMPUTED_VALUE"""),"2019/11/06 16:15:00")</f>
        <v>2019/11/06 16:15:00</v>
      </c>
      <c r="E18" s="51" t="str">
        <f>IFERROR(__xludf.DUMMYFUNCTION("""COMPUTED_VALUE"""),"2019/11/06 16:35:00")</f>
        <v>2019/11/06 16:35:00</v>
      </c>
      <c r="F18" s="51" t="str">
        <f>IFERROR(__xludf.DUMMYFUNCTION("""COMPUTED_VALUE"""),"2a3f793a-ebb2-4bb5-a6ce-02c096805517")</f>
        <v>2a3f793a-ebb2-4bb5-a6ce-02c096805517</v>
      </c>
      <c r="G18" s="58">
        <f>IFERROR(__xludf.DUMMYFUNCTION("""COMPUTED_VALUE"""),43775.0)</f>
        <v>43775</v>
      </c>
      <c r="H18" s="60">
        <f>IFERROR(__xludf.DUMMYFUNCTION("""COMPUTED_VALUE"""),0.6770833333333334)</f>
        <v>0.6770833333</v>
      </c>
      <c r="I18" s="58">
        <f>IFERROR(__xludf.DUMMYFUNCTION("""COMPUTED_VALUE"""),43775.0)</f>
        <v>43775</v>
      </c>
      <c r="J18" s="60">
        <f>IFERROR(__xludf.DUMMYFUNCTION("""COMPUTED_VALUE"""),0.6909722222222222)</f>
        <v>0.6909722222</v>
      </c>
      <c r="K18" s="60">
        <f t="shared" si="1"/>
        <v>0.01388888889</v>
      </c>
      <c r="L18" s="51" t="s">
        <v>111</v>
      </c>
      <c r="M18" s="62" t="s">
        <v>283</v>
      </c>
      <c r="N18" s="62" t="str">
        <f t="shared" si="2"/>
        <v>CM_6_16_2a3f793a-ebb2-4bb5-a6ce-02c096805517_000000_000000.mp4</v>
      </c>
      <c r="O18" s="50"/>
      <c r="P18" s="50"/>
      <c r="Q18" s="63"/>
      <c r="R18" s="51"/>
      <c r="S18" s="51"/>
      <c r="T18" s="51"/>
    </row>
    <row r="19">
      <c r="A19" s="51" t="str">
        <f>IFERROR(__xludf.DUMMYFUNCTION("""COMPUTED_VALUE"""),"Opening remarks")</f>
        <v>Opening remarks</v>
      </c>
      <c r="B19" s="51" t="str">
        <f>IFERROR(__xludf.DUMMYFUNCTION("""COMPUTED_VALUE"""),"ContentMakers")</f>
        <v>ContentMakers</v>
      </c>
      <c r="C19" s="56" t="str">
        <f>IFERROR(__xludf.DUMMYFUNCTION("""COMPUTED_VALUE"""),"Jim Prior")</f>
        <v>Jim Prior</v>
      </c>
      <c r="D19" s="51" t="str">
        <f>IFERROR(__xludf.DUMMYFUNCTION("""COMPUTED_VALUE"""),"2019/11/07 11:15:00")</f>
        <v>2019/11/07 11:15:00</v>
      </c>
      <c r="E19" s="51" t="str">
        <f>IFERROR(__xludf.DUMMYFUNCTION("""COMPUTED_VALUE"""),"2019/11/07 11:30:00")</f>
        <v>2019/11/07 11:30:00</v>
      </c>
      <c r="F19" s="51" t="str">
        <f>IFERROR(__xludf.DUMMYFUNCTION("""COMPUTED_VALUE"""),"0b04d957-85d2-4348-8ffc-a8a8c89b721f")</f>
        <v>0b04d957-85d2-4348-8ffc-a8a8c89b721f</v>
      </c>
      <c r="G19" s="58">
        <f>IFERROR(__xludf.DUMMYFUNCTION("""COMPUTED_VALUE"""),43776.0)</f>
        <v>43776</v>
      </c>
      <c r="H19" s="60">
        <f>IFERROR(__xludf.DUMMYFUNCTION("""COMPUTED_VALUE"""),0.46875)</f>
        <v>0.46875</v>
      </c>
      <c r="I19" s="58">
        <f>IFERROR(__xludf.DUMMYFUNCTION("""COMPUTED_VALUE"""),43776.0)</f>
        <v>43776</v>
      </c>
      <c r="J19" s="60">
        <f>IFERROR(__xludf.DUMMYFUNCTION("""COMPUTED_VALUE"""),0.4791666666666667)</f>
        <v>0.4791666667</v>
      </c>
      <c r="K19" s="60">
        <f t="shared" si="1"/>
        <v>0.01041666667</v>
      </c>
      <c r="L19" s="51" t="s">
        <v>116</v>
      </c>
      <c r="M19" s="62" t="s">
        <v>284</v>
      </c>
      <c r="N19" s="62" t="str">
        <f t="shared" si="2"/>
        <v>CM_7_1_0b04d957-85d2-4348-8ffc-a8a8c89b721f_000000_000000.mp4</v>
      </c>
      <c r="O19" s="50"/>
      <c r="P19" s="50"/>
      <c r="Q19" s="63"/>
      <c r="R19" s="51"/>
      <c r="S19" s="51"/>
      <c r="T19" s="51"/>
    </row>
    <row r="20">
      <c r="A20" s="51" t="str">
        <f>IFERROR(__xludf.DUMMYFUNCTION("""COMPUTED_VALUE"""),"Content moderation: A Google perspective")</f>
        <v>Content moderation: A Google perspective</v>
      </c>
      <c r="B20" s="51" t="str">
        <f>IFERROR(__xludf.DUMMYFUNCTION("""COMPUTED_VALUE"""),"ContentMakers")</f>
        <v>ContentMakers</v>
      </c>
      <c r="C20" s="56" t="str">
        <f>IFERROR(__xludf.DUMMYFUNCTION("""COMPUTED_VALUE"""),"David Graff and Jonathan Weber")</f>
        <v>David Graff and Jonathan Weber</v>
      </c>
      <c r="D20" s="51" t="str">
        <f>IFERROR(__xludf.DUMMYFUNCTION("""COMPUTED_VALUE"""),"2019/11/07 11:30:00")</f>
        <v>2019/11/07 11:30:00</v>
      </c>
      <c r="E20" s="51" t="str">
        <f>IFERROR(__xludf.DUMMYFUNCTION("""COMPUTED_VALUE"""),"2019/11/07 11:55:00")</f>
        <v>2019/11/07 11:55:00</v>
      </c>
      <c r="F20" s="51" t="str">
        <f>IFERROR(__xludf.DUMMYFUNCTION("""COMPUTED_VALUE"""),"4af1f8e7-3944-4d28-b50f-964448412570")</f>
        <v>4af1f8e7-3944-4d28-b50f-964448412570</v>
      </c>
      <c r="G20" s="58">
        <f>IFERROR(__xludf.DUMMYFUNCTION("""COMPUTED_VALUE"""),43776.0)</f>
        <v>43776</v>
      </c>
      <c r="H20" s="60">
        <f>IFERROR(__xludf.DUMMYFUNCTION("""COMPUTED_VALUE"""),0.4791666666666667)</f>
        <v>0.4791666667</v>
      </c>
      <c r="I20" s="58">
        <f>IFERROR(__xludf.DUMMYFUNCTION("""COMPUTED_VALUE"""),43776.0)</f>
        <v>43776</v>
      </c>
      <c r="J20" s="60">
        <f>IFERROR(__xludf.DUMMYFUNCTION("""COMPUTED_VALUE"""),0.4965277777777778)</f>
        <v>0.4965277778</v>
      </c>
      <c r="K20" s="60">
        <f t="shared" si="1"/>
        <v>0.01736111111</v>
      </c>
      <c r="L20" s="51" t="s">
        <v>107</v>
      </c>
      <c r="M20" s="62" t="s">
        <v>285</v>
      </c>
      <c r="N20" s="62" t="str">
        <f t="shared" si="2"/>
        <v>CM_7_2_4af1f8e7-3944-4d28-b50f-964448412570_000000_000000.mp4</v>
      </c>
      <c r="O20" s="50"/>
      <c r="P20" s="50"/>
      <c r="Q20" s="63"/>
      <c r="R20" s="51"/>
      <c r="S20" s="51"/>
      <c r="T20" s="51"/>
    </row>
    <row r="21">
      <c r="A21" s="51" t="str">
        <f>IFERROR(__xludf.DUMMYFUNCTION("""COMPUTED_VALUE"""),"Cashing in on the news")</f>
        <v>Cashing in on the news</v>
      </c>
      <c r="B21" s="51" t="str">
        <f>IFERROR(__xludf.DUMMYFUNCTION("""COMPUTED_VALUE"""),"ContentMakers")</f>
        <v>ContentMakers</v>
      </c>
      <c r="C21" s="56" t="str">
        <f>IFERROR(__xludf.DUMMYFUNCTION("""COMPUTED_VALUE"""),"Michael Peters and Rebecca Stewart")</f>
        <v>Michael Peters and Rebecca Stewart</v>
      </c>
      <c r="D21" s="51" t="str">
        <f>IFERROR(__xludf.DUMMYFUNCTION("""COMPUTED_VALUE"""),"2019/11/07 11:55:00")</f>
        <v>2019/11/07 11:55:00</v>
      </c>
      <c r="E21" s="51" t="str">
        <f>IFERROR(__xludf.DUMMYFUNCTION("""COMPUTED_VALUE"""),"2019/11/07 12:15:00")</f>
        <v>2019/11/07 12:15:00</v>
      </c>
      <c r="F21" s="51" t="str">
        <f>IFERROR(__xludf.DUMMYFUNCTION("""COMPUTED_VALUE"""),"8b40b355-e9ec-4f8a-b2f9-e29349aff7e9")</f>
        <v>8b40b355-e9ec-4f8a-b2f9-e29349aff7e9</v>
      </c>
      <c r="G21" s="58">
        <f>IFERROR(__xludf.DUMMYFUNCTION("""COMPUTED_VALUE"""),43776.0)</f>
        <v>43776</v>
      </c>
      <c r="H21" s="60">
        <f>IFERROR(__xludf.DUMMYFUNCTION("""COMPUTED_VALUE"""),0.4965277777777778)</f>
        <v>0.4965277778</v>
      </c>
      <c r="I21" s="58">
        <f>IFERROR(__xludf.DUMMYFUNCTION("""COMPUTED_VALUE"""),43776.0)</f>
        <v>43776</v>
      </c>
      <c r="J21" s="60">
        <f>IFERROR(__xludf.DUMMYFUNCTION("""COMPUTED_VALUE"""),0.5104166666666666)</f>
        <v>0.5104166667</v>
      </c>
      <c r="K21" s="60">
        <f t="shared" si="1"/>
        <v>0.01388888889</v>
      </c>
      <c r="L21" s="51" t="s">
        <v>111</v>
      </c>
      <c r="M21" s="62" t="s">
        <v>286</v>
      </c>
      <c r="N21" s="62" t="str">
        <f t="shared" si="2"/>
        <v>CM_7_3_8b40b355-e9ec-4f8a-b2f9-e29349aff7e9_000000_000000.mp4</v>
      </c>
      <c r="O21" s="50"/>
      <c r="P21" s="50"/>
      <c r="Q21" s="63"/>
      <c r="R21" s="51"/>
      <c r="S21" s="51"/>
      <c r="T21" s="51"/>
    </row>
    <row r="22">
      <c r="A22" s="51" t="str">
        <f>IFERROR(__xludf.DUMMYFUNCTION("""COMPUTED_VALUE"""),"Is there a future for TV?")</f>
        <v>Is there a future for TV?</v>
      </c>
      <c r="B22" s="51" t="str">
        <f>IFERROR(__xludf.DUMMYFUNCTION("""COMPUTED_VALUE"""),"ContentMakers")</f>
        <v>ContentMakers</v>
      </c>
      <c r="C22" s="56" t="str">
        <f>IFERROR(__xludf.DUMMYFUNCTION("""COMPUTED_VALUE"""),"Patrick Holland, Juliet Mann and Ania Poullain-Majchrzak")</f>
        <v>Patrick Holland, Juliet Mann and Ania Poullain-Majchrzak</v>
      </c>
      <c r="D22" s="51" t="str">
        <f>IFERROR(__xludf.DUMMYFUNCTION("""COMPUTED_VALUE"""),"2019/11/07 12:15:00")</f>
        <v>2019/11/07 12:15:00</v>
      </c>
      <c r="E22" s="51" t="str">
        <f>IFERROR(__xludf.DUMMYFUNCTION("""COMPUTED_VALUE"""),"2019/11/07 12:35:00")</f>
        <v>2019/11/07 12:35:00</v>
      </c>
      <c r="F22" s="51" t="str">
        <f>IFERROR(__xludf.DUMMYFUNCTION("""COMPUTED_VALUE"""),"e5d32825-cddf-4932-8ee1-67a20d5318a7")</f>
        <v>e5d32825-cddf-4932-8ee1-67a20d5318a7</v>
      </c>
      <c r="G22" s="58">
        <f>IFERROR(__xludf.DUMMYFUNCTION("""COMPUTED_VALUE"""),43776.0)</f>
        <v>43776</v>
      </c>
      <c r="H22" s="60">
        <f>IFERROR(__xludf.DUMMYFUNCTION("""COMPUTED_VALUE"""),0.5104166666666666)</f>
        <v>0.5104166667</v>
      </c>
      <c r="I22" s="58">
        <f>IFERROR(__xludf.DUMMYFUNCTION("""COMPUTED_VALUE"""),43776.0)</f>
        <v>43776</v>
      </c>
      <c r="J22" s="60">
        <f>IFERROR(__xludf.DUMMYFUNCTION("""COMPUTED_VALUE"""),0.5243055555555556)</f>
        <v>0.5243055556</v>
      </c>
      <c r="K22" s="60">
        <f t="shared" si="1"/>
        <v>0.01388888889</v>
      </c>
      <c r="L22" s="51" t="s">
        <v>111</v>
      </c>
      <c r="M22" s="62" t="s">
        <v>287</v>
      </c>
      <c r="N22" s="62" t="str">
        <f t="shared" si="2"/>
        <v>CM_7_4_e5d32825-cddf-4932-8ee1-67a20d5318a7_000000_000000.mp4</v>
      </c>
      <c r="O22" s="50"/>
      <c r="P22" s="50"/>
      <c r="Q22" s="63"/>
      <c r="R22" s="51"/>
      <c r="S22" s="51"/>
      <c r="T22" s="51"/>
    </row>
    <row r="23">
      <c r="A23" s="51" t="str">
        <f>IFERROR(__xludf.DUMMYFUNCTION("""COMPUTED_VALUE"""),"The power of influence")</f>
        <v>The power of influence</v>
      </c>
      <c r="B23" s="51" t="str">
        <f>IFERROR(__xludf.DUMMYFUNCTION("""COMPUTED_VALUE"""),"ContentMakers")</f>
        <v>ContentMakers</v>
      </c>
      <c r="C23" s="56" t="str">
        <f>IFERROR(__xludf.DUMMYFUNCTION("""COMPUTED_VALUE"""),"Caspar Lee, Ben Jeffries and Ali Aydin")</f>
        <v>Caspar Lee, Ben Jeffries and Ali Aydin</v>
      </c>
      <c r="D23" s="51" t="str">
        <f>IFERROR(__xludf.DUMMYFUNCTION("""COMPUTED_VALUE"""),"2019/11/07 12:35:00")</f>
        <v>2019/11/07 12:35:00</v>
      </c>
      <c r="E23" s="51" t="str">
        <f>IFERROR(__xludf.DUMMYFUNCTION("""COMPUTED_VALUE"""),"2019/11/07 13:00:00")</f>
        <v>2019/11/07 13:00:00</v>
      </c>
      <c r="F23" s="51" t="str">
        <f>IFERROR(__xludf.DUMMYFUNCTION("""COMPUTED_VALUE"""),"ec27f57b-666c-4cb9-88a8-d6660ef1cf70")</f>
        <v>ec27f57b-666c-4cb9-88a8-d6660ef1cf70</v>
      </c>
      <c r="G23" s="58">
        <f>IFERROR(__xludf.DUMMYFUNCTION("""COMPUTED_VALUE"""),43776.0)</f>
        <v>43776</v>
      </c>
      <c r="H23" s="60">
        <f>IFERROR(__xludf.DUMMYFUNCTION("""COMPUTED_VALUE"""),0.5243055555555556)</f>
        <v>0.5243055556</v>
      </c>
      <c r="I23" s="58">
        <f>IFERROR(__xludf.DUMMYFUNCTION("""COMPUTED_VALUE"""),43776.0)</f>
        <v>43776</v>
      </c>
      <c r="J23" s="60">
        <f>IFERROR(__xludf.DUMMYFUNCTION("""COMPUTED_VALUE"""),0.5416666666666666)</f>
        <v>0.5416666667</v>
      </c>
      <c r="K23" s="60">
        <f t="shared" si="1"/>
        <v>0.01736111111</v>
      </c>
      <c r="L23" s="51" t="s">
        <v>107</v>
      </c>
      <c r="M23" s="62" t="s">
        <v>288</v>
      </c>
      <c r="N23" s="62" t="str">
        <f t="shared" si="2"/>
        <v>CM_7_5_ec27f57b-666c-4cb9-88a8-d6660ef1cf70_000000_000000.mp4</v>
      </c>
      <c r="O23" s="50"/>
      <c r="P23" s="50"/>
      <c r="Q23" s="63"/>
      <c r="R23" s="51"/>
      <c r="S23" s="51"/>
      <c r="T23" s="51"/>
    </row>
    <row r="24">
      <c r="A24" s="51" t="str">
        <f>IFERROR(__xludf.DUMMYFUNCTION("""COMPUTED_VALUE"""),"Esports: Winning is just the beginning")</f>
        <v>Esports: Winning is just the beginning</v>
      </c>
      <c r="B24" s="51" t="str">
        <f>IFERROR(__xludf.DUMMYFUNCTION("""COMPUTED_VALUE"""),"ContentMakers")</f>
        <v>ContentMakers</v>
      </c>
      <c r="C24" s="56" t="str">
        <f>IFERROR(__xludf.DUMMYFUNCTION("""COMPUTED_VALUE"""),"Bruce Stein")</f>
        <v>Bruce Stein</v>
      </c>
      <c r="D24" s="51" t="str">
        <f>IFERROR(__xludf.DUMMYFUNCTION("""COMPUTED_VALUE"""),"2019/11/07 13:00:00")</f>
        <v>2019/11/07 13:00:00</v>
      </c>
      <c r="E24" s="51" t="str">
        <f>IFERROR(__xludf.DUMMYFUNCTION("""COMPUTED_VALUE"""),"2019/11/07 13:20:00")</f>
        <v>2019/11/07 13:20:00</v>
      </c>
      <c r="F24" s="51" t="str">
        <f>IFERROR(__xludf.DUMMYFUNCTION("""COMPUTED_VALUE"""),"cbce1666-1df1-437a-b316-c0c20f66f6a3")</f>
        <v>cbce1666-1df1-437a-b316-c0c20f66f6a3</v>
      </c>
      <c r="G24" s="58">
        <f>IFERROR(__xludf.DUMMYFUNCTION("""COMPUTED_VALUE"""),43776.0)</f>
        <v>43776</v>
      </c>
      <c r="H24" s="60">
        <f>IFERROR(__xludf.DUMMYFUNCTION("""COMPUTED_VALUE"""),0.5416666666666666)</f>
        <v>0.5416666667</v>
      </c>
      <c r="I24" s="58">
        <f>IFERROR(__xludf.DUMMYFUNCTION("""COMPUTED_VALUE"""),43776.0)</f>
        <v>43776</v>
      </c>
      <c r="J24" s="60">
        <f>IFERROR(__xludf.DUMMYFUNCTION("""COMPUTED_VALUE"""),0.5555555555555556)</f>
        <v>0.5555555556</v>
      </c>
      <c r="K24" s="60">
        <f t="shared" si="1"/>
        <v>0.01388888889</v>
      </c>
      <c r="L24" s="51" t="s">
        <v>111</v>
      </c>
      <c r="M24" s="62" t="s">
        <v>289</v>
      </c>
      <c r="N24" s="62" t="str">
        <f t="shared" si="2"/>
        <v>CM_7_6_cbce1666-1df1-437a-b316-c0c20f66f6a3_000000_000000.mp4</v>
      </c>
      <c r="O24" s="50"/>
      <c r="P24" s="50"/>
      <c r="Q24" s="63"/>
      <c r="R24" s="51"/>
      <c r="S24" s="51"/>
      <c r="T24" s="51"/>
    </row>
    <row r="25">
      <c r="A25" s="51" t="str">
        <f>IFERROR(__xludf.DUMMYFUNCTION("""COMPUTED_VALUE"""),"Lunch break")</f>
        <v>Lunch break</v>
      </c>
      <c r="B25" s="51" t="str">
        <f>IFERROR(__xludf.DUMMYFUNCTION("""COMPUTED_VALUE"""),"ContentMakers")</f>
        <v>ContentMakers</v>
      </c>
      <c r="C25" s="56" t="str">
        <f>IFERROR(__xludf.DUMMYFUNCTION("""COMPUTED_VALUE"""),"")</f>
        <v/>
      </c>
      <c r="D25" s="51" t="str">
        <f>IFERROR(__xludf.DUMMYFUNCTION("""COMPUTED_VALUE"""),"2019/11/07 13:20:00")</f>
        <v>2019/11/07 13:20:00</v>
      </c>
      <c r="E25" s="51" t="str">
        <f>IFERROR(__xludf.DUMMYFUNCTION("""COMPUTED_VALUE"""),"2019/11/07 14:10:00")</f>
        <v>2019/11/07 14:10:00</v>
      </c>
      <c r="F25" s="51" t="str">
        <f>IFERROR(__xludf.DUMMYFUNCTION("""COMPUTED_VALUE"""),"d8868840-1b16-450d-900f-73724cb0ce90")</f>
        <v>d8868840-1b16-450d-900f-73724cb0ce90</v>
      </c>
      <c r="G25" s="58">
        <f>IFERROR(__xludf.DUMMYFUNCTION("""COMPUTED_VALUE"""),43776.0)</f>
        <v>43776</v>
      </c>
      <c r="H25" s="60">
        <f>IFERROR(__xludf.DUMMYFUNCTION("""COMPUTED_VALUE"""),0.5555555555555556)</f>
        <v>0.5555555556</v>
      </c>
      <c r="I25" s="58">
        <f>IFERROR(__xludf.DUMMYFUNCTION("""COMPUTED_VALUE"""),43776.0)</f>
        <v>43776</v>
      </c>
      <c r="J25" s="60">
        <f>IFERROR(__xludf.DUMMYFUNCTION("""COMPUTED_VALUE"""),0.5902777777777778)</f>
        <v>0.5902777778</v>
      </c>
      <c r="K25" s="60">
        <f t="shared" si="1"/>
        <v>0.03472222222</v>
      </c>
      <c r="L25" s="51" t="s">
        <v>292</v>
      </c>
      <c r="M25" s="51"/>
      <c r="N25" s="62" t="str">
        <f t="shared" si="2"/>
        <v>_d8868840-1b16-450d-900f-73724cb0ce90_000000_000000.mp4</v>
      </c>
      <c r="O25" s="50"/>
      <c r="P25" s="50"/>
      <c r="Q25" s="63"/>
      <c r="R25" s="51"/>
      <c r="S25" s="51"/>
      <c r="T25" s="51"/>
    </row>
    <row r="26">
      <c r="A26" s="51" t="str">
        <f>IFERROR(__xludf.DUMMYFUNCTION("""COMPUTED_VALUE"""),"Opening Remarks")</f>
        <v>Opening Remarks</v>
      </c>
      <c r="B26" s="51" t="str">
        <f>IFERROR(__xludf.DUMMYFUNCTION("""COMPUTED_VALUE"""),"ContentMakers")</f>
        <v>ContentMakers</v>
      </c>
      <c r="C26" s="56" t="str">
        <f>IFERROR(__xludf.DUMMYFUNCTION("""COMPUTED_VALUE"""),"Cynthia Johnson")</f>
        <v>Cynthia Johnson</v>
      </c>
      <c r="D26" s="51" t="str">
        <f>IFERROR(__xludf.DUMMYFUNCTION("""COMPUTED_VALUE"""),"2019/11/07 14:10:00")</f>
        <v>2019/11/07 14:10:00</v>
      </c>
      <c r="E26" s="51" t="str">
        <f>IFERROR(__xludf.DUMMYFUNCTION("""COMPUTED_VALUE"""),"2019/11/07 14:25:00")</f>
        <v>2019/11/07 14:25:00</v>
      </c>
      <c r="F26" s="51" t="str">
        <f>IFERROR(__xludf.DUMMYFUNCTION("""COMPUTED_VALUE"""),"da34fa6d-3af0-4163-9580-46a1290a9642")</f>
        <v>da34fa6d-3af0-4163-9580-46a1290a9642</v>
      </c>
      <c r="G26" s="58">
        <f>IFERROR(__xludf.DUMMYFUNCTION("""COMPUTED_VALUE"""),43776.0)</f>
        <v>43776</v>
      </c>
      <c r="H26" s="60">
        <f>IFERROR(__xludf.DUMMYFUNCTION("""COMPUTED_VALUE"""),0.5902777777777778)</f>
        <v>0.5902777778</v>
      </c>
      <c r="I26" s="58">
        <f>IFERROR(__xludf.DUMMYFUNCTION("""COMPUTED_VALUE"""),43776.0)</f>
        <v>43776</v>
      </c>
      <c r="J26" s="60">
        <f>IFERROR(__xludf.DUMMYFUNCTION("""COMPUTED_VALUE"""),0.6006944444444444)</f>
        <v>0.6006944444</v>
      </c>
      <c r="K26" s="60">
        <f t="shared" si="1"/>
        <v>0.01041666667</v>
      </c>
      <c r="L26" s="51" t="s">
        <v>116</v>
      </c>
      <c r="M26" s="62" t="s">
        <v>297</v>
      </c>
      <c r="N26" s="62" t="str">
        <f t="shared" si="2"/>
        <v>CM_7_7_da34fa6d-3af0-4163-9580-46a1290a9642_000000_000000.mp4</v>
      </c>
      <c r="O26" s="50"/>
      <c r="P26" s="50"/>
      <c r="Q26" s="63"/>
      <c r="R26" s="51"/>
      <c r="S26" s="51"/>
      <c r="T26" s="51"/>
    </row>
    <row r="27">
      <c r="A27" s="51" t="str">
        <f>IFERROR(__xludf.DUMMYFUNCTION("""COMPUTED_VALUE"""),"Branding content: How to do it right")</f>
        <v>Branding content: How to do it right</v>
      </c>
      <c r="B27" s="51" t="str">
        <f>IFERROR(__xludf.DUMMYFUNCTION("""COMPUTED_VALUE"""),"ContentMakers")</f>
        <v>ContentMakers</v>
      </c>
      <c r="C27" s="56" t="str">
        <f>IFERROR(__xludf.DUMMYFUNCTION("""COMPUTED_VALUE"""),"Fernando Machado, Sairah Ashman, David Fischer and Lindsey Turrentine")</f>
        <v>Fernando Machado, Sairah Ashman, David Fischer and Lindsey Turrentine</v>
      </c>
      <c r="D27" s="51" t="str">
        <f>IFERROR(__xludf.DUMMYFUNCTION("""COMPUTED_VALUE"""),"2019/11/07 14:40:00")</f>
        <v>2019/11/07 14:40:00</v>
      </c>
      <c r="E27" s="51" t="str">
        <f>IFERROR(__xludf.DUMMYFUNCTION("""COMPUTED_VALUE"""),"2019/11/07 15:00:00")</f>
        <v>2019/11/07 15:00:00</v>
      </c>
      <c r="F27" s="51" t="str">
        <f>IFERROR(__xludf.DUMMYFUNCTION("""COMPUTED_VALUE"""),"263ae3b3-62ad-4a73-93c5-963bfc34956a")</f>
        <v>263ae3b3-62ad-4a73-93c5-963bfc34956a</v>
      </c>
      <c r="G27" s="58">
        <f>IFERROR(__xludf.DUMMYFUNCTION("""COMPUTED_VALUE"""),43776.0)</f>
        <v>43776</v>
      </c>
      <c r="H27" s="60">
        <f>IFERROR(__xludf.DUMMYFUNCTION("""COMPUTED_VALUE"""),0.6111111111111112)</f>
        <v>0.6111111111</v>
      </c>
      <c r="I27" s="58">
        <f>IFERROR(__xludf.DUMMYFUNCTION("""COMPUTED_VALUE"""),43776.0)</f>
        <v>43776</v>
      </c>
      <c r="J27" s="60">
        <f>IFERROR(__xludf.DUMMYFUNCTION("""COMPUTED_VALUE"""),0.625)</f>
        <v>0.625</v>
      </c>
      <c r="K27" s="60">
        <f t="shared" si="1"/>
        <v>0.01388888889</v>
      </c>
      <c r="L27" s="51" t="s">
        <v>111</v>
      </c>
      <c r="M27" s="62" t="s">
        <v>307</v>
      </c>
      <c r="N27" s="62" t="str">
        <f t="shared" si="2"/>
        <v>CM_7_8_263ae3b3-62ad-4a73-93c5-963bfc34956a_000000_000000.mp4</v>
      </c>
      <c r="O27" s="50"/>
      <c r="P27" s="50"/>
      <c r="Q27" s="63"/>
      <c r="R27" s="51"/>
      <c r="S27" s="51"/>
      <c r="T27" s="51"/>
    </row>
    <row r="28">
      <c r="A28" s="51" t="str">
        <f>IFERROR(__xludf.DUMMYFUNCTION("""COMPUTED_VALUE"""),"Fuelling the esports phenomenon ")</f>
        <v>Fuelling the esports phenomenon </v>
      </c>
      <c r="B28" s="51" t="str">
        <f>IFERROR(__xludf.DUMMYFUNCTION("""COMPUTED_VALUE"""),"ContentMakers")</f>
        <v>ContentMakers</v>
      </c>
      <c r="C28" s="56" t="str">
        <f>IFERROR(__xludf.DUMMYFUNCTION("""COMPUTED_VALUE"""),"Bono Huis, Gavin Poole, Rachel Gowers and Dave Thier")</f>
        <v>Bono Huis, Gavin Poole, Rachel Gowers and Dave Thier</v>
      </c>
      <c r="D28" s="51" t="str">
        <f>IFERROR(__xludf.DUMMYFUNCTION("""COMPUTED_VALUE"""),"2019/11/07 15:00:00")</f>
        <v>2019/11/07 15:00:00</v>
      </c>
      <c r="E28" s="51" t="str">
        <f>IFERROR(__xludf.DUMMYFUNCTION("""COMPUTED_VALUE"""),"2019/11/07 15:20:00")</f>
        <v>2019/11/07 15:20:00</v>
      </c>
      <c r="F28" s="51" t="str">
        <f>IFERROR(__xludf.DUMMYFUNCTION("""COMPUTED_VALUE"""),"d9e939e7-e53b-4e77-a39d-c5a98fb80471")</f>
        <v>d9e939e7-e53b-4e77-a39d-c5a98fb80471</v>
      </c>
      <c r="G28" s="58">
        <f>IFERROR(__xludf.DUMMYFUNCTION("""COMPUTED_VALUE"""),43776.0)</f>
        <v>43776</v>
      </c>
      <c r="H28" s="60">
        <f>IFERROR(__xludf.DUMMYFUNCTION("""COMPUTED_VALUE"""),0.625)</f>
        <v>0.625</v>
      </c>
      <c r="I28" s="58">
        <f>IFERROR(__xludf.DUMMYFUNCTION("""COMPUTED_VALUE"""),43776.0)</f>
        <v>43776</v>
      </c>
      <c r="J28" s="60">
        <f>IFERROR(__xludf.DUMMYFUNCTION("""COMPUTED_VALUE"""),0.6388888888888888)</f>
        <v>0.6388888889</v>
      </c>
      <c r="K28" s="60">
        <f t="shared" si="1"/>
        <v>0.01388888889</v>
      </c>
      <c r="L28" s="51" t="s">
        <v>111</v>
      </c>
      <c r="M28" s="62" t="s">
        <v>311</v>
      </c>
      <c r="N28" s="62" t="str">
        <f t="shared" si="2"/>
        <v>CM_7_9_d9e939e7-e53b-4e77-a39d-c5a98fb80471_000000_000000.mp4</v>
      </c>
      <c r="O28" s="50"/>
      <c r="P28" s="50"/>
      <c r="Q28" s="63"/>
      <c r="R28" s="51"/>
      <c r="S28" s="51"/>
      <c r="T28" s="51"/>
    </row>
    <row r="29">
      <c r="A29" s="51" t="str">
        <f>IFERROR(__xludf.DUMMYFUNCTION("""COMPUTED_VALUE"""),"Entertainment 2030")</f>
        <v>Entertainment 2030</v>
      </c>
      <c r="B29" s="51" t="str">
        <f>IFERROR(__xludf.DUMMYFUNCTION("""COMPUTED_VALUE"""),"ContentMakers")</f>
        <v>ContentMakers</v>
      </c>
      <c r="C29" s="56" t="str">
        <f>IFERROR(__xludf.DUMMYFUNCTION("""COMPUTED_VALUE"""),"Tommy Palm, Eugene Chung, José Woldring and Liam Proud")</f>
        <v>Tommy Palm, Eugene Chung, José Woldring and Liam Proud</v>
      </c>
      <c r="D29" s="51" t="str">
        <f>IFERROR(__xludf.DUMMYFUNCTION("""COMPUTED_VALUE"""),"2019/11/07 15:20:00")</f>
        <v>2019/11/07 15:20:00</v>
      </c>
      <c r="E29" s="51" t="str">
        <f>IFERROR(__xludf.DUMMYFUNCTION("""COMPUTED_VALUE"""),"2019/11/07 15:40:00")</f>
        <v>2019/11/07 15:40:00</v>
      </c>
      <c r="F29" s="51" t="str">
        <f>IFERROR(__xludf.DUMMYFUNCTION("""COMPUTED_VALUE"""),"b0b3dd2f-1038-4cd8-a954-b0fb385b2dee")</f>
        <v>b0b3dd2f-1038-4cd8-a954-b0fb385b2dee</v>
      </c>
      <c r="G29" s="58">
        <f>IFERROR(__xludf.DUMMYFUNCTION("""COMPUTED_VALUE"""),43776.0)</f>
        <v>43776</v>
      </c>
      <c r="H29" s="60">
        <f>IFERROR(__xludf.DUMMYFUNCTION("""COMPUTED_VALUE"""),0.6388888888888888)</f>
        <v>0.6388888889</v>
      </c>
      <c r="I29" s="58">
        <f>IFERROR(__xludf.DUMMYFUNCTION("""COMPUTED_VALUE"""),43776.0)</f>
        <v>43776</v>
      </c>
      <c r="J29" s="60">
        <f>IFERROR(__xludf.DUMMYFUNCTION("""COMPUTED_VALUE"""),0.6527777777777778)</f>
        <v>0.6527777778</v>
      </c>
      <c r="K29" s="60">
        <f t="shared" si="1"/>
        <v>0.01388888889</v>
      </c>
      <c r="L29" s="51" t="s">
        <v>111</v>
      </c>
      <c r="M29" s="62" t="s">
        <v>312</v>
      </c>
      <c r="N29" s="62" t="str">
        <f t="shared" si="2"/>
        <v>CM_7_10_b0b3dd2f-1038-4cd8-a954-b0fb385b2dee_000000_000000.mp4</v>
      </c>
      <c r="O29" s="50"/>
      <c r="P29" s="50"/>
      <c r="Q29" s="63"/>
      <c r="R29" s="51"/>
      <c r="S29" s="51"/>
      <c r="T29" s="51"/>
    </row>
    <row r="30">
      <c r="A30" s="51" t="str">
        <f>IFERROR(__xludf.DUMMYFUNCTION("""COMPUTED_VALUE"""),"Content IP and how to leverage")</f>
        <v>Content IP and how to leverage</v>
      </c>
      <c r="B30" s="51" t="str">
        <f>IFERROR(__xludf.DUMMYFUNCTION("""COMPUTED_VALUE"""),"ContentMakers")</f>
        <v>ContentMakers</v>
      </c>
      <c r="C30" s="56" t="str">
        <f>IFERROR(__xludf.DUMMYFUNCTION("""COMPUTED_VALUE"""),"Wim Ponnet")</f>
        <v>Wim Ponnet</v>
      </c>
      <c r="D30" s="51" t="str">
        <f>IFERROR(__xludf.DUMMYFUNCTION("""COMPUTED_VALUE"""),"2019/11/07 15:40:00")</f>
        <v>2019/11/07 15:40:00</v>
      </c>
      <c r="E30" s="51" t="str">
        <f>IFERROR(__xludf.DUMMYFUNCTION("""COMPUTED_VALUE"""),"2019/11/07 15:55:00")</f>
        <v>2019/11/07 15:55:00</v>
      </c>
      <c r="F30" s="51" t="str">
        <f>IFERROR(__xludf.DUMMYFUNCTION("""COMPUTED_VALUE"""),"babecf13-e60a-4772-aa3a-9ae45e5453dc")</f>
        <v>babecf13-e60a-4772-aa3a-9ae45e5453dc</v>
      </c>
      <c r="G30" s="58">
        <f>IFERROR(__xludf.DUMMYFUNCTION("""COMPUTED_VALUE"""),43776.0)</f>
        <v>43776</v>
      </c>
      <c r="H30" s="60">
        <f>IFERROR(__xludf.DUMMYFUNCTION("""COMPUTED_VALUE"""),0.6527777777777778)</f>
        <v>0.6527777778</v>
      </c>
      <c r="I30" s="58">
        <f>IFERROR(__xludf.DUMMYFUNCTION("""COMPUTED_VALUE"""),43776.0)</f>
        <v>43776</v>
      </c>
      <c r="J30" s="60">
        <f>IFERROR(__xludf.DUMMYFUNCTION("""COMPUTED_VALUE"""),0.6631944444444444)</f>
        <v>0.6631944444</v>
      </c>
      <c r="K30" s="60">
        <f t="shared" si="1"/>
        <v>0.01041666667</v>
      </c>
      <c r="L30" s="51" t="s">
        <v>116</v>
      </c>
      <c r="M30" s="62" t="s">
        <v>313</v>
      </c>
      <c r="N30" s="62" t="str">
        <f t="shared" si="2"/>
        <v>CM_7_11_babecf13-e60a-4772-aa3a-9ae45e5453dc_000000_000000.mp4</v>
      </c>
      <c r="O30" s="50"/>
      <c r="P30" s="50"/>
      <c r="Q30" s="63"/>
      <c r="R30" s="51"/>
      <c r="S30" s="51"/>
      <c r="T30" s="51"/>
    </row>
    <row r="31">
      <c r="A31" s="51" t="str">
        <f>IFERROR(__xludf.DUMMYFUNCTION("""COMPUTED_VALUE"""),"Creating new worlds: Technology, innovation and storytelling")</f>
        <v>Creating new worlds: Technology, innovation and storytelling</v>
      </c>
      <c r="B31" s="51" t="str">
        <f>IFERROR(__xludf.DUMMYFUNCTION("""COMPUTED_VALUE"""),"ContentMakers")</f>
        <v>ContentMakers</v>
      </c>
      <c r="C31" s="56" t="str">
        <f>IFERROR(__xludf.DUMMYFUNCTION("""COMPUTED_VALUE"""),"Mohen Leo")</f>
        <v>Mohen Leo</v>
      </c>
      <c r="D31" s="51" t="str">
        <f>IFERROR(__xludf.DUMMYFUNCTION("""COMPUTED_VALUE"""),"2019/11/07 15:55:00")</f>
        <v>2019/11/07 15:55:00</v>
      </c>
      <c r="E31" s="51" t="str">
        <f>IFERROR(__xludf.DUMMYFUNCTION("""COMPUTED_VALUE"""),"2019/11/07 16:20:00")</f>
        <v>2019/11/07 16:20:00</v>
      </c>
      <c r="F31" s="51" t="str">
        <f>IFERROR(__xludf.DUMMYFUNCTION("""COMPUTED_VALUE"""),"5be544cf-3d3b-44bc-93a7-45ab95f353a7")</f>
        <v>5be544cf-3d3b-44bc-93a7-45ab95f353a7</v>
      </c>
      <c r="G31" s="58">
        <f>IFERROR(__xludf.DUMMYFUNCTION("""COMPUTED_VALUE"""),43776.0)</f>
        <v>43776</v>
      </c>
      <c r="H31" s="60">
        <f>IFERROR(__xludf.DUMMYFUNCTION("""COMPUTED_VALUE"""),0.6631944444444444)</f>
        <v>0.6631944444</v>
      </c>
      <c r="I31" s="58">
        <f>IFERROR(__xludf.DUMMYFUNCTION("""COMPUTED_VALUE"""),43776.0)</f>
        <v>43776</v>
      </c>
      <c r="J31" s="60">
        <f>IFERROR(__xludf.DUMMYFUNCTION("""COMPUTED_VALUE"""),0.6805555555555556)</f>
        <v>0.6805555556</v>
      </c>
      <c r="K31" s="60">
        <f t="shared" si="1"/>
        <v>0.01736111111</v>
      </c>
      <c r="L31" s="51" t="s">
        <v>107</v>
      </c>
      <c r="M31" s="62" t="s">
        <v>314</v>
      </c>
      <c r="N31" s="62" t="str">
        <f t="shared" si="2"/>
        <v>CM_7_12_5be544cf-3d3b-44bc-93a7-45ab95f353a7_000000_000000.mp4</v>
      </c>
      <c r="O31" s="50"/>
      <c r="P31" s="50"/>
      <c r="Q31" s="63"/>
      <c r="R31" s="51"/>
      <c r="S31" s="51"/>
      <c r="T31" s="51"/>
    </row>
    <row r="32">
      <c r="A32" s="51"/>
      <c r="B32" s="51"/>
      <c r="C32" s="56"/>
      <c r="D32" s="51"/>
      <c r="E32" s="51"/>
      <c r="F32" s="51"/>
      <c r="G32" s="51" t="str">
        <f>IFERROR(__xludf.DUMMYFUNCTION("""COMPUTED_VALUE"""),"#VALUE!")</f>
        <v>#VALUE!</v>
      </c>
      <c r="H32" s="51" t="str">
        <f>IFERROR(__xludf.DUMMYFUNCTION("""COMPUTED_VALUE"""),"")</f>
        <v/>
      </c>
      <c r="I32" s="51" t="str">
        <f>IFERROR(__xludf.DUMMYFUNCTION("""COMPUTED_VALUE"""),"#VALUE!")</f>
        <v>#VALUE!</v>
      </c>
      <c r="J32" s="51" t="str">
        <f>IFERROR(__xludf.DUMMYFUNCTION("""COMPUTED_VALUE"""),"")</f>
        <v/>
      </c>
      <c r="K32" s="51">
        <f t="shared" si="1"/>
        <v>0</v>
      </c>
      <c r="L32" s="51" t="s">
        <v>257</v>
      </c>
      <c r="M32" s="51"/>
      <c r="N32" s="51"/>
      <c r="O32" s="51"/>
      <c r="P32" s="51"/>
      <c r="Q32" s="51"/>
      <c r="R32" s="51"/>
      <c r="S32" s="51"/>
      <c r="T32" s="51"/>
    </row>
    <row r="33">
      <c r="A33" s="51"/>
      <c r="B33" s="51"/>
      <c r="C33" s="56"/>
      <c r="D33" s="51"/>
      <c r="E33" s="51"/>
      <c r="F33" s="51"/>
      <c r="G33" s="51" t="str">
        <f>IFERROR(__xludf.DUMMYFUNCTION("""COMPUTED_VALUE"""),"#VALUE!")</f>
        <v>#VALUE!</v>
      </c>
      <c r="H33" s="51" t="str">
        <f>IFERROR(__xludf.DUMMYFUNCTION("""COMPUTED_VALUE"""),"")</f>
        <v/>
      </c>
      <c r="I33" s="51" t="str">
        <f>IFERROR(__xludf.DUMMYFUNCTION("""COMPUTED_VALUE"""),"#VALUE!")</f>
        <v>#VALUE!</v>
      </c>
      <c r="J33" s="51" t="str">
        <f>IFERROR(__xludf.DUMMYFUNCTION("""COMPUTED_VALUE"""),"")</f>
        <v/>
      </c>
      <c r="K33" s="51">
        <f t="shared" si="1"/>
        <v>0</v>
      </c>
      <c r="L33" s="51" t="s">
        <v>257</v>
      </c>
      <c r="M33" s="51"/>
      <c r="N33" s="51"/>
      <c r="O33" s="51"/>
      <c r="P33" s="51"/>
      <c r="Q33" s="51"/>
      <c r="R33" s="51"/>
      <c r="S33" s="51"/>
      <c r="T33" s="51"/>
    </row>
    <row r="34">
      <c r="A34" s="51"/>
      <c r="B34" s="51"/>
      <c r="C34" s="56"/>
      <c r="D34" s="51"/>
      <c r="E34" s="51"/>
      <c r="F34" s="51"/>
      <c r="G34" s="51" t="str">
        <f>IFERROR(__xludf.DUMMYFUNCTION("""COMPUTED_VALUE"""),"#VALUE!")</f>
        <v>#VALUE!</v>
      </c>
      <c r="H34" s="51" t="str">
        <f>IFERROR(__xludf.DUMMYFUNCTION("""COMPUTED_VALUE"""),"")</f>
        <v/>
      </c>
      <c r="I34" s="51" t="str">
        <f>IFERROR(__xludf.DUMMYFUNCTION("""COMPUTED_VALUE"""),"#VALUE!")</f>
        <v>#VALUE!</v>
      </c>
      <c r="J34" s="51" t="str">
        <f>IFERROR(__xludf.DUMMYFUNCTION("""COMPUTED_VALUE"""),"")</f>
        <v/>
      </c>
      <c r="K34" s="51">
        <f t="shared" si="1"/>
        <v>0</v>
      </c>
      <c r="L34" s="51" t="s">
        <v>257</v>
      </c>
      <c r="M34" s="51"/>
      <c r="N34" s="51"/>
      <c r="O34" s="51"/>
      <c r="P34" s="51"/>
      <c r="Q34" s="51"/>
      <c r="R34" s="51"/>
      <c r="S34" s="51"/>
      <c r="T34" s="51"/>
    </row>
    <row r="35">
      <c r="A35" s="51"/>
      <c r="B35" s="51"/>
      <c r="C35" s="56"/>
      <c r="D35" s="51"/>
      <c r="E35" s="51"/>
      <c r="F35" s="51"/>
      <c r="G35" s="51" t="str">
        <f>IFERROR(__xludf.DUMMYFUNCTION("""COMPUTED_VALUE"""),"#VALUE!")</f>
        <v>#VALUE!</v>
      </c>
      <c r="H35" s="51" t="str">
        <f>IFERROR(__xludf.DUMMYFUNCTION("""COMPUTED_VALUE"""),"")</f>
        <v/>
      </c>
      <c r="I35" s="51" t="str">
        <f>IFERROR(__xludf.DUMMYFUNCTION("""COMPUTED_VALUE"""),"#VALUE!")</f>
        <v>#VALUE!</v>
      </c>
      <c r="J35" s="51" t="str">
        <f>IFERROR(__xludf.DUMMYFUNCTION("""COMPUTED_VALUE"""),"")</f>
        <v/>
      </c>
      <c r="K35" s="51">
        <f t="shared" si="1"/>
        <v>0</v>
      </c>
      <c r="L35" s="51" t="s">
        <v>257</v>
      </c>
      <c r="M35" s="51"/>
      <c r="N35" s="51"/>
      <c r="O35" s="51"/>
      <c r="P35" s="51"/>
      <c r="Q35" s="51"/>
      <c r="R35" s="51"/>
      <c r="S35" s="51"/>
      <c r="T35" s="51"/>
    </row>
    <row r="36">
      <c r="A36" s="51"/>
      <c r="B36" s="51"/>
      <c r="C36" s="56"/>
      <c r="D36" s="51"/>
      <c r="E36" s="51"/>
      <c r="F36" s="51"/>
      <c r="G36" s="51" t="str">
        <f>IFERROR(__xludf.DUMMYFUNCTION("""COMPUTED_VALUE"""),"#VALUE!")</f>
        <v>#VALUE!</v>
      </c>
      <c r="H36" s="51" t="str">
        <f>IFERROR(__xludf.DUMMYFUNCTION("""COMPUTED_VALUE"""),"")</f>
        <v/>
      </c>
      <c r="I36" s="51" t="str">
        <f>IFERROR(__xludf.DUMMYFUNCTION("""COMPUTED_VALUE"""),"#VALUE!")</f>
        <v>#VALUE!</v>
      </c>
      <c r="J36" s="51" t="str">
        <f>IFERROR(__xludf.DUMMYFUNCTION("""COMPUTED_VALUE"""),"")</f>
        <v/>
      </c>
      <c r="K36" s="51">
        <f t="shared" si="1"/>
        <v>0</v>
      </c>
      <c r="L36" s="51" t="s">
        <v>257</v>
      </c>
      <c r="M36" s="51"/>
      <c r="N36" s="51"/>
      <c r="O36" s="51"/>
      <c r="P36" s="51"/>
      <c r="Q36" s="51"/>
      <c r="R36" s="51"/>
      <c r="S36" s="51"/>
      <c r="T36" s="51"/>
    </row>
    <row r="37">
      <c r="A37" s="51"/>
      <c r="B37" s="51"/>
      <c r="C37" s="56"/>
      <c r="D37" s="51"/>
      <c r="E37" s="51"/>
      <c r="F37" s="51"/>
      <c r="G37" s="51" t="str">
        <f>IFERROR(__xludf.DUMMYFUNCTION("""COMPUTED_VALUE"""),"#VALUE!")</f>
        <v>#VALUE!</v>
      </c>
      <c r="H37" s="51" t="str">
        <f>IFERROR(__xludf.DUMMYFUNCTION("""COMPUTED_VALUE"""),"")</f>
        <v/>
      </c>
      <c r="I37" s="51" t="str">
        <f>IFERROR(__xludf.DUMMYFUNCTION("""COMPUTED_VALUE"""),"#VALUE!")</f>
        <v>#VALUE!</v>
      </c>
      <c r="J37" s="51" t="str">
        <f>IFERROR(__xludf.DUMMYFUNCTION("""COMPUTED_VALUE"""),"")</f>
        <v/>
      </c>
      <c r="K37" s="51">
        <f t="shared" si="1"/>
        <v>0</v>
      </c>
      <c r="L37" s="51" t="s">
        <v>257</v>
      </c>
      <c r="M37" s="51"/>
      <c r="N37" s="51"/>
      <c r="O37" s="51"/>
      <c r="P37" s="51"/>
      <c r="Q37" s="51"/>
      <c r="R37" s="51"/>
      <c r="S37" s="51"/>
      <c r="T37" s="51"/>
    </row>
    <row r="38">
      <c r="A38" s="51"/>
      <c r="B38" s="51"/>
      <c r="C38" s="56"/>
      <c r="D38" s="51"/>
      <c r="E38" s="51"/>
      <c r="F38" s="51"/>
      <c r="G38" s="51" t="str">
        <f>IFERROR(__xludf.DUMMYFUNCTION("""COMPUTED_VALUE"""),"#VALUE!")</f>
        <v>#VALUE!</v>
      </c>
      <c r="H38" s="51" t="str">
        <f>IFERROR(__xludf.DUMMYFUNCTION("""COMPUTED_VALUE"""),"")</f>
        <v/>
      </c>
      <c r="I38" s="51" t="str">
        <f>IFERROR(__xludf.DUMMYFUNCTION("""COMPUTED_VALUE"""),"#VALUE!")</f>
        <v>#VALUE!</v>
      </c>
      <c r="J38" s="51" t="str">
        <f>IFERROR(__xludf.DUMMYFUNCTION("""COMPUTED_VALUE"""),"")</f>
        <v/>
      </c>
      <c r="K38" s="51">
        <f t="shared" si="1"/>
        <v>0</v>
      </c>
      <c r="L38" s="51" t="s">
        <v>257</v>
      </c>
      <c r="M38" s="51"/>
      <c r="N38" s="51"/>
      <c r="O38" s="51"/>
      <c r="P38" s="51"/>
      <c r="Q38" s="51"/>
      <c r="R38" s="51"/>
      <c r="S38" s="51"/>
      <c r="T38" s="51"/>
    </row>
    <row r="39">
      <c r="A39" s="51"/>
      <c r="B39" s="51"/>
      <c r="C39" s="56"/>
      <c r="D39" s="51"/>
      <c r="E39" s="51"/>
      <c r="F39" s="51"/>
      <c r="G39" s="51" t="str">
        <f>IFERROR(__xludf.DUMMYFUNCTION("""COMPUTED_VALUE"""),"#VALUE!")</f>
        <v>#VALUE!</v>
      </c>
      <c r="H39" s="51" t="str">
        <f>IFERROR(__xludf.DUMMYFUNCTION("""COMPUTED_VALUE"""),"")</f>
        <v/>
      </c>
      <c r="I39" s="51" t="str">
        <f>IFERROR(__xludf.DUMMYFUNCTION("""COMPUTED_VALUE"""),"#VALUE!")</f>
        <v>#VALUE!</v>
      </c>
      <c r="J39" s="51" t="str">
        <f>IFERROR(__xludf.DUMMYFUNCTION("""COMPUTED_VALUE"""),"")</f>
        <v/>
      </c>
      <c r="K39" s="51">
        <f t="shared" si="1"/>
        <v>0</v>
      </c>
      <c r="L39" s="51" t="s">
        <v>257</v>
      </c>
      <c r="M39" s="51"/>
      <c r="N39" s="51"/>
      <c r="O39" s="51"/>
      <c r="P39" s="51"/>
      <c r="Q39" s="51"/>
      <c r="R39" s="51"/>
      <c r="S39" s="51"/>
      <c r="T39" s="51"/>
    </row>
    <row r="40">
      <c r="A40" s="51"/>
      <c r="B40" s="51"/>
      <c r="C40" s="56"/>
      <c r="D40" s="51"/>
      <c r="E40" s="51"/>
      <c r="F40" s="51"/>
      <c r="G40" s="51" t="str">
        <f>IFERROR(__xludf.DUMMYFUNCTION("""COMPUTED_VALUE"""),"#VALUE!")</f>
        <v>#VALUE!</v>
      </c>
      <c r="H40" s="51" t="str">
        <f>IFERROR(__xludf.DUMMYFUNCTION("""COMPUTED_VALUE"""),"")</f>
        <v/>
      </c>
      <c r="I40" s="51" t="str">
        <f>IFERROR(__xludf.DUMMYFUNCTION("""COMPUTED_VALUE"""),"#VALUE!")</f>
        <v>#VALUE!</v>
      </c>
      <c r="J40" s="51" t="str">
        <f>IFERROR(__xludf.DUMMYFUNCTION("""COMPUTED_VALUE"""),"")</f>
        <v/>
      </c>
      <c r="K40" s="51">
        <f t="shared" si="1"/>
        <v>0</v>
      </c>
      <c r="L40" s="51" t="s">
        <v>257</v>
      </c>
      <c r="M40" s="51"/>
      <c r="N40" s="51"/>
      <c r="O40" s="51"/>
      <c r="P40" s="51"/>
      <c r="Q40" s="51"/>
      <c r="R40" s="51"/>
      <c r="S40" s="51"/>
      <c r="T40" s="51"/>
    </row>
    <row r="41">
      <c r="A41" s="51"/>
      <c r="B41" s="51"/>
      <c r="C41" s="56"/>
      <c r="D41" s="51"/>
      <c r="E41" s="51"/>
      <c r="F41" s="51"/>
      <c r="G41" s="51" t="str">
        <f>IFERROR(__xludf.DUMMYFUNCTION("""COMPUTED_VALUE"""),"#VALUE!")</f>
        <v>#VALUE!</v>
      </c>
      <c r="H41" s="51" t="str">
        <f>IFERROR(__xludf.DUMMYFUNCTION("""COMPUTED_VALUE"""),"")</f>
        <v/>
      </c>
      <c r="I41" s="51" t="str">
        <f>IFERROR(__xludf.DUMMYFUNCTION("""COMPUTED_VALUE"""),"#VALUE!")</f>
        <v>#VALUE!</v>
      </c>
      <c r="J41" s="51" t="str">
        <f>IFERROR(__xludf.DUMMYFUNCTION("""COMPUTED_VALUE"""),"")</f>
        <v/>
      </c>
      <c r="K41" s="51">
        <f t="shared" si="1"/>
        <v>0</v>
      </c>
      <c r="L41" s="51" t="s">
        <v>257</v>
      </c>
      <c r="M41" s="51"/>
      <c r="N41" s="51"/>
      <c r="O41" s="51"/>
      <c r="P41" s="51"/>
      <c r="Q41" s="51"/>
      <c r="R41" s="51"/>
      <c r="S41" s="51"/>
      <c r="T41" s="51"/>
    </row>
    <row r="42">
      <c r="A42" s="51"/>
      <c r="B42" s="51"/>
      <c r="C42" s="56"/>
      <c r="D42" s="51"/>
      <c r="E42" s="51"/>
      <c r="F42" s="51"/>
      <c r="G42" s="51" t="str">
        <f>IFERROR(__xludf.DUMMYFUNCTION("""COMPUTED_VALUE"""),"#VALUE!")</f>
        <v>#VALUE!</v>
      </c>
      <c r="H42" s="51" t="str">
        <f>IFERROR(__xludf.DUMMYFUNCTION("""COMPUTED_VALUE"""),"")</f>
        <v/>
      </c>
      <c r="I42" s="51" t="str">
        <f>IFERROR(__xludf.DUMMYFUNCTION("""COMPUTED_VALUE"""),"#VALUE!")</f>
        <v>#VALUE!</v>
      </c>
      <c r="J42" s="51" t="str">
        <f>IFERROR(__xludf.DUMMYFUNCTION("""COMPUTED_VALUE"""),"")</f>
        <v/>
      </c>
      <c r="K42" s="51">
        <f t="shared" si="1"/>
        <v>0</v>
      </c>
      <c r="L42" s="51" t="s">
        <v>257</v>
      </c>
      <c r="M42" s="51"/>
      <c r="N42" s="51"/>
      <c r="O42" s="51"/>
      <c r="P42" s="51"/>
      <c r="Q42" s="51"/>
      <c r="R42" s="51"/>
      <c r="S42" s="51"/>
      <c r="T42" s="51"/>
    </row>
    <row r="43">
      <c r="A43" s="51"/>
      <c r="B43" s="51"/>
      <c r="C43" s="56"/>
      <c r="D43" s="51"/>
      <c r="E43" s="51"/>
      <c r="F43" s="51"/>
      <c r="G43" s="51" t="str">
        <f>IFERROR(__xludf.DUMMYFUNCTION("""COMPUTED_VALUE"""),"#VALUE!")</f>
        <v>#VALUE!</v>
      </c>
      <c r="H43" s="51" t="str">
        <f>IFERROR(__xludf.DUMMYFUNCTION("""COMPUTED_VALUE"""),"")</f>
        <v/>
      </c>
      <c r="I43" s="51" t="str">
        <f>IFERROR(__xludf.DUMMYFUNCTION("""COMPUTED_VALUE"""),"#VALUE!")</f>
        <v>#VALUE!</v>
      </c>
      <c r="J43" s="51" t="str">
        <f>IFERROR(__xludf.DUMMYFUNCTION("""COMPUTED_VALUE"""),"")</f>
        <v/>
      </c>
      <c r="K43" s="51">
        <f t="shared" si="1"/>
        <v>0</v>
      </c>
      <c r="L43" s="51" t="s">
        <v>257</v>
      </c>
      <c r="M43" s="51"/>
      <c r="N43" s="51"/>
      <c r="O43" s="51"/>
      <c r="P43" s="51"/>
      <c r="Q43" s="51"/>
      <c r="R43" s="51"/>
      <c r="S43" s="51"/>
      <c r="T43" s="51"/>
    </row>
  </sheetData>
  <conditionalFormatting sqref="O2:O31">
    <cfRule type="containsText" dxfId="4" priority="1" operator="containsText" text="YES">
      <formula>NOT(ISERROR(SEARCH(("YES"),(O2))))</formula>
    </cfRule>
  </conditionalFormatting>
  <conditionalFormatting sqref="O2:O31">
    <cfRule type="cellIs" dxfId="5" priority="2" operator="equal">
      <formula>"NO"</formula>
    </cfRule>
  </conditionalFormatting>
  <conditionalFormatting sqref="P2:Q31">
    <cfRule type="cellIs" dxfId="4" priority="3" operator="equal">
      <formula>"AVAILABLE"</formula>
    </cfRule>
  </conditionalFormatting>
  <conditionalFormatting sqref="P2:Q31">
    <cfRule type="cellIs" dxfId="5" priority="4" operator="equal">
      <formula>"NOT AVAILABLE"</formula>
    </cfRule>
  </conditionalFormatting>
  <conditionalFormatting sqref="Q2:Q31">
    <cfRule type="cellIs" dxfId="4" priority="5" operator="equal">
      <formula>"AVAILABLE"</formula>
    </cfRule>
  </conditionalFormatting>
  <conditionalFormatting sqref="Q2:Q31">
    <cfRule type="cellIs" dxfId="6" priority="6" operator="equal">
      <formula>"UPLOADING"</formula>
    </cfRule>
  </conditionalFormatting>
  <conditionalFormatting sqref="Q2:Q31">
    <cfRule type="cellIs" dxfId="5" priority="7" operator="equal">
      <formula>"NOT AVAILABLE"</formula>
    </cfRule>
  </conditionalFormatting>
  <dataValidations>
    <dataValidation type="list" allowBlank="1" sqref="O2:O31">
      <formula1>"YES,NO"</formula1>
    </dataValidation>
    <dataValidation type="list" allowBlank="1" sqref="P2:P31">
      <formula1>"AVAILABLE,NOT AVAILABLE"</formula1>
    </dataValidation>
    <dataValidation type="list" allowBlank="1" sqref="Q2:Q31">
      <formula1>"AVAILABLE,UPLOADING,NOT AVAILABLE"</formula1>
    </dataValidation>
  </dataValidations>
  <drawing r:id="rId1"/>
  <tableParts count="1">
    <tablePart r:id="rId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3" max="3" width="28.14"/>
    <col hidden="1" min="4" max="5" width="14.43"/>
    <col hidden="1" min="9" max="9" width="14.43"/>
    <col customWidth="1" min="14" max="14" width="34.14"/>
  </cols>
  <sheetData>
    <row r="1">
      <c r="A1" s="47" t="s">
        <v>79</v>
      </c>
      <c r="B1" s="47" t="s">
        <v>80</v>
      </c>
      <c r="C1" s="67" t="s">
        <v>81</v>
      </c>
      <c r="D1" s="47" t="s">
        <v>82</v>
      </c>
      <c r="E1" s="47" t="s">
        <v>83</v>
      </c>
      <c r="F1" s="47" t="s">
        <v>84</v>
      </c>
      <c r="G1" s="47" t="s">
        <v>85</v>
      </c>
      <c r="H1" s="47" t="s">
        <v>86</v>
      </c>
      <c r="I1" s="47" t="s">
        <v>87</v>
      </c>
      <c r="J1" s="47" t="s">
        <v>88</v>
      </c>
      <c r="K1" s="47" t="s">
        <v>89</v>
      </c>
      <c r="L1" s="47" t="s">
        <v>90</v>
      </c>
      <c r="M1" s="46" t="s">
        <v>91</v>
      </c>
      <c r="N1" s="46" t="s">
        <v>92</v>
      </c>
      <c r="O1" s="50" t="s">
        <v>93</v>
      </c>
      <c r="P1" s="50" t="s">
        <v>94</v>
      </c>
      <c r="Q1" s="50" t="s">
        <v>95</v>
      </c>
    </row>
    <row r="2" ht="20.25" customHeight="1">
      <c r="A2" s="70" t="s">
        <v>290</v>
      </c>
      <c r="B2" s="52" t="s">
        <v>24</v>
      </c>
      <c r="C2" s="68" t="s">
        <v>291</v>
      </c>
      <c r="D2" s="71">
        <v>0.3854166666666667</v>
      </c>
      <c r="E2" s="71">
        <v>0.4270833333333333</v>
      </c>
      <c r="G2" s="72">
        <v>43774.0</v>
      </c>
      <c r="H2" s="71">
        <v>0.3854166666666667</v>
      </c>
      <c r="I2" s="72">
        <v>43774.0</v>
      </c>
      <c r="J2" s="71">
        <v>0.4270833333333333</v>
      </c>
      <c r="K2" s="71">
        <v>0.041666666666666664</v>
      </c>
      <c r="L2" s="52">
        <v>10000.0</v>
      </c>
      <c r="M2" s="62" t="s">
        <v>293</v>
      </c>
      <c r="N2" s="62" t="str">
        <f t="shared" ref="N2:N7" si="1">CONCATENATE(M2,"_",F2,"_","000000_000000.mp4")</f>
        <v>P1_5_1__000000_000000.mp4</v>
      </c>
      <c r="O2" s="50"/>
      <c r="P2" s="50"/>
      <c r="Q2" s="63"/>
    </row>
    <row r="3" ht="18.75" customHeight="1">
      <c r="A3" s="52" t="s">
        <v>294</v>
      </c>
      <c r="B3" s="52" t="s">
        <v>24</v>
      </c>
      <c r="C3" s="68" t="s">
        <v>295</v>
      </c>
      <c r="D3" s="71">
        <v>0.4270833333333333</v>
      </c>
      <c r="E3" s="71">
        <v>0.46875</v>
      </c>
      <c r="G3" s="72">
        <v>43774.0</v>
      </c>
      <c r="H3" s="71">
        <v>0.4270833333333333</v>
      </c>
      <c r="I3" s="72">
        <v>43774.0</v>
      </c>
      <c r="J3" s="71">
        <v>0.46875</v>
      </c>
      <c r="K3" s="71">
        <v>0.041666666666666664</v>
      </c>
      <c r="L3" s="52">
        <v>10000.0</v>
      </c>
      <c r="M3" s="62" t="s">
        <v>296</v>
      </c>
      <c r="N3" s="62" t="str">
        <f t="shared" si="1"/>
        <v>P1_5_2__000000_000000.mp4</v>
      </c>
      <c r="O3" s="50"/>
      <c r="P3" s="50"/>
      <c r="Q3" s="63"/>
    </row>
    <row r="4" ht="18.0" customHeight="1">
      <c r="A4" s="52" t="s">
        <v>298</v>
      </c>
      <c r="B4" s="52" t="s">
        <v>24</v>
      </c>
      <c r="C4" s="68" t="s">
        <v>299</v>
      </c>
      <c r="D4" s="71">
        <v>0.46875</v>
      </c>
      <c r="E4" s="71">
        <v>0.5104166666666666</v>
      </c>
      <c r="G4" s="72">
        <v>43774.0</v>
      </c>
      <c r="H4" s="71">
        <v>0.46875</v>
      </c>
      <c r="I4" s="72">
        <v>43774.0</v>
      </c>
      <c r="J4" s="71">
        <v>0.5104166666666666</v>
      </c>
      <c r="K4" s="71">
        <v>0.041666666666666664</v>
      </c>
      <c r="L4" s="52">
        <v>10000.0</v>
      </c>
      <c r="M4" s="62" t="s">
        <v>300</v>
      </c>
      <c r="N4" s="62" t="str">
        <f t="shared" si="1"/>
        <v>P1_5_3__000000_000000.mp4</v>
      </c>
      <c r="O4" s="50"/>
      <c r="P4" s="50"/>
      <c r="Q4" s="63"/>
    </row>
    <row r="5" ht="17.25" customHeight="1">
      <c r="A5" s="52" t="s">
        <v>301</v>
      </c>
      <c r="B5" s="52" t="s">
        <v>24</v>
      </c>
      <c r="C5" s="68" t="s">
        <v>302</v>
      </c>
      <c r="D5" s="71">
        <v>0.5104166666666666</v>
      </c>
      <c r="E5" s="71">
        <v>0.5520833333333334</v>
      </c>
      <c r="G5" s="72">
        <v>43774.0</v>
      </c>
      <c r="H5" s="71">
        <v>0.5104166666666666</v>
      </c>
      <c r="I5" s="72">
        <v>43774.0</v>
      </c>
      <c r="J5" s="71">
        <v>0.5520833333333334</v>
      </c>
      <c r="K5" s="71">
        <v>0.041666666666666664</v>
      </c>
      <c r="L5" s="52">
        <v>10000.0</v>
      </c>
      <c r="M5" s="62" t="s">
        <v>303</v>
      </c>
      <c r="N5" s="62" t="str">
        <f t="shared" si="1"/>
        <v>P1_5_4__000000_000000.mp4</v>
      </c>
      <c r="O5" s="50"/>
      <c r="P5" s="50"/>
      <c r="Q5" s="63"/>
    </row>
    <row r="6" ht="20.25" customHeight="1">
      <c r="A6" s="52" t="s">
        <v>304</v>
      </c>
      <c r="B6" s="52" t="s">
        <v>24</v>
      </c>
      <c r="C6" s="68" t="s">
        <v>305</v>
      </c>
      <c r="D6" s="71">
        <v>0.5833333333333334</v>
      </c>
      <c r="E6" s="71">
        <v>0.625</v>
      </c>
      <c r="G6" s="72">
        <v>43774.0</v>
      </c>
      <c r="H6" s="71">
        <v>0.5833333333333334</v>
      </c>
      <c r="I6" s="72">
        <v>43774.0</v>
      </c>
      <c r="J6" s="71">
        <v>0.625</v>
      </c>
      <c r="K6" s="71">
        <v>0.041666666666666664</v>
      </c>
      <c r="L6" s="52">
        <v>10000.0</v>
      </c>
      <c r="M6" s="62" t="s">
        <v>306</v>
      </c>
      <c r="N6" s="62" t="str">
        <f t="shared" si="1"/>
        <v>P1_5_5__000000_000000.mp4</v>
      </c>
      <c r="O6" s="50"/>
      <c r="P6" s="50"/>
      <c r="Q6" s="63"/>
    </row>
    <row r="7" ht="21.0" customHeight="1">
      <c r="A7" s="73" t="s">
        <v>308</v>
      </c>
      <c r="B7" s="52" t="s">
        <v>24</v>
      </c>
      <c r="C7" s="68" t="s">
        <v>309</v>
      </c>
      <c r="D7" s="71">
        <v>0.625</v>
      </c>
      <c r="E7" s="71">
        <v>0.6666666666666666</v>
      </c>
      <c r="G7" s="72">
        <v>43774.0</v>
      </c>
      <c r="H7" s="71">
        <v>0.625</v>
      </c>
      <c r="I7" s="72">
        <v>43774.0</v>
      </c>
      <c r="J7" s="71">
        <v>0.6666666666666666</v>
      </c>
      <c r="K7" s="71">
        <v>0.041666666666666664</v>
      </c>
      <c r="L7" s="52">
        <v>10000.0</v>
      </c>
      <c r="M7" s="62" t="s">
        <v>310</v>
      </c>
      <c r="N7" s="62" t="str">
        <f t="shared" si="1"/>
        <v>P1_5_6__000000_000000.mp4</v>
      </c>
      <c r="O7" s="50"/>
      <c r="P7" s="50"/>
      <c r="Q7" s="63"/>
    </row>
  </sheetData>
  <conditionalFormatting sqref="O2:O7">
    <cfRule type="containsText" dxfId="4" priority="1" operator="containsText" text="YES">
      <formula>NOT(ISERROR(SEARCH(("YES"),(O2))))</formula>
    </cfRule>
  </conditionalFormatting>
  <conditionalFormatting sqref="O2:O7">
    <cfRule type="cellIs" dxfId="5" priority="2" operator="equal">
      <formula>"NO"</formula>
    </cfRule>
  </conditionalFormatting>
  <conditionalFormatting sqref="P2:P7">
    <cfRule type="cellIs" dxfId="4" priority="3" operator="equal">
      <formula>"AVAILABLE"</formula>
    </cfRule>
  </conditionalFormatting>
  <conditionalFormatting sqref="P2:P7">
    <cfRule type="cellIs" dxfId="5" priority="4" operator="equal">
      <formula>"NOT AVAILABLE"</formula>
    </cfRule>
  </conditionalFormatting>
  <conditionalFormatting sqref="Q2:Q7">
    <cfRule type="cellIs" dxfId="4" priority="5" operator="equal">
      <formula>"AVAILABLE"</formula>
    </cfRule>
  </conditionalFormatting>
  <conditionalFormatting sqref="Q2:Q7">
    <cfRule type="cellIs" dxfId="6" priority="6" operator="equal">
      <formula>"UPLOADING"</formula>
    </cfRule>
  </conditionalFormatting>
  <conditionalFormatting sqref="Q2:Q7">
    <cfRule type="cellIs" dxfId="5" priority="7" operator="equal">
      <formula>"NOT AVAILABLE"</formula>
    </cfRule>
  </conditionalFormatting>
  <dataValidations>
    <dataValidation type="list" allowBlank="1" sqref="O2:O7">
      <formula1>"YES,NO"</formula1>
    </dataValidation>
    <dataValidation type="list" allowBlank="1" sqref="P2:P7">
      <formula1>"AVAILABLE,NOT AVAILABLE"</formula1>
    </dataValidation>
    <dataValidation type="list" allowBlank="1" sqref="Q2:Q7">
      <formula1>"AVAILABLE,UPLOADING,NOT AVAILABLE"</formula1>
    </dataValidation>
  </dataValidations>
  <drawing r:id="rId1"/>
  <tableParts count="1">
    <tablePart r:id="rId3"/>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1" max="1" width="20.57"/>
    <col customWidth="1" min="2" max="2" width="25.0"/>
  </cols>
  <sheetData>
    <row r="1">
      <c r="A1" s="47" t="s">
        <v>79</v>
      </c>
      <c r="B1" s="47" t="s">
        <v>80</v>
      </c>
      <c r="C1" s="47" t="s">
        <v>81</v>
      </c>
      <c r="D1" s="47" t="s">
        <v>82</v>
      </c>
      <c r="E1" s="47" t="s">
        <v>83</v>
      </c>
      <c r="F1" s="47" t="s">
        <v>84</v>
      </c>
      <c r="G1" s="47" t="s">
        <v>85</v>
      </c>
      <c r="H1" s="47" t="s">
        <v>86</v>
      </c>
      <c r="I1" s="47" t="s">
        <v>87</v>
      </c>
      <c r="J1" s="47" t="s">
        <v>88</v>
      </c>
      <c r="K1" s="47" t="s">
        <v>89</v>
      </c>
      <c r="L1" s="47" t="s">
        <v>90</v>
      </c>
      <c r="M1" s="46" t="s">
        <v>91</v>
      </c>
      <c r="N1" s="46" t="s">
        <v>92</v>
      </c>
      <c r="O1" s="50" t="s">
        <v>93</v>
      </c>
      <c r="P1" s="50" t="s">
        <v>94</v>
      </c>
      <c r="Q1" s="50" t="s">
        <v>95</v>
      </c>
    </row>
    <row r="2" ht="18.75" customHeight="1">
      <c r="A2" s="52" t="s">
        <v>315</v>
      </c>
      <c r="B2" s="52" t="s">
        <v>25</v>
      </c>
      <c r="C2" s="4" t="s">
        <v>316</v>
      </c>
      <c r="D2" s="71">
        <v>0.4270833333333333</v>
      </c>
      <c r="E2" s="71">
        <v>0.46875</v>
      </c>
      <c r="G2" s="72">
        <v>43775.0</v>
      </c>
      <c r="H2" s="71">
        <v>0.4270833333333333</v>
      </c>
      <c r="I2" s="72">
        <v>43775.0</v>
      </c>
      <c r="J2" s="71">
        <v>0.46875</v>
      </c>
      <c r="K2" s="71">
        <v>0.041666666666666664</v>
      </c>
      <c r="L2" s="52">
        <v>10000.0</v>
      </c>
      <c r="M2" s="46" t="s">
        <v>317</v>
      </c>
      <c r="N2" s="62" t="s">
        <v>318</v>
      </c>
      <c r="O2" s="74"/>
      <c r="P2" s="74"/>
      <c r="Q2" s="74"/>
    </row>
    <row r="3" ht="14.25" customHeight="1">
      <c r="A3" s="52" t="s">
        <v>315</v>
      </c>
      <c r="B3" s="52" t="s">
        <v>25</v>
      </c>
      <c r="C3" s="4" t="s">
        <v>319</v>
      </c>
      <c r="D3" s="71">
        <v>0.46875</v>
      </c>
      <c r="E3" s="71">
        <v>0.5104166666666666</v>
      </c>
      <c r="G3" s="72">
        <v>43775.0</v>
      </c>
      <c r="H3" s="71">
        <v>0.46875</v>
      </c>
      <c r="I3" s="72">
        <v>43775.0</v>
      </c>
      <c r="J3" s="71">
        <v>0.5104166666666666</v>
      </c>
      <c r="K3" s="71">
        <v>0.041666666666666664</v>
      </c>
      <c r="L3" s="52">
        <v>10000.0</v>
      </c>
      <c r="M3" s="46" t="s">
        <v>320</v>
      </c>
      <c r="N3" s="62" t="str">
        <f t="shared" ref="N3:N6" si="1">CONCATENATE(M3,"_",F3,"_","000000_000000.mp4")</f>
        <v>SS_6_2__000000_000000.mp4</v>
      </c>
    </row>
    <row r="4" ht="12.75" customHeight="1">
      <c r="A4" s="52" t="s">
        <v>315</v>
      </c>
      <c r="B4" s="52" t="s">
        <v>25</v>
      </c>
      <c r="C4" s="4" t="s">
        <v>321</v>
      </c>
      <c r="D4" s="71">
        <v>0.5104166666666666</v>
      </c>
      <c r="E4" s="71">
        <v>0.5520833333333334</v>
      </c>
      <c r="G4" s="72">
        <v>43775.0</v>
      </c>
      <c r="H4" s="71">
        <v>0.5104166666666666</v>
      </c>
      <c r="I4" s="72">
        <v>43775.0</v>
      </c>
      <c r="J4" s="71">
        <v>0.5520833333333334</v>
      </c>
      <c r="K4" s="71">
        <v>0.041666666666666664</v>
      </c>
      <c r="L4" s="52">
        <v>10000.0</v>
      </c>
      <c r="M4" s="46" t="s">
        <v>322</v>
      </c>
      <c r="N4" s="62" t="str">
        <f t="shared" si="1"/>
        <v>SS_6_3__000000_000000.mp4</v>
      </c>
    </row>
    <row r="5">
      <c r="A5" s="52" t="s">
        <v>315</v>
      </c>
      <c r="B5" s="52" t="s">
        <v>25</v>
      </c>
      <c r="C5" s="52" t="s">
        <v>323</v>
      </c>
      <c r="D5" s="71">
        <v>0.59375</v>
      </c>
      <c r="E5" s="71">
        <v>0.6354166666666666</v>
      </c>
      <c r="G5" s="72">
        <v>43775.0</v>
      </c>
      <c r="H5" s="71">
        <v>0.59375</v>
      </c>
      <c r="I5" s="72">
        <v>43775.0</v>
      </c>
      <c r="J5" s="71">
        <v>0.6354166666666666</v>
      </c>
      <c r="K5" s="71">
        <v>0.041666666666666664</v>
      </c>
      <c r="L5" s="52">
        <v>10000.0</v>
      </c>
      <c r="M5" s="46" t="s">
        <v>324</v>
      </c>
      <c r="N5" s="62" t="str">
        <f t="shared" si="1"/>
        <v>SS_6_4__000000_000000.mp4</v>
      </c>
    </row>
    <row r="6">
      <c r="A6" s="52" t="s">
        <v>315</v>
      </c>
      <c r="B6" s="52" t="s">
        <v>25</v>
      </c>
      <c r="C6" s="52" t="s">
        <v>325</v>
      </c>
      <c r="D6" s="71">
        <v>0.6354166666666666</v>
      </c>
      <c r="E6" s="71">
        <v>0.6770833333333334</v>
      </c>
      <c r="G6" s="72">
        <v>43775.0</v>
      </c>
      <c r="H6" s="71">
        <v>0.6354166666666666</v>
      </c>
      <c r="I6" s="72">
        <v>43775.0</v>
      </c>
      <c r="J6" s="71">
        <v>0.6770833333333334</v>
      </c>
      <c r="K6" s="71">
        <v>0.041666666666666664</v>
      </c>
      <c r="L6" s="52">
        <v>10000.0</v>
      </c>
      <c r="M6" s="46" t="s">
        <v>326</v>
      </c>
      <c r="N6" s="62" t="str">
        <f t="shared" si="1"/>
        <v>SS_6_5__000000_000000.mp4</v>
      </c>
    </row>
  </sheetData>
  <drawing r:id="rId1"/>
  <tableParts count="1">
    <tablePart r:id="rId3"/>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3" max="3" width="29.43"/>
    <col hidden="1" min="4" max="5" width="14.43"/>
    <col hidden="1" min="9" max="9" width="14.43"/>
  </cols>
  <sheetData>
    <row r="1">
      <c r="A1" s="47" t="s">
        <v>79</v>
      </c>
      <c r="B1" s="47" t="s">
        <v>80</v>
      </c>
      <c r="C1" s="49" t="s">
        <v>81</v>
      </c>
      <c r="D1" s="47" t="s">
        <v>82</v>
      </c>
      <c r="E1" s="47" t="s">
        <v>83</v>
      </c>
      <c r="F1" s="47" t="s">
        <v>84</v>
      </c>
      <c r="G1" s="47" t="s">
        <v>85</v>
      </c>
      <c r="H1" s="47" t="s">
        <v>86</v>
      </c>
      <c r="I1" s="47" t="s">
        <v>87</v>
      </c>
      <c r="J1" s="47" t="s">
        <v>88</v>
      </c>
      <c r="K1" s="47" t="s">
        <v>89</v>
      </c>
      <c r="L1" s="47" t="s">
        <v>90</v>
      </c>
      <c r="M1" s="46" t="s">
        <v>91</v>
      </c>
      <c r="N1" s="46" t="s">
        <v>92</v>
      </c>
      <c r="O1" s="50" t="s">
        <v>93</v>
      </c>
      <c r="P1" s="50" t="s">
        <v>94</v>
      </c>
      <c r="Q1" s="50" t="s">
        <v>95</v>
      </c>
    </row>
    <row r="2">
      <c r="A2" s="52" t="s">
        <v>327</v>
      </c>
      <c r="B2" s="52" t="s">
        <v>27</v>
      </c>
      <c r="C2" s="53" t="s">
        <v>328</v>
      </c>
      <c r="G2" s="57">
        <v>43776.0</v>
      </c>
      <c r="H2" s="55">
        <v>0.4270833333333333</v>
      </c>
      <c r="J2" s="55">
        <v>0.46875</v>
      </c>
      <c r="K2" s="59">
        <f t="shared" ref="K2:K5" si="1">J2-H2</f>
        <v>0.04166666667</v>
      </c>
      <c r="M2" s="46" t="s">
        <v>329</v>
      </c>
      <c r="N2" s="75" t="str">
        <f t="shared" ref="N2:N5" si="2">CONCATENATE(M2,"_",F2,"_","000000_000000.mp4")</f>
        <v>MD_7_1__000000_000000.mp4</v>
      </c>
      <c r="O2" s="74"/>
      <c r="P2" s="74"/>
      <c r="Q2" s="74"/>
    </row>
    <row r="3">
      <c r="A3" s="52" t="s">
        <v>330</v>
      </c>
      <c r="B3" s="52" t="s">
        <v>27</v>
      </c>
      <c r="C3" s="53" t="s">
        <v>331</v>
      </c>
      <c r="G3" s="57">
        <v>43776.0</v>
      </c>
      <c r="H3" s="55">
        <v>0.46875</v>
      </c>
      <c r="J3" s="55">
        <v>0.5104166666666666</v>
      </c>
      <c r="K3" s="59">
        <f t="shared" si="1"/>
        <v>0.04166666667</v>
      </c>
      <c r="M3" s="46" t="s">
        <v>332</v>
      </c>
      <c r="N3" s="75" t="str">
        <f t="shared" si="2"/>
        <v>MD_7_2__000000_000000.mp4</v>
      </c>
    </row>
    <row r="4">
      <c r="A4" s="52" t="s">
        <v>333</v>
      </c>
      <c r="B4" s="52" t="s">
        <v>27</v>
      </c>
      <c r="C4" s="53" t="s">
        <v>334</v>
      </c>
      <c r="G4" s="57">
        <v>43776.0</v>
      </c>
      <c r="H4" s="55">
        <v>0.5104166666666666</v>
      </c>
      <c r="J4" s="55">
        <v>0.5520833333333334</v>
      </c>
      <c r="K4" s="59">
        <f t="shared" si="1"/>
        <v>0.04166666667</v>
      </c>
      <c r="M4" s="46" t="s">
        <v>335</v>
      </c>
      <c r="N4" s="75" t="str">
        <f t="shared" si="2"/>
        <v>MD_7_3__000000_000000.mp4</v>
      </c>
    </row>
    <row r="5">
      <c r="A5" s="52" t="s">
        <v>336</v>
      </c>
      <c r="B5" s="52" t="s">
        <v>27</v>
      </c>
      <c r="C5" s="53" t="s">
        <v>337</v>
      </c>
      <c r="G5" s="57">
        <v>43776.0</v>
      </c>
      <c r="H5" s="55">
        <v>0.6041666666666666</v>
      </c>
      <c r="J5" s="55">
        <v>0.6354166666666666</v>
      </c>
      <c r="K5" s="59">
        <f t="shared" si="1"/>
        <v>0.03125</v>
      </c>
      <c r="M5" s="46" t="s">
        <v>338</v>
      </c>
      <c r="N5" s="75" t="str">
        <f t="shared" si="2"/>
        <v>MD_7_4__000000_000000.mp4</v>
      </c>
    </row>
  </sheetData>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6.0"/>
    <col customWidth="1" min="3" max="3" width="23.86"/>
    <col hidden="1" min="4" max="5" width="14.43"/>
    <col customWidth="1" min="6" max="6" width="36.86"/>
    <col hidden="1" min="9" max="9" width="14.43"/>
  </cols>
  <sheetData>
    <row r="1">
      <c r="A1" s="46" t="s">
        <v>79</v>
      </c>
      <c r="B1" s="46" t="s">
        <v>80</v>
      </c>
      <c r="C1" s="48" t="s">
        <v>81</v>
      </c>
      <c r="D1" s="46" t="s">
        <v>82</v>
      </c>
      <c r="E1" s="46" t="s">
        <v>83</v>
      </c>
      <c r="F1" s="46" t="s">
        <v>84</v>
      </c>
      <c r="G1" s="46" t="s">
        <v>85</v>
      </c>
      <c r="H1" s="46" t="s">
        <v>86</v>
      </c>
      <c r="I1" s="46" t="s">
        <v>87</v>
      </c>
      <c r="J1" s="46" t="s">
        <v>88</v>
      </c>
      <c r="K1" s="46" t="s">
        <v>89</v>
      </c>
      <c r="L1" s="46" t="s">
        <v>90</v>
      </c>
      <c r="M1" s="46" t="s">
        <v>91</v>
      </c>
      <c r="N1" s="46" t="s">
        <v>92</v>
      </c>
      <c r="O1" s="50" t="s">
        <v>93</v>
      </c>
      <c r="P1" s="50" t="s">
        <v>94</v>
      </c>
      <c r="Q1" s="50" t="s">
        <v>95</v>
      </c>
      <c r="R1" s="51"/>
      <c r="S1" s="51"/>
      <c r="T1" s="51"/>
    </row>
    <row r="2">
      <c r="A2" s="54" t="str">
        <f>IFERROR(__xludf.DUMMYFUNCTION("QUERY(Master!A:H,""SELECT A,C,D,F,G,H where C = 'creatiff' ORDER BY F"")"),"Opening remarks")</f>
        <v>Opening remarks</v>
      </c>
      <c r="B2" s="51" t="str">
        <f>IFERROR(__xludf.DUMMYFUNCTION("""COMPUTED_VALUE"""),"creatiff")</f>
        <v>creatiff</v>
      </c>
      <c r="C2" s="56" t="str">
        <f>IFERROR(__xludf.DUMMYFUNCTION("""COMPUTED_VALUE"""),"Cat How")</f>
        <v>Cat How</v>
      </c>
      <c r="D2" s="51" t="str">
        <f>IFERROR(__xludf.DUMMYFUNCTION("""COMPUTED_VALUE"""),"2019/11/05 11:00:00")</f>
        <v>2019/11/05 11:00:00</v>
      </c>
      <c r="E2" s="51" t="str">
        <f>IFERROR(__xludf.DUMMYFUNCTION("""COMPUTED_VALUE"""),"2019/11/05 11:15:00")</f>
        <v>2019/11/05 11:15:00</v>
      </c>
      <c r="F2" s="51" t="str">
        <f>IFERROR(__xludf.DUMMYFUNCTION("""COMPUTED_VALUE"""),"457f714b-695c-43f3-8226-29f0902597d2")</f>
        <v>457f714b-695c-43f3-8226-29f0902597d2</v>
      </c>
      <c r="G2" s="61">
        <f>IFERROR(__xludf.DUMMYFUNCTION("ARRAYFORMULA(SPLIT(D2:D521,"" ""))"),43774.0)</f>
        <v>43774</v>
      </c>
      <c r="H2" s="60">
        <f>IFERROR(__xludf.DUMMYFUNCTION("""COMPUTED_VALUE"""),0.4583333333333333)</f>
        <v>0.4583333333</v>
      </c>
      <c r="I2" s="61">
        <f>IFERROR(__xludf.DUMMYFUNCTION("ARRAYFORMULA(SPLIT(E2:E521,"" ""))"),43774.0)</f>
        <v>43774</v>
      </c>
      <c r="J2" s="60">
        <f>IFERROR(__xludf.DUMMYFUNCTION("""COMPUTED_VALUE"""),0.46875)</f>
        <v>0.46875</v>
      </c>
      <c r="K2" s="60">
        <f t="shared" ref="K2:K20" si="1">J2-H2</f>
        <v>0.01041666667</v>
      </c>
      <c r="L2" s="54" t="str">
        <f t="array" ref="L2:L521">TEXT(K2:K521,"hhmmss")</f>
        <v>001500</v>
      </c>
      <c r="M2" s="62" t="s">
        <v>339</v>
      </c>
      <c r="N2" s="76" t="str">
        <f t="shared" ref="N2:N15" si="2">CONCATENATE(M2,"_",F2,"_","000000_000000.mp4")</f>
        <v>CT_5_1_457f714b-695c-43f3-8226-29f0902597d2_000000_000000.mp4</v>
      </c>
      <c r="O2" s="50"/>
      <c r="P2" s="50"/>
      <c r="Q2" s="63"/>
      <c r="R2" s="51"/>
      <c r="S2" s="51"/>
      <c r="T2" s="51"/>
    </row>
    <row r="3">
      <c r="A3" s="51" t="str">
        <f>IFERROR(__xludf.DUMMYFUNCTION("""COMPUTED_VALUE"""),"21st century design is for everyone")</f>
        <v>21st century design is for everyone</v>
      </c>
      <c r="B3" s="51" t="str">
        <f>IFERROR(__xludf.DUMMYFUNCTION("""COMPUTED_VALUE"""),"creatiff")</f>
        <v>creatiff</v>
      </c>
      <c r="C3" s="56" t="str">
        <f>IFERROR(__xludf.DUMMYFUNCTION("""COMPUTED_VALUE"""),"Melanie Perkins")</f>
        <v>Melanie Perkins</v>
      </c>
      <c r="D3" s="51" t="str">
        <f>IFERROR(__xludf.DUMMYFUNCTION("""COMPUTED_VALUE"""),"2019/11/05 11:15:00")</f>
        <v>2019/11/05 11:15:00</v>
      </c>
      <c r="E3" s="51" t="str">
        <f>IFERROR(__xludf.DUMMYFUNCTION("""COMPUTED_VALUE"""),"2019/11/05 11:35:00")</f>
        <v>2019/11/05 11:35:00</v>
      </c>
      <c r="F3" s="51" t="str">
        <f>IFERROR(__xludf.DUMMYFUNCTION("""COMPUTED_VALUE"""),"0363dbf3-9a0c-498b-9119-2dd41e3a9148")</f>
        <v>0363dbf3-9a0c-498b-9119-2dd41e3a9148</v>
      </c>
      <c r="G3" s="58">
        <f>IFERROR(__xludf.DUMMYFUNCTION("""COMPUTED_VALUE"""),43774.0)</f>
        <v>43774</v>
      </c>
      <c r="H3" s="60">
        <f>IFERROR(__xludf.DUMMYFUNCTION("""COMPUTED_VALUE"""),0.46875)</f>
        <v>0.46875</v>
      </c>
      <c r="I3" s="58">
        <f>IFERROR(__xludf.DUMMYFUNCTION("""COMPUTED_VALUE"""),43774.0)</f>
        <v>43774</v>
      </c>
      <c r="J3" s="60">
        <f>IFERROR(__xludf.DUMMYFUNCTION("""COMPUTED_VALUE"""),0.4826388888888889)</f>
        <v>0.4826388889</v>
      </c>
      <c r="K3" s="60">
        <f t="shared" si="1"/>
        <v>0.01388888889</v>
      </c>
      <c r="L3" s="51" t="s">
        <v>111</v>
      </c>
      <c r="M3" s="62" t="s">
        <v>340</v>
      </c>
      <c r="N3" s="76" t="str">
        <f t="shared" si="2"/>
        <v>CT_5_2_0363dbf3-9a0c-498b-9119-2dd41e3a9148_000000_000000.mp4</v>
      </c>
      <c r="O3" s="50"/>
      <c r="P3" s="50"/>
      <c r="Q3" s="63"/>
      <c r="R3" s="51"/>
      <c r="S3" s="51"/>
      <c r="T3" s="51"/>
    </row>
    <row r="4">
      <c r="A4" s="51" t="str">
        <f>IFERROR(__xludf.DUMMYFUNCTION("""COMPUTED_VALUE"""),"Data addiction: AI and the future of design")</f>
        <v>Data addiction: AI and the future of design</v>
      </c>
      <c r="B4" s="51" t="str">
        <f>IFERROR(__xludf.DUMMYFUNCTION("""COMPUTED_VALUE"""),"creatiff")</f>
        <v>creatiff</v>
      </c>
      <c r="C4" s="56" t="str">
        <f>IFERROR(__xludf.DUMMYFUNCTION("""COMPUTED_VALUE"""),"Pete Stein, Yali Saar, Zak Normandin and Marcus Fairs")</f>
        <v>Pete Stein, Yali Saar, Zak Normandin and Marcus Fairs</v>
      </c>
      <c r="D4" s="51" t="str">
        <f>IFERROR(__xludf.DUMMYFUNCTION("""COMPUTED_VALUE"""),"2019/11/05 11:35:00")</f>
        <v>2019/11/05 11:35:00</v>
      </c>
      <c r="E4" s="51" t="str">
        <f>IFERROR(__xludf.DUMMYFUNCTION("""COMPUTED_VALUE"""),"2019/11/05 12:00:00")</f>
        <v>2019/11/05 12:00:00</v>
      </c>
      <c r="F4" s="51" t="str">
        <f>IFERROR(__xludf.DUMMYFUNCTION("""COMPUTED_VALUE"""),"ef858518-b75a-4a1d-8fd2-2ae1b889dc6a")</f>
        <v>ef858518-b75a-4a1d-8fd2-2ae1b889dc6a</v>
      </c>
      <c r="G4" s="58">
        <f>IFERROR(__xludf.DUMMYFUNCTION("""COMPUTED_VALUE"""),43774.0)</f>
        <v>43774</v>
      </c>
      <c r="H4" s="60">
        <f>IFERROR(__xludf.DUMMYFUNCTION("""COMPUTED_VALUE"""),0.4826388888888889)</f>
        <v>0.4826388889</v>
      </c>
      <c r="I4" s="58">
        <f>IFERROR(__xludf.DUMMYFUNCTION("""COMPUTED_VALUE"""),43774.0)</f>
        <v>43774</v>
      </c>
      <c r="J4" s="60">
        <f>IFERROR(__xludf.DUMMYFUNCTION("""COMPUTED_VALUE"""),0.5)</f>
        <v>0.5</v>
      </c>
      <c r="K4" s="60">
        <f t="shared" si="1"/>
        <v>0.01736111111</v>
      </c>
      <c r="L4" s="51" t="s">
        <v>107</v>
      </c>
      <c r="M4" s="62" t="s">
        <v>341</v>
      </c>
      <c r="N4" s="76" t="str">
        <f t="shared" si="2"/>
        <v>CT_5_3_ef858518-b75a-4a1d-8fd2-2ae1b889dc6a_000000_000000.mp4</v>
      </c>
      <c r="O4" s="50"/>
      <c r="P4" s="50"/>
      <c r="Q4" s="63"/>
      <c r="R4" s="51"/>
      <c r="S4" s="51"/>
      <c r="T4" s="51"/>
    </row>
    <row r="5">
      <c r="A5" s="51" t="str">
        <f>IFERROR(__xludf.DUMMYFUNCTION("""COMPUTED_VALUE"""),"UI and the future of the customer experience")</f>
        <v>UI and the future of the customer experience</v>
      </c>
      <c r="B5" s="51" t="str">
        <f>IFERROR(__xludf.DUMMYFUNCTION("""COMPUTED_VALUE"""),"creatiff")</f>
        <v>creatiff</v>
      </c>
      <c r="C5" s="56" t="str">
        <f>IFERROR(__xludf.DUMMYFUNCTION("""COMPUTED_VALUE"""),"Olga Madejska, Georg Petschnigg, Hector Ouilhet and Katie Deighton")</f>
        <v>Olga Madejska, Georg Petschnigg, Hector Ouilhet and Katie Deighton</v>
      </c>
      <c r="D5" s="51" t="str">
        <f>IFERROR(__xludf.DUMMYFUNCTION("""COMPUTED_VALUE"""),"2019/11/05 11:55:00")</f>
        <v>2019/11/05 11:55:00</v>
      </c>
      <c r="E5" s="51" t="str">
        <f>IFERROR(__xludf.DUMMYFUNCTION("""COMPUTED_VALUE"""),"2019/11/05 12:20:00")</f>
        <v>2019/11/05 12:20:00</v>
      </c>
      <c r="F5" s="51" t="str">
        <f>IFERROR(__xludf.DUMMYFUNCTION("""COMPUTED_VALUE"""),"58eb2fcd-42b4-4cca-9c6e-24d2309f15e7")</f>
        <v>58eb2fcd-42b4-4cca-9c6e-24d2309f15e7</v>
      </c>
      <c r="G5" s="58">
        <f>IFERROR(__xludf.DUMMYFUNCTION("""COMPUTED_VALUE"""),43774.0)</f>
        <v>43774</v>
      </c>
      <c r="H5" s="60">
        <f>IFERROR(__xludf.DUMMYFUNCTION("""COMPUTED_VALUE"""),0.4965277777777778)</f>
        <v>0.4965277778</v>
      </c>
      <c r="I5" s="58">
        <f>IFERROR(__xludf.DUMMYFUNCTION("""COMPUTED_VALUE"""),43774.0)</f>
        <v>43774</v>
      </c>
      <c r="J5" s="60">
        <f>IFERROR(__xludf.DUMMYFUNCTION("""COMPUTED_VALUE"""),0.5138888888888888)</f>
        <v>0.5138888889</v>
      </c>
      <c r="K5" s="60">
        <f t="shared" si="1"/>
        <v>0.01736111111</v>
      </c>
      <c r="L5" s="51" t="s">
        <v>107</v>
      </c>
      <c r="M5" s="62" t="s">
        <v>343</v>
      </c>
      <c r="N5" s="76" t="str">
        <f t="shared" si="2"/>
        <v>CT_5_4_58eb2fcd-42b4-4cca-9c6e-24d2309f15e7_000000_000000.mp4</v>
      </c>
      <c r="O5" s="50"/>
      <c r="P5" s="50"/>
      <c r="Q5" s="63"/>
      <c r="R5" s="51"/>
      <c r="S5" s="51"/>
      <c r="T5" s="51"/>
    </row>
    <row r="6">
      <c r="A6" s="51" t="str">
        <f>IFERROR(__xludf.DUMMYFUNCTION("""COMPUTED_VALUE"""),"Is design thinking overrated? How Garmin survived disruption")</f>
        <v>Is design thinking overrated? How Garmin survived disruption</v>
      </c>
      <c r="B6" s="51" t="str">
        <f>IFERROR(__xludf.DUMMYFUNCTION("""COMPUTED_VALUE"""),"creatiff")</f>
        <v>creatiff</v>
      </c>
      <c r="C6" s="56" t="str">
        <f>IFERROR(__xludf.DUMMYFUNCTION("""COMPUTED_VALUE"""),"Wai Lee")</f>
        <v>Wai Lee</v>
      </c>
      <c r="D6" s="51" t="str">
        <f>IFERROR(__xludf.DUMMYFUNCTION("""COMPUTED_VALUE"""),"2019/11/05 12:25:00")</f>
        <v>2019/11/05 12:25:00</v>
      </c>
      <c r="E6" s="51" t="str">
        <f>IFERROR(__xludf.DUMMYFUNCTION("""COMPUTED_VALUE"""),"2019/11/05 12:45:00")</f>
        <v>2019/11/05 12:45:00</v>
      </c>
      <c r="F6" s="51" t="str">
        <f>IFERROR(__xludf.DUMMYFUNCTION("""COMPUTED_VALUE"""),"bfc4c186-abd3-475d-b5d7-ed59f92d97d2")</f>
        <v>bfc4c186-abd3-475d-b5d7-ed59f92d97d2</v>
      </c>
      <c r="G6" s="58">
        <f>IFERROR(__xludf.DUMMYFUNCTION("""COMPUTED_VALUE"""),43774.0)</f>
        <v>43774</v>
      </c>
      <c r="H6" s="60">
        <f>IFERROR(__xludf.DUMMYFUNCTION("""COMPUTED_VALUE"""),0.5173611111111112)</f>
        <v>0.5173611111</v>
      </c>
      <c r="I6" s="58">
        <f>IFERROR(__xludf.DUMMYFUNCTION("""COMPUTED_VALUE"""),43774.0)</f>
        <v>43774</v>
      </c>
      <c r="J6" s="60">
        <f>IFERROR(__xludf.DUMMYFUNCTION("""COMPUTED_VALUE"""),0.53125)</f>
        <v>0.53125</v>
      </c>
      <c r="K6" s="60">
        <f t="shared" si="1"/>
        <v>0.01388888889</v>
      </c>
      <c r="L6" s="51" t="s">
        <v>111</v>
      </c>
      <c r="M6" s="62" t="s">
        <v>344</v>
      </c>
      <c r="N6" s="76" t="str">
        <f t="shared" si="2"/>
        <v>CT_5_5_bfc4c186-abd3-475d-b5d7-ed59f92d97d2_000000_000000.mp4</v>
      </c>
      <c r="O6" s="50"/>
      <c r="P6" s="50"/>
      <c r="Q6" s="63"/>
      <c r="R6" s="51"/>
      <c r="S6" s="51"/>
      <c r="T6" s="51"/>
    </row>
    <row r="7">
      <c r="A7" s="51" t="str">
        <f>IFERROR(__xludf.DUMMYFUNCTION("""COMPUTED_VALUE"""),"How does your brand sound?  Fine tuning for voice assistants")</f>
        <v>How does your brand sound?  Fine tuning for voice assistants</v>
      </c>
      <c r="B7" s="51" t="str">
        <f>IFERROR(__xludf.DUMMYFUNCTION("""COMPUTED_VALUE"""),"creatiff")</f>
        <v>creatiff</v>
      </c>
      <c r="C7" s="56" t="str">
        <f>IFERROR(__xludf.DUMMYFUNCTION("""COMPUTED_VALUE"""),"Daniel Leyser")</f>
        <v>Daniel Leyser</v>
      </c>
      <c r="D7" s="51" t="str">
        <f>IFERROR(__xludf.DUMMYFUNCTION("""COMPUTED_VALUE"""),"2019/11/05 12:45:00")</f>
        <v>2019/11/05 12:45:00</v>
      </c>
      <c r="E7" s="51" t="str">
        <f>IFERROR(__xludf.DUMMYFUNCTION("""COMPUTED_VALUE"""),"2019/11/05 13:05:00")</f>
        <v>2019/11/05 13:05:00</v>
      </c>
      <c r="F7" s="51" t="str">
        <f>IFERROR(__xludf.DUMMYFUNCTION("""COMPUTED_VALUE"""),"03ba1bae-c970-4c0a-9b29-aa6dca5b6410")</f>
        <v>03ba1bae-c970-4c0a-9b29-aa6dca5b6410</v>
      </c>
      <c r="G7" s="58">
        <f>IFERROR(__xludf.DUMMYFUNCTION("""COMPUTED_VALUE"""),43774.0)</f>
        <v>43774</v>
      </c>
      <c r="H7" s="60">
        <f>IFERROR(__xludf.DUMMYFUNCTION("""COMPUTED_VALUE"""),0.53125)</f>
        <v>0.53125</v>
      </c>
      <c r="I7" s="58">
        <f>IFERROR(__xludf.DUMMYFUNCTION("""COMPUTED_VALUE"""),43774.0)</f>
        <v>43774</v>
      </c>
      <c r="J7" s="60">
        <f>IFERROR(__xludf.DUMMYFUNCTION("""COMPUTED_VALUE"""),0.5451388888888888)</f>
        <v>0.5451388889</v>
      </c>
      <c r="K7" s="60">
        <f t="shared" si="1"/>
        <v>0.01388888889</v>
      </c>
      <c r="L7" s="51" t="s">
        <v>111</v>
      </c>
      <c r="M7" s="62" t="s">
        <v>346</v>
      </c>
      <c r="N7" s="76" t="str">
        <f t="shared" si="2"/>
        <v>CT_5_6_03ba1bae-c970-4c0a-9b29-aa6dca5b6410_000000_000000.mp4</v>
      </c>
      <c r="O7" s="50"/>
      <c r="P7" s="50"/>
      <c r="Q7" s="63"/>
      <c r="R7" s="51"/>
      <c r="S7" s="51"/>
      <c r="T7" s="51"/>
    </row>
    <row r="8">
      <c r="A8" s="51" t="str">
        <f>IFERROR(__xludf.DUMMYFUNCTION("""COMPUTED_VALUE"""),"Designing the ultimate driving experience")</f>
        <v>Designing the ultimate driving experience</v>
      </c>
      <c r="B8" s="51" t="str">
        <f>IFERROR(__xludf.DUMMYFUNCTION("""COMPUTED_VALUE"""),"creatiff")</f>
        <v>creatiff</v>
      </c>
      <c r="C8" s="56" t="str">
        <f>IFERROR(__xludf.DUMMYFUNCTION("""COMPUTED_VALUE"""),"Halldora von Koenigsegg")</f>
        <v>Halldora von Koenigsegg</v>
      </c>
      <c r="D8" s="51" t="str">
        <f>IFERROR(__xludf.DUMMYFUNCTION("""COMPUTED_VALUE"""),"2019/11/05 13:05:00")</f>
        <v>2019/11/05 13:05:00</v>
      </c>
      <c r="E8" s="51" t="str">
        <f>IFERROR(__xludf.DUMMYFUNCTION("""COMPUTED_VALUE"""),"2019/11/05 13:25:00")</f>
        <v>2019/11/05 13:25:00</v>
      </c>
      <c r="F8" s="51" t="str">
        <f>IFERROR(__xludf.DUMMYFUNCTION("""COMPUTED_VALUE"""),"8741a0b8-dd04-46cf-b991-dd2e7ff8d203")</f>
        <v>8741a0b8-dd04-46cf-b991-dd2e7ff8d203</v>
      </c>
      <c r="G8" s="58">
        <f>IFERROR(__xludf.DUMMYFUNCTION("""COMPUTED_VALUE"""),43774.0)</f>
        <v>43774</v>
      </c>
      <c r="H8" s="60">
        <f>IFERROR(__xludf.DUMMYFUNCTION("""COMPUTED_VALUE"""),0.5451388888888888)</f>
        <v>0.5451388889</v>
      </c>
      <c r="I8" s="58">
        <f>IFERROR(__xludf.DUMMYFUNCTION("""COMPUTED_VALUE"""),43774.0)</f>
        <v>43774</v>
      </c>
      <c r="J8" s="60">
        <f>IFERROR(__xludf.DUMMYFUNCTION("""COMPUTED_VALUE"""),0.5590277777777778)</f>
        <v>0.5590277778</v>
      </c>
      <c r="K8" s="60">
        <f t="shared" si="1"/>
        <v>0.01388888889</v>
      </c>
      <c r="L8" s="51" t="s">
        <v>111</v>
      </c>
      <c r="M8" s="62" t="s">
        <v>347</v>
      </c>
      <c r="N8" s="76" t="str">
        <f t="shared" si="2"/>
        <v>CT_5_7_8741a0b8-dd04-46cf-b991-dd2e7ff8d203_000000_000000.mp4</v>
      </c>
      <c r="O8" s="50"/>
      <c r="P8" s="50"/>
      <c r="Q8" s="63"/>
      <c r="R8" s="51"/>
      <c r="S8" s="51"/>
      <c r="T8" s="51"/>
    </row>
    <row r="9">
      <c r="A9" s="51" t="str">
        <f>IFERROR(__xludf.DUMMYFUNCTION("""COMPUTED_VALUE"""),"Lunch break")</f>
        <v>Lunch break</v>
      </c>
      <c r="B9" s="51" t="str">
        <f>IFERROR(__xludf.DUMMYFUNCTION("""COMPUTED_VALUE"""),"creatiff")</f>
        <v>creatiff</v>
      </c>
      <c r="C9" s="56" t="str">
        <f>IFERROR(__xludf.DUMMYFUNCTION("""COMPUTED_VALUE"""),"")</f>
        <v/>
      </c>
      <c r="D9" s="51" t="str">
        <f>IFERROR(__xludf.DUMMYFUNCTION("""COMPUTED_VALUE"""),"2019/11/05 13:25:00")</f>
        <v>2019/11/05 13:25:00</v>
      </c>
      <c r="E9" s="51" t="str">
        <f>IFERROR(__xludf.DUMMYFUNCTION("""COMPUTED_VALUE"""),"2019/11/05 14:20:00")</f>
        <v>2019/11/05 14:20:00</v>
      </c>
      <c r="F9" s="51" t="str">
        <f>IFERROR(__xludf.DUMMYFUNCTION("""COMPUTED_VALUE"""),"1a0b0cbf-027d-4c1d-a142-ce4ec843bf64")</f>
        <v>1a0b0cbf-027d-4c1d-a142-ce4ec843bf64</v>
      </c>
      <c r="G9" s="58">
        <f>IFERROR(__xludf.DUMMYFUNCTION("""COMPUTED_VALUE"""),43774.0)</f>
        <v>43774</v>
      </c>
      <c r="H9" s="60">
        <f>IFERROR(__xludf.DUMMYFUNCTION("""COMPUTED_VALUE"""),0.5590277777777778)</f>
        <v>0.5590277778</v>
      </c>
      <c r="I9" s="58">
        <f>IFERROR(__xludf.DUMMYFUNCTION("""COMPUTED_VALUE"""),43774.0)</f>
        <v>43774</v>
      </c>
      <c r="J9" s="60">
        <f>IFERROR(__xludf.DUMMYFUNCTION("""COMPUTED_VALUE"""),0.5972222222222222)</f>
        <v>0.5972222222</v>
      </c>
      <c r="K9" s="60">
        <f t="shared" si="1"/>
        <v>0.03819444444</v>
      </c>
      <c r="L9" s="51" t="s">
        <v>349</v>
      </c>
      <c r="M9" s="51"/>
      <c r="N9" s="76" t="str">
        <f t="shared" si="2"/>
        <v>_1a0b0cbf-027d-4c1d-a142-ce4ec843bf64_000000_000000.mp4</v>
      </c>
      <c r="O9" s="50"/>
      <c r="P9" s="50"/>
      <c r="Q9" s="63"/>
      <c r="R9" s="51"/>
      <c r="S9" s="51"/>
      <c r="T9" s="51"/>
    </row>
    <row r="10">
      <c r="A10" s="51" t="str">
        <f>IFERROR(__xludf.DUMMYFUNCTION("""COMPUTED_VALUE"""),"Opening remarks")</f>
        <v>Opening remarks</v>
      </c>
      <c r="B10" s="51" t="str">
        <f>IFERROR(__xludf.DUMMYFUNCTION("""COMPUTED_VALUE"""),"creatiff")</f>
        <v>creatiff</v>
      </c>
      <c r="C10" s="56" t="str">
        <f>IFERROR(__xludf.DUMMYFUNCTION("""COMPUTED_VALUE"""),"Sandra Lopes")</f>
        <v>Sandra Lopes</v>
      </c>
      <c r="D10" s="51" t="str">
        <f>IFERROR(__xludf.DUMMYFUNCTION("""COMPUTED_VALUE"""),"2019/11/05 14:20:00")</f>
        <v>2019/11/05 14:20:00</v>
      </c>
      <c r="E10" s="51" t="str">
        <f>IFERROR(__xludf.DUMMYFUNCTION("""COMPUTED_VALUE"""),"2019/11/05 14:25:00")</f>
        <v>2019/11/05 14:25:00</v>
      </c>
      <c r="F10" s="51" t="str">
        <f>IFERROR(__xludf.DUMMYFUNCTION("""COMPUTED_VALUE"""),"3249c047-573d-44d2-8b55-90cde570f634")</f>
        <v>3249c047-573d-44d2-8b55-90cde570f634</v>
      </c>
      <c r="G10" s="58">
        <f>IFERROR(__xludf.DUMMYFUNCTION("""COMPUTED_VALUE"""),43774.0)</f>
        <v>43774</v>
      </c>
      <c r="H10" s="60">
        <f>IFERROR(__xludf.DUMMYFUNCTION("""COMPUTED_VALUE"""),0.5972222222222222)</f>
        <v>0.5972222222</v>
      </c>
      <c r="I10" s="58">
        <f>IFERROR(__xludf.DUMMYFUNCTION("""COMPUTED_VALUE"""),43774.0)</f>
        <v>43774</v>
      </c>
      <c r="J10" s="60">
        <f>IFERROR(__xludf.DUMMYFUNCTION("""COMPUTED_VALUE"""),0.6006944444444444)</f>
        <v>0.6006944444</v>
      </c>
      <c r="K10" s="60">
        <f t="shared" si="1"/>
        <v>0.003472222222</v>
      </c>
      <c r="L10" s="51" t="s">
        <v>234</v>
      </c>
      <c r="M10" s="62" t="s">
        <v>350</v>
      </c>
      <c r="N10" s="76" t="str">
        <f t="shared" si="2"/>
        <v>CT_5_8_3249c047-573d-44d2-8b55-90cde570f634_000000_000000.mp4</v>
      </c>
      <c r="O10" s="50"/>
      <c r="P10" s="50"/>
      <c r="Q10" s="63"/>
      <c r="R10" s="51"/>
      <c r="S10" s="51"/>
      <c r="T10" s="51"/>
    </row>
    <row r="11">
      <c r="A11" s="51" t="str">
        <f>IFERROR(__xludf.DUMMYFUNCTION("""COMPUTED_VALUE"""),"The commercial value of brand principles in 2019")</f>
        <v>The commercial value of brand principles in 2019</v>
      </c>
      <c r="B11" s="51" t="str">
        <f>IFERROR(__xludf.DUMMYFUNCTION("""COMPUTED_VALUE"""),"creatiff")</f>
        <v>creatiff</v>
      </c>
      <c r="C11" s="56" t="str">
        <f>IFERROR(__xludf.DUMMYFUNCTION("""COMPUTED_VALUE"""),"Sairah Ashman, Fabian Birgfeld, Edwina Dunn and Rog How")</f>
        <v>Sairah Ashman, Fabian Birgfeld, Edwina Dunn and Rog How</v>
      </c>
      <c r="D11" s="51" t="str">
        <f>IFERROR(__xludf.DUMMYFUNCTION("""COMPUTED_VALUE"""),"2019/11/05 14:25:00")</f>
        <v>2019/11/05 14:25:00</v>
      </c>
      <c r="E11" s="51" t="str">
        <f>IFERROR(__xludf.DUMMYFUNCTION("""COMPUTED_VALUE"""),"2019/11/05 14:50:00")</f>
        <v>2019/11/05 14:50:00</v>
      </c>
      <c r="F11" s="51" t="str">
        <f>IFERROR(__xludf.DUMMYFUNCTION("""COMPUTED_VALUE"""),"35134165-554f-4a13-9081-632b2eaf3083")</f>
        <v>35134165-554f-4a13-9081-632b2eaf3083</v>
      </c>
      <c r="G11" s="58">
        <f>IFERROR(__xludf.DUMMYFUNCTION("""COMPUTED_VALUE"""),43774.0)</f>
        <v>43774</v>
      </c>
      <c r="H11" s="60">
        <f>IFERROR(__xludf.DUMMYFUNCTION("""COMPUTED_VALUE"""),0.6006944444444444)</f>
        <v>0.6006944444</v>
      </c>
      <c r="I11" s="58">
        <f>IFERROR(__xludf.DUMMYFUNCTION("""COMPUTED_VALUE"""),43774.0)</f>
        <v>43774</v>
      </c>
      <c r="J11" s="60">
        <f>IFERROR(__xludf.DUMMYFUNCTION("""COMPUTED_VALUE"""),0.6180555555555556)</f>
        <v>0.6180555556</v>
      </c>
      <c r="K11" s="60">
        <f t="shared" si="1"/>
        <v>0.01736111111</v>
      </c>
      <c r="L11" s="51" t="s">
        <v>107</v>
      </c>
      <c r="M11" s="62" t="s">
        <v>352</v>
      </c>
      <c r="N11" s="76" t="str">
        <f t="shared" si="2"/>
        <v>CT_5_9_35134165-554f-4a13-9081-632b2eaf3083_000000_000000.mp4</v>
      </c>
      <c r="O11" s="50"/>
      <c r="P11" s="50"/>
      <c r="Q11" s="63"/>
      <c r="R11" s="51"/>
      <c r="S11" s="51"/>
      <c r="T11" s="51"/>
    </row>
    <row r="12">
      <c r="A12" s="51" t="str">
        <f>IFERROR(__xludf.DUMMYFUNCTION("""COMPUTED_VALUE"""),"Friend or foe? Technology and the future of animation")</f>
        <v>Friend or foe? Technology and the future of animation</v>
      </c>
      <c r="B12" s="51" t="str">
        <f>IFERROR(__xludf.DUMMYFUNCTION("""COMPUTED_VALUE"""),"creatiff")</f>
        <v>creatiff</v>
      </c>
      <c r="C12" s="56" t="str">
        <f>IFERROR(__xludf.DUMMYFUNCTION("""COMPUTED_VALUE"""),"Darragh O'Connell, Sarah Fell, Mike McGee and Rob Schwartz")</f>
        <v>Darragh O'Connell, Sarah Fell, Mike McGee and Rob Schwartz</v>
      </c>
      <c r="D12" s="51" t="str">
        <f>IFERROR(__xludf.DUMMYFUNCTION("""COMPUTED_VALUE"""),"2019/11/05 14:50:00")</f>
        <v>2019/11/05 14:50:00</v>
      </c>
      <c r="E12" s="51" t="str">
        <f>IFERROR(__xludf.DUMMYFUNCTION("""COMPUTED_VALUE"""),"2019/11/05 15:15:00")</f>
        <v>2019/11/05 15:15:00</v>
      </c>
      <c r="F12" s="51" t="str">
        <f>IFERROR(__xludf.DUMMYFUNCTION("""COMPUTED_VALUE"""),"94dc0e43-42c9-4685-bcaf-fa1ed2cb29b8")</f>
        <v>94dc0e43-42c9-4685-bcaf-fa1ed2cb29b8</v>
      </c>
      <c r="G12" s="58">
        <f>IFERROR(__xludf.DUMMYFUNCTION("""COMPUTED_VALUE"""),43774.0)</f>
        <v>43774</v>
      </c>
      <c r="H12" s="60">
        <f>IFERROR(__xludf.DUMMYFUNCTION("""COMPUTED_VALUE"""),0.6180555555555556)</f>
        <v>0.6180555556</v>
      </c>
      <c r="I12" s="58">
        <f>IFERROR(__xludf.DUMMYFUNCTION("""COMPUTED_VALUE"""),43774.0)</f>
        <v>43774</v>
      </c>
      <c r="J12" s="60">
        <f>IFERROR(__xludf.DUMMYFUNCTION("""COMPUTED_VALUE"""),0.6354166666666666)</f>
        <v>0.6354166667</v>
      </c>
      <c r="K12" s="60">
        <f t="shared" si="1"/>
        <v>0.01736111111</v>
      </c>
      <c r="L12" s="51" t="s">
        <v>107</v>
      </c>
      <c r="M12" s="62" t="s">
        <v>354</v>
      </c>
      <c r="N12" s="76" t="str">
        <f t="shared" si="2"/>
        <v>CT_5_10_94dc0e43-42c9-4685-bcaf-fa1ed2cb29b8_000000_000000.mp4</v>
      </c>
      <c r="O12" s="50"/>
      <c r="P12" s="50"/>
      <c r="Q12" s="63"/>
      <c r="R12" s="51"/>
      <c r="S12" s="51"/>
      <c r="T12" s="51"/>
    </row>
    <row r="13">
      <c r="A13" s="51" t="str">
        <f>IFERROR(__xludf.DUMMYFUNCTION("""COMPUTED_VALUE"""),"Design without borders: The future of globalisation and the industry")</f>
        <v>Design without borders: The future of globalisation and the industry</v>
      </c>
      <c r="B13" s="51" t="str">
        <f>IFERROR(__xludf.DUMMYFUNCTION("""COMPUTED_VALUE"""),"creatiff")</f>
        <v>creatiff</v>
      </c>
      <c r="C13" s="56" t="str">
        <f>IFERROR(__xludf.DUMMYFUNCTION("""COMPUTED_VALUE"""),"Patrick Llewellyn, Rosanne Somerson, Tim Kobe, Charlie Smith and Erika Allen")</f>
        <v>Patrick Llewellyn, Rosanne Somerson, Tim Kobe, Charlie Smith and Erika Allen</v>
      </c>
      <c r="D13" s="51" t="str">
        <f>IFERROR(__xludf.DUMMYFUNCTION("""COMPUTED_VALUE"""),"2019/11/05 15:15:00")</f>
        <v>2019/11/05 15:15:00</v>
      </c>
      <c r="E13" s="51" t="str">
        <f>IFERROR(__xludf.DUMMYFUNCTION("""COMPUTED_VALUE"""),"2019/11/05 15:40:00")</f>
        <v>2019/11/05 15:40:00</v>
      </c>
      <c r="F13" s="51" t="str">
        <f>IFERROR(__xludf.DUMMYFUNCTION("""COMPUTED_VALUE"""),"2d100e0d-79ae-4018-aea8-ce7b4f8967bf")</f>
        <v>2d100e0d-79ae-4018-aea8-ce7b4f8967bf</v>
      </c>
      <c r="G13" s="58">
        <f>IFERROR(__xludf.DUMMYFUNCTION("""COMPUTED_VALUE"""),43774.0)</f>
        <v>43774</v>
      </c>
      <c r="H13" s="60">
        <f>IFERROR(__xludf.DUMMYFUNCTION("""COMPUTED_VALUE"""),0.6354166666666666)</f>
        <v>0.6354166667</v>
      </c>
      <c r="I13" s="58">
        <f>IFERROR(__xludf.DUMMYFUNCTION("""COMPUTED_VALUE"""),43774.0)</f>
        <v>43774</v>
      </c>
      <c r="J13" s="60">
        <f>IFERROR(__xludf.DUMMYFUNCTION("""COMPUTED_VALUE"""),0.6527777777777778)</f>
        <v>0.6527777778</v>
      </c>
      <c r="K13" s="60">
        <f t="shared" si="1"/>
        <v>0.01736111111</v>
      </c>
      <c r="L13" s="51" t="s">
        <v>107</v>
      </c>
      <c r="M13" s="62" t="s">
        <v>355</v>
      </c>
      <c r="N13" s="76" t="str">
        <f t="shared" si="2"/>
        <v>CT_5_11_2d100e0d-79ae-4018-aea8-ce7b4f8967bf_000000_000000.mp4</v>
      </c>
      <c r="O13" s="50"/>
      <c r="P13" s="50"/>
      <c r="Q13" s="63"/>
      <c r="R13" s="51"/>
      <c r="S13" s="51"/>
      <c r="T13" s="51"/>
    </row>
    <row r="14">
      <c r="A14" s="51" t="str">
        <f>IFERROR(__xludf.DUMMYFUNCTION("""COMPUTED_VALUE"""),"Key lessons from the art of the successful rebrand")</f>
        <v>Key lessons from the art of the successful rebrand</v>
      </c>
      <c r="B14" s="51" t="str">
        <f>IFERROR(__xludf.DUMMYFUNCTION("""COMPUTED_VALUE"""),"creatiff")</f>
        <v>creatiff</v>
      </c>
      <c r="C14" s="56" t="str">
        <f>IFERROR(__xludf.DUMMYFUNCTION("""COMPUTED_VALUE"""),"Margaret Molloy, Tom Klein, Paul Stafford and Charlie Wood")</f>
        <v>Margaret Molloy, Tom Klein, Paul Stafford and Charlie Wood</v>
      </c>
      <c r="D14" s="51" t="str">
        <f>IFERROR(__xludf.DUMMYFUNCTION("""COMPUTED_VALUE"""),"2019/11/05 15:40:00")</f>
        <v>2019/11/05 15:40:00</v>
      </c>
      <c r="E14" s="51" t="str">
        <f>IFERROR(__xludf.DUMMYFUNCTION("""COMPUTED_VALUE"""),"2019/11/05 16:05:00")</f>
        <v>2019/11/05 16:05:00</v>
      </c>
      <c r="F14" s="51" t="str">
        <f>IFERROR(__xludf.DUMMYFUNCTION("""COMPUTED_VALUE"""),"0576748e-f5be-424c-bd28-d0622dfe0af3")</f>
        <v>0576748e-f5be-424c-bd28-d0622dfe0af3</v>
      </c>
      <c r="G14" s="58">
        <f>IFERROR(__xludf.DUMMYFUNCTION("""COMPUTED_VALUE"""),43774.0)</f>
        <v>43774</v>
      </c>
      <c r="H14" s="60">
        <f>IFERROR(__xludf.DUMMYFUNCTION("""COMPUTED_VALUE"""),0.6527777777777778)</f>
        <v>0.6527777778</v>
      </c>
      <c r="I14" s="58">
        <f>IFERROR(__xludf.DUMMYFUNCTION("""COMPUTED_VALUE"""),43774.0)</f>
        <v>43774</v>
      </c>
      <c r="J14" s="60">
        <f>IFERROR(__xludf.DUMMYFUNCTION("""COMPUTED_VALUE"""),0.6701388888888888)</f>
        <v>0.6701388889</v>
      </c>
      <c r="K14" s="60">
        <f t="shared" si="1"/>
        <v>0.01736111111</v>
      </c>
      <c r="L14" s="51" t="s">
        <v>107</v>
      </c>
      <c r="M14" s="62" t="s">
        <v>357</v>
      </c>
      <c r="N14" s="76" t="str">
        <f t="shared" si="2"/>
        <v>CT_5_12_0576748e-f5be-424c-bd28-d0622dfe0af3_000000_000000.mp4</v>
      </c>
      <c r="O14" s="50"/>
      <c r="P14" s="50"/>
      <c r="Q14" s="63"/>
      <c r="R14" s="51"/>
      <c r="S14" s="51"/>
      <c r="T14" s="51"/>
    </row>
    <row r="15">
      <c r="A15" s="51" t="str">
        <f>IFERROR(__xludf.DUMMYFUNCTION("""COMPUTED_VALUE"""),"Why the future belongs only to the imaginative")</f>
        <v>Why the future belongs only to the imaginative</v>
      </c>
      <c r="B15" s="51" t="str">
        <f>IFERROR(__xludf.DUMMYFUNCTION("""COMPUTED_VALUE"""),"creatiff")</f>
        <v>creatiff</v>
      </c>
      <c r="C15" s="56" t="str">
        <f>IFERROR(__xludf.DUMMYFUNCTION("""COMPUTED_VALUE"""),"Brian Collins")</f>
        <v>Brian Collins</v>
      </c>
      <c r="D15" s="51" t="str">
        <f>IFERROR(__xludf.DUMMYFUNCTION("""COMPUTED_VALUE"""),"2019/11/05 16:05:00")</f>
        <v>2019/11/05 16:05:00</v>
      </c>
      <c r="E15" s="51" t="str">
        <f>IFERROR(__xludf.DUMMYFUNCTION("""COMPUTED_VALUE"""),"2019/11/05 16:30:00")</f>
        <v>2019/11/05 16:30:00</v>
      </c>
      <c r="F15" s="51" t="str">
        <f>IFERROR(__xludf.DUMMYFUNCTION("""COMPUTED_VALUE"""),"c1eaafe1-5956-448c-8cca-bb3dcaeb4f79")</f>
        <v>c1eaafe1-5956-448c-8cca-bb3dcaeb4f79</v>
      </c>
      <c r="G15" s="58">
        <f>IFERROR(__xludf.DUMMYFUNCTION("""COMPUTED_VALUE"""),43774.0)</f>
        <v>43774</v>
      </c>
      <c r="H15" s="60">
        <f>IFERROR(__xludf.DUMMYFUNCTION("""COMPUTED_VALUE"""),0.6701388888888888)</f>
        <v>0.6701388889</v>
      </c>
      <c r="I15" s="58">
        <f>IFERROR(__xludf.DUMMYFUNCTION("""COMPUTED_VALUE"""),43774.0)</f>
        <v>43774</v>
      </c>
      <c r="J15" s="60">
        <f>IFERROR(__xludf.DUMMYFUNCTION("""COMPUTED_VALUE"""),0.6875)</f>
        <v>0.6875</v>
      </c>
      <c r="K15" s="60">
        <f t="shared" si="1"/>
        <v>0.01736111111</v>
      </c>
      <c r="L15" s="51" t="s">
        <v>107</v>
      </c>
      <c r="M15" s="62" t="s">
        <v>358</v>
      </c>
      <c r="N15" s="76" t="str">
        <f t="shared" si="2"/>
        <v>CT_5_13_c1eaafe1-5956-448c-8cca-bb3dcaeb4f79_000000_000000.mp4</v>
      </c>
      <c r="O15" s="50"/>
      <c r="P15" s="50"/>
      <c r="Q15" s="63"/>
      <c r="R15" s="51"/>
      <c r="S15" s="51"/>
      <c r="T15" s="51"/>
    </row>
    <row r="16">
      <c r="A16" s="51"/>
      <c r="B16" s="51"/>
      <c r="C16" s="56"/>
      <c r="D16" s="51"/>
      <c r="E16" s="51"/>
      <c r="F16" s="51"/>
      <c r="G16" s="51" t="str">
        <f>IFERROR(__xludf.DUMMYFUNCTION("""COMPUTED_VALUE"""),"#VALUE!")</f>
        <v>#VALUE!</v>
      </c>
      <c r="H16" s="51" t="str">
        <f>IFERROR(__xludf.DUMMYFUNCTION("""COMPUTED_VALUE"""),"")</f>
        <v/>
      </c>
      <c r="I16" s="51" t="str">
        <f>IFERROR(__xludf.DUMMYFUNCTION("""COMPUTED_VALUE"""),"#VALUE!")</f>
        <v>#VALUE!</v>
      </c>
      <c r="J16" s="51" t="str">
        <f>IFERROR(__xludf.DUMMYFUNCTION("""COMPUTED_VALUE"""),"")</f>
        <v/>
      </c>
      <c r="K16" s="51">
        <f t="shared" si="1"/>
        <v>0</v>
      </c>
      <c r="L16" s="51" t="s">
        <v>257</v>
      </c>
      <c r="M16" s="51"/>
      <c r="N16" s="51"/>
      <c r="O16" s="51"/>
      <c r="P16" s="51"/>
      <c r="Q16" s="51"/>
      <c r="R16" s="51"/>
      <c r="S16" s="51"/>
      <c r="T16" s="51"/>
    </row>
    <row r="17">
      <c r="A17" s="51"/>
      <c r="B17" s="51"/>
      <c r="C17" s="56"/>
      <c r="D17" s="51"/>
      <c r="E17" s="51"/>
      <c r="F17" s="51"/>
      <c r="G17" s="51" t="str">
        <f>IFERROR(__xludf.DUMMYFUNCTION("""COMPUTED_VALUE"""),"#VALUE!")</f>
        <v>#VALUE!</v>
      </c>
      <c r="H17" s="51" t="str">
        <f>IFERROR(__xludf.DUMMYFUNCTION("""COMPUTED_VALUE"""),"")</f>
        <v/>
      </c>
      <c r="I17" s="51" t="str">
        <f>IFERROR(__xludf.DUMMYFUNCTION("""COMPUTED_VALUE"""),"#VALUE!")</f>
        <v>#VALUE!</v>
      </c>
      <c r="J17" s="51" t="str">
        <f>IFERROR(__xludf.DUMMYFUNCTION("""COMPUTED_VALUE"""),"")</f>
        <v/>
      </c>
      <c r="K17" s="51">
        <f t="shared" si="1"/>
        <v>0</v>
      </c>
      <c r="L17" s="51" t="s">
        <v>257</v>
      </c>
      <c r="M17" s="51"/>
      <c r="N17" s="51"/>
      <c r="O17" s="51"/>
      <c r="P17" s="51"/>
      <c r="Q17" s="51"/>
      <c r="R17" s="51"/>
      <c r="S17" s="51"/>
      <c r="T17" s="51"/>
    </row>
    <row r="18">
      <c r="A18" s="51"/>
      <c r="B18" s="51"/>
      <c r="C18" s="56"/>
      <c r="D18" s="51"/>
      <c r="E18" s="51"/>
      <c r="F18" s="51"/>
      <c r="G18" s="51" t="str">
        <f>IFERROR(__xludf.DUMMYFUNCTION("""COMPUTED_VALUE"""),"#VALUE!")</f>
        <v>#VALUE!</v>
      </c>
      <c r="H18" s="51" t="str">
        <f>IFERROR(__xludf.DUMMYFUNCTION("""COMPUTED_VALUE"""),"")</f>
        <v/>
      </c>
      <c r="I18" s="51" t="str">
        <f>IFERROR(__xludf.DUMMYFUNCTION("""COMPUTED_VALUE"""),"#VALUE!")</f>
        <v>#VALUE!</v>
      </c>
      <c r="J18" s="51" t="str">
        <f>IFERROR(__xludf.DUMMYFUNCTION("""COMPUTED_VALUE"""),"")</f>
        <v/>
      </c>
      <c r="K18" s="51">
        <f t="shared" si="1"/>
        <v>0</v>
      </c>
      <c r="L18" s="51" t="s">
        <v>257</v>
      </c>
      <c r="M18" s="51"/>
      <c r="N18" s="51"/>
      <c r="O18" s="51"/>
      <c r="P18" s="51"/>
      <c r="Q18" s="51"/>
      <c r="R18" s="51"/>
      <c r="S18" s="51"/>
      <c r="T18" s="51"/>
    </row>
    <row r="19">
      <c r="A19" s="51"/>
      <c r="B19" s="51"/>
      <c r="C19" s="56"/>
      <c r="D19" s="51"/>
      <c r="E19" s="51"/>
      <c r="F19" s="51"/>
      <c r="G19" s="51" t="str">
        <f>IFERROR(__xludf.DUMMYFUNCTION("""COMPUTED_VALUE"""),"#VALUE!")</f>
        <v>#VALUE!</v>
      </c>
      <c r="H19" s="51" t="str">
        <f>IFERROR(__xludf.DUMMYFUNCTION("""COMPUTED_VALUE"""),"")</f>
        <v/>
      </c>
      <c r="I19" s="51" t="str">
        <f>IFERROR(__xludf.DUMMYFUNCTION("""COMPUTED_VALUE"""),"#VALUE!")</f>
        <v>#VALUE!</v>
      </c>
      <c r="J19" s="51" t="str">
        <f>IFERROR(__xludf.DUMMYFUNCTION("""COMPUTED_VALUE"""),"")</f>
        <v/>
      </c>
      <c r="K19" s="51">
        <f t="shared" si="1"/>
        <v>0</v>
      </c>
      <c r="L19" s="51" t="s">
        <v>257</v>
      </c>
      <c r="M19" s="51"/>
      <c r="N19" s="51"/>
      <c r="O19" s="51"/>
      <c r="P19" s="51"/>
      <c r="Q19" s="51"/>
      <c r="R19" s="51"/>
      <c r="S19" s="51"/>
      <c r="T19" s="51"/>
    </row>
    <row r="20">
      <c r="A20" s="51"/>
      <c r="B20" s="51"/>
      <c r="C20" s="56"/>
      <c r="D20" s="51"/>
      <c r="E20" s="51"/>
      <c r="F20" s="51"/>
      <c r="G20" s="51" t="str">
        <f>IFERROR(__xludf.DUMMYFUNCTION("""COMPUTED_VALUE"""),"#VALUE!")</f>
        <v>#VALUE!</v>
      </c>
      <c r="H20" s="51" t="str">
        <f>IFERROR(__xludf.DUMMYFUNCTION("""COMPUTED_VALUE"""),"")</f>
        <v/>
      </c>
      <c r="I20" s="51" t="str">
        <f>IFERROR(__xludf.DUMMYFUNCTION("""COMPUTED_VALUE"""),"#VALUE!")</f>
        <v>#VALUE!</v>
      </c>
      <c r="J20" s="51" t="str">
        <f>IFERROR(__xludf.DUMMYFUNCTION("""COMPUTED_VALUE"""),"")</f>
        <v/>
      </c>
      <c r="K20" s="51">
        <f t="shared" si="1"/>
        <v>0</v>
      </c>
      <c r="L20" s="51" t="s">
        <v>257</v>
      </c>
      <c r="M20" s="51"/>
      <c r="N20" s="51"/>
      <c r="O20" s="51"/>
      <c r="P20" s="51"/>
      <c r="Q20" s="51"/>
      <c r="R20" s="51"/>
      <c r="S20" s="51"/>
      <c r="T20" s="51"/>
    </row>
    <row r="21">
      <c r="A21" s="51"/>
      <c r="B21" s="51"/>
      <c r="C21" s="56"/>
      <c r="D21" s="51"/>
      <c r="E21" s="51"/>
      <c r="F21" s="51"/>
      <c r="G21" s="51" t="str">
        <f>IFERROR(__xludf.DUMMYFUNCTION("""COMPUTED_VALUE"""),"#VALUE!")</f>
        <v>#VALUE!</v>
      </c>
      <c r="H21" s="51" t="str">
        <f>IFERROR(__xludf.DUMMYFUNCTION("""COMPUTED_VALUE"""),"")</f>
        <v/>
      </c>
      <c r="I21" s="51" t="str">
        <f>IFERROR(__xludf.DUMMYFUNCTION("""COMPUTED_VALUE"""),"#VALUE!")</f>
        <v>#VALUE!</v>
      </c>
      <c r="J21" s="51" t="str">
        <f>IFERROR(__xludf.DUMMYFUNCTION("""COMPUTED_VALUE"""),"")</f>
        <v/>
      </c>
      <c r="K21" s="51"/>
      <c r="L21" s="51" t="s">
        <v>257</v>
      </c>
      <c r="M21" s="51"/>
      <c r="N21" s="51"/>
      <c r="O21" s="51"/>
      <c r="P21" s="51"/>
      <c r="Q21" s="51"/>
      <c r="R21" s="51"/>
      <c r="S21" s="51"/>
      <c r="T21" s="51"/>
    </row>
    <row r="22">
      <c r="A22" s="51"/>
      <c r="B22" s="51"/>
      <c r="C22" s="56"/>
      <c r="D22" s="51"/>
      <c r="E22" s="51"/>
      <c r="F22" s="51"/>
      <c r="G22" s="51" t="str">
        <f>IFERROR(__xludf.DUMMYFUNCTION("""COMPUTED_VALUE"""),"#VALUE!")</f>
        <v>#VALUE!</v>
      </c>
      <c r="H22" s="51" t="str">
        <f>IFERROR(__xludf.DUMMYFUNCTION("""COMPUTED_VALUE"""),"")</f>
        <v/>
      </c>
      <c r="I22" s="51" t="str">
        <f>IFERROR(__xludf.DUMMYFUNCTION("""COMPUTED_VALUE"""),"#VALUE!")</f>
        <v>#VALUE!</v>
      </c>
      <c r="J22" s="51" t="str">
        <f>IFERROR(__xludf.DUMMYFUNCTION("""COMPUTED_VALUE"""),"")</f>
        <v/>
      </c>
      <c r="K22" s="51"/>
      <c r="L22" s="51" t="s">
        <v>257</v>
      </c>
      <c r="M22" s="51"/>
      <c r="N22" s="51"/>
      <c r="O22" s="51"/>
      <c r="P22" s="51"/>
      <c r="Q22" s="51"/>
      <c r="R22" s="51"/>
      <c r="S22" s="51"/>
      <c r="T22" s="51"/>
    </row>
    <row r="23">
      <c r="A23" s="51"/>
      <c r="B23" s="51"/>
      <c r="C23" s="56"/>
      <c r="D23" s="51"/>
      <c r="E23" s="51"/>
      <c r="F23" s="51"/>
      <c r="G23" s="51" t="str">
        <f>IFERROR(__xludf.DUMMYFUNCTION("""COMPUTED_VALUE"""),"#VALUE!")</f>
        <v>#VALUE!</v>
      </c>
      <c r="H23" s="51" t="str">
        <f>IFERROR(__xludf.DUMMYFUNCTION("""COMPUTED_VALUE"""),"")</f>
        <v/>
      </c>
      <c r="I23" s="51" t="str">
        <f>IFERROR(__xludf.DUMMYFUNCTION("""COMPUTED_VALUE"""),"#VALUE!")</f>
        <v>#VALUE!</v>
      </c>
      <c r="J23" s="51" t="str">
        <f>IFERROR(__xludf.DUMMYFUNCTION("""COMPUTED_VALUE"""),"")</f>
        <v/>
      </c>
      <c r="K23" s="51"/>
      <c r="L23" s="51" t="s">
        <v>257</v>
      </c>
      <c r="M23" s="51"/>
      <c r="N23" s="51"/>
      <c r="O23" s="51"/>
      <c r="P23" s="51"/>
      <c r="Q23" s="51"/>
      <c r="R23" s="51"/>
      <c r="S23" s="51"/>
      <c r="T23" s="51"/>
    </row>
    <row r="24">
      <c r="A24" s="51"/>
      <c r="B24" s="51"/>
      <c r="C24" s="56"/>
      <c r="D24" s="51"/>
      <c r="E24" s="51"/>
      <c r="F24" s="51"/>
      <c r="G24" s="51" t="str">
        <f>IFERROR(__xludf.DUMMYFUNCTION("""COMPUTED_VALUE"""),"#VALUE!")</f>
        <v>#VALUE!</v>
      </c>
      <c r="H24" s="51" t="str">
        <f>IFERROR(__xludf.DUMMYFUNCTION("""COMPUTED_VALUE"""),"")</f>
        <v/>
      </c>
      <c r="I24" s="51" t="str">
        <f>IFERROR(__xludf.DUMMYFUNCTION("""COMPUTED_VALUE"""),"#VALUE!")</f>
        <v>#VALUE!</v>
      </c>
      <c r="J24" s="51" t="str">
        <f>IFERROR(__xludf.DUMMYFUNCTION("""COMPUTED_VALUE"""),"")</f>
        <v/>
      </c>
      <c r="K24" s="51"/>
      <c r="L24" s="51" t="s">
        <v>257</v>
      </c>
      <c r="M24" s="51"/>
      <c r="N24" s="51"/>
      <c r="O24" s="51"/>
      <c r="P24" s="51"/>
      <c r="Q24" s="51"/>
      <c r="R24" s="51"/>
      <c r="S24" s="51"/>
      <c r="T24" s="51"/>
    </row>
    <row r="25">
      <c r="A25" s="51"/>
      <c r="B25" s="51"/>
      <c r="C25" s="56"/>
      <c r="D25" s="51"/>
      <c r="E25" s="51"/>
      <c r="F25" s="51"/>
      <c r="G25" s="51" t="str">
        <f>IFERROR(__xludf.DUMMYFUNCTION("""COMPUTED_VALUE"""),"#VALUE!")</f>
        <v>#VALUE!</v>
      </c>
      <c r="H25" s="51" t="str">
        <f>IFERROR(__xludf.DUMMYFUNCTION("""COMPUTED_VALUE"""),"")</f>
        <v/>
      </c>
      <c r="I25" s="51" t="str">
        <f>IFERROR(__xludf.DUMMYFUNCTION("""COMPUTED_VALUE"""),"#VALUE!")</f>
        <v>#VALUE!</v>
      </c>
      <c r="J25" s="51" t="str">
        <f>IFERROR(__xludf.DUMMYFUNCTION("""COMPUTED_VALUE"""),"")</f>
        <v/>
      </c>
      <c r="K25" s="51"/>
      <c r="L25" s="51" t="s">
        <v>257</v>
      </c>
      <c r="M25" s="51"/>
      <c r="N25" s="51"/>
      <c r="O25" s="51"/>
      <c r="P25" s="51"/>
      <c r="Q25" s="51"/>
      <c r="R25" s="51"/>
      <c r="S25" s="51"/>
      <c r="T25" s="51"/>
    </row>
    <row r="26">
      <c r="A26" s="51"/>
      <c r="B26" s="51"/>
      <c r="C26" s="56"/>
      <c r="D26" s="51"/>
      <c r="E26" s="51"/>
      <c r="F26" s="51"/>
      <c r="G26" s="51" t="str">
        <f>IFERROR(__xludf.DUMMYFUNCTION("""COMPUTED_VALUE"""),"#VALUE!")</f>
        <v>#VALUE!</v>
      </c>
      <c r="H26" s="51" t="str">
        <f>IFERROR(__xludf.DUMMYFUNCTION("""COMPUTED_VALUE"""),"")</f>
        <v/>
      </c>
      <c r="I26" s="51" t="str">
        <f>IFERROR(__xludf.DUMMYFUNCTION("""COMPUTED_VALUE"""),"#VALUE!")</f>
        <v>#VALUE!</v>
      </c>
      <c r="J26" s="51" t="str">
        <f>IFERROR(__xludf.DUMMYFUNCTION("""COMPUTED_VALUE"""),"")</f>
        <v/>
      </c>
      <c r="K26" s="51"/>
      <c r="L26" s="51" t="s">
        <v>257</v>
      </c>
      <c r="M26" s="51"/>
      <c r="N26" s="51"/>
      <c r="O26" s="51"/>
      <c r="P26" s="51"/>
      <c r="Q26" s="51"/>
      <c r="R26" s="51"/>
      <c r="S26" s="51"/>
      <c r="T26" s="51"/>
    </row>
    <row r="27">
      <c r="A27" s="51"/>
      <c r="B27" s="51"/>
      <c r="C27" s="56"/>
      <c r="D27" s="51"/>
      <c r="E27" s="51"/>
      <c r="F27" s="51"/>
      <c r="G27" s="51" t="str">
        <f>IFERROR(__xludf.DUMMYFUNCTION("""COMPUTED_VALUE"""),"#VALUE!")</f>
        <v>#VALUE!</v>
      </c>
      <c r="H27" s="51" t="str">
        <f>IFERROR(__xludf.DUMMYFUNCTION("""COMPUTED_VALUE"""),"")</f>
        <v/>
      </c>
      <c r="I27" s="51" t="str">
        <f>IFERROR(__xludf.DUMMYFUNCTION("""COMPUTED_VALUE"""),"#VALUE!")</f>
        <v>#VALUE!</v>
      </c>
      <c r="J27" s="51" t="str">
        <f>IFERROR(__xludf.DUMMYFUNCTION("""COMPUTED_VALUE"""),"")</f>
        <v/>
      </c>
      <c r="K27" s="51"/>
      <c r="L27" s="51" t="s">
        <v>257</v>
      </c>
      <c r="M27" s="51"/>
      <c r="N27" s="51"/>
      <c r="O27" s="51"/>
      <c r="P27" s="51"/>
      <c r="Q27" s="51"/>
      <c r="R27" s="51"/>
      <c r="S27" s="51"/>
      <c r="T27" s="51"/>
    </row>
    <row r="28">
      <c r="A28" s="51"/>
      <c r="B28" s="51"/>
      <c r="C28" s="56"/>
      <c r="D28" s="51"/>
      <c r="E28" s="51"/>
      <c r="F28" s="51"/>
      <c r="G28" s="51" t="str">
        <f>IFERROR(__xludf.DUMMYFUNCTION("""COMPUTED_VALUE"""),"#VALUE!")</f>
        <v>#VALUE!</v>
      </c>
      <c r="H28" s="51" t="str">
        <f>IFERROR(__xludf.DUMMYFUNCTION("""COMPUTED_VALUE"""),"")</f>
        <v/>
      </c>
      <c r="I28" s="51" t="str">
        <f>IFERROR(__xludf.DUMMYFUNCTION("""COMPUTED_VALUE"""),"#VALUE!")</f>
        <v>#VALUE!</v>
      </c>
      <c r="J28" s="51" t="str">
        <f>IFERROR(__xludf.DUMMYFUNCTION("""COMPUTED_VALUE"""),"")</f>
        <v/>
      </c>
      <c r="K28" s="51"/>
      <c r="L28" s="51" t="s">
        <v>257</v>
      </c>
      <c r="M28" s="51"/>
      <c r="N28" s="51"/>
      <c r="O28" s="51"/>
      <c r="P28" s="51"/>
      <c r="Q28" s="51"/>
      <c r="R28" s="51"/>
      <c r="S28" s="51"/>
      <c r="T28" s="51"/>
    </row>
    <row r="29">
      <c r="A29" s="51"/>
      <c r="B29" s="51"/>
      <c r="C29" s="56"/>
      <c r="D29" s="51"/>
      <c r="E29" s="51"/>
      <c r="F29" s="51"/>
      <c r="G29" s="51" t="str">
        <f>IFERROR(__xludf.DUMMYFUNCTION("""COMPUTED_VALUE"""),"#VALUE!")</f>
        <v>#VALUE!</v>
      </c>
      <c r="H29" s="51" t="str">
        <f>IFERROR(__xludf.DUMMYFUNCTION("""COMPUTED_VALUE"""),"")</f>
        <v/>
      </c>
      <c r="I29" s="51" t="str">
        <f>IFERROR(__xludf.DUMMYFUNCTION("""COMPUTED_VALUE"""),"#VALUE!")</f>
        <v>#VALUE!</v>
      </c>
      <c r="J29" s="51" t="str">
        <f>IFERROR(__xludf.DUMMYFUNCTION("""COMPUTED_VALUE"""),"")</f>
        <v/>
      </c>
      <c r="K29" s="51"/>
      <c r="L29" s="51" t="s">
        <v>257</v>
      </c>
      <c r="M29" s="51"/>
      <c r="N29" s="51"/>
      <c r="O29" s="51"/>
      <c r="P29" s="51"/>
      <c r="Q29" s="51"/>
      <c r="R29" s="51"/>
      <c r="S29" s="51"/>
      <c r="T29" s="51"/>
    </row>
    <row r="30">
      <c r="A30" s="51"/>
      <c r="B30" s="51"/>
      <c r="C30" s="56"/>
      <c r="D30" s="51"/>
      <c r="E30" s="51"/>
      <c r="F30" s="51"/>
      <c r="G30" s="51" t="str">
        <f>IFERROR(__xludf.DUMMYFUNCTION("""COMPUTED_VALUE"""),"#VALUE!")</f>
        <v>#VALUE!</v>
      </c>
      <c r="H30" s="51" t="str">
        <f>IFERROR(__xludf.DUMMYFUNCTION("""COMPUTED_VALUE"""),"")</f>
        <v/>
      </c>
      <c r="I30" s="51" t="str">
        <f>IFERROR(__xludf.DUMMYFUNCTION("""COMPUTED_VALUE"""),"#VALUE!")</f>
        <v>#VALUE!</v>
      </c>
      <c r="J30" s="51" t="str">
        <f>IFERROR(__xludf.DUMMYFUNCTION("""COMPUTED_VALUE"""),"")</f>
        <v/>
      </c>
      <c r="K30" s="51"/>
      <c r="L30" s="51" t="s">
        <v>257</v>
      </c>
      <c r="M30" s="51"/>
      <c r="N30" s="51"/>
      <c r="O30" s="51"/>
      <c r="P30" s="51"/>
      <c r="Q30" s="51"/>
      <c r="R30" s="51"/>
      <c r="S30" s="51"/>
      <c r="T30" s="51"/>
    </row>
    <row r="31">
      <c r="A31" s="51"/>
      <c r="B31" s="51"/>
      <c r="C31" s="56"/>
      <c r="D31" s="51"/>
      <c r="E31" s="51"/>
      <c r="F31" s="51"/>
      <c r="G31" s="51" t="str">
        <f>IFERROR(__xludf.DUMMYFUNCTION("""COMPUTED_VALUE"""),"#VALUE!")</f>
        <v>#VALUE!</v>
      </c>
      <c r="H31" s="51" t="str">
        <f>IFERROR(__xludf.DUMMYFUNCTION("""COMPUTED_VALUE"""),"")</f>
        <v/>
      </c>
      <c r="I31" s="51" t="str">
        <f>IFERROR(__xludf.DUMMYFUNCTION("""COMPUTED_VALUE"""),"#VALUE!")</f>
        <v>#VALUE!</v>
      </c>
      <c r="J31" s="51" t="str">
        <f>IFERROR(__xludf.DUMMYFUNCTION("""COMPUTED_VALUE"""),"")</f>
        <v/>
      </c>
      <c r="K31" s="51"/>
      <c r="L31" s="51" t="s">
        <v>257</v>
      </c>
      <c r="M31" s="51"/>
      <c r="N31" s="51"/>
      <c r="O31" s="51"/>
      <c r="P31" s="51"/>
      <c r="Q31" s="51"/>
      <c r="R31" s="51"/>
      <c r="S31" s="51"/>
      <c r="T31" s="51"/>
    </row>
    <row r="32">
      <c r="A32" s="51"/>
      <c r="B32" s="51"/>
      <c r="C32" s="56"/>
      <c r="D32" s="51"/>
      <c r="E32" s="51"/>
      <c r="F32" s="51"/>
      <c r="G32" s="51" t="str">
        <f>IFERROR(__xludf.DUMMYFUNCTION("""COMPUTED_VALUE"""),"#VALUE!")</f>
        <v>#VALUE!</v>
      </c>
      <c r="H32" s="51" t="str">
        <f>IFERROR(__xludf.DUMMYFUNCTION("""COMPUTED_VALUE"""),"")</f>
        <v/>
      </c>
      <c r="I32" s="51" t="str">
        <f>IFERROR(__xludf.DUMMYFUNCTION("""COMPUTED_VALUE"""),"#VALUE!")</f>
        <v>#VALUE!</v>
      </c>
      <c r="J32" s="51" t="str">
        <f>IFERROR(__xludf.DUMMYFUNCTION("""COMPUTED_VALUE"""),"")</f>
        <v/>
      </c>
      <c r="K32" s="51"/>
      <c r="L32" s="51" t="s">
        <v>257</v>
      </c>
      <c r="M32" s="51"/>
      <c r="N32" s="51"/>
      <c r="O32" s="51"/>
      <c r="P32" s="51"/>
      <c r="Q32" s="51"/>
      <c r="R32" s="51"/>
      <c r="S32" s="51"/>
      <c r="T32" s="51"/>
    </row>
    <row r="33">
      <c r="A33" s="51"/>
      <c r="B33" s="51"/>
      <c r="C33" s="56"/>
      <c r="D33" s="51"/>
      <c r="E33" s="51"/>
      <c r="F33" s="51"/>
      <c r="G33" s="51" t="str">
        <f>IFERROR(__xludf.DUMMYFUNCTION("""COMPUTED_VALUE"""),"#VALUE!")</f>
        <v>#VALUE!</v>
      </c>
      <c r="H33" s="51" t="str">
        <f>IFERROR(__xludf.DUMMYFUNCTION("""COMPUTED_VALUE"""),"")</f>
        <v/>
      </c>
      <c r="I33" s="51" t="str">
        <f>IFERROR(__xludf.DUMMYFUNCTION("""COMPUTED_VALUE"""),"#VALUE!")</f>
        <v>#VALUE!</v>
      </c>
      <c r="J33" s="51" t="str">
        <f>IFERROR(__xludf.DUMMYFUNCTION("""COMPUTED_VALUE"""),"")</f>
        <v/>
      </c>
      <c r="K33" s="51"/>
      <c r="L33" s="51" t="s">
        <v>257</v>
      </c>
      <c r="M33" s="51"/>
      <c r="N33" s="51"/>
      <c r="O33" s="51"/>
      <c r="P33" s="51"/>
      <c r="Q33" s="51"/>
      <c r="R33" s="51"/>
      <c r="S33" s="51"/>
      <c r="T33" s="51"/>
    </row>
    <row r="34">
      <c r="A34" s="51"/>
      <c r="B34" s="51"/>
      <c r="C34" s="56"/>
      <c r="D34" s="51"/>
      <c r="E34" s="51"/>
      <c r="F34" s="51"/>
      <c r="G34" s="51" t="str">
        <f>IFERROR(__xludf.DUMMYFUNCTION("""COMPUTED_VALUE"""),"#VALUE!")</f>
        <v>#VALUE!</v>
      </c>
      <c r="H34" s="51" t="str">
        <f>IFERROR(__xludf.DUMMYFUNCTION("""COMPUTED_VALUE"""),"")</f>
        <v/>
      </c>
      <c r="I34" s="51" t="str">
        <f>IFERROR(__xludf.DUMMYFUNCTION("""COMPUTED_VALUE"""),"#VALUE!")</f>
        <v>#VALUE!</v>
      </c>
      <c r="J34" s="51" t="str">
        <f>IFERROR(__xludf.DUMMYFUNCTION("""COMPUTED_VALUE"""),"")</f>
        <v/>
      </c>
      <c r="K34" s="51"/>
      <c r="L34" s="51" t="s">
        <v>257</v>
      </c>
      <c r="M34" s="51"/>
      <c r="N34" s="51"/>
      <c r="O34" s="51"/>
      <c r="P34" s="51"/>
      <c r="Q34" s="51"/>
      <c r="R34" s="51"/>
      <c r="S34" s="51"/>
      <c r="T34" s="51"/>
    </row>
    <row r="35">
      <c r="A35" s="51"/>
      <c r="B35" s="51"/>
      <c r="C35" s="56"/>
      <c r="D35" s="51"/>
      <c r="E35" s="51"/>
      <c r="F35" s="51"/>
      <c r="G35" s="51" t="str">
        <f>IFERROR(__xludf.DUMMYFUNCTION("""COMPUTED_VALUE"""),"#VALUE!")</f>
        <v>#VALUE!</v>
      </c>
      <c r="H35" s="51" t="str">
        <f>IFERROR(__xludf.DUMMYFUNCTION("""COMPUTED_VALUE"""),"")</f>
        <v/>
      </c>
      <c r="I35" s="51" t="str">
        <f>IFERROR(__xludf.DUMMYFUNCTION("""COMPUTED_VALUE"""),"#VALUE!")</f>
        <v>#VALUE!</v>
      </c>
      <c r="J35" s="51" t="str">
        <f>IFERROR(__xludf.DUMMYFUNCTION("""COMPUTED_VALUE"""),"")</f>
        <v/>
      </c>
      <c r="K35" s="51"/>
      <c r="L35" s="51" t="s">
        <v>257</v>
      </c>
      <c r="M35" s="51"/>
      <c r="N35" s="51"/>
      <c r="O35" s="51"/>
      <c r="P35" s="51"/>
      <c r="Q35" s="51"/>
      <c r="R35" s="51"/>
      <c r="S35" s="51"/>
      <c r="T35" s="51"/>
    </row>
    <row r="36">
      <c r="A36" s="51"/>
      <c r="B36" s="51"/>
      <c r="C36" s="56"/>
      <c r="D36" s="51"/>
      <c r="E36" s="51"/>
      <c r="F36" s="51"/>
      <c r="G36" s="51" t="str">
        <f>IFERROR(__xludf.DUMMYFUNCTION("""COMPUTED_VALUE"""),"#VALUE!")</f>
        <v>#VALUE!</v>
      </c>
      <c r="H36" s="51" t="str">
        <f>IFERROR(__xludf.DUMMYFUNCTION("""COMPUTED_VALUE"""),"")</f>
        <v/>
      </c>
      <c r="I36" s="51" t="str">
        <f>IFERROR(__xludf.DUMMYFUNCTION("""COMPUTED_VALUE"""),"#VALUE!")</f>
        <v>#VALUE!</v>
      </c>
      <c r="J36" s="51" t="str">
        <f>IFERROR(__xludf.DUMMYFUNCTION("""COMPUTED_VALUE"""),"")</f>
        <v/>
      </c>
      <c r="K36" s="51"/>
      <c r="L36" s="51" t="s">
        <v>257</v>
      </c>
      <c r="M36" s="51"/>
      <c r="N36" s="51"/>
      <c r="O36" s="51"/>
      <c r="P36" s="51"/>
      <c r="Q36" s="51"/>
      <c r="R36" s="51"/>
      <c r="S36" s="51"/>
      <c r="T36" s="51"/>
    </row>
    <row r="37">
      <c r="A37" s="51"/>
      <c r="B37" s="51"/>
      <c r="C37" s="56"/>
      <c r="D37" s="51"/>
      <c r="E37" s="51"/>
      <c r="F37" s="51"/>
      <c r="G37" s="51" t="str">
        <f>IFERROR(__xludf.DUMMYFUNCTION("""COMPUTED_VALUE"""),"#VALUE!")</f>
        <v>#VALUE!</v>
      </c>
      <c r="H37" s="51" t="str">
        <f>IFERROR(__xludf.DUMMYFUNCTION("""COMPUTED_VALUE"""),"")</f>
        <v/>
      </c>
      <c r="I37" s="51" t="str">
        <f>IFERROR(__xludf.DUMMYFUNCTION("""COMPUTED_VALUE"""),"#VALUE!")</f>
        <v>#VALUE!</v>
      </c>
      <c r="J37" s="51" t="str">
        <f>IFERROR(__xludf.DUMMYFUNCTION("""COMPUTED_VALUE"""),"")</f>
        <v/>
      </c>
      <c r="K37" s="51"/>
      <c r="L37" s="51" t="s">
        <v>257</v>
      </c>
      <c r="M37" s="51"/>
      <c r="N37" s="51"/>
      <c r="O37" s="51"/>
      <c r="P37" s="51"/>
      <c r="Q37" s="51"/>
      <c r="R37" s="51"/>
      <c r="S37" s="51"/>
      <c r="T37" s="51"/>
    </row>
    <row r="38">
      <c r="A38" s="51"/>
      <c r="B38" s="51"/>
      <c r="C38" s="56"/>
      <c r="D38" s="51"/>
      <c r="E38" s="51"/>
      <c r="F38" s="51"/>
      <c r="G38" s="51" t="str">
        <f>IFERROR(__xludf.DUMMYFUNCTION("""COMPUTED_VALUE"""),"#VALUE!")</f>
        <v>#VALUE!</v>
      </c>
      <c r="H38" s="51" t="str">
        <f>IFERROR(__xludf.DUMMYFUNCTION("""COMPUTED_VALUE"""),"")</f>
        <v/>
      </c>
      <c r="I38" s="51" t="str">
        <f>IFERROR(__xludf.DUMMYFUNCTION("""COMPUTED_VALUE"""),"#VALUE!")</f>
        <v>#VALUE!</v>
      </c>
      <c r="J38" s="51" t="str">
        <f>IFERROR(__xludf.DUMMYFUNCTION("""COMPUTED_VALUE"""),"")</f>
        <v/>
      </c>
      <c r="K38" s="51"/>
      <c r="L38" s="51" t="s">
        <v>257</v>
      </c>
      <c r="M38" s="51"/>
      <c r="N38" s="51"/>
      <c r="O38" s="51"/>
      <c r="P38" s="51"/>
      <c r="Q38" s="51"/>
      <c r="R38" s="51"/>
      <c r="S38" s="51"/>
      <c r="T38" s="51"/>
    </row>
    <row r="39">
      <c r="A39" s="51"/>
      <c r="B39" s="51"/>
      <c r="C39" s="56"/>
      <c r="D39" s="51"/>
      <c r="E39" s="51"/>
      <c r="F39" s="51"/>
      <c r="G39" s="51" t="str">
        <f>IFERROR(__xludf.DUMMYFUNCTION("""COMPUTED_VALUE"""),"#VALUE!")</f>
        <v>#VALUE!</v>
      </c>
      <c r="H39" s="51" t="str">
        <f>IFERROR(__xludf.DUMMYFUNCTION("""COMPUTED_VALUE"""),"")</f>
        <v/>
      </c>
      <c r="I39" s="51" t="str">
        <f>IFERROR(__xludf.DUMMYFUNCTION("""COMPUTED_VALUE"""),"#VALUE!")</f>
        <v>#VALUE!</v>
      </c>
      <c r="J39" s="51" t="str">
        <f>IFERROR(__xludf.DUMMYFUNCTION("""COMPUTED_VALUE"""),"")</f>
        <v/>
      </c>
      <c r="K39" s="51"/>
      <c r="L39" s="51" t="s">
        <v>257</v>
      </c>
      <c r="M39" s="51"/>
      <c r="N39" s="51"/>
      <c r="O39" s="51"/>
      <c r="P39" s="51"/>
      <c r="Q39" s="51"/>
      <c r="R39" s="51"/>
      <c r="S39" s="51"/>
      <c r="T39" s="51"/>
    </row>
    <row r="40">
      <c r="A40" s="51"/>
      <c r="B40" s="51"/>
      <c r="C40" s="56"/>
      <c r="D40" s="51"/>
      <c r="E40" s="51"/>
      <c r="F40" s="51"/>
      <c r="G40" s="51" t="str">
        <f>IFERROR(__xludf.DUMMYFUNCTION("""COMPUTED_VALUE"""),"#VALUE!")</f>
        <v>#VALUE!</v>
      </c>
      <c r="H40" s="51" t="str">
        <f>IFERROR(__xludf.DUMMYFUNCTION("""COMPUTED_VALUE"""),"")</f>
        <v/>
      </c>
      <c r="I40" s="51" t="str">
        <f>IFERROR(__xludf.DUMMYFUNCTION("""COMPUTED_VALUE"""),"#VALUE!")</f>
        <v>#VALUE!</v>
      </c>
      <c r="J40" s="51" t="str">
        <f>IFERROR(__xludf.DUMMYFUNCTION("""COMPUTED_VALUE"""),"")</f>
        <v/>
      </c>
      <c r="K40" s="51"/>
      <c r="L40" s="51" t="s">
        <v>257</v>
      </c>
      <c r="M40" s="51"/>
      <c r="N40" s="51"/>
      <c r="O40" s="51"/>
      <c r="P40" s="51"/>
      <c r="Q40" s="51"/>
      <c r="R40" s="51"/>
      <c r="S40" s="51"/>
      <c r="T40" s="51"/>
    </row>
    <row r="41">
      <c r="A41" s="51"/>
      <c r="B41" s="51"/>
      <c r="C41" s="56"/>
      <c r="D41" s="51"/>
      <c r="E41" s="51"/>
      <c r="F41" s="51"/>
      <c r="G41" s="51" t="str">
        <f>IFERROR(__xludf.DUMMYFUNCTION("""COMPUTED_VALUE"""),"#VALUE!")</f>
        <v>#VALUE!</v>
      </c>
      <c r="H41" s="51" t="str">
        <f>IFERROR(__xludf.DUMMYFUNCTION("""COMPUTED_VALUE"""),"")</f>
        <v/>
      </c>
      <c r="I41" s="51" t="str">
        <f>IFERROR(__xludf.DUMMYFUNCTION("""COMPUTED_VALUE"""),"#VALUE!")</f>
        <v>#VALUE!</v>
      </c>
      <c r="J41" s="51" t="str">
        <f>IFERROR(__xludf.DUMMYFUNCTION("""COMPUTED_VALUE"""),"")</f>
        <v/>
      </c>
      <c r="K41" s="51"/>
      <c r="L41" s="51" t="s">
        <v>257</v>
      </c>
      <c r="M41" s="51"/>
      <c r="N41" s="51"/>
      <c r="O41" s="51"/>
      <c r="P41" s="51"/>
      <c r="Q41" s="51"/>
      <c r="R41" s="51"/>
      <c r="S41" s="51"/>
      <c r="T41" s="51"/>
    </row>
    <row r="42">
      <c r="A42" s="51"/>
      <c r="B42" s="51"/>
      <c r="C42" s="56"/>
      <c r="D42" s="51"/>
      <c r="E42" s="51"/>
      <c r="F42" s="51"/>
      <c r="G42" s="51" t="str">
        <f>IFERROR(__xludf.DUMMYFUNCTION("""COMPUTED_VALUE"""),"#VALUE!")</f>
        <v>#VALUE!</v>
      </c>
      <c r="H42" s="51" t="str">
        <f>IFERROR(__xludf.DUMMYFUNCTION("""COMPUTED_VALUE"""),"")</f>
        <v/>
      </c>
      <c r="I42" s="51" t="str">
        <f>IFERROR(__xludf.DUMMYFUNCTION("""COMPUTED_VALUE"""),"#VALUE!")</f>
        <v>#VALUE!</v>
      </c>
      <c r="J42" s="51" t="str">
        <f>IFERROR(__xludf.DUMMYFUNCTION("""COMPUTED_VALUE"""),"")</f>
        <v/>
      </c>
      <c r="K42" s="51"/>
      <c r="L42" s="51" t="s">
        <v>257</v>
      </c>
      <c r="M42" s="51"/>
      <c r="N42" s="51"/>
      <c r="O42" s="51"/>
      <c r="P42" s="51"/>
      <c r="Q42" s="51"/>
      <c r="R42" s="51"/>
      <c r="S42" s="51"/>
      <c r="T42" s="51"/>
    </row>
    <row r="43">
      <c r="A43" s="51"/>
      <c r="B43" s="51"/>
      <c r="C43" s="56"/>
      <c r="D43" s="51"/>
      <c r="E43" s="51"/>
      <c r="F43" s="51"/>
      <c r="G43" s="51" t="str">
        <f>IFERROR(__xludf.DUMMYFUNCTION("""COMPUTED_VALUE"""),"#VALUE!")</f>
        <v>#VALUE!</v>
      </c>
      <c r="H43" s="51" t="str">
        <f>IFERROR(__xludf.DUMMYFUNCTION("""COMPUTED_VALUE"""),"")</f>
        <v/>
      </c>
      <c r="I43" s="51" t="str">
        <f>IFERROR(__xludf.DUMMYFUNCTION("""COMPUTED_VALUE"""),"#VALUE!")</f>
        <v>#VALUE!</v>
      </c>
      <c r="J43" s="51" t="str">
        <f>IFERROR(__xludf.DUMMYFUNCTION("""COMPUTED_VALUE"""),"")</f>
        <v/>
      </c>
      <c r="K43" s="51"/>
      <c r="L43" s="51" t="s">
        <v>257</v>
      </c>
      <c r="M43" s="51"/>
      <c r="N43" s="51"/>
      <c r="O43" s="51"/>
      <c r="P43" s="51"/>
      <c r="Q43" s="51"/>
      <c r="R43" s="51"/>
      <c r="S43" s="51"/>
      <c r="T43" s="51"/>
    </row>
    <row r="44">
      <c r="A44" s="51"/>
      <c r="B44" s="51"/>
      <c r="C44" s="56"/>
      <c r="D44" s="51"/>
      <c r="E44" s="51"/>
      <c r="F44" s="51"/>
      <c r="G44" s="51" t="str">
        <f>IFERROR(__xludf.DUMMYFUNCTION("""COMPUTED_VALUE"""),"#VALUE!")</f>
        <v>#VALUE!</v>
      </c>
      <c r="H44" s="51" t="str">
        <f>IFERROR(__xludf.DUMMYFUNCTION("""COMPUTED_VALUE"""),"")</f>
        <v/>
      </c>
      <c r="I44" s="51" t="str">
        <f>IFERROR(__xludf.DUMMYFUNCTION("""COMPUTED_VALUE"""),"#VALUE!")</f>
        <v>#VALUE!</v>
      </c>
      <c r="J44" s="51" t="str">
        <f>IFERROR(__xludf.DUMMYFUNCTION("""COMPUTED_VALUE"""),"")</f>
        <v/>
      </c>
      <c r="K44" s="51"/>
      <c r="L44" s="51" t="s">
        <v>257</v>
      </c>
      <c r="M44" s="51"/>
      <c r="N44" s="51"/>
      <c r="O44" s="51"/>
      <c r="P44" s="51"/>
      <c r="Q44" s="51"/>
      <c r="R44" s="51"/>
      <c r="S44" s="51"/>
      <c r="T44" s="51"/>
    </row>
    <row r="45">
      <c r="A45" s="51"/>
      <c r="B45" s="51"/>
      <c r="C45" s="56"/>
      <c r="D45" s="51"/>
      <c r="E45" s="51"/>
      <c r="F45" s="51"/>
      <c r="G45" s="51" t="str">
        <f>IFERROR(__xludf.DUMMYFUNCTION("""COMPUTED_VALUE"""),"#VALUE!")</f>
        <v>#VALUE!</v>
      </c>
      <c r="H45" s="51" t="str">
        <f>IFERROR(__xludf.DUMMYFUNCTION("""COMPUTED_VALUE"""),"")</f>
        <v/>
      </c>
      <c r="I45" s="51" t="str">
        <f>IFERROR(__xludf.DUMMYFUNCTION("""COMPUTED_VALUE"""),"#VALUE!")</f>
        <v>#VALUE!</v>
      </c>
      <c r="J45" s="51" t="str">
        <f>IFERROR(__xludf.DUMMYFUNCTION("""COMPUTED_VALUE"""),"")</f>
        <v/>
      </c>
      <c r="K45" s="51"/>
      <c r="L45" s="51" t="s">
        <v>257</v>
      </c>
      <c r="M45" s="51"/>
      <c r="N45" s="51"/>
      <c r="O45" s="51"/>
      <c r="P45" s="51"/>
      <c r="Q45" s="51"/>
      <c r="R45" s="51"/>
      <c r="S45" s="51"/>
      <c r="T45" s="51"/>
    </row>
    <row r="46">
      <c r="A46" s="51"/>
      <c r="B46" s="51"/>
      <c r="C46" s="56"/>
      <c r="D46" s="51"/>
      <c r="E46" s="51"/>
      <c r="F46" s="51"/>
      <c r="G46" s="51" t="str">
        <f>IFERROR(__xludf.DUMMYFUNCTION("""COMPUTED_VALUE"""),"#VALUE!")</f>
        <v>#VALUE!</v>
      </c>
      <c r="H46" s="51" t="str">
        <f>IFERROR(__xludf.DUMMYFUNCTION("""COMPUTED_VALUE"""),"")</f>
        <v/>
      </c>
      <c r="I46" s="51" t="str">
        <f>IFERROR(__xludf.DUMMYFUNCTION("""COMPUTED_VALUE"""),"#VALUE!")</f>
        <v>#VALUE!</v>
      </c>
      <c r="J46" s="51" t="str">
        <f>IFERROR(__xludf.DUMMYFUNCTION("""COMPUTED_VALUE"""),"")</f>
        <v/>
      </c>
      <c r="K46" s="51"/>
      <c r="L46" s="51" t="s">
        <v>257</v>
      </c>
      <c r="M46" s="51"/>
      <c r="N46" s="51"/>
      <c r="O46" s="51"/>
      <c r="P46" s="51"/>
      <c r="Q46" s="51"/>
      <c r="R46" s="51"/>
      <c r="S46" s="51"/>
      <c r="T46" s="51"/>
    </row>
    <row r="47">
      <c r="A47" s="51"/>
      <c r="B47" s="51"/>
      <c r="C47" s="56"/>
      <c r="D47" s="51"/>
      <c r="E47" s="51"/>
      <c r="F47" s="51"/>
      <c r="G47" s="51" t="str">
        <f>IFERROR(__xludf.DUMMYFUNCTION("""COMPUTED_VALUE"""),"#VALUE!")</f>
        <v>#VALUE!</v>
      </c>
      <c r="H47" s="51" t="str">
        <f>IFERROR(__xludf.DUMMYFUNCTION("""COMPUTED_VALUE"""),"")</f>
        <v/>
      </c>
      <c r="I47" s="51" t="str">
        <f>IFERROR(__xludf.DUMMYFUNCTION("""COMPUTED_VALUE"""),"#VALUE!")</f>
        <v>#VALUE!</v>
      </c>
      <c r="J47" s="51" t="str">
        <f>IFERROR(__xludf.DUMMYFUNCTION("""COMPUTED_VALUE"""),"")</f>
        <v/>
      </c>
      <c r="K47" s="51"/>
      <c r="L47" s="51" t="s">
        <v>257</v>
      </c>
      <c r="M47" s="51"/>
      <c r="N47" s="51"/>
      <c r="O47" s="51"/>
      <c r="P47" s="51"/>
      <c r="Q47" s="51"/>
      <c r="R47" s="51"/>
      <c r="S47" s="51"/>
      <c r="T47" s="51"/>
    </row>
    <row r="48">
      <c r="A48" s="51"/>
      <c r="B48" s="51"/>
      <c r="C48" s="56"/>
      <c r="D48" s="51"/>
      <c r="E48" s="51"/>
      <c r="F48" s="51"/>
      <c r="G48" s="51" t="str">
        <f>IFERROR(__xludf.DUMMYFUNCTION("""COMPUTED_VALUE"""),"#VALUE!")</f>
        <v>#VALUE!</v>
      </c>
      <c r="H48" s="51" t="str">
        <f>IFERROR(__xludf.DUMMYFUNCTION("""COMPUTED_VALUE"""),"")</f>
        <v/>
      </c>
      <c r="I48" s="51" t="str">
        <f>IFERROR(__xludf.DUMMYFUNCTION("""COMPUTED_VALUE"""),"#VALUE!")</f>
        <v>#VALUE!</v>
      </c>
      <c r="J48" s="51" t="str">
        <f>IFERROR(__xludf.DUMMYFUNCTION("""COMPUTED_VALUE"""),"")</f>
        <v/>
      </c>
      <c r="K48" s="51"/>
      <c r="L48" s="51" t="s">
        <v>257</v>
      </c>
      <c r="M48" s="51"/>
      <c r="N48" s="51"/>
      <c r="O48" s="51"/>
      <c r="P48" s="51"/>
      <c r="Q48" s="51"/>
      <c r="R48" s="51"/>
      <c r="S48" s="51"/>
      <c r="T48" s="51"/>
    </row>
    <row r="49">
      <c r="A49" s="51"/>
      <c r="B49" s="51"/>
      <c r="C49" s="56"/>
      <c r="D49" s="51"/>
      <c r="E49" s="51"/>
      <c r="F49" s="51"/>
      <c r="G49" s="51" t="str">
        <f>IFERROR(__xludf.DUMMYFUNCTION("""COMPUTED_VALUE"""),"#VALUE!")</f>
        <v>#VALUE!</v>
      </c>
      <c r="H49" s="51" t="str">
        <f>IFERROR(__xludf.DUMMYFUNCTION("""COMPUTED_VALUE"""),"")</f>
        <v/>
      </c>
      <c r="I49" s="51" t="str">
        <f>IFERROR(__xludf.DUMMYFUNCTION("""COMPUTED_VALUE"""),"#VALUE!")</f>
        <v>#VALUE!</v>
      </c>
      <c r="J49" s="51" t="str">
        <f>IFERROR(__xludf.DUMMYFUNCTION("""COMPUTED_VALUE"""),"")</f>
        <v/>
      </c>
      <c r="K49" s="51"/>
      <c r="L49" s="51" t="s">
        <v>257</v>
      </c>
      <c r="M49" s="51"/>
      <c r="N49" s="51"/>
      <c r="O49" s="51"/>
      <c r="P49" s="51"/>
      <c r="Q49" s="51"/>
      <c r="R49" s="51"/>
      <c r="S49" s="51"/>
      <c r="T49" s="51"/>
    </row>
    <row r="50">
      <c r="A50" s="51"/>
      <c r="B50" s="51"/>
      <c r="C50" s="56"/>
      <c r="D50" s="51"/>
      <c r="E50" s="51"/>
      <c r="F50" s="51"/>
      <c r="G50" s="51" t="str">
        <f>IFERROR(__xludf.DUMMYFUNCTION("""COMPUTED_VALUE"""),"#VALUE!")</f>
        <v>#VALUE!</v>
      </c>
      <c r="H50" s="51" t="str">
        <f>IFERROR(__xludf.DUMMYFUNCTION("""COMPUTED_VALUE"""),"")</f>
        <v/>
      </c>
      <c r="I50" s="51" t="str">
        <f>IFERROR(__xludf.DUMMYFUNCTION("""COMPUTED_VALUE"""),"#VALUE!")</f>
        <v>#VALUE!</v>
      </c>
      <c r="J50" s="51" t="str">
        <f>IFERROR(__xludf.DUMMYFUNCTION("""COMPUTED_VALUE"""),"")</f>
        <v/>
      </c>
      <c r="K50" s="51"/>
      <c r="L50" s="51" t="s">
        <v>257</v>
      </c>
      <c r="M50" s="51"/>
      <c r="N50" s="51"/>
      <c r="O50" s="51"/>
      <c r="P50" s="51"/>
      <c r="Q50" s="51"/>
      <c r="R50" s="51"/>
      <c r="S50" s="51"/>
      <c r="T50" s="51"/>
    </row>
    <row r="51">
      <c r="A51" s="51"/>
      <c r="B51" s="51"/>
      <c r="C51" s="56"/>
      <c r="D51" s="51"/>
      <c r="E51" s="51"/>
      <c r="F51" s="51"/>
      <c r="G51" s="51" t="str">
        <f>IFERROR(__xludf.DUMMYFUNCTION("""COMPUTED_VALUE"""),"#VALUE!")</f>
        <v>#VALUE!</v>
      </c>
      <c r="H51" s="51" t="str">
        <f>IFERROR(__xludf.DUMMYFUNCTION("""COMPUTED_VALUE"""),"")</f>
        <v/>
      </c>
      <c r="I51" s="51" t="str">
        <f>IFERROR(__xludf.DUMMYFUNCTION("""COMPUTED_VALUE"""),"#VALUE!")</f>
        <v>#VALUE!</v>
      </c>
      <c r="J51" s="51" t="str">
        <f>IFERROR(__xludf.DUMMYFUNCTION("""COMPUTED_VALUE"""),"")</f>
        <v/>
      </c>
      <c r="K51" s="51"/>
      <c r="L51" s="51" t="s">
        <v>257</v>
      </c>
      <c r="M51" s="51"/>
      <c r="N51" s="51"/>
      <c r="O51" s="51"/>
      <c r="P51" s="51"/>
      <c r="Q51" s="51"/>
      <c r="R51" s="51"/>
      <c r="S51" s="51"/>
      <c r="T51" s="51"/>
    </row>
    <row r="52">
      <c r="A52" s="51"/>
      <c r="B52" s="51"/>
      <c r="C52" s="56"/>
      <c r="D52" s="51"/>
      <c r="E52" s="51"/>
      <c r="F52" s="51"/>
      <c r="G52" s="51" t="str">
        <f>IFERROR(__xludf.DUMMYFUNCTION("""COMPUTED_VALUE"""),"#VALUE!")</f>
        <v>#VALUE!</v>
      </c>
      <c r="H52" s="51" t="str">
        <f>IFERROR(__xludf.DUMMYFUNCTION("""COMPUTED_VALUE"""),"")</f>
        <v/>
      </c>
      <c r="I52" s="51" t="str">
        <f>IFERROR(__xludf.DUMMYFUNCTION("""COMPUTED_VALUE"""),"#VALUE!")</f>
        <v>#VALUE!</v>
      </c>
      <c r="J52" s="51" t="str">
        <f>IFERROR(__xludf.DUMMYFUNCTION("""COMPUTED_VALUE"""),"")</f>
        <v/>
      </c>
      <c r="K52" s="51"/>
      <c r="L52" s="51" t="s">
        <v>257</v>
      </c>
      <c r="M52" s="51"/>
      <c r="N52" s="51"/>
      <c r="O52" s="51"/>
      <c r="P52" s="51"/>
      <c r="Q52" s="51"/>
      <c r="R52" s="51"/>
      <c r="S52" s="51"/>
      <c r="T52" s="51"/>
    </row>
    <row r="53">
      <c r="A53" s="51"/>
      <c r="B53" s="51"/>
      <c r="C53" s="56"/>
      <c r="D53" s="51"/>
      <c r="E53" s="51"/>
      <c r="F53" s="51"/>
      <c r="G53" s="51" t="str">
        <f>IFERROR(__xludf.DUMMYFUNCTION("""COMPUTED_VALUE"""),"#VALUE!")</f>
        <v>#VALUE!</v>
      </c>
      <c r="H53" s="51" t="str">
        <f>IFERROR(__xludf.DUMMYFUNCTION("""COMPUTED_VALUE"""),"")</f>
        <v/>
      </c>
      <c r="I53" s="51" t="str">
        <f>IFERROR(__xludf.DUMMYFUNCTION("""COMPUTED_VALUE"""),"#VALUE!")</f>
        <v>#VALUE!</v>
      </c>
      <c r="J53" s="51" t="str">
        <f>IFERROR(__xludf.DUMMYFUNCTION("""COMPUTED_VALUE"""),"")</f>
        <v/>
      </c>
      <c r="K53" s="51"/>
      <c r="L53" s="51" t="s">
        <v>257</v>
      </c>
      <c r="M53" s="51"/>
      <c r="N53" s="51"/>
      <c r="O53" s="51"/>
      <c r="P53" s="51"/>
      <c r="Q53" s="51"/>
      <c r="R53" s="51"/>
      <c r="S53" s="51"/>
      <c r="T53" s="51"/>
    </row>
    <row r="54">
      <c r="A54" s="51"/>
      <c r="B54" s="51"/>
      <c r="C54" s="56"/>
      <c r="D54" s="51"/>
      <c r="E54" s="51"/>
      <c r="F54" s="51"/>
      <c r="G54" s="51" t="str">
        <f>IFERROR(__xludf.DUMMYFUNCTION("""COMPUTED_VALUE"""),"#VALUE!")</f>
        <v>#VALUE!</v>
      </c>
      <c r="H54" s="51" t="str">
        <f>IFERROR(__xludf.DUMMYFUNCTION("""COMPUTED_VALUE"""),"")</f>
        <v/>
      </c>
      <c r="I54" s="51" t="str">
        <f>IFERROR(__xludf.DUMMYFUNCTION("""COMPUTED_VALUE"""),"#VALUE!")</f>
        <v>#VALUE!</v>
      </c>
      <c r="J54" s="51" t="str">
        <f>IFERROR(__xludf.DUMMYFUNCTION("""COMPUTED_VALUE"""),"")</f>
        <v/>
      </c>
      <c r="K54" s="51"/>
      <c r="L54" s="51" t="s">
        <v>257</v>
      </c>
      <c r="M54" s="51"/>
      <c r="N54" s="51"/>
      <c r="O54" s="51"/>
      <c r="P54" s="51"/>
      <c r="Q54" s="51"/>
      <c r="R54" s="51"/>
      <c r="S54" s="51"/>
      <c r="T54" s="51"/>
    </row>
    <row r="55">
      <c r="A55" s="51"/>
      <c r="B55" s="51"/>
      <c r="C55" s="56"/>
      <c r="D55" s="51"/>
      <c r="E55" s="51"/>
      <c r="F55" s="51"/>
      <c r="G55" s="51" t="str">
        <f>IFERROR(__xludf.DUMMYFUNCTION("""COMPUTED_VALUE"""),"#VALUE!")</f>
        <v>#VALUE!</v>
      </c>
      <c r="H55" s="51" t="str">
        <f>IFERROR(__xludf.DUMMYFUNCTION("""COMPUTED_VALUE"""),"")</f>
        <v/>
      </c>
      <c r="I55" s="51" t="str">
        <f>IFERROR(__xludf.DUMMYFUNCTION("""COMPUTED_VALUE"""),"#VALUE!")</f>
        <v>#VALUE!</v>
      </c>
      <c r="J55" s="51" t="str">
        <f>IFERROR(__xludf.DUMMYFUNCTION("""COMPUTED_VALUE"""),"")</f>
        <v/>
      </c>
      <c r="K55" s="51"/>
      <c r="L55" s="51" t="s">
        <v>257</v>
      </c>
      <c r="M55" s="51"/>
      <c r="N55" s="51"/>
      <c r="O55" s="51"/>
      <c r="P55" s="51"/>
      <c r="Q55" s="51"/>
      <c r="R55" s="51"/>
      <c r="S55" s="51"/>
      <c r="T55" s="51"/>
    </row>
    <row r="56">
      <c r="A56" s="51"/>
      <c r="B56" s="51"/>
      <c r="C56" s="56"/>
      <c r="D56" s="51"/>
      <c r="E56" s="51"/>
      <c r="F56" s="51"/>
      <c r="G56" s="51" t="str">
        <f>IFERROR(__xludf.DUMMYFUNCTION("""COMPUTED_VALUE"""),"#VALUE!")</f>
        <v>#VALUE!</v>
      </c>
      <c r="H56" s="51" t="str">
        <f>IFERROR(__xludf.DUMMYFUNCTION("""COMPUTED_VALUE"""),"")</f>
        <v/>
      </c>
      <c r="I56" s="51" t="str">
        <f>IFERROR(__xludf.DUMMYFUNCTION("""COMPUTED_VALUE"""),"#VALUE!")</f>
        <v>#VALUE!</v>
      </c>
      <c r="J56" s="51" t="str">
        <f>IFERROR(__xludf.DUMMYFUNCTION("""COMPUTED_VALUE"""),"")</f>
        <v/>
      </c>
      <c r="K56" s="51"/>
      <c r="L56" s="51" t="s">
        <v>257</v>
      </c>
      <c r="M56" s="51"/>
      <c r="N56" s="51"/>
      <c r="O56" s="51"/>
      <c r="P56" s="51"/>
      <c r="Q56" s="51"/>
      <c r="R56" s="51"/>
      <c r="S56" s="51"/>
      <c r="T56" s="51"/>
    </row>
    <row r="57">
      <c r="A57" s="51"/>
      <c r="B57" s="51"/>
      <c r="C57" s="56"/>
      <c r="D57" s="51"/>
      <c r="E57" s="51"/>
      <c r="F57" s="51"/>
      <c r="G57" s="51" t="str">
        <f>IFERROR(__xludf.DUMMYFUNCTION("""COMPUTED_VALUE"""),"#VALUE!")</f>
        <v>#VALUE!</v>
      </c>
      <c r="H57" s="51" t="str">
        <f>IFERROR(__xludf.DUMMYFUNCTION("""COMPUTED_VALUE"""),"")</f>
        <v/>
      </c>
      <c r="I57" s="51" t="str">
        <f>IFERROR(__xludf.DUMMYFUNCTION("""COMPUTED_VALUE"""),"#VALUE!")</f>
        <v>#VALUE!</v>
      </c>
      <c r="J57" s="51" t="str">
        <f>IFERROR(__xludf.DUMMYFUNCTION("""COMPUTED_VALUE"""),"")</f>
        <v/>
      </c>
      <c r="K57" s="51"/>
      <c r="L57" s="51" t="s">
        <v>257</v>
      </c>
      <c r="M57" s="51"/>
      <c r="N57" s="51"/>
      <c r="O57" s="51"/>
      <c r="P57" s="51"/>
      <c r="Q57" s="51"/>
      <c r="R57" s="51"/>
      <c r="S57" s="51"/>
      <c r="T57" s="51"/>
    </row>
    <row r="58">
      <c r="A58" s="51"/>
      <c r="B58" s="51"/>
      <c r="C58" s="56"/>
      <c r="D58" s="51"/>
      <c r="E58" s="51"/>
      <c r="F58" s="51"/>
      <c r="G58" s="51" t="str">
        <f>IFERROR(__xludf.DUMMYFUNCTION("""COMPUTED_VALUE"""),"#VALUE!")</f>
        <v>#VALUE!</v>
      </c>
      <c r="H58" s="51" t="str">
        <f>IFERROR(__xludf.DUMMYFUNCTION("""COMPUTED_VALUE"""),"")</f>
        <v/>
      </c>
      <c r="I58" s="51" t="str">
        <f>IFERROR(__xludf.DUMMYFUNCTION("""COMPUTED_VALUE"""),"#VALUE!")</f>
        <v>#VALUE!</v>
      </c>
      <c r="J58" s="51" t="str">
        <f>IFERROR(__xludf.DUMMYFUNCTION("""COMPUTED_VALUE"""),"")</f>
        <v/>
      </c>
      <c r="K58" s="51"/>
      <c r="L58" s="51" t="s">
        <v>257</v>
      </c>
      <c r="M58" s="51"/>
      <c r="N58" s="51"/>
      <c r="O58" s="51"/>
      <c r="P58" s="51"/>
      <c r="Q58" s="51"/>
      <c r="R58" s="51"/>
      <c r="S58" s="51"/>
      <c r="T58" s="51"/>
    </row>
    <row r="59">
      <c r="A59" s="51"/>
      <c r="B59" s="51"/>
      <c r="C59" s="56"/>
      <c r="D59" s="51"/>
      <c r="E59" s="51"/>
      <c r="F59" s="51"/>
      <c r="G59" s="51" t="str">
        <f>IFERROR(__xludf.DUMMYFUNCTION("""COMPUTED_VALUE"""),"#VALUE!")</f>
        <v>#VALUE!</v>
      </c>
      <c r="H59" s="51" t="str">
        <f>IFERROR(__xludf.DUMMYFUNCTION("""COMPUTED_VALUE"""),"")</f>
        <v/>
      </c>
      <c r="I59" s="51" t="str">
        <f>IFERROR(__xludf.DUMMYFUNCTION("""COMPUTED_VALUE"""),"#VALUE!")</f>
        <v>#VALUE!</v>
      </c>
      <c r="J59" s="51" t="str">
        <f>IFERROR(__xludf.DUMMYFUNCTION("""COMPUTED_VALUE"""),"")</f>
        <v/>
      </c>
      <c r="K59" s="51"/>
      <c r="L59" s="51" t="s">
        <v>257</v>
      </c>
      <c r="M59" s="51"/>
      <c r="N59" s="51"/>
      <c r="O59" s="51"/>
      <c r="P59" s="51"/>
      <c r="Q59" s="51"/>
      <c r="R59" s="51"/>
      <c r="S59" s="51"/>
      <c r="T59" s="51"/>
    </row>
    <row r="60">
      <c r="A60" s="51"/>
      <c r="B60" s="51"/>
      <c r="C60" s="56"/>
      <c r="D60" s="51"/>
      <c r="E60" s="51"/>
      <c r="F60" s="51"/>
      <c r="G60" s="51" t="str">
        <f>IFERROR(__xludf.DUMMYFUNCTION("""COMPUTED_VALUE"""),"#VALUE!")</f>
        <v>#VALUE!</v>
      </c>
      <c r="H60" s="51" t="str">
        <f>IFERROR(__xludf.DUMMYFUNCTION("""COMPUTED_VALUE"""),"")</f>
        <v/>
      </c>
      <c r="I60" s="51" t="str">
        <f>IFERROR(__xludf.DUMMYFUNCTION("""COMPUTED_VALUE"""),"#VALUE!")</f>
        <v>#VALUE!</v>
      </c>
      <c r="J60" s="51" t="str">
        <f>IFERROR(__xludf.DUMMYFUNCTION("""COMPUTED_VALUE"""),"")</f>
        <v/>
      </c>
      <c r="K60" s="51"/>
      <c r="L60" s="51" t="s">
        <v>257</v>
      </c>
      <c r="M60" s="51"/>
      <c r="N60" s="51"/>
      <c r="O60" s="51"/>
      <c r="P60" s="51"/>
      <c r="Q60" s="51"/>
      <c r="R60" s="51"/>
      <c r="S60" s="51"/>
      <c r="T60" s="51"/>
    </row>
    <row r="61">
      <c r="A61" s="51"/>
      <c r="B61" s="51"/>
      <c r="C61" s="56"/>
      <c r="D61" s="51"/>
      <c r="E61" s="51"/>
      <c r="F61" s="51"/>
      <c r="G61" s="51" t="str">
        <f>IFERROR(__xludf.DUMMYFUNCTION("""COMPUTED_VALUE"""),"#VALUE!")</f>
        <v>#VALUE!</v>
      </c>
      <c r="H61" s="51" t="str">
        <f>IFERROR(__xludf.DUMMYFUNCTION("""COMPUTED_VALUE"""),"")</f>
        <v/>
      </c>
      <c r="I61" s="51" t="str">
        <f>IFERROR(__xludf.DUMMYFUNCTION("""COMPUTED_VALUE"""),"#VALUE!")</f>
        <v>#VALUE!</v>
      </c>
      <c r="J61" s="51" t="str">
        <f>IFERROR(__xludf.DUMMYFUNCTION("""COMPUTED_VALUE"""),"")</f>
        <v/>
      </c>
      <c r="K61" s="51"/>
      <c r="L61" s="51" t="s">
        <v>257</v>
      </c>
      <c r="M61" s="51"/>
      <c r="N61" s="51"/>
      <c r="O61" s="51"/>
      <c r="P61" s="51"/>
      <c r="Q61" s="51"/>
      <c r="R61" s="51"/>
      <c r="S61" s="51"/>
      <c r="T61" s="51"/>
    </row>
    <row r="62">
      <c r="A62" s="51"/>
      <c r="B62" s="51"/>
      <c r="C62" s="56"/>
      <c r="D62" s="51"/>
      <c r="E62" s="51"/>
      <c r="F62" s="51"/>
      <c r="G62" s="51" t="str">
        <f>IFERROR(__xludf.DUMMYFUNCTION("""COMPUTED_VALUE"""),"#VALUE!")</f>
        <v>#VALUE!</v>
      </c>
      <c r="H62" s="51" t="str">
        <f>IFERROR(__xludf.DUMMYFUNCTION("""COMPUTED_VALUE"""),"")</f>
        <v/>
      </c>
      <c r="I62" s="51" t="str">
        <f>IFERROR(__xludf.DUMMYFUNCTION("""COMPUTED_VALUE"""),"#VALUE!")</f>
        <v>#VALUE!</v>
      </c>
      <c r="J62" s="51" t="str">
        <f>IFERROR(__xludf.DUMMYFUNCTION("""COMPUTED_VALUE"""),"")</f>
        <v/>
      </c>
      <c r="K62" s="51"/>
      <c r="L62" s="51" t="s">
        <v>257</v>
      </c>
      <c r="M62" s="51"/>
      <c r="N62" s="51"/>
      <c r="O62" s="51"/>
      <c r="P62" s="51"/>
      <c r="Q62" s="51"/>
      <c r="R62" s="51"/>
      <c r="S62" s="51"/>
      <c r="T62" s="51"/>
    </row>
    <row r="63">
      <c r="A63" s="51"/>
      <c r="B63" s="51"/>
      <c r="C63" s="56"/>
      <c r="D63" s="51"/>
      <c r="E63" s="51"/>
      <c r="F63" s="51"/>
      <c r="G63" s="51" t="str">
        <f>IFERROR(__xludf.DUMMYFUNCTION("""COMPUTED_VALUE"""),"#VALUE!")</f>
        <v>#VALUE!</v>
      </c>
      <c r="H63" s="51" t="str">
        <f>IFERROR(__xludf.DUMMYFUNCTION("""COMPUTED_VALUE"""),"")</f>
        <v/>
      </c>
      <c r="I63" s="51" t="str">
        <f>IFERROR(__xludf.DUMMYFUNCTION("""COMPUTED_VALUE"""),"#VALUE!")</f>
        <v>#VALUE!</v>
      </c>
      <c r="J63" s="51" t="str">
        <f>IFERROR(__xludf.DUMMYFUNCTION("""COMPUTED_VALUE"""),"")</f>
        <v/>
      </c>
      <c r="K63" s="51"/>
      <c r="L63" s="51" t="s">
        <v>257</v>
      </c>
      <c r="M63" s="51"/>
      <c r="N63" s="51"/>
      <c r="O63" s="51"/>
      <c r="P63" s="51"/>
      <c r="Q63" s="51"/>
      <c r="R63" s="51"/>
      <c r="S63" s="51"/>
      <c r="T63" s="51"/>
    </row>
    <row r="64">
      <c r="A64" s="51"/>
      <c r="B64" s="51"/>
      <c r="C64" s="56"/>
      <c r="D64" s="51"/>
      <c r="E64" s="51"/>
      <c r="F64" s="51"/>
      <c r="G64" s="51" t="str">
        <f>IFERROR(__xludf.DUMMYFUNCTION("""COMPUTED_VALUE"""),"#VALUE!")</f>
        <v>#VALUE!</v>
      </c>
      <c r="H64" s="51" t="str">
        <f>IFERROR(__xludf.DUMMYFUNCTION("""COMPUTED_VALUE"""),"")</f>
        <v/>
      </c>
      <c r="I64" s="51" t="str">
        <f>IFERROR(__xludf.DUMMYFUNCTION("""COMPUTED_VALUE"""),"#VALUE!")</f>
        <v>#VALUE!</v>
      </c>
      <c r="J64" s="51" t="str">
        <f>IFERROR(__xludf.DUMMYFUNCTION("""COMPUTED_VALUE"""),"")</f>
        <v/>
      </c>
      <c r="K64" s="51"/>
      <c r="L64" s="51" t="s">
        <v>257</v>
      </c>
      <c r="M64" s="51"/>
      <c r="N64" s="51"/>
      <c r="O64" s="51"/>
      <c r="P64" s="51"/>
      <c r="Q64" s="51"/>
      <c r="R64" s="51"/>
      <c r="S64" s="51"/>
      <c r="T64" s="51"/>
    </row>
    <row r="65">
      <c r="A65" s="51"/>
      <c r="B65" s="51"/>
      <c r="C65" s="56"/>
      <c r="D65" s="51"/>
      <c r="E65" s="51"/>
      <c r="F65" s="51"/>
      <c r="G65" s="51" t="str">
        <f>IFERROR(__xludf.DUMMYFUNCTION("""COMPUTED_VALUE"""),"#VALUE!")</f>
        <v>#VALUE!</v>
      </c>
      <c r="H65" s="51" t="str">
        <f>IFERROR(__xludf.DUMMYFUNCTION("""COMPUTED_VALUE"""),"")</f>
        <v/>
      </c>
      <c r="I65" s="51" t="str">
        <f>IFERROR(__xludf.DUMMYFUNCTION("""COMPUTED_VALUE"""),"#VALUE!")</f>
        <v>#VALUE!</v>
      </c>
      <c r="J65" s="51" t="str">
        <f>IFERROR(__xludf.DUMMYFUNCTION("""COMPUTED_VALUE"""),"")</f>
        <v/>
      </c>
      <c r="K65" s="51"/>
      <c r="L65" s="51" t="s">
        <v>257</v>
      </c>
      <c r="M65" s="51"/>
      <c r="N65" s="51"/>
      <c r="O65" s="51"/>
      <c r="P65" s="51"/>
      <c r="Q65" s="51"/>
      <c r="R65" s="51"/>
      <c r="S65" s="51"/>
      <c r="T65" s="51"/>
    </row>
    <row r="66">
      <c r="A66" s="51"/>
      <c r="B66" s="51"/>
      <c r="C66" s="56"/>
      <c r="D66" s="51"/>
      <c r="E66" s="51"/>
      <c r="F66" s="51"/>
      <c r="G66" s="51" t="str">
        <f>IFERROR(__xludf.DUMMYFUNCTION("""COMPUTED_VALUE"""),"#VALUE!")</f>
        <v>#VALUE!</v>
      </c>
      <c r="H66" s="51" t="str">
        <f>IFERROR(__xludf.DUMMYFUNCTION("""COMPUTED_VALUE"""),"")</f>
        <v/>
      </c>
      <c r="I66" s="51" t="str">
        <f>IFERROR(__xludf.DUMMYFUNCTION("""COMPUTED_VALUE"""),"#VALUE!")</f>
        <v>#VALUE!</v>
      </c>
      <c r="J66" s="51" t="str">
        <f>IFERROR(__xludf.DUMMYFUNCTION("""COMPUTED_VALUE"""),"")</f>
        <v/>
      </c>
      <c r="K66" s="51"/>
      <c r="L66" s="51" t="s">
        <v>257</v>
      </c>
      <c r="M66" s="51"/>
      <c r="N66" s="51"/>
      <c r="O66" s="51"/>
      <c r="P66" s="51"/>
      <c r="Q66" s="51"/>
      <c r="R66" s="51"/>
      <c r="S66" s="51"/>
      <c r="T66" s="51"/>
    </row>
    <row r="67">
      <c r="A67" s="51"/>
      <c r="B67" s="51"/>
      <c r="C67" s="56"/>
      <c r="D67" s="51"/>
      <c r="E67" s="51"/>
      <c r="F67" s="51"/>
      <c r="G67" s="51" t="str">
        <f>IFERROR(__xludf.DUMMYFUNCTION("""COMPUTED_VALUE"""),"#VALUE!")</f>
        <v>#VALUE!</v>
      </c>
      <c r="H67" s="51" t="str">
        <f>IFERROR(__xludf.DUMMYFUNCTION("""COMPUTED_VALUE"""),"")</f>
        <v/>
      </c>
      <c r="I67" s="51" t="str">
        <f>IFERROR(__xludf.DUMMYFUNCTION("""COMPUTED_VALUE"""),"#VALUE!")</f>
        <v>#VALUE!</v>
      </c>
      <c r="J67" s="51" t="str">
        <f>IFERROR(__xludf.DUMMYFUNCTION("""COMPUTED_VALUE"""),"")</f>
        <v/>
      </c>
      <c r="K67" s="51"/>
      <c r="L67" s="51" t="s">
        <v>257</v>
      </c>
      <c r="M67" s="51"/>
      <c r="N67" s="51"/>
      <c r="O67" s="51"/>
      <c r="P67" s="51"/>
      <c r="Q67" s="51"/>
      <c r="R67" s="51"/>
      <c r="S67" s="51"/>
      <c r="T67" s="51"/>
    </row>
    <row r="68">
      <c r="A68" s="51"/>
      <c r="B68" s="51"/>
      <c r="C68" s="56"/>
      <c r="D68" s="51"/>
      <c r="E68" s="51"/>
      <c r="F68" s="51"/>
      <c r="G68" s="51" t="str">
        <f>IFERROR(__xludf.DUMMYFUNCTION("""COMPUTED_VALUE"""),"#VALUE!")</f>
        <v>#VALUE!</v>
      </c>
      <c r="H68" s="51" t="str">
        <f>IFERROR(__xludf.DUMMYFUNCTION("""COMPUTED_VALUE"""),"")</f>
        <v/>
      </c>
      <c r="I68" s="51" t="str">
        <f>IFERROR(__xludf.DUMMYFUNCTION("""COMPUTED_VALUE"""),"#VALUE!")</f>
        <v>#VALUE!</v>
      </c>
      <c r="J68" s="51" t="str">
        <f>IFERROR(__xludf.DUMMYFUNCTION("""COMPUTED_VALUE"""),"")</f>
        <v/>
      </c>
      <c r="K68" s="51"/>
      <c r="L68" s="51" t="s">
        <v>257</v>
      </c>
      <c r="M68" s="51"/>
      <c r="N68" s="51"/>
      <c r="O68" s="51"/>
      <c r="P68" s="51"/>
      <c r="Q68" s="51"/>
      <c r="R68" s="51"/>
      <c r="S68" s="51"/>
      <c r="T68" s="51"/>
    </row>
    <row r="69">
      <c r="A69" s="51"/>
      <c r="B69" s="51"/>
      <c r="C69" s="56"/>
      <c r="D69" s="51"/>
      <c r="E69" s="51"/>
      <c r="F69" s="51"/>
      <c r="G69" s="51" t="str">
        <f>IFERROR(__xludf.DUMMYFUNCTION("""COMPUTED_VALUE"""),"#VALUE!")</f>
        <v>#VALUE!</v>
      </c>
      <c r="H69" s="51" t="str">
        <f>IFERROR(__xludf.DUMMYFUNCTION("""COMPUTED_VALUE"""),"")</f>
        <v/>
      </c>
      <c r="I69" s="51" t="str">
        <f>IFERROR(__xludf.DUMMYFUNCTION("""COMPUTED_VALUE"""),"#VALUE!")</f>
        <v>#VALUE!</v>
      </c>
      <c r="J69" s="51" t="str">
        <f>IFERROR(__xludf.DUMMYFUNCTION("""COMPUTED_VALUE"""),"")</f>
        <v/>
      </c>
      <c r="K69" s="51"/>
      <c r="L69" s="51" t="s">
        <v>257</v>
      </c>
      <c r="M69" s="51"/>
      <c r="N69" s="51"/>
      <c r="O69" s="51"/>
      <c r="P69" s="51"/>
      <c r="Q69" s="51"/>
      <c r="R69" s="51"/>
      <c r="S69" s="51"/>
      <c r="T69" s="51"/>
    </row>
    <row r="70">
      <c r="A70" s="51"/>
      <c r="B70" s="51"/>
      <c r="C70" s="56"/>
      <c r="D70" s="51"/>
      <c r="E70" s="51"/>
      <c r="F70" s="51"/>
      <c r="G70" s="51" t="str">
        <f>IFERROR(__xludf.DUMMYFUNCTION("""COMPUTED_VALUE"""),"#VALUE!")</f>
        <v>#VALUE!</v>
      </c>
      <c r="H70" s="51" t="str">
        <f>IFERROR(__xludf.DUMMYFUNCTION("""COMPUTED_VALUE"""),"")</f>
        <v/>
      </c>
      <c r="I70" s="51" t="str">
        <f>IFERROR(__xludf.DUMMYFUNCTION("""COMPUTED_VALUE"""),"#VALUE!")</f>
        <v>#VALUE!</v>
      </c>
      <c r="J70" s="51" t="str">
        <f>IFERROR(__xludf.DUMMYFUNCTION("""COMPUTED_VALUE"""),"")</f>
        <v/>
      </c>
      <c r="K70" s="51"/>
      <c r="L70" s="51" t="s">
        <v>257</v>
      </c>
      <c r="M70" s="51"/>
      <c r="N70" s="51"/>
      <c r="O70" s="51"/>
      <c r="P70" s="51"/>
      <c r="Q70" s="51"/>
      <c r="R70" s="51"/>
      <c r="S70" s="51"/>
      <c r="T70" s="51"/>
    </row>
    <row r="71">
      <c r="A71" s="51"/>
      <c r="B71" s="51"/>
      <c r="C71" s="56"/>
      <c r="D71" s="51"/>
      <c r="E71" s="51"/>
      <c r="F71" s="51"/>
      <c r="G71" s="51" t="str">
        <f>IFERROR(__xludf.DUMMYFUNCTION("""COMPUTED_VALUE"""),"#VALUE!")</f>
        <v>#VALUE!</v>
      </c>
      <c r="H71" s="51" t="str">
        <f>IFERROR(__xludf.DUMMYFUNCTION("""COMPUTED_VALUE"""),"")</f>
        <v/>
      </c>
      <c r="I71" s="51" t="str">
        <f>IFERROR(__xludf.DUMMYFUNCTION("""COMPUTED_VALUE"""),"#VALUE!")</f>
        <v>#VALUE!</v>
      </c>
      <c r="J71" s="51" t="str">
        <f>IFERROR(__xludf.DUMMYFUNCTION("""COMPUTED_VALUE"""),"")</f>
        <v/>
      </c>
      <c r="K71" s="51"/>
      <c r="L71" s="51" t="s">
        <v>257</v>
      </c>
      <c r="M71" s="51"/>
      <c r="N71" s="51"/>
      <c r="O71" s="51"/>
      <c r="P71" s="51"/>
      <c r="Q71" s="51"/>
      <c r="R71" s="51"/>
      <c r="S71" s="51"/>
      <c r="T71" s="51"/>
    </row>
    <row r="72">
      <c r="A72" s="51"/>
      <c r="B72" s="51"/>
      <c r="C72" s="56"/>
      <c r="D72" s="51"/>
      <c r="E72" s="51"/>
      <c r="F72" s="51"/>
      <c r="G72" s="51" t="str">
        <f>IFERROR(__xludf.DUMMYFUNCTION("""COMPUTED_VALUE"""),"#VALUE!")</f>
        <v>#VALUE!</v>
      </c>
      <c r="H72" s="51" t="str">
        <f>IFERROR(__xludf.DUMMYFUNCTION("""COMPUTED_VALUE"""),"")</f>
        <v/>
      </c>
      <c r="I72" s="51" t="str">
        <f>IFERROR(__xludf.DUMMYFUNCTION("""COMPUTED_VALUE"""),"#VALUE!")</f>
        <v>#VALUE!</v>
      </c>
      <c r="J72" s="51" t="str">
        <f>IFERROR(__xludf.DUMMYFUNCTION("""COMPUTED_VALUE"""),"")</f>
        <v/>
      </c>
      <c r="K72" s="51"/>
      <c r="L72" s="51" t="s">
        <v>257</v>
      </c>
      <c r="M72" s="51"/>
      <c r="N72" s="51"/>
      <c r="O72" s="51"/>
      <c r="P72" s="51"/>
      <c r="Q72" s="51"/>
      <c r="R72" s="51"/>
      <c r="S72" s="51"/>
      <c r="T72" s="51"/>
    </row>
    <row r="73">
      <c r="A73" s="51"/>
      <c r="B73" s="51"/>
      <c r="C73" s="56"/>
      <c r="D73" s="51"/>
      <c r="E73" s="51"/>
      <c r="F73" s="51"/>
      <c r="G73" s="51" t="str">
        <f>IFERROR(__xludf.DUMMYFUNCTION("""COMPUTED_VALUE"""),"#VALUE!")</f>
        <v>#VALUE!</v>
      </c>
      <c r="H73" s="51" t="str">
        <f>IFERROR(__xludf.DUMMYFUNCTION("""COMPUTED_VALUE"""),"")</f>
        <v/>
      </c>
      <c r="I73" s="51" t="str">
        <f>IFERROR(__xludf.DUMMYFUNCTION("""COMPUTED_VALUE"""),"#VALUE!")</f>
        <v>#VALUE!</v>
      </c>
      <c r="J73" s="51" t="str">
        <f>IFERROR(__xludf.DUMMYFUNCTION("""COMPUTED_VALUE"""),"")</f>
        <v/>
      </c>
      <c r="K73" s="51"/>
      <c r="L73" s="51" t="s">
        <v>257</v>
      </c>
      <c r="M73" s="51"/>
      <c r="N73" s="51"/>
      <c r="O73" s="51"/>
      <c r="P73" s="51"/>
      <c r="Q73" s="51"/>
      <c r="R73" s="51"/>
      <c r="S73" s="51"/>
      <c r="T73" s="51"/>
    </row>
    <row r="74">
      <c r="A74" s="51"/>
      <c r="B74" s="51"/>
      <c r="C74" s="56"/>
      <c r="D74" s="51"/>
      <c r="E74" s="51"/>
      <c r="F74" s="51"/>
      <c r="G74" s="51" t="str">
        <f>IFERROR(__xludf.DUMMYFUNCTION("""COMPUTED_VALUE"""),"#VALUE!")</f>
        <v>#VALUE!</v>
      </c>
      <c r="H74" s="51" t="str">
        <f>IFERROR(__xludf.DUMMYFUNCTION("""COMPUTED_VALUE"""),"")</f>
        <v/>
      </c>
      <c r="I74" s="51" t="str">
        <f>IFERROR(__xludf.DUMMYFUNCTION("""COMPUTED_VALUE"""),"#VALUE!")</f>
        <v>#VALUE!</v>
      </c>
      <c r="J74" s="51" t="str">
        <f>IFERROR(__xludf.DUMMYFUNCTION("""COMPUTED_VALUE"""),"")</f>
        <v/>
      </c>
      <c r="K74" s="51"/>
      <c r="L74" s="51" t="s">
        <v>257</v>
      </c>
      <c r="M74" s="51"/>
      <c r="N74" s="51"/>
      <c r="O74" s="51"/>
      <c r="P74" s="51"/>
      <c r="Q74" s="51"/>
      <c r="R74" s="51"/>
      <c r="S74" s="51"/>
      <c r="T74" s="51"/>
    </row>
    <row r="75">
      <c r="A75" s="51"/>
      <c r="B75" s="51"/>
      <c r="C75" s="56"/>
      <c r="D75" s="51"/>
      <c r="E75" s="51"/>
      <c r="F75" s="51"/>
      <c r="G75" s="51" t="str">
        <f>IFERROR(__xludf.DUMMYFUNCTION("""COMPUTED_VALUE"""),"#VALUE!")</f>
        <v>#VALUE!</v>
      </c>
      <c r="H75" s="51" t="str">
        <f>IFERROR(__xludf.DUMMYFUNCTION("""COMPUTED_VALUE"""),"")</f>
        <v/>
      </c>
      <c r="I75" s="51" t="str">
        <f>IFERROR(__xludf.DUMMYFUNCTION("""COMPUTED_VALUE"""),"#VALUE!")</f>
        <v>#VALUE!</v>
      </c>
      <c r="J75" s="51" t="str">
        <f>IFERROR(__xludf.DUMMYFUNCTION("""COMPUTED_VALUE"""),"")</f>
        <v/>
      </c>
      <c r="K75" s="51"/>
      <c r="L75" s="51" t="s">
        <v>257</v>
      </c>
      <c r="M75" s="51"/>
      <c r="N75" s="51"/>
      <c r="O75" s="51"/>
      <c r="P75" s="51"/>
      <c r="Q75" s="51"/>
      <c r="R75" s="51"/>
      <c r="S75" s="51"/>
      <c r="T75" s="51"/>
    </row>
    <row r="76">
      <c r="A76" s="51"/>
      <c r="B76" s="51"/>
      <c r="C76" s="56"/>
      <c r="D76" s="51"/>
      <c r="E76" s="51"/>
      <c r="F76" s="51"/>
      <c r="G76" s="51" t="str">
        <f>IFERROR(__xludf.DUMMYFUNCTION("""COMPUTED_VALUE"""),"#VALUE!")</f>
        <v>#VALUE!</v>
      </c>
      <c r="H76" s="51" t="str">
        <f>IFERROR(__xludf.DUMMYFUNCTION("""COMPUTED_VALUE"""),"")</f>
        <v/>
      </c>
      <c r="I76" s="51" t="str">
        <f>IFERROR(__xludf.DUMMYFUNCTION("""COMPUTED_VALUE"""),"#VALUE!")</f>
        <v>#VALUE!</v>
      </c>
      <c r="J76" s="51" t="str">
        <f>IFERROR(__xludf.DUMMYFUNCTION("""COMPUTED_VALUE"""),"")</f>
        <v/>
      </c>
      <c r="K76" s="51"/>
      <c r="L76" s="51" t="s">
        <v>257</v>
      </c>
      <c r="M76" s="51"/>
      <c r="N76" s="51"/>
      <c r="O76" s="51"/>
      <c r="P76" s="51"/>
      <c r="Q76" s="51"/>
      <c r="R76" s="51"/>
      <c r="S76" s="51"/>
      <c r="T76" s="51"/>
    </row>
    <row r="77">
      <c r="A77" s="51"/>
      <c r="B77" s="51"/>
      <c r="C77" s="56"/>
      <c r="D77" s="51"/>
      <c r="E77" s="51"/>
      <c r="F77" s="51"/>
      <c r="G77" s="51" t="str">
        <f>IFERROR(__xludf.DUMMYFUNCTION("""COMPUTED_VALUE"""),"#VALUE!")</f>
        <v>#VALUE!</v>
      </c>
      <c r="H77" s="51" t="str">
        <f>IFERROR(__xludf.DUMMYFUNCTION("""COMPUTED_VALUE"""),"")</f>
        <v/>
      </c>
      <c r="I77" s="51" t="str">
        <f>IFERROR(__xludf.DUMMYFUNCTION("""COMPUTED_VALUE"""),"#VALUE!")</f>
        <v>#VALUE!</v>
      </c>
      <c r="J77" s="51" t="str">
        <f>IFERROR(__xludf.DUMMYFUNCTION("""COMPUTED_VALUE"""),"")</f>
        <v/>
      </c>
      <c r="K77" s="51"/>
      <c r="L77" s="51" t="s">
        <v>257</v>
      </c>
      <c r="M77" s="51"/>
      <c r="N77" s="51"/>
      <c r="O77" s="51"/>
      <c r="P77" s="51"/>
      <c r="Q77" s="51"/>
      <c r="R77" s="51"/>
      <c r="S77" s="51"/>
      <c r="T77" s="51"/>
    </row>
    <row r="78">
      <c r="A78" s="51"/>
      <c r="B78" s="51"/>
      <c r="C78" s="56"/>
      <c r="D78" s="51"/>
      <c r="E78" s="51"/>
      <c r="F78" s="51"/>
      <c r="G78" s="51" t="str">
        <f>IFERROR(__xludf.DUMMYFUNCTION("""COMPUTED_VALUE"""),"#VALUE!")</f>
        <v>#VALUE!</v>
      </c>
      <c r="H78" s="51" t="str">
        <f>IFERROR(__xludf.DUMMYFUNCTION("""COMPUTED_VALUE"""),"")</f>
        <v/>
      </c>
      <c r="I78" s="51" t="str">
        <f>IFERROR(__xludf.DUMMYFUNCTION("""COMPUTED_VALUE"""),"#VALUE!")</f>
        <v>#VALUE!</v>
      </c>
      <c r="J78" s="51" t="str">
        <f>IFERROR(__xludf.DUMMYFUNCTION("""COMPUTED_VALUE"""),"")</f>
        <v/>
      </c>
      <c r="K78" s="51"/>
      <c r="L78" s="51" t="s">
        <v>257</v>
      </c>
      <c r="M78" s="51"/>
      <c r="N78" s="51"/>
      <c r="O78" s="51"/>
      <c r="P78" s="51"/>
      <c r="Q78" s="51"/>
      <c r="R78" s="51"/>
      <c r="S78" s="51"/>
      <c r="T78" s="51"/>
    </row>
    <row r="79">
      <c r="A79" s="51"/>
      <c r="B79" s="51"/>
      <c r="C79" s="56"/>
      <c r="D79" s="51"/>
      <c r="E79" s="51"/>
      <c r="F79" s="51"/>
      <c r="G79" s="51" t="str">
        <f>IFERROR(__xludf.DUMMYFUNCTION("""COMPUTED_VALUE"""),"#VALUE!")</f>
        <v>#VALUE!</v>
      </c>
      <c r="H79" s="51" t="str">
        <f>IFERROR(__xludf.DUMMYFUNCTION("""COMPUTED_VALUE"""),"")</f>
        <v/>
      </c>
      <c r="I79" s="51" t="str">
        <f>IFERROR(__xludf.DUMMYFUNCTION("""COMPUTED_VALUE"""),"#VALUE!")</f>
        <v>#VALUE!</v>
      </c>
      <c r="J79" s="51" t="str">
        <f>IFERROR(__xludf.DUMMYFUNCTION("""COMPUTED_VALUE"""),"")</f>
        <v/>
      </c>
      <c r="K79" s="51"/>
      <c r="L79" s="51" t="s">
        <v>257</v>
      </c>
      <c r="M79" s="51"/>
      <c r="N79" s="51"/>
      <c r="O79" s="51"/>
      <c r="P79" s="51"/>
      <c r="Q79" s="51"/>
      <c r="R79" s="51"/>
      <c r="S79" s="51"/>
      <c r="T79" s="51"/>
    </row>
    <row r="80">
      <c r="A80" s="51"/>
      <c r="B80" s="51"/>
      <c r="C80" s="56"/>
      <c r="D80" s="51"/>
      <c r="E80" s="51"/>
      <c r="F80" s="51"/>
      <c r="G80" s="51" t="str">
        <f>IFERROR(__xludf.DUMMYFUNCTION("""COMPUTED_VALUE"""),"#VALUE!")</f>
        <v>#VALUE!</v>
      </c>
      <c r="H80" s="51" t="str">
        <f>IFERROR(__xludf.DUMMYFUNCTION("""COMPUTED_VALUE"""),"")</f>
        <v/>
      </c>
      <c r="I80" s="51" t="str">
        <f>IFERROR(__xludf.DUMMYFUNCTION("""COMPUTED_VALUE"""),"#VALUE!")</f>
        <v>#VALUE!</v>
      </c>
      <c r="J80" s="51" t="str">
        <f>IFERROR(__xludf.DUMMYFUNCTION("""COMPUTED_VALUE"""),"")</f>
        <v/>
      </c>
      <c r="K80" s="51"/>
      <c r="L80" s="51" t="s">
        <v>257</v>
      </c>
      <c r="M80" s="51"/>
      <c r="N80" s="51"/>
      <c r="O80" s="51"/>
      <c r="P80" s="51"/>
      <c r="Q80" s="51"/>
      <c r="R80" s="51"/>
      <c r="S80" s="51"/>
      <c r="T80" s="51"/>
    </row>
    <row r="81">
      <c r="A81" s="51"/>
      <c r="B81" s="51"/>
      <c r="C81" s="56"/>
      <c r="D81" s="51"/>
      <c r="E81" s="51"/>
      <c r="F81" s="51"/>
      <c r="G81" s="51" t="str">
        <f>IFERROR(__xludf.DUMMYFUNCTION("""COMPUTED_VALUE"""),"#VALUE!")</f>
        <v>#VALUE!</v>
      </c>
      <c r="H81" s="51" t="str">
        <f>IFERROR(__xludf.DUMMYFUNCTION("""COMPUTED_VALUE"""),"")</f>
        <v/>
      </c>
      <c r="I81" s="51" t="str">
        <f>IFERROR(__xludf.DUMMYFUNCTION("""COMPUTED_VALUE"""),"#VALUE!")</f>
        <v>#VALUE!</v>
      </c>
      <c r="J81" s="51" t="str">
        <f>IFERROR(__xludf.DUMMYFUNCTION("""COMPUTED_VALUE"""),"")</f>
        <v/>
      </c>
      <c r="K81" s="51"/>
      <c r="L81" s="51" t="s">
        <v>257</v>
      </c>
      <c r="M81" s="51"/>
      <c r="N81" s="51"/>
      <c r="O81" s="51"/>
      <c r="P81" s="51"/>
      <c r="Q81" s="51"/>
      <c r="R81" s="51"/>
      <c r="S81" s="51"/>
      <c r="T81" s="51"/>
    </row>
    <row r="82">
      <c r="A82" s="51"/>
      <c r="B82" s="51"/>
      <c r="C82" s="56"/>
      <c r="D82" s="51"/>
      <c r="E82" s="51"/>
      <c r="F82" s="51"/>
      <c r="G82" s="51" t="str">
        <f>IFERROR(__xludf.DUMMYFUNCTION("""COMPUTED_VALUE"""),"#VALUE!")</f>
        <v>#VALUE!</v>
      </c>
      <c r="H82" s="51" t="str">
        <f>IFERROR(__xludf.DUMMYFUNCTION("""COMPUTED_VALUE"""),"")</f>
        <v/>
      </c>
      <c r="I82" s="51" t="str">
        <f>IFERROR(__xludf.DUMMYFUNCTION("""COMPUTED_VALUE"""),"#VALUE!")</f>
        <v>#VALUE!</v>
      </c>
      <c r="J82" s="51" t="str">
        <f>IFERROR(__xludf.DUMMYFUNCTION("""COMPUTED_VALUE"""),"")</f>
        <v/>
      </c>
      <c r="K82" s="51"/>
      <c r="L82" s="51" t="s">
        <v>257</v>
      </c>
      <c r="M82" s="51"/>
      <c r="N82" s="51"/>
      <c r="O82" s="51"/>
      <c r="P82" s="51"/>
      <c r="Q82" s="51"/>
      <c r="R82" s="51"/>
      <c r="S82" s="51"/>
      <c r="T82" s="51"/>
    </row>
    <row r="83">
      <c r="A83" s="51"/>
      <c r="B83" s="51"/>
      <c r="C83" s="56"/>
      <c r="D83" s="51"/>
      <c r="E83" s="51"/>
      <c r="F83" s="51"/>
      <c r="G83" s="51" t="str">
        <f>IFERROR(__xludf.DUMMYFUNCTION("""COMPUTED_VALUE"""),"#VALUE!")</f>
        <v>#VALUE!</v>
      </c>
      <c r="H83" s="51" t="str">
        <f>IFERROR(__xludf.DUMMYFUNCTION("""COMPUTED_VALUE"""),"")</f>
        <v/>
      </c>
      <c r="I83" s="51" t="str">
        <f>IFERROR(__xludf.DUMMYFUNCTION("""COMPUTED_VALUE"""),"#VALUE!")</f>
        <v>#VALUE!</v>
      </c>
      <c r="J83" s="51" t="str">
        <f>IFERROR(__xludf.DUMMYFUNCTION("""COMPUTED_VALUE"""),"")</f>
        <v/>
      </c>
      <c r="K83" s="51"/>
      <c r="L83" s="51" t="s">
        <v>257</v>
      </c>
      <c r="M83" s="51"/>
      <c r="N83" s="51"/>
      <c r="O83" s="51"/>
      <c r="P83" s="51"/>
      <c r="Q83" s="51"/>
      <c r="R83" s="51"/>
      <c r="S83" s="51"/>
      <c r="T83" s="51"/>
    </row>
    <row r="84">
      <c r="A84" s="51"/>
      <c r="B84" s="51"/>
      <c r="C84" s="56"/>
      <c r="D84" s="51"/>
      <c r="E84" s="51"/>
      <c r="F84" s="51"/>
      <c r="G84" s="51" t="str">
        <f>IFERROR(__xludf.DUMMYFUNCTION("""COMPUTED_VALUE"""),"#VALUE!")</f>
        <v>#VALUE!</v>
      </c>
      <c r="H84" s="51" t="str">
        <f>IFERROR(__xludf.DUMMYFUNCTION("""COMPUTED_VALUE"""),"")</f>
        <v/>
      </c>
      <c r="I84" s="51" t="str">
        <f>IFERROR(__xludf.DUMMYFUNCTION("""COMPUTED_VALUE"""),"#VALUE!")</f>
        <v>#VALUE!</v>
      </c>
      <c r="J84" s="51" t="str">
        <f>IFERROR(__xludf.DUMMYFUNCTION("""COMPUTED_VALUE"""),"")</f>
        <v/>
      </c>
      <c r="K84" s="51"/>
      <c r="L84" s="51" t="s">
        <v>257</v>
      </c>
      <c r="M84" s="51"/>
      <c r="N84" s="51"/>
      <c r="O84" s="51"/>
      <c r="P84" s="51"/>
      <c r="Q84" s="51"/>
      <c r="R84" s="51"/>
      <c r="S84" s="51"/>
      <c r="T84" s="51"/>
    </row>
    <row r="85">
      <c r="A85" s="51"/>
      <c r="B85" s="51"/>
      <c r="C85" s="56"/>
      <c r="D85" s="51"/>
      <c r="E85" s="51"/>
      <c r="F85" s="51"/>
      <c r="G85" s="51" t="str">
        <f>IFERROR(__xludf.DUMMYFUNCTION("""COMPUTED_VALUE"""),"#VALUE!")</f>
        <v>#VALUE!</v>
      </c>
      <c r="H85" s="51" t="str">
        <f>IFERROR(__xludf.DUMMYFUNCTION("""COMPUTED_VALUE"""),"")</f>
        <v/>
      </c>
      <c r="I85" s="51" t="str">
        <f>IFERROR(__xludf.DUMMYFUNCTION("""COMPUTED_VALUE"""),"#VALUE!")</f>
        <v>#VALUE!</v>
      </c>
      <c r="J85" s="51" t="str">
        <f>IFERROR(__xludf.DUMMYFUNCTION("""COMPUTED_VALUE"""),"")</f>
        <v/>
      </c>
      <c r="K85" s="51"/>
      <c r="L85" s="51" t="s">
        <v>257</v>
      </c>
      <c r="M85" s="51"/>
      <c r="N85" s="51"/>
      <c r="O85" s="51"/>
      <c r="P85" s="51"/>
      <c r="Q85" s="51"/>
      <c r="R85" s="51"/>
      <c r="S85" s="51"/>
      <c r="T85" s="51"/>
    </row>
    <row r="86">
      <c r="A86" s="51"/>
      <c r="B86" s="51"/>
      <c r="C86" s="56"/>
      <c r="D86" s="51"/>
      <c r="E86" s="51"/>
      <c r="F86" s="51"/>
      <c r="G86" s="51" t="str">
        <f>IFERROR(__xludf.DUMMYFUNCTION("""COMPUTED_VALUE"""),"#VALUE!")</f>
        <v>#VALUE!</v>
      </c>
      <c r="H86" s="51" t="str">
        <f>IFERROR(__xludf.DUMMYFUNCTION("""COMPUTED_VALUE"""),"")</f>
        <v/>
      </c>
      <c r="I86" s="51" t="str">
        <f>IFERROR(__xludf.DUMMYFUNCTION("""COMPUTED_VALUE"""),"#VALUE!")</f>
        <v>#VALUE!</v>
      </c>
      <c r="J86" s="51" t="str">
        <f>IFERROR(__xludf.DUMMYFUNCTION("""COMPUTED_VALUE"""),"")</f>
        <v/>
      </c>
      <c r="K86" s="51"/>
      <c r="L86" s="51" t="s">
        <v>257</v>
      </c>
      <c r="M86" s="51"/>
      <c r="N86" s="51"/>
      <c r="O86" s="51"/>
      <c r="P86" s="51"/>
      <c r="Q86" s="51"/>
      <c r="R86" s="51"/>
      <c r="S86" s="51"/>
      <c r="T86" s="51"/>
    </row>
    <row r="87">
      <c r="A87" s="51"/>
      <c r="B87" s="51"/>
      <c r="C87" s="56"/>
      <c r="D87" s="51"/>
      <c r="E87" s="51"/>
      <c r="F87" s="51"/>
      <c r="G87" s="51" t="str">
        <f>IFERROR(__xludf.DUMMYFUNCTION("""COMPUTED_VALUE"""),"#VALUE!")</f>
        <v>#VALUE!</v>
      </c>
      <c r="H87" s="51" t="str">
        <f>IFERROR(__xludf.DUMMYFUNCTION("""COMPUTED_VALUE"""),"")</f>
        <v/>
      </c>
      <c r="I87" s="51" t="str">
        <f>IFERROR(__xludf.DUMMYFUNCTION("""COMPUTED_VALUE"""),"#VALUE!")</f>
        <v>#VALUE!</v>
      </c>
      <c r="J87" s="51" t="str">
        <f>IFERROR(__xludf.DUMMYFUNCTION("""COMPUTED_VALUE"""),"")</f>
        <v/>
      </c>
      <c r="K87" s="51"/>
      <c r="L87" s="51" t="s">
        <v>257</v>
      </c>
      <c r="M87" s="51"/>
      <c r="N87" s="51"/>
      <c r="O87" s="51"/>
      <c r="P87" s="51"/>
      <c r="Q87" s="51"/>
      <c r="R87" s="51"/>
      <c r="S87" s="51"/>
      <c r="T87" s="51"/>
    </row>
    <row r="88">
      <c r="A88" s="51"/>
      <c r="B88" s="51"/>
      <c r="C88" s="56"/>
      <c r="D88" s="51"/>
      <c r="E88" s="51"/>
      <c r="F88" s="51"/>
      <c r="G88" s="51" t="str">
        <f>IFERROR(__xludf.DUMMYFUNCTION("""COMPUTED_VALUE"""),"#VALUE!")</f>
        <v>#VALUE!</v>
      </c>
      <c r="H88" s="51" t="str">
        <f>IFERROR(__xludf.DUMMYFUNCTION("""COMPUTED_VALUE"""),"")</f>
        <v/>
      </c>
      <c r="I88" s="51" t="str">
        <f>IFERROR(__xludf.DUMMYFUNCTION("""COMPUTED_VALUE"""),"#VALUE!")</f>
        <v>#VALUE!</v>
      </c>
      <c r="J88" s="51" t="str">
        <f>IFERROR(__xludf.DUMMYFUNCTION("""COMPUTED_VALUE"""),"")</f>
        <v/>
      </c>
      <c r="K88" s="51"/>
      <c r="L88" s="51" t="s">
        <v>257</v>
      </c>
      <c r="M88" s="51"/>
      <c r="N88" s="51"/>
      <c r="O88" s="51"/>
      <c r="P88" s="51"/>
      <c r="Q88" s="51"/>
      <c r="R88" s="51"/>
      <c r="S88" s="51"/>
      <c r="T88" s="51"/>
    </row>
    <row r="89">
      <c r="A89" s="51"/>
      <c r="B89" s="51"/>
      <c r="C89" s="56"/>
      <c r="D89" s="51"/>
      <c r="E89" s="51"/>
      <c r="F89" s="51"/>
      <c r="G89" s="51" t="str">
        <f>IFERROR(__xludf.DUMMYFUNCTION("""COMPUTED_VALUE"""),"#VALUE!")</f>
        <v>#VALUE!</v>
      </c>
      <c r="H89" s="51" t="str">
        <f>IFERROR(__xludf.DUMMYFUNCTION("""COMPUTED_VALUE"""),"")</f>
        <v/>
      </c>
      <c r="I89" s="51" t="str">
        <f>IFERROR(__xludf.DUMMYFUNCTION("""COMPUTED_VALUE"""),"#VALUE!")</f>
        <v>#VALUE!</v>
      </c>
      <c r="J89" s="51" t="str">
        <f>IFERROR(__xludf.DUMMYFUNCTION("""COMPUTED_VALUE"""),"")</f>
        <v/>
      </c>
      <c r="K89" s="51"/>
      <c r="L89" s="51" t="s">
        <v>257</v>
      </c>
      <c r="M89" s="51"/>
      <c r="N89" s="51"/>
      <c r="O89" s="51"/>
      <c r="P89" s="51"/>
      <c r="Q89" s="51"/>
      <c r="R89" s="51"/>
      <c r="S89" s="51"/>
      <c r="T89" s="51"/>
    </row>
    <row r="90">
      <c r="A90" s="51"/>
      <c r="B90" s="51"/>
      <c r="C90" s="56"/>
      <c r="D90" s="51"/>
      <c r="E90" s="51"/>
      <c r="F90" s="51"/>
      <c r="G90" s="51" t="str">
        <f>IFERROR(__xludf.DUMMYFUNCTION("""COMPUTED_VALUE"""),"#VALUE!")</f>
        <v>#VALUE!</v>
      </c>
      <c r="H90" s="51" t="str">
        <f>IFERROR(__xludf.DUMMYFUNCTION("""COMPUTED_VALUE"""),"")</f>
        <v/>
      </c>
      <c r="I90" s="51" t="str">
        <f>IFERROR(__xludf.DUMMYFUNCTION("""COMPUTED_VALUE"""),"#VALUE!")</f>
        <v>#VALUE!</v>
      </c>
      <c r="J90" s="51" t="str">
        <f>IFERROR(__xludf.DUMMYFUNCTION("""COMPUTED_VALUE"""),"")</f>
        <v/>
      </c>
      <c r="K90" s="51"/>
      <c r="L90" s="51" t="s">
        <v>257</v>
      </c>
      <c r="M90" s="51"/>
      <c r="N90" s="51"/>
      <c r="O90" s="51"/>
      <c r="P90" s="51"/>
      <c r="Q90" s="51"/>
      <c r="R90" s="51"/>
      <c r="S90" s="51"/>
      <c r="T90" s="51"/>
    </row>
    <row r="91">
      <c r="A91" s="51"/>
      <c r="B91" s="51"/>
      <c r="C91" s="56"/>
      <c r="D91" s="51"/>
      <c r="E91" s="51"/>
      <c r="F91" s="51"/>
      <c r="G91" s="51" t="str">
        <f>IFERROR(__xludf.DUMMYFUNCTION("""COMPUTED_VALUE"""),"#VALUE!")</f>
        <v>#VALUE!</v>
      </c>
      <c r="H91" s="51" t="str">
        <f>IFERROR(__xludf.DUMMYFUNCTION("""COMPUTED_VALUE"""),"")</f>
        <v/>
      </c>
      <c r="I91" s="51" t="str">
        <f>IFERROR(__xludf.DUMMYFUNCTION("""COMPUTED_VALUE"""),"#VALUE!")</f>
        <v>#VALUE!</v>
      </c>
      <c r="J91" s="51" t="str">
        <f>IFERROR(__xludf.DUMMYFUNCTION("""COMPUTED_VALUE"""),"")</f>
        <v/>
      </c>
      <c r="K91" s="51"/>
      <c r="L91" s="51" t="s">
        <v>257</v>
      </c>
      <c r="M91" s="51"/>
      <c r="N91" s="51"/>
      <c r="O91" s="51"/>
      <c r="P91" s="51"/>
      <c r="Q91" s="51"/>
      <c r="R91" s="51"/>
      <c r="S91" s="51"/>
      <c r="T91" s="51"/>
    </row>
    <row r="92">
      <c r="A92" s="51"/>
      <c r="B92" s="51"/>
      <c r="C92" s="56"/>
      <c r="D92" s="51"/>
      <c r="E92" s="51"/>
      <c r="F92" s="51"/>
      <c r="G92" s="51" t="str">
        <f>IFERROR(__xludf.DUMMYFUNCTION("""COMPUTED_VALUE"""),"#VALUE!")</f>
        <v>#VALUE!</v>
      </c>
      <c r="H92" s="51" t="str">
        <f>IFERROR(__xludf.DUMMYFUNCTION("""COMPUTED_VALUE"""),"")</f>
        <v/>
      </c>
      <c r="I92" s="51" t="str">
        <f>IFERROR(__xludf.DUMMYFUNCTION("""COMPUTED_VALUE"""),"#VALUE!")</f>
        <v>#VALUE!</v>
      </c>
      <c r="J92" s="51" t="str">
        <f>IFERROR(__xludf.DUMMYFUNCTION("""COMPUTED_VALUE"""),"")</f>
        <v/>
      </c>
      <c r="K92" s="51"/>
      <c r="L92" s="51" t="s">
        <v>257</v>
      </c>
      <c r="M92" s="51"/>
      <c r="N92" s="51"/>
      <c r="O92" s="51"/>
      <c r="P92" s="51"/>
      <c r="Q92" s="51"/>
      <c r="R92" s="51"/>
      <c r="S92" s="51"/>
      <c r="T92" s="51"/>
    </row>
    <row r="93">
      <c r="A93" s="51"/>
      <c r="B93" s="51"/>
      <c r="C93" s="56"/>
      <c r="D93" s="51"/>
      <c r="E93" s="51"/>
      <c r="F93" s="51"/>
      <c r="G93" s="51" t="str">
        <f>IFERROR(__xludf.DUMMYFUNCTION("""COMPUTED_VALUE"""),"#VALUE!")</f>
        <v>#VALUE!</v>
      </c>
      <c r="H93" s="51" t="str">
        <f>IFERROR(__xludf.DUMMYFUNCTION("""COMPUTED_VALUE"""),"")</f>
        <v/>
      </c>
      <c r="I93" s="51" t="str">
        <f>IFERROR(__xludf.DUMMYFUNCTION("""COMPUTED_VALUE"""),"#VALUE!")</f>
        <v>#VALUE!</v>
      </c>
      <c r="J93" s="51" t="str">
        <f>IFERROR(__xludf.DUMMYFUNCTION("""COMPUTED_VALUE"""),"")</f>
        <v/>
      </c>
      <c r="K93" s="51"/>
      <c r="L93" s="51" t="s">
        <v>257</v>
      </c>
      <c r="M93" s="51"/>
      <c r="N93" s="51"/>
      <c r="O93" s="51"/>
      <c r="P93" s="51"/>
      <c r="Q93" s="51"/>
      <c r="R93" s="51"/>
      <c r="S93" s="51"/>
      <c r="T93" s="51"/>
    </row>
    <row r="94">
      <c r="A94" s="51"/>
      <c r="B94" s="51"/>
      <c r="C94" s="56"/>
      <c r="D94" s="51"/>
      <c r="E94" s="51"/>
      <c r="F94" s="51"/>
      <c r="G94" s="51" t="str">
        <f>IFERROR(__xludf.DUMMYFUNCTION("""COMPUTED_VALUE"""),"#VALUE!")</f>
        <v>#VALUE!</v>
      </c>
      <c r="H94" s="51" t="str">
        <f>IFERROR(__xludf.DUMMYFUNCTION("""COMPUTED_VALUE"""),"")</f>
        <v/>
      </c>
      <c r="I94" s="51" t="str">
        <f>IFERROR(__xludf.DUMMYFUNCTION("""COMPUTED_VALUE"""),"#VALUE!")</f>
        <v>#VALUE!</v>
      </c>
      <c r="J94" s="51" t="str">
        <f>IFERROR(__xludf.DUMMYFUNCTION("""COMPUTED_VALUE"""),"")</f>
        <v/>
      </c>
      <c r="K94" s="51"/>
      <c r="L94" s="51" t="s">
        <v>257</v>
      </c>
      <c r="M94" s="51"/>
      <c r="N94" s="51"/>
      <c r="O94" s="51"/>
      <c r="P94" s="51"/>
      <c r="Q94" s="51"/>
      <c r="R94" s="51"/>
      <c r="S94" s="51"/>
      <c r="T94" s="51"/>
    </row>
    <row r="95">
      <c r="A95" s="51"/>
      <c r="B95" s="51"/>
      <c r="C95" s="56"/>
      <c r="D95" s="51"/>
      <c r="E95" s="51"/>
      <c r="F95" s="51"/>
      <c r="G95" s="51" t="str">
        <f>IFERROR(__xludf.DUMMYFUNCTION("""COMPUTED_VALUE"""),"#VALUE!")</f>
        <v>#VALUE!</v>
      </c>
      <c r="H95" s="51" t="str">
        <f>IFERROR(__xludf.DUMMYFUNCTION("""COMPUTED_VALUE"""),"")</f>
        <v/>
      </c>
      <c r="I95" s="51" t="str">
        <f>IFERROR(__xludf.DUMMYFUNCTION("""COMPUTED_VALUE"""),"#VALUE!")</f>
        <v>#VALUE!</v>
      </c>
      <c r="J95" s="51" t="str">
        <f>IFERROR(__xludf.DUMMYFUNCTION("""COMPUTED_VALUE"""),"")</f>
        <v/>
      </c>
      <c r="K95" s="51"/>
      <c r="L95" s="51" t="s">
        <v>257</v>
      </c>
      <c r="M95" s="51"/>
      <c r="N95" s="51"/>
      <c r="O95" s="51"/>
      <c r="P95" s="51"/>
      <c r="Q95" s="51"/>
      <c r="R95" s="51"/>
      <c r="S95" s="51"/>
      <c r="T95" s="51"/>
    </row>
    <row r="96">
      <c r="A96" s="51"/>
      <c r="B96" s="51"/>
      <c r="C96" s="56"/>
      <c r="D96" s="51"/>
      <c r="E96" s="51"/>
      <c r="F96" s="51"/>
      <c r="G96" s="51" t="str">
        <f>IFERROR(__xludf.DUMMYFUNCTION("""COMPUTED_VALUE"""),"#VALUE!")</f>
        <v>#VALUE!</v>
      </c>
      <c r="H96" s="51" t="str">
        <f>IFERROR(__xludf.DUMMYFUNCTION("""COMPUTED_VALUE"""),"")</f>
        <v/>
      </c>
      <c r="I96" s="51" t="str">
        <f>IFERROR(__xludf.DUMMYFUNCTION("""COMPUTED_VALUE"""),"#VALUE!")</f>
        <v>#VALUE!</v>
      </c>
      <c r="J96" s="51" t="str">
        <f>IFERROR(__xludf.DUMMYFUNCTION("""COMPUTED_VALUE"""),"")</f>
        <v/>
      </c>
      <c r="K96" s="51"/>
      <c r="L96" s="51" t="s">
        <v>257</v>
      </c>
      <c r="M96" s="51"/>
      <c r="N96" s="51"/>
      <c r="O96" s="51"/>
      <c r="P96" s="51"/>
      <c r="Q96" s="51"/>
      <c r="R96" s="51"/>
      <c r="S96" s="51"/>
      <c r="T96" s="51"/>
    </row>
    <row r="97">
      <c r="A97" s="51"/>
      <c r="B97" s="51"/>
      <c r="C97" s="56"/>
      <c r="D97" s="51"/>
      <c r="E97" s="51"/>
      <c r="F97" s="51"/>
      <c r="G97" s="51" t="str">
        <f>IFERROR(__xludf.DUMMYFUNCTION("""COMPUTED_VALUE"""),"#VALUE!")</f>
        <v>#VALUE!</v>
      </c>
      <c r="H97" s="51" t="str">
        <f>IFERROR(__xludf.DUMMYFUNCTION("""COMPUTED_VALUE"""),"")</f>
        <v/>
      </c>
      <c r="I97" s="51" t="str">
        <f>IFERROR(__xludf.DUMMYFUNCTION("""COMPUTED_VALUE"""),"#VALUE!")</f>
        <v>#VALUE!</v>
      </c>
      <c r="J97" s="51" t="str">
        <f>IFERROR(__xludf.DUMMYFUNCTION("""COMPUTED_VALUE"""),"")</f>
        <v/>
      </c>
      <c r="K97" s="51"/>
      <c r="L97" s="51" t="s">
        <v>257</v>
      </c>
      <c r="M97" s="51"/>
      <c r="N97" s="51"/>
      <c r="O97" s="51"/>
      <c r="P97" s="51"/>
      <c r="Q97" s="51"/>
      <c r="R97" s="51"/>
      <c r="S97" s="51"/>
      <c r="T97" s="51"/>
    </row>
    <row r="98">
      <c r="A98" s="51"/>
      <c r="B98" s="51"/>
      <c r="C98" s="56"/>
      <c r="D98" s="51"/>
      <c r="E98" s="51"/>
      <c r="F98" s="51"/>
      <c r="G98" s="51" t="str">
        <f>IFERROR(__xludf.DUMMYFUNCTION("""COMPUTED_VALUE"""),"#VALUE!")</f>
        <v>#VALUE!</v>
      </c>
      <c r="H98" s="51" t="str">
        <f>IFERROR(__xludf.DUMMYFUNCTION("""COMPUTED_VALUE"""),"")</f>
        <v/>
      </c>
      <c r="I98" s="51" t="str">
        <f>IFERROR(__xludf.DUMMYFUNCTION("""COMPUTED_VALUE"""),"#VALUE!")</f>
        <v>#VALUE!</v>
      </c>
      <c r="J98" s="51" t="str">
        <f>IFERROR(__xludf.DUMMYFUNCTION("""COMPUTED_VALUE"""),"")</f>
        <v/>
      </c>
      <c r="K98" s="51"/>
      <c r="L98" s="51" t="s">
        <v>257</v>
      </c>
      <c r="M98" s="51"/>
      <c r="N98" s="51"/>
      <c r="O98" s="51"/>
      <c r="P98" s="51"/>
      <c r="Q98" s="51"/>
      <c r="R98" s="51"/>
      <c r="S98" s="51"/>
      <c r="T98" s="51"/>
    </row>
    <row r="99">
      <c r="A99" s="51"/>
      <c r="B99" s="51"/>
      <c r="C99" s="56"/>
      <c r="D99" s="51"/>
      <c r="E99" s="51"/>
      <c r="F99" s="51"/>
      <c r="G99" s="51" t="str">
        <f>IFERROR(__xludf.DUMMYFUNCTION("""COMPUTED_VALUE"""),"#VALUE!")</f>
        <v>#VALUE!</v>
      </c>
      <c r="H99" s="51" t="str">
        <f>IFERROR(__xludf.DUMMYFUNCTION("""COMPUTED_VALUE"""),"")</f>
        <v/>
      </c>
      <c r="I99" s="51" t="str">
        <f>IFERROR(__xludf.DUMMYFUNCTION("""COMPUTED_VALUE"""),"#VALUE!")</f>
        <v>#VALUE!</v>
      </c>
      <c r="J99" s="51" t="str">
        <f>IFERROR(__xludf.DUMMYFUNCTION("""COMPUTED_VALUE"""),"")</f>
        <v/>
      </c>
      <c r="K99" s="51"/>
      <c r="L99" s="51" t="s">
        <v>257</v>
      </c>
      <c r="M99" s="51"/>
      <c r="N99" s="51"/>
      <c r="O99" s="51"/>
      <c r="P99" s="51"/>
      <c r="Q99" s="51"/>
      <c r="R99" s="51"/>
      <c r="S99" s="51"/>
      <c r="T99" s="51"/>
    </row>
    <row r="100">
      <c r="A100" s="51"/>
      <c r="B100" s="51"/>
      <c r="C100" s="56"/>
      <c r="D100" s="51"/>
      <c r="E100" s="51"/>
      <c r="F100" s="51"/>
      <c r="G100" s="51" t="str">
        <f>IFERROR(__xludf.DUMMYFUNCTION("""COMPUTED_VALUE"""),"#VALUE!")</f>
        <v>#VALUE!</v>
      </c>
      <c r="H100" s="51" t="str">
        <f>IFERROR(__xludf.DUMMYFUNCTION("""COMPUTED_VALUE"""),"")</f>
        <v/>
      </c>
      <c r="I100" s="51" t="str">
        <f>IFERROR(__xludf.DUMMYFUNCTION("""COMPUTED_VALUE"""),"#VALUE!")</f>
        <v>#VALUE!</v>
      </c>
      <c r="J100" s="51" t="str">
        <f>IFERROR(__xludf.DUMMYFUNCTION("""COMPUTED_VALUE"""),"")</f>
        <v/>
      </c>
      <c r="K100" s="51"/>
      <c r="L100" s="51" t="s">
        <v>257</v>
      </c>
      <c r="M100" s="51"/>
      <c r="N100" s="51"/>
      <c r="O100" s="51"/>
      <c r="P100" s="51"/>
      <c r="Q100" s="51"/>
      <c r="R100" s="51"/>
      <c r="S100" s="51"/>
      <c r="T100" s="51"/>
    </row>
    <row r="101">
      <c r="A101" s="51"/>
      <c r="B101" s="51"/>
      <c r="C101" s="56"/>
      <c r="D101" s="51"/>
      <c r="E101" s="51"/>
      <c r="F101" s="51"/>
      <c r="G101" s="51" t="str">
        <f>IFERROR(__xludf.DUMMYFUNCTION("""COMPUTED_VALUE"""),"#VALUE!")</f>
        <v>#VALUE!</v>
      </c>
      <c r="H101" s="51" t="str">
        <f>IFERROR(__xludf.DUMMYFUNCTION("""COMPUTED_VALUE"""),"")</f>
        <v/>
      </c>
      <c r="I101" s="51" t="str">
        <f>IFERROR(__xludf.DUMMYFUNCTION("""COMPUTED_VALUE"""),"#VALUE!")</f>
        <v>#VALUE!</v>
      </c>
      <c r="J101" s="51" t="str">
        <f>IFERROR(__xludf.DUMMYFUNCTION("""COMPUTED_VALUE"""),"")</f>
        <v/>
      </c>
      <c r="K101" s="51"/>
      <c r="L101" s="51" t="s">
        <v>257</v>
      </c>
      <c r="M101" s="51"/>
      <c r="N101" s="51"/>
      <c r="O101" s="51"/>
      <c r="P101" s="51"/>
      <c r="Q101" s="51"/>
      <c r="R101" s="51"/>
      <c r="S101" s="51"/>
      <c r="T101" s="51"/>
    </row>
    <row r="102">
      <c r="A102" s="51"/>
      <c r="B102" s="51"/>
      <c r="C102" s="56"/>
      <c r="D102" s="51"/>
      <c r="E102" s="51"/>
      <c r="F102" s="51"/>
      <c r="G102" s="51" t="str">
        <f>IFERROR(__xludf.DUMMYFUNCTION("""COMPUTED_VALUE"""),"#VALUE!")</f>
        <v>#VALUE!</v>
      </c>
      <c r="H102" s="51" t="str">
        <f>IFERROR(__xludf.DUMMYFUNCTION("""COMPUTED_VALUE"""),"")</f>
        <v/>
      </c>
      <c r="I102" s="51" t="str">
        <f>IFERROR(__xludf.DUMMYFUNCTION("""COMPUTED_VALUE"""),"#VALUE!")</f>
        <v>#VALUE!</v>
      </c>
      <c r="J102" s="51" t="str">
        <f>IFERROR(__xludf.DUMMYFUNCTION("""COMPUTED_VALUE"""),"")</f>
        <v/>
      </c>
      <c r="K102" s="51"/>
      <c r="L102" s="51" t="s">
        <v>257</v>
      </c>
      <c r="M102" s="51"/>
      <c r="N102" s="51"/>
      <c r="O102" s="51"/>
      <c r="P102" s="51"/>
      <c r="Q102" s="51"/>
      <c r="R102" s="51"/>
      <c r="S102" s="51"/>
      <c r="T102" s="51"/>
    </row>
    <row r="103">
      <c r="A103" s="51"/>
      <c r="B103" s="51"/>
      <c r="C103" s="56"/>
      <c r="D103" s="51"/>
      <c r="E103" s="51"/>
      <c r="F103" s="51"/>
      <c r="G103" s="51" t="str">
        <f>IFERROR(__xludf.DUMMYFUNCTION("""COMPUTED_VALUE"""),"#VALUE!")</f>
        <v>#VALUE!</v>
      </c>
      <c r="H103" s="51" t="str">
        <f>IFERROR(__xludf.DUMMYFUNCTION("""COMPUTED_VALUE"""),"")</f>
        <v/>
      </c>
      <c r="I103" s="51" t="str">
        <f>IFERROR(__xludf.DUMMYFUNCTION("""COMPUTED_VALUE"""),"#VALUE!")</f>
        <v>#VALUE!</v>
      </c>
      <c r="J103" s="51" t="str">
        <f>IFERROR(__xludf.DUMMYFUNCTION("""COMPUTED_VALUE"""),"")</f>
        <v/>
      </c>
      <c r="K103" s="51"/>
      <c r="L103" s="51" t="s">
        <v>257</v>
      </c>
      <c r="M103" s="51"/>
      <c r="N103" s="51"/>
      <c r="O103" s="51"/>
      <c r="P103" s="51"/>
      <c r="Q103" s="51"/>
      <c r="R103" s="51"/>
      <c r="S103" s="51"/>
      <c r="T103" s="51"/>
    </row>
    <row r="104">
      <c r="A104" s="51"/>
      <c r="B104" s="51"/>
      <c r="C104" s="56"/>
      <c r="D104" s="51"/>
      <c r="E104" s="51"/>
      <c r="F104" s="51"/>
      <c r="G104" s="51" t="str">
        <f>IFERROR(__xludf.DUMMYFUNCTION("""COMPUTED_VALUE"""),"#VALUE!")</f>
        <v>#VALUE!</v>
      </c>
      <c r="H104" s="51" t="str">
        <f>IFERROR(__xludf.DUMMYFUNCTION("""COMPUTED_VALUE"""),"")</f>
        <v/>
      </c>
      <c r="I104" s="51" t="str">
        <f>IFERROR(__xludf.DUMMYFUNCTION("""COMPUTED_VALUE"""),"#VALUE!")</f>
        <v>#VALUE!</v>
      </c>
      <c r="J104" s="51" t="str">
        <f>IFERROR(__xludf.DUMMYFUNCTION("""COMPUTED_VALUE"""),"")</f>
        <v/>
      </c>
      <c r="K104" s="51"/>
      <c r="L104" s="51" t="s">
        <v>257</v>
      </c>
      <c r="M104" s="51"/>
      <c r="N104" s="51"/>
      <c r="O104" s="51"/>
      <c r="P104" s="51"/>
      <c r="Q104" s="51"/>
      <c r="R104" s="51"/>
      <c r="S104" s="51"/>
      <c r="T104" s="51"/>
    </row>
    <row r="105">
      <c r="A105" s="51"/>
      <c r="B105" s="51"/>
      <c r="C105" s="56"/>
      <c r="D105" s="51"/>
      <c r="E105" s="51"/>
      <c r="F105" s="51"/>
      <c r="G105" s="51" t="str">
        <f>IFERROR(__xludf.DUMMYFUNCTION("""COMPUTED_VALUE"""),"#VALUE!")</f>
        <v>#VALUE!</v>
      </c>
      <c r="H105" s="51" t="str">
        <f>IFERROR(__xludf.DUMMYFUNCTION("""COMPUTED_VALUE"""),"")</f>
        <v/>
      </c>
      <c r="I105" s="51" t="str">
        <f>IFERROR(__xludf.DUMMYFUNCTION("""COMPUTED_VALUE"""),"#VALUE!")</f>
        <v>#VALUE!</v>
      </c>
      <c r="J105" s="51" t="str">
        <f>IFERROR(__xludf.DUMMYFUNCTION("""COMPUTED_VALUE"""),"")</f>
        <v/>
      </c>
      <c r="K105" s="51"/>
      <c r="L105" s="51" t="s">
        <v>257</v>
      </c>
      <c r="M105" s="51"/>
      <c r="N105" s="51"/>
      <c r="O105" s="51"/>
      <c r="P105" s="51"/>
      <c r="Q105" s="51"/>
      <c r="R105" s="51"/>
      <c r="S105" s="51"/>
      <c r="T105" s="51"/>
    </row>
    <row r="106">
      <c r="A106" s="51"/>
      <c r="B106" s="51"/>
      <c r="C106" s="56"/>
      <c r="D106" s="51"/>
      <c r="E106" s="51"/>
      <c r="F106" s="51"/>
      <c r="G106" s="51" t="str">
        <f>IFERROR(__xludf.DUMMYFUNCTION("""COMPUTED_VALUE"""),"#VALUE!")</f>
        <v>#VALUE!</v>
      </c>
      <c r="H106" s="51" t="str">
        <f>IFERROR(__xludf.DUMMYFUNCTION("""COMPUTED_VALUE"""),"")</f>
        <v/>
      </c>
      <c r="I106" s="51" t="str">
        <f>IFERROR(__xludf.DUMMYFUNCTION("""COMPUTED_VALUE"""),"#VALUE!")</f>
        <v>#VALUE!</v>
      </c>
      <c r="J106" s="51" t="str">
        <f>IFERROR(__xludf.DUMMYFUNCTION("""COMPUTED_VALUE"""),"")</f>
        <v/>
      </c>
      <c r="K106" s="51"/>
      <c r="L106" s="51" t="s">
        <v>257</v>
      </c>
      <c r="M106" s="51"/>
      <c r="N106" s="51"/>
      <c r="O106" s="51"/>
      <c r="P106" s="51"/>
      <c r="Q106" s="51"/>
      <c r="R106" s="51"/>
      <c r="S106" s="51"/>
      <c r="T106" s="51"/>
    </row>
    <row r="107">
      <c r="A107" s="51"/>
      <c r="B107" s="51"/>
      <c r="C107" s="56"/>
      <c r="D107" s="51"/>
      <c r="E107" s="51"/>
      <c r="F107" s="51"/>
      <c r="G107" s="51" t="str">
        <f>IFERROR(__xludf.DUMMYFUNCTION("""COMPUTED_VALUE"""),"#VALUE!")</f>
        <v>#VALUE!</v>
      </c>
      <c r="H107" s="51" t="str">
        <f>IFERROR(__xludf.DUMMYFUNCTION("""COMPUTED_VALUE"""),"")</f>
        <v/>
      </c>
      <c r="I107" s="51" t="str">
        <f>IFERROR(__xludf.DUMMYFUNCTION("""COMPUTED_VALUE"""),"#VALUE!")</f>
        <v>#VALUE!</v>
      </c>
      <c r="J107" s="51" t="str">
        <f>IFERROR(__xludf.DUMMYFUNCTION("""COMPUTED_VALUE"""),"")</f>
        <v/>
      </c>
      <c r="K107" s="51"/>
      <c r="L107" s="51" t="s">
        <v>257</v>
      </c>
      <c r="M107" s="51"/>
      <c r="N107" s="51"/>
      <c r="O107" s="51"/>
      <c r="P107" s="51"/>
      <c r="Q107" s="51"/>
      <c r="R107" s="51"/>
      <c r="S107" s="51"/>
      <c r="T107" s="51"/>
    </row>
    <row r="108">
      <c r="A108" s="51"/>
      <c r="B108" s="51"/>
      <c r="C108" s="56"/>
      <c r="D108" s="51"/>
      <c r="E108" s="51"/>
      <c r="F108" s="51"/>
      <c r="G108" s="51" t="str">
        <f>IFERROR(__xludf.DUMMYFUNCTION("""COMPUTED_VALUE"""),"#VALUE!")</f>
        <v>#VALUE!</v>
      </c>
      <c r="H108" s="51" t="str">
        <f>IFERROR(__xludf.DUMMYFUNCTION("""COMPUTED_VALUE"""),"")</f>
        <v/>
      </c>
      <c r="I108" s="51" t="str">
        <f>IFERROR(__xludf.DUMMYFUNCTION("""COMPUTED_VALUE"""),"#VALUE!")</f>
        <v>#VALUE!</v>
      </c>
      <c r="J108" s="51" t="str">
        <f>IFERROR(__xludf.DUMMYFUNCTION("""COMPUTED_VALUE"""),"")</f>
        <v/>
      </c>
      <c r="K108" s="51"/>
      <c r="L108" s="51" t="s">
        <v>257</v>
      </c>
      <c r="M108" s="51"/>
      <c r="N108" s="51"/>
      <c r="O108" s="51"/>
      <c r="P108" s="51"/>
      <c r="Q108" s="51"/>
      <c r="R108" s="51"/>
      <c r="S108" s="51"/>
      <c r="T108" s="51"/>
    </row>
    <row r="109">
      <c r="A109" s="51"/>
      <c r="B109" s="51"/>
      <c r="C109" s="56"/>
      <c r="D109" s="51"/>
      <c r="E109" s="51"/>
      <c r="F109" s="51"/>
      <c r="G109" s="51" t="str">
        <f>IFERROR(__xludf.DUMMYFUNCTION("""COMPUTED_VALUE"""),"#VALUE!")</f>
        <v>#VALUE!</v>
      </c>
      <c r="H109" s="51" t="str">
        <f>IFERROR(__xludf.DUMMYFUNCTION("""COMPUTED_VALUE"""),"")</f>
        <v/>
      </c>
      <c r="I109" s="51" t="str">
        <f>IFERROR(__xludf.DUMMYFUNCTION("""COMPUTED_VALUE"""),"#VALUE!")</f>
        <v>#VALUE!</v>
      </c>
      <c r="J109" s="51" t="str">
        <f>IFERROR(__xludf.DUMMYFUNCTION("""COMPUTED_VALUE"""),"")</f>
        <v/>
      </c>
      <c r="K109" s="51"/>
      <c r="L109" s="51" t="s">
        <v>257</v>
      </c>
      <c r="M109" s="51"/>
      <c r="N109" s="51"/>
      <c r="O109" s="51"/>
      <c r="P109" s="51"/>
      <c r="Q109" s="51"/>
      <c r="R109" s="51"/>
      <c r="S109" s="51"/>
      <c r="T109" s="51"/>
    </row>
    <row r="110">
      <c r="A110" s="51"/>
      <c r="B110" s="51"/>
      <c r="C110" s="56"/>
      <c r="D110" s="51"/>
      <c r="E110" s="51"/>
      <c r="F110" s="51"/>
      <c r="G110" s="51" t="str">
        <f>IFERROR(__xludf.DUMMYFUNCTION("""COMPUTED_VALUE"""),"#VALUE!")</f>
        <v>#VALUE!</v>
      </c>
      <c r="H110" s="51" t="str">
        <f>IFERROR(__xludf.DUMMYFUNCTION("""COMPUTED_VALUE"""),"")</f>
        <v/>
      </c>
      <c r="I110" s="51" t="str">
        <f>IFERROR(__xludf.DUMMYFUNCTION("""COMPUTED_VALUE"""),"#VALUE!")</f>
        <v>#VALUE!</v>
      </c>
      <c r="J110" s="51" t="str">
        <f>IFERROR(__xludf.DUMMYFUNCTION("""COMPUTED_VALUE"""),"")</f>
        <v/>
      </c>
      <c r="K110" s="51"/>
      <c r="L110" s="51" t="s">
        <v>257</v>
      </c>
      <c r="M110" s="51"/>
      <c r="N110" s="51"/>
      <c r="O110" s="51"/>
      <c r="P110" s="51"/>
      <c r="Q110" s="51"/>
      <c r="R110" s="51"/>
      <c r="S110" s="51"/>
      <c r="T110" s="51"/>
    </row>
    <row r="111">
      <c r="A111" s="51"/>
      <c r="B111" s="51"/>
      <c r="C111" s="56"/>
      <c r="D111" s="51"/>
      <c r="E111" s="51"/>
      <c r="F111" s="51"/>
      <c r="G111" s="51" t="str">
        <f>IFERROR(__xludf.DUMMYFUNCTION("""COMPUTED_VALUE"""),"#VALUE!")</f>
        <v>#VALUE!</v>
      </c>
      <c r="H111" s="51" t="str">
        <f>IFERROR(__xludf.DUMMYFUNCTION("""COMPUTED_VALUE"""),"")</f>
        <v/>
      </c>
      <c r="I111" s="51" t="str">
        <f>IFERROR(__xludf.DUMMYFUNCTION("""COMPUTED_VALUE"""),"#VALUE!")</f>
        <v>#VALUE!</v>
      </c>
      <c r="J111" s="51" t="str">
        <f>IFERROR(__xludf.DUMMYFUNCTION("""COMPUTED_VALUE"""),"")</f>
        <v/>
      </c>
      <c r="K111" s="51"/>
      <c r="L111" s="51" t="s">
        <v>257</v>
      </c>
      <c r="M111" s="51"/>
      <c r="N111" s="51"/>
      <c r="O111" s="51"/>
      <c r="P111" s="51"/>
      <c r="Q111" s="51"/>
      <c r="R111" s="51"/>
      <c r="S111" s="51"/>
      <c r="T111" s="51"/>
    </row>
    <row r="112">
      <c r="A112" s="51"/>
      <c r="B112" s="51"/>
      <c r="C112" s="56"/>
      <c r="D112" s="51"/>
      <c r="E112" s="51"/>
      <c r="F112" s="51"/>
      <c r="G112" s="51" t="str">
        <f>IFERROR(__xludf.DUMMYFUNCTION("""COMPUTED_VALUE"""),"#VALUE!")</f>
        <v>#VALUE!</v>
      </c>
      <c r="H112" s="51" t="str">
        <f>IFERROR(__xludf.DUMMYFUNCTION("""COMPUTED_VALUE"""),"")</f>
        <v/>
      </c>
      <c r="I112" s="51" t="str">
        <f>IFERROR(__xludf.DUMMYFUNCTION("""COMPUTED_VALUE"""),"#VALUE!")</f>
        <v>#VALUE!</v>
      </c>
      <c r="J112" s="51" t="str">
        <f>IFERROR(__xludf.DUMMYFUNCTION("""COMPUTED_VALUE"""),"")</f>
        <v/>
      </c>
      <c r="K112" s="51"/>
      <c r="L112" s="51" t="s">
        <v>257</v>
      </c>
      <c r="M112" s="51"/>
      <c r="N112" s="51"/>
      <c r="O112" s="51"/>
      <c r="P112" s="51"/>
      <c r="Q112" s="51"/>
      <c r="R112" s="51"/>
      <c r="S112" s="51"/>
      <c r="T112" s="51"/>
    </row>
    <row r="113">
      <c r="A113" s="51"/>
      <c r="B113" s="51"/>
      <c r="C113" s="56"/>
      <c r="D113" s="51"/>
      <c r="E113" s="51"/>
      <c r="F113" s="51"/>
      <c r="G113" s="51" t="str">
        <f>IFERROR(__xludf.DUMMYFUNCTION("""COMPUTED_VALUE"""),"#VALUE!")</f>
        <v>#VALUE!</v>
      </c>
      <c r="H113" s="51" t="str">
        <f>IFERROR(__xludf.DUMMYFUNCTION("""COMPUTED_VALUE"""),"")</f>
        <v/>
      </c>
      <c r="I113" s="51" t="str">
        <f>IFERROR(__xludf.DUMMYFUNCTION("""COMPUTED_VALUE"""),"#VALUE!")</f>
        <v>#VALUE!</v>
      </c>
      <c r="J113" s="51" t="str">
        <f>IFERROR(__xludf.DUMMYFUNCTION("""COMPUTED_VALUE"""),"")</f>
        <v/>
      </c>
      <c r="K113" s="51"/>
      <c r="L113" s="51" t="s">
        <v>257</v>
      </c>
      <c r="M113" s="51"/>
      <c r="N113" s="51"/>
      <c r="O113" s="51"/>
      <c r="P113" s="51"/>
      <c r="Q113" s="51"/>
      <c r="R113" s="51"/>
      <c r="S113" s="51"/>
      <c r="T113" s="51"/>
    </row>
    <row r="114">
      <c r="A114" s="51"/>
      <c r="B114" s="51"/>
      <c r="C114" s="56"/>
      <c r="D114" s="51"/>
      <c r="E114" s="51"/>
      <c r="F114" s="51"/>
      <c r="G114" s="51" t="str">
        <f>IFERROR(__xludf.DUMMYFUNCTION("""COMPUTED_VALUE"""),"#VALUE!")</f>
        <v>#VALUE!</v>
      </c>
      <c r="H114" s="51" t="str">
        <f>IFERROR(__xludf.DUMMYFUNCTION("""COMPUTED_VALUE"""),"")</f>
        <v/>
      </c>
      <c r="I114" s="51" t="str">
        <f>IFERROR(__xludf.DUMMYFUNCTION("""COMPUTED_VALUE"""),"#VALUE!")</f>
        <v>#VALUE!</v>
      </c>
      <c r="J114" s="51" t="str">
        <f>IFERROR(__xludf.DUMMYFUNCTION("""COMPUTED_VALUE"""),"")</f>
        <v/>
      </c>
      <c r="K114" s="51"/>
      <c r="L114" s="51" t="s">
        <v>257</v>
      </c>
      <c r="M114" s="51"/>
      <c r="N114" s="51"/>
      <c r="O114" s="51"/>
      <c r="P114" s="51"/>
      <c r="Q114" s="51"/>
      <c r="R114" s="51"/>
      <c r="S114" s="51"/>
      <c r="T114" s="51"/>
    </row>
    <row r="115">
      <c r="A115" s="51"/>
      <c r="B115" s="51"/>
      <c r="C115" s="56"/>
      <c r="D115" s="51"/>
      <c r="E115" s="51"/>
      <c r="F115" s="51"/>
      <c r="G115" s="51" t="str">
        <f>IFERROR(__xludf.DUMMYFUNCTION("""COMPUTED_VALUE"""),"#VALUE!")</f>
        <v>#VALUE!</v>
      </c>
      <c r="H115" s="51" t="str">
        <f>IFERROR(__xludf.DUMMYFUNCTION("""COMPUTED_VALUE"""),"")</f>
        <v/>
      </c>
      <c r="I115" s="51" t="str">
        <f>IFERROR(__xludf.DUMMYFUNCTION("""COMPUTED_VALUE"""),"#VALUE!")</f>
        <v>#VALUE!</v>
      </c>
      <c r="J115" s="51" t="str">
        <f>IFERROR(__xludf.DUMMYFUNCTION("""COMPUTED_VALUE"""),"")</f>
        <v/>
      </c>
      <c r="K115" s="51"/>
      <c r="L115" s="51" t="s">
        <v>257</v>
      </c>
      <c r="M115" s="51"/>
      <c r="N115" s="51"/>
      <c r="O115" s="51"/>
      <c r="P115" s="51"/>
      <c r="Q115" s="51"/>
      <c r="R115" s="51"/>
      <c r="S115" s="51"/>
      <c r="T115" s="51"/>
    </row>
    <row r="116">
      <c r="A116" s="51"/>
      <c r="B116" s="51"/>
      <c r="C116" s="56"/>
      <c r="D116" s="51"/>
      <c r="E116" s="51"/>
      <c r="F116" s="51"/>
      <c r="G116" s="51" t="str">
        <f>IFERROR(__xludf.DUMMYFUNCTION("""COMPUTED_VALUE"""),"#VALUE!")</f>
        <v>#VALUE!</v>
      </c>
      <c r="H116" s="51" t="str">
        <f>IFERROR(__xludf.DUMMYFUNCTION("""COMPUTED_VALUE"""),"")</f>
        <v/>
      </c>
      <c r="I116" s="51" t="str">
        <f>IFERROR(__xludf.DUMMYFUNCTION("""COMPUTED_VALUE"""),"#VALUE!")</f>
        <v>#VALUE!</v>
      </c>
      <c r="J116" s="51" t="str">
        <f>IFERROR(__xludf.DUMMYFUNCTION("""COMPUTED_VALUE"""),"")</f>
        <v/>
      </c>
      <c r="K116" s="51"/>
      <c r="L116" s="51" t="s">
        <v>257</v>
      </c>
      <c r="M116" s="51"/>
      <c r="N116" s="51"/>
      <c r="O116" s="51"/>
      <c r="P116" s="51"/>
      <c r="Q116" s="51"/>
      <c r="R116" s="51"/>
      <c r="S116" s="51"/>
      <c r="T116" s="51"/>
    </row>
    <row r="117">
      <c r="A117" s="51"/>
      <c r="B117" s="51"/>
      <c r="C117" s="56"/>
      <c r="D117" s="51"/>
      <c r="E117" s="51"/>
      <c r="F117" s="51"/>
      <c r="G117" s="51" t="str">
        <f>IFERROR(__xludf.DUMMYFUNCTION("""COMPUTED_VALUE"""),"#VALUE!")</f>
        <v>#VALUE!</v>
      </c>
      <c r="H117" s="51" t="str">
        <f>IFERROR(__xludf.DUMMYFUNCTION("""COMPUTED_VALUE"""),"")</f>
        <v/>
      </c>
      <c r="I117" s="51" t="str">
        <f>IFERROR(__xludf.DUMMYFUNCTION("""COMPUTED_VALUE"""),"#VALUE!")</f>
        <v>#VALUE!</v>
      </c>
      <c r="J117" s="51" t="str">
        <f>IFERROR(__xludf.DUMMYFUNCTION("""COMPUTED_VALUE"""),"")</f>
        <v/>
      </c>
      <c r="K117" s="51"/>
      <c r="L117" s="51" t="s">
        <v>257</v>
      </c>
      <c r="M117" s="51"/>
      <c r="N117" s="51"/>
      <c r="O117" s="51"/>
      <c r="P117" s="51"/>
      <c r="Q117" s="51"/>
      <c r="R117" s="51"/>
      <c r="S117" s="51"/>
      <c r="T117" s="51"/>
    </row>
    <row r="118">
      <c r="A118" s="51"/>
      <c r="B118" s="51"/>
      <c r="C118" s="56"/>
      <c r="D118" s="51"/>
      <c r="E118" s="51"/>
      <c r="F118" s="51"/>
      <c r="G118" s="51" t="str">
        <f>IFERROR(__xludf.DUMMYFUNCTION("""COMPUTED_VALUE"""),"#VALUE!")</f>
        <v>#VALUE!</v>
      </c>
      <c r="H118" s="51" t="str">
        <f>IFERROR(__xludf.DUMMYFUNCTION("""COMPUTED_VALUE"""),"")</f>
        <v/>
      </c>
      <c r="I118" s="51" t="str">
        <f>IFERROR(__xludf.DUMMYFUNCTION("""COMPUTED_VALUE"""),"#VALUE!")</f>
        <v>#VALUE!</v>
      </c>
      <c r="J118" s="51" t="str">
        <f>IFERROR(__xludf.DUMMYFUNCTION("""COMPUTED_VALUE"""),"")</f>
        <v/>
      </c>
      <c r="K118" s="51"/>
      <c r="L118" s="51" t="s">
        <v>257</v>
      </c>
      <c r="M118" s="51"/>
      <c r="N118" s="51"/>
      <c r="O118" s="51"/>
      <c r="P118" s="51"/>
      <c r="Q118" s="51"/>
      <c r="R118" s="51"/>
      <c r="S118" s="51"/>
      <c r="T118" s="51"/>
    </row>
    <row r="119">
      <c r="A119" s="51"/>
      <c r="B119" s="51"/>
      <c r="C119" s="56"/>
      <c r="D119" s="51"/>
      <c r="E119" s="51"/>
      <c r="F119" s="51"/>
      <c r="G119" s="51" t="str">
        <f>IFERROR(__xludf.DUMMYFUNCTION("""COMPUTED_VALUE"""),"#VALUE!")</f>
        <v>#VALUE!</v>
      </c>
      <c r="H119" s="51" t="str">
        <f>IFERROR(__xludf.DUMMYFUNCTION("""COMPUTED_VALUE"""),"")</f>
        <v/>
      </c>
      <c r="I119" s="51" t="str">
        <f>IFERROR(__xludf.DUMMYFUNCTION("""COMPUTED_VALUE"""),"#VALUE!")</f>
        <v>#VALUE!</v>
      </c>
      <c r="J119" s="51" t="str">
        <f>IFERROR(__xludf.DUMMYFUNCTION("""COMPUTED_VALUE"""),"")</f>
        <v/>
      </c>
      <c r="K119" s="51"/>
      <c r="L119" s="51" t="s">
        <v>257</v>
      </c>
      <c r="M119" s="51"/>
      <c r="N119" s="51"/>
      <c r="O119" s="51"/>
      <c r="P119" s="51"/>
      <c r="Q119" s="51"/>
      <c r="R119" s="51"/>
      <c r="S119" s="51"/>
      <c r="T119" s="51"/>
    </row>
    <row r="120">
      <c r="A120" s="51"/>
      <c r="B120" s="51"/>
      <c r="C120" s="56"/>
      <c r="D120" s="51"/>
      <c r="E120" s="51"/>
      <c r="F120" s="51"/>
      <c r="G120" s="51" t="str">
        <f>IFERROR(__xludf.DUMMYFUNCTION("""COMPUTED_VALUE"""),"#VALUE!")</f>
        <v>#VALUE!</v>
      </c>
      <c r="H120" s="51" t="str">
        <f>IFERROR(__xludf.DUMMYFUNCTION("""COMPUTED_VALUE"""),"")</f>
        <v/>
      </c>
      <c r="I120" s="51" t="str">
        <f>IFERROR(__xludf.DUMMYFUNCTION("""COMPUTED_VALUE"""),"#VALUE!")</f>
        <v>#VALUE!</v>
      </c>
      <c r="J120" s="51" t="str">
        <f>IFERROR(__xludf.DUMMYFUNCTION("""COMPUTED_VALUE"""),"")</f>
        <v/>
      </c>
      <c r="K120" s="51"/>
      <c r="L120" s="51" t="s">
        <v>257</v>
      </c>
      <c r="M120" s="51"/>
      <c r="N120" s="51"/>
      <c r="O120" s="51"/>
      <c r="P120" s="51"/>
      <c r="Q120" s="51"/>
      <c r="R120" s="51"/>
      <c r="S120" s="51"/>
      <c r="T120" s="51"/>
    </row>
    <row r="121">
      <c r="A121" s="51"/>
      <c r="B121" s="51"/>
      <c r="C121" s="56"/>
      <c r="D121" s="51"/>
      <c r="E121" s="51"/>
      <c r="F121" s="51"/>
      <c r="G121" s="51" t="str">
        <f>IFERROR(__xludf.DUMMYFUNCTION("""COMPUTED_VALUE"""),"#VALUE!")</f>
        <v>#VALUE!</v>
      </c>
      <c r="H121" s="51" t="str">
        <f>IFERROR(__xludf.DUMMYFUNCTION("""COMPUTED_VALUE"""),"")</f>
        <v/>
      </c>
      <c r="I121" s="51" t="str">
        <f>IFERROR(__xludf.DUMMYFUNCTION("""COMPUTED_VALUE"""),"#VALUE!")</f>
        <v>#VALUE!</v>
      </c>
      <c r="J121" s="51" t="str">
        <f>IFERROR(__xludf.DUMMYFUNCTION("""COMPUTED_VALUE"""),"")</f>
        <v/>
      </c>
      <c r="K121" s="51"/>
      <c r="L121" s="51" t="s">
        <v>257</v>
      </c>
      <c r="M121" s="51"/>
      <c r="N121" s="51"/>
      <c r="O121" s="51"/>
      <c r="P121" s="51"/>
      <c r="Q121" s="51"/>
      <c r="R121" s="51"/>
      <c r="S121" s="51"/>
      <c r="T121" s="51"/>
    </row>
    <row r="122">
      <c r="A122" s="51"/>
      <c r="B122" s="51"/>
      <c r="C122" s="56"/>
      <c r="D122" s="51"/>
      <c r="E122" s="51"/>
      <c r="F122" s="51"/>
      <c r="G122" s="51" t="str">
        <f>IFERROR(__xludf.DUMMYFUNCTION("""COMPUTED_VALUE"""),"#VALUE!")</f>
        <v>#VALUE!</v>
      </c>
      <c r="H122" s="51" t="str">
        <f>IFERROR(__xludf.DUMMYFUNCTION("""COMPUTED_VALUE"""),"")</f>
        <v/>
      </c>
      <c r="I122" s="51" t="str">
        <f>IFERROR(__xludf.DUMMYFUNCTION("""COMPUTED_VALUE"""),"#VALUE!")</f>
        <v>#VALUE!</v>
      </c>
      <c r="J122" s="51" t="str">
        <f>IFERROR(__xludf.DUMMYFUNCTION("""COMPUTED_VALUE"""),"")</f>
        <v/>
      </c>
      <c r="K122" s="51"/>
      <c r="L122" s="51" t="s">
        <v>257</v>
      </c>
      <c r="M122" s="51"/>
      <c r="N122" s="51"/>
      <c r="O122" s="51"/>
      <c r="P122" s="51"/>
      <c r="Q122" s="51"/>
      <c r="R122" s="51"/>
      <c r="S122" s="51"/>
      <c r="T122" s="51"/>
    </row>
    <row r="123">
      <c r="A123" s="51"/>
      <c r="B123" s="51"/>
      <c r="C123" s="56"/>
      <c r="D123" s="51"/>
      <c r="E123" s="51"/>
      <c r="F123" s="51"/>
      <c r="G123" s="51" t="str">
        <f>IFERROR(__xludf.DUMMYFUNCTION("""COMPUTED_VALUE"""),"#VALUE!")</f>
        <v>#VALUE!</v>
      </c>
      <c r="H123" s="51" t="str">
        <f>IFERROR(__xludf.DUMMYFUNCTION("""COMPUTED_VALUE"""),"")</f>
        <v/>
      </c>
      <c r="I123" s="51" t="str">
        <f>IFERROR(__xludf.DUMMYFUNCTION("""COMPUTED_VALUE"""),"#VALUE!")</f>
        <v>#VALUE!</v>
      </c>
      <c r="J123" s="51" t="str">
        <f>IFERROR(__xludf.DUMMYFUNCTION("""COMPUTED_VALUE"""),"")</f>
        <v/>
      </c>
      <c r="K123" s="51"/>
      <c r="L123" s="51" t="s">
        <v>257</v>
      </c>
      <c r="M123" s="51"/>
      <c r="N123" s="51"/>
      <c r="O123" s="51"/>
      <c r="P123" s="51"/>
      <c r="Q123" s="51"/>
      <c r="R123" s="51"/>
      <c r="S123" s="51"/>
      <c r="T123" s="51"/>
    </row>
    <row r="124">
      <c r="A124" s="51"/>
      <c r="B124" s="51"/>
      <c r="C124" s="56"/>
      <c r="D124" s="51"/>
      <c r="E124" s="51"/>
      <c r="F124" s="51"/>
      <c r="G124" s="51" t="str">
        <f>IFERROR(__xludf.DUMMYFUNCTION("""COMPUTED_VALUE"""),"#VALUE!")</f>
        <v>#VALUE!</v>
      </c>
      <c r="H124" s="51" t="str">
        <f>IFERROR(__xludf.DUMMYFUNCTION("""COMPUTED_VALUE"""),"")</f>
        <v/>
      </c>
      <c r="I124" s="51" t="str">
        <f>IFERROR(__xludf.DUMMYFUNCTION("""COMPUTED_VALUE"""),"#VALUE!")</f>
        <v>#VALUE!</v>
      </c>
      <c r="J124" s="51" t="str">
        <f>IFERROR(__xludf.DUMMYFUNCTION("""COMPUTED_VALUE"""),"")</f>
        <v/>
      </c>
      <c r="K124" s="51"/>
      <c r="L124" s="51" t="s">
        <v>257</v>
      </c>
      <c r="M124" s="51"/>
      <c r="N124" s="51"/>
      <c r="O124" s="51"/>
      <c r="P124" s="51"/>
      <c r="Q124" s="51"/>
      <c r="R124" s="51"/>
      <c r="S124" s="51"/>
      <c r="T124" s="51"/>
    </row>
    <row r="125">
      <c r="A125" s="51"/>
      <c r="B125" s="51"/>
      <c r="C125" s="56"/>
      <c r="D125" s="51"/>
      <c r="E125" s="51"/>
      <c r="F125" s="51"/>
      <c r="G125" s="51" t="str">
        <f>IFERROR(__xludf.DUMMYFUNCTION("""COMPUTED_VALUE"""),"#VALUE!")</f>
        <v>#VALUE!</v>
      </c>
      <c r="H125" s="51" t="str">
        <f>IFERROR(__xludf.DUMMYFUNCTION("""COMPUTED_VALUE"""),"")</f>
        <v/>
      </c>
      <c r="I125" s="51" t="str">
        <f>IFERROR(__xludf.DUMMYFUNCTION("""COMPUTED_VALUE"""),"#VALUE!")</f>
        <v>#VALUE!</v>
      </c>
      <c r="J125" s="51" t="str">
        <f>IFERROR(__xludf.DUMMYFUNCTION("""COMPUTED_VALUE"""),"")</f>
        <v/>
      </c>
      <c r="K125" s="51"/>
      <c r="L125" s="51" t="s">
        <v>257</v>
      </c>
      <c r="M125" s="51"/>
      <c r="N125" s="51"/>
      <c r="O125" s="51"/>
      <c r="P125" s="51"/>
      <c r="Q125" s="51"/>
      <c r="R125" s="51"/>
      <c r="S125" s="51"/>
      <c r="T125" s="51"/>
    </row>
    <row r="126">
      <c r="A126" s="51"/>
      <c r="B126" s="51"/>
      <c r="C126" s="56"/>
      <c r="D126" s="51"/>
      <c r="E126" s="51"/>
      <c r="F126" s="51"/>
      <c r="G126" s="51" t="str">
        <f>IFERROR(__xludf.DUMMYFUNCTION("""COMPUTED_VALUE"""),"#VALUE!")</f>
        <v>#VALUE!</v>
      </c>
      <c r="H126" s="51" t="str">
        <f>IFERROR(__xludf.DUMMYFUNCTION("""COMPUTED_VALUE"""),"")</f>
        <v/>
      </c>
      <c r="I126" s="51" t="str">
        <f>IFERROR(__xludf.DUMMYFUNCTION("""COMPUTED_VALUE"""),"#VALUE!")</f>
        <v>#VALUE!</v>
      </c>
      <c r="J126" s="51" t="str">
        <f>IFERROR(__xludf.DUMMYFUNCTION("""COMPUTED_VALUE"""),"")</f>
        <v/>
      </c>
      <c r="K126" s="51"/>
      <c r="L126" s="51" t="s">
        <v>257</v>
      </c>
      <c r="M126" s="51"/>
      <c r="N126" s="51"/>
      <c r="O126" s="51"/>
      <c r="P126" s="51"/>
      <c r="Q126" s="51"/>
      <c r="R126" s="51"/>
      <c r="S126" s="51"/>
      <c r="T126" s="51"/>
    </row>
    <row r="127">
      <c r="A127" s="51"/>
      <c r="B127" s="51"/>
      <c r="C127" s="56"/>
      <c r="D127" s="51"/>
      <c r="E127" s="51"/>
      <c r="F127" s="51"/>
      <c r="G127" s="51" t="str">
        <f>IFERROR(__xludf.DUMMYFUNCTION("""COMPUTED_VALUE"""),"#VALUE!")</f>
        <v>#VALUE!</v>
      </c>
      <c r="H127" s="51" t="str">
        <f>IFERROR(__xludf.DUMMYFUNCTION("""COMPUTED_VALUE"""),"")</f>
        <v/>
      </c>
      <c r="I127" s="51" t="str">
        <f>IFERROR(__xludf.DUMMYFUNCTION("""COMPUTED_VALUE"""),"#VALUE!")</f>
        <v>#VALUE!</v>
      </c>
      <c r="J127" s="51" t="str">
        <f>IFERROR(__xludf.DUMMYFUNCTION("""COMPUTED_VALUE"""),"")</f>
        <v/>
      </c>
      <c r="K127" s="51"/>
      <c r="L127" s="51" t="s">
        <v>257</v>
      </c>
      <c r="M127" s="51"/>
      <c r="N127" s="51"/>
      <c r="O127" s="51"/>
      <c r="P127" s="51"/>
      <c r="Q127" s="51"/>
      <c r="R127" s="51"/>
      <c r="S127" s="51"/>
      <c r="T127" s="51"/>
    </row>
    <row r="128">
      <c r="A128" s="51"/>
      <c r="B128" s="51"/>
      <c r="C128" s="56"/>
      <c r="D128" s="51"/>
      <c r="E128" s="51"/>
      <c r="F128" s="51"/>
      <c r="G128" s="51" t="str">
        <f>IFERROR(__xludf.DUMMYFUNCTION("""COMPUTED_VALUE"""),"#VALUE!")</f>
        <v>#VALUE!</v>
      </c>
      <c r="H128" s="51" t="str">
        <f>IFERROR(__xludf.DUMMYFUNCTION("""COMPUTED_VALUE"""),"")</f>
        <v/>
      </c>
      <c r="I128" s="51" t="str">
        <f>IFERROR(__xludf.DUMMYFUNCTION("""COMPUTED_VALUE"""),"#VALUE!")</f>
        <v>#VALUE!</v>
      </c>
      <c r="J128" s="51" t="str">
        <f>IFERROR(__xludf.DUMMYFUNCTION("""COMPUTED_VALUE"""),"")</f>
        <v/>
      </c>
      <c r="K128" s="51"/>
      <c r="L128" s="51" t="s">
        <v>257</v>
      </c>
      <c r="M128" s="51"/>
      <c r="N128" s="51"/>
      <c r="O128" s="51"/>
      <c r="P128" s="51"/>
      <c r="Q128" s="51"/>
      <c r="R128" s="51"/>
      <c r="S128" s="51"/>
      <c r="T128" s="51"/>
    </row>
    <row r="129">
      <c r="A129" s="51"/>
      <c r="B129" s="51"/>
      <c r="C129" s="56"/>
      <c r="D129" s="51"/>
      <c r="E129" s="51"/>
      <c r="F129" s="51"/>
      <c r="G129" s="51" t="str">
        <f>IFERROR(__xludf.DUMMYFUNCTION("""COMPUTED_VALUE"""),"#VALUE!")</f>
        <v>#VALUE!</v>
      </c>
      <c r="H129" s="51" t="str">
        <f>IFERROR(__xludf.DUMMYFUNCTION("""COMPUTED_VALUE"""),"")</f>
        <v/>
      </c>
      <c r="I129" s="51" t="str">
        <f>IFERROR(__xludf.DUMMYFUNCTION("""COMPUTED_VALUE"""),"#VALUE!")</f>
        <v>#VALUE!</v>
      </c>
      <c r="J129" s="51" t="str">
        <f>IFERROR(__xludf.DUMMYFUNCTION("""COMPUTED_VALUE"""),"")</f>
        <v/>
      </c>
      <c r="K129" s="51"/>
      <c r="L129" s="51" t="s">
        <v>257</v>
      </c>
      <c r="M129" s="51"/>
      <c r="N129" s="51"/>
      <c r="O129" s="51"/>
      <c r="P129" s="51"/>
      <c r="Q129" s="51"/>
      <c r="R129" s="51"/>
      <c r="S129" s="51"/>
      <c r="T129" s="51"/>
    </row>
    <row r="130">
      <c r="A130" s="51"/>
      <c r="B130" s="51"/>
      <c r="C130" s="56"/>
      <c r="D130" s="51"/>
      <c r="E130" s="51"/>
      <c r="F130" s="51"/>
      <c r="G130" s="51" t="str">
        <f>IFERROR(__xludf.DUMMYFUNCTION("""COMPUTED_VALUE"""),"#VALUE!")</f>
        <v>#VALUE!</v>
      </c>
      <c r="H130" s="51" t="str">
        <f>IFERROR(__xludf.DUMMYFUNCTION("""COMPUTED_VALUE"""),"")</f>
        <v/>
      </c>
      <c r="I130" s="51" t="str">
        <f>IFERROR(__xludf.DUMMYFUNCTION("""COMPUTED_VALUE"""),"#VALUE!")</f>
        <v>#VALUE!</v>
      </c>
      <c r="J130" s="51" t="str">
        <f>IFERROR(__xludf.DUMMYFUNCTION("""COMPUTED_VALUE"""),"")</f>
        <v/>
      </c>
      <c r="K130" s="51"/>
      <c r="L130" s="51" t="s">
        <v>257</v>
      </c>
      <c r="M130" s="51"/>
      <c r="N130" s="51"/>
      <c r="O130" s="51"/>
      <c r="P130" s="51"/>
      <c r="Q130" s="51"/>
      <c r="R130" s="51"/>
      <c r="S130" s="51"/>
      <c r="T130" s="51"/>
    </row>
    <row r="131">
      <c r="A131" s="51"/>
      <c r="B131" s="51"/>
      <c r="C131" s="56"/>
      <c r="D131" s="51"/>
      <c r="E131" s="51"/>
      <c r="F131" s="51"/>
      <c r="G131" s="51" t="str">
        <f>IFERROR(__xludf.DUMMYFUNCTION("""COMPUTED_VALUE"""),"#VALUE!")</f>
        <v>#VALUE!</v>
      </c>
      <c r="H131" s="51" t="str">
        <f>IFERROR(__xludf.DUMMYFUNCTION("""COMPUTED_VALUE"""),"")</f>
        <v/>
      </c>
      <c r="I131" s="51" t="str">
        <f>IFERROR(__xludf.DUMMYFUNCTION("""COMPUTED_VALUE"""),"#VALUE!")</f>
        <v>#VALUE!</v>
      </c>
      <c r="J131" s="51" t="str">
        <f>IFERROR(__xludf.DUMMYFUNCTION("""COMPUTED_VALUE"""),"")</f>
        <v/>
      </c>
      <c r="K131" s="51"/>
      <c r="L131" s="51" t="s">
        <v>257</v>
      </c>
      <c r="M131" s="51"/>
      <c r="N131" s="51"/>
      <c r="O131" s="51"/>
      <c r="P131" s="51"/>
      <c r="Q131" s="51"/>
      <c r="R131" s="51"/>
      <c r="S131" s="51"/>
      <c r="T131" s="51"/>
    </row>
    <row r="132">
      <c r="A132" s="51"/>
      <c r="B132" s="51"/>
      <c r="C132" s="56"/>
      <c r="D132" s="51"/>
      <c r="E132" s="51"/>
      <c r="F132" s="51"/>
      <c r="G132" s="51" t="str">
        <f>IFERROR(__xludf.DUMMYFUNCTION("""COMPUTED_VALUE"""),"#VALUE!")</f>
        <v>#VALUE!</v>
      </c>
      <c r="H132" s="51" t="str">
        <f>IFERROR(__xludf.DUMMYFUNCTION("""COMPUTED_VALUE"""),"")</f>
        <v/>
      </c>
      <c r="I132" s="51" t="str">
        <f>IFERROR(__xludf.DUMMYFUNCTION("""COMPUTED_VALUE"""),"#VALUE!")</f>
        <v>#VALUE!</v>
      </c>
      <c r="J132" s="51" t="str">
        <f>IFERROR(__xludf.DUMMYFUNCTION("""COMPUTED_VALUE"""),"")</f>
        <v/>
      </c>
      <c r="K132" s="51"/>
      <c r="L132" s="51" t="s">
        <v>257</v>
      </c>
      <c r="M132" s="51"/>
      <c r="N132" s="51"/>
      <c r="O132" s="51"/>
      <c r="P132" s="51"/>
      <c r="Q132" s="51"/>
      <c r="R132" s="51"/>
      <c r="S132" s="51"/>
      <c r="T132" s="51"/>
    </row>
    <row r="133">
      <c r="A133" s="51"/>
      <c r="B133" s="51"/>
      <c r="C133" s="56"/>
      <c r="D133" s="51"/>
      <c r="E133" s="51"/>
      <c r="F133" s="51"/>
      <c r="G133" s="51" t="str">
        <f>IFERROR(__xludf.DUMMYFUNCTION("""COMPUTED_VALUE"""),"#VALUE!")</f>
        <v>#VALUE!</v>
      </c>
      <c r="H133" s="51" t="str">
        <f>IFERROR(__xludf.DUMMYFUNCTION("""COMPUTED_VALUE"""),"")</f>
        <v/>
      </c>
      <c r="I133" s="51" t="str">
        <f>IFERROR(__xludf.DUMMYFUNCTION("""COMPUTED_VALUE"""),"#VALUE!")</f>
        <v>#VALUE!</v>
      </c>
      <c r="J133" s="51" t="str">
        <f>IFERROR(__xludf.DUMMYFUNCTION("""COMPUTED_VALUE"""),"")</f>
        <v/>
      </c>
      <c r="K133" s="51"/>
      <c r="L133" s="51" t="s">
        <v>257</v>
      </c>
      <c r="M133" s="51"/>
      <c r="N133" s="51"/>
      <c r="O133" s="51"/>
      <c r="P133" s="51"/>
      <c r="Q133" s="51"/>
      <c r="R133" s="51"/>
      <c r="S133" s="51"/>
      <c r="T133" s="51"/>
    </row>
    <row r="134">
      <c r="A134" s="51"/>
      <c r="B134" s="51"/>
      <c r="C134" s="56"/>
      <c r="D134" s="51"/>
      <c r="E134" s="51"/>
      <c r="F134" s="51"/>
      <c r="G134" s="51" t="str">
        <f>IFERROR(__xludf.DUMMYFUNCTION("""COMPUTED_VALUE"""),"#VALUE!")</f>
        <v>#VALUE!</v>
      </c>
      <c r="H134" s="51" t="str">
        <f>IFERROR(__xludf.DUMMYFUNCTION("""COMPUTED_VALUE"""),"")</f>
        <v/>
      </c>
      <c r="I134" s="51" t="str">
        <f>IFERROR(__xludf.DUMMYFUNCTION("""COMPUTED_VALUE"""),"#VALUE!")</f>
        <v>#VALUE!</v>
      </c>
      <c r="J134" s="51" t="str">
        <f>IFERROR(__xludf.DUMMYFUNCTION("""COMPUTED_VALUE"""),"")</f>
        <v/>
      </c>
      <c r="K134" s="51"/>
      <c r="L134" s="51" t="s">
        <v>257</v>
      </c>
      <c r="M134" s="51"/>
      <c r="N134" s="51"/>
      <c r="O134" s="51"/>
      <c r="P134" s="51"/>
      <c r="Q134" s="51"/>
      <c r="R134" s="51"/>
      <c r="S134" s="51"/>
      <c r="T134" s="51"/>
    </row>
    <row r="135">
      <c r="A135" s="51"/>
      <c r="B135" s="51"/>
      <c r="C135" s="56"/>
      <c r="D135" s="51"/>
      <c r="E135" s="51"/>
      <c r="F135" s="51"/>
      <c r="G135" s="51" t="str">
        <f>IFERROR(__xludf.DUMMYFUNCTION("""COMPUTED_VALUE"""),"#VALUE!")</f>
        <v>#VALUE!</v>
      </c>
      <c r="H135" s="51" t="str">
        <f>IFERROR(__xludf.DUMMYFUNCTION("""COMPUTED_VALUE"""),"")</f>
        <v/>
      </c>
      <c r="I135" s="51" t="str">
        <f>IFERROR(__xludf.DUMMYFUNCTION("""COMPUTED_VALUE"""),"#VALUE!")</f>
        <v>#VALUE!</v>
      </c>
      <c r="J135" s="51" t="str">
        <f>IFERROR(__xludf.DUMMYFUNCTION("""COMPUTED_VALUE"""),"")</f>
        <v/>
      </c>
      <c r="K135" s="51"/>
      <c r="L135" s="51" t="s">
        <v>257</v>
      </c>
      <c r="M135" s="51"/>
      <c r="N135" s="51"/>
      <c r="O135" s="51"/>
      <c r="P135" s="51"/>
      <c r="Q135" s="51"/>
      <c r="R135" s="51"/>
      <c r="S135" s="51"/>
      <c r="T135" s="51"/>
    </row>
    <row r="136">
      <c r="A136" s="51"/>
      <c r="B136" s="51"/>
      <c r="C136" s="56"/>
      <c r="D136" s="51"/>
      <c r="E136" s="51"/>
      <c r="F136" s="51"/>
      <c r="G136" s="51" t="str">
        <f>IFERROR(__xludf.DUMMYFUNCTION("""COMPUTED_VALUE"""),"#VALUE!")</f>
        <v>#VALUE!</v>
      </c>
      <c r="H136" s="51" t="str">
        <f>IFERROR(__xludf.DUMMYFUNCTION("""COMPUTED_VALUE"""),"")</f>
        <v/>
      </c>
      <c r="I136" s="51" t="str">
        <f>IFERROR(__xludf.DUMMYFUNCTION("""COMPUTED_VALUE"""),"#VALUE!")</f>
        <v>#VALUE!</v>
      </c>
      <c r="J136" s="51" t="str">
        <f>IFERROR(__xludf.DUMMYFUNCTION("""COMPUTED_VALUE"""),"")</f>
        <v/>
      </c>
      <c r="K136" s="51"/>
      <c r="L136" s="51" t="s">
        <v>257</v>
      </c>
      <c r="M136" s="51"/>
      <c r="N136" s="51"/>
      <c r="O136" s="51"/>
      <c r="P136" s="51"/>
      <c r="Q136" s="51"/>
      <c r="R136" s="51"/>
      <c r="S136" s="51"/>
      <c r="T136" s="51"/>
    </row>
    <row r="137">
      <c r="A137" s="51"/>
      <c r="B137" s="51"/>
      <c r="C137" s="56"/>
      <c r="D137" s="51"/>
      <c r="E137" s="51"/>
      <c r="F137" s="51"/>
      <c r="G137" s="51" t="str">
        <f>IFERROR(__xludf.DUMMYFUNCTION("""COMPUTED_VALUE"""),"#VALUE!")</f>
        <v>#VALUE!</v>
      </c>
      <c r="H137" s="51" t="str">
        <f>IFERROR(__xludf.DUMMYFUNCTION("""COMPUTED_VALUE"""),"")</f>
        <v/>
      </c>
      <c r="I137" s="51" t="str">
        <f>IFERROR(__xludf.DUMMYFUNCTION("""COMPUTED_VALUE"""),"#VALUE!")</f>
        <v>#VALUE!</v>
      </c>
      <c r="J137" s="51" t="str">
        <f>IFERROR(__xludf.DUMMYFUNCTION("""COMPUTED_VALUE"""),"")</f>
        <v/>
      </c>
      <c r="K137" s="51"/>
      <c r="L137" s="51" t="s">
        <v>257</v>
      </c>
      <c r="M137" s="51"/>
      <c r="N137" s="51"/>
      <c r="O137" s="51"/>
      <c r="P137" s="51"/>
      <c r="Q137" s="51"/>
      <c r="R137" s="51"/>
      <c r="S137" s="51"/>
      <c r="T137" s="51"/>
    </row>
    <row r="138">
      <c r="A138" s="51"/>
      <c r="B138" s="51"/>
      <c r="C138" s="56"/>
      <c r="D138" s="51"/>
      <c r="E138" s="51"/>
      <c r="F138" s="51"/>
      <c r="G138" s="51" t="str">
        <f>IFERROR(__xludf.DUMMYFUNCTION("""COMPUTED_VALUE"""),"#VALUE!")</f>
        <v>#VALUE!</v>
      </c>
      <c r="H138" s="51" t="str">
        <f>IFERROR(__xludf.DUMMYFUNCTION("""COMPUTED_VALUE"""),"")</f>
        <v/>
      </c>
      <c r="I138" s="51" t="str">
        <f>IFERROR(__xludf.DUMMYFUNCTION("""COMPUTED_VALUE"""),"#VALUE!")</f>
        <v>#VALUE!</v>
      </c>
      <c r="J138" s="51" t="str">
        <f>IFERROR(__xludf.DUMMYFUNCTION("""COMPUTED_VALUE"""),"")</f>
        <v/>
      </c>
      <c r="K138" s="51"/>
      <c r="L138" s="51" t="s">
        <v>257</v>
      </c>
      <c r="M138" s="51"/>
      <c r="N138" s="51"/>
      <c r="O138" s="51"/>
      <c r="P138" s="51"/>
      <c r="Q138" s="51"/>
      <c r="R138" s="51"/>
      <c r="S138" s="51"/>
      <c r="T138" s="51"/>
    </row>
    <row r="139">
      <c r="A139" s="51"/>
      <c r="B139" s="51"/>
      <c r="C139" s="56"/>
      <c r="D139" s="51"/>
      <c r="E139" s="51"/>
      <c r="F139" s="51"/>
      <c r="G139" s="51" t="str">
        <f>IFERROR(__xludf.DUMMYFUNCTION("""COMPUTED_VALUE"""),"#VALUE!")</f>
        <v>#VALUE!</v>
      </c>
      <c r="H139" s="51" t="str">
        <f>IFERROR(__xludf.DUMMYFUNCTION("""COMPUTED_VALUE"""),"")</f>
        <v/>
      </c>
      <c r="I139" s="51" t="str">
        <f>IFERROR(__xludf.DUMMYFUNCTION("""COMPUTED_VALUE"""),"#VALUE!")</f>
        <v>#VALUE!</v>
      </c>
      <c r="J139" s="51" t="str">
        <f>IFERROR(__xludf.DUMMYFUNCTION("""COMPUTED_VALUE"""),"")</f>
        <v/>
      </c>
      <c r="K139" s="51"/>
      <c r="L139" s="51" t="s">
        <v>257</v>
      </c>
      <c r="M139" s="51"/>
      <c r="N139" s="51"/>
      <c r="O139" s="51"/>
      <c r="P139" s="51"/>
      <c r="Q139" s="51"/>
      <c r="R139" s="51"/>
      <c r="S139" s="51"/>
      <c r="T139" s="51"/>
    </row>
    <row r="140">
      <c r="A140" s="51"/>
      <c r="B140" s="51"/>
      <c r="C140" s="56"/>
      <c r="D140" s="51"/>
      <c r="E140" s="51"/>
      <c r="F140" s="51"/>
      <c r="G140" s="51" t="str">
        <f>IFERROR(__xludf.DUMMYFUNCTION("""COMPUTED_VALUE"""),"#VALUE!")</f>
        <v>#VALUE!</v>
      </c>
      <c r="H140" s="51" t="str">
        <f>IFERROR(__xludf.DUMMYFUNCTION("""COMPUTED_VALUE"""),"")</f>
        <v/>
      </c>
      <c r="I140" s="51" t="str">
        <f>IFERROR(__xludf.DUMMYFUNCTION("""COMPUTED_VALUE"""),"#VALUE!")</f>
        <v>#VALUE!</v>
      </c>
      <c r="J140" s="51" t="str">
        <f>IFERROR(__xludf.DUMMYFUNCTION("""COMPUTED_VALUE"""),"")</f>
        <v/>
      </c>
      <c r="K140" s="51"/>
      <c r="L140" s="51" t="s">
        <v>257</v>
      </c>
      <c r="M140" s="51"/>
      <c r="N140" s="51"/>
      <c r="O140" s="51"/>
      <c r="P140" s="51"/>
      <c r="Q140" s="51"/>
      <c r="R140" s="51"/>
      <c r="S140" s="51"/>
      <c r="T140" s="51"/>
    </row>
    <row r="141">
      <c r="A141" s="51"/>
      <c r="B141" s="51"/>
      <c r="C141" s="56"/>
      <c r="D141" s="51"/>
      <c r="E141" s="51"/>
      <c r="F141" s="51"/>
      <c r="G141" s="51" t="str">
        <f>IFERROR(__xludf.DUMMYFUNCTION("""COMPUTED_VALUE"""),"#VALUE!")</f>
        <v>#VALUE!</v>
      </c>
      <c r="H141" s="51" t="str">
        <f>IFERROR(__xludf.DUMMYFUNCTION("""COMPUTED_VALUE"""),"")</f>
        <v/>
      </c>
      <c r="I141" s="51" t="str">
        <f>IFERROR(__xludf.DUMMYFUNCTION("""COMPUTED_VALUE"""),"#VALUE!")</f>
        <v>#VALUE!</v>
      </c>
      <c r="J141" s="51" t="str">
        <f>IFERROR(__xludf.DUMMYFUNCTION("""COMPUTED_VALUE"""),"")</f>
        <v/>
      </c>
      <c r="K141" s="51"/>
      <c r="L141" s="51" t="s">
        <v>257</v>
      </c>
      <c r="M141" s="51"/>
      <c r="N141" s="51"/>
      <c r="O141" s="51"/>
      <c r="P141" s="51"/>
      <c r="Q141" s="51"/>
      <c r="R141" s="51"/>
      <c r="S141" s="51"/>
      <c r="T141" s="51"/>
    </row>
    <row r="142">
      <c r="A142" s="51"/>
      <c r="B142" s="51"/>
      <c r="C142" s="56"/>
      <c r="D142" s="51"/>
      <c r="E142" s="51"/>
      <c r="F142" s="51"/>
      <c r="G142" s="51" t="str">
        <f>IFERROR(__xludf.DUMMYFUNCTION("""COMPUTED_VALUE"""),"#VALUE!")</f>
        <v>#VALUE!</v>
      </c>
      <c r="H142" s="51" t="str">
        <f>IFERROR(__xludf.DUMMYFUNCTION("""COMPUTED_VALUE"""),"")</f>
        <v/>
      </c>
      <c r="I142" s="51" t="str">
        <f>IFERROR(__xludf.DUMMYFUNCTION("""COMPUTED_VALUE"""),"#VALUE!")</f>
        <v>#VALUE!</v>
      </c>
      <c r="J142" s="51" t="str">
        <f>IFERROR(__xludf.DUMMYFUNCTION("""COMPUTED_VALUE"""),"")</f>
        <v/>
      </c>
      <c r="K142" s="51"/>
      <c r="L142" s="51" t="s">
        <v>257</v>
      </c>
      <c r="M142" s="51"/>
      <c r="N142" s="51"/>
      <c r="O142" s="51"/>
      <c r="P142" s="51"/>
      <c r="Q142" s="51"/>
      <c r="R142" s="51"/>
      <c r="S142" s="51"/>
      <c r="T142" s="51"/>
    </row>
    <row r="143">
      <c r="A143" s="51"/>
      <c r="B143" s="51"/>
      <c r="C143" s="56"/>
      <c r="D143" s="51"/>
      <c r="E143" s="51"/>
      <c r="F143" s="51"/>
      <c r="G143" s="51" t="str">
        <f>IFERROR(__xludf.DUMMYFUNCTION("""COMPUTED_VALUE"""),"#VALUE!")</f>
        <v>#VALUE!</v>
      </c>
      <c r="H143" s="51" t="str">
        <f>IFERROR(__xludf.DUMMYFUNCTION("""COMPUTED_VALUE"""),"")</f>
        <v/>
      </c>
      <c r="I143" s="51" t="str">
        <f>IFERROR(__xludf.DUMMYFUNCTION("""COMPUTED_VALUE"""),"#VALUE!")</f>
        <v>#VALUE!</v>
      </c>
      <c r="J143" s="51" t="str">
        <f>IFERROR(__xludf.DUMMYFUNCTION("""COMPUTED_VALUE"""),"")</f>
        <v/>
      </c>
      <c r="K143" s="51"/>
      <c r="L143" s="51" t="s">
        <v>257</v>
      </c>
      <c r="M143" s="51"/>
      <c r="N143" s="51"/>
      <c r="O143" s="51"/>
      <c r="P143" s="51"/>
      <c r="Q143" s="51"/>
      <c r="R143" s="51"/>
      <c r="S143" s="51"/>
      <c r="T143" s="51"/>
    </row>
    <row r="144">
      <c r="A144" s="51"/>
      <c r="B144" s="51"/>
      <c r="C144" s="56"/>
      <c r="D144" s="51"/>
      <c r="E144" s="51"/>
      <c r="F144" s="51"/>
      <c r="G144" s="51" t="str">
        <f>IFERROR(__xludf.DUMMYFUNCTION("""COMPUTED_VALUE"""),"#VALUE!")</f>
        <v>#VALUE!</v>
      </c>
      <c r="H144" s="51" t="str">
        <f>IFERROR(__xludf.DUMMYFUNCTION("""COMPUTED_VALUE"""),"")</f>
        <v/>
      </c>
      <c r="I144" s="51" t="str">
        <f>IFERROR(__xludf.DUMMYFUNCTION("""COMPUTED_VALUE"""),"#VALUE!")</f>
        <v>#VALUE!</v>
      </c>
      <c r="J144" s="51" t="str">
        <f>IFERROR(__xludf.DUMMYFUNCTION("""COMPUTED_VALUE"""),"")</f>
        <v/>
      </c>
      <c r="K144" s="51"/>
      <c r="L144" s="51" t="s">
        <v>257</v>
      </c>
      <c r="M144" s="51"/>
      <c r="N144" s="51"/>
      <c r="O144" s="51"/>
      <c r="P144" s="51"/>
      <c r="Q144" s="51"/>
      <c r="R144" s="51"/>
      <c r="S144" s="51"/>
      <c r="T144" s="51"/>
    </row>
    <row r="145">
      <c r="A145" s="51"/>
      <c r="B145" s="51"/>
      <c r="C145" s="56"/>
      <c r="D145" s="51"/>
      <c r="E145" s="51"/>
      <c r="F145" s="51"/>
      <c r="G145" s="51" t="str">
        <f>IFERROR(__xludf.DUMMYFUNCTION("""COMPUTED_VALUE"""),"#VALUE!")</f>
        <v>#VALUE!</v>
      </c>
      <c r="H145" s="51" t="str">
        <f>IFERROR(__xludf.DUMMYFUNCTION("""COMPUTED_VALUE"""),"")</f>
        <v/>
      </c>
      <c r="I145" s="51" t="str">
        <f>IFERROR(__xludf.DUMMYFUNCTION("""COMPUTED_VALUE"""),"#VALUE!")</f>
        <v>#VALUE!</v>
      </c>
      <c r="J145" s="51" t="str">
        <f>IFERROR(__xludf.DUMMYFUNCTION("""COMPUTED_VALUE"""),"")</f>
        <v/>
      </c>
      <c r="K145" s="51"/>
      <c r="L145" s="51" t="s">
        <v>257</v>
      </c>
      <c r="M145" s="51"/>
      <c r="N145" s="51"/>
      <c r="O145" s="51"/>
      <c r="P145" s="51"/>
      <c r="Q145" s="51"/>
      <c r="R145" s="51"/>
      <c r="S145" s="51"/>
      <c r="T145" s="51"/>
    </row>
    <row r="146">
      <c r="A146" s="51"/>
      <c r="B146" s="51"/>
      <c r="C146" s="56"/>
      <c r="D146" s="51"/>
      <c r="E146" s="51"/>
      <c r="F146" s="51"/>
      <c r="G146" s="51" t="str">
        <f>IFERROR(__xludf.DUMMYFUNCTION("""COMPUTED_VALUE"""),"#VALUE!")</f>
        <v>#VALUE!</v>
      </c>
      <c r="H146" s="51" t="str">
        <f>IFERROR(__xludf.DUMMYFUNCTION("""COMPUTED_VALUE"""),"")</f>
        <v/>
      </c>
      <c r="I146" s="51" t="str">
        <f>IFERROR(__xludf.DUMMYFUNCTION("""COMPUTED_VALUE"""),"#VALUE!")</f>
        <v>#VALUE!</v>
      </c>
      <c r="J146" s="51" t="str">
        <f>IFERROR(__xludf.DUMMYFUNCTION("""COMPUTED_VALUE"""),"")</f>
        <v/>
      </c>
      <c r="K146" s="51"/>
      <c r="L146" s="51" t="s">
        <v>257</v>
      </c>
      <c r="M146" s="51"/>
      <c r="N146" s="51"/>
      <c r="O146" s="51"/>
      <c r="P146" s="51"/>
      <c r="Q146" s="51"/>
      <c r="R146" s="51"/>
      <c r="S146" s="51"/>
      <c r="T146" s="51"/>
    </row>
    <row r="147">
      <c r="A147" s="51"/>
      <c r="B147" s="51"/>
      <c r="C147" s="56"/>
      <c r="D147" s="51"/>
      <c r="E147" s="51"/>
      <c r="F147" s="51"/>
      <c r="G147" s="51" t="str">
        <f>IFERROR(__xludf.DUMMYFUNCTION("""COMPUTED_VALUE"""),"#VALUE!")</f>
        <v>#VALUE!</v>
      </c>
      <c r="H147" s="51" t="str">
        <f>IFERROR(__xludf.DUMMYFUNCTION("""COMPUTED_VALUE"""),"")</f>
        <v/>
      </c>
      <c r="I147" s="51" t="str">
        <f>IFERROR(__xludf.DUMMYFUNCTION("""COMPUTED_VALUE"""),"#VALUE!")</f>
        <v>#VALUE!</v>
      </c>
      <c r="J147" s="51" t="str">
        <f>IFERROR(__xludf.DUMMYFUNCTION("""COMPUTED_VALUE"""),"")</f>
        <v/>
      </c>
      <c r="K147" s="51"/>
      <c r="L147" s="51" t="s">
        <v>257</v>
      </c>
      <c r="M147" s="51"/>
      <c r="N147" s="51"/>
      <c r="O147" s="51"/>
      <c r="P147" s="51"/>
      <c r="Q147" s="51"/>
      <c r="R147" s="51"/>
      <c r="S147" s="51"/>
      <c r="T147" s="51"/>
    </row>
    <row r="148">
      <c r="A148" s="51"/>
      <c r="B148" s="51"/>
      <c r="C148" s="56"/>
      <c r="D148" s="51"/>
      <c r="E148" s="51"/>
      <c r="F148" s="51"/>
      <c r="G148" s="51" t="str">
        <f>IFERROR(__xludf.DUMMYFUNCTION("""COMPUTED_VALUE"""),"#VALUE!")</f>
        <v>#VALUE!</v>
      </c>
      <c r="H148" s="51" t="str">
        <f>IFERROR(__xludf.DUMMYFUNCTION("""COMPUTED_VALUE"""),"")</f>
        <v/>
      </c>
      <c r="I148" s="51" t="str">
        <f>IFERROR(__xludf.DUMMYFUNCTION("""COMPUTED_VALUE"""),"#VALUE!")</f>
        <v>#VALUE!</v>
      </c>
      <c r="J148" s="51" t="str">
        <f>IFERROR(__xludf.DUMMYFUNCTION("""COMPUTED_VALUE"""),"")</f>
        <v/>
      </c>
      <c r="K148" s="51"/>
      <c r="L148" s="51" t="s">
        <v>257</v>
      </c>
      <c r="M148" s="51"/>
      <c r="N148" s="51"/>
      <c r="O148" s="51"/>
      <c r="P148" s="51"/>
      <c r="Q148" s="51"/>
      <c r="R148" s="51"/>
      <c r="S148" s="51"/>
      <c r="T148" s="51"/>
    </row>
    <row r="149">
      <c r="A149" s="51"/>
      <c r="B149" s="51"/>
      <c r="C149" s="56"/>
      <c r="D149" s="51"/>
      <c r="E149" s="51"/>
      <c r="F149" s="51"/>
      <c r="G149" s="51" t="str">
        <f>IFERROR(__xludf.DUMMYFUNCTION("""COMPUTED_VALUE"""),"#VALUE!")</f>
        <v>#VALUE!</v>
      </c>
      <c r="H149" s="51" t="str">
        <f>IFERROR(__xludf.DUMMYFUNCTION("""COMPUTED_VALUE"""),"")</f>
        <v/>
      </c>
      <c r="I149" s="51" t="str">
        <f>IFERROR(__xludf.DUMMYFUNCTION("""COMPUTED_VALUE"""),"#VALUE!")</f>
        <v>#VALUE!</v>
      </c>
      <c r="J149" s="51" t="str">
        <f>IFERROR(__xludf.DUMMYFUNCTION("""COMPUTED_VALUE"""),"")</f>
        <v/>
      </c>
      <c r="K149" s="51"/>
      <c r="L149" s="51" t="s">
        <v>257</v>
      </c>
      <c r="M149" s="51"/>
      <c r="N149" s="51"/>
      <c r="O149" s="51"/>
      <c r="P149" s="51"/>
      <c r="Q149" s="51"/>
      <c r="R149" s="51"/>
      <c r="S149" s="51"/>
      <c r="T149" s="51"/>
    </row>
    <row r="150">
      <c r="A150" s="51"/>
      <c r="B150" s="51"/>
      <c r="C150" s="56"/>
      <c r="D150" s="51"/>
      <c r="E150" s="51"/>
      <c r="F150" s="51"/>
      <c r="G150" s="51" t="str">
        <f>IFERROR(__xludf.DUMMYFUNCTION("""COMPUTED_VALUE"""),"#VALUE!")</f>
        <v>#VALUE!</v>
      </c>
      <c r="H150" s="51" t="str">
        <f>IFERROR(__xludf.DUMMYFUNCTION("""COMPUTED_VALUE"""),"")</f>
        <v/>
      </c>
      <c r="I150" s="51" t="str">
        <f>IFERROR(__xludf.DUMMYFUNCTION("""COMPUTED_VALUE"""),"#VALUE!")</f>
        <v>#VALUE!</v>
      </c>
      <c r="J150" s="51" t="str">
        <f>IFERROR(__xludf.DUMMYFUNCTION("""COMPUTED_VALUE"""),"")</f>
        <v/>
      </c>
      <c r="K150" s="51"/>
      <c r="L150" s="51" t="s">
        <v>257</v>
      </c>
      <c r="M150" s="51"/>
      <c r="N150" s="51"/>
      <c r="O150" s="51"/>
      <c r="P150" s="51"/>
      <c r="Q150" s="51"/>
      <c r="R150" s="51"/>
      <c r="S150" s="51"/>
      <c r="T150" s="51"/>
    </row>
    <row r="151">
      <c r="A151" s="51"/>
      <c r="B151" s="51"/>
      <c r="C151" s="56"/>
      <c r="D151" s="51"/>
      <c r="E151" s="51"/>
      <c r="F151" s="51"/>
      <c r="G151" s="51" t="str">
        <f>IFERROR(__xludf.DUMMYFUNCTION("""COMPUTED_VALUE"""),"#VALUE!")</f>
        <v>#VALUE!</v>
      </c>
      <c r="H151" s="51" t="str">
        <f>IFERROR(__xludf.DUMMYFUNCTION("""COMPUTED_VALUE"""),"")</f>
        <v/>
      </c>
      <c r="I151" s="51" t="str">
        <f>IFERROR(__xludf.DUMMYFUNCTION("""COMPUTED_VALUE"""),"#VALUE!")</f>
        <v>#VALUE!</v>
      </c>
      <c r="J151" s="51" t="str">
        <f>IFERROR(__xludf.DUMMYFUNCTION("""COMPUTED_VALUE"""),"")</f>
        <v/>
      </c>
      <c r="K151" s="51"/>
      <c r="L151" s="51" t="s">
        <v>257</v>
      </c>
      <c r="M151" s="51"/>
      <c r="N151" s="51"/>
      <c r="O151" s="51"/>
      <c r="P151" s="51"/>
      <c r="Q151" s="51"/>
      <c r="R151" s="51"/>
      <c r="S151" s="51"/>
      <c r="T151" s="51"/>
    </row>
    <row r="152">
      <c r="A152" s="51"/>
      <c r="B152" s="51"/>
      <c r="C152" s="56"/>
      <c r="D152" s="51"/>
      <c r="E152" s="51"/>
      <c r="F152" s="51"/>
      <c r="G152" s="51" t="str">
        <f>IFERROR(__xludf.DUMMYFUNCTION("""COMPUTED_VALUE"""),"#VALUE!")</f>
        <v>#VALUE!</v>
      </c>
      <c r="H152" s="51" t="str">
        <f>IFERROR(__xludf.DUMMYFUNCTION("""COMPUTED_VALUE"""),"")</f>
        <v/>
      </c>
      <c r="I152" s="51" t="str">
        <f>IFERROR(__xludf.DUMMYFUNCTION("""COMPUTED_VALUE"""),"#VALUE!")</f>
        <v>#VALUE!</v>
      </c>
      <c r="J152" s="51" t="str">
        <f>IFERROR(__xludf.DUMMYFUNCTION("""COMPUTED_VALUE"""),"")</f>
        <v/>
      </c>
      <c r="K152" s="51"/>
      <c r="L152" s="51" t="s">
        <v>257</v>
      </c>
      <c r="M152" s="51"/>
      <c r="N152" s="51"/>
      <c r="O152" s="51"/>
      <c r="P152" s="51"/>
      <c r="Q152" s="51"/>
      <c r="R152" s="51"/>
      <c r="S152" s="51"/>
      <c r="T152" s="51"/>
    </row>
    <row r="153">
      <c r="A153" s="51"/>
      <c r="B153" s="51"/>
      <c r="C153" s="56"/>
      <c r="D153" s="51"/>
      <c r="E153" s="51"/>
      <c r="F153" s="51"/>
      <c r="G153" s="51" t="str">
        <f>IFERROR(__xludf.DUMMYFUNCTION("""COMPUTED_VALUE"""),"#VALUE!")</f>
        <v>#VALUE!</v>
      </c>
      <c r="H153" s="51" t="str">
        <f>IFERROR(__xludf.DUMMYFUNCTION("""COMPUTED_VALUE"""),"")</f>
        <v/>
      </c>
      <c r="I153" s="51" t="str">
        <f>IFERROR(__xludf.DUMMYFUNCTION("""COMPUTED_VALUE"""),"#VALUE!")</f>
        <v>#VALUE!</v>
      </c>
      <c r="J153" s="51" t="str">
        <f>IFERROR(__xludf.DUMMYFUNCTION("""COMPUTED_VALUE"""),"")</f>
        <v/>
      </c>
      <c r="K153" s="51"/>
      <c r="L153" s="51" t="s">
        <v>257</v>
      </c>
      <c r="M153" s="51"/>
      <c r="N153" s="51"/>
      <c r="O153" s="51"/>
      <c r="P153" s="51"/>
      <c r="Q153" s="51"/>
      <c r="R153" s="51"/>
      <c r="S153" s="51"/>
      <c r="T153" s="51"/>
    </row>
    <row r="154">
      <c r="A154" s="51"/>
      <c r="B154" s="51"/>
      <c r="C154" s="56"/>
      <c r="D154" s="51"/>
      <c r="E154" s="51"/>
      <c r="F154" s="51"/>
      <c r="G154" s="51" t="str">
        <f>IFERROR(__xludf.DUMMYFUNCTION("""COMPUTED_VALUE"""),"#VALUE!")</f>
        <v>#VALUE!</v>
      </c>
      <c r="H154" s="51" t="str">
        <f>IFERROR(__xludf.DUMMYFUNCTION("""COMPUTED_VALUE"""),"")</f>
        <v/>
      </c>
      <c r="I154" s="51" t="str">
        <f>IFERROR(__xludf.DUMMYFUNCTION("""COMPUTED_VALUE"""),"#VALUE!")</f>
        <v>#VALUE!</v>
      </c>
      <c r="J154" s="51" t="str">
        <f>IFERROR(__xludf.DUMMYFUNCTION("""COMPUTED_VALUE"""),"")</f>
        <v/>
      </c>
      <c r="K154" s="51"/>
      <c r="L154" s="51" t="s">
        <v>257</v>
      </c>
      <c r="M154" s="51"/>
      <c r="N154" s="51"/>
      <c r="O154" s="51"/>
      <c r="P154" s="51"/>
      <c r="Q154" s="51"/>
      <c r="R154" s="51"/>
      <c r="S154" s="51"/>
      <c r="T154" s="51"/>
    </row>
    <row r="155">
      <c r="A155" s="51"/>
      <c r="B155" s="51"/>
      <c r="C155" s="56"/>
      <c r="D155" s="51"/>
      <c r="E155" s="51"/>
      <c r="F155" s="51"/>
      <c r="G155" s="51" t="str">
        <f>IFERROR(__xludf.DUMMYFUNCTION("""COMPUTED_VALUE"""),"#VALUE!")</f>
        <v>#VALUE!</v>
      </c>
      <c r="H155" s="51" t="str">
        <f>IFERROR(__xludf.DUMMYFUNCTION("""COMPUTED_VALUE"""),"")</f>
        <v/>
      </c>
      <c r="I155" s="51" t="str">
        <f>IFERROR(__xludf.DUMMYFUNCTION("""COMPUTED_VALUE"""),"#VALUE!")</f>
        <v>#VALUE!</v>
      </c>
      <c r="J155" s="51" t="str">
        <f>IFERROR(__xludf.DUMMYFUNCTION("""COMPUTED_VALUE"""),"")</f>
        <v/>
      </c>
      <c r="K155" s="51"/>
      <c r="L155" s="51" t="s">
        <v>257</v>
      </c>
      <c r="M155" s="51"/>
      <c r="N155" s="51"/>
      <c r="O155" s="51"/>
      <c r="P155" s="51"/>
      <c r="Q155" s="51"/>
      <c r="R155" s="51"/>
      <c r="S155" s="51"/>
      <c r="T155" s="51"/>
    </row>
    <row r="156">
      <c r="A156" s="51"/>
      <c r="B156" s="51"/>
      <c r="C156" s="56"/>
      <c r="D156" s="51"/>
      <c r="E156" s="51"/>
      <c r="F156" s="51"/>
      <c r="G156" s="51" t="str">
        <f>IFERROR(__xludf.DUMMYFUNCTION("""COMPUTED_VALUE"""),"#VALUE!")</f>
        <v>#VALUE!</v>
      </c>
      <c r="H156" s="51" t="str">
        <f>IFERROR(__xludf.DUMMYFUNCTION("""COMPUTED_VALUE"""),"")</f>
        <v/>
      </c>
      <c r="I156" s="51" t="str">
        <f>IFERROR(__xludf.DUMMYFUNCTION("""COMPUTED_VALUE"""),"#VALUE!")</f>
        <v>#VALUE!</v>
      </c>
      <c r="J156" s="51" t="str">
        <f>IFERROR(__xludf.DUMMYFUNCTION("""COMPUTED_VALUE"""),"")</f>
        <v/>
      </c>
      <c r="K156" s="51"/>
      <c r="L156" s="51" t="s">
        <v>257</v>
      </c>
      <c r="M156" s="51"/>
      <c r="N156" s="51"/>
      <c r="O156" s="51"/>
      <c r="P156" s="51"/>
      <c r="Q156" s="51"/>
      <c r="R156" s="51"/>
      <c r="S156" s="51"/>
      <c r="T156" s="51"/>
    </row>
    <row r="157">
      <c r="A157" s="51"/>
      <c r="B157" s="51"/>
      <c r="C157" s="56"/>
      <c r="D157" s="51"/>
      <c r="E157" s="51"/>
      <c r="F157" s="51"/>
      <c r="G157" s="51" t="str">
        <f>IFERROR(__xludf.DUMMYFUNCTION("""COMPUTED_VALUE"""),"#VALUE!")</f>
        <v>#VALUE!</v>
      </c>
      <c r="H157" s="51" t="str">
        <f>IFERROR(__xludf.DUMMYFUNCTION("""COMPUTED_VALUE"""),"")</f>
        <v/>
      </c>
      <c r="I157" s="51" t="str">
        <f>IFERROR(__xludf.DUMMYFUNCTION("""COMPUTED_VALUE"""),"#VALUE!")</f>
        <v>#VALUE!</v>
      </c>
      <c r="J157" s="51" t="str">
        <f>IFERROR(__xludf.DUMMYFUNCTION("""COMPUTED_VALUE"""),"")</f>
        <v/>
      </c>
      <c r="K157" s="51"/>
      <c r="L157" s="51" t="s">
        <v>257</v>
      </c>
      <c r="M157" s="51"/>
      <c r="N157" s="51"/>
      <c r="O157" s="51"/>
      <c r="P157" s="51"/>
      <c r="Q157" s="51"/>
      <c r="R157" s="51"/>
      <c r="S157" s="51"/>
      <c r="T157" s="51"/>
    </row>
    <row r="158">
      <c r="A158" s="51"/>
      <c r="B158" s="51"/>
      <c r="C158" s="56"/>
      <c r="D158" s="51"/>
      <c r="E158" s="51"/>
      <c r="F158" s="51"/>
      <c r="G158" s="51" t="str">
        <f>IFERROR(__xludf.DUMMYFUNCTION("""COMPUTED_VALUE"""),"#VALUE!")</f>
        <v>#VALUE!</v>
      </c>
      <c r="H158" s="51" t="str">
        <f>IFERROR(__xludf.DUMMYFUNCTION("""COMPUTED_VALUE"""),"")</f>
        <v/>
      </c>
      <c r="I158" s="51" t="str">
        <f>IFERROR(__xludf.DUMMYFUNCTION("""COMPUTED_VALUE"""),"#VALUE!")</f>
        <v>#VALUE!</v>
      </c>
      <c r="J158" s="51" t="str">
        <f>IFERROR(__xludf.DUMMYFUNCTION("""COMPUTED_VALUE"""),"")</f>
        <v/>
      </c>
      <c r="K158" s="51"/>
      <c r="L158" s="51" t="s">
        <v>257</v>
      </c>
      <c r="M158" s="51"/>
      <c r="N158" s="51"/>
      <c r="O158" s="51"/>
      <c r="P158" s="51"/>
      <c r="Q158" s="51"/>
      <c r="R158" s="51"/>
      <c r="S158" s="51"/>
      <c r="T158" s="51"/>
    </row>
    <row r="159">
      <c r="A159" s="51"/>
      <c r="B159" s="51"/>
      <c r="C159" s="56"/>
      <c r="D159" s="51"/>
      <c r="E159" s="51"/>
      <c r="F159" s="51"/>
      <c r="G159" s="51" t="str">
        <f>IFERROR(__xludf.DUMMYFUNCTION("""COMPUTED_VALUE"""),"#VALUE!")</f>
        <v>#VALUE!</v>
      </c>
      <c r="H159" s="51" t="str">
        <f>IFERROR(__xludf.DUMMYFUNCTION("""COMPUTED_VALUE"""),"")</f>
        <v/>
      </c>
      <c r="I159" s="51" t="str">
        <f>IFERROR(__xludf.DUMMYFUNCTION("""COMPUTED_VALUE"""),"#VALUE!")</f>
        <v>#VALUE!</v>
      </c>
      <c r="J159" s="51" t="str">
        <f>IFERROR(__xludf.DUMMYFUNCTION("""COMPUTED_VALUE"""),"")</f>
        <v/>
      </c>
      <c r="K159" s="51"/>
      <c r="L159" s="51" t="s">
        <v>257</v>
      </c>
      <c r="M159" s="51"/>
      <c r="N159" s="51"/>
      <c r="O159" s="51"/>
      <c r="P159" s="51"/>
      <c r="Q159" s="51"/>
      <c r="R159" s="51"/>
      <c r="S159" s="51"/>
      <c r="T159" s="51"/>
    </row>
    <row r="160">
      <c r="A160" s="51"/>
      <c r="B160" s="51"/>
      <c r="C160" s="56"/>
      <c r="D160" s="51"/>
      <c r="E160" s="51"/>
      <c r="F160" s="51"/>
      <c r="G160" s="51" t="str">
        <f>IFERROR(__xludf.DUMMYFUNCTION("""COMPUTED_VALUE"""),"#VALUE!")</f>
        <v>#VALUE!</v>
      </c>
      <c r="H160" s="51" t="str">
        <f>IFERROR(__xludf.DUMMYFUNCTION("""COMPUTED_VALUE"""),"")</f>
        <v/>
      </c>
      <c r="I160" s="51" t="str">
        <f>IFERROR(__xludf.DUMMYFUNCTION("""COMPUTED_VALUE"""),"#VALUE!")</f>
        <v>#VALUE!</v>
      </c>
      <c r="J160" s="51" t="str">
        <f>IFERROR(__xludf.DUMMYFUNCTION("""COMPUTED_VALUE"""),"")</f>
        <v/>
      </c>
      <c r="K160" s="51"/>
      <c r="L160" s="51" t="s">
        <v>257</v>
      </c>
      <c r="M160" s="51"/>
      <c r="N160" s="51"/>
      <c r="O160" s="51"/>
      <c r="P160" s="51"/>
      <c r="Q160" s="51"/>
      <c r="R160" s="51"/>
      <c r="S160" s="51"/>
      <c r="T160" s="51"/>
    </row>
    <row r="161">
      <c r="A161" s="51"/>
      <c r="B161" s="51"/>
      <c r="C161" s="56"/>
      <c r="D161" s="51"/>
      <c r="E161" s="51"/>
      <c r="F161" s="51"/>
      <c r="G161" s="51" t="str">
        <f>IFERROR(__xludf.DUMMYFUNCTION("""COMPUTED_VALUE"""),"#VALUE!")</f>
        <v>#VALUE!</v>
      </c>
      <c r="H161" s="51" t="str">
        <f>IFERROR(__xludf.DUMMYFUNCTION("""COMPUTED_VALUE"""),"")</f>
        <v/>
      </c>
      <c r="I161" s="51" t="str">
        <f>IFERROR(__xludf.DUMMYFUNCTION("""COMPUTED_VALUE"""),"#VALUE!")</f>
        <v>#VALUE!</v>
      </c>
      <c r="J161" s="51" t="str">
        <f>IFERROR(__xludf.DUMMYFUNCTION("""COMPUTED_VALUE"""),"")</f>
        <v/>
      </c>
      <c r="K161" s="51"/>
      <c r="L161" s="51" t="s">
        <v>257</v>
      </c>
      <c r="M161" s="51"/>
      <c r="N161" s="51"/>
      <c r="O161" s="51"/>
      <c r="P161" s="51"/>
      <c r="Q161" s="51"/>
      <c r="R161" s="51"/>
      <c r="S161" s="51"/>
      <c r="T161" s="51"/>
    </row>
    <row r="162">
      <c r="A162" s="51"/>
      <c r="B162" s="51"/>
      <c r="C162" s="56"/>
      <c r="D162" s="51"/>
      <c r="E162" s="51"/>
      <c r="F162" s="51"/>
      <c r="G162" s="51" t="str">
        <f>IFERROR(__xludf.DUMMYFUNCTION("""COMPUTED_VALUE"""),"#VALUE!")</f>
        <v>#VALUE!</v>
      </c>
      <c r="H162" s="51" t="str">
        <f>IFERROR(__xludf.DUMMYFUNCTION("""COMPUTED_VALUE"""),"")</f>
        <v/>
      </c>
      <c r="I162" s="51" t="str">
        <f>IFERROR(__xludf.DUMMYFUNCTION("""COMPUTED_VALUE"""),"#VALUE!")</f>
        <v>#VALUE!</v>
      </c>
      <c r="J162" s="51" t="str">
        <f>IFERROR(__xludf.DUMMYFUNCTION("""COMPUTED_VALUE"""),"")</f>
        <v/>
      </c>
      <c r="K162" s="51"/>
      <c r="L162" s="51" t="s">
        <v>257</v>
      </c>
      <c r="M162" s="51"/>
      <c r="N162" s="51"/>
      <c r="O162" s="51"/>
      <c r="P162" s="51"/>
      <c r="Q162" s="51"/>
      <c r="R162" s="51"/>
      <c r="S162" s="51"/>
      <c r="T162" s="51"/>
    </row>
    <row r="163">
      <c r="A163" s="51"/>
      <c r="B163" s="51"/>
      <c r="C163" s="56"/>
      <c r="D163" s="51"/>
      <c r="E163" s="51"/>
      <c r="F163" s="51"/>
      <c r="G163" s="51" t="str">
        <f>IFERROR(__xludf.DUMMYFUNCTION("""COMPUTED_VALUE"""),"#VALUE!")</f>
        <v>#VALUE!</v>
      </c>
      <c r="H163" s="51" t="str">
        <f>IFERROR(__xludf.DUMMYFUNCTION("""COMPUTED_VALUE"""),"")</f>
        <v/>
      </c>
      <c r="I163" s="51" t="str">
        <f>IFERROR(__xludf.DUMMYFUNCTION("""COMPUTED_VALUE"""),"#VALUE!")</f>
        <v>#VALUE!</v>
      </c>
      <c r="J163" s="51" t="str">
        <f>IFERROR(__xludf.DUMMYFUNCTION("""COMPUTED_VALUE"""),"")</f>
        <v/>
      </c>
      <c r="K163" s="51"/>
      <c r="L163" s="51" t="s">
        <v>257</v>
      </c>
      <c r="M163" s="51"/>
      <c r="N163" s="51"/>
      <c r="O163" s="51"/>
      <c r="P163" s="51"/>
      <c r="Q163" s="51"/>
      <c r="R163" s="51"/>
      <c r="S163" s="51"/>
      <c r="T163" s="51"/>
    </row>
    <row r="164">
      <c r="A164" s="51"/>
      <c r="B164" s="51"/>
      <c r="C164" s="56"/>
      <c r="D164" s="51"/>
      <c r="E164" s="51"/>
      <c r="F164" s="51"/>
      <c r="G164" s="51" t="str">
        <f>IFERROR(__xludf.DUMMYFUNCTION("""COMPUTED_VALUE"""),"#VALUE!")</f>
        <v>#VALUE!</v>
      </c>
      <c r="H164" s="51" t="str">
        <f>IFERROR(__xludf.DUMMYFUNCTION("""COMPUTED_VALUE"""),"")</f>
        <v/>
      </c>
      <c r="I164" s="51" t="str">
        <f>IFERROR(__xludf.DUMMYFUNCTION("""COMPUTED_VALUE"""),"#VALUE!")</f>
        <v>#VALUE!</v>
      </c>
      <c r="J164" s="51" t="str">
        <f>IFERROR(__xludf.DUMMYFUNCTION("""COMPUTED_VALUE"""),"")</f>
        <v/>
      </c>
      <c r="K164" s="51"/>
      <c r="L164" s="51" t="s">
        <v>257</v>
      </c>
      <c r="M164" s="51"/>
      <c r="N164" s="51"/>
      <c r="O164" s="51"/>
      <c r="P164" s="51"/>
      <c r="Q164" s="51"/>
      <c r="R164" s="51"/>
      <c r="S164" s="51"/>
      <c r="T164" s="51"/>
    </row>
    <row r="165">
      <c r="A165" s="51"/>
      <c r="B165" s="51"/>
      <c r="C165" s="56"/>
      <c r="D165" s="51"/>
      <c r="E165" s="51"/>
      <c r="F165" s="51"/>
      <c r="G165" s="51" t="str">
        <f>IFERROR(__xludf.DUMMYFUNCTION("""COMPUTED_VALUE"""),"#VALUE!")</f>
        <v>#VALUE!</v>
      </c>
      <c r="H165" s="51" t="str">
        <f>IFERROR(__xludf.DUMMYFUNCTION("""COMPUTED_VALUE"""),"")</f>
        <v/>
      </c>
      <c r="I165" s="51" t="str">
        <f>IFERROR(__xludf.DUMMYFUNCTION("""COMPUTED_VALUE"""),"#VALUE!")</f>
        <v>#VALUE!</v>
      </c>
      <c r="J165" s="51" t="str">
        <f>IFERROR(__xludf.DUMMYFUNCTION("""COMPUTED_VALUE"""),"")</f>
        <v/>
      </c>
      <c r="K165" s="51"/>
      <c r="L165" s="51" t="s">
        <v>257</v>
      </c>
      <c r="M165" s="51"/>
      <c r="N165" s="51"/>
      <c r="O165" s="51"/>
      <c r="P165" s="51"/>
      <c r="Q165" s="51"/>
      <c r="R165" s="51"/>
      <c r="S165" s="51"/>
      <c r="T165" s="51"/>
    </row>
    <row r="166">
      <c r="A166" s="51"/>
      <c r="B166" s="51"/>
      <c r="C166" s="56"/>
      <c r="D166" s="51"/>
      <c r="E166" s="51"/>
      <c r="F166" s="51"/>
      <c r="G166" s="51" t="str">
        <f>IFERROR(__xludf.DUMMYFUNCTION("""COMPUTED_VALUE"""),"#VALUE!")</f>
        <v>#VALUE!</v>
      </c>
      <c r="H166" s="51" t="str">
        <f>IFERROR(__xludf.DUMMYFUNCTION("""COMPUTED_VALUE"""),"")</f>
        <v/>
      </c>
      <c r="I166" s="51" t="str">
        <f>IFERROR(__xludf.DUMMYFUNCTION("""COMPUTED_VALUE"""),"#VALUE!")</f>
        <v>#VALUE!</v>
      </c>
      <c r="J166" s="51" t="str">
        <f>IFERROR(__xludf.DUMMYFUNCTION("""COMPUTED_VALUE"""),"")</f>
        <v/>
      </c>
      <c r="K166" s="51"/>
      <c r="L166" s="51" t="s">
        <v>257</v>
      </c>
      <c r="M166" s="51"/>
      <c r="N166" s="51"/>
      <c r="O166" s="51"/>
      <c r="P166" s="51"/>
      <c r="Q166" s="51"/>
      <c r="R166" s="51"/>
      <c r="S166" s="51"/>
      <c r="T166" s="51"/>
    </row>
    <row r="167">
      <c r="A167" s="51"/>
      <c r="B167" s="51"/>
      <c r="C167" s="56"/>
      <c r="D167" s="51"/>
      <c r="E167" s="51"/>
      <c r="F167" s="51"/>
      <c r="G167" s="51" t="str">
        <f>IFERROR(__xludf.DUMMYFUNCTION("""COMPUTED_VALUE"""),"#VALUE!")</f>
        <v>#VALUE!</v>
      </c>
      <c r="H167" s="51" t="str">
        <f>IFERROR(__xludf.DUMMYFUNCTION("""COMPUTED_VALUE"""),"")</f>
        <v/>
      </c>
      <c r="I167" s="51" t="str">
        <f>IFERROR(__xludf.DUMMYFUNCTION("""COMPUTED_VALUE"""),"#VALUE!")</f>
        <v>#VALUE!</v>
      </c>
      <c r="J167" s="51" t="str">
        <f>IFERROR(__xludf.DUMMYFUNCTION("""COMPUTED_VALUE"""),"")</f>
        <v/>
      </c>
      <c r="K167" s="51"/>
      <c r="L167" s="51" t="s">
        <v>257</v>
      </c>
      <c r="M167" s="51"/>
      <c r="N167" s="51"/>
      <c r="O167" s="51"/>
      <c r="P167" s="51"/>
      <c r="Q167" s="51"/>
      <c r="R167" s="51"/>
      <c r="S167" s="51"/>
      <c r="T167" s="51"/>
    </row>
    <row r="168">
      <c r="A168" s="51"/>
      <c r="B168" s="51"/>
      <c r="C168" s="56"/>
      <c r="D168" s="51"/>
      <c r="E168" s="51"/>
      <c r="F168" s="51"/>
      <c r="G168" s="51" t="str">
        <f>IFERROR(__xludf.DUMMYFUNCTION("""COMPUTED_VALUE"""),"#VALUE!")</f>
        <v>#VALUE!</v>
      </c>
      <c r="H168" s="51" t="str">
        <f>IFERROR(__xludf.DUMMYFUNCTION("""COMPUTED_VALUE"""),"")</f>
        <v/>
      </c>
      <c r="I168" s="51" t="str">
        <f>IFERROR(__xludf.DUMMYFUNCTION("""COMPUTED_VALUE"""),"#VALUE!")</f>
        <v>#VALUE!</v>
      </c>
      <c r="J168" s="51" t="str">
        <f>IFERROR(__xludf.DUMMYFUNCTION("""COMPUTED_VALUE"""),"")</f>
        <v/>
      </c>
      <c r="K168" s="51"/>
      <c r="L168" s="51" t="s">
        <v>257</v>
      </c>
      <c r="M168" s="51"/>
      <c r="N168" s="51"/>
      <c r="O168" s="51"/>
      <c r="P168" s="51"/>
      <c r="Q168" s="51"/>
      <c r="R168" s="51"/>
      <c r="S168" s="51"/>
      <c r="T168" s="51"/>
    </row>
    <row r="169">
      <c r="A169" s="51"/>
      <c r="B169" s="51"/>
      <c r="C169" s="56"/>
      <c r="D169" s="51"/>
      <c r="E169" s="51"/>
      <c r="F169" s="51"/>
      <c r="G169" s="51" t="str">
        <f>IFERROR(__xludf.DUMMYFUNCTION("""COMPUTED_VALUE"""),"#VALUE!")</f>
        <v>#VALUE!</v>
      </c>
      <c r="H169" s="51" t="str">
        <f>IFERROR(__xludf.DUMMYFUNCTION("""COMPUTED_VALUE"""),"")</f>
        <v/>
      </c>
      <c r="I169" s="51" t="str">
        <f>IFERROR(__xludf.DUMMYFUNCTION("""COMPUTED_VALUE"""),"#VALUE!")</f>
        <v>#VALUE!</v>
      </c>
      <c r="J169" s="51" t="str">
        <f>IFERROR(__xludf.DUMMYFUNCTION("""COMPUTED_VALUE"""),"")</f>
        <v/>
      </c>
      <c r="K169" s="51"/>
      <c r="L169" s="51" t="s">
        <v>257</v>
      </c>
      <c r="M169" s="51"/>
      <c r="N169" s="51"/>
      <c r="O169" s="51"/>
      <c r="P169" s="51"/>
      <c r="Q169" s="51"/>
      <c r="R169" s="51"/>
      <c r="S169" s="51"/>
      <c r="T169" s="51"/>
    </row>
    <row r="170">
      <c r="A170" s="51"/>
      <c r="B170" s="51"/>
      <c r="C170" s="56"/>
      <c r="D170" s="51"/>
      <c r="E170" s="51"/>
      <c r="F170" s="51"/>
      <c r="G170" s="51" t="str">
        <f>IFERROR(__xludf.DUMMYFUNCTION("""COMPUTED_VALUE"""),"#VALUE!")</f>
        <v>#VALUE!</v>
      </c>
      <c r="H170" s="51" t="str">
        <f>IFERROR(__xludf.DUMMYFUNCTION("""COMPUTED_VALUE"""),"")</f>
        <v/>
      </c>
      <c r="I170" s="51" t="str">
        <f>IFERROR(__xludf.DUMMYFUNCTION("""COMPUTED_VALUE"""),"#VALUE!")</f>
        <v>#VALUE!</v>
      </c>
      <c r="J170" s="51" t="str">
        <f>IFERROR(__xludf.DUMMYFUNCTION("""COMPUTED_VALUE"""),"")</f>
        <v/>
      </c>
      <c r="K170" s="51"/>
      <c r="L170" s="51" t="s">
        <v>257</v>
      </c>
      <c r="M170" s="51"/>
      <c r="N170" s="51"/>
      <c r="O170" s="51"/>
      <c r="P170" s="51"/>
      <c r="Q170" s="51"/>
      <c r="R170" s="51"/>
      <c r="S170" s="51"/>
      <c r="T170" s="51"/>
    </row>
    <row r="171">
      <c r="A171" s="51"/>
      <c r="B171" s="51"/>
      <c r="C171" s="56"/>
      <c r="D171" s="51"/>
      <c r="E171" s="51"/>
      <c r="F171" s="51"/>
      <c r="G171" s="51" t="str">
        <f>IFERROR(__xludf.DUMMYFUNCTION("""COMPUTED_VALUE"""),"#VALUE!")</f>
        <v>#VALUE!</v>
      </c>
      <c r="H171" s="51" t="str">
        <f>IFERROR(__xludf.DUMMYFUNCTION("""COMPUTED_VALUE"""),"")</f>
        <v/>
      </c>
      <c r="I171" s="51" t="str">
        <f>IFERROR(__xludf.DUMMYFUNCTION("""COMPUTED_VALUE"""),"#VALUE!")</f>
        <v>#VALUE!</v>
      </c>
      <c r="J171" s="51" t="str">
        <f>IFERROR(__xludf.DUMMYFUNCTION("""COMPUTED_VALUE"""),"")</f>
        <v/>
      </c>
      <c r="K171" s="51"/>
      <c r="L171" s="51" t="s">
        <v>257</v>
      </c>
      <c r="M171" s="51"/>
      <c r="N171" s="51"/>
      <c r="O171" s="51"/>
      <c r="P171" s="51"/>
      <c r="Q171" s="51"/>
      <c r="R171" s="51"/>
      <c r="S171" s="51"/>
      <c r="T171" s="51"/>
    </row>
    <row r="172">
      <c r="A172" s="51"/>
      <c r="B172" s="51"/>
      <c r="C172" s="56"/>
      <c r="D172" s="51"/>
      <c r="E172" s="51"/>
      <c r="F172" s="51"/>
      <c r="G172" s="51" t="str">
        <f>IFERROR(__xludf.DUMMYFUNCTION("""COMPUTED_VALUE"""),"#VALUE!")</f>
        <v>#VALUE!</v>
      </c>
      <c r="H172" s="51" t="str">
        <f>IFERROR(__xludf.DUMMYFUNCTION("""COMPUTED_VALUE"""),"")</f>
        <v/>
      </c>
      <c r="I172" s="51" t="str">
        <f>IFERROR(__xludf.DUMMYFUNCTION("""COMPUTED_VALUE"""),"#VALUE!")</f>
        <v>#VALUE!</v>
      </c>
      <c r="J172" s="51" t="str">
        <f>IFERROR(__xludf.DUMMYFUNCTION("""COMPUTED_VALUE"""),"")</f>
        <v/>
      </c>
      <c r="K172" s="51"/>
      <c r="L172" s="51" t="s">
        <v>257</v>
      </c>
      <c r="M172" s="51"/>
      <c r="N172" s="51"/>
      <c r="O172" s="51"/>
      <c r="P172" s="51"/>
      <c r="Q172" s="51"/>
      <c r="R172" s="51"/>
      <c r="S172" s="51"/>
      <c r="T172" s="51"/>
    </row>
    <row r="173">
      <c r="A173" s="51"/>
      <c r="B173" s="51"/>
      <c r="C173" s="56"/>
      <c r="D173" s="51"/>
      <c r="E173" s="51"/>
      <c r="F173" s="51"/>
      <c r="G173" s="51" t="str">
        <f>IFERROR(__xludf.DUMMYFUNCTION("""COMPUTED_VALUE"""),"#VALUE!")</f>
        <v>#VALUE!</v>
      </c>
      <c r="H173" s="51" t="str">
        <f>IFERROR(__xludf.DUMMYFUNCTION("""COMPUTED_VALUE"""),"")</f>
        <v/>
      </c>
      <c r="I173" s="51" t="str">
        <f>IFERROR(__xludf.DUMMYFUNCTION("""COMPUTED_VALUE"""),"#VALUE!")</f>
        <v>#VALUE!</v>
      </c>
      <c r="J173" s="51" t="str">
        <f>IFERROR(__xludf.DUMMYFUNCTION("""COMPUTED_VALUE"""),"")</f>
        <v/>
      </c>
      <c r="K173" s="51"/>
      <c r="L173" s="51" t="s">
        <v>257</v>
      </c>
      <c r="M173" s="51"/>
      <c r="N173" s="51"/>
      <c r="O173" s="51"/>
      <c r="P173" s="51"/>
      <c r="Q173" s="51"/>
      <c r="R173" s="51"/>
      <c r="S173" s="51"/>
      <c r="T173" s="51"/>
    </row>
    <row r="174">
      <c r="A174" s="51"/>
      <c r="B174" s="51"/>
      <c r="C174" s="56"/>
      <c r="D174" s="51"/>
      <c r="E174" s="51"/>
      <c r="F174" s="51"/>
      <c r="G174" s="51" t="str">
        <f>IFERROR(__xludf.DUMMYFUNCTION("""COMPUTED_VALUE"""),"#VALUE!")</f>
        <v>#VALUE!</v>
      </c>
      <c r="H174" s="51" t="str">
        <f>IFERROR(__xludf.DUMMYFUNCTION("""COMPUTED_VALUE"""),"")</f>
        <v/>
      </c>
      <c r="I174" s="51" t="str">
        <f>IFERROR(__xludf.DUMMYFUNCTION("""COMPUTED_VALUE"""),"#VALUE!")</f>
        <v>#VALUE!</v>
      </c>
      <c r="J174" s="51" t="str">
        <f>IFERROR(__xludf.DUMMYFUNCTION("""COMPUTED_VALUE"""),"")</f>
        <v/>
      </c>
      <c r="K174" s="51"/>
      <c r="L174" s="51" t="s">
        <v>257</v>
      </c>
      <c r="M174" s="51"/>
      <c r="N174" s="51"/>
      <c r="O174" s="51"/>
      <c r="P174" s="51"/>
      <c r="Q174" s="51"/>
      <c r="R174" s="51"/>
      <c r="S174" s="51"/>
      <c r="T174" s="51"/>
    </row>
    <row r="175">
      <c r="A175" s="51"/>
      <c r="B175" s="51"/>
      <c r="C175" s="56"/>
      <c r="D175" s="51"/>
      <c r="E175" s="51"/>
      <c r="F175" s="51"/>
      <c r="G175" s="51" t="str">
        <f>IFERROR(__xludf.DUMMYFUNCTION("""COMPUTED_VALUE"""),"#VALUE!")</f>
        <v>#VALUE!</v>
      </c>
      <c r="H175" s="51" t="str">
        <f>IFERROR(__xludf.DUMMYFUNCTION("""COMPUTED_VALUE"""),"")</f>
        <v/>
      </c>
      <c r="I175" s="51" t="str">
        <f>IFERROR(__xludf.DUMMYFUNCTION("""COMPUTED_VALUE"""),"#VALUE!")</f>
        <v>#VALUE!</v>
      </c>
      <c r="J175" s="51" t="str">
        <f>IFERROR(__xludf.DUMMYFUNCTION("""COMPUTED_VALUE"""),"")</f>
        <v/>
      </c>
      <c r="K175" s="51"/>
      <c r="L175" s="51" t="s">
        <v>257</v>
      </c>
      <c r="M175" s="51"/>
      <c r="N175" s="51"/>
      <c r="O175" s="51"/>
      <c r="P175" s="51"/>
      <c r="Q175" s="51"/>
      <c r="R175" s="51"/>
      <c r="S175" s="51"/>
      <c r="T175" s="51"/>
    </row>
    <row r="176">
      <c r="A176" s="51"/>
      <c r="B176" s="51"/>
      <c r="C176" s="56"/>
      <c r="D176" s="51"/>
      <c r="E176" s="51"/>
      <c r="F176" s="51"/>
      <c r="G176" s="51" t="str">
        <f>IFERROR(__xludf.DUMMYFUNCTION("""COMPUTED_VALUE"""),"#VALUE!")</f>
        <v>#VALUE!</v>
      </c>
      <c r="H176" s="51" t="str">
        <f>IFERROR(__xludf.DUMMYFUNCTION("""COMPUTED_VALUE"""),"")</f>
        <v/>
      </c>
      <c r="I176" s="51" t="str">
        <f>IFERROR(__xludf.DUMMYFUNCTION("""COMPUTED_VALUE"""),"#VALUE!")</f>
        <v>#VALUE!</v>
      </c>
      <c r="J176" s="51" t="str">
        <f>IFERROR(__xludf.DUMMYFUNCTION("""COMPUTED_VALUE"""),"")</f>
        <v/>
      </c>
      <c r="K176" s="51"/>
      <c r="L176" s="51" t="s">
        <v>257</v>
      </c>
      <c r="M176" s="51"/>
      <c r="N176" s="51"/>
      <c r="O176" s="51"/>
      <c r="P176" s="51"/>
      <c r="Q176" s="51"/>
      <c r="R176" s="51"/>
      <c r="S176" s="51"/>
      <c r="T176" s="51"/>
    </row>
    <row r="177">
      <c r="A177" s="51"/>
      <c r="B177" s="51"/>
      <c r="C177" s="56"/>
      <c r="D177" s="51"/>
      <c r="E177" s="51"/>
      <c r="F177" s="51"/>
      <c r="G177" s="51" t="str">
        <f>IFERROR(__xludf.DUMMYFUNCTION("""COMPUTED_VALUE"""),"#VALUE!")</f>
        <v>#VALUE!</v>
      </c>
      <c r="H177" s="51" t="str">
        <f>IFERROR(__xludf.DUMMYFUNCTION("""COMPUTED_VALUE"""),"")</f>
        <v/>
      </c>
      <c r="I177" s="51" t="str">
        <f>IFERROR(__xludf.DUMMYFUNCTION("""COMPUTED_VALUE"""),"#VALUE!")</f>
        <v>#VALUE!</v>
      </c>
      <c r="J177" s="51" t="str">
        <f>IFERROR(__xludf.DUMMYFUNCTION("""COMPUTED_VALUE"""),"")</f>
        <v/>
      </c>
      <c r="K177" s="51"/>
      <c r="L177" s="51" t="s">
        <v>257</v>
      </c>
      <c r="M177" s="51"/>
      <c r="N177" s="51"/>
      <c r="O177" s="51"/>
      <c r="P177" s="51"/>
      <c r="Q177" s="51"/>
      <c r="R177" s="51"/>
      <c r="S177" s="51"/>
      <c r="T177" s="51"/>
    </row>
    <row r="178">
      <c r="A178" s="51"/>
      <c r="B178" s="51"/>
      <c r="C178" s="56"/>
      <c r="D178" s="51"/>
      <c r="E178" s="51"/>
      <c r="F178" s="51"/>
      <c r="G178" s="51" t="str">
        <f>IFERROR(__xludf.DUMMYFUNCTION("""COMPUTED_VALUE"""),"#VALUE!")</f>
        <v>#VALUE!</v>
      </c>
      <c r="H178" s="51" t="str">
        <f>IFERROR(__xludf.DUMMYFUNCTION("""COMPUTED_VALUE"""),"")</f>
        <v/>
      </c>
      <c r="I178" s="51" t="str">
        <f>IFERROR(__xludf.DUMMYFUNCTION("""COMPUTED_VALUE"""),"#VALUE!")</f>
        <v>#VALUE!</v>
      </c>
      <c r="J178" s="51" t="str">
        <f>IFERROR(__xludf.DUMMYFUNCTION("""COMPUTED_VALUE"""),"")</f>
        <v/>
      </c>
      <c r="K178" s="51"/>
      <c r="L178" s="51" t="s">
        <v>257</v>
      </c>
      <c r="M178" s="51"/>
      <c r="N178" s="51"/>
      <c r="O178" s="51"/>
      <c r="P178" s="51"/>
      <c r="Q178" s="51"/>
      <c r="R178" s="51"/>
      <c r="S178" s="51"/>
      <c r="T178" s="51"/>
    </row>
    <row r="179">
      <c r="A179" s="51"/>
      <c r="B179" s="51"/>
      <c r="C179" s="56"/>
      <c r="D179" s="51"/>
      <c r="E179" s="51"/>
      <c r="F179" s="51"/>
      <c r="G179" s="51" t="str">
        <f>IFERROR(__xludf.DUMMYFUNCTION("""COMPUTED_VALUE"""),"#VALUE!")</f>
        <v>#VALUE!</v>
      </c>
      <c r="H179" s="51" t="str">
        <f>IFERROR(__xludf.DUMMYFUNCTION("""COMPUTED_VALUE"""),"")</f>
        <v/>
      </c>
      <c r="I179" s="51" t="str">
        <f>IFERROR(__xludf.DUMMYFUNCTION("""COMPUTED_VALUE"""),"#VALUE!")</f>
        <v>#VALUE!</v>
      </c>
      <c r="J179" s="51" t="str">
        <f>IFERROR(__xludf.DUMMYFUNCTION("""COMPUTED_VALUE"""),"")</f>
        <v/>
      </c>
      <c r="K179" s="51"/>
      <c r="L179" s="51" t="s">
        <v>257</v>
      </c>
      <c r="M179" s="51"/>
      <c r="N179" s="51"/>
      <c r="O179" s="51"/>
      <c r="P179" s="51"/>
      <c r="Q179" s="51"/>
      <c r="R179" s="51"/>
      <c r="S179" s="51"/>
      <c r="T179" s="51"/>
    </row>
    <row r="180">
      <c r="A180" s="51"/>
      <c r="B180" s="51"/>
      <c r="C180" s="56"/>
      <c r="D180" s="51"/>
      <c r="E180" s="51"/>
      <c r="F180" s="51"/>
      <c r="G180" s="51" t="str">
        <f>IFERROR(__xludf.DUMMYFUNCTION("""COMPUTED_VALUE"""),"#VALUE!")</f>
        <v>#VALUE!</v>
      </c>
      <c r="H180" s="51" t="str">
        <f>IFERROR(__xludf.DUMMYFUNCTION("""COMPUTED_VALUE"""),"")</f>
        <v/>
      </c>
      <c r="I180" s="51" t="str">
        <f>IFERROR(__xludf.DUMMYFUNCTION("""COMPUTED_VALUE"""),"#VALUE!")</f>
        <v>#VALUE!</v>
      </c>
      <c r="J180" s="51" t="str">
        <f>IFERROR(__xludf.DUMMYFUNCTION("""COMPUTED_VALUE"""),"")</f>
        <v/>
      </c>
      <c r="K180" s="51"/>
      <c r="L180" s="51" t="s">
        <v>257</v>
      </c>
      <c r="M180" s="51"/>
      <c r="N180" s="51"/>
      <c r="O180" s="51"/>
      <c r="P180" s="51"/>
      <c r="Q180" s="51"/>
      <c r="R180" s="51"/>
      <c r="S180" s="51"/>
      <c r="T180" s="51"/>
    </row>
    <row r="181">
      <c r="A181" s="51"/>
      <c r="B181" s="51"/>
      <c r="C181" s="56"/>
      <c r="D181" s="51"/>
      <c r="E181" s="51"/>
      <c r="F181" s="51"/>
      <c r="G181" s="51" t="str">
        <f>IFERROR(__xludf.DUMMYFUNCTION("""COMPUTED_VALUE"""),"#VALUE!")</f>
        <v>#VALUE!</v>
      </c>
      <c r="H181" s="51" t="str">
        <f>IFERROR(__xludf.DUMMYFUNCTION("""COMPUTED_VALUE"""),"")</f>
        <v/>
      </c>
      <c r="I181" s="51" t="str">
        <f>IFERROR(__xludf.DUMMYFUNCTION("""COMPUTED_VALUE"""),"#VALUE!")</f>
        <v>#VALUE!</v>
      </c>
      <c r="J181" s="51" t="str">
        <f>IFERROR(__xludf.DUMMYFUNCTION("""COMPUTED_VALUE"""),"")</f>
        <v/>
      </c>
      <c r="K181" s="51"/>
      <c r="L181" s="51" t="s">
        <v>257</v>
      </c>
      <c r="M181" s="51"/>
      <c r="N181" s="51"/>
      <c r="O181" s="51"/>
      <c r="P181" s="51"/>
      <c r="Q181" s="51"/>
      <c r="R181" s="51"/>
      <c r="S181" s="51"/>
      <c r="T181" s="51"/>
    </row>
    <row r="182">
      <c r="A182" s="51"/>
      <c r="B182" s="51"/>
      <c r="C182" s="56"/>
      <c r="D182" s="51"/>
      <c r="E182" s="51"/>
      <c r="F182" s="51"/>
      <c r="G182" s="51" t="str">
        <f>IFERROR(__xludf.DUMMYFUNCTION("""COMPUTED_VALUE"""),"#VALUE!")</f>
        <v>#VALUE!</v>
      </c>
      <c r="H182" s="51" t="str">
        <f>IFERROR(__xludf.DUMMYFUNCTION("""COMPUTED_VALUE"""),"")</f>
        <v/>
      </c>
      <c r="I182" s="51" t="str">
        <f>IFERROR(__xludf.DUMMYFUNCTION("""COMPUTED_VALUE"""),"#VALUE!")</f>
        <v>#VALUE!</v>
      </c>
      <c r="J182" s="51" t="str">
        <f>IFERROR(__xludf.DUMMYFUNCTION("""COMPUTED_VALUE"""),"")</f>
        <v/>
      </c>
      <c r="K182" s="51"/>
      <c r="L182" s="51" t="s">
        <v>257</v>
      </c>
      <c r="M182" s="51"/>
      <c r="N182" s="51"/>
      <c r="O182" s="51"/>
      <c r="P182" s="51"/>
      <c r="Q182" s="51"/>
      <c r="R182" s="51"/>
      <c r="S182" s="51"/>
      <c r="T182" s="51"/>
    </row>
    <row r="183">
      <c r="A183" s="51"/>
      <c r="B183" s="51"/>
      <c r="C183" s="56"/>
      <c r="D183" s="51"/>
      <c r="E183" s="51"/>
      <c r="F183" s="51"/>
      <c r="G183" s="51" t="str">
        <f>IFERROR(__xludf.DUMMYFUNCTION("""COMPUTED_VALUE"""),"#VALUE!")</f>
        <v>#VALUE!</v>
      </c>
      <c r="H183" s="51" t="str">
        <f>IFERROR(__xludf.DUMMYFUNCTION("""COMPUTED_VALUE"""),"")</f>
        <v/>
      </c>
      <c r="I183" s="51" t="str">
        <f>IFERROR(__xludf.DUMMYFUNCTION("""COMPUTED_VALUE"""),"#VALUE!")</f>
        <v>#VALUE!</v>
      </c>
      <c r="J183" s="51" t="str">
        <f>IFERROR(__xludf.DUMMYFUNCTION("""COMPUTED_VALUE"""),"")</f>
        <v/>
      </c>
      <c r="K183" s="51"/>
      <c r="L183" s="51" t="s">
        <v>257</v>
      </c>
      <c r="M183" s="51"/>
      <c r="N183" s="51"/>
      <c r="O183" s="51"/>
      <c r="P183" s="51"/>
      <c r="Q183" s="51"/>
      <c r="R183" s="51"/>
      <c r="S183" s="51"/>
      <c r="T183" s="51"/>
    </row>
    <row r="184">
      <c r="A184" s="51"/>
      <c r="B184" s="51"/>
      <c r="C184" s="56"/>
      <c r="D184" s="51"/>
      <c r="E184" s="51"/>
      <c r="F184" s="51"/>
      <c r="G184" s="51" t="str">
        <f>IFERROR(__xludf.DUMMYFUNCTION("""COMPUTED_VALUE"""),"#VALUE!")</f>
        <v>#VALUE!</v>
      </c>
      <c r="H184" s="51" t="str">
        <f>IFERROR(__xludf.DUMMYFUNCTION("""COMPUTED_VALUE"""),"")</f>
        <v/>
      </c>
      <c r="I184" s="51" t="str">
        <f>IFERROR(__xludf.DUMMYFUNCTION("""COMPUTED_VALUE"""),"#VALUE!")</f>
        <v>#VALUE!</v>
      </c>
      <c r="J184" s="51" t="str">
        <f>IFERROR(__xludf.DUMMYFUNCTION("""COMPUTED_VALUE"""),"")</f>
        <v/>
      </c>
      <c r="K184" s="51"/>
      <c r="L184" s="51" t="s">
        <v>257</v>
      </c>
      <c r="M184" s="51"/>
      <c r="N184" s="51"/>
      <c r="O184" s="51"/>
      <c r="P184" s="51"/>
      <c r="Q184" s="51"/>
      <c r="R184" s="51"/>
      <c r="S184" s="51"/>
      <c r="T184" s="51"/>
    </row>
    <row r="185">
      <c r="A185" s="51"/>
      <c r="B185" s="51"/>
      <c r="C185" s="56"/>
      <c r="D185" s="51"/>
      <c r="E185" s="51"/>
      <c r="F185" s="51"/>
      <c r="G185" s="51" t="str">
        <f>IFERROR(__xludf.DUMMYFUNCTION("""COMPUTED_VALUE"""),"#VALUE!")</f>
        <v>#VALUE!</v>
      </c>
      <c r="H185" s="51" t="str">
        <f>IFERROR(__xludf.DUMMYFUNCTION("""COMPUTED_VALUE"""),"")</f>
        <v/>
      </c>
      <c r="I185" s="51" t="str">
        <f>IFERROR(__xludf.DUMMYFUNCTION("""COMPUTED_VALUE"""),"#VALUE!")</f>
        <v>#VALUE!</v>
      </c>
      <c r="J185" s="51" t="str">
        <f>IFERROR(__xludf.DUMMYFUNCTION("""COMPUTED_VALUE"""),"")</f>
        <v/>
      </c>
      <c r="K185" s="51"/>
      <c r="L185" s="51" t="s">
        <v>257</v>
      </c>
      <c r="M185" s="51"/>
      <c r="N185" s="51"/>
      <c r="O185" s="51"/>
      <c r="P185" s="51"/>
      <c r="Q185" s="51"/>
      <c r="R185" s="51"/>
      <c r="S185" s="51"/>
      <c r="T185" s="51"/>
    </row>
    <row r="186">
      <c r="A186" s="51"/>
      <c r="B186" s="51"/>
      <c r="C186" s="56"/>
      <c r="D186" s="51"/>
      <c r="E186" s="51"/>
      <c r="F186" s="51"/>
      <c r="G186" s="51" t="str">
        <f>IFERROR(__xludf.DUMMYFUNCTION("""COMPUTED_VALUE"""),"#VALUE!")</f>
        <v>#VALUE!</v>
      </c>
      <c r="H186" s="51" t="str">
        <f>IFERROR(__xludf.DUMMYFUNCTION("""COMPUTED_VALUE"""),"")</f>
        <v/>
      </c>
      <c r="I186" s="51" t="str">
        <f>IFERROR(__xludf.DUMMYFUNCTION("""COMPUTED_VALUE"""),"#VALUE!")</f>
        <v>#VALUE!</v>
      </c>
      <c r="J186" s="51" t="str">
        <f>IFERROR(__xludf.DUMMYFUNCTION("""COMPUTED_VALUE"""),"")</f>
        <v/>
      </c>
      <c r="K186" s="51"/>
      <c r="L186" s="51" t="s">
        <v>257</v>
      </c>
      <c r="M186" s="51"/>
      <c r="N186" s="51"/>
      <c r="O186" s="51"/>
      <c r="P186" s="51"/>
      <c r="Q186" s="51"/>
      <c r="R186" s="51"/>
      <c r="S186" s="51"/>
      <c r="T186" s="51"/>
    </row>
    <row r="187">
      <c r="A187" s="51"/>
      <c r="B187" s="51"/>
      <c r="C187" s="56"/>
      <c r="D187" s="51"/>
      <c r="E187" s="51"/>
      <c r="F187" s="51"/>
      <c r="G187" s="51" t="str">
        <f>IFERROR(__xludf.DUMMYFUNCTION("""COMPUTED_VALUE"""),"#VALUE!")</f>
        <v>#VALUE!</v>
      </c>
      <c r="H187" s="51" t="str">
        <f>IFERROR(__xludf.DUMMYFUNCTION("""COMPUTED_VALUE"""),"")</f>
        <v/>
      </c>
      <c r="I187" s="51" t="str">
        <f>IFERROR(__xludf.DUMMYFUNCTION("""COMPUTED_VALUE"""),"#VALUE!")</f>
        <v>#VALUE!</v>
      </c>
      <c r="J187" s="51" t="str">
        <f>IFERROR(__xludf.DUMMYFUNCTION("""COMPUTED_VALUE"""),"")</f>
        <v/>
      </c>
      <c r="K187" s="51"/>
      <c r="L187" s="51" t="s">
        <v>257</v>
      </c>
      <c r="M187" s="51"/>
      <c r="N187" s="51"/>
      <c r="O187" s="51"/>
      <c r="P187" s="51"/>
      <c r="Q187" s="51"/>
      <c r="R187" s="51"/>
      <c r="S187" s="51"/>
      <c r="T187" s="51"/>
    </row>
    <row r="188">
      <c r="A188" s="51"/>
      <c r="B188" s="51"/>
      <c r="C188" s="56"/>
      <c r="D188" s="51"/>
      <c r="E188" s="51"/>
      <c r="F188" s="51"/>
      <c r="G188" s="51" t="str">
        <f>IFERROR(__xludf.DUMMYFUNCTION("""COMPUTED_VALUE"""),"#VALUE!")</f>
        <v>#VALUE!</v>
      </c>
      <c r="H188" s="51" t="str">
        <f>IFERROR(__xludf.DUMMYFUNCTION("""COMPUTED_VALUE"""),"")</f>
        <v/>
      </c>
      <c r="I188" s="51" t="str">
        <f>IFERROR(__xludf.DUMMYFUNCTION("""COMPUTED_VALUE"""),"#VALUE!")</f>
        <v>#VALUE!</v>
      </c>
      <c r="J188" s="51" t="str">
        <f>IFERROR(__xludf.DUMMYFUNCTION("""COMPUTED_VALUE"""),"")</f>
        <v/>
      </c>
      <c r="K188" s="51"/>
      <c r="L188" s="51" t="s">
        <v>257</v>
      </c>
      <c r="M188" s="51"/>
      <c r="N188" s="51"/>
      <c r="O188" s="51"/>
      <c r="P188" s="51"/>
      <c r="Q188" s="51"/>
      <c r="R188" s="51"/>
      <c r="S188" s="51"/>
      <c r="T188" s="51"/>
    </row>
    <row r="189">
      <c r="A189" s="51"/>
      <c r="B189" s="51"/>
      <c r="C189" s="56"/>
      <c r="D189" s="51"/>
      <c r="E189" s="51"/>
      <c r="F189" s="51"/>
      <c r="G189" s="51" t="str">
        <f>IFERROR(__xludf.DUMMYFUNCTION("""COMPUTED_VALUE"""),"#VALUE!")</f>
        <v>#VALUE!</v>
      </c>
      <c r="H189" s="51" t="str">
        <f>IFERROR(__xludf.DUMMYFUNCTION("""COMPUTED_VALUE"""),"")</f>
        <v/>
      </c>
      <c r="I189" s="51" t="str">
        <f>IFERROR(__xludf.DUMMYFUNCTION("""COMPUTED_VALUE"""),"#VALUE!")</f>
        <v>#VALUE!</v>
      </c>
      <c r="J189" s="51" t="str">
        <f>IFERROR(__xludf.DUMMYFUNCTION("""COMPUTED_VALUE"""),"")</f>
        <v/>
      </c>
      <c r="K189" s="51"/>
      <c r="L189" s="51" t="s">
        <v>257</v>
      </c>
      <c r="M189" s="51"/>
      <c r="N189" s="51"/>
      <c r="O189" s="51"/>
      <c r="P189" s="51"/>
      <c r="Q189" s="51"/>
      <c r="R189" s="51"/>
      <c r="S189" s="51"/>
      <c r="T189" s="51"/>
    </row>
    <row r="190">
      <c r="A190" s="51"/>
      <c r="B190" s="51"/>
      <c r="C190" s="56"/>
      <c r="D190" s="51"/>
      <c r="E190" s="51"/>
      <c r="F190" s="51"/>
      <c r="G190" s="51" t="str">
        <f>IFERROR(__xludf.DUMMYFUNCTION("""COMPUTED_VALUE"""),"#VALUE!")</f>
        <v>#VALUE!</v>
      </c>
      <c r="H190" s="51" t="str">
        <f>IFERROR(__xludf.DUMMYFUNCTION("""COMPUTED_VALUE"""),"")</f>
        <v/>
      </c>
      <c r="I190" s="51" t="str">
        <f>IFERROR(__xludf.DUMMYFUNCTION("""COMPUTED_VALUE"""),"#VALUE!")</f>
        <v>#VALUE!</v>
      </c>
      <c r="J190" s="51" t="str">
        <f>IFERROR(__xludf.DUMMYFUNCTION("""COMPUTED_VALUE"""),"")</f>
        <v/>
      </c>
      <c r="K190" s="51"/>
      <c r="L190" s="51" t="s">
        <v>257</v>
      </c>
      <c r="M190" s="51"/>
      <c r="N190" s="51"/>
      <c r="O190" s="51"/>
      <c r="P190" s="51"/>
      <c r="Q190" s="51"/>
      <c r="R190" s="51"/>
      <c r="S190" s="51"/>
      <c r="T190" s="51"/>
    </row>
    <row r="191">
      <c r="A191" s="51"/>
      <c r="B191" s="51"/>
      <c r="C191" s="56"/>
      <c r="D191" s="51"/>
      <c r="E191" s="51"/>
      <c r="F191" s="51"/>
      <c r="G191" s="51" t="str">
        <f>IFERROR(__xludf.DUMMYFUNCTION("""COMPUTED_VALUE"""),"#VALUE!")</f>
        <v>#VALUE!</v>
      </c>
      <c r="H191" s="51" t="str">
        <f>IFERROR(__xludf.DUMMYFUNCTION("""COMPUTED_VALUE"""),"")</f>
        <v/>
      </c>
      <c r="I191" s="51" t="str">
        <f>IFERROR(__xludf.DUMMYFUNCTION("""COMPUTED_VALUE"""),"#VALUE!")</f>
        <v>#VALUE!</v>
      </c>
      <c r="J191" s="51" t="str">
        <f>IFERROR(__xludf.DUMMYFUNCTION("""COMPUTED_VALUE"""),"")</f>
        <v/>
      </c>
      <c r="K191" s="51"/>
      <c r="L191" s="51" t="s">
        <v>257</v>
      </c>
      <c r="M191" s="51"/>
      <c r="N191" s="51"/>
      <c r="O191" s="51"/>
      <c r="P191" s="51"/>
      <c r="Q191" s="51"/>
      <c r="R191" s="51"/>
      <c r="S191" s="51"/>
      <c r="T191" s="51"/>
    </row>
    <row r="192">
      <c r="A192" s="51"/>
      <c r="B192" s="51"/>
      <c r="C192" s="56"/>
      <c r="D192" s="51"/>
      <c r="E192" s="51"/>
      <c r="F192" s="51"/>
      <c r="G192" s="51" t="str">
        <f>IFERROR(__xludf.DUMMYFUNCTION("""COMPUTED_VALUE"""),"#VALUE!")</f>
        <v>#VALUE!</v>
      </c>
      <c r="H192" s="51" t="str">
        <f>IFERROR(__xludf.DUMMYFUNCTION("""COMPUTED_VALUE"""),"")</f>
        <v/>
      </c>
      <c r="I192" s="51" t="str">
        <f>IFERROR(__xludf.DUMMYFUNCTION("""COMPUTED_VALUE"""),"#VALUE!")</f>
        <v>#VALUE!</v>
      </c>
      <c r="J192" s="51" t="str">
        <f>IFERROR(__xludf.DUMMYFUNCTION("""COMPUTED_VALUE"""),"")</f>
        <v/>
      </c>
      <c r="K192" s="51"/>
      <c r="L192" s="51" t="s">
        <v>257</v>
      </c>
      <c r="M192" s="51"/>
      <c r="N192" s="51"/>
      <c r="O192" s="51"/>
      <c r="P192" s="51"/>
      <c r="Q192" s="51"/>
      <c r="R192" s="51"/>
      <c r="S192" s="51"/>
      <c r="T192" s="51"/>
    </row>
    <row r="193">
      <c r="A193" s="51"/>
      <c r="B193" s="51"/>
      <c r="C193" s="56"/>
      <c r="D193" s="51"/>
      <c r="E193" s="51"/>
      <c r="F193" s="51"/>
      <c r="G193" s="51" t="str">
        <f>IFERROR(__xludf.DUMMYFUNCTION("""COMPUTED_VALUE"""),"#VALUE!")</f>
        <v>#VALUE!</v>
      </c>
      <c r="H193" s="51" t="str">
        <f>IFERROR(__xludf.DUMMYFUNCTION("""COMPUTED_VALUE"""),"")</f>
        <v/>
      </c>
      <c r="I193" s="51" t="str">
        <f>IFERROR(__xludf.DUMMYFUNCTION("""COMPUTED_VALUE"""),"#VALUE!")</f>
        <v>#VALUE!</v>
      </c>
      <c r="J193" s="51" t="str">
        <f>IFERROR(__xludf.DUMMYFUNCTION("""COMPUTED_VALUE"""),"")</f>
        <v/>
      </c>
      <c r="K193" s="51"/>
      <c r="L193" s="51" t="s">
        <v>257</v>
      </c>
      <c r="M193" s="51"/>
      <c r="N193" s="51"/>
      <c r="O193" s="51"/>
      <c r="P193" s="51"/>
      <c r="Q193" s="51"/>
      <c r="R193" s="51"/>
      <c r="S193" s="51"/>
      <c r="T193" s="51"/>
    </row>
    <row r="194">
      <c r="A194" s="51"/>
      <c r="B194" s="51"/>
      <c r="C194" s="56"/>
      <c r="D194" s="51"/>
      <c r="E194" s="51"/>
      <c r="F194" s="51"/>
      <c r="G194" s="51" t="str">
        <f>IFERROR(__xludf.DUMMYFUNCTION("""COMPUTED_VALUE"""),"#VALUE!")</f>
        <v>#VALUE!</v>
      </c>
      <c r="H194" s="51" t="str">
        <f>IFERROR(__xludf.DUMMYFUNCTION("""COMPUTED_VALUE"""),"")</f>
        <v/>
      </c>
      <c r="I194" s="51" t="str">
        <f>IFERROR(__xludf.DUMMYFUNCTION("""COMPUTED_VALUE"""),"#VALUE!")</f>
        <v>#VALUE!</v>
      </c>
      <c r="J194" s="51" t="str">
        <f>IFERROR(__xludf.DUMMYFUNCTION("""COMPUTED_VALUE"""),"")</f>
        <v/>
      </c>
      <c r="K194" s="51"/>
      <c r="L194" s="51" t="s">
        <v>257</v>
      </c>
      <c r="M194" s="51"/>
      <c r="N194" s="51"/>
      <c r="O194" s="51"/>
      <c r="P194" s="51"/>
      <c r="Q194" s="51"/>
      <c r="R194" s="51"/>
      <c r="S194" s="51"/>
      <c r="T194" s="51"/>
    </row>
    <row r="195">
      <c r="A195" s="51"/>
      <c r="B195" s="51"/>
      <c r="C195" s="56"/>
      <c r="D195" s="51"/>
      <c r="E195" s="51"/>
      <c r="F195" s="51"/>
      <c r="G195" s="51" t="str">
        <f>IFERROR(__xludf.DUMMYFUNCTION("""COMPUTED_VALUE"""),"#VALUE!")</f>
        <v>#VALUE!</v>
      </c>
      <c r="H195" s="51" t="str">
        <f>IFERROR(__xludf.DUMMYFUNCTION("""COMPUTED_VALUE"""),"")</f>
        <v/>
      </c>
      <c r="I195" s="51" t="str">
        <f>IFERROR(__xludf.DUMMYFUNCTION("""COMPUTED_VALUE"""),"#VALUE!")</f>
        <v>#VALUE!</v>
      </c>
      <c r="J195" s="51" t="str">
        <f>IFERROR(__xludf.DUMMYFUNCTION("""COMPUTED_VALUE"""),"")</f>
        <v/>
      </c>
      <c r="K195" s="51"/>
      <c r="L195" s="51" t="s">
        <v>257</v>
      </c>
      <c r="M195" s="51"/>
      <c r="N195" s="51"/>
      <c r="O195" s="51"/>
      <c r="P195" s="51"/>
      <c r="Q195" s="51"/>
      <c r="R195" s="51"/>
      <c r="S195" s="51"/>
      <c r="T195" s="51"/>
    </row>
    <row r="196">
      <c r="A196" s="51"/>
      <c r="B196" s="51"/>
      <c r="C196" s="56"/>
      <c r="D196" s="51"/>
      <c r="E196" s="51"/>
      <c r="F196" s="51"/>
      <c r="G196" s="51" t="str">
        <f>IFERROR(__xludf.DUMMYFUNCTION("""COMPUTED_VALUE"""),"#VALUE!")</f>
        <v>#VALUE!</v>
      </c>
      <c r="H196" s="51" t="str">
        <f>IFERROR(__xludf.DUMMYFUNCTION("""COMPUTED_VALUE"""),"")</f>
        <v/>
      </c>
      <c r="I196" s="51" t="str">
        <f>IFERROR(__xludf.DUMMYFUNCTION("""COMPUTED_VALUE"""),"#VALUE!")</f>
        <v>#VALUE!</v>
      </c>
      <c r="J196" s="51" t="str">
        <f>IFERROR(__xludf.DUMMYFUNCTION("""COMPUTED_VALUE"""),"")</f>
        <v/>
      </c>
      <c r="K196" s="51"/>
      <c r="L196" s="51" t="s">
        <v>257</v>
      </c>
      <c r="M196" s="51"/>
      <c r="N196" s="51"/>
      <c r="O196" s="51"/>
      <c r="P196" s="51"/>
      <c r="Q196" s="51"/>
      <c r="R196" s="51"/>
      <c r="S196" s="51"/>
      <c r="T196" s="51"/>
    </row>
    <row r="197">
      <c r="A197" s="51"/>
      <c r="B197" s="51"/>
      <c r="C197" s="56"/>
      <c r="D197" s="51"/>
      <c r="E197" s="51"/>
      <c r="F197" s="51"/>
      <c r="G197" s="51" t="str">
        <f>IFERROR(__xludf.DUMMYFUNCTION("""COMPUTED_VALUE"""),"#VALUE!")</f>
        <v>#VALUE!</v>
      </c>
      <c r="H197" s="51" t="str">
        <f>IFERROR(__xludf.DUMMYFUNCTION("""COMPUTED_VALUE"""),"")</f>
        <v/>
      </c>
      <c r="I197" s="51" t="str">
        <f>IFERROR(__xludf.DUMMYFUNCTION("""COMPUTED_VALUE"""),"#VALUE!")</f>
        <v>#VALUE!</v>
      </c>
      <c r="J197" s="51" t="str">
        <f>IFERROR(__xludf.DUMMYFUNCTION("""COMPUTED_VALUE"""),"")</f>
        <v/>
      </c>
      <c r="K197" s="51"/>
      <c r="L197" s="51" t="s">
        <v>257</v>
      </c>
      <c r="M197" s="51"/>
      <c r="N197" s="51"/>
      <c r="O197" s="51"/>
      <c r="P197" s="51"/>
      <c r="Q197" s="51"/>
      <c r="R197" s="51"/>
      <c r="S197" s="51"/>
      <c r="T197" s="51"/>
    </row>
    <row r="198">
      <c r="A198" s="51"/>
      <c r="B198" s="51"/>
      <c r="C198" s="56"/>
      <c r="D198" s="51"/>
      <c r="E198" s="51"/>
      <c r="F198" s="51"/>
      <c r="G198" s="51" t="str">
        <f>IFERROR(__xludf.DUMMYFUNCTION("""COMPUTED_VALUE"""),"#VALUE!")</f>
        <v>#VALUE!</v>
      </c>
      <c r="H198" s="51" t="str">
        <f>IFERROR(__xludf.DUMMYFUNCTION("""COMPUTED_VALUE"""),"")</f>
        <v/>
      </c>
      <c r="I198" s="51" t="str">
        <f>IFERROR(__xludf.DUMMYFUNCTION("""COMPUTED_VALUE"""),"#VALUE!")</f>
        <v>#VALUE!</v>
      </c>
      <c r="J198" s="51" t="str">
        <f>IFERROR(__xludf.DUMMYFUNCTION("""COMPUTED_VALUE"""),"")</f>
        <v/>
      </c>
      <c r="K198" s="51"/>
      <c r="L198" s="51" t="s">
        <v>257</v>
      </c>
      <c r="M198" s="51"/>
      <c r="N198" s="51"/>
      <c r="O198" s="51"/>
      <c r="P198" s="51"/>
      <c r="Q198" s="51"/>
      <c r="R198" s="51"/>
      <c r="S198" s="51"/>
      <c r="T198" s="51"/>
    </row>
    <row r="199">
      <c r="A199" s="51"/>
      <c r="B199" s="51"/>
      <c r="C199" s="56"/>
      <c r="D199" s="51"/>
      <c r="E199" s="51"/>
      <c r="F199" s="51"/>
      <c r="G199" s="51" t="str">
        <f>IFERROR(__xludf.DUMMYFUNCTION("""COMPUTED_VALUE"""),"#VALUE!")</f>
        <v>#VALUE!</v>
      </c>
      <c r="H199" s="51" t="str">
        <f>IFERROR(__xludf.DUMMYFUNCTION("""COMPUTED_VALUE"""),"")</f>
        <v/>
      </c>
      <c r="I199" s="51" t="str">
        <f>IFERROR(__xludf.DUMMYFUNCTION("""COMPUTED_VALUE"""),"#VALUE!")</f>
        <v>#VALUE!</v>
      </c>
      <c r="J199" s="51" t="str">
        <f>IFERROR(__xludf.DUMMYFUNCTION("""COMPUTED_VALUE"""),"")</f>
        <v/>
      </c>
      <c r="K199" s="51"/>
      <c r="L199" s="51" t="s">
        <v>257</v>
      </c>
      <c r="M199" s="51"/>
      <c r="N199" s="51"/>
      <c r="O199" s="51"/>
      <c r="P199" s="51"/>
      <c r="Q199" s="51"/>
      <c r="R199" s="51"/>
      <c r="S199" s="51"/>
      <c r="T199" s="51"/>
    </row>
    <row r="200">
      <c r="A200" s="51"/>
      <c r="B200" s="51"/>
      <c r="C200" s="56"/>
      <c r="D200" s="51"/>
      <c r="E200" s="51"/>
      <c r="F200" s="51"/>
      <c r="G200" s="51" t="str">
        <f>IFERROR(__xludf.DUMMYFUNCTION("""COMPUTED_VALUE"""),"#VALUE!")</f>
        <v>#VALUE!</v>
      </c>
      <c r="H200" s="51" t="str">
        <f>IFERROR(__xludf.DUMMYFUNCTION("""COMPUTED_VALUE"""),"")</f>
        <v/>
      </c>
      <c r="I200" s="51" t="str">
        <f>IFERROR(__xludf.DUMMYFUNCTION("""COMPUTED_VALUE"""),"#VALUE!")</f>
        <v>#VALUE!</v>
      </c>
      <c r="J200" s="51" t="str">
        <f>IFERROR(__xludf.DUMMYFUNCTION("""COMPUTED_VALUE"""),"")</f>
        <v/>
      </c>
      <c r="K200" s="51"/>
      <c r="L200" s="51" t="s">
        <v>257</v>
      </c>
      <c r="M200" s="51"/>
      <c r="N200" s="51"/>
      <c r="O200" s="51"/>
      <c r="P200" s="51"/>
      <c r="Q200" s="51"/>
      <c r="R200" s="51"/>
      <c r="S200" s="51"/>
      <c r="T200" s="51"/>
    </row>
    <row r="201">
      <c r="A201" s="51"/>
      <c r="B201" s="51"/>
      <c r="C201" s="56"/>
      <c r="D201" s="51"/>
      <c r="E201" s="51"/>
      <c r="F201" s="51"/>
      <c r="G201" s="51" t="str">
        <f>IFERROR(__xludf.DUMMYFUNCTION("""COMPUTED_VALUE"""),"#VALUE!")</f>
        <v>#VALUE!</v>
      </c>
      <c r="H201" s="51" t="str">
        <f>IFERROR(__xludf.DUMMYFUNCTION("""COMPUTED_VALUE"""),"")</f>
        <v/>
      </c>
      <c r="I201" s="51" t="str">
        <f>IFERROR(__xludf.DUMMYFUNCTION("""COMPUTED_VALUE"""),"#VALUE!")</f>
        <v>#VALUE!</v>
      </c>
      <c r="J201" s="51" t="str">
        <f>IFERROR(__xludf.DUMMYFUNCTION("""COMPUTED_VALUE"""),"")</f>
        <v/>
      </c>
      <c r="K201" s="51"/>
      <c r="L201" s="51" t="s">
        <v>257</v>
      </c>
      <c r="M201" s="51"/>
      <c r="N201" s="51"/>
      <c r="O201" s="51"/>
      <c r="P201" s="51"/>
      <c r="Q201" s="51"/>
      <c r="R201" s="51"/>
      <c r="S201" s="51"/>
      <c r="T201" s="51"/>
    </row>
    <row r="202">
      <c r="A202" s="51"/>
      <c r="B202" s="51"/>
      <c r="C202" s="56"/>
      <c r="D202" s="51"/>
      <c r="E202" s="51"/>
      <c r="F202" s="51"/>
      <c r="G202" s="51" t="str">
        <f>IFERROR(__xludf.DUMMYFUNCTION("""COMPUTED_VALUE"""),"#VALUE!")</f>
        <v>#VALUE!</v>
      </c>
      <c r="H202" s="51" t="str">
        <f>IFERROR(__xludf.DUMMYFUNCTION("""COMPUTED_VALUE"""),"")</f>
        <v/>
      </c>
      <c r="I202" s="51" t="str">
        <f>IFERROR(__xludf.DUMMYFUNCTION("""COMPUTED_VALUE"""),"#VALUE!")</f>
        <v>#VALUE!</v>
      </c>
      <c r="J202" s="51" t="str">
        <f>IFERROR(__xludf.DUMMYFUNCTION("""COMPUTED_VALUE"""),"")</f>
        <v/>
      </c>
      <c r="K202" s="51"/>
      <c r="L202" s="51" t="s">
        <v>257</v>
      </c>
      <c r="M202" s="51"/>
      <c r="N202" s="51"/>
      <c r="O202" s="51"/>
      <c r="P202" s="51"/>
      <c r="Q202" s="51"/>
      <c r="R202" s="51"/>
      <c r="S202" s="51"/>
      <c r="T202" s="51"/>
    </row>
    <row r="203">
      <c r="A203" s="51"/>
      <c r="B203" s="51"/>
      <c r="C203" s="56"/>
      <c r="D203" s="51"/>
      <c r="E203" s="51"/>
      <c r="F203" s="51"/>
      <c r="G203" s="51" t="str">
        <f>IFERROR(__xludf.DUMMYFUNCTION("""COMPUTED_VALUE"""),"#VALUE!")</f>
        <v>#VALUE!</v>
      </c>
      <c r="H203" s="51" t="str">
        <f>IFERROR(__xludf.DUMMYFUNCTION("""COMPUTED_VALUE"""),"")</f>
        <v/>
      </c>
      <c r="I203" s="51" t="str">
        <f>IFERROR(__xludf.DUMMYFUNCTION("""COMPUTED_VALUE"""),"#VALUE!")</f>
        <v>#VALUE!</v>
      </c>
      <c r="J203" s="51" t="str">
        <f>IFERROR(__xludf.DUMMYFUNCTION("""COMPUTED_VALUE"""),"")</f>
        <v/>
      </c>
      <c r="K203" s="51"/>
      <c r="L203" s="51" t="s">
        <v>257</v>
      </c>
      <c r="M203" s="51"/>
      <c r="N203" s="51"/>
      <c r="O203" s="51"/>
      <c r="P203" s="51"/>
      <c r="Q203" s="51"/>
      <c r="R203" s="51"/>
      <c r="S203" s="51"/>
      <c r="T203" s="51"/>
    </row>
    <row r="204">
      <c r="A204" s="51"/>
      <c r="B204" s="51"/>
      <c r="C204" s="56"/>
      <c r="D204" s="51"/>
      <c r="E204" s="51"/>
      <c r="F204" s="51"/>
      <c r="G204" s="51" t="str">
        <f>IFERROR(__xludf.DUMMYFUNCTION("""COMPUTED_VALUE"""),"#VALUE!")</f>
        <v>#VALUE!</v>
      </c>
      <c r="H204" s="51" t="str">
        <f>IFERROR(__xludf.DUMMYFUNCTION("""COMPUTED_VALUE"""),"")</f>
        <v/>
      </c>
      <c r="I204" s="51" t="str">
        <f>IFERROR(__xludf.DUMMYFUNCTION("""COMPUTED_VALUE"""),"#VALUE!")</f>
        <v>#VALUE!</v>
      </c>
      <c r="J204" s="51" t="str">
        <f>IFERROR(__xludf.DUMMYFUNCTION("""COMPUTED_VALUE"""),"")</f>
        <v/>
      </c>
      <c r="K204" s="51"/>
      <c r="L204" s="51" t="s">
        <v>257</v>
      </c>
      <c r="M204" s="51"/>
      <c r="N204" s="51"/>
      <c r="O204" s="51"/>
      <c r="P204" s="51"/>
      <c r="Q204" s="51"/>
      <c r="R204" s="51"/>
      <c r="S204" s="51"/>
      <c r="T204" s="51"/>
    </row>
    <row r="205">
      <c r="A205" s="51"/>
      <c r="B205" s="51"/>
      <c r="C205" s="56"/>
      <c r="D205" s="51"/>
      <c r="E205" s="51"/>
      <c r="F205" s="51"/>
      <c r="G205" s="51" t="str">
        <f>IFERROR(__xludf.DUMMYFUNCTION("""COMPUTED_VALUE"""),"#VALUE!")</f>
        <v>#VALUE!</v>
      </c>
      <c r="H205" s="51" t="str">
        <f>IFERROR(__xludf.DUMMYFUNCTION("""COMPUTED_VALUE"""),"")</f>
        <v/>
      </c>
      <c r="I205" s="51" t="str">
        <f>IFERROR(__xludf.DUMMYFUNCTION("""COMPUTED_VALUE"""),"#VALUE!")</f>
        <v>#VALUE!</v>
      </c>
      <c r="J205" s="51" t="str">
        <f>IFERROR(__xludf.DUMMYFUNCTION("""COMPUTED_VALUE"""),"")</f>
        <v/>
      </c>
      <c r="K205" s="51"/>
      <c r="L205" s="51" t="s">
        <v>257</v>
      </c>
      <c r="M205" s="51"/>
      <c r="N205" s="51"/>
      <c r="O205" s="51"/>
      <c r="P205" s="51"/>
      <c r="Q205" s="51"/>
      <c r="R205" s="51"/>
      <c r="S205" s="51"/>
      <c r="T205" s="51"/>
    </row>
    <row r="206">
      <c r="A206" s="51"/>
      <c r="B206" s="51"/>
      <c r="C206" s="56"/>
      <c r="D206" s="51"/>
      <c r="E206" s="51"/>
      <c r="F206" s="51"/>
      <c r="G206" s="51" t="str">
        <f>IFERROR(__xludf.DUMMYFUNCTION("""COMPUTED_VALUE"""),"#VALUE!")</f>
        <v>#VALUE!</v>
      </c>
      <c r="H206" s="51" t="str">
        <f>IFERROR(__xludf.DUMMYFUNCTION("""COMPUTED_VALUE"""),"")</f>
        <v/>
      </c>
      <c r="I206" s="51" t="str">
        <f>IFERROR(__xludf.DUMMYFUNCTION("""COMPUTED_VALUE"""),"#VALUE!")</f>
        <v>#VALUE!</v>
      </c>
      <c r="J206" s="51" t="str">
        <f>IFERROR(__xludf.DUMMYFUNCTION("""COMPUTED_VALUE"""),"")</f>
        <v/>
      </c>
      <c r="K206" s="51"/>
      <c r="L206" s="51" t="s">
        <v>257</v>
      </c>
      <c r="M206" s="51"/>
      <c r="N206" s="51"/>
      <c r="O206" s="51"/>
      <c r="P206" s="51"/>
      <c r="Q206" s="51"/>
      <c r="R206" s="51"/>
      <c r="S206" s="51"/>
      <c r="T206" s="51"/>
    </row>
    <row r="207">
      <c r="A207" s="51"/>
      <c r="B207" s="51"/>
      <c r="C207" s="56"/>
      <c r="D207" s="51"/>
      <c r="E207" s="51"/>
      <c r="F207" s="51"/>
      <c r="G207" s="51" t="str">
        <f>IFERROR(__xludf.DUMMYFUNCTION("""COMPUTED_VALUE"""),"#VALUE!")</f>
        <v>#VALUE!</v>
      </c>
      <c r="H207" s="51" t="str">
        <f>IFERROR(__xludf.DUMMYFUNCTION("""COMPUTED_VALUE"""),"")</f>
        <v/>
      </c>
      <c r="I207" s="51" t="str">
        <f>IFERROR(__xludf.DUMMYFUNCTION("""COMPUTED_VALUE"""),"#VALUE!")</f>
        <v>#VALUE!</v>
      </c>
      <c r="J207" s="51" t="str">
        <f>IFERROR(__xludf.DUMMYFUNCTION("""COMPUTED_VALUE"""),"")</f>
        <v/>
      </c>
      <c r="K207" s="51"/>
      <c r="L207" s="51" t="s">
        <v>257</v>
      </c>
      <c r="M207" s="51"/>
      <c r="N207" s="51"/>
      <c r="O207" s="51"/>
      <c r="P207" s="51"/>
      <c r="Q207" s="51"/>
      <c r="R207" s="51"/>
      <c r="S207" s="51"/>
      <c r="T207" s="51"/>
    </row>
    <row r="208">
      <c r="A208" s="51"/>
      <c r="B208" s="51"/>
      <c r="C208" s="56"/>
      <c r="D208" s="51"/>
      <c r="E208" s="51"/>
      <c r="F208" s="51"/>
      <c r="G208" s="51" t="str">
        <f>IFERROR(__xludf.DUMMYFUNCTION("""COMPUTED_VALUE"""),"#VALUE!")</f>
        <v>#VALUE!</v>
      </c>
      <c r="H208" s="51" t="str">
        <f>IFERROR(__xludf.DUMMYFUNCTION("""COMPUTED_VALUE"""),"")</f>
        <v/>
      </c>
      <c r="I208" s="51" t="str">
        <f>IFERROR(__xludf.DUMMYFUNCTION("""COMPUTED_VALUE"""),"#VALUE!")</f>
        <v>#VALUE!</v>
      </c>
      <c r="J208" s="51" t="str">
        <f>IFERROR(__xludf.DUMMYFUNCTION("""COMPUTED_VALUE"""),"")</f>
        <v/>
      </c>
      <c r="K208" s="51"/>
      <c r="L208" s="51" t="s">
        <v>257</v>
      </c>
      <c r="M208" s="51"/>
      <c r="N208" s="51"/>
      <c r="O208" s="51"/>
      <c r="P208" s="51"/>
      <c r="Q208" s="51"/>
      <c r="R208" s="51"/>
      <c r="S208" s="51"/>
      <c r="T208" s="51"/>
    </row>
    <row r="209">
      <c r="A209" s="51"/>
      <c r="B209" s="51"/>
      <c r="C209" s="56"/>
      <c r="D209" s="51"/>
      <c r="E209" s="51"/>
      <c r="F209" s="51"/>
      <c r="G209" s="51" t="str">
        <f>IFERROR(__xludf.DUMMYFUNCTION("""COMPUTED_VALUE"""),"#VALUE!")</f>
        <v>#VALUE!</v>
      </c>
      <c r="H209" s="51" t="str">
        <f>IFERROR(__xludf.DUMMYFUNCTION("""COMPUTED_VALUE"""),"")</f>
        <v/>
      </c>
      <c r="I209" s="51" t="str">
        <f>IFERROR(__xludf.DUMMYFUNCTION("""COMPUTED_VALUE"""),"#VALUE!")</f>
        <v>#VALUE!</v>
      </c>
      <c r="J209" s="51" t="str">
        <f>IFERROR(__xludf.DUMMYFUNCTION("""COMPUTED_VALUE"""),"")</f>
        <v/>
      </c>
      <c r="K209" s="51"/>
      <c r="L209" s="51" t="s">
        <v>257</v>
      </c>
      <c r="M209" s="51"/>
      <c r="N209" s="51"/>
      <c r="O209" s="51"/>
      <c r="P209" s="51"/>
      <c r="Q209" s="51"/>
      <c r="R209" s="51"/>
      <c r="S209" s="51"/>
      <c r="T209" s="51"/>
    </row>
    <row r="210">
      <c r="A210" s="51"/>
      <c r="B210" s="51"/>
      <c r="C210" s="56"/>
      <c r="D210" s="51"/>
      <c r="E210" s="51"/>
      <c r="F210" s="51"/>
      <c r="G210" s="51" t="str">
        <f>IFERROR(__xludf.DUMMYFUNCTION("""COMPUTED_VALUE"""),"#VALUE!")</f>
        <v>#VALUE!</v>
      </c>
      <c r="H210" s="51" t="str">
        <f>IFERROR(__xludf.DUMMYFUNCTION("""COMPUTED_VALUE"""),"")</f>
        <v/>
      </c>
      <c r="I210" s="51" t="str">
        <f>IFERROR(__xludf.DUMMYFUNCTION("""COMPUTED_VALUE"""),"#VALUE!")</f>
        <v>#VALUE!</v>
      </c>
      <c r="J210" s="51" t="str">
        <f>IFERROR(__xludf.DUMMYFUNCTION("""COMPUTED_VALUE"""),"")</f>
        <v/>
      </c>
      <c r="K210" s="51"/>
      <c r="L210" s="51" t="s">
        <v>257</v>
      </c>
      <c r="M210" s="51"/>
      <c r="N210" s="51"/>
      <c r="O210" s="51"/>
      <c r="P210" s="51"/>
      <c r="Q210" s="51"/>
      <c r="R210" s="51"/>
      <c r="S210" s="51"/>
      <c r="T210" s="51"/>
    </row>
    <row r="211">
      <c r="A211" s="51"/>
      <c r="B211" s="51"/>
      <c r="C211" s="56"/>
      <c r="D211" s="51"/>
      <c r="E211" s="51"/>
      <c r="F211" s="51"/>
      <c r="G211" s="51" t="str">
        <f>IFERROR(__xludf.DUMMYFUNCTION("""COMPUTED_VALUE"""),"#VALUE!")</f>
        <v>#VALUE!</v>
      </c>
      <c r="H211" s="51" t="str">
        <f>IFERROR(__xludf.DUMMYFUNCTION("""COMPUTED_VALUE"""),"")</f>
        <v/>
      </c>
      <c r="I211" s="51" t="str">
        <f>IFERROR(__xludf.DUMMYFUNCTION("""COMPUTED_VALUE"""),"#VALUE!")</f>
        <v>#VALUE!</v>
      </c>
      <c r="J211" s="51" t="str">
        <f>IFERROR(__xludf.DUMMYFUNCTION("""COMPUTED_VALUE"""),"")</f>
        <v/>
      </c>
      <c r="K211" s="51"/>
      <c r="L211" s="51" t="s">
        <v>257</v>
      </c>
      <c r="M211" s="51"/>
      <c r="N211" s="51"/>
      <c r="O211" s="51"/>
      <c r="P211" s="51"/>
      <c r="Q211" s="51"/>
      <c r="R211" s="51"/>
      <c r="S211" s="51"/>
      <c r="T211" s="51"/>
    </row>
    <row r="212">
      <c r="A212" s="51"/>
      <c r="B212" s="51"/>
      <c r="C212" s="56"/>
      <c r="D212" s="51"/>
      <c r="E212" s="51"/>
      <c r="F212" s="51"/>
      <c r="G212" s="51" t="str">
        <f>IFERROR(__xludf.DUMMYFUNCTION("""COMPUTED_VALUE"""),"#VALUE!")</f>
        <v>#VALUE!</v>
      </c>
      <c r="H212" s="51" t="str">
        <f>IFERROR(__xludf.DUMMYFUNCTION("""COMPUTED_VALUE"""),"")</f>
        <v/>
      </c>
      <c r="I212" s="51" t="str">
        <f>IFERROR(__xludf.DUMMYFUNCTION("""COMPUTED_VALUE"""),"#VALUE!")</f>
        <v>#VALUE!</v>
      </c>
      <c r="J212" s="51" t="str">
        <f>IFERROR(__xludf.DUMMYFUNCTION("""COMPUTED_VALUE"""),"")</f>
        <v/>
      </c>
      <c r="K212" s="51"/>
      <c r="L212" s="51" t="s">
        <v>257</v>
      </c>
      <c r="M212" s="51"/>
      <c r="N212" s="51"/>
      <c r="O212" s="51"/>
      <c r="P212" s="51"/>
      <c r="Q212" s="51"/>
      <c r="R212" s="51"/>
      <c r="S212" s="51"/>
      <c r="T212" s="51"/>
    </row>
    <row r="213">
      <c r="A213" s="51"/>
      <c r="B213" s="51"/>
      <c r="C213" s="56"/>
      <c r="D213" s="51"/>
      <c r="E213" s="51"/>
      <c r="F213" s="51"/>
      <c r="G213" s="51" t="str">
        <f>IFERROR(__xludf.DUMMYFUNCTION("""COMPUTED_VALUE"""),"#VALUE!")</f>
        <v>#VALUE!</v>
      </c>
      <c r="H213" s="51" t="str">
        <f>IFERROR(__xludf.DUMMYFUNCTION("""COMPUTED_VALUE"""),"")</f>
        <v/>
      </c>
      <c r="I213" s="51" t="str">
        <f>IFERROR(__xludf.DUMMYFUNCTION("""COMPUTED_VALUE"""),"#VALUE!")</f>
        <v>#VALUE!</v>
      </c>
      <c r="J213" s="51" t="str">
        <f>IFERROR(__xludf.DUMMYFUNCTION("""COMPUTED_VALUE"""),"")</f>
        <v/>
      </c>
      <c r="K213" s="51"/>
      <c r="L213" s="51" t="s">
        <v>257</v>
      </c>
      <c r="M213" s="51"/>
      <c r="N213" s="51"/>
      <c r="O213" s="51"/>
      <c r="P213" s="51"/>
      <c r="Q213" s="51"/>
      <c r="R213" s="51"/>
      <c r="S213" s="51"/>
      <c r="T213" s="51"/>
    </row>
    <row r="214">
      <c r="A214" s="51"/>
      <c r="B214" s="51"/>
      <c r="C214" s="56"/>
      <c r="D214" s="51"/>
      <c r="E214" s="51"/>
      <c r="F214" s="51"/>
      <c r="G214" s="51" t="str">
        <f>IFERROR(__xludf.DUMMYFUNCTION("""COMPUTED_VALUE"""),"#VALUE!")</f>
        <v>#VALUE!</v>
      </c>
      <c r="H214" s="51" t="str">
        <f>IFERROR(__xludf.DUMMYFUNCTION("""COMPUTED_VALUE"""),"")</f>
        <v/>
      </c>
      <c r="I214" s="51" t="str">
        <f>IFERROR(__xludf.DUMMYFUNCTION("""COMPUTED_VALUE"""),"#VALUE!")</f>
        <v>#VALUE!</v>
      </c>
      <c r="J214" s="51" t="str">
        <f>IFERROR(__xludf.DUMMYFUNCTION("""COMPUTED_VALUE"""),"")</f>
        <v/>
      </c>
      <c r="K214" s="51"/>
      <c r="L214" s="51" t="s">
        <v>257</v>
      </c>
      <c r="M214" s="51"/>
      <c r="N214" s="51"/>
      <c r="O214" s="51"/>
      <c r="P214" s="51"/>
      <c r="Q214" s="51"/>
      <c r="R214" s="51"/>
      <c r="S214" s="51"/>
      <c r="T214" s="51"/>
    </row>
    <row r="215">
      <c r="A215" s="51"/>
      <c r="B215" s="51"/>
      <c r="C215" s="56"/>
      <c r="D215" s="51"/>
      <c r="E215" s="51"/>
      <c r="F215" s="51"/>
      <c r="G215" s="51" t="str">
        <f>IFERROR(__xludf.DUMMYFUNCTION("""COMPUTED_VALUE"""),"#VALUE!")</f>
        <v>#VALUE!</v>
      </c>
      <c r="H215" s="51" t="str">
        <f>IFERROR(__xludf.DUMMYFUNCTION("""COMPUTED_VALUE"""),"")</f>
        <v/>
      </c>
      <c r="I215" s="51" t="str">
        <f>IFERROR(__xludf.DUMMYFUNCTION("""COMPUTED_VALUE"""),"#VALUE!")</f>
        <v>#VALUE!</v>
      </c>
      <c r="J215" s="51" t="str">
        <f>IFERROR(__xludf.DUMMYFUNCTION("""COMPUTED_VALUE"""),"")</f>
        <v/>
      </c>
      <c r="K215" s="51"/>
      <c r="L215" s="51" t="s">
        <v>257</v>
      </c>
      <c r="M215" s="51"/>
      <c r="N215" s="51"/>
      <c r="O215" s="51"/>
      <c r="P215" s="51"/>
      <c r="Q215" s="51"/>
      <c r="R215" s="51"/>
      <c r="S215" s="51"/>
      <c r="T215" s="51"/>
    </row>
    <row r="216">
      <c r="A216" s="51"/>
      <c r="B216" s="51"/>
      <c r="C216" s="56"/>
      <c r="D216" s="51"/>
      <c r="E216" s="51"/>
      <c r="F216" s="51"/>
      <c r="G216" s="51" t="str">
        <f>IFERROR(__xludf.DUMMYFUNCTION("""COMPUTED_VALUE"""),"#VALUE!")</f>
        <v>#VALUE!</v>
      </c>
      <c r="H216" s="51" t="str">
        <f>IFERROR(__xludf.DUMMYFUNCTION("""COMPUTED_VALUE"""),"")</f>
        <v/>
      </c>
      <c r="I216" s="51" t="str">
        <f>IFERROR(__xludf.DUMMYFUNCTION("""COMPUTED_VALUE"""),"#VALUE!")</f>
        <v>#VALUE!</v>
      </c>
      <c r="J216" s="51" t="str">
        <f>IFERROR(__xludf.DUMMYFUNCTION("""COMPUTED_VALUE"""),"")</f>
        <v/>
      </c>
      <c r="K216" s="51"/>
      <c r="L216" s="51" t="s">
        <v>257</v>
      </c>
      <c r="M216" s="51"/>
      <c r="N216" s="51"/>
      <c r="O216" s="51"/>
      <c r="P216" s="51"/>
      <c r="Q216" s="51"/>
      <c r="R216" s="51"/>
      <c r="S216" s="51"/>
      <c r="T216" s="51"/>
    </row>
    <row r="217">
      <c r="A217" s="51"/>
      <c r="B217" s="51"/>
      <c r="C217" s="56"/>
      <c r="D217" s="51"/>
      <c r="E217" s="51"/>
      <c r="F217" s="51"/>
      <c r="G217" s="51" t="str">
        <f>IFERROR(__xludf.DUMMYFUNCTION("""COMPUTED_VALUE"""),"#VALUE!")</f>
        <v>#VALUE!</v>
      </c>
      <c r="H217" s="51" t="str">
        <f>IFERROR(__xludf.DUMMYFUNCTION("""COMPUTED_VALUE"""),"")</f>
        <v/>
      </c>
      <c r="I217" s="51" t="str">
        <f>IFERROR(__xludf.DUMMYFUNCTION("""COMPUTED_VALUE"""),"#VALUE!")</f>
        <v>#VALUE!</v>
      </c>
      <c r="J217" s="51" t="str">
        <f>IFERROR(__xludf.DUMMYFUNCTION("""COMPUTED_VALUE"""),"")</f>
        <v/>
      </c>
      <c r="K217" s="51"/>
      <c r="L217" s="51" t="s">
        <v>257</v>
      </c>
      <c r="M217" s="51"/>
      <c r="N217" s="51"/>
      <c r="O217" s="51"/>
      <c r="P217" s="51"/>
      <c r="Q217" s="51"/>
      <c r="R217" s="51"/>
      <c r="S217" s="51"/>
      <c r="T217" s="51"/>
    </row>
    <row r="218">
      <c r="A218" s="51"/>
      <c r="B218" s="51"/>
      <c r="C218" s="56"/>
      <c r="D218" s="51"/>
      <c r="E218" s="51"/>
      <c r="F218" s="51"/>
      <c r="G218" s="51" t="str">
        <f>IFERROR(__xludf.DUMMYFUNCTION("""COMPUTED_VALUE"""),"#VALUE!")</f>
        <v>#VALUE!</v>
      </c>
      <c r="H218" s="51" t="str">
        <f>IFERROR(__xludf.DUMMYFUNCTION("""COMPUTED_VALUE"""),"")</f>
        <v/>
      </c>
      <c r="I218" s="51" t="str">
        <f>IFERROR(__xludf.DUMMYFUNCTION("""COMPUTED_VALUE"""),"#VALUE!")</f>
        <v>#VALUE!</v>
      </c>
      <c r="J218" s="51" t="str">
        <f>IFERROR(__xludf.DUMMYFUNCTION("""COMPUTED_VALUE"""),"")</f>
        <v/>
      </c>
      <c r="K218" s="51"/>
      <c r="L218" s="51" t="s">
        <v>257</v>
      </c>
      <c r="M218" s="51"/>
      <c r="N218" s="51"/>
      <c r="O218" s="51"/>
      <c r="P218" s="51"/>
      <c r="Q218" s="51"/>
      <c r="R218" s="51"/>
      <c r="S218" s="51"/>
      <c r="T218" s="51"/>
    </row>
    <row r="219">
      <c r="A219" s="51"/>
      <c r="B219" s="51"/>
      <c r="C219" s="56"/>
      <c r="D219" s="51"/>
      <c r="E219" s="51"/>
      <c r="F219" s="51"/>
      <c r="G219" s="51" t="str">
        <f>IFERROR(__xludf.DUMMYFUNCTION("""COMPUTED_VALUE"""),"#VALUE!")</f>
        <v>#VALUE!</v>
      </c>
      <c r="H219" s="51" t="str">
        <f>IFERROR(__xludf.DUMMYFUNCTION("""COMPUTED_VALUE"""),"")</f>
        <v/>
      </c>
      <c r="I219" s="51" t="str">
        <f>IFERROR(__xludf.DUMMYFUNCTION("""COMPUTED_VALUE"""),"#VALUE!")</f>
        <v>#VALUE!</v>
      </c>
      <c r="J219" s="51" t="str">
        <f>IFERROR(__xludf.DUMMYFUNCTION("""COMPUTED_VALUE"""),"")</f>
        <v/>
      </c>
      <c r="K219" s="51"/>
      <c r="L219" s="51" t="s">
        <v>257</v>
      </c>
      <c r="M219" s="51"/>
      <c r="N219" s="51"/>
      <c r="O219" s="51"/>
      <c r="P219" s="51"/>
      <c r="Q219" s="51"/>
      <c r="R219" s="51"/>
      <c r="S219" s="51"/>
      <c r="T219" s="51"/>
    </row>
    <row r="220">
      <c r="A220" s="51"/>
      <c r="B220" s="51"/>
      <c r="C220" s="56"/>
      <c r="D220" s="51"/>
      <c r="E220" s="51"/>
      <c r="F220" s="51"/>
      <c r="G220" s="51" t="str">
        <f>IFERROR(__xludf.DUMMYFUNCTION("""COMPUTED_VALUE"""),"#VALUE!")</f>
        <v>#VALUE!</v>
      </c>
      <c r="H220" s="51" t="str">
        <f>IFERROR(__xludf.DUMMYFUNCTION("""COMPUTED_VALUE"""),"")</f>
        <v/>
      </c>
      <c r="I220" s="51" t="str">
        <f>IFERROR(__xludf.DUMMYFUNCTION("""COMPUTED_VALUE"""),"#VALUE!")</f>
        <v>#VALUE!</v>
      </c>
      <c r="J220" s="51" t="str">
        <f>IFERROR(__xludf.DUMMYFUNCTION("""COMPUTED_VALUE"""),"")</f>
        <v/>
      </c>
      <c r="K220" s="51"/>
      <c r="L220" s="51" t="s">
        <v>257</v>
      </c>
      <c r="M220" s="51"/>
      <c r="N220" s="51"/>
      <c r="O220" s="51"/>
      <c r="P220" s="51"/>
      <c r="Q220" s="51"/>
      <c r="R220" s="51"/>
      <c r="S220" s="51"/>
      <c r="T220" s="51"/>
    </row>
    <row r="221">
      <c r="A221" s="51"/>
      <c r="B221" s="51"/>
      <c r="C221" s="56"/>
      <c r="D221" s="51"/>
      <c r="E221" s="51"/>
      <c r="F221" s="51"/>
      <c r="G221" s="51" t="str">
        <f>IFERROR(__xludf.DUMMYFUNCTION("""COMPUTED_VALUE"""),"#VALUE!")</f>
        <v>#VALUE!</v>
      </c>
      <c r="H221" s="51" t="str">
        <f>IFERROR(__xludf.DUMMYFUNCTION("""COMPUTED_VALUE"""),"")</f>
        <v/>
      </c>
      <c r="I221" s="51" t="str">
        <f>IFERROR(__xludf.DUMMYFUNCTION("""COMPUTED_VALUE"""),"#VALUE!")</f>
        <v>#VALUE!</v>
      </c>
      <c r="J221" s="51" t="str">
        <f>IFERROR(__xludf.DUMMYFUNCTION("""COMPUTED_VALUE"""),"")</f>
        <v/>
      </c>
      <c r="K221" s="51"/>
      <c r="L221" s="51" t="s">
        <v>257</v>
      </c>
      <c r="M221" s="51"/>
      <c r="N221" s="51"/>
      <c r="O221" s="51"/>
      <c r="P221" s="51"/>
      <c r="Q221" s="51"/>
      <c r="R221" s="51"/>
      <c r="S221" s="51"/>
      <c r="T221" s="51"/>
    </row>
    <row r="222">
      <c r="A222" s="51"/>
      <c r="B222" s="51"/>
      <c r="C222" s="56"/>
      <c r="D222" s="51"/>
      <c r="E222" s="51"/>
      <c r="F222" s="51"/>
      <c r="G222" s="51" t="str">
        <f>IFERROR(__xludf.DUMMYFUNCTION("""COMPUTED_VALUE"""),"#VALUE!")</f>
        <v>#VALUE!</v>
      </c>
      <c r="H222" s="51" t="str">
        <f>IFERROR(__xludf.DUMMYFUNCTION("""COMPUTED_VALUE"""),"")</f>
        <v/>
      </c>
      <c r="I222" s="51" t="str">
        <f>IFERROR(__xludf.DUMMYFUNCTION("""COMPUTED_VALUE"""),"#VALUE!")</f>
        <v>#VALUE!</v>
      </c>
      <c r="J222" s="51" t="str">
        <f>IFERROR(__xludf.DUMMYFUNCTION("""COMPUTED_VALUE"""),"")</f>
        <v/>
      </c>
      <c r="K222" s="51"/>
      <c r="L222" s="51" t="s">
        <v>257</v>
      </c>
      <c r="M222" s="51"/>
      <c r="N222" s="51"/>
      <c r="O222" s="51"/>
      <c r="P222" s="51"/>
      <c r="Q222" s="51"/>
      <c r="R222" s="51"/>
      <c r="S222" s="51"/>
      <c r="T222" s="51"/>
    </row>
    <row r="223">
      <c r="A223" s="51"/>
      <c r="B223" s="51"/>
      <c r="C223" s="56"/>
      <c r="D223" s="51"/>
      <c r="E223" s="51"/>
      <c r="F223" s="51"/>
      <c r="G223" s="51" t="str">
        <f>IFERROR(__xludf.DUMMYFUNCTION("""COMPUTED_VALUE"""),"#VALUE!")</f>
        <v>#VALUE!</v>
      </c>
      <c r="H223" s="51" t="str">
        <f>IFERROR(__xludf.DUMMYFUNCTION("""COMPUTED_VALUE"""),"")</f>
        <v/>
      </c>
      <c r="I223" s="51" t="str">
        <f>IFERROR(__xludf.DUMMYFUNCTION("""COMPUTED_VALUE"""),"#VALUE!")</f>
        <v>#VALUE!</v>
      </c>
      <c r="J223" s="51" t="str">
        <f>IFERROR(__xludf.DUMMYFUNCTION("""COMPUTED_VALUE"""),"")</f>
        <v/>
      </c>
      <c r="K223" s="51"/>
      <c r="L223" s="51" t="s">
        <v>257</v>
      </c>
      <c r="M223" s="51"/>
      <c r="N223" s="51"/>
      <c r="O223" s="51"/>
      <c r="P223" s="51"/>
      <c r="Q223" s="51"/>
      <c r="R223" s="51"/>
      <c r="S223" s="51"/>
      <c r="T223" s="51"/>
    </row>
    <row r="224">
      <c r="A224" s="51"/>
      <c r="B224" s="51"/>
      <c r="C224" s="56"/>
      <c r="D224" s="51"/>
      <c r="E224" s="51"/>
      <c r="F224" s="51"/>
      <c r="G224" s="51" t="str">
        <f>IFERROR(__xludf.DUMMYFUNCTION("""COMPUTED_VALUE"""),"#VALUE!")</f>
        <v>#VALUE!</v>
      </c>
      <c r="H224" s="51" t="str">
        <f>IFERROR(__xludf.DUMMYFUNCTION("""COMPUTED_VALUE"""),"")</f>
        <v/>
      </c>
      <c r="I224" s="51" t="str">
        <f>IFERROR(__xludf.DUMMYFUNCTION("""COMPUTED_VALUE"""),"#VALUE!")</f>
        <v>#VALUE!</v>
      </c>
      <c r="J224" s="51" t="str">
        <f>IFERROR(__xludf.DUMMYFUNCTION("""COMPUTED_VALUE"""),"")</f>
        <v/>
      </c>
      <c r="K224" s="51"/>
      <c r="L224" s="51" t="s">
        <v>257</v>
      </c>
      <c r="M224" s="51"/>
      <c r="N224" s="51"/>
      <c r="O224" s="51"/>
      <c r="P224" s="51"/>
      <c r="Q224" s="51"/>
      <c r="R224" s="51"/>
      <c r="S224" s="51"/>
      <c r="T224" s="51"/>
    </row>
    <row r="225">
      <c r="A225" s="51"/>
      <c r="B225" s="51"/>
      <c r="C225" s="56"/>
      <c r="D225" s="51"/>
      <c r="E225" s="51"/>
      <c r="F225" s="51"/>
      <c r="G225" s="51" t="str">
        <f>IFERROR(__xludf.DUMMYFUNCTION("""COMPUTED_VALUE"""),"#VALUE!")</f>
        <v>#VALUE!</v>
      </c>
      <c r="H225" s="51" t="str">
        <f>IFERROR(__xludf.DUMMYFUNCTION("""COMPUTED_VALUE"""),"")</f>
        <v/>
      </c>
      <c r="I225" s="51" t="str">
        <f>IFERROR(__xludf.DUMMYFUNCTION("""COMPUTED_VALUE"""),"#VALUE!")</f>
        <v>#VALUE!</v>
      </c>
      <c r="J225" s="51" t="str">
        <f>IFERROR(__xludf.DUMMYFUNCTION("""COMPUTED_VALUE"""),"")</f>
        <v/>
      </c>
      <c r="K225" s="51"/>
      <c r="L225" s="51" t="s">
        <v>257</v>
      </c>
      <c r="M225" s="51"/>
      <c r="N225" s="51"/>
      <c r="O225" s="51"/>
      <c r="P225" s="51"/>
      <c r="Q225" s="51"/>
      <c r="R225" s="51"/>
      <c r="S225" s="51"/>
      <c r="T225" s="51"/>
    </row>
    <row r="226">
      <c r="A226" s="51"/>
      <c r="B226" s="51"/>
      <c r="C226" s="56"/>
      <c r="D226" s="51"/>
      <c r="E226" s="51"/>
      <c r="F226" s="51"/>
      <c r="G226" s="51" t="str">
        <f>IFERROR(__xludf.DUMMYFUNCTION("""COMPUTED_VALUE"""),"#VALUE!")</f>
        <v>#VALUE!</v>
      </c>
      <c r="H226" s="51" t="str">
        <f>IFERROR(__xludf.DUMMYFUNCTION("""COMPUTED_VALUE"""),"")</f>
        <v/>
      </c>
      <c r="I226" s="51" t="str">
        <f>IFERROR(__xludf.DUMMYFUNCTION("""COMPUTED_VALUE"""),"#VALUE!")</f>
        <v>#VALUE!</v>
      </c>
      <c r="J226" s="51" t="str">
        <f>IFERROR(__xludf.DUMMYFUNCTION("""COMPUTED_VALUE"""),"")</f>
        <v/>
      </c>
      <c r="K226" s="51"/>
      <c r="L226" s="51" t="s">
        <v>257</v>
      </c>
      <c r="M226" s="51"/>
      <c r="N226" s="51"/>
      <c r="O226" s="51"/>
      <c r="P226" s="51"/>
      <c r="Q226" s="51"/>
      <c r="R226" s="51"/>
      <c r="S226" s="51"/>
      <c r="T226" s="51"/>
    </row>
    <row r="227">
      <c r="A227" s="51"/>
      <c r="B227" s="51"/>
      <c r="C227" s="56"/>
      <c r="D227" s="51"/>
      <c r="E227" s="51"/>
      <c r="F227" s="51"/>
      <c r="G227" s="51" t="str">
        <f>IFERROR(__xludf.DUMMYFUNCTION("""COMPUTED_VALUE"""),"#VALUE!")</f>
        <v>#VALUE!</v>
      </c>
      <c r="H227" s="51" t="str">
        <f>IFERROR(__xludf.DUMMYFUNCTION("""COMPUTED_VALUE"""),"")</f>
        <v/>
      </c>
      <c r="I227" s="51" t="str">
        <f>IFERROR(__xludf.DUMMYFUNCTION("""COMPUTED_VALUE"""),"#VALUE!")</f>
        <v>#VALUE!</v>
      </c>
      <c r="J227" s="51" t="str">
        <f>IFERROR(__xludf.DUMMYFUNCTION("""COMPUTED_VALUE"""),"")</f>
        <v/>
      </c>
      <c r="K227" s="51"/>
      <c r="L227" s="51" t="s">
        <v>257</v>
      </c>
      <c r="M227" s="51"/>
      <c r="N227" s="51"/>
      <c r="O227" s="51"/>
      <c r="P227" s="51"/>
      <c r="Q227" s="51"/>
      <c r="R227" s="51"/>
      <c r="S227" s="51"/>
      <c r="T227" s="51"/>
    </row>
    <row r="228">
      <c r="A228" s="51"/>
      <c r="B228" s="51"/>
      <c r="C228" s="56"/>
      <c r="D228" s="51"/>
      <c r="E228" s="51"/>
      <c r="F228" s="51"/>
      <c r="G228" s="51" t="str">
        <f>IFERROR(__xludf.DUMMYFUNCTION("""COMPUTED_VALUE"""),"#VALUE!")</f>
        <v>#VALUE!</v>
      </c>
      <c r="H228" s="51" t="str">
        <f>IFERROR(__xludf.DUMMYFUNCTION("""COMPUTED_VALUE"""),"")</f>
        <v/>
      </c>
      <c r="I228" s="51" t="str">
        <f>IFERROR(__xludf.DUMMYFUNCTION("""COMPUTED_VALUE"""),"#VALUE!")</f>
        <v>#VALUE!</v>
      </c>
      <c r="J228" s="51" t="str">
        <f>IFERROR(__xludf.DUMMYFUNCTION("""COMPUTED_VALUE"""),"")</f>
        <v/>
      </c>
      <c r="K228" s="51"/>
      <c r="L228" s="51" t="s">
        <v>257</v>
      </c>
      <c r="M228" s="51"/>
      <c r="N228" s="51"/>
      <c r="O228" s="51"/>
      <c r="P228" s="51"/>
      <c r="Q228" s="51"/>
      <c r="R228" s="51"/>
      <c r="S228" s="51"/>
      <c r="T228" s="51"/>
    </row>
    <row r="229">
      <c r="A229" s="51"/>
      <c r="B229" s="51"/>
      <c r="C229" s="56"/>
      <c r="D229" s="51"/>
      <c r="E229" s="51"/>
      <c r="F229" s="51"/>
      <c r="G229" s="51" t="str">
        <f>IFERROR(__xludf.DUMMYFUNCTION("""COMPUTED_VALUE"""),"#VALUE!")</f>
        <v>#VALUE!</v>
      </c>
      <c r="H229" s="51" t="str">
        <f>IFERROR(__xludf.DUMMYFUNCTION("""COMPUTED_VALUE"""),"")</f>
        <v/>
      </c>
      <c r="I229" s="51" t="str">
        <f>IFERROR(__xludf.DUMMYFUNCTION("""COMPUTED_VALUE"""),"#VALUE!")</f>
        <v>#VALUE!</v>
      </c>
      <c r="J229" s="51" t="str">
        <f>IFERROR(__xludf.DUMMYFUNCTION("""COMPUTED_VALUE"""),"")</f>
        <v/>
      </c>
      <c r="K229" s="51"/>
      <c r="L229" s="51" t="s">
        <v>257</v>
      </c>
      <c r="M229" s="51"/>
      <c r="N229" s="51"/>
      <c r="O229" s="51"/>
      <c r="P229" s="51"/>
      <c r="Q229" s="51"/>
      <c r="R229" s="51"/>
      <c r="S229" s="51"/>
      <c r="T229" s="51"/>
    </row>
    <row r="230">
      <c r="A230" s="51"/>
      <c r="B230" s="51"/>
      <c r="C230" s="56"/>
      <c r="D230" s="51"/>
      <c r="E230" s="51"/>
      <c r="F230" s="51"/>
      <c r="G230" s="51" t="str">
        <f>IFERROR(__xludf.DUMMYFUNCTION("""COMPUTED_VALUE"""),"#VALUE!")</f>
        <v>#VALUE!</v>
      </c>
      <c r="H230" s="51" t="str">
        <f>IFERROR(__xludf.DUMMYFUNCTION("""COMPUTED_VALUE"""),"")</f>
        <v/>
      </c>
      <c r="I230" s="51" t="str">
        <f>IFERROR(__xludf.DUMMYFUNCTION("""COMPUTED_VALUE"""),"#VALUE!")</f>
        <v>#VALUE!</v>
      </c>
      <c r="J230" s="51" t="str">
        <f>IFERROR(__xludf.DUMMYFUNCTION("""COMPUTED_VALUE"""),"")</f>
        <v/>
      </c>
      <c r="K230" s="51"/>
      <c r="L230" s="51" t="s">
        <v>257</v>
      </c>
      <c r="M230" s="51"/>
      <c r="N230" s="51"/>
      <c r="O230" s="51"/>
      <c r="P230" s="51"/>
      <c r="Q230" s="51"/>
      <c r="R230" s="51"/>
      <c r="S230" s="51"/>
      <c r="T230" s="51"/>
    </row>
    <row r="231">
      <c r="A231" s="51"/>
      <c r="B231" s="51"/>
      <c r="C231" s="56"/>
      <c r="D231" s="51"/>
      <c r="E231" s="51"/>
      <c r="F231" s="51"/>
      <c r="G231" s="51" t="str">
        <f>IFERROR(__xludf.DUMMYFUNCTION("""COMPUTED_VALUE"""),"#VALUE!")</f>
        <v>#VALUE!</v>
      </c>
      <c r="H231" s="51" t="str">
        <f>IFERROR(__xludf.DUMMYFUNCTION("""COMPUTED_VALUE"""),"")</f>
        <v/>
      </c>
      <c r="I231" s="51" t="str">
        <f>IFERROR(__xludf.DUMMYFUNCTION("""COMPUTED_VALUE"""),"#VALUE!")</f>
        <v>#VALUE!</v>
      </c>
      <c r="J231" s="51" t="str">
        <f>IFERROR(__xludf.DUMMYFUNCTION("""COMPUTED_VALUE"""),"")</f>
        <v/>
      </c>
      <c r="K231" s="51"/>
      <c r="L231" s="51" t="s">
        <v>257</v>
      </c>
      <c r="M231" s="51"/>
      <c r="N231" s="51"/>
      <c r="O231" s="51"/>
      <c r="P231" s="51"/>
      <c r="Q231" s="51"/>
      <c r="R231" s="51"/>
      <c r="S231" s="51"/>
      <c r="T231" s="51"/>
    </row>
    <row r="232">
      <c r="A232" s="51"/>
      <c r="B232" s="51"/>
      <c r="C232" s="56"/>
      <c r="D232" s="51"/>
      <c r="E232" s="51"/>
      <c r="F232" s="51"/>
      <c r="G232" s="51" t="str">
        <f>IFERROR(__xludf.DUMMYFUNCTION("""COMPUTED_VALUE"""),"#VALUE!")</f>
        <v>#VALUE!</v>
      </c>
      <c r="H232" s="51" t="str">
        <f>IFERROR(__xludf.DUMMYFUNCTION("""COMPUTED_VALUE"""),"")</f>
        <v/>
      </c>
      <c r="I232" s="51" t="str">
        <f>IFERROR(__xludf.DUMMYFUNCTION("""COMPUTED_VALUE"""),"#VALUE!")</f>
        <v>#VALUE!</v>
      </c>
      <c r="J232" s="51" t="str">
        <f>IFERROR(__xludf.DUMMYFUNCTION("""COMPUTED_VALUE"""),"")</f>
        <v/>
      </c>
      <c r="K232" s="51"/>
      <c r="L232" s="51" t="s">
        <v>257</v>
      </c>
      <c r="M232" s="51"/>
      <c r="N232" s="51"/>
      <c r="O232" s="51"/>
      <c r="P232" s="51"/>
      <c r="Q232" s="51"/>
      <c r="R232" s="51"/>
      <c r="S232" s="51"/>
      <c r="T232" s="51"/>
    </row>
    <row r="233">
      <c r="A233" s="51"/>
      <c r="B233" s="51"/>
      <c r="C233" s="56"/>
      <c r="D233" s="51"/>
      <c r="E233" s="51"/>
      <c r="F233" s="51"/>
      <c r="G233" s="51" t="str">
        <f>IFERROR(__xludf.DUMMYFUNCTION("""COMPUTED_VALUE"""),"#VALUE!")</f>
        <v>#VALUE!</v>
      </c>
      <c r="H233" s="51" t="str">
        <f>IFERROR(__xludf.DUMMYFUNCTION("""COMPUTED_VALUE"""),"")</f>
        <v/>
      </c>
      <c r="I233" s="51" t="str">
        <f>IFERROR(__xludf.DUMMYFUNCTION("""COMPUTED_VALUE"""),"#VALUE!")</f>
        <v>#VALUE!</v>
      </c>
      <c r="J233" s="51" t="str">
        <f>IFERROR(__xludf.DUMMYFUNCTION("""COMPUTED_VALUE"""),"")</f>
        <v/>
      </c>
      <c r="K233" s="51"/>
      <c r="L233" s="51" t="s">
        <v>257</v>
      </c>
      <c r="M233" s="51"/>
      <c r="N233" s="51"/>
      <c r="O233" s="51"/>
      <c r="P233" s="51"/>
      <c r="Q233" s="51"/>
      <c r="R233" s="51"/>
      <c r="S233" s="51"/>
      <c r="T233" s="51"/>
    </row>
    <row r="234">
      <c r="A234" s="51"/>
      <c r="B234" s="51"/>
      <c r="C234" s="56"/>
      <c r="D234" s="51"/>
      <c r="E234" s="51"/>
      <c r="F234" s="51"/>
      <c r="G234" s="51" t="str">
        <f>IFERROR(__xludf.DUMMYFUNCTION("""COMPUTED_VALUE"""),"#VALUE!")</f>
        <v>#VALUE!</v>
      </c>
      <c r="H234" s="51" t="str">
        <f>IFERROR(__xludf.DUMMYFUNCTION("""COMPUTED_VALUE"""),"")</f>
        <v/>
      </c>
      <c r="I234" s="51" t="str">
        <f>IFERROR(__xludf.DUMMYFUNCTION("""COMPUTED_VALUE"""),"#VALUE!")</f>
        <v>#VALUE!</v>
      </c>
      <c r="J234" s="51" t="str">
        <f>IFERROR(__xludf.DUMMYFUNCTION("""COMPUTED_VALUE"""),"")</f>
        <v/>
      </c>
      <c r="K234" s="51"/>
      <c r="L234" s="51" t="s">
        <v>257</v>
      </c>
      <c r="M234" s="51"/>
      <c r="N234" s="51"/>
      <c r="O234" s="51"/>
      <c r="P234" s="51"/>
      <c r="Q234" s="51"/>
      <c r="R234" s="51"/>
      <c r="S234" s="51"/>
      <c r="T234" s="51"/>
    </row>
    <row r="235">
      <c r="A235" s="51"/>
      <c r="B235" s="51"/>
      <c r="C235" s="56"/>
      <c r="D235" s="51"/>
      <c r="E235" s="51"/>
      <c r="F235" s="51"/>
      <c r="G235" s="51" t="str">
        <f>IFERROR(__xludf.DUMMYFUNCTION("""COMPUTED_VALUE"""),"#VALUE!")</f>
        <v>#VALUE!</v>
      </c>
      <c r="H235" s="51" t="str">
        <f>IFERROR(__xludf.DUMMYFUNCTION("""COMPUTED_VALUE"""),"")</f>
        <v/>
      </c>
      <c r="I235" s="51" t="str">
        <f>IFERROR(__xludf.DUMMYFUNCTION("""COMPUTED_VALUE"""),"#VALUE!")</f>
        <v>#VALUE!</v>
      </c>
      <c r="J235" s="51" t="str">
        <f>IFERROR(__xludf.DUMMYFUNCTION("""COMPUTED_VALUE"""),"")</f>
        <v/>
      </c>
      <c r="K235" s="51"/>
      <c r="L235" s="51" t="s">
        <v>257</v>
      </c>
      <c r="M235" s="51"/>
      <c r="N235" s="51"/>
      <c r="O235" s="51"/>
      <c r="P235" s="51"/>
      <c r="Q235" s="51"/>
      <c r="R235" s="51"/>
      <c r="S235" s="51"/>
      <c r="T235" s="51"/>
    </row>
    <row r="236">
      <c r="A236" s="51"/>
      <c r="B236" s="51"/>
      <c r="C236" s="56"/>
      <c r="D236" s="51"/>
      <c r="E236" s="51"/>
      <c r="F236" s="51"/>
      <c r="G236" s="51" t="str">
        <f>IFERROR(__xludf.DUMMYFUNCTION("""COMPUTED_VALUE"""),"#VALUE!")</f>
        <v>#VALUE!</v>
      </c>
      <c r="H236" s="51" t="str">
        <f>IFERROR(__xludf.DUMMYFUNCTION("""COMPUTED_VALUE"""),"")</f>
        <v/>
      </c>
      <c r="I236" s="51" t="str">
        <f>IFERROR(__xludf.DUMMYFUNCTION("""COMPUTED_VALUE"""),"#VALUE!")</f>
        <v>#VALUE!</v>
      </c>
      <c r="J236" s="51" t="str">
        <f>IFERROR(__xludf.DUMMYFUNCTION("""COMPUTED_VALUE"""),"")</f>
        <v/>
      </c>
      <c r="K236" s="51"/>
      <c r="L236" s="51" t="s">
        <v>257</v>
      </c>
      <c r="M236" s="51"/>
      <c r="N236" s="51"/>
      <c r="O236" s="51"/>
      <c r="P236" s="51"/>
      <c r="Q236" s="51"/>
      <c r="R236" s="51"/>
      <c r="S236" s="51"/>
      <c r="T236" s="51"/>
    </row>
    <row r="237">
      <c r="A237" s="51"/>
      <c r="B237" s="51"/>
      <c r="C237" s="56"/>
      <c r="D237" s="51"/>
      <c r="E237" s="51"/>
      <c r="F237" s="51"/>
      <c r="G237" s="51" t="str">
        <f>IFERROR(__xludf.DUMMYFUNCTION("""COMPUTED_VALUE"""),"#VALUE!")</f>
        <v>#VALUE!</v>
      </c>
      <c r="H237" s="51" t="str">
        <f>IFERROR(__xludf.DUMMYFUNCTION("""COMPUTED_VALUE"""),"")</f>
        <v/>
      </c>
      <c r="I237" s="51" t="str">
        <f>IFERROR(__xludf.DUMMYFUNCTION("""COMPUTED_VALUE"""),"#VALUE!")</f>
        <v>#VALUE!</v>
      </c>
      <c r="J237" s="51" t="str">
        <f>IFERROR(__xludf.DUMMYFUNCTION("""COMPUTED_VALUE"""),"")</f>
        <v/>
      </c>
      <c r="K237" s="51"/>
      <c r="L237" s="51" t="s">
        <v>257</v>
      </c>
      <c r="M237" s="51"/>
      <c r="N237" s="51"/>
      <c r="O237" s="51"/>
      <c r="P237" s="51"/>
      <c r="Q237" s="51"/>
      <c r="R237" s="51"/>
      <c r="S237" s="51"/>
      <c r="T237" s="51"/>
    </row>
    <row r="238">
      <c r="A238" s="51"/>
      <c r="B238" s="51"/>
      <c r="C238" s="56"/>
      <c r="D238" s="51"/>
      <c r="E238" s="51"/>
      <c r="F238" s="51"/>
      <c r="G238" s="51" t="str">
        <f>IFERROR(__xludf.DUMMYFUNCTION("""COMPUTED_VALUE"""),"#VALUE!")</f>
        <v>#VALUE!</v>
      </c>
      <c r="H238" s="51" t="str">
        <f>IFERROR(__xludf.DUMMYFUNCTION("""COMPUTED_VALUE"""),"")</f>
        <v/>
      </c>
      <c r="I238" s="51" t="str">
        <f>IFERROR(__xludf.DUMMYFUNCTION("""COMPUTED_VALUE"""),"#VALUE!")</f>
        <v>#VALUE!</v>
      </c>
      <c r="J238" s="51" t="str">
        <f>IFERROR(__xludf.DUMMYFUNCTION("""COMPUTED_VALUE"""),"")</f>
        <v/>
      </c>
      <c r="K238" s="51"/>
      <c r="L238" s="51" t="s">
        <v>257</v>
      </c>
      <c r="M238" s="51"/>
      <c r="N238" s="51"/>
      <c r="O238" s="51"/>
      <c r="P238" s="51"/>
      <c r="Q238" s="51"/>
      <c r="R238" s="51"/>
      <c r="S238" s="51"/>
      <c r="T238" s="51"/>
    </row>
    <row r="239">
      <c r="A239" s="51"/>
      <c r="B239" s="51"/>
      <c r="C239" s="56"/>
      <c r="D239" s="51"/>
      <c r="E239" s="51"/>
      <c r="F239" s="51"/>
      <c r="G239" s="51" t="str">
        <f>IFERROR(__xludf.DUMMYFUNCTION("""COMPUTED_VALUE"""),"#VALUE!")</f>
        <v>#VALUE!</v>
      </c>
      <c r="H239" s="51" t="str">
        <f>IFERROR(__xludf.DUMMYFUNCTION("""COMPUTED_VALUE"""),"")</f>
        <v/>
      </c>
      <c r="I239" s="51" t="str">
        <f>IFERROR(__xludf.DUMMYFUNCTION("""COMPUTED_VALUE"""),"#VALUE!")</f>
        <v>#VALUE!</v>
      </c>
      <c r="J239" s="51" t="str">
        <f>IFERROR(__xludf.DUMMYFUNCTION("""COMPUTED_VALUE"""),"")</f>
        <v/>
      </c>
      <c r="K239" s="51"/>
      <c r="L239" s="51" t="s">
        <v>257</v>
      </c>
      <c r="M239" s="51"/>
      <c r="N239" s="51"/>
      <c r="O239" s="51"/>
      <c r="P239" s="51"/>
      <c r="Q239" s="51"/>
      <c r="R239" s="51"/>
      <c r="S239" s="51"/>
      <c r="T239" s="51"/>
    </row>
    <row r="240">
      <c r="A240" s="51"/>
      <c r="B240" s="51"/>
      <c r="C240" s="56"/>
      <c r="D240" s="51"/>
      <c r="E240" s="51"/>
      <c r="F240" s="51"/>
      <c r="G240" s="51" t="str">
        <f>IFERROR(__xludf.DUMMYFUNCTION("""COMPUTED_VALUE"""),"#VALUE!")</f>
        <v>#VALUE!</v>
      </c>
      <c r="H240" s="51" t="str">
        <f>IFERROR(__xludf.DUMMYFUNCTION("""COMPUTED_VALUE"""),"")</f>
        <v/>
      </c>
      <c r="I240" s="51" t="str">
        <f>IFERROR(__xludf.DUMMYFUNCTION("""COMPUTED_VALUE"""),"#VALUE!")</f>
        <v>#VALUE!</v>
      </c>
      <c r="J240" s="51" t="str">
        <f>IFERROR(__xludf.DUMMYFUNCTION("""COMPUTED_VALUE"""),"")</f>
        <v/>
      </c>
      <c r="K240" s="51"/>
      <c r="L240" s="51" t="s">
        <v>257</v>
      </c>
      <c r="M240" s="51"/>
      <c r="N240" s="51"/>
      <c r="O240" s="51"/>
      <c r="P240" s="51"/>
      <c r="Q240" s="51"/>
      <c r="R240" s="51"/>
      <c r="S240" s="51"/>
      <c r="T240" s="51"/>
    </row>
    <row r="241">
      <c r="A241" s="51"/>
      <c r="B241" s="51"/>
      <c r="C241" s="56"/>
      <c r="D241" s="51"/>
      <c r="E241" s="51"/>
      <c r="F241" s="51"/>
      <c r="G241" s="51" t="str">
        <f>IFERROR(__xludf.DUMMYFUNCTION("""COMPUTED_VALUE"""),"#VALUE!")</f>
        <v>#VALUE!</v>
      </c>
      <c r="H241" s="51" t="str">
        <f>IFERROR(__xludf.DUMMYFUNCTION("""COMPUTED_VALUE"""),"")</f>
        <v/>
      </c>
      <c r="I241" s="51" t="str">
        <f>IFERROR(__xludf.DUMMYFUNCTION("""COMPUTED_VALUE"""),"#VALUE!")</f>
        <v>#VALUE!</v>
      </c>
      <c r="J241" s="51" t="str">
        <f>IFERROR(__xludf.DUMMYFUNCTION("""COMPUTED_VALUE"""),"")</f>
        <v/>
      </c>
      <c r="K241" s="51"/>
      <c r="L241" s="51" t="s">
        <v>257</v>
      </c>
      <c r="M241" s="51"/>
      <c r="N241" s="51"/>
      <c r="O241" s="51"/>
      <c r="P241" s="51"/>
      <c r="Q241" s="51"/>
      <c r="R241" s="51"/>
      <c r="S241" s="51"/>
      <c r="T241" s="51"/>
    </row>
    <row r="242">
      <c r="A242" s="51"/>
      <c r="B242" s="51"/>
      <c r="C242" s="56"/>
      <c r="D242" s="51"/>
      <c r="E242" s="51"/>
      <c r="F242" s="51"/>
      <c r="G242" s="51" t="str">
        <f>IFERROR(__xludf.DUMMYFUNCTION("""COMPUTED_VALUE"""),"#VALUE!")</f>
        <v>#VALUE!</v>
      </c>
      <c r="H242" s="51" t="str">
        <f>IFERROR(__xludf.DUMMYFUNCTION("""COMPUTED_VALUE"""),"")</f>
        <v/>
      </c>
      <c r="I242" s="51" t="str">
        <f>IFERROR(__xludf.DUMMYFUNCTION("""COMPUTED_VALUE"""),"#VALUE!")</f>
        <v>#VALUE!</v>
      </c>
      <c r="J242" s="51" t="str">
        <f>IFERROR(__xludf.DUMMYFUNCTION("""COMPUTED_VALUE"""),"")</f>
        <v/>
      </c>
      <c r="K242" s="51"/>
      <c r="L242" s="51" t="s">
        <v>257</v>
      </c>
      <c r="M242" s="51"/>
      <c r="N242" s="51"/>
      <c r="O242" s="51"/>
      <c r="P242" s="51"/>
      <c r="Q242" s="51"/>
      <c r="R242" s="51"/>
      <c r="S242" s="51"/>
      <c r="T242" s="51"/>
    </row>
    <row r="243">
      <c r="A243" s="51"/>
      <c r="B243" s="51"/>
      <c r="C243" s="56"/>
      <c r="D243" s="51"/>
      <c r="E243" s="51"/>
      <c r="F243" s="51"/>
      <c r="G243" s="51" t="str">
        <f>IFERROR(__xludf.DUMMYFUNCTION("""COMPUTED_VALUE"""),"#VALUE!")</f>
        <v>#VALUE!</v>
      </c>
      <c r="H243" s="51" t="str">
        <f>IFERROR(__xludf.DUMMYFUNCTION("""COMPUTED_VALUE"""),"")</f>
        <v/>
      </c>
      <c r="I243" s="51" t="str">
        <f>IFERROR(__xludf.DUMMYFUNCTION("""COMPUTED_VALUE"""),"#VALUE!")</f>
        <v>#VALUE!</v>
      </c>
      <c r="J243" s="51" t="str">
        <f>IFERROR(__xludf.DUMMYFUNCTION("""COMPUTED_VALUE"""),"")</f>
        <v/>
      </c>
      <c r="K243" s="51"/>
      <c r="L243" s="51" t="s">
        <v>257</v>
      </c>
      <c r="M243" s="51"/>
      <c r="N243" s="51"/>
      <c r="O243" s="51"/>
      <c r="P243" s="51"/>
      <c r="Q243" s="51"/>
      <c r="R243" s="51"/>
      <c r="S243" s="51"/>
      <c r="T243" s="51"/>
    </row>
    <row r="244">
      <c r="A244" s="51"/>
      <c r="B244" s="51"/>
      <c r="C244" s="56"/>
      <c r="D244" s="51"/>
      <c r="E244" s="51"/>
      <c r="F244" s="51"/>
      <c r="G244" s="51" t="str">
        <f>IFERROR(__xludf.DUMMYFUNCTION("""COMPUTED_VALUE"""),"#VALUE!")</f>
        <v>#VALUE!</v>
      </c>
      <c r="H244" s="51" t="str">
        <f>IFERROR(__xludf.DUMMYFUNCTION("""COMPUTED_VALUE"""),"")</f>
        <v/>
      </c>
      <c r="I244" s="51" t="str">
        <f>IFERROR(__xludf.DUMMYFUNCTION("""COMPUTED_VALUE"""),"#VALUE!")</f>
        <v>#VALUE!</v>
      </c>
      <c r="J244" s="51" t="str">
        <f>IFERROR(__xludf.DUMMYFUNCTION("""COMPUTED_VALUE"""),"")</f>
        <v/>
      </c>
      <c r="K244" s="51"/>
      <c r="L244" s="51" t="s">
        <v>257</v>
      </c>
      <c r="M244" s="51"/>
      <c r="N244" s="51"/>
      <c r="O244" s="51"/>
      <c r="P244" s="51"/>
      <c r="Q244" s="51"/>
      <c r="R244" s="51"/>
      <c r="S244" s="51"/>
      <c r="T244" s="51"/>
    </row>
    <row r="245">
      <c r="A245" s="51"/>
      <c r="B245" s="51"/>
      <c r="C245" s="56"/>
      <c r="D245" s="51"/>
      <c r="E245" s="51"/>
      <c r="F245" s="51"/>
      <c r="G245" s="51" t="str">
        <f>IFERROR(__xludf.DUMMYFUNCTION("""COMPUTED_VALUE"""),"#VALUE!")</f>
        <v>#VALUE!</v>
      </c>
      <c r="H245" s="51" t="str">
        <f>IFERROR(__xludf.DUMMYFUNCTION("""COMPUTED_VALUE"""),"")</f>
        <v/>
      </c>
      <c r="I245" s="51" t="str">
        <f>IFERROR(__xludf.DUMMYFUNCTION("""COMPUTED_VALUE"""),"#VALUE!")</f>
        <v>#VALUE!</v>
      </c>
      <c r="J245" s="51" t="str">
        <f>IFERROR(__xludf.DUMMYFUNCTION("""COMPUTED_VALUE"""),"")</f>
        <v/>
      </c>
      <c r="K245" s="51"/>
      <c r="L245" s="51" t="s">
        <v>257</v>
      </c>
      <c r="M245" s="51"/>
      <c r="N245" s="51"/>
      <c r="O245" s="51"/>
      <c r="P245" s="51"/>
      <c r="Q245" s="51"/>
      <c r="R245" s="51"/>
      <c r="S245" s="51"/>
      <c r="T245" s="51"/>
    </row>
    <row r="246">
      <c r="A246" s="51"/>
      <c r="B246" s="51"/>
      <c r="C246" s="56"/>
      <c r="D246" s="51"/>
      <c r="E246" s="51"/>
      <c r="F246" s="51"/>
      <c r="G246" s="51" t="str">
        <f>IFERROR(__xludf.DUMMYFUNCTION("""COMPUTED_VALUE"""),"#VALUE!")</f>
        <v>#VALUE!</v>
      </c>
      <c r="H246" s="51" t="str">
        <f>IFERROR(__xludf.DUMMYFUNCTION("""COMPUTED_VALUE"""),"")</f>
        <v/>
      </c>
      <c r="I246" s="51" t="str">
        <f>IFERROR(__xludf.DUMMYFUNCTION("""COMPUTED_VALUE"""),"#VALUE!")</f>
        <v>#VALUE!</v>
      </c>
      <c r="J246" s="51" t="str">
        <f>IFERROR(__xludf.DUMMYFUNCTION("""COMPUTED_VALUE"""),"")</f>
        <v/>
      </c>
      <c r="K246" s="51"/>
      <c r="L246" s="51" t="s">
        <v>257</v>
      </c>
      <c r="M246" s="51"/>
      <c r="N246" s="51"/>
      <c r="O246" s="51"/>
      <c r="P246" s="51"/>
      <c r="Q246" s="51"/>
      <c r="R246" s="51"/>
      <c r="S246" s="51"/>
      <c r="T246" s="51"/>
    </row>
    <row r="247">
      <c r="A247" s="51"/>
      <c r="B247" s="51"/>
      <c r="C247" s="56"/>
      <c r="D247" s="51"/>
      <c r="E247" s="51"/>
      <c r="F247" s="51"/>
      <c r="G247" s="51" t="str">
        <f>IFERROR(__xludf.DUMMYFUNCTION("""COMPUTED_VALUE"""),"#VALUE!")</f>
        <v>#VALUE!</v>
      </c>
      <c r="H247" s="51" t="str">
        <f>IFERROR(__xludf.DUMMYFUNCTION("""COMPUTED_VALUE"""),"")</f>
        <v/>
      </c>
      <c r="I247" s="51" t="str">
        <f>IFERROR(__xludf.DUMMYFUNCTION("""COMPUTED_VALUE"""),"#VALUE!")</f>
        <v>#VALUE!</v>
      </c>
      <c r="J247" s="51" t="str">
        <f>IFERROR(__xludf.DUMMYFUNCTION("""COMPUTED_VALUE"""),"")</f>
        <v/>
      </c>
      <c r="K247" s="51"/>
      <c r="L247" s="51" t="s">
        <v>257</v>
      </c>
      <c r="M247" s="51"/>
      <c r="N247" s="51"/>
      <c r="O247" s="51"/>
      <c r="P247" s="51"/>
      <c r="Q247" s="51"/>
      <c r="R247" s="51"/>
      <c r="S247" s="51"/>
      <c r="T247" s="51"/>
    </row>
    <row r="248">
      <c r="A248" s="51"/>
      <c r="B248" s="51"/>
      <c r="C248" s="56"/>
      <c r="D248" s="51"/>
      <c r="E248" s="51"/>
      <c r="F248" s="51"/>
      <c r="G248" s="51" t="str">
        <f>IFERROR(__xludf.DUMMYFUNCTION("""COMPUTED_VALUE"""),"#VALUE!")</f>
        <v>#VALUE!</v>
      </c>
      <c r="H248" s="51" t="str">
        <f>IFERROR(__xludf.DUMMYFUNCTION("""COMPUTED_VALUE"""),"")</f>
        <v/>
      </c>
      <c r="I248" s="51" t="str">
        <f>IFERROR(__xludf.DUMMYFUNCTION("""COMPUTED_VALUE"""),"#VALUE!")</f>
        <v>#VALUE!</v>
      </c>
      <c r="J248" s="51" t="str">
        <f>IFERROR(__xludf.DUMMYFUNCTION("""COMPUTED_VALUE"""),"")</f>
        <v/>
      </c>
      <c r="K248" s="51"/>
      <c r="L248" s="51" t="s">
        <v>257</v>
      </c>
      <c r="M248" s="51"/>
      <c r="N248" s="51"/>
      <c r="O248" s="51"/>
      <c r="P248" s="51"/>
      <c r="Q248" s="51"/>
      <c r="R248" s="51"/>
      <c r="S248" s="51"/>
      <c r="T248" s="51"/>
    </row>
    <row r="249">
      <c r="A249" s="51"/>
      <c r="B249" s="51"/>
      <c r="C249" s="56"/>
      <c r="D249" s="51"/>
      <c r="E249" s="51"/>
      <c r="F249" s="51"/>
      <c r="G249" s="51" t="str">
        <f>IFERROR(__xludf.DUMMYFUNCTION("""COMPUTED_VALUE"""),"#VALUE!")</f>
        <v>#VALUE!</v>
      </c>
      <c r="H249" s="51" t="str">
        <f>IFERROR(__xludf.DUMMYFUNCTION("""COMPUTED_VALUE"""),"")</f>
        <v/>
      </c>
      <c r="I249" s="51" t="str">
        <f>IFERROR(__xludf.DUMMYFUNCTION("""COMPUTED_VALUE"""),"#VALUE!")</f>
        <v>#VALUE!</v>
      </c>
      <c r="J249" s="51" t="str">
        <f>IFERROR(__xludf.DUMMYFUNCTION("""COMPUTED_VALUE"""),"")</f>
        <v/>
      </c>
      <c r="K249" s="51"/>
      <c r="L249" s="51" t="s">
        <v>257</v>
      </c>
      <c r="M249" s="51"/>
      <c r="N249" s="51"/>
      <c r="O249" s="51"/>
      <c r="P249" s="51"/>
      <c r="Q249" s="51"/>
      <c r="R249" s="51"/>
      <c r="S249" s="51"/>
      <c r="T249" s="51"/>
    </row>
    <row r="250">
      <c r="A250" s="51"/>
      <c r="B250" s="51"/>
      <c r="C250" s="56"/>
      <c r="D250" s="51"/>
      <c r="E250" s="51"/>
      <c r="F250" s="51"/>
      <c r="G250" s="51" t="str">
        <f>IFERROR(__xludf.DUMMYFUNCTION("""COMPUTED_VALUE"""),"#VALUE!")</f>
        <v>#VALUE!</v>
      </c>
      <c r="H250" s="51" t="str">
        <f>IFERROR(__xludf.DUMMYFUNCTION("""COMPUTED_VALUE"""),"")</f>
        <v/>
      </c>
      <c r="I250" s="51" t="str">
        <f>IFERROR(__xludf.DUMMYFUNCTION("""COMPUTED_VALUE"""),"#VALUE!")</f>
        <v>#VALUE!</v>
      </c>
      <c r="J250" s="51" t="str">
        <f>IFERROR(__xludf.DUMMYFUNCTION("""COMPUTED_VALUE"""),"")</f>
        <v/>
      </c>
      <c r="K250" s="51"/>
      <c r="L250" s="51" t="s">
        <v>257</v>
      </c>
      <c r="M250" s="51"/>
      <c r="N250" s="51"/>
      <c r="O250" s="51"/>
      <c r="P250" s="51"/>
      <c r="Q250" s="51"/>
      <c r="R250" s="51"/>
      <c r="S250" s="51"/>
      <c r="T250" s="51"/>
    </row>
    <row r="251">
      <c r="A251" s="51"/>
      <c r="B251" s="51"/>
      <c r="C251" s="56"/>
      <c r="D251" s="51"/>
      <c r="E251" s="51"/>
      <c r="F251" s="51"/>
      <c r="G251" s="51" t="str">
        <f>IFERROR(__xludf.DUMMYFUNCTION("""COMPUTED_VALUE"""),"#VALUE!")</f>
        <v>#VALUE!</v>
      </c>
      <c r="H251" s="51" t="str">
        <f>IFERROR(__xludf.DUMMYFUNCTION("""COMPUTED_VALUE"""),"")</f>
        <v/>
      </c>
      <c r="I251" s="51" t="str">
        <f>IFERROR(__xludf.DUMMYFUNCTION("""COMPUTED_VALUE"""),"#VALUE!")</f>
        <v>#VALUE!</v>
      </c>
      <c r="J251" s="51" t="str">
        <f>IFERROR(__xludf.DUMMYFUNCTION("""COMPUTED_VALUE"""),"")</f>
        <v/>
      </c>
      <c r="K251" s="51"/>
      <c r="L251" s="51" t="s">
        <v>257</v>
      </c>
      <c r="M251" s="51"/>
      <c r="N251" s="51"/>
      <c r="O251" s="51"/>
      <c r="P251" s="51"/>
      <c r="Q251" s="51"/>
      <c r="R251" s="51"/>
      <c r="S251" s="51"/>
      <c r="T251" s="51"/>
    </row>
    <row r="252">
      <c r="A252" s="51"/>
      <c r="B252" s="51"/>
      <c r="C252" s="56"/>
      <c r="D252" s="51"/>
      <c r="E252" s="51"/>
      <c r="F252" s="51"/>
      <c r="G252" s="51" t="str">
        <f>IFERROR(__xludf.DUMMYFUNCTION("""COMPUTED_VALUE"""),"#VALUE!")</f>
        <v>#VALUE!</v>
      </c>
      <c r="H252" s="51" t="str">
        <f>IFERROR(__xludf.DUMMYFUNCTION("""COMPUTED_VALUE"""),"")</f>
        <v/>
      </c>
      <c r="I252" s="51" t="str">
        <f>IFERROR(__xludf.DUMMYFUNCTION("""COMPUTED_VALUE"""),"#VALUE!")</f>
        <v>#VALUE!</v>
      </c>
      <c r="J252" s="51" t="str">
        <f>IFERROR(__xludf.DUMMYFUNCTION("""COMPUTED_VALUE"""),"")</f>
        <v/>
      </c>
      <c r="K252" s="51"/>
      <c r="L252" s="51" t="s">
        <v>257</v>
      </c>
      <c r="M252" s="51"/>
      <c r="N252" s="51"/>
      <c r="O252" s="51"/>
      <c r="P252" s="51"/>
      <c r="Q252" s="51"/>
      <c r="R252" s="51"/>
      <c r="S252" s="51"/>
      <c r="T252" s="51"/>
    </row>
    <row r="253">
      <c r="A253" s="51"/>
      <c r="B253" s="51"/>
      <c r="C253" s="56"/>
      <c r="D253" s="51"/>
      <c r="E253" s="51"/>
      <c r="F253" s="51"/>
      <c r="G253" s="51" t="str">
        <f>IFERROR(__xludf.DUMMYFUNCTION("""COMPUTED_VALUE"""),"#VALUE!")</f>
        <v>#VALUE!</v>
      </c>
      <c r="H253" s="51" t="str">
        <f>IFERROR(__xludf.DUMMYFUNCTION("""COMPUTED_VALUE"""),"")</f>
        <v/>
      </c>
      <c r="I253" s="51" t="str">
        <f>IFERROR(__xludf.DUMMYFUNCTION("""COMPUTED_VALUE"""),"#VALUE!")</f>
        <v>#VALUE!</v>
      </c>
      <c r="J253" s="51" t="str">
        <f>IFERROR(__xludf.DUMMYFUNCTION("""COMPUTED_VALUE"""),"")</f>
        <v/>
      </c>
      <c r="K253" s="51"/>
      <c r="L253" s="51" t="s">
        <v>257</v>
      </c>
      <c r="M253" s="51"/>
      <c r="N253" s="51"/>
      <c r="O253" s="51"/>
      <c r="P253" s="51"/>
      <c r="Q253" s="51"/>
      <c r="R253" s="51"/>
      <c r="S253" s="51"/>
      <c r="T253" s="51"/>
    </row>
    <row r="254">
      <c r="A254" s="51"/>
      <c r="B254" s="51"/>
      <c r="C254" s="56"/>
      <c r="D254" s="51"/>
      <c r="E254" s="51"/>
      <c r="F254" s="51"/>
      <c r="G254" s="51" t="str">
        <f>IFERROR(__xludf.DUMMYFUNCTION("""COMPUTED_VALUE"""),"#VALUE!")</f>
        <v>#VALUE!</v>
      </c>
      <c r="H254" s="51" t="str">
        <f>IFERROR(__xludf.DUMMYFUNCTION("""COMPUTED_VALUE"""),"")</f>
        <v/>
      </c>
      <c r="I254" s="51" t="str">
        <f>IFERROR(__xludf.DUMMYFUNCTION("""COMPUTED_VALUE"""),"#VALUE!")</f>
        <v>#VALUE!</v>
      </c>
      <c r="J254" s="51" t="str">
        <f>IFERROR(__xludf.DUMMYFUNCTION("""COMPUTED_VALUE"""),"")</f>
        <v/>
      </c>
      <c r="K254" s="51"/>
      <c r="L254" s="51" t="s">
        <v>257</v>
      </c>
      <c r="M254" s="51"/>
      <c r="N254" s="51"/>
      <c r="O254" s="51"/>
      <c r="P254" s="51"/>
      <c r="Q254" s="51"/>
      <c r="R254" s="51"/>
      <c r="S254" s="51"/>
      <c r="T254" s="51"/>
    </row>
    <row r="255">
      <c r="A255" s="51"/>
      <c r="B255" s="51"/>
      <c r="C255" s="56"/>
      <c r="D255" s="51"/>
      <c r="E255" s="51"/>
      <c r="F255" s="51"/>
      <c r="G255" s="51" t="str">
        <f>IFERROR(__xludf.DUMMYFUNCTION("""COMPUTED_VALUE"""),"#VALUE!")</f>
        <v>#VALUE!</v>
      </c>
      <c r="H255" s="51" t="str">
        <f>IFERROR(__xludf.DUMMYFUNCTION("""COMPUTED_VALUE"""),"")</f>
        <v/>
      </c>
      <c r="I255" s="51" t="str">
        <f>IFERROR(__xludf.DUMMYFUNCTION("""COMPUTED_VALUE"""),"#VALUE!")</f>
        <v>#VALUE!</v>
      </c>
      <c r="J255" s="51" t="str">
        <f>IFERROR(__xludf.DUMMYFUNCTION("""COMPUTED_VALUE"""),"")</f>
        <v/>
      </c>
      <c r="K255" s="51"/>
      <c r="L255" s="51" t="s">
        <v>257</v>
      </c>
      <c r="M255" s="51"/>
      <c r="N255" s="51"/>
      <c r="O255" s="51"/>
      <c r="P255" s="51"/>
      <c r="Q255" s="51"/>
      <c r="R255" s="51"/>
      <c r="S255" s="51"/>
      <c r="T255" s="51"/>
    </row>
    <row r="256">
      <c r="A256" s="51"/>
      <c r="B256" s="51"/>
      <c r="C256" s="56"/>
      <c r="D256" s="51"/>
      <c r="E256" s="51"/>
      <c r="F256" s="51"/>
      <c r="G256" s="51" t="str">
        <f>IFERROR(__xludf.DUMMYFUNCTION("""COMPUTED_VALUE"""),"#VALUE!")</f>
        <v>#VALUE!</v>
      </c>
      <c r="H256" s="51" t="str">
        <f>IFERROR(__xludf.DUMMYFUNCTION("""COMPUTED_VALUE"""),"")</f>
        <v/>
      </c>
      <c r="I256" s="51" t="str">
        <f>IFERROR(__xludf.DUMMYFUNCTION("""COMPUTED_VALUE"""),"#VALUE!")</f>
        <v>#VALUE!</v>
      </c>
      <c r="J256" s="51" t="str">
        <f>IFERROR(__xludf.DUMMYFUNCTION("""COMPUTED_VALUE"""),"")</f>
        <v/>
      </c>
      <c r="K256" s="51"/>
      <c r="L256" s="51" t="s">
        <v>257</v>
      </c>
      <c r="M256" s="51"/>
      <c r="N256" s="51"/>
      <c r="O256" s="51"/>
      <c r="P256" s="51"/>
      <c r="Q256" s="51"/>
      <c r="R256" s="51"/>
      <c r="S256" s="51"/>
      <c r="T256" s="51"/>
    </row>
    <row r="257">
      <c r="A257" s="51"/>
      <c r="B257" s="51"/>
      <c r="C257" s="56"/>
      <c r="D257" s="51"/>
      <c r="E257" s="51"/>
      <c r="F257" s="51"/>
      <c r="G257" s="51" t="str">
        <f>IFERROR(__xludf.DUMMYFUNCTION("""COMPUTED_VALUE"""),"#VALUE!")</f>
        <v>#VALUE!</v>
      </c>
      <c r="H257" s="51" t="str">
        <f>IFERROR(__xludf.DUMMYFUNCTION("""COMPUTED_VALUE"""),"")</f>
        <v/>
      </c>
      <c r="I257" s="51" t="str">
        <f>IFERROR(__xludf.DUMMYFUNCTION("""COMPUTED_VALUE"""),"#VALUE!")</f>
        <v>#VALUE!</v>
      </c>
      <c r="J257" s="51" t="str">
        <f>IFERROR(__xludf.DUMMYFUNCTION("""COMPUTED_VALUE"""),"")</f>
        <v/>
      </c>
      <c r="K257" s="51"/>
      <c r="L257" s="51" t="s">
        <v>257</v>
      </c>
      <c r="M257" s="51"/>
      <c r="N257" s="51"/>
      <c r="O257" s="51"/>
      <c r="P257" s="51"/>
      <c r="Q257" s="51"/>
      <c r="R257" s="51"/>
      <c r="S257" s="51"/>
      <c r="T257" s="51"/>
    </row>
    <row r="258">
      <c r="A258" s="51"/>
      <c r="B258" s="51"/>
      <c r="C258" s="56"/>
      <c r="D258" s="51"/>
      <c r="E258" s="51"/>
      <c r="F258" s="51"/>
      <c r="G258" s="51" t="str">
        <f>IFERROR(__xludf.DUMMYFUNCTION("""COMPUTED_VALUE"""),"#VALUE!")</f>
        <v>#VALUE!</v>
      </c>
      <c r="H258" s="51" t="str">
        <f>IFERROR(__xludf.DUMMYFUNCTION("""COMPUTED_VALUE"""),"")</f>
        <v/>
      </c>
      <c r="I258" s="51" t="str">
        <f>IFERROR(__xludf.DUMMYFUNCTION("""COMPUTED_VALUE"""),"#VALUE!")</f>
        <v>#VALUE!</v>
      </c>
      <c r="J258" s="51" t="str">
        <f>IFERROR(__xludf.DUMMYFUNCTION("""COMPUTED_VALUE"""),"")</f>
        <v/>
      </c>
      <c r="K258" s="51"/>
      <c r="L258" s="51" t="s">
        <v>257</v>
      </c>
      <c r="M258" s="51"/>
      <c r="N258" s="51"/>
      <c r="O258" s="51"/>
      <c r="P258" s="51"/>
      <c r="Q258" s="51"/>
      <c r="R258" s="51"/>
      <c r="S258" s="51"/>
      <c r="T258" s="51"/>
    </row>
    <row r="259">
      <c r="A259" s="51"/>
      <c r="B259" s="51"/>
      <c r="C259" s="56"/>
      <c r="D259" s="51"/>
      <c r="E259" s="51"/>
      <c r="F259" s="51"/>
      <c r="G259" s="51" t="str">
        <f>IFERROR(__xludf.DUMMYFUNCTION("""COMPUTED_VALUE"""),"#VALUE!")</f>
        <v>#VALUE!</v>
      </c>
      <c r="H259" s="51" t="str">
        <f>IFERROR(__xludf.DUMMYFUNCTION("""COMPUTED_VALUE"""),"")</f>
        <v/>
      </c>
      <c r="I259" s="51" t="str">
        <f>IFERROR(__xludf.DUMMYFUNCTION("""COMPUTED_VALUE"""),"#VALUE!")</f>
        <v>#VALUE!</v>
      </c>
      <c r="J259" s="51" t="str">
        <f>IFERROR(__xludf.DUMMYFUNCTION("""COMPUTED_VALUE"""),"")</f>
        <v/>
      </c>
      <c r="K259" s="51"/>
      <c r="L259" s="51" t="s">
        <v>257</v>
      </c>
      <c r="M259" s="51"/>
      <c r="N259" s="51"/>
      <c r="O259" s="51"/>
      <c r="P259" s="51"/>
      <c r="Q259" s="51"/>
      <c r="R259" s="51"/>
      <c r="S259" s="51"/>
      <c r="T259" s="51"/>
    </row>
    <row r="260">
      <c r="A260" s="51"/>
      <c r="B260" s="51"/>
      <c r="C260" s="56"/>
      <c r="D260" s="51"/>
      <c r="E260" s="51"/>
      <c r="F260" s="51"/>
      <c r="G260" s="51" t="str">
        <f>IFERROR(__xludf.DUMMYFUNCTION("""COMPUTED_VALUE"""),"#VALUE!")</f>
        <v>#VALUE!</v>
      </c>
      <c r="H260" s="51" t="str">
        <f>IFERROR(__xludf.DUMMYFUNCTION("""COMPUTED_VALUE"""),"")</f>
        <v/>
      </c>
      <c r="I260" s="51" t="str">
        <f>IFERROR(__xludf.DUMMYFUNCTION("""COMPUTED_VALUE"""),"#VALUE!")</f>
        <v>#VALUE!</v>
      </c>
      <c r="J260" s="51" t="str">
        <f>IFERROR(__xludf.DUMMYFUNCTION("""COMPUTED_VALUE"""),"")</f>
        <v/>
      </c>
      <c r="K260" s="51"/>
      <c r="L260" s="51" t="s">
        <v>257</v>
      </c>
      <c r="M260" s="51"/>
      <c r="N260" s="51"/>
      <c r="O260" s="51"/>
      <c r="P260" s="51"/>
      <c r="Q260" s="51"/>
      <c r="R260" s="51"/>
      <c r="S260" s="51"/>
      <c r="T260" s="51"/>
    </row>
    <row r="261">
      <c r="A261" s="51"/>
      <c r="B261" s="51"/>
      <c r="C261" s="56"/>
      <c r="D261" s="51"/>
      <c r="E261" s="51"/>
      <c r="F261" s="51"/>
      <c r="G261" s="51" t="str">
        <f>IFERROR(__xludf.DUMMYFUNCTION("""COMPUTED_VALUE"""),"#VALUE!")</f>
        <v>#VALUE!</v>
      </c>
      <c r="H261" s="51" t="str">
        <f>IFERROR(__xludf.DUMMYFUNCTION("""COMPUTED_VALUE"""),"")</f>
        <v/>
      </c>
      <c r="I261" s="51" t="str">
        <f>IFERROR(__xludf.DUMMYFUNCTION("""COMPUTED_VALUE"""),"#VALUE!")</f>
        <v>#VALUE!</v>
      </c>
      <c r="J261" s="51" t="str">
        <f>IFERROR(__xludf.DUMMYFUNCTION("""COMPUTED_VALUE"""),"")</f>
        <v/>
      </c>
      <c r="K261" s="51"/>
      <c r="L261" s="51" t="s">
        <v>257</v>
      </c>
      <c r="M261" s="51"/>
      <c r="N261" s="51"/>
      <c r="O261" s="51"/>
      <c r="P261" s="51"/>
      <c r="Q261" s="51"/>
      <c r="R261" s="51"/>
      <c r="S261" s="51"/>
      <c r="T261" s="51"/>
    </row>
    <row r="262">
      <c r="A262" s="51"/>
      <c r="B262" s="51"/>
      <c r="C262" s="56"/>
      <c r="D262" s="51"/>
      <c r="E262" s="51"/>
      <c r="F262" s="51"/>
      <c r="G262" s="51" t="str">
        <f>IFERROR(__xludf.DUMMYFUNCTION("""COMPUTED_VALUE"""),"#VALUE!")</f>
        <v>#VALUE!</v>
      </c>
      <c r="H262" s="51" t="str">
        <f>IFERROR(__xludf.DUMMYFUNCTION("""COMPUTED_VALUE"""),"")</f>
        <v/>
      </c>
      <c r="I262" s="51" t="str">
        <f>IFERROR(__xludf.DUMMYFUNCTION("""COMPUTED_VALUE"""),"#VALUE!")</f>
        <v>#VALUE!</v>
      </c>
      <c r="J262" s="51" t="str">
        <f>IFERROR(__xludf.DUMMYFUNCTION("""COMPUTED_VALUE"""),"")</f>
        <v/>
      </c>
      <c r="K262" s="51"/>
      <c r="L262" s="51" t="s">
        <v>257</v>
      </c>
      <c r="M262" s="51"/>
      <c r="N262" s="51"/>
      <c r="O262" s="51"/>
      <c r="P262" s="51"/>
      <c r="Q262" s="51"/>
      <c r="R262" s="51"/>
      <c r="S262" s="51"/>
      <c r="T262" s="51"/>
    </row>
    <row r="263">
      <c r="A263" s="51"/>
      <c r="B263" s="51"/>
      <c r="C263" s="56"/>
      <c r="D263" s="51"/>
      <c r="E263" s="51"/>
      <c r="F263" s="51"/>
      <c r="G263" s="51" t="str">
        <f>IFERROR(__xludf.DUMMYFUNCTION("""COMPUTED_VALUE"""),"#VALUE!")</f>
        <v>#VALUE!</v>
      </c>
      <c r="H263" s="51" t="str">
        <f>IFERROR(__xludf.DUMMYFUNCTION("""COMPUTED_VALUE"""),"")</f>
        <v/>
      </c>
      <c r="I263" s="51" t="str">
        <f>IFERROR(__xludf.DUMMYFUNCTION("""COMPUTED_VALUE"""),"#VALUE!")</f>
        <v>#VALUE!</v>
      </c>
      <c r="J263" s="51" t="str">
        <f>IFERROR(__xludf.DUMMYFUNCTION("""COMPUTED_VALUE"""),"")</f>
        <v/>
      </c>
      <c r="K263" s="51"/>
      <c r="L263" s="51" t="s">
        <v>257</v>
      </c>
      <c r="M263" s="51"/>
      <c r="N263" s="51"/>
      <c r="O263" s="51"/>
      <c r="P263" s="51"/>
      <c r="Q263" s="51"/>
      <c r="R263" s="51"/>
      <c r="S263" s="51"/>
      <c r="T263" s="51"/>
    </row>
    <row r="264">
      <c r="A264" s="51"/>
      <c r="B264" s="51"/>
      <c r="C264" s="56"/>
      <c r="D264" s="51"/>
      <c r="E264" s="51"/>
      <c r="F264" s="51"/>
      <c r="G264" s="51" t="str">
        <f>IFERROR(__xludf.DUMMYFUNCTION("""COMPUTED_VALUE"""),"#VALUE!")</f>
        <v>#VALUE!</v>
      </c>
      <c r="H264" s="51" t="str">
        <f>IFERROR(__xludf.DUMMYFUNCTION("""COMPUTED_VALUE"""),"")</f>
        <v/>
      </c>
      <c r="I264" s="51" t="str">
        <f>IFERROR(__xludf.DUMMYFUNCTION("""COMPUTED_VALUE"""),"#VALUE!")</f>
        <v>#VALUE!</v>
      </c>
      <c r="J264" s="51" t="str">
        <f>IFERROR(__xludf.DUMMYFUNCTION("""COMPUTED_VALUE"""),"")</f>
        <v/>
      </c>
      <c r="K264" s="51"/>
      <c r="L264" s="51" t="s">
        <v>257</v>
      </c>
      <c r="M264" s="51"/>
      <c r="N264" s="51"/>
      <c r="O264" s="51"/>
      <c r="P264" s="51"/>
      <c r="Q264" s="51"/>
      <c r="R264" s="51"/>
      <c r="S264" s="51"/>
      <c r="T264" s="51"/>
    </row>
    <row r="265">
      <c r="A265" s="51"/>
      <c r="B265" s="51"/>
      <c r="C265" s="56"/>
      <c r="D265" s="51"/>
      <c r="E265" s="51"/>
      <c r="F265" s="51"/>
      <c r="G265" s="51" t="str">
        <f>IFERROR(__xludf.DUMMYFUNCTION("""COMPUTED_VALUE"""),"#VALUE!")</f>
        <v>#VALUE!</v>
      </c>
      <c r="H265" s="51" t="str">
        <f>IFERROR(__xludf.DUMMYFUNCTION("""COMPUTED_VALUE"""),"")</f>
        <v/>
      </c>
      <c r="I265" s="51" t="str">
        <f>IFERROR(__xludf.DUMMYFUNCTION("""COMPUTED_VALUE"""),"#VALUE!")</f>
        <v>#VALUE!</v>
      </c>
      <c r="J265" s="51" t="str">
        <f>IFERROR(__xludf.DUMMYFUNCTION("""COMPUTED_VALUE"""),"")</f>
        <v/>
      </c>
      <c r="K265" s="51"/>
      <c r="L265" s="51" t="s">
        <v>257</v>
      </c>
      <c r="M265" s="51"/>
      <c r="N265" s="51"/>
      <c r="O265" s="51"/>
      <c r="P265" s="51"/>
      <c r="Q265" s="51"/>
      <c r="R265" s="51"/>
      <c r="S265" s="51"/>
      <c r="T265" s="51"/>
    </row>
    <row r="266">
      <c r="A266" s="51"/>
      <c r="B266" s="51"/>
      <c r="C266" s="56"/>
      <c r="D266" s="51"/>
      <c r="E266" s="51"/>
      <c r="F266" s="51"/>
      <c r="G266" s="51" t="str">
        <f>IFERROR(__xludf.DUMMYFUNCTION("""COMPUTED_VALUE"""),"#VALUE!")</f>
        <v>#VALUE!</v>
      </c>
      <c r="H266" s="51" t="str">
        <f>IFERROR(__xludf.DUMMYFUNCTION("""COMPUTED_VALUE"""),"")</f>
        <v/>
      </c>
      <c r="I266" s="51" t="str">
        <f>IFERROR(__xludf.DUMMYFUNCTION("""COMPUTED_VALUE"""),"#VALUE!")</f>
        <v>#VALUE!</v>
      </c>
      <c r="J266" s="51" t="str">
        <f>IFERROR(__xludf.DUMMYFUNCTION("""COMPUTED_VALUE"""),"")</f>
        <v/>
      </c>
      <c r="K266" s="51"/>
      <c r="L266" s="51" t="s">
        <v>257</v>
      </c>
      <c r="M266" s="51"/>
      <c r="N266" s="51"/>
      <c r="O266" s="51"/>
      <c r="P266" s="51"/>
      <c r="Q266" s="51"/>
      <c r="R266" s="51"/>
      <c r="S266" s="51"/>
      <c r="T266" s="51"/>
    </row>
    <row r="267">
      <c r="A267" s="51"/>
      <c r="B267" s="51"/>
      <c r="C267" s="56"/>
      <c r="D267" s="51"/>
      <c r="E267" s="51"/>
      <c r="F267" s="51"/>
      <c r="G267" s="51" t="str">
        <f>IFERROR(__xludf.DUMMYFUNCTION("""COMPUTED_VALUE"""),"#VALUE!")</f>
        <v>#VALUE!</v>
      </c>
      <c r="H267" s="51" t="str">
        <f>IFERROR(__xludf.DUMMYFUNCTION("""COMPUTED_VALUE"""),"")</f>
        <v/>
      </c>
      <c r="I267" s="51" t="str">
        <f>IFERROR(__xludf.DUMMYFUNCTION("""COMPUTED_VALUE"""),"#VALUE!")</f>
        <v>#VALUE!</v>
      </c>
      <c r="J267" s="51" t="str">
        <f>IFERROR(__xludf.DUMMYFUNCTION("""COMPUTED_VALUE"""),"")</f>
        <v/>
      </c>
      <c r="K267" s="51"/>
      <c r="L267" s="51" t="s">
        <v>257</v>
      </c>
      <c r="M267" s="51"/>
      <c r="N267" s="51"/>
      <c r="O267" s="51"/>
      <c r="P267" s="51"/>
      <c r="Q267" s="51"/>
      <c r="R267" s="51"/>
      <c r="S267" s="51"/>
      <c r="T267" s="51"/>
    </row>
    <row r="268">
      <c r="A268" s="51"/>
      <c r="B268" s="51"/>
      <c r="C268" s="56"/>
      <c r="D268" s="51"/>
      <c r="E268" s="51"/>
      <c r="F268" s="51"/>
      <c r="G268" s="51" t="str">
        <f>IFERROR(__xludf.DUMMYFUNCTION("""COMPUTED_VALUE"""),"#VALUE!")</f>
        <v>#VALUE!</v>
      </c>
      <c r="H268" s="51" t="str">
        <f>IFERROR(__xludf.DUMMYFUNCTION("""COMPUTED_VALUE"""),"")</f>
        <v/>
      </c>
      <c r="I268" s="51" t="str">
        <f>IFERROR(__xludf.DUMMYFUNCTION("""COMPUTED_VALUE"""),"#VALUE!")</f>
        <v>#VALUE!</v>
      </c>
      <c r="J268" s="51" t="str">
        <f>IFERROR(__xludf.DUMMYFUNCTION("""COMPUTED_VALUE"""),"")</f>
        <v/>
      </c>
      <c r="K268" s="51"/>
      <c r="L268" s="51" t="s">
        <v>257</v>
      </c>
      <c r="M268" s="51"/>
      <c r="N268" s="51"/>
      <c r="O268" s="51"/>
      <c r="P268" s="51"/>
      <c r="Q268" s="51"/>
      <c r="R268" s="51"/>
      <c r="S268" s="51"/>
      <c r="T268" s="51"/>
    </row>
    <row r="269">
      <c r="A269" s="51"/>
      <c r="B269" s="51"/>
      <c r="C269" s="56"/>
      <c r="D269" s="51"/>
      <c r="E269" s="51"/>
      <c r="F269" s="51"/>
      <c r="G269" s="51" t="str">
        <f>IFERROR(__xludf.DUMMYFUNCTION("""COMPUTED_VALUE"""),"#VALUE!")</f>
        <v>#VALUE!</v>
      </c>
      <c r="H269" s="51" t="str">
        <f>IFERROR(__xludf.DUMMYFUNCTION("""COMPUTED_VALUE"""),"")</f>
        <v/>
      </c>
      <c r="I269" s="51" t="str">
        <f>IFERROR(__xludf.DUMMYFUNCTION("""COMPUTED_VALUE"""),"#VALUE!")</f>
        <v>#VALUE!</v>
      </c>
      <c r="J269" s="51" t="str">
        <f>IFERROR(__xludf.DUMMYFUNCTION("""COMPUTED_VALUE"""),"")</f>
        <v/>
      </c>
      <c r="K269" s="51"/>
      <c r="L269" s="51" t="s">
        <v>257</v>
      </c>
      <c r="M269" s="51"/>
      <c r="N269" s="51"/>
      <c r="O269" s="51"/>
      <c r="P269" s="51"/>
      <c r="Q269" s="51"/>
      <c r="R269" s="51"/>
      <c r="S269" s="51"/>
      <c r="T269" s="51"/>
    </row>
    <row r="270">
      <c r="A270" s="51"/>
      <c r="B270" s="51"/>
      <c r="C270" s="56"/>
      <c r="D270" s="51"/>
      <c r="E270" s="51"/>
      <c r="F270" s="51"/>
      <c r="G270" s="51" t="str">
        <f>IFERROR(__xludf.DUMMYFUNCTION("""COMPUTED_VALUE"""),"#VALUE!")</f>
        <v>#VALUE!</v>
      </c>
      <c r="H270" s="51" t="str">
        <f>IFERROR(__xludf.DUMMYFUNCTION("""COMPUTED_VALUE"""),"")</f>
        <v/>
      </c>
      <c r="I270" s="51" t="str">
        <f>IFERROR(__xludf.DUMMYFUNCTION("""COMPUTED_VALUE"""),"#VALUE!")</f>
        <v>#VALUE!</v>
      </c>
      <c r="J270" s="51" t="str">
        <f>IFERROR(__xludf.DUMMYFUNCTION("""COMPUTED_VALUE"""),"")</f>
        <v/>
      </c>
      <c r="K270" s="51"/>
      <c r="L270" s="51" t="s">
        <v>257</v>
      </c>
      <c r="M270" s="51"/>
      <c r="N270" s="51"/>
      <c r="O270" s="51"/>
      <c r="P270" s="51"/>
      <c r="Q270" s="51"/>
      <c r="R270" s="51"/>
      <c r="S270" s="51"/>
      <c r="T270" s="51"/>
    </row>
    <row r="271">
      <c r="A271" s="51"/>
      <c r="B271" s="51"/>
      <c r="C271" s="56"/>
      <c r="D271" s="51"/>
      <c r="E271" s="51"/>
      <c r="F271" s="51"/>
      <c r="G271" s="51" t="str">
        <f>IFERROR(__xludf.DUMMYFUNCTION("""COMPUTED_VALUE"""),"#VALUE!")</f>
        <v>#VALUE!</v>
      </c>
      <c r="H271" s="51" t="str">
        <f>IFERROR(__xludf.DUMMYFUNCTION("""COMPUTED_VALUE"""),"")</f>
        <v/>
      </c>
      <c r="I271" s="51" t="str">
        <f>IFERROR(__xludf.DUMMYFUNCTION("""COMPUTED_VALUE"""),"#VALUE!")</f>
        <v>#VALUE!</v>
      </c>
      <c r="J271" s="51" t="str">
        <f>IFERROR(__xludf.DUMMYFUNCTION("""COMPUTED_VALUE"""),"")</f>
        <v/>
      </c>
      <c r="K271" s="51"/>
      <c r="L271" s="51" t="s">
        <v>257</v>
      </c>
      <c r="M271" s="51"/>
      <c r="N271" s="51"/>
      <c r="O271" s="51"/>
      <c r="P271" s="51"/>
      <c r="Q271" s="51"/>
      <c r="R271" s="51"/>
      <c r="S271" s="51"/>
      <c r="T271" s="51"/>
    </row>
    <row r="272">
      <c r="A272" s="51"/>
      <c r="B272" s="51"/>
      <c r="C272" s="56"/>
      <c r="D272" s="51"/>
      <c r="E272" s="51"/>
      <c r="F272" s="51"/>
      <c r="G272" s="51" t="str">
        <f>IFERROR(__xludf.DUMMYFUNCTION("""COMPUTED_VALUE"""),"#VALUE!")</f>
        <v>#VALUE!</v>
      </c>
      <c r="H272" s="51" t="str">
        <f>IFERROR(__xludf.DUMMYFUNCTION("""COMPUTED_VALUE"""),"")</f>
        <v/>
      </c>
      <c r="I272" s="51" t="str">
        <f>IFERROR(__xludf.DUMMYFUNCTION("""COMPUTED_VALUE"""),"#VALUE!")</f>
        <v>#VALUE!</v>
      </c>
      <c r="J272" s="51" t="str">
        <f>IFERROR(__xludf.DUMMYFUNCTION("""COMPUTED_VALUE"""),"")</f>
        <v/>
      </c>
      <c r="K272" s="51"/>
      <c r="L272" s="51" t="s">
        <v>257</v>
      </c>
      <c r="M272" s="51"/>
      <c r="N272" s="51"/>
      <c r="O272" s="51"/>
      <c r="P272" s="51"/>
      <c r="Q272" s="51"/>
      <c r="R272" s="51"/>
      <c r="S272" s="51"/>
      <c r="T272" s="51"/>
    </row>
    <row r="273">
      <c r="A273" s="51"/>
      <c r="B273" s="51"/>
      <c r="C273" s="56"/>
      <c r="D273" s="51"/>
      <c r="E273" s="51"/>
      <c r="F273" s="51"/>
      <c r="G273" s="51" t="str">
        <f>IFERROR(__xludf.DUMMYFUNCTION("""COMPUTED_VALUE"""),"#VALUE!")</f>
        <v>#VALUE!</v>
      </c>
      <c r="H273" s="51" t="str">
        <f>IFERROR(__xludf.DUMMYFUNCTION("""COMPUTED_VALUE"""),"")</f>
        <v/>
      </c>
      <c r="I273" s="51" t="str">
        <f>IFERROR(__xludf.DUMMYFUNCTION("""COMPUTED_VALUE"""),"#VALUE!")</f>
        <v>#VALUE!</v>
      </c>
      <c r="J273" s="51" t="str">
        <f>IFERROR(__xludf.DUMMYFUNCTION("""COMPUTED_VALUE"""),"")</f>
        <v/>
      </c>
      <c r="K273" s="51"/>
      <c r="L273" s="51" t="s">
        <v>257</v>
      </c>
      <c r="M273" s="51"/>
      <c r="N273" s="51"/>
      <c r="O273" s="51"/>
      <c r="P273" s="51"/>
      <c r="Q273" s="51"/>
      <c r="R273" s="51"/>
      <c r="S273" s="51"/>
      <c r="T273" s="51"/>
    </row>
    <row r="274">
      <c r="A274" s="51"/>
      <c r="B274" s="51"/>
      <c r="C274" s="56"/>
      <c r="D274" s="51"/>
      <c r="E274" s="51"/>
      <c r="F274" s="51"/>
      <c r="G274" s="51" t="str">
        <f>IFERROR(__xludf.DUMMYFUNCTION("""COMPUTED_VALUE"""),"#VALUE!")</f>
        <v>#VALUE!</v>
      </c>
      <c r="H274" s="51" t="str">
        <f>IFERROR(__xludf.DUMMYFUNCTION("""COMPUTED_VALUE"""),"")</f>
        <v/>
      </c>
      <c r="I274" s="51" t="str">
        <f>IFERROR(__xludf.DUMMYFUNCTION("""COMPUTED_VALUE"""),"#VALUE!")</f>
        <v>#VALUE!</v>
      </c>
      <c r="J274" s="51" t="str">
        <f>IFERROR(__xludf.DUMMYFUNCTION("""COMPUTED_VALUE"""),"")</f>
        <v/>
      </c>
      <c r="K274" s="51"/>
      <c r="L274" s="51" t="s">
        <v>257</v>
      </c>
      <c r="M274" s="51"/>
      <c r="N274" s="51"/>
      <c r="O274" s="51"/>
      <c r="P274" s="51"/>
      <c r="Q274" s="51"/>
      <c r="R274" s="51"/>
      <c r="S274" s="51"/>
      <c r="T274" s="51"/>
    </row>
    <row r="275">
      <c r="A275" s="51"/>
      <c r="B275" s="51"/>
      <c r="C275" s="56"/>
      <c r="D275" s="51"/>
      <c r="E275" s="51"/>
      <c r="F275" s="51"/>
      <c r="G275" s="51" t="str">
        <f>IFERROR(__xludf.DUMMYFUNCTION("""COMPUTED_VALUE"""),"#VALUE!")</f>
        <v>#VALUE!</v>
      </c>
      <c r="H275" s="51" t="str">
        <f>IFERROR(__xludf.DUMMYFUNCTION("""COMPUTED_VALUE"""),"")</f>
        <v/>
      </c>
      <c r="I275" s="51" t="str">
        <f>IFERROR(__xludf.DUMMYFUNCTION("""COMPUTED_VALUE"""),"#VALUE!")</f>
        <v>#VALUE!</v>
      </c>
      <c r="J275" s="51" t="str">
        <f>IFERROR(__xludf.DUMMYFUNCTION("""COMPUTED_VALUE"""),"")</f>
        <v/>
      </c>
      <c r="K275" s="51"/>
      <c r="L275" s="51" t="s">
        <v>257</v>
      </c>
      <c r="M275" s="51"/>
      <c r="N275" s="51"/>
      <c r="O275" s="51"/>
      <c r="P275" s="51"/>
      <c r="Q275" s="51"/>
      <c r="R275" s="51"/>
      <c r="S275" s="51"/>
      <c r="T275" s="51"/>
    </row>
    <row r="276">
      <c r="A276" s="51"/>
      <c r="B276" s="51"/>
      <c r="C276" s="56"/>
      <c r="D276" s="51"/>
      <c r="E276" s="51"/>
      <c r="F276" s="51"/>
      <c r="G276" s="51" t="str">
        <f>IFERROR(__xludf.DUMMYFUNCTION("""COMPUTED_VALUE"""),"#VALUE!")</f>
        <v>#VALUE!</v>
      </c>
      <c r="H276" s="51" t="str">
        <f>IFERROR(__xludf.DUMMYFUNCTION("""COMPUTED_VALUE"""),"")</f>
        <v/>
      </c>
      <c r="I276" s="51" t="str">
        <f>IFERROR(__xludf.DUMMYFUNCTION("""COMPUTED_VALUE"""),"#VALUE!")</f>
        <v>#VALUE!</v>
      </c>
      <c r="J276" s="51" t="str">
        <f>IFERROR(__xludf.DUMMYFUNCTION("""COMPUTED_VALUE"""),"")</f>
        <v/>
      </c>
      <c r="K276" s="51"/>
      <c r="L276" s="51" t="s">
        <v>257</v>
      </c>
      <c r="M276" s="51"/>
      <c r="N276" s="51"/>
      <c r="O276" s="51"/>
      <c r="P276" s="51"/>
      <c r="Q276" s="51"/>
      <c r="R276" s="51"/>
      <c r="S276" s="51"/>
      <c r="T276" s="51"/>
    </row>
    <row r="277">
      <c r="A277" s="51"/>
      <c r="B277" s="51"/>
      <c r="C277" s="56"/>
      <c r="D277" s="51"/>
      <c r="E277" s="51"/>
      <c r="F277" s="51"/>
      <c r="G277" s="51" t="str">
        <f>IFERROR(__xludf.DUMMYFUNCTION("""COMPUTED_VALUE"""),"#VALUE!")</f>
        <v>#VALUE!</v>
      </c>
      <c r="H277" s="51" t="str">
        <f>IFERROR(__xludf.DUMMYFUNCTION("""COMPUTED_VALUE"""),"")</f>
        <v/>
      </c>
      <c r="I277" s="51" t="str">
        <f>IFERROR(__xludf.DUMMYFUNCTION("""COMPUTED_VALUE"""),"#VALUE!")</f>
        <v>#VALUE!</v>
      </c>
      <c r="J277" s="51" t="str">
        <f>IFERROR(__xludf.DUMMYFUNCTION("""COMPUTED_VALUE"""),"")</f>
        <v/>
      </c>
      <c r="K277" s="51"/>
      <c r="L277" s="51" t="s">
        <v>257</v>
      </c>
      <c r="M277" s="51"/>
      <c r="N277" s="51"/>
      <c r="O277" s="51"/>
      <c r="P277" s="51"/>
      <c r="Q277" s="51"/>
      <c r="R277" s="51"/>
      <c r="S277" s="51"/>
      <c r="T277" s="51"/>
    </row>
    <row r="278">
      <c r="A278" s="51"/>
      <c r="B278" s="51"/>
      <c r="C278" s="56"/>
      <c r="D278" s="51"/>
      <c r="E278" s="51"/>
      <c r="F278" s="51"/>
      <c r="G278" s="51" t="str">
        <f>IFERROR(__xludf.DUMMYFUNCTION("""COMPUTED_VALUE"""),"#VALUE!")</f>
        <v>#VALUE!</v>
      </c>
      <c r="H278" s="51" t="str">
        <f>IFERROR(__xludf.DUMMYFUNCTION("""COMPUTED_VALUE"""),"")</f>
        <v/>
      </c>
      <c r="I278" s="51" t="str">
        <f>IFERROR(__xludf.DUMMYFUNCTION("""COMPUTED_VALUE"""),"#VALUE!")</f>
        <v>#VALUE!</v>
      </c>
      <c r="J278" s="51" t="str">
        <f>IFERROR(__xludf.DUMMYFUNCTION("""COMPUTED_VALUE"""),"")</f>
        <v/>
      </c>
      <c r="K278" s="51"/>
      <c r="L278" s="51" t="s">
        <v>257</v>
      </c>
      <c r="M278" s="51"/>
      <c r="N278" s="51"/>
      <c r="O278" s="51"/>
      <c r="P278" s="51"/>
      <c r="Q278" s="51"/>
      <c r="R278" s="51"/>
      <c r="S278" s="51"/>
      <c r="T278" s="51"/>
    </row>
    <row r="279">
      <c r="A279" s="51"/>
      <c r="B279" s="51"/>
      <c r="C279" s="56"/>
      <c r="D279" s="51"/>
      <c r="E279" s="51"/>
      <c r="F279" s="51"/>
      <c r="G279" s="51" t="str">
        <f>IFERROR(__xludf.DUMMYFUNCTION("""COMPUTED_VALUE"""),"#VALUE!")</f>
        <v>#VALUE!</v>
      </c>
      <c r="H279" s="51" t="str">
        <f>IFERROR(__xludf.DUMMYFUNCTION("""COMPUTED_VALUE"""),"")</f>
        <v/>
      </c>
      <c r="I279" s="51" t="str">
        <f>IFERROR(__xludf.DUMMYFUNCTION("""COMPUTED_VALUE"""),"#VALUE!")</f>
        <v>#VALUE!</v>
      </c>
      <c r="J279" s="51" t="str">
        <f>IFERROR(__xludf.DUMMYFUNCTION("""COMPUTED_VALUE"""),"")</f>
        <v/>
      </c>
      <c r="K279" s="51"/>
      <c r="L279" s="51" t="s">
        <v>257</v>
      </c>
      <c r="M279" s="51"/>
      <c r="N279" s="51"/>
      <c r="O279" s="51"/>
      <c r="P279" s="51"/>
      <c r="Q279" s="51"/>
      <c r="R279" s="51"/>
      <c r="S279" s="51"/>
      <c r="T279" s="51"/>
    </row>
    <row r="280">
      <c r="A280" s="51"/>
      <c r="B280" s="51"/>
      <c r="C280" s="56"/>
      <c r="D280" s="51"/>
      <c r="E280" s="51"/>
      <c r="F280" s="51"/>
      <c r="G280" s="51" t="str">
        <f>IFERROR(__xludf.DUMMYFUNCTION("""COMPUTED_VALUE"""),"#VALUE!")</f>
        <v>#VALUE!</v>
      </c>
      <c r="H280" s="51" t="str">
        <f>IFERROR(__xludf.DUMMYFUNCTION("""COMPUTED_VALUE"""),"")</f>
        <v/>
      </c>
      <c r="I280" s="51" t="str">
        <f>IFERROR(__xludf.DUMMYFUNCTION("""COMPUTED_VALUE"""),"#VALUE!")</f>
        <v>#VALUE!</v>
      </c>
      <c r="J280" s="51" t="str">
        <f>IFERROR(__xludf.DUMMYFUNCTION("""COMPUTED_VALUE"""),"")</f>
        <v/>
      </c>
      <c r="K280" s="51"/>
      <c r="L280" s="51" t="s">
        <v>257</v>
      </c>
      <c r="M280" s="51"/>
      <c r="N280" s="51"/>
      <c r="O280" s="51"/>
      <c r="P280" s="51"/>
      <c r="Q280" s="51"/>
      <c r="R280" s="51"/>
      <c r="S280" s="51"/>
      <c r="T280" s="51"/>
    </row>
    <row r="281">
      <c r="A281" s="51"/>
      <c r="B281" s="51"/>
      <c r="C281" s="56"/>
      <c r="D281" s="51"/>
      <c r="E281" s="51"/>
      <c r="F281" s="51"/>
      <c r="G281" s="51" t="str">
        <f>IFERROR(__xludf.DUMMYFUNCTION("""COMPUTED_VALUE"""),"#VALUE!")</f>
        <v>#VALUE!</v>
      </c>
      <c r="H281" s="51" t="str">
        <f>IFERROR(__xludf.DUMMYFUNCTION("""COMPUTED_VALUE"""),"")</f>
        <v/>
      </c>
      <c r="I281" s="51" t="str">
        <f>IFERROR(__xludf.DUMMYFUNCTION("""COMPUTED_VALUE"""),"#VALUE!")</f>
        <v>#VALUE!</v>
      </c>
      <c r="J281" s="51" t="str">
        <f>IFERROR(__xludf.DUMMYFUNCTION("""COMPUTED_VALUE"""),"")</f>
        <v/>
      </c>
      <c r="K281" s="51"/>
      <c r="L281" s="51" t="s">
        <v>257</v>
      </c>
      <c r="M281" s="51"/>
      <c r="N281" s="51"/>
      <c r="O281" s="51"/>
      <c r="P281" s="51"/>
      <c r="Q281" s="51"/>
      <c r="R281" s="51"/>
      <c r="S281" s="51"/>
      <c r="T281" s="51"/>
    </row>
    <row r="282">
      <c r="A282" s="51"/>
      <c r="B282" s="51"/>
      <c r="C282" s="56"/>
      <c r="D282" s="51"/>
      <c r="E282" s="51"/>
      <c r="F282" s="51"/>
      <c r="G282" s="51" t="str">
        <f>IFERROR(__xludf.DUMMYFUNCTION("""COMPUTED_VALUE"""),"#VALUE!")</f>
        <v>#VALUE!</v>
      </c>
      <c r="H282" s="51" t="str">
        <f>IFERROR(__xludf.DUMMYFUNCTION("""COMPUTED_VALUE"""),"")</f>
        <v/>
      </c>
      <c r="I282" s="51" t="str">
        <f>IFERROR(__xludf.DUMMYFUNCTION("""COMPUTED_VALUE"""),"#VALUE!")</f>
        <v>#VALUE!</v>
      </c>
      <c r="J282" s="51" t="str">
        <f>IFERROR(__xludf.DUMMYFUNCTION("""COMPUTED_VALUE"""),"")</f>
        <v/>
      </c>
      <c r="K282" s="51"/>
      <c r="L282" s="51" t="s">
        <v>257</v>
      </c>
      <c r="M282" s="51"/>
      <c r="N282" s="51"/>
      <c r="O282" s="51"/>
      <c r="P282" s="51"/>
      <c r="Q282" s="51"/>
      <c r="R282" s="51"/>
      <c r="S282" s="51"/>
      <c r="T282" s="51"/>
    </row>
    <row r="283">
      <c r="A283" s="51"/>
      <c r="B283" s="51"/>
      <c r="C283" s="56"/>
      <c r="D283" s="51"/>
      <c r="E283" s="51"/>
      <c r="F283" s="51"/>
      <c r="G283" s="51" t="str">
        <f>IFERROR(__xludf.DUMMYFUNCTION("""COMPUTED_VALUE"""),"#VALUE!")</f>
        <v>#VALUE!</v>
      </c>
      <c r="H283" s="51" t="str">
        <f>IFERROR(__xludf.DUMMYFUNCTION("""COMPUTED_VALUE"""),"")</f>
        <v/>
      </c>
      <c r="I283" s="51" t="str">
        <f>IFERROR(__xludf.DUMMYFUNCTION("""COMPUTED_VALUE"""),"#VALUE!")</f>
        <v>#VALUE!</v>
      </c>
      <c r="J283" s="51" t="str">
        <f>IFERROR(__xludf.DUMMYFUNCTION("""COMPUTED_VALUE"""),"")</f>
        <v/>
      </c>
      <c r="K283" s="51"/>
      <c r="L283" s="51" t="s">
        <v>257</v>
      </c>
      <c r="M283" s="51"/>
      <c r="N283" s="51"/>
      <c r="O283" s="51"/>
      <c r="P283" s="51"/>
      <c r="Q283" s="51"/>
      <c r="R283" s="51"/>
      <c r="S283" s="51"/>
      <c r="T283" s="51"/>
    </row>
    <row r="284">
      <c r="A284" s="51"/>
      <c r="B284" s="51"/>
      <c r="C284" s="56"/>
      <c r="D284" s="51"/>
      <c r="E284" s="51"/>
      <c r="F284" s="51"/>
      <c r="G284" s="51" t="str">
        <f>IFERROR(__xludf.DUMMYFUNCTION("""COMPUTED_VALUE"""),"#VALUE!")</f>
        <v>#VALUE!</v>
      </c>
      <c r="H284" s="51" t="str">
        <f>IFERROR(__xludf.DUMMYFUNCTION("""COMPUTED_VALUE"""),"")</f>
        <v/>
      </c>
      <c r="I284" s="51" t="str">
        <f>IFERROR(__xludf.DUMMYFUNCTION("""COMPUTED_VALUE"""),"#VALUE!")</f>
        <v>#VALUE!</v>
      </c>
      <c r="J284" s="51" t="str">
        <f>IFERROR(__xludf.DUMMYFUNCTION("""COMPUTED_VALUE"""),"")</f>
        <v/>
      </c>
      <c r="K284" s="51"/>
      <c r="L284" s="51" t="s">
        <v>257</v>
      </c>
      <c r="M284" s="51"/>
      <c r="N284" s="51"/>
      <c r="O284" s="51"/>
      <c r="P284" s="51"/>
      <c r="Q284" s="51"/>
      <c r="R284" s="51"/>
      <c r="S284" s="51"/>
      <c r="T284" s="51"/>
    </row>
    <row r="285">
      <c r="A285" s="51"/>
      <c r="B285" s="51"/>
      <c r="C285" s="56"/>
      <c r="D285" s="51"/>
      <c r="E285" s="51"/>
      <c r="F285" s="51"/>
      <c r="G285" s="51" t="str">
        <f>IFERROR(__xludf.DUMMYFUNCTION("""COMPUTED_VALUE"""),"#VALUE!")</f>
        <v>#VALUE!</v>
      </c>
      <c r="H285" s="51" t="str">
        <f>IFERROR(__xludf.DUMMYFUNCTION("""COMPUTED_VALUE"""),"")</f>
        <v/>
      </c>
      <c r="I285" s="51" t="str">
        <f>IFERROR(__xludf.DUMMYFUNCTION("""COMPUTED_VALUE"""),"#VALUE!")</f>
        <v>#VALUE!</v>
      </c>
      <c r="J285" s="51" t="str">
        <f>IFERROR(__xludf.DUMMYFUNCTION("""COMPUTED_VALUE"""),"")</f>
        <v/>
      </c>
      <c r="K285" s="51"/>
      <c r="L285" s="51" t="s">
        <v>257</v>
      </c>
      <c r="M285" s="51"/>
      <c r="N285" s="51"/>
      <c r="O285" s="51"/>
      <c r="P285" s="51"/>
      <c r="Q285" s="51"/>
      <c r="R285" s="51"/>
      <c r="S285" s="51"/>
      <c r="T285" s="51"/>
    </row>
    <row r="286">
      <c r="A286" s="51"/>
      <c r="B286" s="51"/>
      <c r="C286" s="56"/>
      <c r="D286" s="51"/>
      <c r="E286" s="51"/>
      <c r="F286" s="51"/>
      <c r="G286" s="51" t="str">
        <f>IFERROR(__xludf.DUMMYFUNCTION("""COMPUTED_VALUE"""),"#VALUE!")</f>
        <v>#VALUE!</v>
      </c>
      <c r="H286" s="51" t="str">
        <f>IFERROR(__xludf.DUMMYFUNCTION("""COMPUTED_VALUE"""),"")</f>
        <v/>
      </c>
      <c r="I286" s="51" t="str">
        <f>IFERROR(__xludf.DUMMYFUNCTION("""COMPUTED_VALUE"""),"#VALUE!")</f>
        <v>#VALUE!</v>
      </c>
      <c r="J286" s="51" t="str">
        <f>IFERROR(__xludf.DUMMYFUNCTION("""COMPUTED_VALUE"""),"")</f>
        <v/>
      </c>
      <c r="K286" s="51"/>
      <c r="L286" s="51" t="s">
        <v>257</v>
      </c>
      <c r="M286" s="51"/>
      <c r="N286" s="51"/>
      <c r="O286" s="51"/>
      <c r="P286" s="51"/>
      <c r="Q286" s="51"/>
      <c r="R286" s="51"/>
      <c r="S286" s="51"/>
      <c r="T286" s="51"/>
    </row>
    <row r="287">
      <c r="A287" s="51"/>
      <c r="B287" s="51"/>
      <c r="C287" s="56"/>
      <c r="D287" s="51"/>
      <c r="E287" s="51"/>
      <c r="F287" s="51"/>
      <c r="G287" s="51" t="str">
        <f>IFERROR(__xludf.DUMMYFUNCTION("""COMPUTED_VALUE"""),"#VALUE!")</f>
        <v>#VALUE!</v>
      </c>
      <c r="H287" s="51" t="str">
        <f>IFERROR(__xludf.DUMMYFUNCTION("""COMPUTED_VALUE"""),"")</f>
        <v/>
      </c>
      <c r="I287" s="51" t="str">
        <f>IFERROR(__xludf.DUMMYFUNCTION("""COMPUTED_VALUE"""),"#VALUE!")</f>
        <v>#VALUE!</v>
      </c>
      <c r="J287" s="51" t="str">
        <f>IFERROR(__xludf.DUMMYFUNCTION("""COMPUTED_VALUE"""),"")</f>
        <v/>
      </c>
      <c r="K287" s="51"/>
      <c r="L287" s="51" t="s">
        <v>257</v>
      </c>
      <c r="M287" s="51"/>
      <c r="N287" s="51"/>
      <c r="O287" s="51"/>
      <c r="P287" s="51"/>
      <c r="Q287" s="51"/>
      <c r="R287" s="51"/>
      <c r="S287" s="51"/>
      <c r="T287" s="51"/>
    </row>
    <row r="288">
      <c r="A288" s="51"/>
      <c r="B288" s="51"/>
      <c r="C288" s="56"/>
      <c r="D288" s="51"/>
      <c r="E288" s="51"/>
      <c r="F288" s="51"/>
      <c r="G288" s="51" t="str">
        <f>IFERROR(__xludf.DUMMYFUNCTION("""COMPUTED_VALUE"""),"#VALUE!")</f>
        <v>#VALUE!</v>
      </c>
      <c r="H288" s="51" t="str">
        <f>IFERROR(__xludf.DUMMYFUNCTION("""COMPUTED_VALUE"""),"")</f>
        <v/>
      </c>
      <c r="I288" s="51" t="str">
        <f>IFERROR(__xludf.DUMMYFUNCTION("""COMPUTED_VALUE"""),"#VALUE!")</f>
        <v>#VALUE!</v>
      </c>
      <c r="J288" s="51" t="str">
        <f>IFERROR(__xludf.DUMMYFUNCTION("""COMPUTED_VALUE"""),"")</f>
        <v/>
      </c>
      <c r="K288" s="51"/>
      <c r="L288" s="51" t="s">
        <v>257</v>
      </c>
      <c r="M288" s="51"/>
      <c r="N288" s="51"/>
      <c r="O288" s="51"/>
      <c r="P288" s="51"/>
      <c r="Q288" s="51"/>
      <c r="R288" s="51"/>
      <c r="S288" s="51"/>
      <c r="T288" s="51"/>
    </row>
    <row r="289">
      <c r="A289" s="51"/>
      <c r="B289" s="51"/>
      <c r="C289" s="56"/>
      <c r="D289" s="51"/>
      <c r="E289" s="51"/>
      <c r="F289" s="51"/>
      <c r="G289" s="51" t="str">
        <f>IFERROR(__xludf.DUMMYFUNCTION("""COMPUTED_VALUE"""),"#VALUE!")</f>
        <v>#VALUE!</v>
      </c>
      <c r="H289" s="51" t="str">
        <f>IFERROR(__xludf.DUMMYFUNCTION("""COMPUTED_VALUE"""),"")</f>
        <v/>
      </c>
      <c r="I289" s="51" t="str">
        <f>IFERROR(__xludf.DUMMYFUNCTION("""COMPUTED_VALUE"""),"#VALUE!")</f>
        <v>#VALUE!</v>
      </c>
      <c r="J289" s="51" t="str">
        <f>IFERROR(__xludf.DUMMYFUNCTION("""COMPUTED_VALUE"""),"")</f>
        <v/>
      </c>
      <c r="K289" s="51"/>
      <c r="L289" s="51" t="s">
        <v>257</v>
      </c>
      <c r="M289" s="51"/>
      <c r="N289" s="51"/>
      <c r="O289" s="51"/>
      <c r="P289" s="51"/>
      <c r="Q289" s="51"/>
      <c r="R289" s="51"/>
      <c r="S289" s="51"/>
      <c r="T289" s="51"/>
    </row>
    <row r="290">
      <c r="A290" s="51"/>
      <c r="B290" s="51"/>
      <c r="C290" s="56"/>
      <c r="D290" s="51"/>
      <c r="E290" s="51"/>
      <c r="F290" s="51"/>
      <c r="G290" s="51" t="str">
        <f>IFERROR(__xludf.DUMMYFUNCTION("""COMPUTED_VALUE"""),"#VALUE!")</f>
        <v>#VALUE!</v>
      </c>
      <c r="H290" s="51" t="str">
        <f>IFERROR(__xludf.DUMMYFUNCTION("""COMPUTED_VALUE"""),"")</f>
        <v/>
      </c>
      <c r="I290" s="51" t="str">
        <f>IFERROR(__xludf.DUMMYFUNCTION("""COMPUTED_VALUE"""),"#VALUE!")</f>
        <v>#VALUE!</v>
      </c>
      <c r="J290" s="51" t="str">
        <f>IFERROR(__xludf.DUMMYFUNCTION("""COMPUTED_VALUE"""),"")</f>
        <v/>
      </c>
      <c r="K290" s="51"/>
      <c r="L290" s="51" t="s">
        <v>257</v>
      </c>
      <c r="M290" s="51"/>
      <c r="N290" s="51"/>
      <c r="O290" s="51"/>
      <c r="P290" s="51"/>
      <c r="Q290" s="51"/>
      <c r="R290" s="51"/>
      <c r="S290" s="51"/>
      <c r="T290" s="51"/>
    </row>
    <row r="291">
      <c r="A291" s="51"/>
      <c r="B291" s="51"/>
      <c r="C291" s="56"/>
      <c r="D291" s="51"/>
      <c r="E291" s="51"/>
      <c r="F291" s="51"/>
      <c r="G291" s="51" t="str">
        <f>IFERROR(__xludf.DUMMYFUNCTION("""COMPUTED_VALUE"""),"#VALUE!")</f>
        <v>#VALUE!</v>
      </c>
      <c r="H291" s="51" t="str">
        <f>IFERROR(__xludf.DUMMYFUNCTION("""COMPUTED_VALUE"""),"")</f>
        <v/>
      </c>
      <c r="I291" s="51" t="str">
        <f>IFERROR(__xludf.DUMMYFUNCTION("""COMPUTED_VALUE"""),"#VALUE!")</f>
        <v>#VALUE!</v>
      </c>
      <c r="J291" s="51" t="str">
        <f>IFERROR(__xludf.DUMMYFUNCTION("""COMPUTED_VALUE"""),"")</f>
        <v/>
      </c>
      <c r="K291" s="51"/>
      <c r="L291" s="51" t="s">
        <v>257</v>
      </c>
      <c r="M291" s="51"/>
      <c r="N291" s="51"/>
      <c r="O291" s="51"/>
      <c r="P291" s="51"/>
      <c r="Q291" s="51"/>
      <c r="R291" s="51"/>
      <c r="S291" s="51"/>
      <c r="T291" s="51"/>
    </row>
    <row r="292">
      <c r="A292" s="51"/>
      <c r="B292" s="51"/>
      <c r="C292" s="56"/>
      <c r="D292" s="51"/>
      <c r="E292" s="51"/>
      <c r="F292" s="51"/>
      <c r="G292" s="51" t="str">
        <f>IFERROR(__xludf.DUMMYFUNCTION("""COMPUTED_VALUE"""),"#VALUE!")</f>
        <v>#VALUE!</v>
      </c>
      <c r="H292" s="51" t="str">
        <f>IFERROR(__xludf.DUMMYFUNCTION("""COMPUTED_VALUE"""),"")</f>
        <v/>
      </c>
      <c r="I292" s="51" t="str">
        <f>IFERROR(__xludf.DUMMYFUNCTION("""COMPUTED_VALUE"""),"#VALUE!")</f>
        <v>#VALUE!</v>
      </c>
      <c r="J292" s="51" t="str">
        <f>IFERROR(__xludf.DUMMYFUNCTION("""COMPUTED_VALUE"""),"")</f>
        <v/>
      </c>
      <c r="K292" s="51"/>
      <c r="L292" s="51" t="s">
        <v>257</v>
      </c>
      <c r="M292" s="51"/>
      <c r="N292" s="51"/>
      <c r="O292" s="51"/>
      <c r="P292" s="51"/>
      <c r="Q292" s="51"/>
      <c r="R292" s="51"/>
      <c r="S292" s="51"/>
      <c r="T292" s="51"/>
    </row>
    <row r="293">
      <c r="A293" s="51"/>
      <c r="B293" s="51"/>
      <c r="C293" s="56"/>
      <c r="D293" s="51"/>
      <c r="E293" s="51"/>
      <c r="F293" s="51"/>
      <c r="G293" s="51" t="str">
        <f>IFERROR(__xludf.DUMMYFUNCTION("""COMPUTED_VALUE"""),"#VALUE!")</f>
        <v>#VALUE!</v>
      </c>
      <c r="H293" s="51" t="str">
        <f>IFERROR(__xludf.DUMMYFUNCTION("""COMPUTED_VALUE"""),"")</f>
        <v/>
      </c>
      <c r="I293" s="51" t="str">
        <f>IFERROR(__xludf.DUMMYFUNCTION("""COMPUTED_VALUE"""),"#VALUE!")</f>
        <v>#VALUE!</v>
      </c>
      <c r="J293" s="51" t="str">
        <f>IFERROR(__xludf.DUMMYFUNCTION("""COMPUTED_VALUE"""),"")</f>
        <v/>
      </c>
      <c r="K293" s="51"/>
      <c r="L293" s="51" t="s">
        <v>257</v>
      </c>
      <c r="M293" s="51"/>
      <c r="N293" s="51"/>
      <c r="O293" s="51"/>
      <c r="P293" s="51"/>
      <c r="Q293" s="51"/>
      <c r="R293" s="51"/>
      <c r="S293" s="51"/>
      <c r="T293" s="51"/>
    </row>
    <row r="294">
      <c r="A294" s="51"/>
      <c r="B294" s="51"/>
      <c r="C294" s="56"/>
      <c r="D294" s="51"/>
      <c r="E294" s="51"/>
      <c r="F294" s="51"/>
      <c r="G294" s="51" t="str">
        <f>IFERROR(__xludf.DUMMYFUNCTION("""COMPUTED_VALUE"""),"#VALUE!")</f>
        <v>#VALUE!</v>
      </c>
      <c r="H294" s="51" t="str">
        <f>IFERROR(__xludf.DUMMYFUNCTION("""COMPUTED_VALUE"""),"")</f>
        <v/>
      </c>
      <c r="I294" s="51" t="str">
        <f>IFERROR(__xludf.DUMMYFUNCTION("""COMPUTED_VALUE"""),"#VALUE!")</f>
        <v>#VALUE!</v>
      </c>
      <c r="J294" s="51" t="str">
        <f>IFERROR(__xludf.DUMMYFUNCTION("""COMPUTED_VALUE"""),"")</f>
        <v/>
      </c>
      <c r="K294" s="51"/>
      <c r="L294" s="51" t="s">
        <v>257</v>
      </c>
      <c r="M294" s="51"/>
      <c r="N294" s="51"/>
      <c r="O294" s="51"/>
      <c r="P294" s="51"/>
      <c r="Q294" s="51"/>
      <c r="R294" s="51"/>
      <c r="S294" s="51"/>
      <c r="T294" s="51"/>
    </row>
    <row r="295">
      <c r="A295" s="51"/>
      <c r="B295" s="51"/>
      <c r="C295" s="56"/>
      <c r="D295" s="51"/>
      <c r="E295" s="51"/>
      <c r="F295" s="51"/>
      <c r="G295" s="51" t="str">
        <f>IFERROR(__xludf.DUMMYFUNCTION("""COMPUTED_VALUE"""),"#VALUE!")</f>
        <v>#VALUE!</v>
      </c>
      <c r="H295" s="51" t="str">
        <f>IFERROR(__xludf.DUMMYFUNCTION("""COMPUTED_VALUE"""),"")</f>
        <v/>
      </c>
      <c r="I295" s="51" t="str">
        <f>IFERROR(__xludf.DUMMYFUNCTION("""COMPUTED_VALUE"""),"#VALUE!")</f>
        <v>#VALUE!</v>
      </c>
      <c r="J295" s="51" t="str">
        <f>IFERROR(__xludf.DUMMYFUNCTION("""COMPUTED_VALUE"""),"")</f>
        <v/>
      </c>
      <c r="K295" s="51"/>
      <c r="L295" s="51" t="s">
        <v>257</v>
      </c>
      <c r="M295" s="51"/>
      <c r="N295" s="51"/>
      <c r="O295" s="51"/>
      <c r="P295" s="51"/>
      <c r="Q295" s="51"/>
      <c r="R295" s="51"/>
      <c r="S295" s="51"/>
      <c r="T295" s="51"/>
    </row>
    <row r="296">
      <c r="A296" s="51"/>
      <c r="B296" s="51"/>
      <c r="C296" s="56"/>
      <c r="D296" s="51"/>
      <c r="E296" s="51"/>
      <c r="F296" s="51"/>
      <c r="G296" s="51" t="str">
        <f>IFERROR(__xludf.DUMMYFUNCTION("""COMPUTED_VALUE"""),"#VALUE!")</f>
        <v>#VALUE!</v>
      </c>
      <c r="H296" s="51" t="str">
        <f>IFERROR(__xludf.DUMMYFUNCTION("""COMPUTED_VALUE"""),"")</f>
        <v/>
      </c>
      <c r="I296" s="51" t="str">
        <f>IFERROR(__xludf.DUMMYFUNCTION("""COMPUTED_VALUE"""),"#VALUE!")</f>
        <v>#VALUE!</v>
      </c>
      <c r="J296" s="51" t="str">
        <f>IFERROR(__xludf.DUMMYFUNCTION("""COMPUTED_VALUE"""),"")</f>
        <v/>
      </c>
      <c r="K296" s="51"/>
      <c r="L296" s="51" t="s">
        <v>257</v>
      </c>
      <c r="M296" s="51"/>
      <c r="N296" s="51"/>
      <c r="O296" s="51"/>
      <c r="P296" s="51"/>
      <c r="Q296" s="51"/>
      <c r="R296" s="51"/>
      <c r="S296" s="51"/>
      <c r="T296" s="51"/>
    </row>
    <row r="297">
      <c r="A297" s="51"/>
      <c r="B297" s="51"/>
      <c r="C297" s="56"/>
      <c r="D297" s="51"/>
      <c r="E297" s="51"/>
      <c r="F297" s="51"/>
      <c r="G297" s="51" t="str">
        <f>IFERROR(__xludf.DUMMYFUNCTION("""COMPUTED_VALUE"""),"#VALUE!")</f>
        <v>#VALUE!</v>
      </c>
      <c r="H297" s="51" t="str">
        <f>IFERROR(__xludf.DUMMYFUNCTION("""COMPUTED_VALUE"""),"")</f>
        <v/>
      </c>
      <c r="I297" s="51" t="str">
        <f>IFERROR(__xludf.DUMMYFUNCTION("""COMPUTED_VALUE"""),"#VALUE!")</f>
        <v>#VALUE!</v>
      </c>
      <c r="J297" s="51" t="str">
        <f>IFERROR(__xludf.DUMMYFUNCTION("""COMPUTED_VALUE"""),"")</f>
        <v/>
      </c>
      <c r="K297" s="51"/>
      <c r="L297" s="51" t="s">
        <v>257</v>
      </c>
      <c r="M297" s="51"/>
      <c r="N297" s="51"/>
      <c r="O297" s="51"/>
      <c r="P297" s="51"/>
      <c r="Q297" s="51"/>
      <c r="R297" s="51"/>
      <c r="S297" s="51"/>
      <c r="T297" s="51"/>
    </row>
    <row r="298">
      <c r="A298" s="51"/>
      <c r="B298" s="51"/>
      <c r="C298" s="56"/>
      <c r="D298" s="51"/>
      <c r="E298" s="51"/>
      <c r="F298" s="51"/>
      <c r="G298" s="51" t="str">
        <f>IFERROR(__xludf.DUMMYFUNCTION("""COMPUTED_VALUE"""),"#VALUE!")</f>
        <v>#VALUE!</v>
      </c>
      <c r="H298" s="51" t="str">
        <f>IFERROR(__xludf.DUMMYFUNCTION("""COMPUTED_VALUE"""),"")</f>
        <v/>
      </c>
      <c r="I298" s="51" t="str">
        <f>IFERROR(__xludf.DUMMYFUNCTION("""COMPUTED_VALUE"""),"#VALUE!")</f>
        <v>#VALUE!</v>
      </c>
      <c r="J298" s="51" t="str">
        <f>IFERROR(__xludf.DUMMYFUNCTION("""COMPUTED_VALUE"""),"")</f>
        <v/>
      </c>
      <c r="K298" s="51"/>
      <c r="L298" s="51" t="s">
        <v>257</v>
      </c>
      <c r="M298" s="51"/>
      <c r="N298" s="51"/>
      <c r="O298" s="51"/>
      <c r="P298" s="51"/>
      <c r="Q298" s="51"/>
      <c r="R298" s="51"/>
      <c r="S298" s="51"/>
      <c r="T298" s="51"/>
    </row>
    <row r="299">
      <c r="A299" s="51"/>
      <c r="B299" s="51"/>
      <c r="C299" s="56"/>
      <c r="D299" s="51"/>
      <c r="E299" s="51"/>
      <c r="F299" s="51"/>
      <c r="G299" s="51" t="str">
        <f>IFERROR(__xludf.DUMMYFUNCTION("""COMPUTED_VALUE"""),"#VALUE!")</f>
        <v>#VALUE!</v>
      </c>
      <c r="H299" s="51" t="str">
        <f>IFERROR(__xludf.DUMMYFUNCTION("""COMPUTED_VALUE"""),"")</f>
        <v/>
      </c>
      <c r="I299" s="51" t="str">
        <f>IFERROR(__xludf.DUMMYFUNCTION("""COMPUTED_VALUE"""),"#VALUE!")</f>
        <v>#VALUE!</v>
      </c>
      <c r="J299" s="51" t="str">
        <f>IFERROR(__xludf.DUMMYFUNCTION("""COMPUTED_VALUE"""),"")</f>
        <v/>
      </c>
      <c r="K299" s="51"/>
      <c r="L299" s="51" t="s">
        <v>257</v>
      </c>
      <c r="M299" s="51"/>
      <c r="N299" s="51"/>
      <c r="O299" s="51"/>
      <c r="P299" s="51"/>
      <c r="Q299" s="51"/>
      <c r="R299" s="51"/>
      <c r="S299" s="51"/>
      <c r="T299" s="51"/>
    </row>
    <row r="300">
      <c r="A300" s="51"/>
      <c r="B300" s="51"/>
      <c r="C300" s="56"/>
      <c r="D300" s="51"/>
      <c r="E300" s="51"/>
      <c r="F300" s="51"/>
      <c r="G300" s="51" t="str">
        <f>IFERROR(__xludf.DUMMYFUNCTION("""COMPUTED_VALUE"""),"#VALUE!")</f>
        <v>#VALUE!</v>
      </c>
      <c r="H300" s="51" t="str">
        <f>IFERROR(__xludf.DUMMYFUNCTION("""COMPUTED_VALUE"""),"")</f>
        <v/>
      </c>
      <c r="I300" s="51" t="str">
        <f>IFERROR(__xludf.DUMMYFUNCTION("""COMPUTED_VALUE"""),"#VALUE!")</f>
        <v>#VALUE!</v>
      </c>
      <c r="J300" s="51" t="str">
        <f>IFERROR(__xludf.DUMMYFUNCTION("""COMPUTED_VALUE"""),"")</f>
        <v/>
      </c>
      <c r="K300" s="51"/>
      <c r="L300" s="51" t="s">
        <v>257</v>
      </c>
      <c r="M300" s="51"/>
      <c r="N300" s="51"/>
      <c r="O300" s="51"/>
      <c r="P300" s="51"/>
      <c r="Q300" s="51"/>
      <c r="R300" s="51"/>
      <c r="S300" s="51"/>
      <c r="T300" s="51"/>
    </row>
    <row r="301">
      <c r="A301" s="51"/>
      <c r="B301" s="51"/>
      <c r="C301" s="56"/>
      <c r="D301" s="51"/>
      <c r="E301" s="51"/>
      <c r="F301" s="51"/>
      <c r="G301" s="51" t="str">
        <f>IFERROR(__xludf.DUMMYFUNCTION("""COMPUTED_VALUE"""),"#VALUE!")</f>
        <v>#VALUE!</v>
      </c>
      <c r="H301" s="51" t="str">
        <f>IFERROR(__xludf.DUMMYFUNCTION("""COMPUTED_VALUE"""),"")</f>
        <v/>
      </c>
      <c r="I301" s="51" t="str">
        <f>IFERROR(__xludf.DUMMYFUNCTION("""COMPUTED_VALUE"""),"#VALUE!")</f>
        <v>#VALUE!</v>
      </c>
      <c r="J301" s="51" t="str">
        <f>IFERROR(__xludf.DUMMYFUNCTION("""COMPUTED_VALUE"""),"")</f>
        <v/>
      </c>
      <c r="K301" s="51"/>
      <c r="L301" s="51" t="s">
        <v>257</v>
      </c>
      <c r="M301" s="51"/>
      <c r="N301" s="51"/>
      <c r="O301" s="51"/>
      <c r="P301" s="51"/>
      <c r="Q301" s="51"/>
      <c r="R301" s="51"/>
      <c r="S301" s="51"/>
      <c r="T301" s="51"/>
    </row>
    <row r="302">
      <c r="A302" s="51"/>
      <c r="B302" s="51"/>
      <c r="C302" s="56"/>
      <c r="D302" s="51"/>
      <c r="E302" s="51"/>
      <c r="F302" s="51"/>
      <c r="G302" s="51" t="str">
        <f>IFERROR(__xludf.DUMMYFUNCTION("""COMPUTED_VALUE"""),"#VALUE!")</f>
        <v>#VALUE!</v>
      </c>
      <c r="H302" s="51" t="str">
        <f>IFERROR(__xludf.DUMMYFUNCTION("""COMPUTED_VALUE"""),"")</f>
        <v/>
      </c>
      <c r="I302" s="51" t="str">
        <f>IFERROR(__xludf.DUMMYFUNCTION("""COMPUTED_VALUE"""),"#VALUE!")</f>
        <v>#VALUE!</v>
      </c>
      <c r="J302" s="51" t="str">
        <f>IFERROR(__xludf.DUMMYFUNCTION("""COMPUTED_VALUE"""),"")</f>
        <v/>
      </c>
      <c r="K302" s="51"/>
      <c r="L302" s="51" t="s">
        <v>257</v>
      </c>
      <c r="M302" s="51"/>
      <c r="N302" s="51"/>
      <c r="O302" s="51"/>
      <c r="P302" s="51"/>
      <c r="Q302" s="51"/>
      <c r="R302" s="51"/>
      <c r="S302" s="51"/>
      <c r="T302" s="51"/>
    </row>
    <row r="303">
      <c r="A303" s="51"/>
      <c r="B303" s="51"/>
      <c r="C303" s="56"/>
      <c r="D303" s="51"/>
      <c r="E303" s="51"/>
      <c r="F303" s="51"/>
      <c r="G303" s="51" t="str">
        <f>IFERROR(__xludf.DUMMYFUNCTION("""COMPUTED_VALUE"""),"#VALUE!")</f>
        <v>#VALUE!</v>
      </c>
      <c r="H303" s="51" t="str">
        <f>IFERROR(__xludf.DUMMYFUNCTION("""COMPUTED_VALUE"""),"")</f>
        <v/>
      </c>
      <c r="I303" s="51" t="str">
        <f>IFERROR(__xludf.DUMMYFUNCTION("""COMPUTED_VALUE"""),"#VALUE!")</f>
        <v>#VALUE!</v>
      </c>
      <c r="J303" s="51" t="str">
        <f>IFERROR(__xludf.DUMMYFUNCTION("""COMPUTED_VALUE"""),"")</f>
        <v/>
      </c>
      <c r="K303" s="51"/>
      <c r="L303" s="51" t="s">
        <v>257</v>
      </c>
      <c r="M303" s="51"/>
      <c r="N303" s="51"/>
      <c r="O303" s="51"/>
      <c r="P303" s="51"/>
      <c r="Q303" s="51"/>
      <c r="R303" s="51"/>
      <c r="S303" s="51"/>
      <c r="T303" s="51"/>
    </row>
    <row r="304">
      <c r="A304" s="51"/>
      <c r="B304" s="51"/>
      <c r="C304" s="56"/>
      <c r="D304" s="51"/>
      <c r="E304" s="51"/>
      <c r="F304" s="51"/>
      <c r="G304" s="51" t="str">
        <f>IFERROR(__xludf.DUMMYFUNCTION("""COMPUTED_VALUE"""),"#VALUE!")</f>
        <v>#VALUE!</v>
      </c>
      <c r="H304" s="51" t="str">
        <f>IFERROR(__xludf.DUMMYFUNCTION("""COMPUTED_VALUE"""),"")</f>
        <v/>
      </c>
      <c r="I304" s="51" t="str">
        <f>IFERROR(__xludf.DUMMYFUNCTION("""COMPUTED_VALUE"""),"#VALUE!")</f>
        <v>#VALUE!</v>
      </c>
      <c r="J304" s="51" t="str">
        <f>IFERROR(__xludf.DUMMYFUNCTION("""COMPUTED_VALUE"""),"")</f>
        <v/>
      </c>
      <c r="K304" s="51"/>
      <c r="L304" s="51" t="s">
        <v>257</v>
      </c>
      <c r="M304" s="51"/>
      <c r="N304" s="51"/>
      <c r="O304" s="51"/>
      <c r="P304" s="51"/>
      <c r="Q304" s="51"/>
      <c r="R304" s="51"/>
      <c r="S304" s="51"/>
      <c r="T304" s="51"/>
    </row>
    <row r="305">
      <c r="A305" s="51"/>
      <c r="B305" s="51"/>
      <c r="C305" s="56"/>
      <c r="D305" s="51"/>
      <c r="E305" s="51"/>
      <c r="F305" s="51"/>
      <c r="G305" s="51" t="str">
        <f>IFERROR(__xludf.DUMMYFUNCTION("""COMPUTED_VALUE"""),"#VALUE!")</f>
        <v>#VALUE!</v>
      </c>
      <c r="H305" s="51" t="str">
        <f>IFERROR(__xludf.DUMMYFUNCTION("""COMPUTED_VALUE"""),"")</f>
        <v/>
      </c>
      <c r="I305" s="51" t="str">
        <f>IFERROR(__xludf.DUMMYFUNCTION("""COMPUTED_VALUE"""),"#VALUE!")</f>
        <v>#VALUE!</v>
      </c>
      <c r="J305" s="51" t="str">
        <f>IFERROR(__xludf.DUMMYFUNCTION("""COMPUTED_VALUE"""),"")</f>
        <v/>
      </c>
      <c r="K305" s="51"/>
      <c r="L305" s="51" t="s">
        <v>257</v>
      </c>
      <c r="M305" s="51"/>
      <c r="N305" s="51"/>
      <c r="O305" s="51"/>
      <c r="P305" s="51"/>
      <c r="Q305" s="51"/>
      <c r="R305" s="51"/>
      <c r="S305" s="51"/>
      <c r="T305" s="51"/>
    </row>
    <row r="306">
      <c r="A306" s="51"/>
      <c r="B306" s="51"/>
      <c r="C306" s="56"/>
      <c r="D306" s="51"/>
      <c r="E306" s="51"/>
      <c r="F306" s="51"/>
      <c r="G306" s="51" t="str">
        <f>IFERROR(__xludf.DUMMYFUNCTION("""COMPUTED_VALUE"""),"#VALUE!")</f>
        <v>#VALUE!</v>
      </c>
      <c r="H306" s="51" t="str">
        <f>IFERROR(__xludf.DUMMYFUNCTION("""COMPUTED_VALUE"""),"")</f>
        <v/>
      </c>
      <c r="I306" s="51" t="str">
        <f>IFERROR(__xludf.DUMMYFUNCTION("""COMPUTED_VALUE"""),"#VALUE!")</f>
        <v>#VALUE!</v>
      </c>
      <c r="J306" s="51" t="str">
        <f>IFERROR(__xludf.DUMMYFUNCTION("""COMPUTED_VALUE"""),"")</f>
        <v/>
      </c>
      <c r="K306" s="51"/>
      <c r="L306" s="51" t="s">
        <v>257</v>
      </c>
      <c r="M306" s="51"/>
      <c r="N306" s="51"/>
      <c r="O306" s="51"/>
      <c r="P306" s="51"/>
      <c r="Q306" s="51"/>
      <c r="R306" s="51"/>
      <c r="S306" s="51"/>
      <c r="T306" s="51"/>
    </row>
    <row r="307">
      <c r="A307" s="51"/>
      <c r="B307" s="51"/>
      <c r="C307" s="56"/>
      <c r="D307" s="51"/>
      <c r="E307" s="51"/>
      <c r="F307" s="51"/>
      <c r="G307" s="51" t="str">
        <f>IFERROR(__xludf.DUMMYFUNCTION("""COMPUTED_VALUE"""),"#VALUE!")</f>
        <v>#VALUE!</v>
      </c>
      <c r="H307" s="51" t="str">
        <f>IFERROR(__xludf.DUMMYFUNCTION("""COMPUTED_VALUE"""),"")</f>
        <v/>
      </c>
      <c r="I307" s="51" t="str">
        <f>IFERROR(__xludf.DUMMYFUNCTION("""COMPUTED_VALUE"""),"#VALUE!")</f>
        <v>#VALUE!</v>
      </c>
      <c r="J307" s="51" t="str">
        <f>IFERROR(__xludf.DUMMYFUNCTION("""COMPUTED_VALUE"""),"")</f>
        <v/>
      </c>
      <c r="K307" s="51"/>
      <c r="L307" s="51" t="s">
        <v>257</v>
      </c>
      <c r="M307" s="51"/>
      <c r="N307" s="51"/>
      <c r="O307" s="51"/>
      <c r="P307" s="51"/>
      <c r="Q307" s="51"/>
      <c r="R307" s="51"/>
      <c r="S307" s="51"/>
      <c r="T307" s="51"/>
    </row>
    <row r="308">
      <c r="A308" s="51"/>
      <c r="B308" s="51"/>
      <c r="C308" s="56"/>
      <c r="D308" s="51"/>
      <c r="E308" s="51"/>
      <c r="F308" s="51"/>
      <c r="G308" s="51" t="str">
        <f>IFERROR(__xludf.DUMMYFUNCTION("""COMPUTED_VALUE"""),"#VALUE!")</f>
        <v>#VALUE!</v>
      </c>
      <c r="H308" s="51" t="str">
        <f>IFERROR(__xludf.DUMMYFUNCTION("""COMPUTED_VALUE"""),"")</f>
        <v/>
      </c>
      <c r="I308" s="51" t="str">
        <f>IFERROR(__xludf.DUMMYFUNCTION("""COMPUTED_VALUE"""),"#VALUE!")</f>
        <v>#VALUE!</v>
      </c>
      <c r="J308" s="51" t="str">
        <f>IFERROR(__xludf.DUMMYFUNCTION("""COMPUTED_VALUE"""),"")</f>
        <v/>
      </c>
      <c r="K308" s="51"/>
      <c r="L308" s="51" t="s">
        <v>257</v>
      </c>
      <c r="M308" s="51"/>
      <c r="N308" s="51"/>
      <c r="O308" s="51"/>
      <c r="P308" s="51"/>
      <c r="Q308" s="51"/>
      <c r="R308" s="51"/>
      <c r="S308" s="51"/>
      <c r="T308" s="51"/>
    </row>
    <row r="309">
      <c r="A309" s="51"/>
      <c r="B309" s="51"/>
      <c r="C309" s="56"/>
      <c r="D309" s="51"/>
      <c r="E309" s="51"/>
      <c r="F309" s="51"/>
      <c r="G309" s="51" t="str">
        <f>IFERROR(__xludf.DUMMYFUNCTION("""COMPUTED_VALUE"""),"#VALUE!")</f>
        <v>#VALUE!</v>
      </c>
      <c r="H309" s="51" t="str">
        <f>IFERROR(__xludf.DUMMYFUNCTION("""COMPUTED_VALUE"""),"")</f>
        <v/>
      </c>
      <c r="I309" s="51" t="str">
        <f>IFERROR(__xludf.DUMMYFUNCTION("""COMPUTED_VALUE"""),"#VALUE!")</f>
        <v>#VALUE!</v>
      </c>
      <c r="J309" s="51" t="str">
        <f>IFERROR(__xludf.DUMMYFUNCTION("""COMPUTED_VALUE"""),"")</f>
        <v/>
      </c>
      <c r="K309" s="51"/>
      <c r="L309" s="51" t="s">
        <v>257</v>
      </c>
      <c r="M309" s="51"/>
      <c r="N309" s="51"/>
      <c r="O309" s="51"/>
      <c r="P309" s="51"/>
      <c r="Q309" s="51"/>
      <c r="R309" s="51"/>
      <c r="S309" s="51"/>
      <c r="T309" s="51"/>
    </row>
    <row r="310">
      <c r="A310" s="51"/>
      <c r="B310" s="51"/>
      <c r="C310" s="56"/>
      <c r="D310" s="51"/>
      <c r="E310" s="51"/>
      <c r="F310" s="51"/>
      <c r="G310" s="51" t="str">
        <f>IFERROR(__xludf.DUMMYFUNCTION("""COMPUTED_VALUE"""),"#VALUE!")</f>
        <v>#VALUE!</v>
      </c>
      <c r="H310" s="51" t="str">
        <f>IFERROR(__xludf.DUMMYFUNCTION("""COMPUTED_VALUE"""),"")</f>
        <v/>
      </c>
      <c r="I310" s="51" t="str">
        <f>IFERROR(__xludf.DUMMYFUNCTION("""COMPUTED_VALUE"""),"#VALUE!")</f>
        <v>#VALUE!</v>
      </c>
      <c r="J310" s="51" t="str">
        <f>IFERROR(__xludf.DUMMYFUNCTION("""COMPUTED_VALUE"""),"")</f>
        <v/>
      </c>
      <c r="K310" s="51"/>
      <c r="L310" s="51" t="s">
        <v>257</v>
      </c>
      <c r="M310" s="51"/>
      <c r="N310" s="51"/>
      <c r="O310" s="51"/>
      <c r="P310" s="51"/>
      <c r="Q310" s="51"/>
      <c r="R310" s="51"/>
      <c r="S310" s="51"/>
      <c r="T310" s="51"/>
    </row>
    <row r="311">
      <c r="A311" s="51"/>
      <c r="B311" s="51"/>
      <c r="C311" s="56"/>
      <c r="D311" s="51"/>
      <c r="E311" s="51"/>
      <c r="F311" s="51"/>
      <c r="G311" s="51" t="str">
        <f>IFERROR(__xludf.DUMMYFUNCTION("""COMPUTED_VALUE"""),"#VALUE!")</f>
        <v>#VALUE!</v>
      </c>
      <c r="H311" s="51" t="str">
        <f>IFERROR(__xludf.DUMMYFUNCTION("""COMPUTED_VALUE"""),"")</f>
        <v/>
      </c>
      <c r="I311" s="51" t="str">
        <f>IFERROR(__xludf.DUMMYFUNCTION("""COMPUTED_VALUE"""),"#VALUE!")</f>
        <v>#VALUE!</v>
      </c>
      <c r="J311" s="51" t="str">
        <f>IFERROR(__xludf.DUMMYFUNCTION("""COMPUTED_VALUE"""),"")</f>
        <v/>
      </c>
      <c r="K311" s="51"/>
      <c r="L311" s="51" t="s">
        <v>257</v>
      </c>
      <c r="M311" s="51"/>
      <c r="N311" s="51"/>
      <c r="O311" s="51"/>
      <c r="P311" s="51"/>
      <c r="Q311" s="51"/>
      <c r="R311" s="51"/>
      <c r="S311" s="51"/>
      <c r="T311" s="51"/>
    </row>
    <row r="312">
      <c r="A312" s="51"/>
      <c r="B312" s="51"/>
      <c r="C312" s="56"/>
      <c r="D312" s="51"/>
      <c r="E312" s="51"/>
      <c r="F312" s="51"/>
      <c r="G312" s="51" t="str">
        <f>IFERROR(__xludf.DUMMYFUNCTION("""COMPUTED_VALUE"""),"#VALUE!")</f>
        <v>#VALUE!</v>
      </c>
      <c r="H312" s="51" t="str">
        <f>IFERROR(__xludf.DUMMYFUNCTION("""COMPUTED_VALUE"""),"")</f>
        <v/>
      </c>
      <c r="I312" s="51" t="str">
        <f>IFERROR(__xludf.DUMMYFUNCTION("""COMPUTED_VALUE"""),"#VALUE!")</f>
        <v>#VALUE!</v>
      </c>
      <c r="J312" s="51" t="str">
        <f>IFERROR(__xludf.DUMMYFUNCTION("""COMPUTED_VALUE"""),"")</f>
        <v/>
      </c>
      <c r="K312" s="51"/>
      <c r="L312" s="51" t="s">
        <v>257</v>
      </c>
      <c r="M312" s="51"/>
      <c r="N312" s="51"/>
      <c r="O312" s="51"/>
      <c r="P312" s="51"/>
      <c r="Q312" s="51"/>
      <c r="R312" s="51"/>
      <c r="S312" s="51"/>
      <c r="T312" s="51"/>
    </row>
    <row r="313">
      <c r="A313" s="51"/>
      <c r="B313" s="51"/>
      <c r="C313" s="56"/>
      <c r="D313" s="51"/>
      <c r="E313" s="51"/>
      <c r="F313" s="51"/>
      <c r="G313" s="51" t="str">
        <f>IFERROR(__xludf.DUMMYFUNCTION("""COMPUTED_VALUE"""),"#VALUE!")</f>
        <v>#VALUE!</v>
      </c>
      <c r="H313" s="51" t="str">
        <f>IFERROR(__xludf.DUMMYFUNCTION("""COMPUTED_VALUE"""),"")</f>
        <v/>
      </c>
      <c r="I313" s="51" t="str">
        <f>IFERROR(__xludf.DUMMYFUNCTION("""COMPUTED_VALUE"""),"#VALUE!")</f>
        <v>#VALUE!</v>
      </c>
      <c r="J313" s="51" t="str">
        <f>IFERROR(__xludf.DUMMYFUNCTION("""COMPUTED_VALUE"""),"")</f>
        <v/>
      </c>
      <c r="K313" s="51"/>
      <c r="L313" s="51" t="s">
        <v>257</v>
      </c>
      <c r="M313" s="51"/>
      <c r="N313" s="51"/>
      <c r="O313" s="51"/>
      <c r="P313" s="51"/>
      <c r="Q313" s="51"/>
      <c r="R313" s="51"/>
      <c r="S313" s="51"/>
      <c r="T313" s="51"/>
    </row>
    <row r="314">
      <c r="A314" s="51"/>
      <c r="B314" s="51"/>
      <c r="C314" s="56"/>
      <c r="D314" s="51"/>
      <c r="E314" s="51"/>
      <c r="F314" s="51"/>
      <c r="G314" s="51" t="str">
        <f>IFERROR(__xludf.DUMMYFUNCTION("""COMPUTED_VALUE"""),"#VALUE!")</f>
        <v>#VALUE!</v>
      </c>
      <c r="H314" s="51" t="str">
        <f>IFERROR(__xludf.DUMMYFUNCTION("""COMPUTED_VALUE"""),"")</f>
        <v/>
      </c>
      <c r="I314" s="51" t="str">
        <f>IFERROR(__xludf.DUMMYFUNCTION("""COMPUTED_VALUE"""),"#VALUE!")</f>
        <v>#VALUE!</v>
      </c>
      <c r="J314" s="51" t="str">
        <f>IFERROR(__xludf.DUMMYFUNCTION("""COMPUTED_VALUE"""),"")</f>
        <v/>
      </c>
      <c r="K314" s="51"/>
      <c r="L314" s="51" t="s">
        <v>257</v>
      </c>
      <c r="M314" s="51"/>
      <c r="N314" s="51"/>
      <c r="O314" s="51"/>
      <c r="P314" s="51"/>
      <c r="Q314" s="51"/>
      <c r="R314" s="51"/>
      <c r="S314" s="51"/>
      <c r="T314" s="51"/>
    </row>
    <row r="315">
      <c r="A315" s="51"/>
      <c r="B315" s="51"/>
      <c r="C315" s="56"/>
      <c r="D315" s="51"/>
      <c r="E315" s="51"/>
      <c r="F315" s="51"/>
      <c r="G315" s="51" t="str">
        <f>IFERROR(__xludf.DUMMYFUNCTION("""COMPUTED_VALUE"""),"#VALUE!")</f>
        <v>#VALUE!</v>
      </c>
      <c r="H315" s="51" t="str">
        <f>IFERROR(__xludf.DUMMYFUNCTION("""COMPUTED_VALUE"""),"")</f>
        <v/>
      </c>
      <c r="I315" s="51" t="str">
        <f>IFERROR(__xludf.DUMMYFUNCTION("""COMPUTED_VALUE"""),"#VALUE!")</f>
        <v>#VALUE!</v>
      </c>
      <c r="J315" s="51" t="str">
        <f>IFERROR(__xludf.DUMMYFUNCTION("""COMPUTED_VALUE"""),"")</f>
        <v/>
      </c>
      <c r="K315" s="51"/>
      <c r="L315" s="51" t="s">
        <v>257</v>
      </c>
      <c r="M315" s="51"/>
      <c r="N315" s="51"/>
      <c r="O315" s="51"/>
      <c r="P315" s="51"/>
      <c r="Q315" s="51"/>
      <c r="R315" s="51"/>
      <c r="S315" s="51"/>
      <c r="T315" s="51"/>
    </row>
    <row r="316">
      <c r="A316" s="51"/>
      <c r="B316" s="51"/>
      <c r="C316" s="56"/>
      <c r="D316" s="51"/>
      <c r="E316" s="51"/>
      <c r="F316" s="51"/>
      <c r="G316" s="51" t="str">
        <f>IFERROR(__xludf.DUMMYFUNCTION("""COMPUTED_VALUE"""),"#VALUE!")</f>
        <v>#VALUE!</v>
      </c>
      <c r="H316" s="51" t="str">
        <f>IFERROR(__xludf.DUMMYFUNCTION("""COMPUTED_VALUE"""),"")</f>
        <v/>
      </c>
      <c r="I316" s="51" t="str">
        <f>IFERROR(__xludf.DUMMYFUNCTION("""COMPUTED_VALUE"""),"#VALUE!")</f>
        <v>#VALUE!</v>
      </c>
      <c r="J316" s="51" t="str">
        <f>IFERROR(__xludf.DUMMYFUNCTION("""COMPUTED_VALUE"""),"")</f>
        <v/>
      </c>
      <c r="K316" s="51"/>
      <c r="L316" s="51" t="s">
        <v>257</v>
      </c>
      <c r="M316" s="51"/>
      <c r="N316" s="51"/>
      <c r="O316" s="51"/>
      <c r="P316" s="51"/>
      <c r="Q316" s="51"/>
      <c r="R316" s="51"/>
      <c r="S316" s="51"/>
      <c r="T316" s="51"/>
    </row>
    <row r="317">
      <c r="A317" s="51"/>
      <c r="B317" s="51"/>
      <c r="C317" s="56"/>
      <c r="D317" s="51"/>
      <c r="E317" s="51"/>
      <c r="F317" s="51"/>
      <c r="G317" s="51" t="str">
        <f>IFERROR(__xludf.DUMMYFUNCTION("""COMPUTED_VALUE"""),"#VALUE!")</f>
        <v>#VALUE!</v>
      </c>
      <c r="H317" s="51" t="str">
        <f>IFERROR(__xludf.DUMMYFUNCTION("""COMPUTED_VALUE"""),"")</f>
        <v/>
      </c>
      <c r="I317" s="51" t="str">
        <f>IFERROR(__xludf.DUMMYFUNCTION("""COMPUTED_VALUE"""),"#VALUE!")</f>
        <v>#VALUE!</v>
      </c>
      <c r="J317" s="51" t="str">
        <f>IFERROR(__xludf.DUMMYFUNCTION("""COMPUTED_VALUE"""),"")</f>
        <v/>
      </c>
      <c r="K317" s="51"/>
      <c r="L317" s="51" t="s">
        <v>257</v>
      </c>
      <c r="M317" s="51"/>
      <c r="N317" s="51"/>
      <c r="O317" s="51"/>
      <c r="P317" s="51"/>
      <c r="Q317" s="51"/>
      <c r="R317" s="51"/>
      <c r="S317" s="51"/>
      <c r="T317" s="51"/>
    </row>
    <row r="318">
      <c r="A318" s="51"/>
      <c r="B318" s="51"/>
      <c r="C318" s="56"/>
      <c r="D318" s="51"/>
      <c r="E318" s="51"/>
      <c r="F318" s="51"/>
      <c r="G318" s="51" t="str">
        <f>IFERROR(__xludf.DUMMYFUNCTION("""COMPUTED_VALUE"""),"#VALUE!")</f>
        <v>#VALUE!</v>
      </c>
      <c r="H318" s="51" t="str">
        <f>IFERROR(__xludf.DUMMYFUNCTION("""COMPUTED_VALUE"""),"")</f>
        <v/>
      </c>
      <c r="I318" s="51" t="str">
        <f>IFERROR(__xludf.DUMMYFUNCTION("""COMPUTED_VALUE"""),"#VALUE!")</f>
        <v>#VALUE!</v>
      </c>
      <c r="J318" s="51" t="str">
        <f>IFERROR(__xludf.DUMMYFUNCTION("""COMPUTED_VALUE"""),"")</f>
        <v/>
      </c>
      <c r="K318" s="51"/>
      <c r="L318" s="51" t="s">
        <v>257</v>
      </c>
      <c r="M318" s="51"/>
      <c r="N318" s="51"/>
      <c r="O318" s="51"/>
      <c r="P318" s="51"/>
      <c r="Q318" s="51"/>
      <c r="R318" s="51"/>
      <c r="S318" s="51"/>
      <c r="T318" s="51"/>
    </row>
    <row r="319">
      <c r="A319" s="51"/>
      <c r="B319" s="51"/>
      <c r="C319" s="56"/>
      <c r="D319" s="51"/>
      <c r="E319" s="51"/>
      <c r="F319" s="51"/>
      <c r="G319" s="51" t="str">
        <f>IFERROR(__xludf.DUMMYFUNCTION("""COMPUTED_VALUE"""),"#VALUE!")</f>
        <v>#VALUE!</v>
      </c>
      <c r="H319" s="51" t="str">
        <f>IFERROR(__xludf.DUMMYFUNCTION("""COMPUTED_VALUE"""),"")</f>
        <v/>
      </c>
      <c r="I319" s="51" t="str">
        <f>IFERROR(__xludf.DUMMYFUNCTION("""COMPUTED_VALUE"""),"#VALUE!")</f>
        <v>#VALUE!</v>
      </c>
      <c r="J319" s="51" t="str">
        <f>IFERROR(__xludf.DUMMYFUNCTION("""COMPUTED_VALUE"""),"")</f>
        <v/>
      </c>
      <c r="K319" s="51"/>
      <c r="L319" s="51" t="s">
        <v>257</v>
      </c>
      <c r="M319" s="51"/>
      <c r="N319" s="51"/>
      <c r="O319" s="51"/>
      <c r="P319" s="51"/>
      <c r="Q319" s="51"/>
      <c r="R319" s="51"/>
      <c r="S319" s="51"/>
      <c r="T319" s="51"/>
    </row>
    <row r="320">
      <c r="A320" s="51"/>
      <c r="B320" s="51"/>
      <c r="C320" s="56"/>
      <c r="D320" s="51"/>
      <c r="E320" s="51"/>
      <c r="F320" s="51"/>
      <c r="G320" s="51" t="str">
        <f>IFERROR(__xludf.DUMMYFUNCTION("""COMPUTED_VALUE"""),"#VALUE!")</f>
        <v>#VALUE!</v>
      </c>
      <c r="H320" s="51" t="str">
        <f>IFERROR(__xludf.DUMMYFUNCTION("""COMPUTED_VALUE"""),"")</f>
        <v/>
      </c>
      <c r="I320" s="51" t="str">
        <f>IFERROR(__xludf.DUMMYFUNCTION("""COMPUTED_VALUE"""),"#VALUE!")</f>
        <v>#VALUE!</v>
      </c>
      <c r="J320" s="51" t="str">
        <f>IFERROR(__xludf.DUMMYFUNCTION("""COMPUTED_VALUE"""),"")</f>
        <v/>
      </c>
      <c r="K320" s="51"/>
      <c r="L320" s="51" t="s">
        <v>257</v>
      </c>
      <c r="M320" s="51"/>
      <c r="N320" s="51"/>
      <c r="O320" s="51"/>
      <c r="P320" s="51"/>
      <c r="Q320" s="51"/>
      <c r="R320" s="51"/>
      <c r="S320" s="51"/>
      <c r="T320" s="51"/>
    </row>
    <row r="321">
      <c r="A321" s="51"/>
      <c r="B321" s="51"/>
      <c r="C321" s="56"/>
      <c r="D321" s="51"/>
      <c r="E321" s="51"/>
      <c r="F321" s="51"/>
      <c r="G321" s="51" t="str">
        <f>IFERROR(__xludf.DUMMYFUNCTION("""COMPUTED_VALUE"""),"#VALUE!")</f>
        <v>#VALUE!</v>
      </c>
      <c r="H321" s="51" t="str">
        <f>IFERROR(__xludf.DUMMYFUNCTION("""COMPUTED_VALUE"""),"")</f>
        <v/>
      </c>
      <c r="I321" s="51" t="str">
        <f>IFERROR(__xludf.DUMMYFUNCTION("""COMPUTED_VALUE"""),"#VALUE!")</f>
        <v>#VALUE!</v>
      </c>
      <c r="J321" s="51" t="str">
        <f>IFERROR(__xludf.DUMMYFUNCTION("""COMPUTED_VALUE"""),"")</f>
        <v/>
      </c>
      <c r="K321" s="51"/>
      <c r="L321" s="51" t="s">
        <v>257</v>
      </c>
      <c r="M321" s="51"/>
      <c r="N321" s="51"/>
      <c r="O321" s="51"/>
      <c r="P321" s="51"/>
      <c r="Q321" s="51"/>
      <c r="R321" s="51"/>
      <c r="S321" s="51"/>
      <c r="T321" s="51"/>
    </row>
    <row r="322">
      <c r="A322" s="51"/>
      <c r="B322" s="51"/>
      <c r="C322" s="56"/>
      <c r="D322" s="51"/>
      <c r="E322" s="51"/>
      <c r="F322" s="51"/>
      <c r="G322" s="51" t="str">
        <f>IFERROR(__xludf.DUMMYFUNCTION("""COMPUTED_VALUE"""),"#VALUE!")</f>
        <v>#VALUE!</v>
      </c>
      <c r="H322" s="51" t="str">
        <f>IFERROR(__xludf.DUMMYFUNCTION("""COMPUTED_VALUE"""),"")</f>
        <v/>
      </c>
      <c r="I322" s="51" t="str">
        <f>IFERROR(__xludf.DUMMYFUNCTION("""COMPUTED_VALUE"""),"#VALUE!")</f>
        <v>#VALUE!</v>
      </c>
      <c r="J322" s="51" t="str">
        <f>IFERROR(__xludf.DUMMYFUNCTION("""COMPUTED_VALUE"""),"")</f>
        <v/>
      </c>
      <c r="K322" s="51"/>
      <c r="L322" s="51" t="s">
        <v>257</v>
      </c>
      <c r="M322" s="51"/>
      <c r="N322" s="51"/>
      <c r="O322" s="51"/>
      <c r="P322" s="51"/>
      <c r="Q322" s="51"/>
      <c r="R322" s="51"/>
      <c r="S322" s="51"/>
      <c r="T322" s="51"/>
    </row>
    <row r="323">
      <c r="A323" s="51"/>
      <c r="B323" s="51"/>
      <c r="C323" s="56"/>
      <c r="D323" s="51"/>
      <c r="E323" s="51"/>
      <c r="F323" s="51"/>
      <c r="G323" s="51" t="str">
        <f>IFERROR(__xludf.DUMMYFUNCTION("""COMPUTED_VALUE"""),"#VALUE!")</f>
        <v>#VALUE!</v>
      </c>
      <c r="H323" s="51" t="str">
        <f>IFERROR(__xludf.DUMMYFUNCTION("""COMPUTED_VALUE"""),"")</f>
        <v/>
      </c>
      <c r="I323" s="51" t="str">
        <f>IFERROR(__xludf.DUMMYFUNCTION("""COMPUTED_VALUE"""),"#VALUE!")</f>
        <v>#VALUE!</v>
      </c>
      <c r="J323" s="51" t="str">
        <f>IFERROR(__xludf.DUMMYFUNCTION("""COMPUTED_VALUE"""),"")</f>
        <v/>
      </c>
      <c r="K323" s="51"/>
      <c r="L323" s="51" t="s">
        <v>257</v>
      </c>
      <c r="M323" s="51"/>
      <c r="N323" s="51"/>
      <c r="O323" s="51"/>
      <c r="P323" s="51"/>
      <c r="Q323" s="51"/>
      <c r="R323" s="51"/>
      <c r="S323" s="51"/>
      <c r="T323" s="51"/>
    </row>
    <row r="324">
      <c r="A324" s="51"/>
      <c r="B324" s="51"/>
      <c r="C324" s="56"/>
      <c r="D324" s="51"/>
      <c r="E324" s="51"/>
      <c r="F324" s="51"/>
      <c r="G324" s="51" t="str">
        <f>IFERROR(__xludf.DUMMYFUNCTION("""COMPUTED_VALUE"""),"#VALUE!")</f>
        <v>#VALUE!</v>
      </c>
      <c r="H324" s="51" t="str">
        <f>IFERROR(__xludf.DUMMYFUNCTION("""COMPUTED_VALUE"""),"")</f>
        <v/>
      </c>
      <c r="I324" s="51" t="str">
        <f>IFERROR(__xludf.DUMMYFUNCTION("""COMPUTED_VALUE"""),"#VALUE!")</f>
        <v>#VALUE!</v>
      </c>
      <c r="J324" s="51" t="str">
        <f>IFERROR(__xludf.DUMMYFUNCTION("""COMPUTED_VALUE"""),"")</f>
        <v/>
      </c>
      <c r="K324" s="51"/>
      <c r="L324" s="51" t="s">
        <v>257</v>
      </c>
      <c r="M324" s="51"/>
      <c r="N324" s="51"/>
      <c r="O324" s="51"/>
      <c r="P324" s="51"/>
      <c r="Q324" s="51"/>
      <c r="R324" s="51"/>
      <c r="S324" s="51"/>
      <c r="T324" s="51"/>
    </row>
    <row r="325">
      <c r="A325" s="51"/>
      <c r="B325" s="51"/>
      <c r="C325" s="56"/>
      <c r="D325" s="51"/>
      <c r="E325" s="51"/>
      <c r="F325" s="51"/>
      <c r="G325" s="51" t="str">
        <f>IFERROR(__xludf.DUMMYFUNCTION("""COMPUTED_VALUE"""),"#VALUE!")</f>
        <v>#VALUE!</v>
      </c>
      <c r="H325" s="51" t="str">
        <f>IFERROR(__xludf.DUMMYFUNCTION("""COMPUTED_VALUE"""),"")</f>
        <v/>
      </c>
      <c r="I325" s="51" t="str">
        <f>IFERROR(__xludf.DUMMYFUNCTION("""COMPUTED_VALUE"""),"#VALUE!")</f>
        <v>#VALUE!</v>
      </c>
      <c r="J325" s="51" t="str">
        <f>IFERROR(__xludf.DUMMYFUNCTION("""COMPUTED_VALUE"""),"")</f>
        <v/>
      </c>
      <c r="K325" s="51"/>
      <c r="L325" s="51" t="s">
        <v>257</v>
      </c>
      <c r="M325" s="51"/>
      <c r="N325" s="51"/>
      <c r="O325" s="51"/>
      <c r="P325" s="51"/>
      <c r="Q325" s="51"/>
      <c r="R325" s="51"/>
      <c r="S325" s="51"/>
      <c r="T325" s="51"/>
    </row>
    <row r="326">
      <c r="A326" s="51"/>
      <c r="B326" s="51"/>
      <c r="C326" s="56"/>
      <c r="D326" s="51"/>
      <c r="E326" s="51"/>
      <c r="F326" s="51"/>
      <c r="G326" s="51" t="str">
        <f>IFERROR(__xludf.DUMMYFUNCTION("""COMPUTED_VALUE"""),"#VALUE!")</f>
        <v>#VALUE!</v>
      </c>
      <c r="H326" s="51" t="str">
        <f>IFERROR(__xludf.DUMMYFUNCTION("""COMPUTED_VALUE"""),"")</f>
        <v/>
      </c>
      <c r="I326" s="51" t="str">
        <f>IFERROR(__xludf.DUMMYFUNCTION("""COMPUTED_VALUE"""),"#VALUE!")</f>
        <v>#VALUE!</v>
      </c>
      <c r="J326" s="51" t="str">
        <f>IFERROR(__xludf.DUMMYFUNCTION("""COMPUTED_VALUE"""),"")</f>
        <v/>
      </c>
      <c r="K326" s="51"/>
      <c r="L326" s="51" t="s">
        <v>257</v>
      </c>
      <c r="M326" s="51"/>
      <c r="N326" s="51"/>
      <c r="O326" s="51"/>
      <c r="P326" s="51"/>
      <c r="Q326" s="51"/>
      <c r="R326" s="51"/>
      <c r="S326" s="51"/>
      <c r="T326" s="51"/>
    </row>
    <row r="327">
      <c r="A327" s="51"/>
      <c r="B327" s="51"/>
      <c r="C327" s="56"/>
      <c r="D327" s="51"/>
      <c r="E327" s="51"/>
      <c r="F327" s="51"/>
      <c r="G327" s="51" t="str">
        <f>IFERROR(__xludf.DUMMYFUNCTION("""COMPUTED_VALUE"""),"#VALUE!")</f>
        <v>#VALUE!</v>
      </c>
      <c r="H327" s="51" t="str">
        <f>IFERROR(__xludf.DUMMYFUNCTION("""COMPUTED_VALUE"""),"")</f>
        <v/>
      </c>
      <c r="I327" s="51" t="str">
        <f>IFERROR(__xludf.DUMMYFUNCTION("""COMPUTED_VALUE"""),"#VALUE!")</f>
        <v>#VALUE!</v>
      </c>
      <c r="J327" s="51" t="str">
        <f>IFERROR(__xludf.DUMMYFUNCTION("""COMPUTED_VALUE"""),"")</f>
        <v/>
      </c>
      <c r="K327" s="51"/>
      <c r="L327" s="51" t="s">
        <v>257</v>
      </c>
      <c r="M327" s="51"/>
      <c r="N327" s="51"/>
      <c r="O327" s="51"/>
      <c r="P327" s="51"/>
      <c r="Q327" s="51"/>
      <c r="R327" s="51"/>
      <c r="S327" s="51"/>
      <c r="T327" s="51"/>
    </row>
    <row r="328">
      <c r="A328" s="51"/>
      <c r="B328" s="51"/>
      <c r="C328" s="56"/>
      <c r="D328" s="51"/>
      <c r="E328" s="51"/>
      <c r="F328" s="51"/>
      <c r="G328" s="51" t="str">
        <f>IFERROR(__xludf.DUMMYFUNCTION("""COMPUTED_VALUE"""),"#VALUE!")</f>
        <v>#VALUE!</v>
      </c>
      <c r="H328" s="51" t="str">
        <f>IFERROR(__xludf.DUMMYFUNCTION("""COMPUTED_VALUE"""),"")</f>
        <v/>
      </c>
      <c r="I328" s="51" t="str">
        <f>IFERROR(__xludf.DUMMYFUNCTION("""COMPUTED_VALUE"""),"#VALUE!")</f>
        <v>#VALUE!</v>
      </c>
      <c r="J328" s="51" t="str">
        <f>IFERROR(__xludf.DUMMYFUNCTION("""COMPUTED_VALUE"""),"")</f>
        <v/>
      </c>
      <c r="K328" s="51"/>
      <c r="L328" s="51" t="s">
        <v>257</v>
      </c>
      <c r="M328" s="51"/>
      <c r="N328" s="51"/>
      <c r="O328" s="51"/>
      <c r="P328" s="51"/>
      <c r="Q328" s="51"/>
      <c r="R328" s="51"/>
      <c r="S328" s="51"/>
      <c r="T328" s="51"/>
    </row>
    <row r="329">
      <c r="A329" s="51"/>
      <c r="B329" s="51"/>
      <c r="C329" s="56"/>
      <c r="D329" s="51"/>
      <c r="E329" s="51"/>
      <c r="F329" s="51"/>
      <c r="G329" s="51" t="str">
        <f>IFERROR(__xludf.DUMMYFUNCTION("""COMPUTED_VALUE"""),"#VALUE!")</f>
        <v>#VALUE!</v>
      </c>
      <c r="H329" s="51" t="str">
        <f>IFERROR(__xludf.DUMMYFUNCTION("""COMPUTED_VALUE"""),"")</f>
        <v/>
      </c>
      <c r="I329" s="51" t="str">
        <f>IFERROR(__xludf.DUMMYFUNCTION("""COMPUTED_VALUE"""),"#VALUE!")</f>
        <v>#VALUE!</v>
      </c>
      <c r="J329" s="51" t="str">
        <f>IFERROR(__xludf.DUMMYFUNCTION("""COMPUTED_VALUE"""),"")</f>
        <v/>
      </c>
      <c r="K329" s="51"/>
      <c r="L329" s="51" t="s">
        <v>257</v>
      </c>
      <c r="M329" s="51"/>
      <c r="N329" s="51"/>
      <c r="O329" s="51"/>
      <c r="P329" s="51"/>
      <c r="Q329" s="51"/>
      <c r="R329" s="51"/>
      <c r="S329" s="51"/>
      <c r="T329" s="51"/>
    </row>
    <row r="330">
      <c r="A330" s="51"/>
      <c r="B330" s="51"/>
      <c r="C330" s="56"/>
      <c r="D330" s="51"/>
      <c r="E330" s="51"/>
      <c r="F330" s="51"/>
      <c r="G330" s="51" t="str">
        <f>IFERROR(__xludf.DUMMYFUNCTION("""COMPUTED_VALUE"""),"#VALUE!")</f>
        <v>#VALUE!</v>
      </c>
      <c r="H330" s="51" t="str">
        <f>IFERROR(__xludf.DUMMYFUNCTION("""COMPUTED_VALUE"""),"")</f>
        <v/>
      </c>
      <c r="I330" s="51" t="str">
        <f>IFERROR(__xludf.DUMMYFUNCTION("""COMPUTED_VALUE"""),"#VALUE!")</f>
        <v>#VALUE!</v>
      </c>
      <c r="J330" s="51" t="str">
        <f>IFERROR(__xludf.DUMMYFUNCTION("""COMPUTED_VALUE"""),"")</f>
        <v/>
      </c>
      <c r="K330" s="51"/>
      <c r="L330" s="51" t="s">
        <v>257</v>
      </c>
      <c r="M330" s="51"/>
      <c r="N330" s="51"/>
      <c r="O330" s="51"/>
      <c r="P330" s="51"/>
      <c r="Q330" s="51"/>
      <c r="R330" s="51"/>
      <c r="S330" s="51"/>
      <c r="T330" s="51"/>
    </row>
    <row r="331">
      <c r="A331" s="51"/>
      <c r="B331" s="51"/>
      <c r="C331" s="56"/>
      <c r="D331" s="51"/>
      <c r="E331" s="51"/>
      <c r="F331" s="51"/>
      <c r="G331" s="51" t="str">
        <f>IFERROR(__xludf.DUMMYFUNCTION("""COMPUTED_VALUE"""),"#VALUE!")</f>
        <v>#VALUE!</v>
      </c>
      <c r="H331" s="51" t="str">
        <f>IFERROR(__xludf.DUMMYFUNCTION("""COMPUTED_VALUE"""),"")</f>
        <v/>
      </c>
      <c r="I331" s="51" t="str">
        <f>IFERROR(__xludf.DUMMYFUNCTION("""COMPUTED_VALUE"""),"#VALUE!")</f>
        <v>#VALUE!</v>
      </c>
      <c r="J331" s="51" t="str">
        <f>IFERROR(__xludf.DUMMYFUNCTION("""COMPUTED_VALUE"""),"")</f>
        <v/>
      </c>
      <c r="K331" s="51"/>
      <c r="L331" s="51" t="s">
        <v>257</v>
      </c>
      <c r="M331" s="51"/>
      <c r="N331" s="51"/>
      <c r="O331" s="51"/>
      <c r="P331" s="51"/>
      <c r="Q331" s="51"/>
      <c r="R331" s="51"/>
      <c r="S331" s="51"/>
      <c r="T331" s="51"/>
    </row>
    <row r="332">
      <c r="A332" s="51"/>
      <c r="B332" s="51"/>
      <c r="C332" s="56"/>
      <c r="D332" s="51"/>
      <c r="E332" s="51"/>
      <c r="F332" s="51"/>
      <c r="G332" s="51" t="str">
        <f>IFERROR(__xludf.DUMMYFUNCTION("""COMPUTED_VALUE"""),"#VALUE!")</f>
        <v>#VALUE!</v>
      </c>
      <c r="H332" s="51" t="str">
        <f>IFERROR(__xludf.DUMMYFUNCTION("""COMPUTED_VALUE"""),"")</f>
        <v/>
      </c>
      <c r="I332" s="51" t="str">
        <f>IFERROR(__xludf.DUMMYFUNCTION("""COMPUTED_VALUE"""),"#VALUE!")</f>
        <v>#VALUE!</v>
      </c>
      <c r="J332" s="51" t="str">
        <f>IFERROR(__xludf.DUMMYFUNCTION("""COMPUTED_VALUE"""),"")</f>
        <v/>
      </c>
      <c r="K332" s="51"/>
      <c r="L332" s="51" t="s">
        <v>257</v>
      </c>
      <c r="M332" s="51"/>
      <c r="N332" s="51"/>
      <c r="O332" s="51"/>
      <c r="P332" s="51"/>
      <c r="Q332" s="51"/>
      <c r="R332" s="51"/>
      <c r="S332" s="51"/>
      <c r="T332" s="51"/>
    </row>
    <row r="333">
      <c r="A333" s="51"/>
      <c r="B333" s="51"/>
      <c r="C333" s="56"/>
      <c r="D333" s="51"/>
      <c r="E333" s="51"/>
      <c r="F333" s="51"/>
      <c r="G333" s="51" t="str">
        <f>IFERROR(__xludf.DUMMYFUNCTION("""COMPUTED_VALUE"""),"#VALUE!")</f>
        <v>#VALUE!</v>
      </c>
      <c r="H333" s="51" t="str">
        <f>IFERROR(__xludf.DUMMYFUNCTION("""COMPUTED_VALUE"""),"")</f>
        <v/>
      </c>
      <c r="I333" s="51" t="str">
        <f>IFERROR(__xludf.DUMMYFUNCTION("""COMPUTED_VALUE"""),"#VALUE!")</f>
        <v>#VALUE!</v>
      </c>
      <c r="J333" s="51" t="str">
        <f>IFERROR(__xludf.DUMMYFUNCTION("""COMPUTED_VALUE"""),"")</f>
        <v/>
      </c>
      <c r="K333" s="51"/>
      <c r="L333" s="51" t="s">
        <v>257</v>
      </c>
      <c r="M333" s="51"/>
      <c r="N333" s="51"/>
      <c r="O333" s="51"/>
      <c r="P333" s="51"/>
      <c r="Q333" s="51"/>
      <c r="R333" s="51"/>
      <c r="S333" s="51"/>
      <c r="T333" s="51"/>
    </row>
    <row r="334">
      <c r="A334" s="51"/>
      <c r="B334" s="51"/>
      <c r="C334" s="56"/>
      <c r="D334" s="51"/>
      <c r="E334" s="51"/>
      <c r="F334" s="51"/>
      <c r="G334" s="51" t="str">
        <f>IFERROR(__xludf.DUMMYFUNCTION("""COMPUTED_VALUE"""),"#VALUE!")</f>
        <v>#VALUE!</v>
      </c>
      <c r="H334" s="51" t="str">
        <f>IFERROR(__xludf.DUMMYFUNCTION("""COMPUTED_VALUE"""),"")</f>
        <v/>
      </c>
      <c r="I334" s="51" t="str">
        <f>IFERROR(__xludf.DUMMYFUNCTION("""COMPUTED_VALUE"""),"#VALUE!")</f>
        <v>#VALUE!</v>
      </c>
      <c r="J334" s="51" t="str">
        <f>IFERROR(__xludf.DUMMYFUNCTION("""COMPUTED_VALUE"""),"")</f>
        <v/>
      </c>
      <c r="K334" s="51"/>
      <c r="L334" s="51" t="s">
        <v>257</v>
      </c>
      <c r="M334" s="51"/>
      <c r="N334" s="51"/>
      <c r="O334" s="51"/>
      <c r="P334" s="51"/>
      <c r="Q334" s="51"/>
      <c r="R334" s="51"/>
      <c r="S334" s="51"/>
      <c r="T334" s="51"/>
    </row>
    <row r="335">
      <c r="A335" s="51"/>
      <c r="B335" s="51"/>
      <c r="C335" s="56"/>
      <c r="D335" s="51"/>
      <c r="E335" s="51"/>
      <c r="F335" s="51"/>
      <c r="G335" s="51" t="str">
        <f>IFERROR(__xludf.DUMMYFUNCTION("""COMPUTED_VALUE"""),"#VALUE!")</f>
        <v>#VALUE!</v>
      </c>
      <c r="H335" s="51" t="str">
        <f>IFERROR(__xludf.DUMMYFUNCTION("""COMPUTED_VALUE"""),"")</f>
        <v/>
      </c>
      <c r="I335" s="51" t="str">
        <f>IFERROR(__xludf.DUMMYFUNCTION("""COMPUTED_VALUE"""),"#VALUE!")</f>
        <v>#VALUE!</v>
      </c>
      <c r="J335" s="51" t="str">
        <f>IFERROR(__xludf.DUMMYFUNCTION("""COMPUTED_VALUE"""),"")</f>
        <v/>
      </c>
      <c r="K335" s="51"/>
      <c r="L335" s="51" t="s">
        <v>257</v>
      </c>
      <c r="M335" s="51"/>
      <c r="N335" s="51"/>
      <c r="O335" s="51"/>
      <c r="P335" s="51"/>
      <c r="Q335" s="51"/>
      <c r="R335" s="51"/>
      <c r="S335" s="51"/>
      <c r="T335" s="51"/>
    </row>
    <row r="336">
      <c r="A336" s="51"/>
      <c r="B336" s="51"/>
      <c r="C336" s="56"/>
      <c r="D336" s="51"/>
      <c r="E336" s="51"/>
      <c r="F336" s="51"/>
      <c r="G336" s="51" t="str">
        <f>IFERROR(__xludf.DUMMYFUNCTION("""COMPUTED_VALUE"""),"#VALUE!")</f>
        <v>#VALUE!</v>
      </c>
      <c r="H336" s="51" t="str">
        <f>IFERROR(__xludf.DUMMYFUNCTION("""COMPUTED_VALUE"""),"")</f>
        <v/>
      </c>
      <c r="I336" s="51" t="str">
        <f>IFERROR(__xludf.DUMMYFUNCTION("""COMPUTED_VALUE"""),"#VALUE!")</f>
        <v>#VALUE!</v>
      </c>
      <c r="J336" s="51" t="str">
        <f>IFERROR(__xludf.DUMMYFUNCTION("""COMPUTED_VALUE"""),"")</f>
        <v/>
      </c>
      <c r="K336" s="51"/>
      <c r="L336" s="51" t="s">
        <v>257</v>
      </c>
      <c r="M336" s="51"/>
      <c r="N336" s="51"/>
      <c r="O336" s="51"/>
      <c r="P336" s="51"/>
      <c r="Q336" s="51"/>
      <c r="R336" s="51"/>
      <c r="S336" s="51"/>
      <c r="T336" s="51"/>
    </row>
    <row r="337">
      <c r="A337" s="51"/>
      <c r="B337" s="51"/>
      <c r="C337" s="56"/>
      <c r="D337" s="51"/>
      <c r="E337" s="51"/>
      <c r="F337" s="51"/>
      <c r="G337" s="51" t="str">
        <f>IFERROR(__xludf.DUMMYFUNCTION("""COMPUTED_VALUE"""),"#VALUE!")</f>
        <v>#VALUE!</v>
      </c>
      <c r="H337" s="51" t="str">
        <f>IFERROR(__xludf.DUMMYFUNCTION("""COMPUTED_VALUE"""),"")</f>
        <v/>
      </c>
      <c r="I337" s="51" t="str">
        <f>IFERROR(__xludf.DUMMYFUNCTION("""COMPUTED_VALUE"""),"#VALUE!")</f>
        <v>#VALUE!</v>
      </c>
      <c r="J337" s="51" t="str">
        <f>IFERROR(__xludf.DUMMYFUNCTION("""COMPUTED_VALUE"""),"")</f>
        <v/>
      </c>
      <c r="K337" s="51"/>
      <c r="L337" s="51" t="s">
        <v>257</v>
      </c>
      <c r="M337" s="51"/>
      <c r="N337" s="51"/>
      <c r="O337" s="51"/>
      <c r="P337" s="51"/>
      <c r="Q337" s="51"/>
      <c r="R337" s="51"/>
      <c r="S337" s="51"/>
      <c r="T337" s="51"/>
    </row>
    <row r="338">
      <c r="A338" s="51"/>
      <c r="B338" s="51"/>
      <c r="C338" s="56"/>
      <c r="D338" s="51"/>
      <c r="E338" s="51"/>
      <c r="F338" s="51"/>
      <c r="G338" s="51" t="str">
        <f>IFERROR(__xludf.DUMMYFUNCTION("""COMPUTED_VALUE"""),"#VALUE!")</f>
        <v>#VALUE!</v>
      </c>
      <c r="H338" s="51" t="str">
        <f>IFERROR(__xludf.DUMMYFUNCTION("""COMPUTED_VALUE"""),"")</f>
        <v/>
      </c>
      <c r="I338" s="51" t="str">
        <f>IFERROR(__xludf.DUMMYFUNCTION("""COMPUTED_VALUE"""),"#VALUE!")</f>
        <v>#VALUE!</v>
      </c>
      <c r="J338" s="51" t="str">
        <f>IFERROR(__xludf.DUMMYFUNCTION("""COMPUTED_VALUE"""),"")</f>
        <v/>
      </c>
      <c r="K338" s="51"/>
      <c r="L338" s="51" t="s">
        <v>257</v>
      </c>
      <c r="M338" s="51"/>
      <c r="N338" s="51"/>
      <c r="O338" s="51"/>
      <c r="P338" s="51"/>
      <c r="Q338" s="51"/>
      <c r="R338" s="51"/>
      <c r="S338" s="51"/>
      <c r="T338" s="51"/>
    </row>
    <row r="339">
      <c r="A339" s="51"/>
      <c r="B339" s="51"/>
      <c r="C339" s="56"/>
      <c r="D339" s="51"/>
      <c r="E339" s="51"/>
      <c r="F339" s="51"/>
      <c r="G339" s="51" t="str">
        <f>IFERROR(__xludf.DUMMYFUNCTION("""COMPUTED_VALUE"""),"#VALUE!")</f>
        <v>#VALUE!</v>
      </c>
      <c r="H339" s="51" t="str">
        <f>IFERROR(__xludf.DUMMYFUNCTION("""COMPUTED_VALUE"""),"")</f>
        <v/>
      </c>
      <c r="I339" s="51" t="str">
        <f>IFERROR(__xludf.DUMMYFUNCTION("""COMPUTED_VALUE"""),"#VALUE!")</f>
        <v>#VALUE!</v>
      </c>
      <c r="J339" s="51" t="str">
        <f>IFERROR(__xludf.DUMMYFUNCTION("""COMPUTED_VALUE"""),"")</f>
        <v/>
      </c>
      <c r="K339" s="51"/>
      <c r="L339" s="51" t="s">
        <v>257</v>
      </c>
      <c r="M339" s="51"/>
      <c r="N339" s="51"/>
      <c r="O339" s="51"/>
      <c r="P339" s="51"/>
      <c r="Q339" s="51"/>
      <c r="R339" s="51"/>
      <c r="S339" s="51"/>
      <c r="T339" s="51"/>
    </row>
    <row r="340">
      <c r="A340" s="51"/>
      <c r="B340" s="51"/>
      <c r="C340" s="56"/>
      <c r="D340" s="51"/>
      <c r="E340" s="51"/>
      <c r="F340" s="51"/>
      <c r="G340" s="51" t="str">
        <f>IFERROR(__xludf.DUMMYFUNCTION("""COMPUTED_VALUE"""),"#VALUE!")</f>
        <v>#VALUE!</v>
      </c>
      <c r="H340" s="51" t="str">
        <f>IFERROR(__xludf.DUMMYFUNCTION("""COMPUTED_VALUE"""),"")</f>
        <v/>
      </c>
      <c r="I340" s="51" t="str">
        <f>IFERROR(__xludf.DUMMYFUNCTION("""COMPUTED_VALUE"""),"#VALUE!")</f>
        <v>#VALUE!</v>
      </c>
      <c r="J340" s="51" t="str">
        <f>IFERROR(__xludf.DUMMYFUNCTION("""COMPUTED_VALUE"""),"")</f>
        <v/>
      </c>
      <c r="K340" s="51"/>
      <c r="L340" s="51" t="s">
        <v>257</v>
      </c>
      <c r="M340" s="51"/>
      <c r="N340" s="51"/>
      <c r="O340" s="51"/>
      <c r="P340" s="51"/>
      <c r="Q340" s="51"/>
      <c r="R340" s="51"/>
      <c r="S340" s="51"/>
      <c r="T340" s="51"/>
    </row>
    <row r="341">
      <c r="A341" s="51"/>
      <c r="B341" s="51"/>
      <c r="C341" s="56"/>
      <c r="D341" s="51"/>
      <c r="E341" s="51"/>
      <c r="F341" s="51"/>
      <c r="G341" s="51" t="str">
        <f>IFERROR(__xludf.DUMMYFUNCTION("""COMPUTED_VALUE"""),"#VALUE!")</f>
        <v>#VALUE!</v>
      </c>
      <c r="H341" s="51" t="str">
        <f>IFERROR(__xludf.DUMMYFUNCTION("""COMPUTED_VALUE"""),"")</f>
        <v/>
      </c>
      <c r="I341" s="51" t="str">
        <f>IFERROR(__xludf.DUMMYFUNCTION("""COMPUTED_VALUE"""),"#VALUE!")</f>
        <v>#VALUE!</v>
      </c>
      <c r="J341" s="51" t="str">
        <f>IFERROR(__xludf.DUMMYFUNCTION("""COMPUTED_VALUE"""),"")</f>
        <v/>
      </c>
      <c r="K341" s="51"/>
      <c r="L341" s="51" t="s">
        <v>257</v>
      </c>
      <c r="M341" s="51"/>
      <c r="N341" s="51"/>
      <c r="O341" s="51"/>
      <c r="P341" s="51"/>
      <c r="Q341" s="51"/>
      <c r="R341" s="51"/>
      <c r="S341" s="51"/>
      <c r="T341" s="51"/>
    </row>
    <row r="342">
      <c r="A342" s="51"/>
      <c r="B342" s="51"/>
      <c r="C342" s="56"/>
      <c r="D342" s="51"/>
      <c r="E342" s="51"/>
      <c r="F342" s="51"/>
      <c r="G342" s="51" t="str">
        <f>IFERROR(__xludf.DUMMYFUNCTION("""COMPUTED_VALUE"""),"#VALUE!")</f>
        <v>#VALUE!</v>
      </c>
      <c r="H342" s="51" t="str">
        <f>IFERROR(__xludf.DUMMYFUNCTION("""COMPUTED_VALUE"""),"")</f>
        <v/>
      </c>
      <c r="I342" s="51" t="str">
        <f>IFERROR(__xludf.DUMMYFUNCTION("""COMPUTED_VALUE"""),"#VALUE!")</f>
        <v>#VALUE!</v>
      </c>
      <c r="J342" s="51" t="str">
        <f>IFERROR(__xludf.DUMMYFUNCTION("""COMPUTED_VALUE"""),"")</f>
        <v/>
      </c>
      <c r="K342" s="51"/>
      <c r="L342" s="51" t="s">
        <v>257</v>
      </c>
      <c r="M342" s="51"/>
      <c r="N342" s="51"/>
      <c r="O342" s="51"/>
      <c r="P342" s="51"/>
      <c r="Q342" s="51"/>
      <c r="R342" s="51"/>
      <c r="S342" s="51"/>
      <c r="T342" s="51"/>
    </row>
    <row r="343">
      <c r="A343" s="51"/>
      <c r="B343" s="51"/>
      <c r="C343" s="56"/>
      <c r="D343" s="51"/>
      <c r="E343" s="51"/>
      <c r="F343" s="51"/>
      <c r="G343" s="51" t="str">
        <f>IFERROR(__xludf.DUMMYFUNCTION("""COMPUTED_VALUE"""),"#VALUE!")</f>
        <v>#VALUE!</v>
      </c>
      <c r="H343" s="51" t="str">
        <f>IFERROR(__xludf.DUMMYFUNCTION("""COMPUTED_VALUE"""),"")</f>
        <v/>
      </c>
      <c r="I343" s="51" t="str">
        <f>IFERROR(__xludf.DUMMYFUNCTION("""COMPUTED_VALUE"""),"#VALUE!")</f>
        <v>#VALUE!</v>
      </c>
      <c r="J343" s="51" t="str">
        <f>IFERROR(__xludf.DUMMYFUNCTION("""COMPUTED_VALUE"""),"")</f>
        <v/>
      </c>
      <c r="K343" s="51"/>
      <c r="L343" s="51" t="s">
        <v>257</v>
      </c>
      <c r="M343" s="51"/>
      <c r="N343" s="51"/>
      <c r="O343" s="51"/>
      <c r="P343" s="51"/>
      <c r="Q343" s="51"/>
      <c r="R343" s="51"/>
      <c r="S343" s="51"/>
      <c r="T343" s="51"/>
    </row>
    <row r="344">
      <c r="A344" s="51"/>
      <c r="B344" s="51"/>
      <c r="C344" s="56"/>
      <c r="D344" s="51"/>
      <c r="E344" s="51"/>
      <c r="F344" s="51"/>
      <c r="G344" s="51" t="str">
        <f>IFERROR(__xludf.DUMMYFUNCTION("""COMPUTED_VALUE"""),"#VALUE!")</f>
        <v>#VALUE!</v>
      </c>
      <c r="H344" s="51" t="str">
        <f>IFERROR(__xludf.DUMMYFUNCTION("""COMPUTED_VALUE"""),"")</f>
        <v/>
      </c>
      <c r="I344" s="51" t="str">
        <f>IFERROR(__xludf.DUMMYFUNCTION("""COMPUTED_VALUE"""),"#VALUE!")</f>
        <v>#VALUE!</v>
      </c>
      <c r="J344" s="51" t="str">
        <f>IFERROR(__xludf.DUMMYFUNCTION("""COMPUTED_VALUE"""),"")</f>
        <v/>
      </c>
      <c r="K344" s="51"/>
      <c r="L344" s="51" t="s">
        <v>257</v>
      </c>
      <c r="M344" s="51"/>
      <c r="N344" s="51"/>
      <c r="O344" s="51"/>
      <c r="P344" s="51"/>
      <c r="Q344" s="51"/>
      <c r="R344" s="51"/>
      <c r="S344" s="51"/>
      <c r="T344" s="51"/>
    </row>
    <row r="345">
      <c r="A345" s="51"/>
      <c r="B345" s="51"/>
      <c r="C345" s="56"/>
      <c r="D345" s="51"/>
      <c r="E345" s="51"/>
      <c r="F345" s="51"/>
      <c r="G345" s="51" t="str">
        <f>IFERROR(__xludf.DUMMYFUNCTION("""COMPUTED_VALUE"""),"#VALUE!")</f>
        <v>#VALUE!</v>
      </c>
      <c r="H345" s="51" t="str">
        <f>IFERROR(__xludf.DUMMYFUNCTION("""COMPUTED_VALUE"""),"")</f>
        <v/>
      </c>
      <c r="I345" s="51" t="str">
        <f>IFERROR(__xludf.DUMMYFUNCTION("""COMPUTED_VALUE"""),"#VALUE!")</f>
        <v>#VALUE!</v>
      </c>
      <c r="J345" s="51" t="str">
        <f>IFERROR(__xludf.DUMMYFUNCTION("""COMPUTED_VALUE"""),"")</f>
        <v/>
      </c>
      <c r="K345" s="51"/>
      <c r="L345" s="51" t="s">
        <v>257</v>
      </c>
      <c r="M345" s="51"/>
      <c r="N345" s="51"/>
      <c r="O345" s="51"/>
      <c r="P345" s="51"/>
      <c r="Q345" s="51"/>
      <c r="R345" s="51"/>
      <c r="S345" s="51"/>
      <c r="T345" s="51"/>
    </row>
    <row r="346">
      <c r="A346" s="51"/>
      <c r="B346" s="51"/>
      <c r="C346" s="56"/>
      <c r="D346" s="51"/>
      <c r="E346" s="51"/>
      <c r="F346" s="51"/>
      <c r="G346" s="51" t="str">
        <f>IFERROR(__xludf.DUMMYFUNCTION("""COMPUTED_VALUE"""),"#VALUE!")</f>
        <v>#VALUE!</v>
      </c>
      <c r="H346" s="51" t="str">
        <f>IFERROR(__xludf.DUMMYFUNCTION("""COMPUTED_VALUE"""),"")</f>
        <v/>
      </c>
      <c r="I346" s="51" t="str">
        <f>IFERROR(__xludf.DUMMYFUNCTION("""COMPUTED_VALUE"""),"#VALUE!")</f>
        <v>#VALUE!</v>
      </c>
      <c r="J346" s="51" t="str">
        <f>IFERROR(__xludf.DUMMYFUNCTION("""COMPUTED_VALUE"""),"")</f>
        <v/>
      </c>
      <c r="K346" s="51"/>
      <c r="L346" s="51" t="s">
        <v>257</v>
      </c>
      <c r="M346" s="51"/>
      <c r="N346" s="51"/>
      <c r="O346" s="51"/>
      <c r="P346" s="51"/>
      <c r="Q346" s="51"/>
      <c r="R346" s="51"/>
      <c r="S346" s="51"/>
      <c r="T346" s="51"/>
    </row>
    <row r="347">
      <c r="A347" s="51"/>
      <c r="B347" s="51"/>
      <c r="C347" s="56"/>
      <c r="D347" s="51"/>
      <c r="E347" s="51"/>
      <c r="F347" s="51"/>
      <c r="G347" s="51" t="str">
        <f>IFERROR(__xludf.DUMMYFUNCTION("""COMPUTED_VALUE"""),"#VALUE!")</f>
        <v>#VALUE!</v>
      </c>
      <c r="H347" s="51" t="str">
        <f>IFERROR(__xludf.DUMMYFUNCTION("""COMPUTED_VALUE"""),"")</f>
        <v/>
      </c>
      <c r="I347" s="51" t="str">
        <f>IFERROR(__xludf.DUMMYFUNCTION("""COMPUTED_VALUE"""),"#VALUE!")</f>
        <v>#VALUE!</v>
      </c>
      <c r="J347" s="51" t="str">
        <f>IFERROR(__xludf.DUMMYFUNCTION("""COMPUTED_VALUE"""),"")</f>
        <v/>
      </c>
      <c r="K347" s="51"/>
      <c r="L347" s="51" t="s">
        <v>257</v>
      </c>
      <c r="M347" s="51"/>
      <c r="N347" s="51"/>
      <c r="O347" s="51"/>
      <c r="P347" s="51"/>
      <c r="Q347" s="51"/>
      <c r="R347" s="51"/>
      <c r="S347" s="51"/>
      <c r="T347" s="51"/>
    </row>
    <row r="348">
      <c r="A348" s="51"/>
      <c r="B348" s="51"/>
      <c r="C348" s="56"/>
      <c r="D348" s="51"/>
      <c r="E348" s="51"/>
      <c r="F348" s="51"/>
      <c r="G348" s="51" t="str">
        <f>IFERROR(__xludf.DUMMYFUNCTION("""COMPUTED_VALUE"""),"#VALUE!")</f>
        <v>#VALUE!</v>
      </c>
      <c r="H348" s="51" t="str">
        <f>IFERROR(__xludf.DUMMYFUNCTION("""COMPUTED_VALUE"""),"")</f>
        <v/>
      </c>
      <c r="I348" s="51" t="str">
        <f>IFERROR(__xludf.DUMMYFUNCTION("""COMPUTED_VALUE"""),"#VALUE!")</f>
        <v>#VALUE!</v>
      </c>
      <c r="J348" s="51" t="str">
        <f>IFERROR(__xludf.DUMMYFUNCTION("""COMPUTED_VALUE"""),"")</f>
        <v/>
      </c>
      <c r="K348" s="51"/>
      <c r="L348" s="51" t="s">
        <v>257</v>
      </c>
      <c r="M348" s="51"/>
      <c r="N348" s="51"/>
      <c r="O348" s="51"/>
      <c r="P348" s="51"/>
      <c r="Q348" s="51"/>
      <c r="R348" s="51"/>
      <c r="S348" s="51"/>
      <c r="T348" s="51"/>
    </row>
    <row r="349">
      <c r="A349" s="51"/>
      <c r="B349" s="51"/>
      <c r="C349" s="56"/>
      <c r="D349" s="51"/>
      <c r="E349" s="51"/>
      <c r="F349" s="51"/>
      <c r="G349" s="51" t="str">
        <f>IFERROR(__xludf.DUMMYFUNCTION("""COMPUTED_VALUE"""),"#VALUE!")</f>
        <v>#VALUE!</v>
      </c>
      <c r="H349" s="51" t="str">
        <f>IFERROR(__xludf.DUMMYFUNCTION("""COMPUTED_VALUE"""),"")</f>
        <v/>
      </c>
      <c r="I349" s="51" t="str">
        <f>IFERROR(__xludf.DUMMYFUNCTION("""COMPUTED_VALUE"""),"#VALUE!")</f>
        <v>#VALUE!</v>
      </c>
      <c r="J349" s="51" t="str">
        <f>IFERROR(__xludf.DUMMYFUNCTION("""COMPUTED_VALUE"""),"")</f>
        <v/>
      </c>
      <c r="K349" s="51"/>
      <c r="L349" s="51" t="s">
        <v>257</v>
      </c>
      <c r="M349" s="51"/>
      <c r="N349" s="51"/>
      <c r="O349" s="51"/>
      <c r="P349" s="51"/>
      <c r="Q349" s="51"/>
      <c r="R349" s="51"/>
      <c r="S349" s="51"/>
      <c r="T349" s="51"/>
    </row>
    <row r="350">
      <c r="A350" s="51"/>
      <c r="B350" s="51"/>
      <c r="C350" s="56"/>
      <c r="D350" s="51"/>
      <c r="E350" s="51"/>
      <c r="F350" s="51"/>
      <c r="G350" s="51" t="str">
        <f>IFERROR(__xludf.DUMMYFUNCTION("""COMPUTED_VALUE"""),"#VALUE!")</f>
        <v>#VALUE!</v>
      </c>
      <c r="H350" s="51" t="str">
        <f>IFERROR(__xludf.DUMMYFUNCTION("""COMPUTED_VALUE"""),"")</f>
        <v/>
      </c>
      <c r="I350" s="51" t="str">
        <f>IFERROR(__xludf.DUMMYFUNCTION("""COMPUTED_VALUE"""),"#VALUE!")</f>
        <v>#VALUE!</v>
      </c>
      <c r="J350" s="51" t="str">
        <f>IFERROR(__xludf.DUMMYFUNCTION("""COMPUTED_VALUE"""),"")</f>
        <v/>
      </c>
      <c r="K350" s="51"/>
      <c r="L350" s="51" t="s">
        <v>257</v>
      </c>
      <c r="M350" s="51"/>
      <c r="N350" s="51"/>
      <c r="O350" s="51"/>
      <c r="P350" s="51"/>
      <c r="Q350" s="51"/>
      <c r="R350" s="51"/>
      <c r="S350" s="51"/>
      <c r="T350" s="51"/>
    </row>
    <row r="351">
      <c r="A351" s="51"/>
      <c r="B351" s="51"/>
      <c r="C351" s="56"/>
      <c r="D351" s="51"/>
      <c r="E351" s="51"/>
      <c r="F351" s="51"/>
      <c r="G351" s="51" t="str">
        <f>IFERROR(__xludf.DUMMYFUNCTION("""COMPUTED_VALUE"""),"#VALUE!")</f>
        <v>#VALUE!</v>
      </c>
      <c r="H351" s="51" t="str">
        <f>IFERROR(__xludf.DUMMYFUNCTION("""COMPUTED_VALUE"""),"")</f>
        <v/>
      </c>
      <c r="I351" s="51" t="str">
        <f>IFERROR(__xludf.DUMMYFUNCTION("""COMPUTED_VALUE"""),"#VALUE!")</f>
        <v>#VALUE!</v>
      </c>
      <c r="J351" s="51" t="str">
        <f>IFERROR(__xludf.DUMMYFUNCTION("""COMPUTED_VALUE"""),"")</f>
        <v/>
      </c>
      <c r="K351" s="51"/>
      <c r="L351" s="51" t="s">
        <v>257</v>
      </c>
      <c r="M351" s="51"/>
      <c r="N351" s="51"/>
      <c r="O351" s="51"/>
      <c r="P351" s="51"/>
      <c r="Q351" s="51"/>
      <c r="R351" s="51"/>
      <c r="S351" s="51"/>
      <c r="T351" s="51"/>
    </row>
    <row r="352">
      <c r="A352" s="51"/>
      <c r="B352" s="51"/>
      <c r="C352" s="56"/>
      <c r="D352" s="51"/>
      <c r="E352" s="51"/>
      <c r="F352" s="51"/>
      <c r="G352" s="51" t="str">
        <f>IFERROR(__xludf.DUMMYFUNCTION("""COMPUTED_VALUE"""),"#VALUE!")</f>
        <v>#VALUE!</v>
      </c>
      <c r="H352" s="51" t="str">
        <f>IFERROR(__xludf.DUMMYFUNCTION("""COMPUTED_VALUE"""),"")</f>
        <v/>
      </c>
      <c r="I352" s="51" t="str">
        <f>IFERROR(__xludf.DUMMYFUNCTION("""COMPUTED_VALUE"""),"#VALUE!")</f>
        <v>#VALUE!</v>
      </c>
      <c r="J352" s="51" t="str">
        <f>IFERROR(__xludf.DUMMYFUNCTION("""COMPUTED_VALUE"""),"")</f>
        <v/>
      </c>
      <c r="K352" s="51"/>
      <c r="L352" s="51" t="s">
        <v>257</v>
      </c>
      <c r="M352" s="51"/>
      <c r="N352" s="51"/>
      <c r="O352" s="51"/>
      <c r="P352" s="51"/>
      <c r="Q352" s="51"/>
      <c r="R352" s="51"/>
      <c r="S352" s="51"/>
      <c r="T352" s="51"/>
    </row>
    <row r="353">
      <c r="A353" s="51"/>
      <c r="B353" s="51"/>
      <c r="C353" s="56"/>
      <c r="D353" s="51"/>
      <c r="E353" s="51"/>
      <c r="F353" s="51"/>
      <c r="G353" s="51" t="str">
        <f>IFERROR(__xludf.DUMMYFUNCTION("""COMPUTED_VALUE"""),"#VALUE!")</f>
        <v>#VALUE!</v>
      </c>
      <c r="H353" s="51" t="str">
        <f>IFERROR(__xludf.DUMMYFUNCTION("""COMPUTED_VALUE"""),"")</f>
        <v/>
      </c>
      <c r="I353" s="51" t="str">
        <f>IFERROR(__xludf.DUMMYFUNCTION("""COMPUTED_VALUE"""),"#VALUE!")</f>
        <v>#VALUE!</v>
      </c>
      <c r="J353" s="51" t="str">
        <f>IFERROR(__xludf.DUMMYFUNCTION("""COMPUTED_VALUE"""),"")</f>
        <v/>
      </c>
      <c r="K353" s="51"/>
      <c r="L353" s="51" t="s">
        <v>257</v>
      </c>
      <c r="M353" s="51"/>
      <c r="N353" s="51"/>
      <c r="O353" s="51"/>
      <c r="P353" s="51"/>
      <c r="Q353" s="51"/>
      <c r="R353" s="51"/>
      <c r="S353" s="51"/>
      <c r="T353" s="51"/>
    </row>
    <row r="354">
      <c r="A354" s="51"/>
      <c r="B354" s="51"/>
      <c r="C354" s="56"/>
      <c r="D354" s="51"/>
      <c r="E354" s="51"/>
      <c r="F354" s="51"/>
      <c r="G354" s="51" t="str">
        <f>IFERROR(__xludf.DUMMYFUNCTION("""COMPUTED_VALUE"""),"#VALUE!")</f>
        <v>#VALUE!</v>
      </c>
      <c r="H354" s="51" t="str">
        <f>IFERROR(__xludf.DUMMYFUNCTION("""COMPUTED_VALUE"""),"")</f>
        <v/>
      </c>
      <c r="I354" s="51" t="str">
        <f>IFERROR(__xludf.DUMMYFUNCTION("""COMPUTED_VALUE"""),"#VALUE!")</f>
        <v>#VALUE!</v>
      </c>
      <c r="J354" s="51" t="str">
        <f>IFERROR(__xludf.DUMMYFUNCTION("""COMPUTED_VALUE"""),"")</f>
        <v/>
      </c>
      <c r="K354" s="51"/>
      <c r="L354" s="51" t="s">
        <v>257</v>
      </c>
      <c r="M354" s="51"/>
      <c r="N354" s="51"/>
      <c r="O354" s="51"/>
      <c r="P354" s="51"/>
      <c r="Q354" s="51"/>
      <c r="R354" s="51"/>
      <c r="S354" s="51"/>
      <c r="T354" s="51"/>
    </row>
    <row r="355">
      <c r="A355" s="51"/>
      <c r="B355" s="51"/>
      <c r="C355" s="56"/>
      <c r="D355" s="51"/>
      <c r="E355" s="51"/>
      <c r="F355" s="51"/>
      <c r="G355" s="51" t="str">
        <f>IFERROR(__xludf.DUMMYFUNCTION("""COMPUTED_VALUE"""),"#VALUE!")</f>
        <v>#VALUE!</v>
      </c>
      <c r="H355" s="51" t="str">
        <f>IFERROR(__xludf.DUMMYFUNCTION("""COMPUTED_VALUE"""),"")</f>
        <v/>
      </c>
      <c r="I355" s="51" t="str">
        <f>IFERROR(__xludf.DUMMYFUNCTION("""COMPUTED_VALUE"""),"#VALUE!")</f>
        <v>#VALUE!</v>
      </c>
      <c r="J355" s="51" t="str">
        <f>IFERROR(__xludf.DUMMYFUNCTION("""COMPUTED_VALUE"""),"")</f>
        <v/>
      </c>
      <c r="K355" s="51"/>
      <c r="L355" s="51" t="s">
        <v>257</v>
      </c>
      <c r="M355" s="51"/>
      <c r="N355" s="51"/>
      <c r="O355" s="51"/>
      <c r="P355" s="51"/>
      <c r="Q355" s="51"/>
      <c r="R355" s="51"/>
      <c r="S355" s="51"/>
      <c r="T355" s="51"/>
    </row>
    <row r="356">
      <c r="A356" s="51"/>
      <c r="B356" s="51"/>
      <c r="C356" s="56"/>
      <c r="D356" s="51"/>
      <c r="E356" s="51"/>
      <c r="F356" s="51"/>
      <c r="G356" s="51" t="str">
        <f>IFERROR(__xludf.DUMMYFUNCTION("""COMPUTED_VALUE"""),"#VALUE!")</f>
        <v>#VALUE!</v>
      </c>
      <c r="H356" s="51" t="str">
        <f>IFERROR(__xludf.DUMMYFUNCTION("""COMPUTED_VALUE"""),"")</f>
        <v/>
      </c>
      <c r="I356" s="51" t="str">
        <f>IFERROR(__xludf.DUMMYFUNCTION("""COMPUTED_VALUE"""),"#VALUE!")</f>
        <v>#VALUE!</v>
      </c>
      <c r="J356" s="51" t="str">
        <f>IFERROR(__xludf.DUMMYFUNCTION("""COMPUTED_VALUE"""),"")</f>
        <v/>
      </c>
      <c r="K356" s="51"/>
      <c r="L356" s="51" t="s">
        <v>257</v>
      </c>
      <c r="M356" s="51"/>
      <c r="N356" s="51"/>
      <c r="O356" s="51"/>
      <c r="P356" s="51"/>
      <c r="Q356" s="51"/>
      <c r="R356" s="51"/>
      <c r="S356" s="51"/>
      <c r="T356" s="51"/>
    </row>
    <row r="357">
      <c r="A357" s="51"/>
      <c r="B357" s="51"/>
      <c r="C357" s="56"/>
      <c r="D357" s="51"/>
      <c r="E357" s="51"/>
      <c r="F357" s="51"/>
      <c r="G357" s="51" t="str">
        <f>IFERROR(__xludf.DUMMYFUNCTION("""COMPUTED_VALUE"""),"#VALUE!")</f>
        <v>#VALUE!</v>
      </c>
      <c r="H357" s="51" t="str">
        <f>IFERROR(__xludf.DUMMYFUNCTION("""COMPUTED_VALUE"""),"")</f>
        <v/>
      </c>
      <c r="I357" s="51" t="str">
        <f>IFERROR(__xludf.DUMMYFUNCTION("""COMPUTED_VALUE"""),"#VALUE!")</f>
        <v>#VALUE!</v>
      </c>
      <c r="J357" s="51" t="str">
        <f>IFERROR(__xludf.DUMMYFUNCTION("""COMPUTED_VALUE"""),"")</f>
        <v/>
      </c>
      <c r="K357" s="51"/>
      <c r="L357" s="51" t="s">
        <v>257</v>
      </c>
      <c r="M357" s="51"/>
      <c r="N357" s="51"/>
      <c r="O357" s="51"/>
      <c r="P357" s="51"/>
      <c r="Q357" s="51"/>
      <c r="R357" s="51"/>
      <c r="S357" s="51"/>
      <c r="T357" s="51"/>
    </row>
    <row r="358">
      <c r="A358" s="51"/>
      <c r="B358" s="51"/>
      <c r="C358" s="56"/>
      <c r="D358" s="51"/>
      <c r="E358" s="51"/>
      <c r="F358" s="51"/>
      <c r="G358" s="51" t="str">
        <f>IFERROR(__xludf.DUMMYFUNCTION("""COMPUTED_VALUE"""),"#VALUE!")</f>
        <v>#VALUE!</v>
      </c>
      <c r="H358" s="51" t="str">
        <f>IFERROR(__xludf.DUMMYFUNCTION("""COMPUTED_VALUE"""),"")</f>
        <v/>
      </c>
      <c r="I358" s="51" t="str">
        <f>IFERROR(__xludf.DUMMYFUNCTION("""COMPUTED_VALUE"""),"#VALUE!")</f>
        <v>#VALUE!</v>
      </c>
      <c r="J358" s="51" t="str">
        <f>IFERROR(__xludf.DUMMYFUNCTION("""COMPUTED_VALUE"""),"")</f>
        <v/>
      </c>
      <c r="K358" s="51"/>
      <c r="L358" s="51" t="s">
        <v>257</v>
      </c>
      <c r="M358" s="51"/>
      <c r="N358" s="51"/>
      <c r="O358" s="51"/>
      <c r="P358" s="51"/>
      <c r="Q358" s="51"/>
      <c r="R358" s="51"/>
      <c r="S358" s="51"/>
      <c r="T358" s="51"/>
    </row>
    <row r="359">
      <c r="A359" s="51"/>
      <c r="B359" s="51"/>
      <c r="C359" s="56"/>
      <c r="D359" s="51"/>
      <c r="E359" s="51"/>
      <c r="F359" s="51"/>
      <c r="G359" s="51" t="str">
        <f>IFERROR(__xludf.DUMMYFUNCTION("""COMPUTED_VALUE"""),"#VALUE!")</f>
        <v>#VALUE!</v>
      </c>
      <c r="H359" s="51" t="str">
        <f>IFERROR(__xludf.DUMMYFUNCTION("""COMPUTED_VALUE"""),"")</f>
        <v/>
      </c>
      <c r="I359" s="51" t="str">
        <f>IFERROR(__xludf.DUMMYFUNCTION("""COMPUTED_VALUE"""),"#VALUE!")</f>
        <v>#VALUE!</v>
      </c>
      <c r="J359" s="51" t="str">
        <f>IFERROR(__xludf.DUMMYFUNCTION("""COMPUTED_VALUE"""),"")</f>
        <v/>
      </c>
      <c r="K359" s="51"/>
      <c r="L359" s="51" t="s">
        <v>257</v>
      </c>
      <c r="M359" s="51"/>
      <c r="N359" s="51"/>
      <c r="O359" s="51"/>
      <c r="P359" s="51"/>
      <c r="Q359" s="51"/>
      <c r="R359" s="51"/>
      <c r="S359" s="51"/>
      <c r="T359" s="51"/>
    </row>
    <row r="360">
      <c r="A360" s="51"/>
      <c r="B360" s="51"/>
      <c r="C360" s="56"/>
      <c r="D360" s="51"/>
      <c r="E360" s="51"/>
      <c r="F360" s="51"/>
      <c r="G360" s="51" t="str">
        <f>IFERROR(__xludf.DUMMYFUNCTION("""COMPUTED_VALUE"""),"#VALUE!")</f>
        <v>#VALUE!</v>
      </c>
      <c r="H360" s="51" t="str">
        <f>IFERROR(__xludf.DUMMYFUNCTION("""COMPUTED_VALUE"""),"")</f>
        <v/>
      </c>
      <c r="I360" s="51" t="str">
        <f>IFERROR(__xludf.DUMMYFUNCTION("""COMPUTED_VALUE"""),"#VALUE!")</f>
        <v>#VALUE!</v>
      </c>
      <c r="J360" s="51" t="str">
        <f>IFERROR(__xludf.DUMMYFUNCTION("""COMPUTED_VALUE"""),"")</f>
        <v/>
      </c>
      <c r="K360" s="51"/>
      <c r="L360" s="51" t="s">
        <v>257</v>
      </c>
      <c r="M360" s="51"/>
      <c r="N360" s="51"/>
      <c r="O360" s="51"/>
      <c r="P360" s="51"/>
      <c r="Q360" s="51"/>
      <c r="R360" s="51"/>
      <c r="S360" s="51"/>
      <c r="T360" s="51"/>
    </row>
    <row r="361">
      <c r="A361" s="51"/>
      <c r="B361" s="51"/>
      <c r="C361" s="56"/>
      <c r="D361" s="51"/>
      <c r="E361" s="51"/>
      <c r="F361" s="51"/>
      <c r="G361" s="51" t="str">
        <f>IFERROR(__xludf.DUMMYFUNCTION("""COMPUTED_VALUE"""),"#VALUE!")</f>
        <v>#VALUE!</v>
      </c>
      <c r="H361" s="51" t="str">
        <f>IFERROR(__xludf.DUMMYFUNCTION("""COMPUTED_VALUE"""),"")</f>
        <v/>
      </c>
      <c r="I361" s="51" t="str">
        <f>IFERROR(__xludf.DUMMYFUNCTION("""COMPUTED_VALUE"""),"#VALUE!")</f>
        <v>#VALUE!</v>
      </c>
      <c r="J361" s="51" t="str">
        <f>IFERROR(__xludf.DUMMYFUNCTION("""COMPUTED_VALUE"""),"")</f>
        <v/>
      </c>
      <c r="K361" s="51"/>
      <c r="L361" s="51" t="s">
        <v>257</v>
      </c>
      <c r="M361" s="51"/>
      <c r="N361" s="51"/>
      <c r="O361" s="51"/>
      <c r="P361" s="51"/>
      <c r="Q361" s="51"/>
      <c r="R361" s="51"/>
      <c r="S361" s="51"/>
      <c r="T361" s="51"/>
    </row>
    <row r="362">
      <c r="A362" s="51"/>
      <c r="B362" s="51"/>
      <c r="C362" s="56"/>
      <c r="D362" s="51"/>
      <c r="E362" s="51"/>
      <c r="F362" s="51"/>
      <c r="G362" s="51" t="str">
        <f>IFERROR(__xludf.DUMMYFUNCTION("""COMPUTED_VALUE"""),"#VALUE!")</f>
        <v>#VALUE!</v>
      </c>
      <c r="H362" s="51" t="str">
        <f>IFERROR(__xludf.DUMMYFUNCTION("""COMPUTED_VALUE"""),"")</f>
        <v/>
      </c>
      <c r="I362" s="51" t="str">
        <f>IFERROR(__xludf.DUMMYFUNCTION("""COMPUTED_VALUE"""),"#VALUE!")</f>
        <v>#VALUE!</v>
      </c>
      <c r="J362" s="51" t="str">
        <f>IFERROR(__xludf.DUMMYFUNCTION("""COMPUTED_VALUE"""),"")</f>
        <v/>
      </c>
      <c r="K362" s="51"/>
      <c r="L362" s="51" t="s">
        <v>257</v>
      </c>
      <c r="M362" s="51"/>
      <c r="N362" s="51"/>
      <c r="O362" s="51"/>
      <c r="P362" s="51"/>
      <c r="Q362" s="51"/>
      <c r="R362" s="51"/>
      <c r="S362" s="51"/>
      <c r="T362" s="51"/>
    </row>
    <row r="363">
      <c r="A363" s="51"/>
      <c r="B363" s="51"/>
      <c r="C363" s="56"/>
      <c r="D363" s="51"/>
      <c r="E363" s="51"/>
      <c r="F363" s="51"/>
      <c r="G363" s="51" t="str">
        <f>IFERROR(__xludf.DUMMYFUNCTION("""COMPUTED_VALUE"""),"#VALUE!")</f>
        <v>#VALUE!</v>
      </c>
      <c r="H363" s="51" t="str">
        <f>IFERROR(__xludf.DUMMYFUNCTION("""COMPUTED_VALUE"""),"")</f>
        <v/>
      </c>
      <c r="I363" s="51" t="str">
        <f>IFERROR(__xludf.DUMMYFUNCTION("""COMPUTED_VALUE"""),"#VALUE!")</f>
        <v>#VALUE!</v>
      </c>
      <c r="J363" s="51" t="str">
        <f>IFERROR(__xludf.DUMMYFUNCTION("""COMPUTED_VALUE"""),"")</f>
        <v/>
      </c>
      <c r="K363" s="51"/>
      <c r="L363" s="51" t="s">
        <v>257</v>
      </c>
      <c r="M363" s="51"/>
      <c r="N363" s="51"/>
      <c r="O363" s="51"/>
      <c r="P363" s="51"/>
      <c r="Q363" s="51"/>
      <c r="R363" s="51"/>
      <c r="S363" s="51"/>
      <c r="T363" s="51"/>
    </row>
    <row r="364">
      <c r="A364" s="51"/>
      <c r="B364" s="51"/>
      <c r="C364" s="56"/>
      <c r="D364" s="51"/>
      <c r="E364" s="51"/>
      <c r="F364" s="51"/>
      <c r="G364" s="51" t="str">
        <f>IFERROR(__xludf.DUMMYFUNCTION("""COMPUTED_VALUE"""),"#VALUE!")</f>
        <v>#VALUE!</v>
      </c>
      <c r="H364" s="51" t="str">
        <f>IFERROR(__xludf.DUMMYFUNCTION("""COMPUTED_VALUE"""),"")</f>
        <v/>
      </c>
      <c r="I364" s="51" t="str">
        <f>IFERROR(__xludf.DUMMYFUNCTION("""COMPUTED_VALUE"""),"#VALUE!")</f>
        <v>#VALUE!</v>
      </c>
      <c r="J364" s="51" t="str">
        <f>IFERROR(__xludf.DUMMYFUNCTION("""COMPUTED_VALUE"""),"")</f>
        <v/>
      </c>
      <c r="K364" s="51"/>
      <c r="L364" s="51" t="s">
        <v>257</v>
      </c>
      <c r="M364" s="51"/>
      <c r="N364" s="51"/>
      <c r="O364" s="51"/>
      <c r="P364" s="51"/>
      <c r="Q364" s="51"/>
      <c r="R364" s="51"/>
      <c r="S364" s="51"/>
      <c r="T364" s="51"/>
    </row>
    <row r="365">
      <c r="A365" s="51"/>
      <c r="B365" s="51"/>
      <c r="C365" s="56"/>
      <c r="D365" s="51"/>
      <c r="E365" s="51"/>
      <c r="F365" s="51"/>
      <c r="G365" s="51" t="str">
        <f>IFERROR(__xludf.DUMMYFUNCTION("""COMPUTED_VALUE"""),"#VALUE!")</f>
        <v>#VALUE!</v>
      </c>
      <c r="H365" s="51" t="str">
        <f>IFERROR(__xludf.DUMMYFUNCTION("""COMPUTED_VALUE"""),"")</f>
        <v/>
      </c>
      <c r="I365" s="51" t="str">
        <f>IFERROR(__xludf.DUMMYFUNCTION("""COMPUTED_VALUE"""),"#VALUE!")</f>
        <v>#VALUE!</v>
      </c>
      <c r="J365" s="51" t="str">
        <f>IFERROR(__xludf.DUMMYFUNCTION("""COMPUTED_VALUE"""),"")</f>
        <v/>
      </c>
      <c r="K365" s="51"/>
      <c r="L365" s="51" t="s">
        <v>257</v>
      </c>
      <c r="M365" s="51"/>
      <c r="N365" s="51"/>
      <c r="O365" s="51"/>
      <c r="P365" s="51"/>
      <c r="Q365" s="51"/>
      <c r="R365" s="51"/>
      <c r="S365" s="51"/>
      <c r="T365" s="51"/>
    </row>
    <row r="366">
      <c r="A366" s="51"/>
      <c r="B366" s="51"/>
      <c r="C366" s="56"/>
      <c r="D366" s="51"/>
      <c r="E366" s="51"/>
      <c r="F366" s="51"/>
      <c r="G366" s="51" t="str">
        <f>IFERROR(__xludf.DUMMYFUNCTION("""COMPUTED_VALUE"""),"#VALUE!")</f>
        <v>#VALUE!</v>
      </c>
      <c r="H366" s="51" t="str">
        <f>IFERROR(__xludf.DUMMYFUNCTION("""COMPUTED_VALUE"""),"")</f>
        <v/>
      </c>
      <c r="I366" s="51" t="str">
        <f>IFERROR(__xludf.DUMMYFUNCTION("""COMPUTED_VALUE"""),"#VALUE!")</f>
        <v>#VALUE!</v>
      </c>
      <c r="J366" s="51" t="str">
        <f>IFERROR(__xludf.DUMMYFUNCTION("""COMPUTED_VALUE"""),"")</f>
        <v/>
      </c>
      <c r="K366" s="51"/>
      <c r="L366" s="51" t="s">
        <v>257</v>
      </c>
      <c r="M366" s="51"/>
      <c r="N366" s="51"/>
      <c r="O366" s="51"/>
      <c r="P366" s="51"/>
      <c r="Q366" s="51"/>
      <c r="R366" s="51"/>
      <c r="S366" s="51"/>
      <c r="T366" s="51"/>
    </row>
    <row r="367">
      <c r="A367" s="51"/>
      <c r="B367" s="51"/>
      <c r="C367" s="56"/>
      <c r="D367" s="51"/>
      <c r="E367" s="51"/>
      <c r="F367" s="51"/>
      <c r="G367" s="51" t="str">
        <f>IFERROR(__xludf.DUMMYFUNCTION("""COMPUTED_VALUE"""),"#VALUE!")</f>
        <v>#VALUE!</v>
      </c>
      <c r="H367" s="51" t="str">
        <f>IFERROR(__xludf.DUMMYFUNCTION("""COMPUTED_VALUE"""),"")</f>
        <v/>
      </c>
      <c r="I367" s="51" t="str">
        <f>IFERROR(__xludf.DUMMYFUNCTION("""COMPUTED_VALUE"""),"#VALUE!")</f>
        <v>#VALUE!</v>
      </c>
      <c r="J367" s="51" t="str">
        <f>IFERROR(__xludf.DUMMYFUNCTION("""COMPUTED_VALUE"""),"")</f>
        <v/>
      </c>
      <c r="K367" s="51"/>
      <c r="L367" s="51" t="s">
        <v>257</v>
      </c>
      <c r="M367" s="51"/>
      <c r="N367" s="51"/>
      <c r="O367" s="51"/>
      <c r="P367" s="51"/>
      <c r="Q367" s="51"/>
      <c r="R367" s="51"/>
      <c r="S367" s="51"/>
      <c r="T367" s="51"/>
    </row>
    <row r="368">
      <c r="A368" s="51"/>
      <c r="B368" s="51"/>
      <c r="C368" s="56"/>
      <c r="D368" s="51"/>
      <c r="E368" s="51"/>
      <c r="F368" s="51"/>
      <c r="G368" s="51" t="str">
        <f>IFERROR(__xludf.DUMMYFUNCTION("""COMPUTED_VALUE"""),"#VALUE!")</f>
        <v>#VALUE!</v>
      </c>
      <c r="H368" s="51" t="str">
        <f>IFERROR(__xludf.DUMMYFUNCTION("""COMPUTED_VALUE"""),"")</f>
        <v/>
      </c>
      <c r="I368" s="51" t="str">
        <f>IFERROR(__xludf.DUMMYFUNCTION("""COMPUTED_VALUE"""),"#VALUE!")</f>
        <v>#VALUE!</v>
      </c>
      <c r="J368" s="51" t="str">
        <f>IFERROR(__xludf.DUMMYFUNCTION("""COMPUTED_VALUE"""),"")</f>
        <v/>
      </c>
      <c r="K368" s="51"/>
      <c r="L368" s="51" t="s">
        <v>257</v>
      </c>
      <c r="M368" s="51"/>
      <c r="N368" s="51"/>
      <c r="O368" s="51"/>
      <c r="P368" s="51"/>
      <c r="Q368" s="51"/>
      <c r="R368" s="51"/>
      <c r="S368" s="51"/>
      <c r="T368" s="51"/>
    </row>
    <row r="369">
      <c r="A369" s="51"/>
      <c r="B369" s="51"/>
      <c r="C369" s="56"/>
      <c r="D369" s="51"/>
      <c r="E369" s="51"/>
      <c r="F369" s="51"/>
      <c r="G369" s="51" t="str">
        <f>IFERROR(__xludf.DUMMYFUNCTION("""COMPUTED_VALUE"""),"#VALUE!")</f>
        <v>#VALUE!</v>
      </c>
      <c r="H369" s="51" t="str">
        <f>IFERROR(__xludf.DUMMYFUNCTION("""COMPUTED_VALUE"""),"")</f>
        <v/>
      </c>
      <c r="I369" s="51" t="str">
        <f>IFERROR(__xludf.DUMMYFUNCTION("""COMPUTED_VALUE"""),"#VALUE!")</f>
        <v>#VALUE!</v>
      </c>
      <c r="J369" s="51" t="str">
        <f>IFERROR(__xludf.DUMMYFUNCTION("""COMPUTED_VALUE"""),"")</f>
        <v/>
      </c>
      <c r="K369" s="51"/>
      <c r="L369" s="51" t="s">
        <v>257</v>
      </c>
      <c r="M369" s="51"/>
      <c r="N369" s="51"/>
      <c r="O369" s="51"/>
      <c r="P369" s="51"/>
      <c r="Q369" s="51"/>
      <c r="R369" s="51"/>
      <c r="S369" s="51"/>
      <c r="T369" s="51"/>
    </row>
    <row r="370">
      <c r="A370" s="51"/>
      <c r="B370" s="51"/>
      <c r="C370" s="56"/>
      <c r="D370" s="51"/>
      <c r="E370" s="51"/>
      <c r="F370" s="51"/>
      <c r="G370" s="51" t="str">
        <f>IFERROR(__xludf.DUMMYFUNCTION("""COMPUTED_VALUE"""),"#VALUE!")</f>
        <v>#VALUE!</v>
      </c>
      <c r="H370" s="51" t="str">
        <f>IFERROR(__xludf.DUMMYFUNCTION("""COMPUTED_VALUE"""),"")</f>
        <v/>
      </c>
      <c r="I370" s="51" t="str">
        <f>IFERROR(__xludf.DUMMYFUNCTION("""COMPUTED_VALUE"""),"#VALUE!")</f>
        <v>#VALUE!</v>
      </c>
      <c r="J370" s="51" t="str">
        <f>IFERROR(__xludf.DUMMYFUNCTION("""COMPUTED_VALUE"""),"")</f>
        <v/>
      </c>
      <c r="K370" s="51"/>
      <c r="L370" s="51" t="s">
        <v>257</v>
      </c>
      <c r="M370" s="51"/>
      <c r="N370" s="51"/>
      <c r="O370" s="51"/>
      <c r="P370" s="51"/>
      <c r="Q370" s="51"/>
      <c r="R370" s="51"/>
      <c r="S370" s="51"/>
      <c r="T370" s="51"/>
    </row>
    <row r="371">
      <c r="A371" s="51"/>
      <c r="B371" s="51"/>
      <c r="C371" s="56"/>
      <c r="D371" s="51"/>
      <c r="E371" s="51"/>
      <c r="F371" s="51"/>
      <c r="G371" s="51" t="str">
        <f>IFERROR(__xludf.DUMMYFUNCTION("""COMPUTED_VALUE"""),"#VALUE!")</f>
        <v>#VALUE!</v>
      </c>
      <c r="H371" s="51" t="str">
        <f>IFERROR(__xludf.DUMMYFUNCTION("""COMPUTED_VALUE"""),"")</f>
        <v/>
      </c>
      <c r="I371" s="51" t="str">
        <f>IFERROR(__xludf.DUMMYFUNCTION("""COMPUTED_VALUE"""),"#VALUE!")</f>
        <v>#VALUE!</v>
      </c>
      <c r="J371" s="51" t="str">
        <f>IFERROR(__xludf.DUMMYFUNCTION("""COMPUTED_VALUE"""),"")</f>
        <v/>
      </c>
      <c r="K371" s="51"/>
      <c r="L371" s="51" t="s">
        <v>257</v>
      </c>
      <c r="M371" s="51"/>
      <c r="N371" s="51"/>
      <c r="O371" s="51"/>
      <c r="P371" s="51"/>
      <c r="Q371" s="51"/>
      <c r="R371" s="51"/>
      <c r="S371" s="51"/>
      <c r="T371" s="51"/>
    </row>
    <row r="372">
      <c r="A372" s="51"/>
      <c r="B372" s="51"/>
      <c r="C372" s="56"/>
      <c r="D372" s="51"/>
      <c r="E372" s="51"/>
      <c r="F372" s="51"/>
      <c r="G372" s="51" t="str">
        <f>IFERROR(__xludf.DUMMYFUNCTION("""COMPUTED_VALUE"""),"#VALUE!")</f>
        <v>#VALUE!</v>
      </c>
      <c r="H372" s="51" t="str">
        <f>IFERROR(__xludf.DUMMYFUNCTION("""COMPUTED_VALUE"""),"")</f>
        <v/>
      </c>
      <c r="I372" s="51" t="str">
        <f>IFERROR(__xludf.DUMMYFUNCTION("""COMPUTED_VALUE"""),"#VALUE!")</f>
        <v>#VALUE!</v>
      </c>
      <c r="J372" s="51" t="str">
        <f>IFERROR(__xludf.DUMMYFUNCTION("""COMPUTED_VALUE"""),"")</f>
        <v/>
      </c>
      <c r="K372" s="51"/>
      <c r="L372" s="51" t="s">
        <v>257</v>
      </c>
      <c r="M372" s="51"/>
      <c r="N372" s="51"/>
      <c r="O372" s="51"/>
      <c r="P372" s="51"/>
      <c r="Q372" s="51"/>
      <c r="R372" s="51"/>
      <c r="S372" s="51"/>
      <c r="T372" s="51"/>
    </row>
    <row r="373">
      <c r="A373" s="51"/>
      <c r="B373" s="51"/>
      <c r="C373" s="56"/>
      <c r="D373" s="51"/>
      <c r="E373" s="51"/>
      <c r="F373" s="51"/>
      <c r="G373" s="51" t="str">
        <f>IFERROR(__xludf.DUMMYFUNCTION("""COMPUTED_VALUE"""),"#VALUE!")</f>
        <v>#VALUE!</v>
      </c>
      <c r="H373" s="51" t="str">
        <f>IFERROR(__xludf.DUMMYFUNCTION("""COMPUTED_VALUE"""),"")</f>
        <v/>
      </c>
      <c r="I373" s="51" t="str">
        <f>IFERROR(__xludf.DUMMYFUNCTION("""COMPUTED_VALUE"""),"#VALUE!")</f>
        <v>#VALUE!</v>
      </c>
      <c r="J373" s="51" t="str">
        <f>IFERROR(__xludf.DUMMYFUNCTION("""COMPUTED_VALUE"""),"")</f>
        <v/>
      </c>
      <c r="K373" s="51"/>
      <c r="L373" s="51" t="s">
        <v>257</v>
      </c>
      <c r="M373" s="51"/>
      <c r="N373" s="51"/>
      <c r="O373" s="51"/>
      <c r="P373" s="51"/>
      <c r="Q373" s="51"/>
      <c r="R373" s="51"/>
      <c r="S373" s="51"/>
      <c r="T373" s="51"/>
    </row>
    <row r="374">
      <c r="A374" s="51"/>
      <c r="B374" s="51"/>
      <c r="C374" s="56"/>
      <c r="D374" s="51"/>
      <c r="E374" s="51"/>
      <c r="F374" s="51"/>
      <c r="G374" s="51" t="str">
        <f>IFERROR(__xludf.DUMMYFUNCTION("""COMPUTED_VALUE"""),"#VALUE!")</f>
        <v>#VALUE!</v>
      </c>
      <c r="H374" s="51" t="str">
        <f>IFERROR(__xludf.DUMMYFUNCTION("""COMPUTED_VALUE"""),"")</f>
        <v/>
      </c>
      <c r="I374" s="51" t="str">
        <f>IFERROR(__xludf.DUMMYFUNCTION("""COMPUTED_VALUE"""),"#VALUE!")</f>
        <v>#VALUE!</v>
      </c>
      <c r="J374" s="51" t="str">
        <f>IFERROR(__xludf.DUMMYFUNCTION("""COMPUTED_VALUE"""),"")</f>
        <v/>
      </c>
      <c r="K374" s="51"/>
      <c r="L374" s="51" t="s">
        <v>257</v>
      </c>
      <c r="M374" s="51"/>
      <c r="N374" s="51"/>
      <c r="O374" s="51"/>
      <c r="P374" s="51"/>
      <c r="Q374" s="51"/>
      <c r="R374" s="51"/>
      <c r="S374" s="51"/>
      <c r="T374" s="51"/>
    </row>
    <row r="375">
      <c r="A375" s="51"/>
      <c r="B375" s="51"/>
      <c r="C375" s="56"/>
      <c r="D375" s="51"/>
      <c r="E375" s="51"/>
      <c r="F375" s="51"/>
      <c r="G375" s="51" t="str">
        <f>IFERROR(__xludf.DUMMYFUNCTION("""COMPUTED_VALUE"""),"#VALUE!")</f>
        <v>#VALUE!</v>
      </c>
      <c r="H375" s="51" t="str">
        <f>IFERROR(__xludf.DUMMYFUNCTION("""COMPUTED_VALUE"""),"")</f>
        <v/>
      </c>
      <c r="I375" s="51" t="str">
        <f>IFERROR(__xludf.DUMMYFUNCTION("""COMPUTED_VALUE"""),"#VALUE!")</f>
        <v>#VALUE!</v>
      </c>
      <c r="J375" s="51" t="str">
        <f>IFERROR(__xludf.DUMMYFUNCTION("""COMPUTED_VALUE"""),"")</f>
        <v/>
      </c>
      <c r="K375" s="51"/>
      <c r="L375" s="51" t="s">
        <v>257</v>
      </c>
      <c r="M375" s="51"/>
      <c r="N375" s="51"/>
      <c r="O375" s="51"/>
      <c r="P375" s="51"/>
      <c r="Q375" s="51"/>
      <c r="R375" s="51"/>
      <c r="S375" s="51"/>
      <c r="T375" s="51"/>
    </row>
    <row r="376">
      <c r="A376" s="51"/>
      <c r="B376" s="51"/>
      <c r="C376" s="56"/>
      <c r="D376" s="51"/>
      <c r="E376" s="51"/>
      <c r="F376" s="51"/>
      <c r="G376" s="51" t="str">
        <f>IFERROR(__xludf.DUMMYFUNCTION("""COMPUTED_VALUE"""),"#VALUE!")</f>
        <v>#VALUE!</v>
      </c>
      <c r="H376" s="51" t="str">
        <f>IFERROR(__xludf.DUMMYFUNCTION("""COMPUTED_VALUE"""),"")</f>
        <v/>
      </c>
      <c r="I376" s="51" t="str">
        <f>IFERROR(__xludf.DUMMYFUNCTION("""COMPUTED_VALUE"""),"#VALUE!")</f>
        <v>#VALUE!</v>
      </c>
      <c r="J376" s="51" t="str">
        <f>IFERROR(__xludf.DUMMYFUNCTION("""COMPUTED_VALUE"""),"")</f>
        <v/>
      </c>
      <c r="K376" s="51"/>
      <c r="L376" s="51" t="s">
        <v>257</v>
      </c>
      <c r="M376" s="51"/>
      <c r="N376" s="51"/>
      <c r="O376" s="51"/>
      <c r="P376" s="51"/>
      <c r="Q376" s="51"/>
      <c r="R376" s="51"/>
      <c r="S376" s="51"/>
      <c r="T376" s="51"/>
    </row>
    <row r="377">
      <c r="A377" s="51"/>
      <c r="B377" s="51"/>
      <c r="C377" s="56"/>
      <c r="D377" s="51"/>
      <c r="E377" s="51"/>
      <c r="F377" s="51"/>
      <c r="G377" s="51" t="str">
        <f>IFERROR(__xludf.DUMMYFUNCTION("""COMPUTED_VALUE"""),"#VALUE!")</f>
        <v>#VALUE!</v>
      </c>
      <c r="H377" s="51" t="str">
        <f>IFERROR(__xludf.DUMMYFUNCTION("""COMPUTED_VALUE"""),"")</f>
        <v/>
      </c>
      <c r="I377" s="51" t="str">
        <f>IFERROR(__xludf.DUMMYFUNCTION("""COMPUTED_VALUE"""),"#VALUE!")</f>
        <v>#VALUE!</v>
      </c>
      <c r="J377" s="51" t="str">
        <f>IFERROR(__xludf.DUMMYFUNCTION("""COMPUTED_VALUE"""),"")</f>
        <v/>
      </c>
      <c r="K377" s="51"/>
      <c r="L377" s="51" t="s">
        <v>257</v>
      </c>
      <c r="M377" s="51"/>
      <c r="N377" s="51"/>
      <c r="O377" s="51"/>
      <c r="P377" s="51"/>
      <c r="Q377" s="51"/>
      <c r="R377" s="51"/>
      <c r="S377" s="51"/>
      <c r="T377" s="51"/>
    </row>
    <row r="378">
      <c r="A378" s="51"/>
      <c r="B378" s="51"/>
      <c r="C378" s="56"/>
      <c r="D378" s="51"/>
      <c r="E378" s="51"/>
      <c r="F378" s="51"/>
      <c r="G378" s="51" t="str">
        <f>IFERROR(__xludf.DUMMYFUNCTION("""COMPUTED_VALUE"""),"#VALUE!")</f>
        <v>#VALUE!</v>
      </c>
      <c r="H378" s="51" t="str">
        <f>IFERROR(__xludf.DUMMYFUNCTION("""COMPUTED_VALUE"""),"")</f>
        <v/>
      </c>
      <c r="I378" s="51" t="str">
        <f>IFERROR(__xludf.DUMMYFUNCTION("""COMPUTED_VALUE"""),"#VALUE!")</f>
        <v>#VALUE!</v>
      </c>
      <c r="J378" s="51" t="str">
        <f>IFERROR(__xludf.DUMMYFUNCTION("""COMPUTED_VALUE"""),"")</f>
        <v/>
      </c>
      <c r="K378" s="51"/>
      <c r="L378" s="51" t="s">
        <v>257</v>
      </c>
      <c r="M378" s="51"/>
      <c r="N378" s="51"/>
      <c r="O378" s="51"/>
      <c r="P378" s="51"/>
      <c r="Q378" s="51"/>
      <c r="R378" s="51"/>
      <c r="S378" s="51"/>
      <c r="T378" s="51"/>
    </row>
    <row r="379">
      <c r="A379" s="51"/>
      <c r="B379" s="51"/>
      <c r="C379" s="56"/>
      <c r="D379" s="51"/>
      <c r="E379" s="51"/>
      <c r="F379" s="51"/>
      <c r="G379" s="51" t="str">
        <f>IFERROR(__xludf.DUMMYFUNCTION("""COMPUTED_VALUE"""),"#VALUE!")</f>
        <v>#VALUE!</v>
      </c>
      <c r="H379" s="51" t="str">
        <f>IFERROR(__xludf.DUMMYFUNCTION("""COMPUTED_VALUE"""),"")</f>
        <v/>
      </c>
      <c r="I379" s="51" t="str">
        <f>IFERROR(__xludf.DUMMYFUNCTION("""COMPUTED_VALUE"""),"#VALUE!")</f>
        <v>#VALUE!</v>
      </c>
      <c r="J379" s="51" t="str">
        <f>IFERROR(__xludf.DUMMYFUNCTION("""COMPUTED_VALUE"""),"")</f>
        <v/>
      </c>
      <c r="K379" s="51"/>
      <c r="L379" s="51" t="s">
        <v>257</v>
      </c>
      <c r="M379" s="51"/>
      <c r="N379" s="51"/>
      <c r="O379" s="51"/>
      <c r="P379" s="51"/>
      <c r="Q379" s="51"/>
      <c r="R379" s="51"/>
      <c r="S379" s="51"/>
      <c r="T379" s="51"/>
    </row>
    <row r="380">
      <c r="A380" s="51"/>
      <c r="B380" s="51"/>
      <c r="C380" s="56"/>
      <c r="D380" s="51"/>
      <c r="E380" s="51"/>
      <c r="F380" s="51"/>
      <c r="G380" s="51" t="str">
        <f>IFERROR(__xludf.DUMMYFUNCTION("""COMPUTED_VALUE"""),"#VALUE!")</f>
        <v>#VALUE!</v>
      </c>
      <c r="H380" s="51" t="str">
        <f>IFERROR(__xludf.DUMMYFUNCTION("""COMPUTED_VALUE"""),"")</f>
        <v/>
      </c>
      <c r="I380" s="51" t="str">
        <f>IFERROR(__xludf.DUMMYFUNCTION("""COMPUTED_VALUE"""),"#VALUE!")</f>
        <v>#VALUE!</v>
      </c>
      <c r="J380" s="51" t="str">
        <f>IFERROR(__xludf.DUMMYFUNCTION("""COMPUTED_VALUE"""),"")</f>
        <v/>
      </c>
      <c r="K380" s="51"/>
      <c r="L380" s="51" t="s">
        <v>257</v>
      </c>
      <c r="M380" s="51"/>
      <c r="N380" s="51"/>
      <c r="O380" s="51"/>
      <c r="P380" s="51"/>
      <c r="Q380" s="51"/>
      <c r="R380" s="51"/>
      <c r="S380" s="51"/>
      <c r="T380" s="51"/>
    </row>
    <row r="381">
      <c r="A381" s="51"/>
      <c r="B381" s="51"/>
      <c r="C381" s="56"/>
      <c r="D381" s="51"/>
      <c r="E381" s="51"/>
      <c r="F381" s="51"/>
      <c r="G381" s="51" t="str">
        <f>IFERROR(__xludf.DUMMYFUNCTION("""COMPUTED_VALUE"""),"#VALUE!")</f>
        <v>#VALUE!</v>
      </c>
      <c r="H381" s="51" t="str">
        <f>IFERROR(__xludf.DUMMYFUNCTION("""COMPUTED_VALUE"""),"")</f>
        <v/>
      </c>
      <c r="I381" s="51" t="str">
        <f>IFERROR(__xludf.DUMMYFUNCTION("""COMPUTED_VALUE"""),"#VALUE!")</f>
        <v>#VALUE!</v>
      </c>
      <c r="J381" s="51" t="str">
        <f>IFERROR(__xludf.DUMMYFUNCTION("""COMPUTED_VALUE"""),"")</f>
        <v/>
      </c>
      <c r="K381" s="51"/>
      <c r="L381" s="51" t="s">
        <v>257</v>
      </c>
      <c r="M381" s="51"/>
      <c r="N381" s="51"/>
      <c r="O381" s="51"/>
      <c r="P381" s="51"/>
      <c r="Q381" s="51"/>
      <c r="R381" s="51"/>
      <c r="S381" s="51"/>
      <c r="T381" s="51"/>
    </row>
    <row r="382">
      <c r="A382" s="51"/>
      <c r="B382" s="51"/>
      <c r="C382" s="56"/>
      <c r="D382" s="51"/>
      <c r="E382" s="51"/>
      <c r="F382" s="51"/>
      <c r="G382" s="51" t="str">
        <f>IFERROR(__xludf.DUMMYFUNCTION("""COMPUTED_VALUE"""),"#VALUE!")</f>
        <v>#VALUE!</v>
      </c>
      <c r="H382" s="51" t="str">
        <f>IFERROR(__xludf.DUMMYFUNCTION("""COMPUTED_VALUE"""),"")</f>
        <v/>
      </c>
      <c r="I382" s="51" t="str">
        <f>IFERROR(__xludf.DUMMYFUNCTION("""COMPUTED_VALUE"""),"#VALUE!")</f>
        <v>#VALUE!</v>
      </c>
      <c r="J382" s="51" t="str">
        <f>IFERROR(__xludf.DUMMYFUNCTION("""COMPUTED_VALUE"""),"")</f>
        <v/>
      </c>
      <c r="K382" s="51"/>
      <c r="L382" s="51" t="s">
        <v>257</v>
      </c>
      <c r="M382" s="51"/>
      <c r="N382" s="51"/>
      <c r="O382" s="51"/>
      <c r="P382" s="51"/>
      <c r="Q382" s="51"/>
      <c r="R382" s="51"/>
      <c r="S382" s="51"/>
      <c r="T382" s="51"/>
    </row>
    <row r="383">
      <c r="A383" s="51"/>
      <c r="B383" s="51"/>
      <c r="C383" s="56"/>
      <c r="D383" s="51"/>
      <c r="E383" s="51"/>
      <c r="F383" s="51"/>
      <c r="G383" s="51" t="str">
        <f>IFERROR(__xludf.DUMMYFUNCTION("""COMPUTED_VALUE"""),"#VALUE!")</f>
        <v>#VALUE!</v>
      </c>
      <c r="H383" s="51" t="str">
        <f>IFERROR(__xludf.DUMMYFUNCTION("""COMPUTED_VALUE"""),"")</f>
        <v/>
      </c>
      <c r="I383" s="51" t="str">
        <f>IFERROR(__xludf.DUMMYFUNCTION("""COMPUTED_VALUE"""),"#VALUE!")</f>
        <v>#VALUE!</v>
      </c>
      <c r="J383" s="51" t="str">
        <f>IFERROR(__xludf.DUMMYFUNCTION("""COMPUTED_VALUE"""),"")</f>
        <v/>
      </c>
      <c r="K383" s="51"/>
      <c r="L383" s="51" t="s">
        <v>257</v>
      </c>
      <c r="M383" s="51"/>
      <c r="N383" s="51"/>
      <c r="O383" s="51"/>
      <c r="P383" s="51"/>
      <c r="Q383" s="51"/>
      <c r="R383" s="51"/>
      <c r="S383" s="51"/>
      <c r="T383" s="51"/>
    </row>
    <row r="384">
      <c r="A384" s="51"/>
      <c r="B384" s="51"/>
      <c r="C384" s="56"/>
      <c r="D384" s="51"/>
      <c r="E384" s="51"/>
      <c r="F384" s="51"/>
      <c r="G384" s="51" t="str">
        <f>IFERROR(__xludf.DUMMYFUNCTION("""COMPUTED_VALUE"""),"#VALUE!")</f>
        <v>#VALUE!</v>
      </c>
      <c r="H384" s="51" t="str">
        <f>IFERROR(__xludf.DUMMYFUNCTION("""COMPUTED_VALUE"""),"")</f>
        <v/>
      </c>
      <c r="I384" s="51" t="str">
        <f>IFERROR(__xludf.DUMMYFUNCTION("""COMPUTED_VALUE"""),"#VALUE!")</f>
        <v>#VALUE!</v>
      </c>
      <c r="J384" s="51" t="str">
        <f>IFERROR(__xludf.DUMMYFUNCTION("""COMPUTED_VALUE"""),"")</f>
        <v/>
      </c>
      <c r="K384" s="51"/>
      <c r="L384" s="51" t="s">
        <v>257</v>
      </c>
      <c r="M384" s="51"/>
      <c r="N384" s="51"/>
      <c r="O384" s="51"/>
      <c r="P384" s="51"/>
      <c r="Q384" s="51"/>
      <c r="R384" s="51"/>
      <c r="S384" s="51"/>
      <c r="T384" s="51"/>
    </row>
    <row r="385">
      <c r="A385" s="51"/>
      <c r="B385" s="51"/>
      <c r="C385" s="56"/>
      <c r="D385" s="51"/>
      <c r="E385" s="51"/>
      <c r="F385" s="51"/>
      <c r="G385" s="51" t="str">
        <f>IFERROR(__xludf.DUMMYFUNCTION("""COMPUTED_VALUE"""),"#VALUE!")</f>
        <v>#VALUE!</v>
      </c>
      <c r="H385" s="51" t="str">
        <f>IFERROR(__xludf.DUMMYFUNCTION("""COMPUTED_VALUE"""),"")</f>
        <v/>
      </c>
      <c r="I385" s="51" t="str">
        <f>IFERROR(__xludf.DUMMYFUNCTION("""COMPUTED_VALUE"""),"#VALUE!")</f>
        <v>#VALUE!</v>
      </c>
      <c r="J385" s="51" t="str">
        <f>IFERROR(__xludf.DUMMYFUNCTION("""COMPUTED_VALUE"""),"")</f>
        <v/>
      </c>
      <c r="K385" s="51"/>
      <c r="L385" s="51" t="s">
        <v>257</v>
      </c>
      <c r="M385" s="51"/>
      <c r="N385" s="51"/>
      <c r="O385" s="51"/>
      <c r="P385" s="51"/>
      <c r="Q385" s="51"/>
      <c r="R385" s="51"/>
      <c r="S385" s="51"/>
      <c r="T385" s="51"/>
    </row>
    <row r="386">
      <c r="A386" s="51"/>
      <c r="B386" s="51"/>
      <c r="C386" s="56"/>
      <c r="D386" s="51"/>
      <c r="E386" s="51"/>
      <c r="F386" s="51"/>
      <c r="G386" s="51" t="str">
        <f>IFERROR(__xludf.DUMMYFUNCTION("""COMPUTED_VALUE"""),"#VALUE!")</f>
        <v>#VALUE!</v>
      </c>
      <c r="H386" s="51" t="str">
        <f>IFERROR(__xludf.DUMMYFUNCTION("""COMPUTED_VALUE"""),"")</f>
        <v/>
      </c>
      <c r="I386" s="51" t="str">
        <f>IFERROR(__xludf.DUMMYFUNCTION("""COMPUTED_VALUE"""),"#VALUE!")</f>
        <v>#VALUE!</v>
      </c>
      <c r="J386" s="51" t="str">
        <f>IFERROR(__xludf.DUMMYFUNCTION("""COMPUTED_VALUE"""),"")</f>
        <v/>
      </c>
      <c r="K386" s="51"/>
      <c r="L386" s="51" t="s">
        <v>257</v>
      </c>
      <c r="M386" s="51"/>
      <c r="N386" s="51"/>
      <c r="O386" s="51"/>
      <c r="P386" s="51"/>
      <c r="Q386" s="51"/>
      <c r="R386" s="51"/>
      <c r="S386" s="51"/>
      <c r="T386" s="51"/>
    </row>
    <row r="387">
      <c r="A387" s="51"/>
      <c r="B387" s="51"/>
      <c r="C387" s="56"/>
      <c r="D387" s="51"/>
      <c r="E387" s="51"/>
      <c r="F387" s="51"/>
      <c r="G387" s="51" t="str">
        <f>IFERROR(__xludf.DUMMYFUNCTION("""COMPUTED_VALUE"""),"#VALUE!")</f>
        <v>#VALUE!</v>
      </c>
      <c r="H387" s="51" t="str">
        <f>IFERROR(__xludf.DUMMYFUNCTION("""COMPUTED_VALUE"""),"")</f>
        <v/>
      </c>
      <c r="I387" s="51" t="str">
        <f>IFERROR(__xludf.DUMMYFUNCTION("""COMPUTED_VALUE"""),"#VALUE!")</f>
        <v>#VALUE!</v>
      </c>
      <c r="J387" s="51" t="str">
        <f>IFERROR(__xludf.DUMMYFUNCTION("""COMPUTED_VALUE"""),"")</f>
        <v/>
      </c>
      <c r="K387" s="51"/>
      <c r="L387" s="51" t="s">
        <v>257</v>
      </c>
      <c r="M387" s="51"/>
      <c r="N387" s="51"/>
      <c r="O387" s="51"/>
      <c r="P387" s="51"/>
      <c r="Q387" s="51"/>
      <c r="R387" s="51"/>
      <c r="S387" s="51"/>
      <c r="T387" s="51"/>
    </row>
    <row r="388">
      <c r="A388" s="51"/>
      <c r="B388" s="51"/>
      <c r="C388" s="56"/>
      <c r="D388" s="51"/>
      <c r="E388" s="51"/>
      <c r="F388" s="51"/>
      <c r="G388" s="51" t="str">
        <f>IFERROR(__xludf.DUMMYFUNCTION("""COMPUTED_VALUE"""),"#VALUE!")</f>
        <v>#VALUE!</v>
      </c>
      <c r="H388" s="51" t="str">
        <f>IFERROR(__xludf.DUMMYFUNCTION("""COMPUTED_VALUE"""),"")</f>
        <v/>
      </c>
      <c r="I388" s="51" t="str">
        <f>IFERROR(__xludf.DUMMYFUNCTION("""COMPUTED_VALUE"""),"#VALUE!")</f>
        <v>#VALUE!</v>
      </c>
      <c r="J388" s="51" t="str">
        <f>IFERROR(__xludf.DUMMYFUNCTION("""COMPUTED_VALUE"""),"")</f>
        <v/>
      </c>
      <c r="K388" s="51"/>
      <c r="L388" s="51" t="s">
        <v>257</v>
      </c>
      <c r="M388" s="51"/>
      <c r="N388" s="51"/>
      <c r="O388" s="51"/>
      <c r="P388" s="51"/>
      <c r="Q388" s="51"/>
      <c r="R388" s="51"/>
      <c r="S388" s="51"/>
      <c r="T388" s="51"/>
    </row>
    <row r="389">
      <c r="A389" s="51"/>
      <c r="B389" s="51"/>
      <c r="C389" s="56"/>
      <c r="D389" s="51"/>
      <c r="E389" s="51"/>
      <c r="F389" s="51"/>
      <c r="G389" s="51" t="str">
        <f>IFERROR(__xludf.DUMMYFUNCTION("""COMPUTED_VALUE"""),"#VALUE!")</f>
        <v>#VALUE!</v>
      </c>
      <c r="H389" s="51" t="str">
        <f>IFERROR(__xludf.DUMMYFUNCTION("""COMPUTED_VALUE"""),"")</f>
        <v/>
      </c>
      <c r="I389" s="51" t="str">
        <f>IFERROR(__xludf.DUMMYFUNCTION("""COMPUTED_VALUE"""),"#VALUE!")</f>
        <v>#VALUE!</v>
      </c>
      <c r="J389" s="51" t="str">
        <f>IFERROR(__xludf.DUMMYFUNCTION("""COMPUTED_VALUE"""),"")</f>
        <v/>
      </c>
      <c r="K389" s="51"/>
      <c r="L389" s="51" t="s">
        <v>257</v>
      </c>
      <c r="M389" s="51"/>
      <c r="N389" s="51"/>
      <c r="O389" s="51"/>
      <c r="P389" s="51"/>
      <c r="Q389" s="51"/>
      <c r="R389" s="51"/>
      <c r="S389" s="51"/>
      <c r="T389" s="51"/>
    </row>
    <row r="390">
      <c r="A390" s="51"/>
      <c r="B390" s="51"/>
      <c r="C390" s="56"/>
      <c r="D390" s="51"/>
      <c r="E390" s="51"/>
      <c r="F390" s="51"/>
      <c r="G390" s="51" t="str">
        <f>IFERROR(__xludf.DUMMYFUNCTION("""COMPUTED_VALUE"""),"#VALUE!")</f>
        <v>#VALUE!</v>
      </c>
      <c r="H390" s="51" t="str">
        <f>IFERROR(__xludf.DUMMYFUNCTION("""COMPUTED_VALUE"""),"")</f>
        <v/>
      </c>
      <c r="I390" s="51" t="str">
        <f>IFERROR(__xludf.DUMMYFUNCTION("""COMPUTED_VALUE"""),"#VALUE!")</f>
        <v>#VALUE!</v>
      </c>
      <c r="J390" s="51" t="str">
        <f>IFERROR(__xludf.DUMMYFUNCTION("""COMPUTED_VALUE"""),"")</f>
        <v/>
      </c>
      <c r="K390" s="51"/>
      <c r="L390" s="51" t="s">
        <v>257</v>
      </c>
      <c r="M390" s="51"/>
      <c r="N390" s="51"/>
      <c r="O390" s="51"/>
      <c r="P390" s="51"/>
      <c r="Q390" s="51"/>
      <c r="R390" s="51"/>
      <c r="S390" s="51"/>
      <c r="T390" s="51"/>
    </row>
    <row r="391">
      <c r="A391" s="51"/>
      <c r="B391" s="51"/>
      <c r="C391" s="56"/>
      <c r="D391" s="51"/>
      <c r="E391" s="51"/>
      <c r="F391" s="51"/>
      <c r="G391" s="51" t="str">
        <f>IFERROR(__xludf.DUMMYFUNCTION("""COMPUTED_VALUE"""),"#VALUE!")</f>
        <v>#VALUE!</v>
      </c>
      <c r="H391" s="51" t="str">
        <f>IFERROR(__xludf.DUMMYFUNCTION("""COMPUTED_VALUE"""),"")</f>
        <v/>
      </c>
      <c r="I391" s="51" t="str">
        <f>IFERROR(__xludf.DUMMYFUNCTION("""COMPUTED_VALUE"""),"#VALUE!")</f>
        <v>#VALUE!</v>
      </c>
      <c r="J391" s="51" t="str">
        <f>IFERROR(__xludf.DUMMYFUNCTION("""COMPUTED_VALUE"""),"")</f>
        <v/>
      </c>
      <c r="K391" s="51"/>
      <c r="L391" s="51" t="s">
        <v>257</v>
      </c>
      <c r="M391" s="51"/>
      <c r="N391" s="51"/>
      <c r="O391" s="51"/>
      <c r="P391" s="51"/>
      <c r="Q391" s="51"/>
      <c r="R391" s="51"/>
      <c r="S391" s="51"/>
      <c r="T391" s="51"/>
    </row>
    <row r="392">
      <c r="A392" s="51"/>
      <c r="B392" s="51"/>
      <c r="C392" s="56"/>
      <c r="D392" s="51"/>
      <c r="E392" s="51"/>
      <c r="F392" s="51"/>
      <c r="G392" s="51" t="str">
        <f>IFERROR(__xludf.DUMMYFUNCTION("""COMPUTED_VALUE"""),"#VALUE!")</f>
        <v>#VALUE!</v>
      </c>
      <c r="H392" s="51" t="str">
        <f>IFERROR(__xludf.DUMMYFUNCTION("""COMPUTED_VALUE"""),"")</f>
        <v/>
      </c>
      <c r="I392" s="51" t="str">
        <f>IFERROR(__xludf.DUMMYFUNCTION("""COMPUTED_VALUE"""),"#VALUE!")</f>
        <v>#VALUE!</v>
      </c>
      <c r="J392" s="51" t="str">
        <f>IFERROR(__xludf.DUMMYFUNCTION("""COMPUTED_VALUE"""),"")</f>
        <v/>
      </c>
      <c r="K392" s="51"/>
      <c r="L392" s="51" t="s">
        <v>257</v>
      </c>
      <c r="M392" s="51"/>
      <c r="N392" s="51"/>
      <c r="O392" s="51"/>
      <c r="P392" s="51"/>
      <c r="Q392" s="51"/>
      <c r="R392" s="51"/>
      <c r="S392" s="51"/>
      <c r="T392" s="51"/>
    </row>
    <row r="393">
      <c r="A393" s="51"/>
      <c r="B393" s="51"/>
      <c r="C393" s="56"/>
      <c r="D393" s="51"/>
      <c r="E393" s="51"/>
      <c r="F393" s="51"/>
      <c r="G393" s="51" t="str">
        <f>IFERROR(__xludf.DUMMYFUNCTION("""COMPUTED_VALUE"""),"#VALUE!")</f>
        <v>#VALUE!</v>
      </c>
      <c r="H393" s="51" t="str">
        <f>IFERROR(__xludf.DUMMYFUNCTION("""COMPUTED_VALUE"""),"")</f>
        <v/>
      </c>
      <c r="I393" s="51" t="str">
        <f>IFERROR(__xludf.DUMMYFUNCTION("""COMPUTED_VALUE"""),"#VALUE!")</f>
        <v>#VALUE!</v>
      </c>
      <c r="J393" s="51" t="str">
        <f>IFERROR(__xludf.DUMMYFUNCTION("""COMPUTED_VALUE"""),"")</f>
        <v/>
      </c>
      <c r="K393" s="51"/>
      <c r="L393" s="51" t="s">
        <v>257</v>
      </c>
      <c r="M393" s="51"/>
      <c r="N393" s="51"/>
      <c r="O393" s="51"/>
      <c r="P393" s="51"/>
      <c r="Q393" s="51"/>
      <c r="R393" s="51"/>
      <c r="S393" s="51"/>
      <c r="T393" s="51"/>
    </row>
    <row r="394">
      <c r="A394" s="51"/>
      <c r="B394" s="51"/>
      <c r="C394" s="56"/>
      <c r="D394" s="51"/>
      <c r="E394" s="51"/>
      <c r="F394" s="51"/>
      <c r="G394" s="51" t="str">
        <f>IFERROR(__xludf.DUMMYFUNCTION("""COMPUTED_VALUE"""),"#VALUE!")</f>
        <v>#VALUE!</v>
      </c>
      <c r="H394" s="51" t="str">
        <f>IFERROR(__xludf.DUMMYFUNCTION("""COMPUTED_VALUE"""),"")</f>
        <v/>
      </c>
      <c r="I394" s="51" t="str">
        <f>IFERROR(__xludf.DUMMYFUNCTION("""COMPUTED_VALUE"""),"#VALUE!")</f>
        <v>#VALUE!</v>
      </c>
      <c r="J394" s="51" t="str">
        <f>IFERROR(__xludf.DUMMYFUNCTION("""COMPUTED_VALUE"""),"")</f>
        <v/>
      </c>
      <c r="K394" s="51"/>
      <c r="L394" s="51" t="s">
        <v>257</v>
      </c>
      <c r="M394" s="51"/>
      <c r="N394" s="51"/>
      <c r="O394" s="51"/>
      <c r="P394" s="51"/>
      <c r="Q394" s="51"/>
      <c r="R394" s="51"/>
      <c r="S394" s="51"/>
      <c r="T394" s="51"/>
    </row>
    <row r="395">
      <c r="A395" s="51"/>
      <c r="B395" s="51"/>
      <c r="C395" s="56"/>
      <c r="D395" s="51"/>
      <c r="E395" s="51"/>
      <c r="F395" s="51"/>
      <c r="G395" s="51" t="str">
        <f>IFERROR(__xludf.DUMMYFUNCTION("""COMPUTED_VALUE"""),"#VALUE!")</f>
        <v>#VALUE!</v>
      </c>
      <c r="H395" s="51" t="str">
        <f>IFERROR(__xludf.DUMMYFUNCTION("""COMPUTED_VALUE"""),"")</f>
        <v/>
      </c>
      <c r="I395" s="51" t="str">
        <f>IFERROR(__xludf.DUMMYFUNCTION("""COMPUTED_VALUE"""),"#VALUE!")</f>
        <v>#VALUE!</v>
      </c>
      <c r="J395" s="51" t="str">
        <f>IFERROR(__xludf.DUMMYFUNCTION("""COMPUTED_VALUE"""),"")</f>
        <v/>
      </c>
      <c r="K395" s="51"/>
      <c r="L395" s="51" t="s">
        <v>257</v>
      </c>
      <c r="M395" s="51"/>
      <c r="N395" s="51"/>
      <c r="O395" s="51"/>
      <c r="P395" s="51"/>
      <c r="Q395" s="51"/>
      <c r="R395" s="51"/>
      <c r="S395" s="51"/>
      <c r="T395" s="51"/>
    </row>
    <row r="396">
      <c r="A396" s="51"/>
      <c r="B396" s="51"/>
      <c r="C396" s="56"/>
      <c r="D396" s="51"/>
      <c r="E396" s="51"/>
      <c r="F396" s="51"/>
      <c r="G396" s="51" t="str">
        <f>IFERROR(__xludf.DUMMYFUNCTION("""COMPUTED_VALUE"""),"#VALUE!")</f>
        <v>#VALUE!</v>
      </c>
      <c r="H396" s="51" t="str">
        <f>IFERROR(__xludf.DUMMYFUNCTION("""COMPUTED_VALUE"""),"")</f>
        <v/>
      </c>
      <c r="I396" s="51" t="str">
        <f>IFERROR(__xludf.DUMMYFUNCTION("""COMPUTED_VALUE"""),"#VALUE!")</f>
        <v>#VALUE!</v>
      </c>
      <c r="J396" s="51" t="str">
        <f>IFERROR(__xludf.DUMMYFUNCTION("""COMPUTED_VALUE"""),"")</f>
        <v/>
      </c>
      <c r="K396" s="51"/>
      <c r="L396" s="51" t="s">
        <v>257</v>
      </c>
      <c r="M396" s="51"/>
      <c r="N396" s="51"/>
      <c r="O396" s="51"/>
      <c r="P396" s="51"/>
      <c r="Q396" s="51"/>
      <c r="R396" s="51"/>
      <c r="S396" s="51"/>
      <c r="T396" s="51"/>
    </row>
    <row r="397">
      <c r="A397" s="51"/>
      <c r="B397" s="51"/>
      <c r="C397" s="56"/>
      <c r="D397" s="51"/>
      <c r="E397" s="51"/>
      <c r="F397" s="51"/>
      <c r="G397" s="51" t="str">
        <f>IFERROR(__xludf.DUMMYFUNCTION("""COMPUTED_VALUE"""),"#VALUE!")</f>
        <v>#VALUE!</v>
      </c>
      <c r="H397" s="51" t="str">
        <f>IFERROR(__xludf.DUMMYFUNCTION("""COMPUTED_VALUE"""),"")</f>
        <v/>
      </c>
      <c r="I397" s="51" t="str">
        <f>IFERROR(__xludf.DUMMYFUNCTION("""COMPUTED_VALUE"""),"#VALUE!")</f>
        <v>#VALUE!</v>
      </c>
      <c r="J397" s="51" t="str">
        <f>IFERROR(__xludf.DUMMYFUNCTION("""COMPUTED_VALUE"""),"")</f>
        <v/>
      </c>
      <c r="K397" s="51"/>
      <c r="L397" s="51" t="s">
        <v>257</v>
      </c>
      <c r="M397" s="51"/>
      <c r="N397" s="51"/>
      <c r="O397" s="51"/>
      <c r="P397" s="51"/>
      <c r="Q397" s="51"/>
      <c r="R397" s="51"/>
      <c r="S397" s="51"/>
      <c r="T397" s="51"/>
    </row>
    <row r="398">
      <c r="A398" s="51"/>
      <c r="B398" s="51"/>
      <c r="C398" s="56"/>
      <c r="D398" s="51"/>
      <c r="E398" s="51"/>
      <c r="F398" s="51"/>
      <c r="G398" s="51" t="str">
        <f>IFERROR(__xludf.DUMMYFUNCTION("""COMPUTED_VALUE"""),"#VALUE!")</f>
        <v>#VALUE!</v>
      </c>
      <c r="H398" s="51" t="str">
        <f>IFERROR(__xludf.DUMMYFUNCTION("""COMPUTED_VALUE"""),"")</f>
        <v/>
      </c>
      <c r="I398" s="51" t="str">
        <f>IFERROR(__xludf.DUMMYFUNCTION("""COMPUTED_VALUE"""),"#VALUE!")</f>
        <v>#VALUE!</v>
      </c>
      <c r="J398" s="51" t="str">
        <f>IFERROR(__xludf.DUMMYFUNCTION("""COMPUTED_VALUE"""),"")</f>
        <v/>
      </c>
      <c r="K398" s="51"/>
      <c r="L398" s="51" t="s">
        <v>257</v>
      </c>
      <c r="M398" s="51"/>
      <c r="N398" s="51"/>
      <c r="O398" s="51"/>
      <c r="P398" s="51"/>
      <c r="Q398" s="51"/>
      <c r="R398" s="51"/>
      <c r="S398" s="51"/>
      <c r="T398" s="51"/>
    </row>
    <row r="399">
      <c r="A399" s="51"/>
      <c r="B399" s="51"/>
      <c r="C399" s="56"/>
      <c r="D399" s="51"/>
      <c r="E399" s="51"/>
      <c r="F399" s="51"/>
      <c r="G399" s="51" t="str">
        <f>IFERROR(__xludf.DUMMYFUNCTION("""COMPUTED_VALUE"""),"#VALUE!")</f>
        <v>#VALUE!</v>
      </c>
      <c r="H399" s="51" t="str">
        <f>IFERROR(__xludf.DUMMYFUNCTION("""COMPUTED_VALUE"""),"")</f>
        <v/>
      </c>
      <c r="I399" s="51" t="str">
        <f>IFERROR(__xludf.DUMMYFUNCTION("""COMPUTED_VALUE"""),"#VALUE!")</f>
        <v>#VALUE!</v>
      </c>
      <c r="J399" s="51" t="str">
        <f>IFERROR(__xludf.DUMMYFUNCTION("""COMPUTED_VALUE"""),"")</f>
        <v/>
      </c>
      <c r="K399" s="51"/>
      <c r="L399" s="51" t="s">
        <v>257</v>
      </c>
      <c r="M399" s="51"/>
      <c r="N399" s="51"/>
      <c r="O399" s="51"/>
      <c r="P399" s="51"/>
      <c r="Q399" s="51"/>
      <c r="R399" s="51"/>
      <c r="S399" s="51"/>
      <c r="T399" s="51"/>
    </row>
    <row r="400">
      <c r="A400" s="51"/>
      <c r="B400" s="51"/>
      <c r="C400" s="56"/>
      <c r="D400" s="51"/>
      <c r="E400" s="51"/>
      <c r="F400" s="51"/>
      <c r="G400" s="51" t="str">
        <f>IFERROR(__xludf.DUMMYFUNCTION("""COMPUTED_VALUE"""),"#VALUE!")</f>
        <v>#VALUE!</v>
      </c>
      <c r="H400" s="51" t="str">
        <f>IFERROR(__xludf.DUMMYFUNCTION("""COMPUTED_VALUE"""),"")</f>
        <v/>
      </c>
      <c r="I400" s="51" t="str">
        <f>IFERROR(__xludf.DUMMYFUNCTION("""COMPUTED_VALUE"""),"#VALUE!")</f>
        <v>#VALUE!</v>
      </c>
      <c r="J400" s="51" t="str">
        <f>IFERROR(__xludf.DUMMYFUNCTION("""COMPUTED_VALUE"""),"")</f>
        <v/>
      </c>
      <c r="K400" s="51"/>
      <c r="L400" s="51" t="s">
        <v>257</v>
      </c>
      <c r="M400" s="51"/>
      <c r="N400" s="51"/>
      <c r="O400" s="51"/>
      <c r="P400" s="51"/>
      <c r="Q400" s="51"/>
      <c r="R400" s="51"/>
      <c r="S400" s="51"/>
      <c r="T400" s="51"/>
    </row>
    <row r="401">
      <c r="A401" s="51"/>
      <c r="B401" s="51"/>
      <c r="C401" s="56"/>
      <c r="D401" s="51"/>
      <c r="E401" s="51"/>
      <c r="F401" s="51"/>
      <c r="G401" s="51" t="str">
        <f>IFERROR(__xludf.DUMMYFUNCTION("""COMPUTED_VALUE"""),"#VALUE!")</f>
        <v>#VALUE!</v>
      </c>
      <c r="H401" s="51" t="str">
        <f>IFERROR(__xludf.DUMMYFUNCTION("""COMPUTED_VALUE"""),"")</f>
        <v/>
      </c>
      <c r="I401" s="51" t="str">
        <f>IFERROR(__xludf.DUMMYFUNCTION("""COMPUTED_VALUE"""),"#VALUE!")</f>
        <v>#VALUE!</v>
      </c>
      <c r="J401" s="51" t="str">
        <f>IFERROR(__xludf.DUMMYFUNCTION("""COMPUTED_VALUE"""),"")</f>
        <v/>
      </c>
      <c r="K401" s="51"/>
      <c r="L401" s="51" t="s">
        <v>257</v>
      </c>
      <c r="M401" s="51"/>
      <c r="N401" s="51"/>
      <c r="O401" s="51"/>
      <c r="P401" s="51"/>
      <c r="Q401" s="51"/>
      <c r="R401" s="51"/>
      <c r="S401" s="51"/>
      <c r="T401" s="51"/>
    </row>
    <row r="402">
      <c r="A402" s="51"/>
      <c r="B402" s="51"/>
      <c r="C402" s="56"/>
      <c r="D402" s="51"/>
      <c r="E402" s="51"/>
      <c r="F402" s="51"/>
      <c r="G402" s="51" t="str">
        <f>IFERROR(__xludf.DUMMYFUNCTION("""COMPUTED_VALUE"""),"#VALUE!")</f>
        <v>#VALUE!</v>
      </c>
      <c r="H402" s="51" t="str">
        <f>IFERROR(__xludf.DUMMYFUNCTION("""COMPUTED_VALUE"""),"")</f>
        <v/>
      </c>
      <c r="I402" s="51" t="str">
        <f>IFERROR(__xludf.DUMMYFUNCTION("""COMPUTED_VALUE"""),"#VALUE!")</f>
        <v>#VALUE!</v>
      </c>
      <c r="J402" s="51" t="str">
        <f>IFERROR(__xludf.DUMMYFUNCTION("""COMPUTED_VALUE"""),"")</f>
        <v/>
      </c>
      <c r="K402" s="51"/>
      <c r="L402" s="51" t="s">
        <v>257</v>
      </c>
      <c r="M402" s="51"/>
      <c r="N402" s="51"/>
      <c r="O402" s="51"/>
      <c r="P402" s="51"/>
      <c r="Q402" s="51"/>
      <c r="R402" s="51"/>
      <c r="S402" s="51"/>
      <c r="T402" s="51"/>
    </row>
    <row r="403">
      <c r="A403" s="51"/>
      <c r="B403" s="51"/>
      <c r="C403" s="56"/>
      <c r="D403" s="51"/>
      <c r="E403" s="51"/>
      <c r="F403" s="51"/>
      <c r="G403" s="51" t="str">
        <f>IFERROR(__xludf.DUMMYFUNCTION("""COMPUTED_VALUE"""),"#VALUE!")</f>
        <v>#VALUE!</v>
      </c>
      <c r="H403" s="51" t="str">
        <f>IFERROR(__xludf.DUMMYFUNCTION("""COMPUTED_VALUE"""),"")</f>
        <v/>
      </c>
      <c r="I403" s="51" t="str">
        <f>IFERROR(__xludf.DUMMYFUNCTION("""COMPUTED_VALUE"""),"#VALUE!")</f>
        <v>#VALUE!</v>
      </c>
      <c r="J403" s="51" t="str">
        <f>IFERROR(__xludf.DUMMYFUNCTION("""COMPUTED_VALUE"""),"")</f>
        <v/>
      </c>
      <c r="K403" s="51"/>
      <c r="L403" s="51" t="s">
        <v>257</v>
      </c>
      <c r="M403" s="51"/>
      <c r="N403" s="51"/>
      <c r="O403" s="51"/>
      <c r="P403" s="51"/>
      <c r="Q403" s="51"/>
      <c r="R403" s="51"/>
      <c r="S403" s="51"/>
      <c r="T403" s="51"/>
    </row>
    <row r="404">
      <c r="A404" s="51"/>
      <c r="B404" s="51"/>
      <c r="C404" s="56"/>
      <c r="D404" s="51"/>
      <c r="E404" s="51"/>
      <c r="F404" s="51"/>
      <c r="G404" s="51" t="str">
        <f>IFERROR(__xludf.DUMMYFUNCTION("""COMPUTED_VALUE"""),"#VALUE!")</f>
        <v>#VALUE!</v>
      </c>
      <c r="H404" s="51" t="str">
        <f>IFERROR(__xludf.DUMMYFUNCTION("""COMPUTED_VALUE"""),"")</f>
        <v/>
      </c>
      <c r="I404" s="51" t="str">
        <f>IFERROR(__xludf.DUMMYFUNCTION("""COMPUTED_VALUE"""),"#VALUE!")</f>
        <v>#VALUE!</v>
      </c>
      <c r="J404" s="51" t="str">
        <f>IFERROR(__xludf.DUMMYFUNCTION("""COMPUTED_VALUE"""),"")</f>
        <v/>
      </c>
      <c r="K404" s="51"/>
      <c r="L404" s="51" t="s">
        <v>257</v>
      </c>
      <c r="M404" s="51"/>
      <c r="N404" s="51"/>
      <c r="O404" s="51"/>
      <c r="P404" s="51"/>
      <c r="Q404" s="51"/>
      <c r="R404" s="51"/>
      <c r="S404" s="51"/>
      <c r="T404" s="51"/>
    </row>
    <row r="405">
      <c r="A405" s="51"/>
      <c r="B405" s="51"/>
      <c r="C405" s="56"/>
      <c r="D405" s="51"/>
      <c r="E405" s="51"/>
      <c r="F405" s="51"/>
      <c r="G405" s="51" t="str">
        <f>IFERROR(__xludf.DUMMYFUNCTION("""COMPUTED_VALUE"""),"#VALUE!")</f>
        <v>#VALUE!</v>
      </c>
      <c r="H405" s="51" t="str">
        <f>IFERROR(__xludf.DUMMYFUNCTION("""COMPUTED_VALUE"""),"")</f>
        <v/>
      </c>
      <c r="I405" s="51" t="str">
        <f>IFERROR(__xludf.DUMMYFUNCTION("""COMPUTED_VALUE"""),"#VALUE!")</f>
        <v>#VALUE!</v>
      </c>
      <c r="J405" s="51" t="str">
        <f>IFERROR(__xludf.DUMMYFUNCTION("""COMPUTED_VALUE"""),"")</f>
        <v/>
      </c>
      <c r="K405" s="51"/>
      <c r="L405" s="51" t="s">
        <v>257</v>
      </c>
      <c r="M405" s="51"/>
      <c r="N405" s="51"/>
      <c r="O405" s="51"/>
      <c r="P405" s="51"/>
      <c r="Q405" s="51"/>
      <c r="R405" s="51"/>
      <c r="S405" s="51"/>
      <c r="T405" s="51"/>
    </row>
    <row r="406">
      <c r="A406" s="51"/>
      <c r="B406" s="51"/>
      <c r="C406" s="56"/>
      <c r="D406" s="51"/>
      <c r="E406" s="51"/>
      <c r="F406" s="51"/>
      <c r="G406" s="51" t="str">
        <f>IFERROR(__xludf.DUMMYFUNCTION("""COMPUTED_VALUE"""),"#VALUE!")</f>
        <v>#VALUE!</v>
      </c>
      <c r="H406" s="51" t="str">
        <f>IFERROR(__xludf.DUMMYFUNCTION("""COMPUTED_VALUE"""),"")</f>
        <v/>
      </c>
      <c r="I406" s="51" t="str">
        <f>IFERROR(__xludf.DUMMYFUNCTION("""COMPUTED_VALUE"""),"#VALUE!")</f>
        <v>#VALUE!</v>
      </c>
      <c r="J406" s="51" t="str">
        <f>IFERROR(__xludf.DUMMYFUNCTION("""COMPUTED_VALUE"""),"")</f>
        <v/>
      </c>
      <c r="K406" s="51"/>
      <c r="L406" s="51" t="s">
        <v>257</v>
      </c>
      <c r="M406" s="51"/>
      <c r="N406" s="51"/>
      <c r="O406" s="51"/>
      <c r="P406" s="51"/>
      <c r="Q406" s="51"/>
      <c r="R406" s="51"/>
      <c r="S406" s="51"/>
      <c r="T406" s="51"/>
    </row>
    <row r="407">
      <c r="A407" s="51"/>
      <c r="B407" s="51"/>
      <c r="C407" s="56"/>
      <c r="D407" s="51"/>
      <c r="E407" s="51"/>
      <c r="F407" s="51"/>
      <c r="G407" s="51" t="str">
        <f>IFERROR(__xludf.DUMMYFUNCTION("""COMPUTED_VALUE"""),"#VALUE!")</f>
        <v>#VALUE!</v>
      </c>
      <c r="H407" s="51" t="str">
        <f>IFERROR(__xludf.DUMMYFUNCTION("""COMPUTED_VALUE"""),"")</f>
        <v/>
      </c>
      <c r="I407" s="51" t="str">
        <f>IFERROR(__xludf.DUMMYFUNCTION("""COMPUTED_VALUE"""),"#VALUE!")</f>
        <v>#VALUE!</v>
      </c>
      <c r="J407" s="51" t="str">
        <f>IFERROR(__xludf.DUMMYFUNCTION("""COMPUTED_VALUE"""),"")</f>
        <v/>
      </c>
      <c r="K407" s="51"/>
      <c r="L407" s="51" t="s">
        <v>257</v>
      </c>
      <c r="M407" s="51"/>
      <c r="N407" s="51"/>
      <c r="O407" s="51"/>
      <c r="P407" s="51"/>
      <c r="Q407" s="51"/>
      <c r="R407" s="51"/>
      <c r="S407" s="51"/>
      <c r="T407" s="51"/>
    </row>
    <row r="408">
      <c r="A408" s="51"/>
      <c r="B408" s="51"/>
      <c r="C408" s="56"/>
      <c r="D408" s="51"/>
      <c r="E408" s="51"/>
      <c r="F408" s="51"/>
      <c r="G408" s="51" t="str">
        <f>IFERROR(__xludf.DUMMYFUNCTION("""COMPUTED_VALUE"""),"#VALUE!")</f>
        <v>#VALUE!</v>
      </c>
      <c r="H408" s="51" t="str">
        <f>IFERROR(__xludf.DUMMYFUNCTION("""COMPUTED_VALUE"""),"")</f>
        <v/>
      </c>
      <c r="I408" s="51" t="str">
        <f>IFERROR(__xludf.DUMMYFUNCTION("""COMPUTED_VALUE"""),"#VALUE!")</f>
        <v>#VALUE!</v>
      </c>
      <c r="J408" s="51" t="str">
        <f>IFERROR(__xludf.DUMMYFUNCTION("""COMPUTED_VALUE"""),"")</f>
        <v/>
      </c>
      <c r="K408" s="51"/>
      <c r="L408" s="51" t="s">
        <v>257</v>
      </c>
      <c r="M408" s="51"/>
      <c r="N408" s="51"/>
      <c r="O408" s="51"/>
      <c r="P408" s="51"/>
      <c r="Q408" s="51"/>
      <c r="R408" s="51"/>
      <c r="S408" s="51"/>
      <c r="T408" s="51"/>
    </row>
    <row r="409">
      <c r="A409" s="51"/>
      <c r="B409" s="51"/>
      <c r="C409" s="56"/>
      <c r="D409" s="51"/>
      <c r="E409" s="51"/>
      <c r="F409" s="51"/>
      <c r="G409" s="51" t="str">
        <f>IFERROR(__xludf.DUMMYFUNCTION("""COMPUTED_VALUE"""),"#VALUE!")</f>
        <v>#VALUE!</v>
      </c>
      <c r="H409" s="51" t="str">
        <f>IFERROR(__xludf.DUMMYFUNCTION("""COMPUTED_VALUE"""),"")</f>
        <v/>
      </c>
      <c r="I409" s="51" t="str">
        <f>IFERROR(__xludf.DUMMYFUNCTION("""COMPUTED_VALUE"""),"#VALUE!")</f>
        <v>#VALUE!</v>
      </c>
      <c r="J409" s="51" t="str">
        <f>IFERROR(__xludf.DUMMYFUNCTION("""COMPUTED_VALUE"""),"")</f>
        <v/>
      </c>
      <c r="K409" s="51"/>
      <c r="L409" s="51" t="s">
        <v>257</v>
      </c>
      <c r="M409" s="51"/>
      <c r="N409" s="51"/>
      <c r="O409" s="51"/>
      <c r="P409" s="51"/>
      <c r="Q409" s="51"/>
      <c r="R409" s="51"/>
      <c r="S409" s="51"/>
      <c r="T409" s="51"/>
    </row>
    <row r="410">
      <c r="A410" s="51"/>
      <c r="B410" s="51"/>
      <c r="C410" s="56"/>
      <c r="D410" s="51"/>
      <c r="E410" s="51"/>
      <c r="F410" s="51"/>
      <c r="G410" s="51" t="str">
        <f>IFERROR(__xludf.DUMMYFUNCTION("""COMPUTED_VALUE"""),"#VALUE!")</f>
        <v>#VALUE!</v>
      </c>
      <c r="H410" s="51" t="str">
        <f>IFERROR(__xludf.DUMMYFUNCTION("""COMPUTED_VALUE"""),"")</f>
        <v/>
      </c>
      <c r="I410" s="51" t="str">
        <f>IFERROR(__xludf.DUMMYFUNCTION("""COMPUTED_VALUE"""),"#VALUE!")</f>
        <v>#VALUE!</v>
      </c>
      <c r="J410" s="51" t="str">
        <f>IFERROR(__xludf.DUMMYFUNCTION("""COMPUTED_VALUE"""),"")</f>
        <v/>
      </c>
      <c r="K410" s="51"/>
      <c r="L410" s="51" t="s">
        <v>257</v>
      </c>
      <c r="M410" s="51"/>
      <c r="N410" s="51"/>
      <c r="O410" s="51"/>
      <c r="P410" s="51"/>
      <c r="Q410" s="51"/>
      <c r="R410" s="51"/>
      <c r="S410" s="51"/>
      <c r="T410" s="51"/>
    </row>
    <row r="411">
      <c r="A411" s="51"/>
      <c r="B411" s="51"/>
      <c r="C411" s="56"/>
      <c r="D411" s="51"/>
      <c r="E411" s="51"/>
      <c r="F411" s="51"/>
      <c r="G411" s="51" t="str">
        <f>IFERROR(__xludf.DUMMYFUNCTION("""COMPUTED_VALUE"""),"#VALUE!")</f>
        <v>#VALUE!</v>
      </c>
      <c r="H411" s="51" t="str">
        <f>IFERROR(__xludf.DUMMYFUNCTION("""COMPUTED_VALUE"""),"")</f>
        <v/>
      </c>
      <c r="I411" s="51" t="str">
        <f>IFERROR(__xludf.DUMMYFUNCTION("""COMPUTED_VALUE"""),"#VALUE!")</f>
        <v>#VALUE!</v>
      </c>
      <c r="J411" s="51" t="str">
        <f>IFERROR(__xludf.DUMMYFUNCTION("""COMPUTED_VALUE"""),"")</f>
        <v/>
      </c>
      <c r="K411" s="51"/>
      <c r="L411" s="51" t="s">
        <v>257</v>
      </c>
      <c r="M411" s="51"/>
      <c r="N411" s="51"/>
      <c r="O411" s="51"/>
      <c r="P411" s="51"/>
      <c r="Q411" s="51"/>
      <c r="R411" s="51"/>
      <c r="S411" s="51"/>
      <c r="T411" s="51"/>
    </row>
    <row r="412">
      <c r="A412" s="51"/>
      <c r="B412" s="51"/>
      <c r="C412" s="56"/>
      <c r="D412" s="51"/>
      <c r="E412" s="51"/>
      <c r="F412" s="51"/>
      <c r="G412" s="51" t="str">
        <f>IFERROR(__xludf.DUMMYFUNCTION("""COMPUTED_VALUE"""),"#VALUE!")</f>
        <v>#VALUE!</v>
      </c>
      <c r="H412" s="51" t="str">
        <f>IFERROR(__xludf.DUMMYFUNCTION("""COMPUTED_VALUE"""),"")</f>
        <v/>
      </c>
      <c r="I412" s="51" t="str">
        <f>IFERROR(__xludf.DUMMYFUNCTION("""COMPUTED_VALUE"""),"#VALUE!")</f>
        <v>#VALUE!</v>
      </c>
      <c r="J412" s="51" t="str">
        <f>IFERROR(__xludf.DUMMYFUNCTION("""COMPUTED_VALUE"""),"")</f>
        <v/>
      </c>
      <c r="K412" s="51"/>
      <c r="L412" s="51" t="s">
        <v>257</v>
      </c>
      <c r="M412" s="51"/>
      <c r="N412" s="51"/>
      <c r="O412" s="51"/>
      <c r="P412" s="51"/>
      <c r="Q412" s="51"/>
      <c r="R412" s="51"/>
      <c r="S412" s="51"/>
      <c r="T412" s="51"/>
    </row>
    <row r="413">
      <c r="A413" s="51"/>
      <c r="B413" s="51"/>
      <c r="C413" s="56"/>
      <c r="D413" s="51"/>
      <c r="E413" s="51"/>
      <c r="F413" s="51"/>
      <c r="G413" s="51" t="str">
        <f>IFERROR(__xludf.DUMMYFUNCTION("""COMPUTED_VALUE"""),"#VALUE!")</f>
        <v>#VALUE!</v>
      </c>
      <c r="H413" s="51" t="str">
        <f>IFERROR(__xludf.DUMMYFUNCTION("""COMPUTED_VALUE"""),"")</f>
        <v/>
      </c>
      <c r="I413" s="51" t="str">
        <f>IFERROR(__xludf.DUMMYFUNCTION("""COMPUTED_VALUE"""),"#VALUE!")</f>
        <v>#VALUE!</v>
      </c>
      <c r="J413" s="51" t="str">
        <f>IFERROR(__xludf.DUMMYFUNCTION("""COMPUTED_VALUE"""),"")</f>
        <v/>
      </c>
      <c r="K413" s="51"/>
      <c r="L413" s="51" t="s">
        <v>257</v>
      </c>
      <c r="M413" s="51"/>
      <c r="N413" s="51"/>
      <c r="O413" s="51"/>
      <c r="P413" s="51"/>
      <c r="Q413" s="51"/>
      <c r="R413" s="51"/>
      <c r="S413" s="51"/>
      <c r="T413" s="51"/>
    </row>
    <row r="414">
      <c r="A414" s="51"/>
      <c r="B414" s="51"/>
      <c r="C414" s="56"/>
      <c r="D414" s="51"/>
      <c r="E414" s="51"/>
      <c r="F414" s="51"/>
      <c r="G414" s="51" t="str">
        <f>IFERROR(__xludf.DUMMYFUNCTION("""COMPUTED_VALUE"""),"#VALUE!")</f>
        <v>#VALUE!</v>
      </c>
      <c r="H414" s="51" t="str">
        <f>IFERROR(__xludf.DUMMYFUNCTION("""COMPUTED_VALUE"""),"")</f>
        <v/>
      </c>
      <c r="I414" s="51" t="str">
        <f>IFERROR(__xludf.DUMMYFUNCTION("""COMPUTED_VALUE"""),"#VALUE!")</f>
        <v>#VALUE!</v>
      </c>
      <c r="J414" s="51" t="str">
        <f>IFERROR(__xludf.DUMMYFUNCTION("""COMPUTED_VALUE"""),"")</f>
        <v/>
      </c>
      <c r="K414" s="51"/>
      <c r="L414" s="51" t="s">
        <v>257</v>
      </c>
      <c r="M414" s="51"/>
      <c r="N414" s="51"/>
      <c r="O414" s="51"/>
      <c r="P414" s="51"/>
      <c r="Q414" s="51"/>
      <c r="R414" s="51"/>
      <c r="S414" s="51"/>
      <c r="T414" s="51"/>
    </row>
    <row r="415">
      <c r="A415" s="51"/>
      <c r="B415" s="51"/>
      <c r="C415" s="56"/>
      <c r="D415" s="51"/>
      <c r="E415" s="51"/>
      <c r="F415" s="51"/>
      <c r="G415" s="51" t="str">
        <f>IFERROR(__xludf.DUMMYFUNCTION("""COMPUTED_VALUE"""),"#VALUE!")</f>
        <v>#VALUE!</v>
      </c>
      <c r="H415" s="51" t="str">
        <f>IFERROR(__xludf.DUMMYFUNCTION("""COMPUTED_VALUE"""),"")</f>
        <v/>
      </c>
      <c r="I415" s="51" t="str">
        <f>IFERROR(__xludf.DUMMYFUNCTION("""COMPUTED_VALUE"""),"#VALUE!")</f>
        <v>#VALUE!</v>
      </c>
      <c r="J415" s="51" t="str">
        <f>IFERROR(__xludf.DUMMYFUNCTION("""COMPUTED_VALUE"""),"")</f>
        <v/>
      </c>
      <c r="K415" s="51"/>
      <c r="L415" s="51" t="s">
        <v>257</v>
      </c>
      <c r="M415" s="51"/>
      <c r="N415" s="51"/>
      <c r="O415" s="51"/>
      <c r="P415" s="51"/>
      <c r="Q415" s="51"/>
      <c r="R415" s="51"/>
      <c r="S415" s="51"/>
      <c r="T415" s="51"/>
    </row>
    <row r="416">
      <c r="A416" s="51"/>
      <c r="B416" s="51"/>
      <c r="C416" s="56"/>
      <c r="D416" s="51"/>
      <c r="E416" s="51"/>
      <c r="F416" s="51"/>
      <c r="G416" s="51" t="str">
        <f>IFERROR(__xludf.DUMMYFUNCTION("""COMPUTED_VALUE"""),"#VALUE!")</f>
        <v>#VALUE!</v>
      </c>
      <c r="H416" s="51" t="str">
        <f>IFERROR(__xludf.DUMMYFUNCTION("""COMPUTED_VALUE"""),"")</f>
        <v/>
      </c>
      <c r="I416" s="51" t="str">
        <f>IFERROR(__xludf.DUMMYFUNCTION("""COMPUTED_VALUE"""),"#VALUE!")</f>
        <v>#VALUE!</v>
      </c>
      <c r="J416" s="51" t="str">
        <f>IFERROR(__xludf.DUMMYFUNCTION("""COMPUTED_VALUE"""),"")</f>
        <v/>
      </c>
      <c r="K416" s="51"/>
      <c r="L416" s="51" t="s">
        <v>257</v>
      </c>
      <c r="M416" s="51"/>
      <c r="N416" s="51"/>
      <c r="O416" s="51"/>
      <c r="P416" s="51"/>
      <c r="Q416" s="51"/>
      <c r="R416" s="51"/>
      <c r="S416" s="51"/>
      <c r="T416" s="51"/>
    </row>
    <row r="417">
      <c r="A417" s="51"/>
      <c r="B417" s="51"/>
      <c r="C417" s="56"/>
      <c r="D417" s="51"/>
      <c r="E417" s="51"/>
      <c r="F417" s="51"/>
      <c r="G417" s="51" t="str">
        <f>IFERROR(__xludf.DUMMYFUNCTION("""COMPUTED_VALUE"""),"#VALUE!")</f>
        <v>#VALUE!</v>
      </c>
      <c r="H417" s="51" t="str">
        <f>IFERROR(__xludf.DUMMYFUNCTION("""COMPUTED_VALUE"""),"")</f>
        <v/>
      </c>
      <c r="I417" s="51" t="str">
        <f>IFERROR(__xludf.DUMMYFUNCTION("""COMPUTED_VALUE"""),"#VALUE!")</f>
        <v>#VALUE!</v>
      </c>
      <c r="J417" s="51" t="str">
        <f>IFERROR(__xludf.DUMMYFUNCTION("""COMPUTED_VALUE"""),"")</f>
        <v/>
      </c>
      <c r="K417" s="51"/>
      <c r="L417" s="51" t="s">
        <v>257</v>
      </c>
      <c r="M417" s="51"/>
      <c r="N417" s="51"/>
      <c r="O417" s="51"/>
      <c r="P417" s="51"/>
      <c r="Q417" s="51"/>
      <c r="R417" s="51"/>
      <c r="S417" s="51"/>
      <c r="T417" s="51"/>
    </row>
    <row r="418">
      <c r="A418" s="51"/>
      <c r="B418" s="51"/>
      <c r="C418" s="56"/>
      <c r="D418" s="51"/>
      <c r="E418" s="51"/>
      <c r="F418" s="51"/>
      <c r="G418" s="51" t="str">
        <f>IFERROR(__xludf.DUMMYFUNCTION("""COMPUTED_VALUE"""),"#VALUE!")</f>
        <v>#VALUE!</v>
      </c>
      <c r="H418" s="51" t="str">
        <f>IFERROR(__xludf.DUMMYFUNCTION("""COMPUTED_VALUE"""),"")</f>
        <v/>
      </c>
      <c r="I418" s="51" t="str">
        <f>IFERROR(__xludf.DUMMYFUNCTION("""COMPUTED_VALUE"""),"#VALUE!")</f>
        <v>#VALUE!</v>
      </c>
      <c r="J418" s="51" t="str">
        <f>IFERROR(__xludf.DUMMYFUNCTION("""COMPUTED_VALUE"""),"")</f>
        <v/>
      </c>
      <c r="K418" s="51"/>
      <c r="L418" s="51" t="s">
        <v>257</v>
      </c>
      <c r="M418" s="51"/>
      <c r="N418" s="51"/>
      <c r="O418" s="51"/>
      <c r="P418" s="51"/>
      <c r="Q418" s="51"/>
      <c r="R418" s="51"/>
      <c r="S418" s="51"/>
      <c r="T418" s="51"/>
    </row>
    <row r="419">
      <c r="A419" s="51"/>
      <c r="B419" s="51"/>
      <c r="C419" s="56"/>
      <c r="D419" s="51"/>
      <c r="E419" s="51"/>
      <c r="F419" s="51"/>
      <c r="G419" s="51" t="str">
        <f>IFERROR(__xludf.DUMMYFUNCTION("""COMPUTED_VALUE"""),"#VALUE!")</f>
        <v>#VALUE!</v>
      </c>
      <c r="H419" s="51" t="str">
        <f>IFERROR(__xludf.DUMMYFUNCTION("""COMPUTED_VALUE"""),"")</f>
        <v/>
      </c>
      <c r="I419" s="51" t="str">
        <f>IFERROR(__xludf.DUMMYFUNCTION("""COMPUTED_VALUE"""),"#VALUE!")</f>
        <v>#VALUE!</v>
      </c>
      <c r="J419" s="51" t="str">
        <f>IFERROR(__xludf.DUMMYFUNCTION("""COMPUTED_VALUE"""),"")</f>
        <v/>
      </c>
      <c r="K419" s="51"/>
      <c r="L419" s="51" t="s">
        <v>257</v>
      </c>
      <c r="M419" s="51"/>
      <c r="N419" s="51"/>
      <c r="O419" s="51"/>
      <c r="P419" s="51"/>
      <c r="Q419" s="51"/>
      <c r="R419" s="51"/>
      <c r="S419" s="51"/>
      <c r="T419" s="51"/>
    </row>
    <row r="420">
      <c r="A420" s="51"/>
      <c r="B420" s="51"/>
      <c r="C420" s="56"/>
      <c r="D420" s="51"/>
      <c r="E420" s="51"/>
      <c r="F420" s="51"/>
      <c r="G420" s="51" t="str">
        <f>IFERROR(__xludf.DUMMYFUNCTION("""COMPUTED_VALUE"""),"#VALUE!")</f>
        <v>#VALUE!</v>
      </c>
      <c r="H420" s="51" t="str">
        <f>IFERROR(__xludf.DUMMYFUNCTION("""COMPUTED_VALUE"""),"")</f>
        <v/>
      </c>
      <c r="I420" s="51" t="str">
        <f>IFERROR(__xludf.DUMMYFUNCTION("""COMPUTED_VALUE"""),"#VALUE!")</f>
        <v>#VALUE!</v>
      </c>
      <c r="J420" s="51" t="str">
        <f>IFERROR(__xludf.DUMMYFUNCTION("""COMPUTED_VALUE"""),"")</f>
        <v/>
      </c>
      <c r="K420" s="51"/>
      <c r="L420" s="51" t="s">
        <v>257</v>
      </c>
      <c r="M420" s="51"/>
      <c r="N420" s="51"/>
      <c r="O420" s="51"/>
      <c r="P420" s="51"/>
      <c r="Q420" s="51"/>
      <c r="R420" s="51"/>
      <c r="S420" s="51"/>
      <c r="T420" s="51"/>
    </row>
    <row r="421">
      <c r="A421" s="51"/>
      <c r="B421" s="51"/>
      <c r="C421" s="56"/>
      <c r="D421" s="51"/>
      <c r="E421" s="51"/>
      <c r="F421" s="51"/>
      <c r="G421" s="51" t="str">
        <f>IFERROR(__xludf.DUMMYFUNCTION("""COMPUTED_VALUE"""),"#VALUE!")</f>
        <v>#VALUE!</v>
      </c>
      <c r="H421" s="51" t="str">
        <f>IFERROR(__xludf.DUMMYFUNCTION("""COMPUTED_VALUE"""),"")</f>
        <v/>
      </c>
      <c r="I421" s="51" t="str">
        <f>IFERROR(__xludf.DUMMYFUNCTION("""COMPUTED_VALUE"""),"#VALUE!")</f>
        <v>#VALUE!</v>
      </c>
      <c r="J421" s="51" t="str">
        <f>IFERROR(__xludf.DUMMYFUNCTION("""COMPUTED_VALUE"""),"")</f>
        <v/>
      </c>
      <c r="K421" s="51"/>
      <c r="L421" s="51" t="s">
        <v>257</v>
      </c>
      <c r="M421" s="51"/>
      <c r="N421" s="51"/>
      <c r="O421" s="51"/>
      <c r="P421" s="51"/>
      <c r="Q421" s="51"/>
      <c r="R421" s="51"/>
      <c r="S421" s="51"/>
      <c r="T421" s="51"/>
    </row>
    <row r="422">
      <c r="A422" s="51"/>
      <c r="B422" s="51"/>
      <c r="C422" s="56"/>
      <c r="D422" s="51"/>
      <c r="E422" s="51"/>
      <c r="F422" s="51"/>
      <c r="G422" s="51" t="str">
        <f>IFERROR(__xludf.DUMMYFUNCTION("""COMPUTED_VALUE"""),"#VALUE!")</f>
        <v>#VALUE!</v>
      </c>
      <c r="H422" s="51" t="str">
        <f>IFERROR(__xludf.DUMMYFUNCTION("""COMPUTED_VALUE"""),"")</f>
        <v/>
      </c>
      <c r="I422" s="51" t="str">
        <f>IFERROR(__xludf.DUMMYFUNCTION("""COMPUTED_VALUE"""),"#VALUE!")</f>
        <v>#VALUE!</v>
      </c>
      <c r="J422" s="51" t="str">
        <f>IFERROR(__xludf.DUMMYFUNCTION("""COMPUTED_VALUE"""),"")</f>
        <v/>
      </c>
      <c r="K422" s="51"/>
      <c r="L422" s="51" t="s">
        <v>257</v>
      </c>
      <c r="M422" s="51"/>
      <c r="N422" s="51"/>
      <c r="O422" s="51"/>
      <c r="P422" s="51"/>
      <c r="Q422" s="51"/>
      <c r="R422" s="51"/>
      <c r="S422" s="51"/>
      <c r="T422" s="51"/>
    </row>
    <row r="423">
      <c r="A423" s="51"/>
      <c r="B423" s="51"/>
      <c r="C423" s="56"/>
      <c r="D423" s="51"/>
      <c r="E423" s="51"/>
      <c r="F423" s="51"/>
      <c r="G423" s="51" t="str">
        <f>IFERROR(__xludf.DUMMYFUNCTION("""COMPUTED_VALUE"""),"#VALUE!")</f>
        <v>#VALUE!</v>
      </c>
      <c r="H423" s="51" t="str">
        <f>IFERROR(__xludf.DUMMYFUNCTION("""COMPUTED_VALUE"""),"")</f>
        <v/>
      </c>
      <c r="I423" s="51" t="str">
        <f>IFERROR(__xludf.DUMMYFUNCTION("""COMPUTED_VALUE"""),"#VALUE!")</f>
        <v>#VALUE!</v>
      </c>
      <c r="J423" s="51" t="str">
        <f>IFERROR(__xludf.DUMMYFUNCTION("""COMPUTED_VALUE"""),"")</f>
        <v/>
      </c>
      <c r="K423" s="51"/>
      <c r="L423" s="51" t="s">
        <v>257</v>
      </c>
      <c r="M423" s="51"/>
      <c r="N423" s="51"/>
      <c r="O423" s="51"/>
      <c r="P423" s="51"/>
      <c r="Q423" s="51"/>
      <c r="R423" s="51"/>
      <c r="S423" s="51"/>
      <c r="T423" s="51"/>
    </row>
    <row r="424">
      <c r="A424" s="51"/>
      <c r="B424" s="51"/>
      <c r="C424" s="56"/>
      <c r="D424" s="51"/>
      <c r="E424" s="51"/>
      <c r="F424" s="51"/>
      <c r="G424" s="51" t="str">
        <f>IFERROR(__xludf.DUMMYFUNCTION("""COMPUTED_VALUE"""),"#VALUE!")</f>
        <v>#VALUE!</v>
      </c>
      <c r="H424" s="51" t="str">
        <f>IFERROR(__xludf.DUMMYFUNCTION("""COMPUTED_VALUE"""),"")</f>
        <v/>
      </c>
      <c r="I424" s="51" t="str">
        <f>IFERROR(__xludf.DUMMYFUNCTION("""COMPUTED_VALUE"""),"#VALUE!")</f>
        <v>#VALUE!</v>
      </c>
      <c r="J424" s="51" t="str">
        <f>IFERROR(__xludf.DUMMYFUNCTION("""COMPUTED_VALUE"""),"")</f>
        <v/>
      </c>
      <c r="K424" s="51"/>
      <c r="L424" s="51" t="s">
        <v>257</v>
      </c>
      <c r="M424" s="51"/>
      <c r="N424" s="51"/>
      <c r="O424" s="51"/>
      <c r="P424" s="51"/>
      <c r="Q424" s="51"/>
      <c r="R424" s="51"/>
      <c r="S424" s="51"/>
      <c r="T424" s="51"/>
    </row>
    <row r="425">
      <c r="A425" s="51"/>
      <c r="B425" s="51"/>
      <c r="C425" s="56"/>
      <c r="D425" s="51"/>
      <c r="E425" s="51"/>
      <c r="F425" s="51"/>
      <c r="G425" s="51" t="str">
        <f>IFERROR(__xludf.DUMMYFUNCTION("""COMPUTED_VALUE"""),"#VALUE!")</f>
        <v>#VALUE!</v>
      </c>
      <c r="H425" s="51" t="str">
        <f>IFERROR(__xludf.DUMMYFUNCTION("""COMPUTED_VALUE"""),"")</f>
        <v/>
      </c>
      <c r="I425" s="51" t="str">
        <f>IFERROR(__xludf.DUMMYFUNCTION("""COMPUTED_VALUE"""),"#VALUE!")</f>
        <v>#VALUE!</v>
      </c>
      <c r="J425" s="51" t="str">
        <f>IFERROR(__xludf.DUMMYFUNCTION("""COMPUTED_VALUE"""),"")</f>
        <v/>
      </c>
      <c r="K425" s="51"/>
      <c r="L425" s="51" t="s">
        <v>257</v>
      </c>
      <c r="M425" s="51"/>
      <c r="N425" s="51"/>
      <c r="O425" s="51"/>
      <c r="P425" s="51"/>
      <c r="Q425" s="51"/>
      <c r="R425" s="51"/>
      <c r="S425" s="51"/>
      <c r="T425" s="51"/>
    </row>
    <row r="426">
      <c r="A426" s="51"/>
      <c r="B426" s="51"/>
      <c r="C426" s="56"/>
      <c r="D426" s="51"/>
      <c r="E426" s="51"/>
      <c r="F426" s="51"/>
      <c r="G426" s="51" t="str">
        <f>IFERROR(__xludf.DUMMYFUNCTION("""COMPUTED_VALUE"""),"#VALUE!")</f>
        <v>#VALUE!</v>
      </c>
      <c r="H426" s="51" t="str">
        <f>IFERROR(__xludf.DUMMYFUNCTION("""COMPUTED_VALUE"""),"")</f>
        <v/>
      </c>
      <c r="I426" s="51" t="str">
        <f>IFERROR(__xludf.DUMMYFUNCTION("""COMPUTED_VALUE"""),"#VALUE!")</f>
        <v>#VALUE!</v>
      </c>
      <c r="J426" s="51" t="str">
        <f>IFERROR(__xludf.DUMMYFUNCTION("""COMPUTED_VALUE"""),"")</f>
        <v/>
      </c>
      <c r="K426" s="51"/>
      <c r="L426" s="51" t="s">
        <v>257</v>
      </c>
      <c r="M426" s="51"/>
      <c r="N426" s="51"/>
      <c r="O426" s="51"/>
      <c r="P426" s="51"/>
      <c r="Q426" s="51"/>
      <c r="R426" s="51"/>
      <c r="S426" s="51"/>
      <c r="T426" s="51"/>
    </row>
    <row r="427">
      <c r="A427" s="51"/>
      <c r="B427" s="51"/>
      <c r="C427" s="56"/>
      <c r="D427" s="51"/>
      <c r="E427" s="51"/>
      <c r="F427" s="51"/>
      <c r="G427" s="51" t="str">
        <f>IFERROR(__xludf.DUMMYFUNCTION("""COMPUTED_VALUE"""),"#VALUE!")</f>
        <v>#VALUE!</v>
      </c>
      <c r="H427" s="51" t="str">
        <f>IFERROR(__xludf.DUMMYFUNCTION("""COMPUTED_VALUE"""),"")</f>
        <v/>
      </c>
      <c r="I427" s="51" t="str">
        <f>IFERROR(__xludf.DUMMYFUNCTION("""COMPUTED_VALUE"""),"#VALUE!")</f>
        <v>#VALUE!</v>
      </c>
      <c r="J427" s="51" t="str">
        <f>IFERROR(__xludf.DUMMYFUNCTION("""COMPUTED_VALUE"""),"")</f>
        <v/>
      </c>
      <c r="K427" s="51"/>
      <c r="L427" s="51" t="s">
        <v>257</v>
      </c>
      <c r="M427" s="51"/>
      <c r="N427" s="51"/>
      <c r="O427" s="51"/>
      <c r="P427" s="51"/>
      <c r="Q427" s="51"/>
      <c r="R427" s="51"/>
      <c r="S427" s="51"/>
      <c r="T427" s="51"/>
    </row>
    <row r="428">
      <c r="A428" s="51"/>
      <c r="B428" s="51"/>
      <c r="C428" s="56"/>
      <c r="D428" s="51"/>
      <c r="E428" s="51"/>
      <c r="F428" s="51"/>
      <c r="G428" s="51" t="str">
        <f>IFERROR(__xludf.DUMMYFUNCTION("""COMPUTED_VALUE"""),"#VALUE!")</f>
        <v>#VALUE!</v>
      </c>
      <c r="H428" s="51" t="str">
        <f>IFERROR(__xludf.DUMMYFUNCTION("""COMPUTED_VALUE"""),"")</f>
        <v/>
      </c>
      <c r="I428" s="51" t="str">
        <f>IFERROR(__xludf.DUMMYFUNCTION("""COMPUTED_VALUE"""),"#VALUE!")</f>
        <v>#VALUE!</v>
      </c>
      <c r="J428" s="51" t="str">
        <f>IFERROR(__xludf.DUMMYFUNCTION("""COMPUTED_VALUE"""),"")</f>
        <v/>
      </c>
      <c r="K428" s="51"/>
      <c r="L428" s="51" t="s">
        <v>257</v>
      </c>
      <c r="M428" s="51"/>
      <c r="N428" s="51"/>
      <c r="O428" s="51"/>
      <c r="P428" s="51"/>
      <c r="Q428" s="51"/>
      <c r="R428" s="51"/>
      <c r="S428" s="51"/>
      <c r="T428" s="51"/>
    </row>
    <row r="429">
      <c r="A429" s="51"/>
      <c r="B429" s="51"/>
      <c r="C429" s="56"/>
      <c r="D429" s="51"/>
      <c r="E429" s="51"/>
      <c r="F429" s="51"/>
      <c r="G429" s="51" t="str">
        <f>IFERROR(__xludf.DUMMYFUNCTION("""COMPUTED_VALUE"""),"#VALUE!")</f>
        <v>#VALUE!</v>
      </c>
      <c r="H429" s="51" t="str">
        <f>IFERROR(__xludf.DUMMYFUNCTION("""COMPUTED_VALUE"""),"")</f>
        <v/>
      </c>
      <c r="I429" s="51" t="str">
        <f>IFERROR(__xludf.DUMMYFUNCTION("""COMPUTED_VALUE"""),"#VALUE!")</f>
        <v>#VALUE!</v>
      </c>
      <c r="J429" s="51" t="str">
        <f>IFERROR(__xludf.DUMMYFUNCTION("""COMPUTED_VALUE"""),"")</f>
        <v/>
      </c>
      <c r="K429" s="51"/>
      <c r="L429" s="51" t="s">
        <v>257</v>
      </c>
      <c r="M429" s="51"/>
      <c r="N429" s="51"/>
      <c r="O429" s="51"/>
      <c r="P429" s="51"/>
      <c r="Q429" s="51"/>
      <c r="R429" s="51"/>
      <c r="S429" s="51"/>
      <c r="T429" s="51"/>
    </row>
    <row r="430">
      <c r="A430" s="51"/>
      <c r="B430" s="51"/>
      <c r="C430" s="56"/>
      <c r="D430" s="51"/>
      <c r="E430" s="51"/>
      <c r="F430" s="51"/>
      <c r="G430" s="51" t="str">
        <f>IFERROR(__xludf.DUMMYFUNCTION("""COMPUTED_VALUE"""),"#VALUE!")</f>
        <v>#VALUE!</v>
      </c>
      <c r="H430" s="51" t="str">
        <f>IFERROR(__xludf.DUMMYFUNCTION("""COMPUTED_VALUE"""),"")</f>
        <v/>
      </c>
      <c r="I430" s="51" t="str">
        <f>IFERROR(__xludf.DUMMYFUNCTION("""COMPUTED_VALUE"""),"#VALUE!")</f>
        <v>#VALUE!</v>
      </c>
      <c r="J430" s="51" t="str">
        <f>IFERROR(__xludf.DUMMYFUNCTION("""COMPUTED_VALUE"""),"")</f>
        <v/>
      </c>
      <c r="K430" s="51"/>
      <c r="L430" s="51" t="s">
        <v>257</v>
      </c>
      <c r="M430" s="51"/>
      <c r="N430" s="51"/>
      <c r="O430" s="51"/>
      <c r="P430" s="51"/>
      <c r="Q430" s="51"/>
      <c r="R430" s="51"/>
      <c r="S430" s="51"/>
      <c r="T430" s="51"/>
    </row>
    <row r="431">
      <c r="A431" s="51"/>
      <c r="B431" s="51"/>
      <c r="C431" s="56"/>
      <c r="D431" s="51"/>
      <c r="E431" s="51"/>
      <c r="F431" s="51"/>
      <c r="G431" s="51" t="str">
        <f>IFERROR(__xludf.DUMMYFUNCTION("""COMPUTED_VALUE"""),"#VALUE!")</f>
        <v>#VALUE!</v>
      </c>
      <c r="H431" s="51" t="str">
        <f>IFERROR(__xludf.DUMMYFUNCTION("""COMPUTED_VALUE"""),"")</f>
        <v/>
      </c>
      <c r="I431" s="51" t="str">
        <f>IFERROR(__xludf.DUMMYFUNCTION("""COMPUTED_VALUE"""),"#VALUE!")</f>
        <v>#VALUE!</v>
      </c>
      <c r="J431" s="51" t="str">
        <f>IFERROR(__xludf.DUMMYFUNCTION("""COMPUTED_VALUE"""),"")</f>
        <v/>
      </c>
      <c r="K431" s="51"/>
      <c r="L431" s="51" t="s">
        <v>257</v>
      </c>
      <c r="M431" s="51"/>
      <c r="N431" s="51"/>
      <c r="O431" s="51"/>
      <c r="P431" s="51"/>
      <c r="Q431" s="51"/>
      <c r="R431" s="51"/>
      <c r="S431" s="51"/>
      <c r="T431" s="51"/>
    </row>
    <row r="432">
      <c r="A432" s="51"/>
      <c r="B432" s="51"/>
      <c r="C432" s="56"/>
      <c r="D432" s="51"/>
      <c r="E432" s="51"/>
      <c r="F432" s="51"/>
      <c r="G432" s="51" t="str">
        <f>IFERROR(__xludf.DUMMYFUNCTION("""COMPUTED_VALUE"""),"#VALUE!")</f>
        <v>#VALUE!</v>
      </c>
      <c r="H432" s="51" t="str">
        <f>IFERROR(__xludf.DUMMYFUNCTION("""COMPUTED_VALUE"""),"")</f>
        <v/>
      </c>
      <c r="I432" s="51" t="str">
        <f>IFERROR(__xludf.DUMMYFUNCTION("""COMPUTED_VALUE"""),"#VALUE!")</f>
        <v>#VALUE!</v>
      </c>
      <c r="J432" s="51" t="str">
        <f>IFERROR(__xludf.DUMMYFUNCTION("""COMPUTED_VALUE"""),"")</f>
        <v/>
      </c>
      <c r="K432" s="51"/>
      <c r="L432" s="51" t="s">
        <v>257</v>
      </c>
      <c r="M432" s="51"/>
      <c r="N432" s="51"/>
      <c r="O432" s="51"/>
      <c r="P432" s="51"/>
      <c r="Q432" s="51"/>
      <c r="R432" s="51"/>
      <c r="S432" s="51"/>
      <c r="T432" s="51"/>
    </row>
    <row r="433">
      <c r="A433" s="51"/>
      <c r="B433" s="51"/>
      <c r="C433" s="56"/>
      <c r="D433" s="51"/>
      <c r="E433" s="51"/>
      <c r="F433" s="51"/>
      <c r="G433" s="51" t="str">
        <f>IFERROR(__xludf.DUMMYFUNCTION("""COMPUTED_VALUE"""),"#VALUE!")</f>
        <v>#VALUE!</v>
      </c>
      <c r="H433" s="51" t="str">
        <f>IFERROR(__xludf.DUMMYFUNCTION("""COMPUTED_VALUE"""),"")</f>
        <v/>
      </c>
      <c r="I433" s="51" t="str">
        <f>IFERROR(__xludf.DUMMYFUNCTION("""COMPUTED_VALUE"""),"#VALUE!")</f>
        <v>#VALUE!</v>
      </c>
      <c r="J433" s="51" t="str">
        <f>IFERROR(__xludf.DUMMYFUNCTION("""COMPUTED_VALUE"""),"")</f>
        <v/>
      </c>
      <c r="K433" s="51"/>
      <c r="L433" s="51" t="s">
        <v>257</v>
      </c>
      <c r="M433" s="51"/>
      <c r="N433" s="51"/>
      <c r="O433" s="51"/>
      <c r="P433" s="51"/>
      <c r="Q433" s="51"/>
      <c r="R433" s="51"/>
      <c r="S433" s="51"/>
      <c r="T433" s="51"/>
    </row>
    <row r="434">
      <c r="A434" s="51"/>
      <c r="B434" s="51"/>
      <c r="C434" s="56"/>
      <c r="D434" s="51"/>
      <c r="E434" s="51"/>
      <c r="F434" s="51"/>
      <c r="G434" s="51" t="str">
        <f>IFERROR(__xludf.DUMMYFUNCTION("""COMPUTED_VALUE"""),"#VALUE!")</f>
        <v>#VALUE!</v>
      </c>
      <c r="H434" s="51" t="str">
        <f>IFERROR(__xludf.DUMMYFUNCTION("""COMPUTED_VALUE"""),"")</f>
        <v/>
      </c>
      <c r="I434" s="51" t="str">
        <f>IFERROR(__xludf.DUMMYFUNCTION("""COMPUTED_VALUE"""),"#VALUE!")</f>
        <v>#VALUE!</v>
      </c>
      <c r="J434" s="51" t="str">
        <f>IFERROR(__xludf.DUMMYFUNCTION("""COMPUTED_VALUE"""),"")</f>
        <v/>
      </c>
      <c r="K434" s="51"/>
      <c r="L434" s="51" t="s">
        <v>257</v>
      </c>
      <c r="M434" s="51"/>
      <c r="N434" s="51"/>
      <c r="O434" s="51"/>
      <c r="P434" s="51"/>
      <c r="Q434" s="51"/>
      <c r="R434" s="51"/>
      <c r="S434" s="51"/>
      <c r="T434" s="51"/>
    </row>
    <row r="435">
      <c r="A435" s="51"/>
      <c r="B435" s="51"/>
      <c r="C435" s="56"/>
      <c r="D435" s="51"/>
      <c r="E435" s="51"/>
      <c r="F435" s="51"/>
      <c r="G435" s="51" t="str">
        <f>IFERROR(__xludf.DUMMYFUNCTION("""COMPUTED_VALUE"""),"#VALUE!")</f>
        <v>#VALUE!</v>
      </c>
      <c r="H435" s="51" t="str">
        <f>IFERROR(__xludf.DUMMYFUNCTION("""COMPUTED_VALUE"""),"")</f>
        <v/>
      </c>
      <c r="I435" s="51" t="str">
        <f>IFERROR(__xludf.DUMMYFUNCTION("""COMPUTED_VALUE"""),"#VALUE!")</f>
        <v>#VALUE!</v>
      </c>
      <c r="J435" s="51" t="str">
        <f>IFERROR(__xludf.DUMMYFUNCTION("""COMPUTED_VALUE"""),"")</f>
        <v/>
      </c>
      <c r="K435" s="51"/>
      <c r="L435" s="51" t="s">
        <v>257</v>
      </c>
      <c r="M435" s="51"/>
      <c r="N435" s="51"/>
      <c r="O435" s="51"/>
      <c r="P435" s="51"/>
      <c r="Q435" s="51"/>
      <c r="R435" s="51"/>
      <c r="S435" s="51"/>
      <c r="T435" s="51"/>
    </row>
    <row r="436">
      <c r="A436" s="51"/>
      <c r="B436" s="51"/>
      <c r="C436" s="56"/>
      <c r="D436" s="51"/>
      <c r="E436" s="51"/>
      <c r="F436" s="51"/>
      <c r="G436" s="51" t="str">
        <f>IFERROR(__xludf.DUMMYFUNCTION("""COMPUTED_VALUE"""),"#VALUE!")</f>
        <v>#VALUE!</v>
      </c>
      <c r="H436" s="51" t="str">
        <f>IFERROR(__xludf.DUMMYFUNCTION("""COMPUTED_VALUE"""),"")</f>
        <v/>
      </c>
      <c r="I436" s="51" t="str">
        <f>IFERROR(__xludf.DUMMYFUNCTION("""COMPUTED_VALUE"""),"#VALUE!")</f>
        <v>#VALUE!</v>
      </c>
      <c r="J436" s="51" t="str">
        <f>IFERROR(__xludf.DUMMYFUNCTION("""COMPUTED_VALUE"""),"")</f>
        <v/>
      </c>
      <c r="K436" s="51"/>
      <c r="L436" s="51" t="s">
        <v>257</v>
      </c>
      <c r="M436" s="51"/>
      <c r="N436" s="51"/>
      <c r="O436" s="51"/>
      <c r="P436" s="51"/>
      <c r="Q436" s="51"/>
      <c r="R436" s="51"/>
      <c r="S436" s="51"/>
      <c r="T436" s="51"/>
    </row>
    <row r="437">
      <c r="A437" s="51"/>
      <c r="B437" s="51"/>
      <c r="C437" s="56"/>
      <c r="D437" s="51"/>
      <c r="E437" s="51"/>
      <c r="F437" s="51"/>
      <c r="G437" s="51" t="str">
        <f>IFERROR(__xludf.DUMMYFUNCTION("""COMPUTED_VALUE"""),"#VALUE!")</f>
        <v>#VALUE!</v>
      </c>
      <c r="H437" s="51" t="str">
        <f>IFERROR(__xludf.DUMMYFUNCTION("""COMPUTED_VALUE"""),"")</f>
        <v/>
      </c>
      <c r="I437" s="51" t="str">
        <f>IFERROR(__xludf.DUMMYFUNCTION("""COMPUTED_VALUE"""),"#VALUE!")</f>
        <v>#VALUE!</v>
      </c>
      <c r="J437" s="51" t="str">
        <f>IFERROR(__xludf.DUMMYFUNCTION("""COMPUTED_VALUE"""),"")</f>
        <v/>
      </c>
      <c r="K437" s="51"/>
      <c r="L437" s="51" t="s">
        <v>257</v>
      </c>
      <c r="M437" s="51"/>
      <c r="N437" s="51"/>
      <c r="O437" s="51"/>
      <c r="P437" s="51"/>
      <c r="Q437" s="51"/>
      <c r="R437" s="51"/>
      <c r="S437" s="51"/>
      <c r="T437" s="51"/>
    </row>
    <row r="438">
      <c r="A438" s="51"/>
      <c r="B438" s="51"/>
      <c r="C438" s="56"/>
      <c r="D438" s="51"/>
      <c r="E438" s="51"/>
      <c r="F438" s="51"/>
      <c r="G438" s="51" t="str">
        <f>IFERROR(__xludf.DUMMYFUNCTION("""COMPUTED_VALUE"""),"#VALUE!")</f>
        <v>#VALUE!</v>
      </c>
      <c r="H438" s="51" t="str">
        <f>IFERROR(__xludf.DUMMYFUNCTION("""COMPUTED_VALUE"""),"")</f>
        <v/>
      </c>
      <c r="I438" s="51" t="str">
        <f>IFERROR(__xludf.DUMMYFUNCTION("""COMPUTED_VALUE"""),"#VALUE!")</f>
        <v>#VALUE!</v>
      </c>
      <c r="J438" s="51" t="str">
        <f>IFERROR(__xludf.DUMMYFUNCTION("""COMPUTED_VALUE"""),"")</f>
        <v/>
      </c>
      <c r="K438" s="51"/>
      <c r="L438" s="51" t="s">
        <v>257</v>
      </c>
      <c r="M438" s="51"/>
      <c r="N438" s="51"/>
      <c r="O438" s="51"/>
      <c r="P438" s="51"/>
      <c r="Q438" s="51"/>
      <c r="R438" s="51"/>
      <c r="S438" s="51"/>
      <c r="T438" s="51"/>
    </row>
    <row r="439">
      <c r="A439" s="51"/>
      <c r="B439" s="51"/>
      <c r="C439" s="56"/>
      <c r="D439" s="51"/>
      <c r="E439" s="51"/>
      <c r="F439" s="51"/>
      <c r="G439" s="51" t="str">
        <f>IFERROR(__xludf.DUMMYFUNCTION("""COMPUTED_VALUE"""),"#VALUE!")</f>
        <v>#VALUE!</v>
      </c>
      <c r="H439" s="51" t="str">
        <f>IFERROR(__xludf.DUMMYFUNCTION("""COMPUTED_VALUE"""),"")</f>
        <v/>
      </c>
      <c r="I439" s="51" t="str">
        <f>IFERROR(__xludf.DUMMYFUNCTION("""COMPUTED_VALUE"""),"#VALUE!")</f>
        <v>#VALUE!</v>
      </c>
      <c r="J439" s="51" t="str">
        <f>IFERROR(__xludf.DUMMYFUNCTION("""COMPUTED_VALUE"""),"")</f>
        <v/>
      </c>
      <c r="K439" s="51"/>
      <c r="L439" s="51" t="s">
        <v>257</v>
      </c>
      <c r="M439" s="51"/>
      <c r="N439" s="51"/>
      <c r="O439" s="51"/>
      <c r="P439" s="51"/>
      <c r="Q439" s="51"/>
      <c r="R439" s="51"/>
      <c r="S439" s="51"/>
      <c r="T439" s="51"/>
    </row>
    <row r="440">
      <c r="A440" s="51"/>
      <c r="B440" s="51"/>
      <c r="C440" s="56"/>
      <c r="D440" s="51"/>
      <c r="E440" s="51"/>
      <c r="F440" s="51"/>
      <c r="G440" s="51" t="str">
        <f>IFERROR(__xludf.DUMMYFUNCTION("""COMPUTED_VALUE"""),"#VALUE!")</f>
        <v>#VALUE!</v>
      </c>
      <c r="H440" s="51" t="str">
        <f>IFERROR(__xludf.DUMMYFUNCTION("""COMPUTED_VALUE"""),"")</f>
        <v/>
      </c>
      <c r="I440" s="51" t="str">
        <f>IFERROR(__xludf.DUMMYFUNCTION("""COMPUTED_VALUE"""),"#VALUE!")</f>
        <v>#VALUE!</v>
      </c>
      <c r="J440" s="51" t="str">
        <f>IFERROR(__xludf.DUMMYFUNCTION("""COMPUTED_VALUE"""),"")</f>
        <v/>
      </c>
      <c r="K440" s="51"/>
      <c r="L440" s="51" t="s">
        <v>257</v>
      </c>
      <c r="M440" s="51"/>
      <c r="N440" s="51"/>
      <c r="O440" s="51"/>
      <c r="P440" s="51"/>
      <c r="Q440" s="51"/>
      <c r="R440" s="51"/>
      <c r="S440" s="51"/>
      <c r="T440" s="51"/>
    </row>
    <row r="441">
      <c r="A441" s="51"/>
      <c r="B441" s="51"/>
      <c r="C441" s="56"/>
      <c r="D441" s="51"/>
      <c r="E441" s="51"/>
      <c r="F441" s="51"/>
      <c r="G441" s="51" t="str">
        <f>IFERROR(__xludf.DUMMYFUNCTION("""COMPUTED_VALUE"""),"#VALUE!")</f>
        <v>#VALUE!</v>
      </c>
      <c r="H441" s="51" t="str">
        <f>IFERROR(__xludf.DUMMYFUNCTION("""COMPUTED_VALUE"""),"")</f>
        <v/>
      </c>
      <c r="I441" s="51" t="str">
        <f>IFERROR(__xludf.DUMMYFUNCTION("""COMPUTED_VALUE"""),"#VALUE!")</f>
        <v>#VALUE!</v>
      </c>
      <c r="J441" s="51" t="str">
        <f>IFERROR(__xludf.DUMMYFUNCTION("""COMPUTED_VALUE"""),"")</f>
        <v/>
      </c>
      <c r="K441" s="51"/>
      <c r="L441" s="51" t="s">
        <v>257</v>
      </c>
      <c r="M441" s="51"/>
      <c r="N441" s="51"/>
      <c r="O441" s="51"/>
      <c r="P441" s="51"/>
      <c r="Q441" s="51"/>
      <c r="R441" s="51"/>
      <c r="S441" s="51"/>
      <c r="T441" s="51"/>
    </row>
    <row r="442">
      <c r="A442" s="51"/>
      <c r="B442" s="51"/>
      <c r="C442" s="56"/>
      <c r="D442" s="51"/>
      <c r="E442" s="51"/>
      <c r="F442" s="51"/>
      <c r="G442" s="51" t="str">
        <f>IFERROR(__xludf.DUMMYFUNCTION("""COMPUTED_VALUE"""),"#VALUE!")</f>
        <v>#VALUE!</v>
      </c>
      <c r="H442" s="51" t="str">
        <f>IFERROR(__xludf.DUMMYFUNCTION("""COMPUTED_VALUE"""),"")</f>
        <v/>
      </c>
      <c r="I442" s="51" t="str">
        <f>IFERROR(__xludf.DUMMYFUNCTION("""COMPUTED_VALUE"""),"#VALUE!")</f>
        <v>#VALUE!</v>
      </c>
      <c r="J442" s="51" t="str">
        <f>IFERROR(__xludf.DUMMYFUNCTION("""COMPUTED_VALUE"""),"")</f>
        <v/>
      </c>
      <c r="K442" s="51"/>
      <c r="L442" s="51" t="s">
        <v>257</v>
      </c>
      <c r="M442" s="51"/>
      <c r="N442" s="51"/>
      <c r="O442" s="51"/>
      <c r="P442" s="51"/>
      <c r="Q442" s="51"/>
      <c r="R442" s="51"/>
      <c r="S442" s="51"/>
      <c r="T442" s="51"/>
    </row>
    <row r="443">
      <c r="A443" s="51"/>
      <c r="B443" s="51"/>
      <c r="C443" s="56"/>
      <c r="D443" s="51"/>
      <c r="E443" s="51"/>
      <c r="F443" s="51"/>
      <c r="G443" s="51" t="str">
        <f>IFERROR(__xludf.DUMMYFUNCTION("""COMPUTED_VALUE"""),"#VALUE!")</f>
        <v>#VALUE!</v>
      </c>
      <c r="H443" s="51" t="str">
        <f>IFERROR(__xludf.DUMMYFUNCTION("""COMPUTED_VALUE"""),"")</f>
        <v/>
      </c>
      <c r="I443" s="51" t="str">
        <f>IFERROR(__xludf.DUMMYFUNCTION("""COMPUTED_VALUE"""),"#VALUE!")</f>
        <v>#VALUE!</v>
      </c>
      <c r="J443" s="51" t="str">
        <f>IFERROR(__xludf.DUMMYFUNCTION("""COMPUTED_VALUE"""),"")</f>
        <v/>
      </c>
      <c r="K443" s="51"/>
      <c r="L443" s="51" t="s">
        <v>257</v>
      </c>
      <c r="M443" s="51"/>
      <c r="N443" s="51"/>
      <c r="O443" s="51"/>
      <c r="P443" s="51"/>
      <c r="Q443" s="51"/>
      <c r="R443" s="51"/>
      <c r="S443" s="51"/>
      <c r="T443" s="51"/>
    </row>
    <row r="444">
      <c r="A444" s="51"/>
      <c r="B444" s="51"/>
      <c r="C444" s="56"/>
      <c r="D444" s="51"/>
      <c r="E444" s="51"/>
      <c r="F444" s="51"/>
      <c r="G444" s="51" t="str">
        <f>IFERROR(__xludf.DUMMYFUNCTION("""COMPUTED_VALUE"""),"#VALUE!")</f>
        <v>#VALUE!</v>
      </c>
      <c r="H444" s="51" t="str">
        <f>IFERROR(__xludf.DUMMYFUNCTION("""COMPUTED_VALUE"""),"")</f>
        <v/>
      </c>
      <c r="I444" s="51" t="str">
        <f>IFERROR(__xludf.DUMMYFUNCTION("""COMPUTED_VALUE"""),"#VALUE!")</f>
        <v>#VALUE!</v>
      </c>
      <c r="J444" s="51" t="str">
        <f>IFERROR(__xludf.DUMMYFUNCTION("""COMPUTED_VALUE"""),"")</f>
        <v/>
      </c>
      <c r="K444" s="51"/>
      <c r="L444" s="51" t="s">
        <v>257</v>
      </c>
      <c r="M444" s="51"/>
      <c r="N444" s="51"/>
      <c r="O444" s="51"/>
      <c r="P444" s="51"/>
      <c r="Q444" s="51"/>
      <c r="R444" s="51"/>
      <c r="S444" s="51"/>
      <c r="T444" s="51"/>
    </row>
    <row r="445">
      <c r="A445" s="51"/>
      <c r="B445" s="51"/>
      <c r="C445" s="56"/>
      <c r="D445" s="51"/>
      <c r="E445" s="51"/>
      <c r="F445" s="51"/>
      <c r="G445" s="51" t="str">
        <f>IFERROR(__xludf.DUMMYFUNCTION("""COMPUTED_VALUE"""),"#VALUE!")</f>
        <v>#VALUE!</v>
      </c>
      <c r="H445" s="51" t="str">
        <f>IFERROR(__xludf.DUMMYFUNCTION("""COMPUTED_VALUE"""),"")</f>
        <v/>
      </c>
      <c r="I445" s="51" t="str">
        <f>IFERROR(__xludf.DUMMYFUNCTION("""COMPUTED_VALUE"""),"#VALUE!")</f>
        <v>#VALUE!</v>
      </c>
      <c r="J445" s="51" t="str">
        <f>IFERROR(__xludf.DUMMYFUNCTION("""COMPUTED_VALUE"""),"")</f>
        <v/>
      </c>
      <c r="K445" s="51"/>
      <c r="L445" s="51" t="s">
        <v>257</v>
      </c>
      <c r="M445" s="51"/>
      <c r="N445" s="51"/>
      <c r="O445" s="51"/>
      <c r="P445" s="51"/>
      <c r="Q445" s="51"/>
      <c r="R445" s="51"/>
      <c r="S445" s="51"/>
      <c r="T445" s="51"/>
    </row>
    <row r="446">
      <c r="A446" s="51"/>
      <c r="B446" s="51"/>
      <c r="C446" s="56"/>
      <c r="D446" s="51"/>
      <c r="E446" s="51"/>
      <c r="F446" s="51"/>
      <c r="G446" s="51" t="str">
        <f>IFERROR(__xludf.DUMMYFUNCTION("""COMPUTED_VALUE"""),"#VALUE!")</f>
        <v>#VALUE!</v>
      </c>
      <c r="H446" s="51" t="str">
        <f>IFERROR(__xludf.DUMMYFUNCTION("""COMPUTED_VALUE"""),"")</f>
        <v/>
      </c>
      <c r="I446" s="51" t="str">
        <f>IFERROR(__xludf.DUMMYFUNCTION("""COMPUTED_VALUE"""),"#VALUE!")</f>
        <v>#VALUE!</v>
      </c>
      <c r="J446" s="51" t="str">
        <f>IFERROR(__xludf.DUMMYFUNCTION("""COMPUTED_VALUE"""),"")</f>
        <v/>
      </c>
      <c r="K446" s="51"/>
      <c r="L446" s="51" t="s">
        <v>257</v>
      </c>
      <c r="M446" s="51"/>
      <c r="N446" s="51"/>
      <c r="O446" s="51"/>
      <c r="P446" s="51"/>
      <c r="Q446" s="51"/>
      <c r="R446" s="51"/>
      <c r="S446" s="51"/>
      <c r="T446" s="51"/>
    </row>
    <row r="447">
      <c r="A447" s="51"/>
      <c r="B447" s="51"/>
      <c r="C447" s="56"/>
      <c r="D447" s="51"/>
      <c r="E447" s="51"/>
      <c r="F447" s="51"/>
      <c r="G447" s="51" t="str">
        <f>IFERROR(__xludf.DUMMYFUNCTION("""COMPUTED_VALUE"""),"#VALUE!")</f>
        <v>#VALUE!</v>
      </c>
      <c r="H447" s="51" t="str">
        <f>IFERROR(__xludf.DUMMYFUNCTION("""COMPUTED_VALUE"""),"")</f>
        <v/>
      </c>
      <c r="I447" s="51" t="str">
        <f>IFERROR(__xludf.DUMMYFUNCTION("""COMPUTED_VALUE"""),"#VALUE!")</f>
        <v>#VALUE!</v>
      </c>
      <c r="J447" s="51" t="str">
        <f>IFERROR(__xludf.DUMMYFUNCTION("""COMPUTED_VALUE"""),"")</f>
        <v/>
      </c>
      <c r="K447" s="51"/>
      <c r="L447" s="51" t="s">
        <v>257</v>
      </c>
      <c r="M447" s="51"/>
      <c r="N447" s="51"/>
      <c r="O447" s="51"/>
      <c r="P447" s="51"/>
      <c r="Q447" s="51"/>
      <c r="R447" s="51"/>
      <c r="S447" s="51"/>
      <c r="T447" s="51"/>
    </row>
    <row r="448">
      <c r="A448" s="51"/>
      <c r="B448" s="51"/>
      <c r="C448" s="56"/>
      <c r="D448" s="51"/>
      <c r="E448" s="51"/>
      <c r="F448" s="51"/>
      <c r="G448" s="51" t="str">
        <f>IFERROR(__xludf.DUMMYFUNCTION("""COMPUTED_VALUE"""),"#VALUE!")</f>
        <v>#VALUE!</v>
      </c>
      <c r="H448" s="51" t="str">
        <f>IFERROR(__xludf.DUMMYFUNCTION("""COMPUTED_VALUE"""),"")</f>
        <v/>
      </c>
      <c r="I448" s="51" t="str">
        <f>IFERROR(__xludf.DUMMYFUNCTION("""COMPUTED_VALUE"""),"#VALUE!")</f>
        <v>#VALUE!</v>
      </c>
      <c r="J448" s="51" t="str">
        <f>IFERROR(__xludf.DUMMYFUNCTION("""COMPUTED_VALUE"""),"")</f>
        <v/>
      </c>
      <c r="K448" s="51"/>
      <c r="L448" s="51" t="s">
        <v>257</v>
      </c>
      <c r="M448" s="51"/>
      <c r="N448" s="51"/>
      <c r="O448" s="51"/>
      <c r="P448" s="51"/>
      <c r="Q448" s="51"/>
      <c r="R448" s="51"/>
      <c r="S448" s="51"/>
      <c r="T448" s="51"/>
    </row>
    <row r="449">
      <c r="A449" s="51"/>
      <c r="B449" s="51"/>
      <c r="C449" s="56"/>
      <c r="D449" s="51"/>
      <c r="E449" s="51"/>
      <c r="F449" s="51"/>
      <c r="G449" s="51" t="str">
        <f>IFERROR(__xludf.DUMMYFUNCTION("""COMPUTED_VALUE"""),"#VALUE!")</f>
        <v>#VALUE!</v>
      </c>
      <c r="H449" s="51" t="str">
        <f>IFERROR(__xludf.DUMMYFUNCTION("""COMPUTED_VALUE"""),"")</f>
        <v/>
      </c>
      <c r="I449" s="51" t="str">
        <f>IFERROR(__xludf.DUMMYFUNCTION("""COMPUTED_VALUE"""),"#VALUE!")</f>
        <v>#VALUE!</v>
      </c>
      <c r="J449" s="51" t="str">
        <f>IFERROR(__xludf.DUMMYFUNCTION("""COMPUTED_VALUE"""),"")</f>
        <v/>
      </c>
      <c r="K449" s="51"/>
      <c r="L449" s="51" t="s">
        <v>257</v>
      </c>
      <c r="M449" s="51"/>
      <c r="N449" s="51"/>
      <c r="O449" s="51"/>
      <c r="P449" s="51"/>
      <c r="Q449" s="51"/>
      <c r="R449" s="51"/>
      <c r="S449" s="51"/>
      <c r="T449" s="51"/>
    </row>
    <row r="450">
      <c r="A450" s="51"/>
      <c r="B450" s="51"/>
      <c r="C450" s="56"/>
      <c r="D450" s="51"/>
      <c r="E450" s="51"/>
      <c r="F450" s="51"/>
      <c r="G450" s="51" t="str">
        <f>IFERROR(__xludf.DUMMYFUNCTION("""COMPUTED_VALUE"""),"#VALUE!")</f>
        <v>#VALUE!</v>
      </c>
      <c r="H450" s="51" t="str">
        <f>IFERROR(__xludf.DUMMYFUNCTION("""COMPUTED_VALUE"""),"")</f>
        <v/>
      </c>
      <c r="I450" s="51" t="str">
        <f>IFERROR(__xludf.DUMMYFUNCTION("""COMPUTED_VALUE"""),"#VALUE!")</f>
        <v>#VALUE!</v>
      </c>
      <c r="J450" s="51" t="str">
        <f>IFERROR(__xludf.DUMMYFUNCTION("""COMPUTED_VALUE"""),"")</f>
        <v/>
      </c>
      <c r="K450" s="51"/>
      <c r="L450" s="51" t="s">
        <v>257</v>
      </c>
      <c r="M450" s="51"/>
      <c r="N450" s="51"/>
      <c r="O450" s="51"/>
      <c r="P450" s="51"/>
      <c r="Q450" s="51"/>
      <c r="R450" s="51"/>
      <c r="S450" s="51"/>
      <c r="T450" s="51"/>
    </row>
    <row r="451">
      <c r="A451" s="51"/>
      <c r="B451" s="51"/>
      <c r="C451" s="56"/>
      <c r="D451" s="51"/>
      <c r="E451" s="51"/>
      <c r="F451" s="51"/>
      <c r="G451" s="51" t="str">
        <f>IFERROR(__xludf.DUMMYFUNCTION("""COMPUTED_VALUE"""),"#VALUE!")</f>
        <v>#VALUE!</v>
      </c>
      <c r="H451" s="51" t="str">
        <f>IFERROR(__xludf.DUMMYFUNCTION("""COMPUTED_VALUE"""),"")</f>
        <v/>
      </c>
      <c r="I451" s="51" t="str">
        <f>IFERROR(__xludf.DUMMYFUNCTION("""COMPUTED_VALUE"""),"#VALUE!")</f>
        <v>#VALUE!</v>
      </c>
      <c r="J451" s="51" t="str">
        <f>IFERROR(__xludf.DUMMYFUNCTION("""COMPUTED_VALUE"""),"")</f>
        <v/>
      </c>
      <c r="K451" s="51"/>
      <c r="L451" s="51" t="s">
        <v>257</v>
      </c>
      <c r="M451" s="51"/>
      <c r="N451" s="51"/>
      <c r="O451" s="51"/>
      <c r="P451" s="51"/>
      <c r="Q451" s="51"/>
      <c r="R451" s="51"/>
      <c r="S451" s="51"/>
      <c r="T451" s="51"/>
    </row>
    <row r="452">
      <c r="A452" s="51"/>
      <c r="B452" s="51"/>
      <c r="C452" s="56"/>
      <c r="D452" s="51"/>
      <c r="E452" s="51"/>
      <c r="F452" s="51"/>
      <c r="G452" s="51" t="str">
        <f>IFERROR(__xludf.DUMMYFUNCTION("""COMPUTED_VALUE"""),"#VALUE!")</f>
        <v>#VALUE!</v>
      </c>
      <c r="H452" s="51" t="str">
        <f>IFERROR(__xludf.DUMMYFUNCTION("""COMPUTED_VALUE"""),"")</f>
        <v/>
      </c>
      <c r="I452" s="51" t="str">
        <f>IFERROR(__xludf.DUMMYFUNCTION("""COMPUTED_VALUE"""),"#VALUE!")</f>
        <v>#VALUE!</v>
      </c>
      <c r="J452" s="51" t="str">
        <f>IFERROR(__xludf.DUMMYFUNCTION("""COMPUTED_VALUE"""),"")</f>
        <v/>
      </c>
      <c r="K452" s="51"/>
      <c r="L452" s="51" t="s">
        <v>257</v>
      </c>
      <c r="M452" s="51"/>
      <c r="N452" s="51"/>
      <c r="O452" s="51"/>
      <c r="P452" s="51"/>
      <c r="Q452" s="51"/>
      <c r="R452" s="51"/>
      <c r="S452" s="51"/>
      <c r="T452" s="51"/>
    </row>
    <row r="453">
      <c r="A453" s="51"/>
      <c r="B453" s="51"/>
      <c r="C453" s="56"/>
      <c r="D453" s="51"/>
      <c r="E453" s="51"/>
      <c r="F453" s="51"/>
      <c r="G453" s="51" t="str">
        <f>IFERROR(__xludf.DUMMYFUNCTION("""COMPUTED_VALUE"""),"#VALUE!")</f>
        <v>#VALUE!</v>
      </c>
      <c r="H453" s="51" t="str">
        <f>IFERROR(__xludf.DUMMYFUNCTION("""COMPUTED_VALUE"""),"")</f>
        <v/>
      </c>
      <c r="I453" s="51" t="str">
        <f>IFERROR(__xludf.DUMMYFUNCTION("""COMPUTED_VALUE"""),"#VALUE!")</f>
        <v>#VALUE!</v>
      </c>
      <c r="J453" s="51" t="str">
        <f>IFERROR(__xludf.DUMMYFUNCTION("""COMPUTED_VALUE"""),"")</f>
        <v/>
      </c>
      <c r="K453" s="51"/>
      <c r="L453" s="51" t="s">
        <v>257</v>
      </c>
      <c r="M453" s="51"/>
      <c r="N453" s="51"/>
      <c r="O453" s="51"/>
      <c r="P453" s="51"/>
      <c r="Q453" s="51"/>
      <c r="R453" s="51"/>
      <c r="S453" s="51"/>
      <c r="T453" s="51"/>
    </row>
    <row r="454">
      <c r="A454" s="51"/>
      <c r="B454" s="51"/>
      <c r="C454" s="56"/>
      <c r="D454" s="51"/>
      <c r="E454" s="51"/>
      <c r="F454" s="51"/>
      <c r="G454" s="51" t="str">
        <f>IFERROR(__xludf.DUMMYFUNCTION("""COMPUTED_VALUE"""),"#VALUE!")</f>
        <v>#VALUE!</v>
      </c>
      <c r="H454" s="51" t="str">
        <f>IFERROR(__xludf.DUMMYFUNCTION("""COMPUTED_VALUE"""),"")</f>
        <v/>
      </c>
      <c r="I454" s="51" t="str">
        <f>IFERROR(__xludf.DUMMYFUNCTION("""COMPUTED_VALUE"""),"#VALUE!")</f>
        <v>#VALUE!</v>
      </c>
      <c r="J454" s="51" t="str">
        <f>IFERROR(__xludf.DUMMYFUNCTION("""COMPUTED_VALUE"""),"")</f>
        <v/>
      </c>
      <c r="K454" s="51"/>
      <c r="L454" s="51" t="s">
        <v>257</v>
      </c>
      <c r="M454" s="51"/>
      <c r="N454" s="51"/>
      <c r="O454" s="51"/>
      <c r="P454" s="51"/>
      <c r="Q454" s="51"/>
      <c r="R454" s="51"/>
      <c r="S454" s="51"/>
      <c r="T454" s="51"/>
    </row>
    <row r="455">
      <c r="A455" s="51"/>
      <c r="B455" s="51"/>
      <c r="C455" s="56"/>
      <c r="D455" s="51"/>
      <c r="E455" s="51"/>
      <c r="F455" s="51"/>
      <c r="G455" s="51" t="str">
        <f>IFERROR(__xludf.DUMMYFUNCTION("""COMPUTED_VALUE"""),"#VALUE!")</f>
        <v>#VALUE!</v>
      </c>
      <c r="H455" s="51" t="str">
        <f>IFERROR(__xludf.DUMMYFUNCTION("""COMPUTED_VALUE"""),"")</f>
        <v/>
      </c>
      <c r="I455" s="51" t="str">
        <f>IFERROR(__xludf.DUMMYFUNCTION("""COMPUTED_VALUE"""),"#VALUE!")</f>
        <v>#VALUE!</v>
      </c>
      <c r="J455" s="51" t="str">
        <f>IFERROR(__xludf.DUMMYFUNCTION("""COMPUTED_VALUE"""),"")</f>
        <v/>
      </c>
      <c r="K455" s="51"/>
      <c r="L455" s="51" t="s">
        <v>257</v>
      </c>
      <c r="M455" s="51"/>
      <c r="N455" s="51"/>
      <c r="O455" s="51"/>
      <c r="P455" s="51"/>
      <c r="Q455" s="51"/>
      <c r="R455" s="51"/>
      <c r="S455" s="51"/>
      <c r="T455" s="51"/>
    </row>
    <row r="456">
      <c r="A456" s="51"/>
      <c r="B456" s="51"/>
      <c r="C456" s="56"/>
      <c r="D456" s="51"/>
      <c r="E456" s="51"/>
      <c r="F456" s="51"/>
      <c r="G456" s="51" t="str">
        <f>IFERROR(__xludf.DUMMYFUNCTION("""COMPUTED_VALUE"""),"#VALUE!")</f>
        <v>#VALUE!</v>
      </c>
      <c r="H456" s="51" t="str">
        <f>IFERROR(__xludf.DUMMYFUNCTION("""COMPUTED_VALUE"""),"")</f>
        <v/>
      </c>
      <c r="I456" s="51" t="str">
        <f>IFERROR(__xludf.DUMMYFUNCTION("""COMPUTED_VALUE"""),"#VALUE!")</f>
        <v>#VALUE!</v>
      </c>
      <c r="J456" s="51" t="str">
        <f>IFERROR(__xludf.DUMMYFUNCTION("""COMPUTED_VALUE"""),"")</f>
        <v/>
      </c>
      <c r="K456" s="51"/>
      <c r="L456" s="51" t="s">
        <v>257</v>
      </c>
      <c r="M456" s="51"/>
      <c r="N456" s="51"/>
      <c r="O456" s="51"/>
      <c r="P456" s="51"/>
      <c r="Q456" s="51"/>
      <c r="R456" s="51"/>
      <c r="S456" s="51"/>
      <c r="T456" s="51"/>
    </row>
    <row r="457">
      <c r="A457" s="51"/>
      <c r="B457" s="51"/>
      <c r="C457" s="56"/>
      <c r="D457" s="51"/>
      <c r="E457" s="51"/>
      <c r="F457" s="51"/>
      <c r="G457" s="51" t="str">
        <f>IFERROR(__xludf.DUMMYFUNCTION("""COMPUTED_VALUE"""),"#VALUE!")</f>
        <v>#VALUE!</v>
      </c>
      <c r="H457" s="51" t="str">
        <f>IFERROR(__xludf.DUMMYFUNCTION("""COMPUTED_VALUE"""),"")</f>
        <v/>
      </c>
      <c r="I457" s="51" t="str">
        <f>IFERROR(__xludf.DUMMYFUNCTION("""COMPUTED_VALUE"""),"#VALUE!")</f>
        <v>#VALUE!</v>
      </c>
      <c r="J457" s="51" t="str">
        <f>IFERROR(__xludf.DUMMYFUNCTION("""COMPUTED_VALUE"""),"")</f>
        <v/>
      </c>
      <c r="K457" s="51"/>
      <c r="L457" s="51" t="s">
        <v>257</v>
      </c>
      <c r="M457" s="51"/>
      <c r="N457" s="51"/>
      <c r="O457" s="51"/>
      <c r="P457" s="51"/>
      <c r="Q457" s="51"/>
      <c r="R457" s="51"/>
      <c r="S457" s="51"/>
      <c r="T457" s="51"/>
    </row>
    <row r="458">
      <c r="A458" s="51"/>
      <c r="B458" s="51"/>
      <c r="C458" s="56"/>
      <c r="D458" s="51"/>
      <c r="E458" s="51"/>
      <c r="F458" s="51"/>
      <c r="G458" s="51" t="str">
        <f>IFERROR(__xludf.DUMMYFUNCTION("""COMPUTED_VALUE"""),"#VALUE!")</f>
        <v>#VALUE!</v>
      </c>
      <c r="H458" s="51" t="str">
        <f>IFERROR(__xludf.DUMMYFUNCTION("""COMPUTED_VALUE"""),"")</f>
        <v/>
      </c>
      <c r="I458" s="51" t="str">
        <f>IFERROR(__xludf.DUMMYFUNCTION("""COMPUTED_VALUE"""),"#VALUE!")</f>
        <v>#VALUE!</v>
      </c>
      <c r="J458" s="51" t="str">
        <f>IFERROR(__xludf.DUMMYFUNCTION("""COMPUTED_VALUE"""),"")</f>
        <v/>
      </c>
      <c r="K458" s="51"/>
      <c r="L458" s="51" t="s">
        <v>257</v>
      </c>
      <c r="M458" s="51"/>
      <c r="N458" s="51"/>
      <c r="O458" s="51"/>
      <c r="P458" s="51"/>
      <c r="Q458" s="51"/>
      <c r="R458" s="51"/>
      <c r="S458" s="51"/>
      <c r="T458" s="51"/>
    </row>
    <row r="459">
      <c r="A459" s="51"/>
      <c r="B459" s="51"/>
      <c r="C459" s="56"/>
      <c r="D459" s="51"/>
      <c r="E459" s="51"/>
      <c r="F459" s="51"/>
      <c r="G459" s="51" t="str">
        <f>IFERROR(__xludf.DUMMYFUNCTION("""COMPUTED_VALUE"""),"#VALUE!")</f>
        <v>#VALUE!</v>
      </c>
      <c r="H459" s="51" t="str">
        <f>IFERROR(__xludf.DUMMYFUNCTION("""COMPUTED_VALUE"""),"")</f>
        <v/>
      </c>
      <c r="I459" s="51" t="str">
        <f>IFERROR(__xludf.DUMMYFUNCTION("""COMPUTED_VALUE"""),"#VALUE!")</f>
        <v>#VALUE!</v>
      </c>
      <c r="J459" s="51" t="str">
        <f>IFERROR(__xludf.DUMMYFUNCTION("""COMPUTED_VALUE"""),"")</f>
        <v/>
      </c>
      <c r="K459" s="51"/>
      <c r="L459" s="51" t="s">
        <v>257</v>
      </c>
      <c r="M459" s="51"/>
      <c r="N459" s="51"/>
      <c r="O459" s="51"/>
      <c r="P459" s="51"/>
      <c r="Q459" s="51"/>
      <c r="R459" s="51"/>
      <c r="S459" s="51"/>
      <c r="T459" s="51"/>
    </row>
    <row r="460">
      <c r="A460" s="51"/>
      <c r="B460" s="51"/>
      <c r="C460" s="56"/>
      <c r="D460" s="51"/>
      <c r="E460" s="51"/>
      <c r="F460" s="51"/>
      <c r="G460" s="51" t="str">
        <f>IFERROR(__xludf.DUMMYFUNCTION("""COMPUTED_VALUE"""),"#VALUE!")</f>
        <v>#VALUE!</v>
      </c>
      <c r="H460" s="51" t="str">
        <f>IFERROR(__xludf.DUMMYFUNCTION("""COMPUTED_VALUE"""),"")</f>
        <v/>
      </c>
      <c r="I460" s="51" t="str">
        <f>IFERROR(__xludf.DUMMYFUNCTION("""COMPUTED_VALUE"""),"#VALUE!")</f>
        <v>#VALUE!</v>
      </c>
      <c r="J460" s="51" t="str">
        <f>IFERROR(__xludf.DUMMYFUNCTION("""COMPUTED_VALUE"""),"")</f>
        <v/>
      </c>
      <c r="K460" s="51"/>
      <c r="L460" s="51" t="s">
        <v>257</v>
      </c>
      <c r="M460" s="51"/>
      <c r="N460" s="51"/>
      <c r="O460" s="51"/>
      <c r="P460" s="51"/>
      <c r="Q460" s="51"/>
      <c r="R460" s="51"/>
      <c r="S460" s="51"/>
      <c r="T460" s="51"/>
    </row>
    <row r="461">
      <c r="A461" s="51"/>
      <c r="B461" s="51"/>
      <c r="C461" s="56"/>
      <c r="D461" s="51"/>
      <c r="E461" s="51"/>
      <c r="F461" s="51"/>
      <c r="G461" s="51" t="str">
        <f>IFERROR(__xludf.DUMMYFUNCTION("""COMPUTED_VALUE"""),"#VALUE!")</f>
        <v>#VALUE!</v>
      </c>
      <c r="H461" s="51" t="str">
        <f>IFERROR(__xludf.DUMMYFUNCTION("""COMPUTED_VALUE"""),"")</f>
        <v/>
      </c>
      <c r="I461" s="51" t="str">
        <f>IFERROR(__xludf.DUMMYFUNCTION("""COMPUTED_VALUE"""),"#VALUE!")</f>
        <v>#VALUE!</v>
      </c>
      <c r="J461" s="51" t="str">
        <f>IFERROR(__xludf.DUMMYFUNCTION("""COMPUTED_VALUE"""),"")</f>
        <v/>
      </c>
      <c r="K461" s="51"/>
      <c r="L461" s="51" t="s">
        <v>257</v>
      </c>
      <c r="M461" s="51"/>
      <c r="N461" s="51"/>
      <c r="O461" s="51"/>
      <c r="P461" s="51"/>
      <c r="Q461" s="51"/>
      <c r="R461" s="51"/>
      <c r="S461" s="51"/>
      <c r="T461" s="51"/>
    </row>
    <row r="462">
      <c r="A462" s="51"/>
      <c r="B462" s="51"/>
      <c r="C462" s="56"/>
      <c r="D462" s="51"/>
      <c r="E462" s="51"/>
      <c r="F462" s="51"/>
      <c r="G462" s="51" t="str">
        <f>IFERROR(__xludf.DUMMYFUNCTION("""COMPUTED_VALUE"""),"#VALUE!")</f>
        <v>#VALUE!</v>
      </c>
      <c r="H462" s="51" t="str">
        <f>IFERROR(__xludf.DUMMYFUNCTION("""COMPUTED_VALUE"""),"")</f>
        <v/>
      </c>
      <c r="I462" s="51" t="str">
        <f>IFERROR(__xludf.DUMMYFUNCTION("""COMPUTED_VALUE"""),"#VALUE!")</f>
        <v>#VALUE!</v>
      </c>
      <c r="J462" s="51" t="str">
        <f>IFERROR(__xludf.DUMMYFUNCTION("""COMPUTED_VALUE"""),"")</f>
        <v/>
      </c>
      <c r="K462" s="51"/>
      <c r="L462" s="51" t="s">
        <v>257</v>
      </c>
      <c r="M462" s="51"/>
      <c r="N462" s="51"/>
      <c r="O462" s="51"/>
      <c r="P462" s="51"/>
      <c r="Q462" s="51"/>
      <c r="R462" s="51"/>
      <c r="S462" s="51"/>
      <c r="T462" s="51"/>
    </row>
    <row r="463">
      <c r="A463" s="51"/>
      <c r="B463" s="51"/>
      <c r="C463" s="56"/>
      <c r="D463" s="51"/>
      <c r="E463" s="51"/>
      <c r="F463" s="51"/>
      <c r="G463" s="51" t="str">
        <f>IFERROR(__xludf.DUMMYFUNCTION("""COMPUTED_VALUE"""),"#VALUE!")</f>
        <v>#VALUE!</v>
      </c>
      <c r="H463" s="51" t="str">
        <f>IFERROR(__xludf.DUMMYFUNCTION("""COMPUTED_VALUE"""),"")</f>
        <v/>
      </c>
      <c r="I463" s="51" t="str">
        <f>IFERROR(__xludf.DUMMYFUNCTION("""COMPUTED_VALUE"""),"#VALUE!")</f>
        <v>#VALUE!</v>
      </c>
      <c r="J463" s="51" t="str">
        <f>IFERROR(__xludf.DUMMYFUNCTION("""COMPUTED_VALUE"""),"")</f>
        <v/>
      </c>
      <c r="K463" s="51"/>
      <c r="L463" s="51" t="s">
        <v>257</v>
      </c>
      <c r="M463" s="51"/>
      <c r="N463" s="51"/>
      <c r="O463" s="51"/>
      <c r="P463" s="51"/>
      <c r="Q463" s="51"/>
      <c r="R463" s="51"/>
      <c r="S463" s="51"/>
      <c r="T463" s="51"/>
    </row>
    <row r="464">
      <c r="A464" s="51"/>
      <c r="B464" s="51"/>
      <c r="C464" s="56"/>
      <c r="D464" s="51"/>
      <c r="E464" s="51"/>
      <c r="F464" s="51"/>
      <c r="G464" s="51" t="str">
        <f>IFERROR(__xludf.DUMMYFUNCTION("""COMPUTED_VALUE"""),"#VALUE!")</f>
        <v>#VALUE!</v>
      </c>
      <c r="H464" s="51" t="str">
        <f>IFERROR(__xludf.DUMMYFUNCTION("""COMPUTED_VALUE"""),"")</f>
        <v/>
      </c>
      <c r="I464" s="51" t="str">
        <f>IFERROR(__xludf.DUMMYFUNCTION("""COMPUTED_VALUE"""),"#VALUE!")</f>
        <v>#VALUE!</v>
      </c>
      <c r="J464" s="51" t="str">
        <f>IFERROR(__xludf.DUMMYFUNCTION("""COMPUTED_VALUE"""),"")</f>
        <v/>
      </c>
      <c r="K464" s="51"/>
      <c r="L464" s="51" t="s">
        <v>257</v>
      </c>
      <c r="M464" s="51"/>
      <c r="N464" s="51"/>
      <c r="O464" s="51"/>
      <c r="P464" s="51"/>
      <c r="Q464" s="51"/>
      <c r="R464" s="51"/>
      <c r="S464" s="51"/>
      <c r="T464" s="51"/>
    </row>
    <row r="465">
      <c r="A465" s="51"/>
      <c r="B465" s="51"/>
      <c r="C465" s="56"/>
      <c r="D465" s="51"/>
      <c r="E465" s="51"/>
      <c r="F465" s="51"/>
      <c r="G465" s="51" t="str">
        <f>IFERROR(__xludf.DUMMYFUNCTION("""COMPUTED_VALUE"""),"#VALUE!")</f>
        <v>#VALUE!</v>
      </c>
      <c r="H465" s="51" t="str">
        <f>IFERROR(__xludf.DUMMYFUNCTION("""COMPUTED_VALUE"""),"")</f>
        <v/>
      </c>
      <c r="I465" s="51" t="str">
        <f>IFERROR(__xludf.DUMMYFUNCTION("""COMPUTED_VALUE"""),"#VALUE!")</f>
        <v>#VALUE!</v>
      </c>
      <c r="J465" s="51" t="str">
        <f>IFERROR(__xludf.DUMMYFUNCTION("""COMPUTED_VALUE"""),"")</f>
        <v/>
      </c>
      <c r="K465" s="51"/>
      <c r="L465" s="51" t="s">
        <v>257</v>
      </c>
      <c r="M465" s="51"/>
      <c r="N465" s="51"/>
      <c r="O465" s="51"/>
      <c r="P465" s="51"/>
      <c r="Q465" s="51"/>
      <c r="R465" s="51"/>
      <c r="S465" s="51"/>
      <c r="T465" s="51"/>
    </row>
    <row r="466">
      <c r="A466" s="51"/>
      <c r="B466" s="51"/>
      <c r="C466" s="56"/>
      <c r="D466" s="51"/>
      <c r="E466" s="51"/>
      <c r="F466" s="51"/>
      <c r="G466" s="51" t="str">
        <f>IFERROR(__xludf.DUMMYFUNCTION("""COMPUTED_VALUE"""),"#VALUE!")</f>
        <v>#VALUE!</v>
      </c>
      <c r="H466" s="51" t="str">
        <f>IFERROR(__xludf.DUMMYFUNCTION("""COMPUTED_VALUE"""),"")</f>
        <v/>
      </c>
      <c r="I466" s="51" t="str">
        <f>IFERROR(__xludf.DUMMYFUNCTION("""COMPUTED_VALUE"""),"#VALUE!")</f>
        <v>#VALUE!</v>
      </c>
      <c r="J466" s="51" t="str">
        <f>IFERROR(__xludf.DUMMYFUNCTION("""COMPUTED_VALUE"""),"")</f>
        <v/>
      </c>
      <c r="K466" s="51"/>
      <c r="L466" s="51" t="s">
        <v>257</v>
      </c>
      <c r="M466" s="51"/>
      <c r="N466" s="51"/>
      <c r="O466" s="51"/>
      <c r="P466" s="51"/>
      <c r="Q466" s="51"/>
      <c r="R466" s="51"/>
      <c r="S466" s="51"/>
      <c r="T466" s="51"/>
    </row>
    <row r="467">
      <c r="A467" s="51"/>
      <c r="B467" s="51"/>
      <c r="C467" s="56"/>
      <c r="D467" s="51"/>
      <c r="E467" s="51"/>
      <c r="F467" s="51"/>
      <c r="G467" s="51" t="str">
        <f>IFERROR(__xludf.DUMMYFUNCTION("""COMPUTED_VALUE"""),"#VALUE!")</f>
        <v>#VALUE!</v>
      </c>
      <c r="H467" s="51" t="str">
        <f>IFERROR(__xludf.DUMMYFUNCTION("""COMPUTED_VALUE"""),"")</f>
        <v/>
      </c>
      <c r="I467" s="51" t="str">
        <f>IFERROR(__xludf.DUMMYFUNCTION("""COMPUTED_VALUE"""),"#VALUE!")</f>
        <v>#VALUE!</v>
      </c>
      <c r="J467" s="51" t="str">
        <f>IFERROR(__xludf.DUMMYFUNCTION("""COMPUTED_VALUE"""),"")</f>
        <v/>
      </c>
      <c r="K467" s="51"/>
      <c r="L467" s="51" t="s">
        <v>257</v>
      </c>
      <c r="M467" s="51"/>
      <c r="N467" s="51"/>
      <c r="O467" s="51"/>
      <c r="P467" s="51"/>
      <c r="Q467" s="51"/>
      <c r="R467" s="51"/>
      <c r="S467" s="51"/>
      <c r="T467" s="51"/>
    </row>
    <row r="468">
      <c r="A468" s="51"/>
      <c r="B468" s="51"/>
      <c r="C468" s="56"/>
      <c r="D468" s="51"/>
      <c r="E468" s="51"/>
      <c r="F468" s="51"/>
      <c r="G468" s="51" t="str">
        <f>IFERROR(__xludf.DUMMYFUNCTION("""COMPUTED_VALUE"""),"#VALUE!")</f>
        <v>#VALUE!</v>
      </c>
      <c r="H468" s="51" t="str">
        <f>IFERROR(__xludf.DUMMYFUNCTION("""COMPUTED_VALUE"""),"")</f>
        <v/>
      </c>
      <c r="I468" s="51" t="str">
        <f>IFERROR(__xludf.DUMMYFUNCTION("""COMPUTED_VALUE"""),"#VALUE!")</f>
        <v>#VALUE!</v>
      </c>
      <c r="J468" s="51" t="str">
        <f>IFERROR(__xludf.DUMMYFUNCTION("""COMPUTED_VALUE"""),"")</f>
        <v/>
      </c>
      <c r="K468" s="51"/>
      <c r="L468" s="51" t="s">
        <v>257</v>
      </c>
      <c r="M468" s="51"/>
      <c r="N468" s="51"/>
      <c r="O468" s="51"/>
      <c r="P468" s="51"/>
      <c r="Q468" s="51"/>
      <c r="R468" s="51"/>
      <c r="S468" s="51"/>
      <c r="T468" s="51"/>
    </row>
    <row r="469">
      <c r="A469" s="51"/>
      <c r="B469" s="51"/>
      <c r="C469" s="56"/>
      <c r="D469" s="51"/>
      <c r="E469" s="51"/>
      <c r="F469" s="51"/>
      <c r="G469" s="51" t="str">
        <f>IFERROR(__xludf.DUMMYFUNCTION("""COMPUTED_VALUE"""),"#VALUE!")</f>
        <v>#VALUE!</v>
      </c>
      <c r="H469" s="51" t="str">
        <f>IFERROR(__xludf.DUMMYFUNCTION("""COMPUTED_VALUE"""),"")</f>
        <v/>
      </c>
      <c r="I469" s="51" t="str">
        <f>IFERROR(__xludf.DUMMYFUNCTION("""COMPUTED_VALUE"""),"#VALUE!")</f>
        <v>#VALUE!</v>
      </c>
      <c r="J469" s="51" t="str">
        <f>IFERROR(__xludf.DUMMYFUNCTION("""COMPUTED_VALUE"""),"")</f>
        <v/>
      </c>
      <c r="K469" s="51"/>
      <c r="L469" s="51" t="s">
        <v>257</v>
      </c>
      <c r="M469" s="51"/>
      <c r="N469" s="51"/>
      <c r="O469" s="51"/>
      <c r="P469" s="51"/>
      <c r="Q469" s="51"/>
      <c r="R469" s="51"/>
      <c r="S469" s="51"/>
      <c r="T469" s="51"/>
    </row>
    <row r="470">
      <c r="A470" s="51"/>
      <c r="B470" s="51"/>
      <c r="C470" s="56"/>
      <c r="D470" s="51"/>
      <c r="E470" s="51"/>
      <c r="F470" s="51"/>
      <c r="G470" s="51" t="str">
        <f>IFERROR(__xludf.DUMMYFUNCTION("""COMPUTED_VALUE"""),"#VALUE!")</f>
        <v>#VALUE!</v>
      </c>
      <c r="H470" s="51" t="str">
        <f>IFERROR(__xludf.DUMMYFUNCTION("""COMPUTED_VALUE"""),"")</f>
        <v/>
      </c>
      <c r="I470" s="51" t="str">
        <f>IFERROR(__xludf.DUMMYFUNCTION("""COMPUTED_VALUE"""),"#VALUE!")</f>
        <v>#VALUE!</v>
      </c>
      <c r="J470" s="51" t="str">
        <f>IFERROR(__xludf.DUMMYFUNCTION("""COMPUTED_VALUE"""),"")</f>
        <v/>
      </c>
      <c r="K470" s="51"/>
      <c r="L470" s="51" t="s">
        <v>257</v>
      </c>
      <c r="M470" s="51"/>
      <c r="N470" s="51"/>
      <c r="O470" s="51"/>
      <c r="P470" s="51"/>
      <c r="Q470" s="51"/>
      <c r="R470" s="51"/>
      <c r="S470" s="51"/>
      <c r="T470" s="51"/>
    </row>
    <row r="471">
      <c r="A471" s="51"/>
      <c r="B471" s="51"/>
      <c r="C471" s="56"/>
      <c r="D471" s="51"/>
      <c r="E471" s="51"/>
      <c r="F471" s="51"/>
      <c r="G471" s="51" t="str">
        <f>IFERROR(__xludf.DUMMYFUNCTION("""COMPUTED_VALUE"""),"#VALUE!")</f>
        <v>#VALUE!</v>
      </c>
      <c r="H471" s="51" t="str">
        <f>IFERROR(__xludf.DUMMYFUNCTION("""COMPUTED_VALUE"""),"")</f>
        <v/>
      </c>
      <c r="I471" s="51" t="str">
        <f>IFERROR(__xludf.DUMMYFUNCTION("""COMPUTED_VALUE"""),"#VALUE!")</f>
        <v>#VALUE!</v>
      </c>
      <c r="J471" s="51" t="str">
        <f>IFERROR(__xludf.DUMMYFUNCTION("""COMPUTED_VALUE"""),"")</f>
        <v/>
      </c>
      <c r="K471" s="51"/>
      <c r="L471" s="51" t="s">
        <v>257</v>
      </c>
      <c r="M471" s="51"/>
      <c r="N471" s="51"/>
      <c r="O471" s="51"/>
      <c r="P471" s="51"/>
      <c r="Q471" s="51"/>
      <c r="R471" s="51"/>
      <c r="S471" s="51"/>
      <c r="T471" s="51"/>
    </row>
    <row r="472">
      <c r="A472" s="51"/>
      <c r="B472" s="51"/>
      <c r="C472" s="56"/>
      <c r="D472" s="51"/>
      <c r="E472" s="51"/>
      <c r="F472" s="51"/>
      <c r="G472" s="51" t="str">
        <f>IFERROR(__xludf.DUMMYFUNCTION("""COMPUTED_VALUE"""),"#VALUE!")</f>
        <v>#VALUE!</v>
      </c>
      <c r="H472" s="51" t="str">
        <f>IFERROR(__xludf.DUMMYFUNCTION("""COMPUTED_VALUE"""),"")</f>
        <v/>
      </c>
      <c r="I472" s="51" t="str">
        <f>IFERROR(__xludf.DUMMYFUNCTION("""COMPUTED_VALUE"""),"#VALUE!")</f>
        <v>#VALUE!</v>
      </c>
      <c r="J472" s="51" t="str">
        <f>IFERROR(__xludf.DUMMYFUNCTION("""COMPUTED_VALUE"""),"")</f>
        <v/>
      </c>
      <c r="K472" s="51"/>
      <c r="L472" s="51" t="s">
        <v>257</v>
      </c>
      <c r="M472" s="51"/>
      <c r="N472" s="51"/>
      <c r="O472" s="51"/>
      <c r="P472" s="51"/>
      <c r="Q472" s="51"/>
      <c r="R472" s="51"/>
      <c r="S472" s="51"/>
      <c r="T472" s="51"/>
    </row>
    <row r="473">
      <c r="A473" s="51"/>
      <c r="B473" s="51"/>
      <c r="C473" s="56"/>
      <c r="D473" s="51"/>
      <c r="E473" s="51"/>
      <c r="F473" s="51"/>
      <c r="G473" s="51" t="str">
        <f>IFERROR(__xludf.DUMMYFUNCTION("""COMPUTED_VALUE"""),"#VALUE!")</f>
        <v>#VALUE!</v>
      </c>
      <c r="H473" s="51" t="str">
        <f>IFERROR(__xludf.DUMMYFUNCTION("""COMPUTED_VALUE"""),"")</f>
        <v/>
      </c>
      <c r="I473" s="51" t="str">
        <f>IFERROR(__xludf.DUMMYFUNCTION("""COMPUTED_VALUE"""),"#VALUE!")</f>
        <v>#VALUE!</v>
      </c>
      <c r="J473" s="51" t="str">
        <f>IFERROR(__xludf.DUMMYFUNCTION("""COMPUTED_VALUE"""),"")</f>
        <v/>
      </c>
      <c r="K473" s="51"/>
      <c r="L473" s="51" t="s">
        <v>257</v>
      </c>
      <c r="M473" s="51"/>
      <c r="N473" s="51"/>
      <c r="O473" s="51"/>
      <c r="P473" s="51"/>
      <c r="Q473" s="51"/>
      <c r="R473" s="51"/>
      <c r="S473" s="51"/>
      <c r="T473" s="51"/>
    </row>
    <row r="474">
      <c r="A474" s="51"/>
      <c r="B474" s="51"/>
      <c r="C474" s="56"/>
      <c r="D474" s="51"/>
      <c r="E474" s="51"/>
      <c r="F474" s="51"/>
      <c r="G474" s="51" t="str">
        <f>IFERROR(__xludf.DUMMYFUNCTION("""COMPUTED_VALUE"""),"#VALUE!")</f>
        <v>#VALUE!</v>
      </c>
      <c r="H474" s="51" t="str">
        <f>IFERROR(__xludf.DUMMYFUNCTION("""COMPUTED_VALUE"""),"")</f>
        <v/>
      </c>
      <c r="I474" s="51" t="str">
        <f>IFERROR(__xludf.DUMMYFUNCTION("""COMPUTED_VALUE"""),"#VALUE!")</f>
        <v>#VALUE!</v>
      </c>
      <c r="J474" s="51" t="str">
        <f>IFERROR(__xludf.DUMMYFUNCTION("""COMPUTED_VALUE"""),"")</f>
        <v/>
      </c>
      <c r="K474" s="51"/>
      <c r="L474" s="51" t="s">
        <v>257</v>
      </c>
      <c r="M474" s="51"/>
      <c r="N474" s="51"/>
      <c r="O474" s="51"/>
      <c r="P474" s="51"/>
      <c r="Q474" s="51"/>
      <c r="R474" s="51"/>
      <c r="S474" s="51"/>
      <c r="T474" s="51"/>
    </row>
    <row r="475">
      <c r="A475" s="51"/>
      <c r="B475" s="51"/>
      <c r="C475" s="56"/>
      <c r="D475" s="51"/>
      <c r="E475" s="51"/>
      <c r="F475" s="51"/>
      <c r="G475" s="51" t="str">
        <f>IFERROR(__xludf.DUMMYFUNCTION("""COMPUTED_VALUE"""),"#VALUE!")</f>
        <v>#VALUE!</v>
      </c>
      <c r="H475" s="51" t="str">
        <f>IFERROR(__xludf.DUMMYFUNCTION("""COMPUTED_VALUE"""),"")</f>
        <v/>
      </c>
      <c r="I475" s="51" t="str">
        <f>IFERROR(__xludf.DUMMYFUNCTION("""COMPUTED_VALUE"""),"#VALUE!")</f>
        <v>#VALUE!</v>
      </c>
      <c r="J475" s="51" t="str">
        <f>IFERROR(__xludf.DUMMYFUNCTION("""COMPUTED_VALUE"""),"")</f>
        <v/>
      </c>
      <c r="K475" s="51"/>
      <c r="L475" s="51" t="s">
        <v>257</v>
      </c>
      <c r="M475" s="51"/>
      <c r="N475" s="51"/>
      <c r="O475" s="51"/>
      <c r="P475" s="51"/>
      <c r="Q475" s="51"/>
      <c r="R475" s="51"/>
      <c r="S475" s="51"/>
      <c r="T475" s="51"/>
    </row>
    <row r="476">
      <c r="A476" s="51"/>
      <c r="B476" s="51"/>
      <c r="C476" s="56"/>
      <c r="D476" s="51"/>
      <c r="E476" s="51"/>
      <c r="F476" s="51"/>
      <c r="G476" s="51" t="str">
        <f>IFERROR(__xludf.DUMMYFUNCTION("""COMPUTED_VALUE"""),"#VALUE!")</f>
        <v>#VALUE!</v>
      </c>
      <c r="H476" s="51" t="str">
        <f>IFERROR(__xludf.DUMMYFUNCTION("""COMPUTED_VALUE"""),"")</f>
        <v/>
      </c>
      <c r="I476" s="51" t="str">
        <f>IFERROR(__xludf.DUMMYFUNCTION("""COMPUTED_VALUE"""),"#VALUE!")</f>
        <v>#VALUE!</v>
      </c>
      <c r="J476" s="51" t="str">
        <f>IFERROR(__xludf.DUMMYFUNCTION("""COMPUTED_VALUE"""),"")</f>
        <v/>
      </c>
      <c r="K476" s="51"/>
      <c r="L476" s="51" t="s">
        <v>257</v>
      </c>
      <c r="M476" s="51"/>
      <c r="N476" s="51"/>
      <c r="O476" s="51"/>
      <c r="P476" s="51"/>
      <c r="Q476" s="51"/>
      <c r="R476" s="51"/>
      <c r="S476" s="51"/>
      <c r="T476" s="51"/>
    </row>
    <row r="477">
      <c r="A477" s="51"/>
      <c r="B477" s="51"/>
      <c r="C477" s="56"/>
      <c r="D477" s="51"/>
      <c r="E477" s="51"/>
      <c r="F477" s="51"/>
      <c r="G477" s="51" t="str">
        <f>IFERROR(__xludf.DUMMYFUNCTION("""COMPUTED_VALUE"""),"#VALUE!")</f>
        <v>#VALUE!</v>
      </c>
      <c r="H477" s="51" t="str">
        <f>IFERROR(__xludf.DUMMYFUNCTION("""COMPUTED_VALUE"""),"")</f>
        <v/>
      </c>
      <c r="I477" s="51" t="str">
        <f>IFERROR(__xludf.DUMMYFUNCTION("""COMPUTED_VALUE"""),"#VALUE!")</f>
        <v>#VALUE!</v>
      </c>
      <c r="J477" s="51" t="str">
        <f>IFERROR(__xludf.DUMMYFUNCTION("""COMPUTED_VALUE"""),"")</f>
        <v/>
      </c>
      <c r="K477" s="51"/>
      <c r="L477" s="51" t="s">
        <v>257</v>
      </c>
      <c r="M477" s="51"/>
      <c r="N477" s="51"/>
      <c r="O477" s="51"/>
      <c r="P477" s="51"/>
      <c r="Q477" s="51"/>
      <c r="R477" s="51"/>
      <c r="S477" s="51"/>
      <c r="T477" s="51"/>
    </row>
    <row r="478">
      <c r="A478" s="51"/>
      <c r="B478" s="51"/>
      <c r="C478" s="56"/>
      <c r="D478" s="51"/>
      <c r="E478" s="51"/>
      <c r="F478" s="51"/>
      <c r="G478" s="51" t="str">
        <f>IFERROR(__xludf.DUMMYFUNCTION("""COMPUTED_VALUE"""),"#VALUE!")</f>
        <v>#VALUE!</v>
      </c>
      <c r="H478" s="51" t="str">
        <f>IFERROR(__xludf.DUMMYFUNCTION("""COMPUTED_VALUE"""),"")</f>
        <v/>
      </c>
      <c r="I478" s="51" t="str">
        <f>IFERROR(__xludf.DUMMYFUNCTION("""COMPUTED_VALUE"""),"#VALUE!")</f>
        <v>#VALUE!</v>
      </c>
      <c r="J478" s="51" t="str">
        <f>IFERROR(__xludf.DUMMYFUNCTION("""COMPUTED_VALUE"""),"")</f>
        <v/>
      </c>
      <c r="K478" s="51"/>
      <c r="L478" s="51" t="s">
        <v>257</v>
      </c>
      <c r="M478" s="51"/>
      <c r="N478" s="51"/>
      <c r="O478" s="51"/>
      <c r="P478" s="51"/>
      <c r="Q478" s="51"/>
      <c r="R478" s="51"/>
      <c r="S478" s="51"/>
      <c r="T478" s="51"/>
    </row>
    <row r="479">
      <c r="A479" s="51"/>
      <c r="B479" s="51"/>
      <c r="C479" s="56"/>
      <c r="D479" s="51"/>
      <c r="E479" s="51"/>
      <c r="F479" s="51"/>
      <c r="G479" s="51" t="str">
        <f>IFERROR(__xludf.DUMMYFUNCTION("""COMPUTED_VALUE"""),"#VALUE!")</f>
        <v>#VALUE!</v>
      </c>
      <c r="H479" s="51" t="str">
        <f>IFERROR(__xludf.DUMMYFUNCTION("""COMPUTED_VALUE"""),"")</f>
        <v/>
      </c>
      <c r="I479" s="51" t="str">
        <f>IFERROR(__xludf.DUMMYFUNCTION("""COMPUTED_VALUE"""),"#VALUE!")</f>
        <v>#VALUE!</v>
      </c>
      <c r="J479" s="51" t="str">
        <f>IFERROR(__xludf.DUMMYFUNCTION("""COMPUTED_VALUE"""),"")</f>
        <v/>
      </c>
      <c r="K479" s="51"/>
      <c r="L479" s="51" t="s">
        <v>257</v>
      </c>
      <c r="M479" s="51"/>
      <c r="N479" s="51"/>
      <c r="O479" s="51"/>
      <c r="P479" s="51"/>
      <c r="Q479" s="51"/>
      <c r="R479" s="51"/>
      <c r="S479" s="51"/>
      <c r="T479" s="51"/>
    </row>
    <row r="480">
      <c r="A480" s="51"/>
      <c r="B480" s="51"/>
      <c r="C480" s="56"/>
      <c r="D480" s="51"/>
      <c r="E480" s="51"/>
      <c r="F480" s="51"/>
      <c r="G480" s="51" t="str">
        <f>IFERROR(__xludf.DUMMYFUNCTION("""COMPUTED_VALUE"""),"#VALUE!")</f>
        <v>#VALUE!</v>
      </c>
      <c r="H480" s="51" t="str">
        <f>IFERROR(__xludf.DUMMYFUNCTION("""COMPUTED_VALUE"""),"")</f>
        <v/>
      </c>
      <c r="I480" s="51" t="str">
        <f>IFERROR(__xludf.DUMMYFUNCTION("""COMPUTED_VALUE"""),"#VALUE!")</f>
        <v>#VALUE!</v>
      </c>
      <c r="J480" s="51" t="str">
        <f>IFERROR(__xludf.DUMMYFUNCTION("""COMPUTED_VALUE"""),"")</f>
        <v/>
      </c>
      <c r="K480" s="51"/>
      <c r="L480" s="51" t="s">
        <v>257</v>
      </c>
      <c r="M480" s="51"/>
      <c r="N480" s="51"/>
      <c r="O480" s="51"/>
      <c r="P480" s="51"/>
      <c r="Q480" s="51"/>
      <c r="R480" s="51"/>
      <c r="S480" s="51"/>
      <c r="T480" s="51"/>
    </row>
    <row r="481">
      <c r="A481" s="51"/>
      <c r="B481" s="51"/>
      <c r="C481" s="56"/>
      <c r="D481" s="51"/>
      <c r="E481" s="51"/>
      <c r="F481" s="51"/>
      <c r="G481" s="51" t="str">
        <f>IFERROR(__xludf.DUMMYFUNCTION("""COMPUTED_VALUE"""),"#VALUE!")</f>
        <v>#VALUE!</v>
      </c>
      <c r="H481" s="51" t="str">
        <f>IFERROR(__xludf.DUMMYFUNCTION("""COMPUTED_VALUE"""),"")</f>
        <v/>
      </c>
      <c r="I481" s="51" t="str">
        <f>IFERROR(__xludf.DUMMYFUNCTION("""COMPUTED_VALUE"""),"#VALUE!")</f>
        <v>#VALUE!</v>
      </c>
      <c r="J481" s="51" t="str">
        <f>IFERROR(__xludf.DUMMYFUNCTION("""COMPUTED_VALUE"""),"")</f>
        <v/>
      </c>
      <c r="K481" s="51"/>
      <c r="L481" s="51" t="s">
        <v>257</v>
      </c>
      <c r="M481" s="51"/>
      <c r="N481" s="51"/>
      <c r="O481" s="51"/>
      <c r="P481" s="51"/>
      <c r="Q481" s="51"/>
      <c r="R481" s="51"/>
      <c r="S481" s="51"/>
      <c r="T481" s="51"/>
    </row>
    <row r="482">
      <c r="A482" s="51"/>
      <c r="B482" s="51"/>
      <c r="C482" s="56"/>
      <c r="D482" s="51"/>
      <c r="E482" s="51"/>
      <c r="F482" s="51"/>
      <c r="G482" s="51" t="str">
        <f>IFERROR(__xludf.DUMMYFUNCTION("""COMPUTED_VALUE"""),"#VALUE!")</f>
        <v>#VALUE!</v>
      </c>
      <c r="H482" s="51" t="str">
        <f>IFERROR(__xludf.DUMMYFUNCTION("""COMPUTED_VALUE"""),"")</f>
        <v/>
      </c>
      <c r="I482" s="51" t="str">
        <f>IFERROR(__xludf.DUMMYFUNCTION("""COMPUTED_VALUE"""),"#VALUE!")</f>
        <v>#VALUE!</v>
      </c>
      <c r="J482" s="51" t="str">
        <f>IFERROR(__xludf.DUMMYFUNCTION("""COMPUTED_VALUE"""),"")</f>
        <v/>
      </c>
      <c r="K482" s="51"/>
      <c r="L482" s="51" t="s">
        <v>257</v>
      </c>
      <c r="M482" s="51"/>
      <c r="N482" s="51"/>
      <c r="O482" s="51"/>
      <c r="P482" s="51"/>
      <c r="Q482" s="51"/>
      <c r="R482" s="51"/>
      <c r="S482" s="51"/>
      <c r="T482" s="51"/>
    </row>
    <row r="483">
      <c r="A483" s="51"/>
      <c r="B483" s="51"/>
      <c r="C483" s="56"/>
      <c r="D483" s="51"/>
      <c r="E483" s="51"/>
      <c r="F483" s="51"/>
      <c r="G483" s="51" t="str">
        <f>IFERROR(__xludf.DUMMYFUNCTION("""COMPUTED_VALUE"""),"#VALUE!")</f>
        <v>#VALUE!</v>
      </c>
      <c r="H483" s="51" t="str">
        <f>IFERROR(__xludf.DUMMYFUNCTION("""COMPUTED_VALUE"""),"")</f>
        <v/>
      </c>
      <c r="I483" s="51" t="str">
        <f>IFERROR(__xludf.DUMMYFUNCTION("""COMPUTED_VALUE"""),"#VALUE!")</f>
        <v>#VALUE!</v>
      </c>
      <c r="J483" s="51" t="str">
        <f>IFERROR(__xludf.DUMMYFUNCTION("""COMPUTED_VALUE"""),"")</f>
        <v/>
      </c>
      <c r="K483" s="51"/>
      <c r="L483" s="51" t="s">
        <v>257</v>
      </c>
      <c r="M483" s="51"/>
      <c r="N483" s="51"/>
      <c r="O483" s="51"/>
      <c r="P483" s="51"/>
      <c r="Q483" s="51"/>
      <c r="R483" s="51"/>
      <c r="S483" s="51"/>
      <c r="T483" s="51"/>
    </row>
    <row r="484">
      <c r="A484" s="51"/>
      <c r="B484" s="51"/>
      <c r="C484" s="56"/>
      <c r="D484" s="51"/>
      <c r="E484" s="51"/>
      <c r="F484" s="51"/>
      <c r="G484" s="51" t="str">
        <f>IFERROR(__xludf.DUMMYFUNCTION("""COMPUTED_VALUE"""),"#VALUE!")</f>
        <v>#VALUE!</v>
      </c>
      <c r="H484" s="51" t="str">
        <f>IFERROR(__xludf.DUMMYFUNCTION("""COMPUTED_VALUE"""),"")</f>
        <v/>
      </c>
      <c r="I484" s="51" t="str">
        <f>IFERROR(__xludf.DUMMYFUNCTION("""COMPUTED_VALUE"""),"#VALUE!")</f>
        <v>#VALUE!</v>
      </c>
      <c r="J484" s="51" t="str">
        <f>IFERROR(__xludf.DUMMYFUNCTION("""COMPUTED_VALUE"""),"")</f>
        <v/>
      </c>
      <c r="K484" s="51"/>
      <c r="L484" s="51" t="s">
        <v>257</v>
      </c>
      <c r="M484" s="51"/>
      <c r="N484" s="51"/>
      <c r="O484" s="51"/>
      <c r="P484" s="51"/>
      <c r="Q484" s="51"/>
      <c r="R484" s="51"/>
      <c r="S484" s="51"/>
      <c r="T484" s="51"/>
    </row>
    <row r="485">
      <c r="A485" s="51"/>
      <c r="B485" s="51"/>
      <c r="C485" s="56"/>
      <c r="D485" s="51"/>
      <c r="E485" s="51"/>
      <c r="F485" s="51"/>
      <c r="G485" s="51" t="str">
        <f>IFERROR(__xludf.DUMMYFUNCTION("""COMPUTED_VALUE"""),"#VALUE!")</f>
        <v>#VALUE!</v>
      </c>
      <c r="H485" s="51" t="str">
        <f>IFERROR(__xludf.DUMMYFUNCTION("""COMPUTED_VALUE"""),"")</f>
        <v/>
      </c>
      <c r="I485" s="51" t="str">
        <f>IFERROR(__xludf.DUMMYFUNCTION("""COMPUTED_VALUE"""),"#VALUE!")</f>
        <v>#VALUE!</v>
      </c>
      <c r="J485" s="51" t="str">
        <f>IFERROR(__xludf.DUMMYFUNCTION("""COMPUTED_VALUE"""),"")</f>
        <v/>
      </c>
      <c r="K485" s="51"/>
      <c r="L485" s="51" t="s">
        <v>257</v>
      </c>
      <c r="M485" s="51"/>
      <c r="N485" s="51"/>
      <c r="O485" s="51"/>
      <c r="P485" s="51"/>
      <c r="Q485" s="51"/>
      <c r="R485" s="51"/>
      <c r="S485" s="51"/>
      <c r="T485" s="51"/>
    </row>
    <row r="486">
      <c r="A486" s="51"/>
      <c r="B486" s="51"/>
      <c r="C486" s="56"/>
      <c r="D486" s="51"/>
      <c r="E486" s="51"/>
      <c r="F486" s="51"/>
      <c r="G486" s="51" t="str">
        <f>IFERROR(__xludf.DUMMYFUNCTION("""COMPUTED_VALUE"""),"#VALUE!")</f>
        <v>#VALUE!</v>
      </c>
      <c r="H486" s="51" t="str">
        <f>IFERROR(__xludf.DUMMYFUNCTION("""COMPUTED_VALUE"""),"")</f>
        <v/>
      </c>
      <c r="I486" s="51" t="str">
        <f>IFERROR(__xludf.DUMMYFUNCTION("""COMPUTED_VALUE"""),"#VALUE!")</f>
        <v>#VALUE!</v>
      </c>
      <c r="J486" s="51" t="str">
        <f>IFERROR(__xludf.DUMMYFUNCTION("""COMPUTED_VALUE"""),"")</f>
        <v/>
      </c>
      <c r="K486" s="51"/>
      <c r="L486" s="51" t="s">
        <v>257</v>
      </c>
      <c r="M486" s="51"/>
      <c r="N486" s="51"/>
      <c r="O486" s="51"/>
      <c r="P486" s="51"/>
      <c r="Q486" s="51"/>
      <c r="R486" s="51"/>
      <c r="S486" s="51"/>
      <c r="T486" s="51"/>
    </row>
    <row r="487">
      <c r="A487" s="51"/>
      <c r="B487" s="51"/>
      <c r="C487" s="56"/>
      <c r="D487" s="51"/>
      <c r="E487" s="51"/>
      <c r="F487" s="51"/>
      <c r="G487" s="51" t="str">
        <f>IFERROR(__xludf.DUMMYFUNCTION("""COMPUTED_VALUE"""),"#VALUE!")</f>
        <v>#VALUE!</v>
      </c>
      <c r="H487" s="51" t="str">
        <f>IFERROR(__xludf.DUMMYFUNCTION("""COMPUTED_VALUE"""),"")</f>
        <v/>
      </c>
      <c r="I487" s="51" t="str">
        <f>IFERROR(__xludf.DUMMYFUNCTION("""COMPUTED_VALUE"""),"#VALUE!")</f>
        <v>#VALUE!</v>
      </c>
      <c r="J487" s="51" t="str">
        <f>IFERROR(__xludf.DUMMYFUNCTION("""COMPUTED_VALUE"""),"")</f>
        <v/>
      </c>
      <c r="K487" s="51"/>
      <c r="L487" s="51" t="s">
        <v>257</v>
      </c>
      <c r="M487" s="51"/>
      <c r="N487" s="51"/>
      <c r="O487" s="51"/>
      <c r="P487" s="51"/>
      <c r="Q487" s="51"/>
      <c r="R487" s="51"/>
      <c r="S487" s="51"/>
      <c r="T487" s="51"/>
    </row>
    <row r="488">
      <c r="A488" s="51"/>
      <c r="B488" s="51"/>
      <c r="C488" s="56"/>
      <c r="D488" s="51"/>
      <c r="E488" s="51"/>
      <c r="F488" s="51"/>
      <c r="G488" s="51" t="str">
        <f>IFERROR(__xludf.DUMMYFUNCTION("""COMPUTED_VALUE"""),"#VALUE!")</f>
        <v>#VALUE!</v>
      </c>
      <c r="H488" s="51" t="str">
        <f>IFERROR(__xludf.DUMMYFUNCTION("""COMPUTED_VALUE"""),"")</f>
        <v/>
      </c>
      <c r="I488" s="51" t="str">
        <f>IFERROR(__xludf.DUMMYFUNCTION("""COMPUTED_VALUE"""),"#VALUE!")</f>
        <v>#VALUE!</v>
      </c>
      <c r="J488" s="51" t="str">
        <f>IFERROR(__xludf.DUMMYFUNCTION("""COMPUTED_VALUE"""),"")</f>
        <v/>
      </c>
      <c r="K488" s="51"/>
      <c r="L488" s="51" t="s">
        <v>257</v>
      </c>
      <c r="M488" s="51"/>
      <c r="N488" s="51"/>
      <c r="O488" s="51"/>
      <c r="P488" s="51"/>
      <c r="Q488" s="51"/>
      <c r="R488" s="51"/>
      <c r="S488" s="51"/>
      <c r="T488" s="51"/>
    </row>
    <row r="489">
      <c r="A489" s="51"/>
      <c r="B489" s="51"/>
      <c r="C489" s="56"/>
      <c r="D489" s="51"/>
      <c r="E489" s="51"/>
      <c r="F489" s="51"/>
      <c r="G489" s="51" t="str">
        <f>IFERROR(__xludf.DUMMYFUNCTION("""COMPUTED_VALUE"""),"#VALUE!")</f>
        <v>#VALUE!</v>
      </c>
      <c r="H489" s="51" t="str">
        <f>IFERROR(__xludf.DUMMYFUNCTION("""COMPUTED_VALUE"""),"")</f>
        <v/>
      </c>
      <c r="I489" s="51" t="str">
        <f>IFERROR(__xludf.DUMMYFUNCTION("""COMPUTED_VALUE"""),"#VALUE!")</f>
        <v>#VALUE!</v>
      </c>
      <c r="J489" s="51" t="str">
        <f>IFERROR(__xludf.DUMMYFUNCTION("""COMPUTED_VALUE"""),"")</f>
        <v/>
      </c>
      <c r="K489" s="51"/>
      <c r="L489" s="51" t="s">
        <v>257</v>
      </c>
      <c r="M489" s="51"/>
      <c r="N489" s="51"/>
      <c r="O489" s="51"/>
      <c r="P489" s="51"/>
      <c r="Q489" s="51"/>
      <c r="R489" s="51"/>
      <c r="S489" s="51"/>
      <c r="T489" s="51"/>
    </row>
    <row r="490">
      <c r="A490" s="51"/>
      <c r="B490" s="51"/>
      <c r="C490" s="56"/>
      <c r="D490" s="51"/>
      <c r="E490" s="51"/>
      <c r="F490" s="51"/>
      <c r="G490" s="51" t="str">
        <f>IFERROR(__xludf.DUMMYFUNCTION("""COMPUTED_VALUE"""),"#VALUE!")</f>
        <v>#VALUE!</v>
      </c>
      <c r="H490" s="51" t="str">
        <f>IFERROR(__xludf.DUMMYFUNCTION("""COMPUTED_VALUE"""),"")</f>
        <v/>
      </c>
      <c r="I490" s="51" t="str">
        <f>IFERROR(__xludf.DUMMYFUNCTION("""COMPUTED_VALUE"""),"#VALUE!")</f>
        <v>#VALUE!</v>
      </c>
      <c r="J490" s="51" t="str">
        <f>IFERROR(__xludf.DUMMYFUNCTION("""COMPUTED_VALUE"""),"")</f>
        <v/>
      </c>
      <c r="K490" s="51"/>
      <c r="L490" s="51" t="s">
        <v>257</v>
      </c>
      <c r="M490" s="51"/>
      <c r="N490" s="51"/>
      <c r="O490" s="51"/>
      <c r="P490" s="51"/>
      <c r="Q490" s="51"/>
      <c r="R490" s="51"/>
      <c r="S490" s="51"/>
      <c r="T490" s="51"/>
    </row>
    <row r="491">
      <c r="A491" s="51"/>
      <c r="B491" s="51"/>
      <c r="C491" s="56"/>
      <c r="D491" s="51"/>
      <c r="E491" s="51"/>
      <c r="F491" s="51"/>
      <c r="G491" s="51" t="str">
        <f>IFERROR(__xludf.DUMMYFUNCTION("""COMPUTED_VALUE"""),"#VALUE!")</f>
        <v>#VALUE!</v>
      </c>
      <c r="H491" s="51" t="str">
        <f>IFERROR(__xludf.DUMMYFUNCTION("""COMPUTED_VALUE"""),"")</f>
        <v/>
      </c>
      <c r="I491" s="51" t="str">
        <f>IFERROR(__xludf.DUMMYFUNCTION("""COMPUTED_VALUE"""),"#VALUE!")</f>
        <v>#VALUE!</v>
      </c>
      <c r="J491" s="51" t="str">
        <f>IFERROR(__xludf.DUMMYFUNCTION("""COMPUTED_VALUE"""),"")</f>
        <v/>
      </c>
      <c r="K491" s="51"/>
      <c r="L491" s="51" t="s">
        <v>257</v>
      </c>
      <c r="M491" s="51"/>
      <c r="N491" s="51"/>
      <c r="O491" s="51"/>
      <c r="P491" s="51"/>
      <c r="Q491" s="51"/>
      <c r="R491" s="51"/>
      <c r="S491" s="51"/>
      <c r="T491" s="51"/>
    </row>
    <row r="492">
      <c r="A492" s="51"/>
      <c r="B492" s="51"/>
      <c r="C492" s="56"/>
      <c r="D492" s="51"/>
      <c r="E492" s="51"/>
      <c r="F492" s="51"/>
      <c r="G492" s="51" t="str">
        <f>IFERROR(__xludf.DUMMYFUNCTION("""COMPUTED_VALUE"""),"#VALUE!")</f>
        <v>#VALUE!</v>
      </c>
      <c r="H492" s="51" t="str">
        <f>IFERROR(__xludf.DUMMYFUNCTION("""COMPUTED_VALUE"""),"")</f>
        <v/>
      </c>
      <c r="I492" s="51" t="str">
        <f>IFERROR(__xludf.DUMMYFUNCTION("""COMPUTED_VALUE"""),"#VALUE!")</f>
        <v>#VALUE!</v>
      </c>
      <c r="J492" s="51" t="str">
        <f>IFERROR(__xludf.DUMMYFUNCTION("""COMPUTED_VALUE"""),"")</f>
        <v/>
      </c>
      <c r="K492" s="51"/>
      <c r="L492" s="51" t="s">
        <v>257</v>
      </c>
      <c r="M492" s="51"/>
      <c r="N492" s="51"/>
      <c r="O492" s="51"/>
      <c r="P492" s="51"/>
      <c r="Q492" s="51"/>
      <c r="R492" s="51"/>
      <c r="S492" s="51"/>
      <c r="T492" s="51"/>
    </row>
    <row r="493">
      <c r="A493" s="51"/>
      <c r="B493" s="51"/>
      <c r="C493" s="56"/>
      <c r="D493" s="51"/>
      <c r="E493" s="51"/>
      <c r="F493" s="51"/>
      <c r="G493" s="51" t="str">
        <f>IFERROR(__xludf.DUMMYFUNCTION("""COMPUTED_VALUE"""),"#VALUE!")</f>
        <v>#VALUE!</v>
      </c>
      <c r="H493" s="51" t="str">
        <f>IFERROR(__xludf.DUMMYFUNCTION("""COMPUTED_VALUE"""),"")</f>
        <v/>
      </c>
      <c r="I493" s="51" t="str">
        <f>IFERROR(__xludf.DUMMYFUNCTION("""COMPUTED_VALUE"""),"#VALUE!")</f>
        <v>#VALUE!</v>
      </c>
      <c r="J493" s="51" t="str">
        <f>IFERROR(__xludf.DUMMYFUNCTION("""COMPUTED_VALUE"""),"")</f>
        <v/>
      </c>
      <c r="K493" s="51"/>
      <c r="L493" s="51" t="s">
        <v>257</v>
      </c>
      <c r="M493" s="51"/>
      <c r="N493" s="51"/>
      <c r="O493" s="51"/>
      <c r="P493" s="51"/>
      <c r="Q493" s="51"/>
      <c r="R493" s="51"/>
      <c r="S493" s="51"/>
      <c r="T493" s="51"/>
    </row>
    <row r="494">
      <c r="A494" s="51"/>
      <c r="B494" s="51"/>
      <c r="C494" s="56"/>
      <c r="D494" s="51"/>
      <c r="E494" s="51"/>
      <c r="F494" s="51"/>
      <c r="G494" s="51" t="str">
        <f>IFERROR(__xludf.DUMMYFUNCTION("""COMPUTED_VALUE"""),"#VALUE!")</f>
        <v>#VALUE!</v>
      </c>
      <c r="H494" s="51" t="str">
        <f>IFERROR(__xludf.DUMMYFUNCTION("""COMPUTED_VALUE"""),"")</f>
        <v/>
      </c>
      <c r="I494" s="51" t="str">
        <f>IFERROR(__xludf.DUMMYFUNCTION("""COMPUTED_VALUE"""),"#VALUE!")</f>
        <v>#VALUE!</v>
      </c>
      <c r="J494" s="51" t="str">
        <f>IFERROR(__xludf.DUMMYFUNCTION("""COMPUTED_VALUE"""),"")</f>
        <v/>
      </c>
      <c r="K494" s="51"/>
      <c r="L494" s="51" t="s">
        <v>257</v>
      </c>
      <c r="M494" s="51"/>
      <c r="N494" s="51"/>
      <c r="O494" s="51"/>
      <c r="P494" s="51"/>
      <c r="Q494" s="51"/>
      <c r="R494" s="51"/>
      <c r="S494" s="51"/>
      <c r="T494" s="51"/>
    </row>
    <row r="495">
      <c r="A495" s="51"/>
      <c r="B495" s="51"/>
      <c r="C495" s="56"/>
      <c r="D495" s="51"/>
      <c r="E495" s="51"/>
      <c r="F495" s="51"/>
      <c r="G495" s="51" t="str">
        <f>IFERROR(__xludf.DUMMYFUNCTION("""COMPUTED_VALUE"""),"#VALUE!")</f>
        <v>#VALUE!</v>
      </c>
      <c r="H495" s="51" t="str">
        <f>IFERROR(__xludf.DUMMYFUNCTION("""COMPUTED_VALUE"""),"")</f>
        <v/>
      </c>
      <c r="I495" s="51" t="str">
        <f>IFERROR(__xludf.DUMMYFUNCTION("""COMPUTED_VALUE"""),"#VALUE!")</f>
        <v>#VALUE!</v>
      </c>
      <c r="J495" s="51" t="str">
        <f>IFERROR(__xludf.DUMMYFUNCTION("""COMPUTED_VALUE"""),"")</f>
        <v/>
      </c>
      <c r="K495" s="51"/>
      <c r="L495" s="51" t="s">
        <v>257</v>
      </c>
      <c r="M495" s="51"/>
      <c r="N495" s="51"/>
      <c r="O495" s="51"/>
      <c r="P495" s="51"/>
      <c r="Q495" s="51"/>
      <c r="R495" s="51"/>
      <c r="S495" s="51"/>
      <c r="T495" s="51"/>
    </row>
    <row r="496">
      <c r="A496" s="51"/>
      <c r="B496" s="51"/>
      <c r="C496" s="56"/>
      <c r="D496" s="51"/>
      <c r="E496" s="51"/>
      <c r="F496" s="51"/>
      <c r="G496" s="51" t="str">
        <f>IFERROR(__xludf.DUMMYFUNCTION("""COMPUTED_VALUE"""),"#VALUE!")</f>
        <v>#VALUE!</v>
      </c>
      <c r="H496" s="51" t="str">
        <f>IFERROR(__xludf.DUMMYFUNCTION("""COMPUTED_VALUE"""),"")</f>
        <v/>
      </c>
      <c r="I496" s="51" t="str">
        <f>IFERROR(__xludf.DUMMYFUNCTION("""COMPUTED_VALUE"""),"#VALUE!")</f>
        <v>#VALUE!</v>
      </c>
      <c r="J496" s="51" t="str">
        <f>IFERROR(__xludf.DUMMYFUNCTION("""COMPUTED_VALUE"""),"")</f>
        <v/>
      </c>
      <c r="K496" s="51"/>
      <c r="L496" s="51" t="s">
        <v>257</v>
      </c>
      <c r="M496" s="51"/>
      <c r="N496" s="51"/>
      <c r="O496" s="51"/>
      <c r="P496" s="51"/>
      <c r="Q496" s="51"/>
      <c r="R496" s="51"/>
      <c r="S496" s="51"/>
      <c r="T496" s="51"/>
    </row>
    <row r="497">
      <c r="A497" s="51"/>
      <c r="B497" s="51"/>
      <c r="C497" s="56"/>
      <c r="D497" s="51"/>
      <c r="E497" s="51"/>
      <c r="F497" s="51"/>
      <c r="G497" s="51" t="str">
        <f>IFERROR(__xludf.DUMMYFUNCTION("""COMPUTED_VALUE"""),"#VALUE!")</f>
        <v>#VALUE!</v>
      </c>
      <c r="H497" s="51" t="str">
        <f>IFERROR(__xludf.DUMMYFUNCTION("""COMPUTED_VALUE"""),"")</f>
        <v/>
      </c>
      <c r="I497" s="51" t="str">
        <f>IFERROR(__xludf.DUMMYFUNCTION("""COMPUTED_VALUE"""),"#VALUE!")</f>
        <v>#VALUE!</v>
      </c>
      <c r="J497" s="51" t="str">
        <f>IFERROR(__xludf.DUMMYFUNCTION("""COMPUTED_VALUE"""),"")</f>
        <v/>
      </c>
      <c r="K497" s="51"/>
      <c r="L497" s="51" t="s">
        <v>257</v>
      </c>
      <c r="M497" s="51"/>
      <c r="N497" s="51"/>
      <c r="O497" s="51"/>
      <c r="P497" s="51"/>
      <c r="Q497" s="51"/>
      <c r="R497" s="51"/>
      <c r="S497" s="51"/>
      <c r="T497" s="51"/>
    </row>
    <row r="498">
      <c r="A498" s="51"/>
      <c r="B498" s="51"/>
      <c r="C498" s="56"/>
      <c r="D498" s="51"/>
      <c r="E498" s="51"/>
      <c r="F498" s="51"/>
      <c r="G498" s="51" t="str">
        <f>IFERROR(__xludf.DUMMYFUNCTION("""COMPUTED_VALUE"""),"#VALUE!")</f>
        <v>#VALUE!</v>
      </c>
      <c r="H498" s="51" t="str">
        <f>IFERROR(__xludf.DUMMYFUNCTION("""COMPUTED_VALUE"""),"")</f>
        <v/>
      </c>
      <c r="I498" s="51" t="str">
        <f>IFERROR(__xludf.DUMMYFUNCTION("""COMPUTED_VALUE"""),"#VALUE!")</f>
        <v>#VALUE!</v>
      </c>
      <c r="J498" s="51" t="str">
        <f>IFERROR(__xludf.DUMMYFUNCTION("""COMPUTED_VALUE"""),"")</f>
        <v/>
      </c>
      <c r="K498" s="51"/>
      <c r="L498" s="51" t="s">
        <v>257</v>
      </c>
      <c r="M498" s="51"/>
      <c r="N498" s="51"/>
      <c r="O498" s="51"/>
      <c r="P498" s="51"/>
      <c r="Q498" s="51"/>
      <c r="R498" s="51"/>
      <c r="S498" s="51"/>
      <c r="T498" s="51"/>
    </row>
    <row r="499">
      <c r="A499" s="51"/>
      <c r="B499" s="51"/>
      <c r="C499" s="56"/>
      <c r="D499" s="51"/>
      <c r="E499" s="51"/>
      <c r="F499" s="51"/>
      <c r="G499" s="51" t="str">
        <f>IFERROR(__xludf.DUMMYFUNCTION("""COMPUTED_VALUE"""),"#VALUE!")</f>
        <v>#VALUE!</v>
      </c>
      <c r="H499" s="51" t="str">
        <f>IFERROR(__xludf.DUMMYFUNCTION("""COMPUTED_VALUE"""),"")</f>
        <v/>
      </c>
      <c r="I499" s="51" t="str">
        <f>IFERROR(__xludf.DUMMYFUNCTION("""COMPUTED_VALUE"""),"#VALUE!")</f>
        <v>#VALUE!</v>
      </c>
      <c r="J499" s="51" t="str">
        <f>IFERROR(__xludf.DUMMYFUNCTION("""COMPUTED_VALUE"""),"")</f>
        <v/>
      </c>
      <c r="K499" s="51"/>
      <c r="L499" s="51" t="s">
        <v>257</v>
      </c>
      <c r="M499" s="51"/>
      <c r="N499" s="51"/>
      <c r="O499" s="51"/>
      <c r="P499" s="51"/>
      <c r="Q499" s="51"/>
      <c r="R499" s="51"/>
      <c r="S499" s="51"/>
      <c r="T499" s="51"/>
    </row>
    <row r="500">
      <c r="A500" s="51"/>
      <c r="B500" s="51"/>
      <c r="C500" s="56"/>
      <c r="D500" s="51"/>
      <c r="E500" s="51"/>
      <c r="F500" s="51"/>
      <c r="G500" s="51" t="str">
        <f>IFERROR(__xludf.DUMMYFUNCTION("""COMPUTED_VALUE"""),"#VALUE!")</f>
        <v>#VALUE!</v>
      </c>
      <c r="H500" s="51" t="str">
        <f>IFERROR(__xludf.DUMMYFUNCTION("""COMPUTED_VALUE"""),"")</f>
        <v/>
      </c>
      <c r="I500" s="51" t="str">
        <f>IFERROR(__xludf.DUMMYFUNCTION("""COMPUTED_VALUE"""),"#VALUE!")</f>
        <v>#VALUE!</v>
      </c>
      <c r="J500" s="51" t="str">
        <f>IFERROR(__xludf.DUMMYFUNCTION("""COMPUTED_VALUE"""),"")</f>
        <v/>
      </c>
      <c r="K500" s="51"/>
      <c r="L500" s="51" t="s">
        <v>257</v>
      </c>
      <c r="M500" s="51"/>
      <c r="N500" s="51"/>
      <c r="O500" s="51"/>
      <c r="P500" s="51"/>
      <c r="Q500" s="51"/>
      <c r="R500" s="51"/>
      <c r="S500" s="51"/>
      <c r="T500" s="51"/>
    </row>
    <row r="501">
      <c r="A501" s="51"/>
      <c r="B501" s="51"/>
      <c r="C501" s="56"/>
      <c r="D501" s="51"/>
      <c r="E501" s="51"/>
      <c r="F501" s="51"/>
      <c r="G501" s="51" t="str">
        <f>IFERROR(__xludf.DUMMYFUNCTION("""COMPUTED_VALUE"""),"#VALUE!")</f>
        <v>#VALUE!</v>
      </c>
      <c r="H501" s="51" t="str">
        <f>IFERROR(__xludf.DUMMYFUNCTION("""COMPUTED_VALUE"""),"")</f>
        <v/>
      </c>
      <c r="I501" s="51" t="str">
        <f>IFERROR(__xludf.DUMMYFUNCTION("""COMPUTED_VALUE"""),"#VALUE!")</f>
        <v>#VALUE!</v>
      </c>
      <c r="J501" s="51" t="str">
        <f>IFERROR(__xludf.DUMMYFUNCTION("""COMPUTED_VALUE"""),"")</f>
        <v/>
      </c>
      <c r="K501" s="51"/>
      <c r="L501" s="51" t="s">
        <v>257</v>
      </c>
      <c r="M501" s="51"/>
      <c r="N501" s="51"/>
      <c r="O501" s="51"/>
      <c r="P501" s="51"/>
      <c r="Q501" s="51"/>
      <c r="R501" s="51"/>
      <c r="S501" s="51"/>
      <c r="T501" s="51"/>
    </row>
    <row r="502">
      <c r="A502" s="51"/>
      <c r="B502" s="51"/>
      <c r="C502" s="56"/>
      <c r="D502" s="51"/>
      <c r="E502" s="51"/>
      <c r="F502" s="51"/>
      <c r="G502" s="51" t="str">
        <f>IFERROR(__xludf.DUMMYFUNCTION("""COMPUTED_VALUE"""),"#VALUE!")</f>
        <v>#VALUE!</v>
      </c>
      <c r="H502" s="51" t="str">
        <f>IFERROR(__xludf.DUMMYFUNCTION("""COMPUTED_VALUE"""),"")</f>
        <v/>
      </c>
      <c r="I502" s="51" t="str">
        <f>IFERROR(__xludf.DUMMYFUNCTION("""COMPUTED_VALUE"""),"#VALUE!")</f>
        <v>#VALUE!</v>
      </c>
      <c r="J502" s="51" t="str">
        <f>IFERROR(__xludf.DUMMYFUNCTION("""COMPUTED_VALUE"""),"")</f>
        <v/>
      </c>
      <c r="K502" s="51"/>
      <c r="L502" s="51" t="s">
        <v>257</v>
      </c>
      <c r="M502" s="51"/>
      <c r="N502" s="51"/>
      <c r="O502" s="51"/>
      <c r="P502" s="51"/>
      <c r="Q502" s="51"/>
      <c r="R502" s="51"/>
      <c r="S502" s="51"/>
      <c r="T502" s="51"/>
    </row>
    <row r="503">
      <c r="A503" s="51"/>
      <c r="B503" s="51"/>
      <c r="C503" s="56"/>
      <c r="D503" s="51"/>
      <c r="E503" s="51"/>
      <c r="F503" s="51"/>
      <c r="G503" s="51" t="str">
        <f>IFERROR(__xludf.DUMMYFUNCTION("""COMPUTED_VALUE"""),"#VALUE!")</f>
        <v>#VALUE!</v>
      </c>
      <c r="H503" s="51" t="str">
        <f>IFERROR(__xludf.DUMMYFUNCTION("""COMPUTED_VALUE"""),"")</f>
        <v/>
      </c>
      <c r="I503" s="51" t="str">
        <f>IFERROR(__xludf.DUMMYFUNCTION("""COMPUTED_VALUE"""),"#VALUE!")</f>
        <v>#VALUE!</v>
      </c>
      <c r="J503" s="51" t="str">
        <f>IFERROR(__xludf.DUMMYFUNCTION("""COMPUTED_VALUE"""),"")</f>
        <v/>
      </c>
      <c r="K503" s="51"/>
      <c r="L503" s="51" t="s">
        <v>257</v>
      </c>
      <c r="M503" s="51"/>
      <c r="N503" s="51"/>
      <c r="O503" s="51"/>
      <c r="P503" s="51"/>
      <c r="Q503" s="51"/>
      <c r="R503" s="51"/>
      <c r="S503" s="51"/>
      <c r="T503" s="51"/>
    </row>
    <row r="504">
      <c r="A504" s="51"/>
      <c r="B504" s="51"/>
      <c r="C504" s="56"/>
      <c r="D504" s="51"/>
      <c r="E504" s="51"/>
      <c r="F504" s="51"/>
      <c r="G504" s="51" t="str">
        <f>IFERROR(__xludf.DUMMYFUNCTION("""COMPUTED_VALUE"""),"#VALUE!")</f>
        <v>#VALUE!</v>
      </c>
      <c r="H504" s="51" t="str">
        <f>IFERROR(__xludf.DUMMYFUNCTION("""COMPUTED_VALUE"""),"")</f>
        <v/>
      </c>
      <c r="I504" s="51" t="str">
        <f>IFERROR(__xludf.DUMMYFUNCTION("""COMPUTED_VALUE"""),"#VALUE!")</f>
        <v>#VALUE!</v>
      </c>
      <c r="J504" s="51" t="str">
        <f>IFERROR(__xludf.DUMMYFUNCTION("""COMPUTED_VALUE"""),"")</f>
        <v/>
      </c>
      <c r="K504" s="51"/>
      <c r="L504" s="51" t="s">
        <v>257</v>
      </c>
      <c r="M504" s="51"/>
      <c r="N504" s="51"/>
      <c r="O504" s="51"/>
      <c r="P504" s="51"/>
      <c r="Q504" s="51"/>
      <c r="R504" s="51"/>
      <c r="S504" s="51"/>
      <c r="T504" s="51"/>
    </row>
    <row r="505">
      <c r="A505" s="51"/>
      <c r="B505" s="51"/>
      <c r="C505" s="56"/>
      <c r="D505" s="51"/>
      <c r="E505" s="51"/>
      <c r="F505" s="51"/>
      <c r="G505" s="51" t="str">
        <f>IFERROR(__xludf.DUMMYFUNCTION("""COMPUTED_VALUE"""),"#VALUE!")</f>
        <v>#VALUE!</v>
      </c>
      <c r="H505" s="51" t="str">
        <f>IFERROR(__xludf.DUMMYFUNCTION("""COMPUTED_VALUE"""),"")</f>
        <v/>
      </c>
      <c r="I505" s="51" t="str">
        <f>IFERROR(__xludf.DUMMYFUNCTION("""COMPUTED_VALUE"""),"#VALUE!")</f>
        <v>#VALUE!</v>
      </c>
      <c r="J505" s="51" t="str">
        <f>IFERROR(__xludf.DUMMYFUNCTION("""COMPUTED_VALUE"""),"")</f>
        <v/>
      </c>
      <c r="K505" s="51"/>
      <c r="L505" s="51" t="s">
        <v>257</v>
      </c>
      <c r="M505" s="51"/>
      <c r="N505" s="51"/>
      <c r="O505" s="51"/>
      <c r="P505" s="51"/>
      <c r="Q505" s="51"/>
      <c r="R505" s="51"/>
      <c r="S505" s="51"/>
      <c r="T505" s="51"/>
    </row>
    <row r="506">
      <c r="A506" s="51"/>
      <c r="B506" s="51"/>
      <c r="C506" s="56"/>
      <c r="D506" s="51"/>
      <c r="E506" s="51"/>
      <c r="F506" s="51"/>
      <c r="G506" s="51" t="str">
        <f>IFERROR(__xludf.DUMMYFUNCTION("""COMPUTED_VALUE"""),"#VALUE!")</f>
        <v>#VALUE!</v>
      </c>
      <c r="H506" s="51" t="str">
        <f>IFERROR(__xludf.DUMMYFUNCTION("""COMPUTED_VALUE"""),"")</f>
        <v/>
      </c>
      <c r="I506" s="51" t="str">
        <f>IFERROR(__xludf.DUMMYFUNCTION("""COMPUTED_VALUE"""),"#VALUE!")</f>
        <v>#VALUE!</v>
      </c>
      <c r="J506" s="51" t="str">
        <f>IFERROR(__xludf.DUMMYFUNCTION("""COMPUTED_VALUE"""),"")</f>
        <v/>
      </c>
      <c r="K506" s="51"/>
      <c r="L506" s="51" t="s">
        <v>257</v>
      </c>
      <c r="M506" s="51"/>
      <c r="N506" s="51"/>
      <c r="O506" s="51"/>
      <c r="P506" s="51"/>
      <c r="Q506" s="51"/>
      <c r="R506" s="51"/>
      <c r="S506" s="51"/>
      <c r="T506" s="51"/>
    </row>
    <row r="507">
      <c r="A507" s="51"/>
      <c r="B507" s="51"/>
      <c r="C507" s="56"/>
      <c r="D507" s="51"/>
      <c r="E507" s="51"/>
      <c r="F507" s="51"/>
      <c r="G507" s="51" t="str">
        <f>IFERROR(__xludf.DUMMYFUNCTION("""COMPUTED_VALUE"""),"#VALUE!")</f>
        <v>#VALUE!</v>
      </c>
      <c r="H507" s="51" t="str">
        <f>IFERROR(__xludf.DUMMYFUNCTION("""COMPUTED_VALUE"""),"")</f>
        <v/>
      </c>
      <c r="I507" s="51" t="str">
        <f>IFERROR(__xludf.DUMMYFUNCTION("""COMPUTED_VALUE"""),"#VALUE!")</f>
        <v>#VALUE!</v>
      </c>
      <c r="J507" s="51" t="str">
        <f>IFERROR(__xludf.DUMMYFUNCTION("""COMPUTED_VALUE"""),"")</f>
        <v/>
      </c>
      <c r="K507" s="51"/>
      <c r="L507" s="51" t="s">
        <v>257</v>
      </c>
      <c r="M507" s="51"/>
      <c r="N507" s="51"/>
      <c r="O507" s="51"/>
      <c r="P507" s="51"/>
      <c r="Q507" s="51"/>
      <c r="R507" s="51"/>
      <c r="S507" s="51"/>
      <c r="T507" s="51"/>
    </row>
    <row r="508">
      <c r="A508" s="51"/>
      <c r="B508" s="51"/>
      <c r="C508" s="56"/>
      <c r="D508" s="51"/>
      <c r="E508" s="51"/>
      <c r="F508" s="51"/>
      <c r="G508" s="51" t="str">
        <f>IFERROR(__xludf.DUMMYFUNCTION("""COMPUTED_VALUE"""),"#VALUE!")</f>
        <v>#VALUE!</v>
      </c>
      <c r="H508" s="51" t="str">
        <f>IFERROR(__xludf.DUMMYFUNCTION("""COMPUTED_VALUE"""),"")</f>
        <v/>
      </c>
      <c r="I508" s="51" t="str">
        <f>IFERROR(__xludf.DUMMYFUNCTION("""COMPUTED_VALUE"""),"#VALUE!")</f>
        <v>#VALUE!</v>
      </c>
      <c r="J508" s="51" t="str">
        <f>IFERROR(__xludf.DUMMYFUNCTION("""COMPUTED_VALUE"""),"")</f>
        <v/>
      </c>
      <c r="K508" s="51"/>
      <c r="L508" s="51" t="s">
        <v>257</v>
      </c>
      <c r="M508" s="51"/>
      <c r="N508" s="51"/>
      <c r="O508" s="51"/>
      <c r="P508" s="51"/>
      <c r="Q508" s="51"/>
      <c r="R508" s="51"/>
      <c r="S508" s="51"/>
      <c r="T508" s="51"/>
    </row>
    <row r="509">
      <c r="A509" s="51"/>
      <c r="B509" s="51"/>
      <c r="C509" s="56"/>
      <c r="D509" s="51"/>
      <c r="E509" s="51"/>
      <c r="F509" s="51"/>
      <c r="G509" s="51" t="str">
        <f>IFERROR(__xludf.DUMMYFUNCTION("""COMPUTED_VALUE"""),"#VALUE!")</f>
        <v>#VALUE!</v>
      </c>
      <c r="H509" s="51" t="str">
        <f>IFERROR(__xludf.DUMMYFUNCTION("""COMPUTED_VALUE"""),"")</f>
        <v/>
      </c>
      <c r="I509" s="51" t="str">
        <f>IFERROR(__xludf.DUMMYFUNCTION("""COMPUTED_VALUE"""),"#VALUE!")</f>
        <v>#VALUE!</v>
      </c>
      <c r="J509" s="51" t="str">
        <f>IFERROR(__xludf.DUMMYFUNCTION("""COMPUTED_VALUE"""),"")</f>
        <v/>
      </c>
      <c r="K509" s="51"/>
      <c r="L509" s="51" t="s">
        <v>257</v>
      </c>
      <c r="M509" s="51"/>
      <c r="N509" s="51"/>
      <c r="O509" s="51"/>
      <c r="P509" s="51"/>
      <c r="Q509" s="51"/>
      <c r="R509" s="51"/>
      <c r="S509" s="51"/>
      <c r="T509" s="51"/>
    </row>
    <row r="510">
      <c r="A510" s="51"/>
      <c r="B510" s="51"/>
      <c r="C510" s="56"/>
      <c r="D510" s="51"/>
      <c r="E510" s="51"/>
      <c r="F510" s="51"/>
      <c r="G510" s="51" t="str">
        <f>IFERROR(__xludf.DUMMYFUNCTION("""COMPUTED_VALUE"""),"#VALUE!")</f>
        <v>#VALUE!</v>
      </c>
      <c r="H510" s="51" t="str">
        <f>IFERROR(__xludf.DUMMYFUNCTION("""COMPUTED_VALUE"""),"")</f>
        <v/>
      </c>
      <c r="I510" s="51" t="str">
        <f>IFERROR(__xludf.DUMMYFUNCTION("""COMPUTED_VALUE"""),"#VALUE!")</f>
        <v>#VALUE!</v>
      </c>
      <c r="J510" s="51" t="str">
        <f>IFERROR(__xludf.DUMMYFUNCTION("""COMPUTED_VALUE"""),"")</f>
        <v/>
      </c>
      <c r="K510" s="51"/>
      <c r="L510" s="51" t="s">
        <v>257</v>
      </c>
      <c r="M510" s="51"/>
      <c r="N510" s="51"/>
      <c r="O510" s="51"/>
      <c r="P510" s="51"/>
      <c r="Q510" s="51"/>
      <c r="R510" s="51"/>
      <c r="S510" s="51"/>
      <c r="T510" s="51"/>
    </row>
    <row r="511">
      <c r="A511" s="51"/>
      <c r="B511" s="51"/>
      <c r="C511" s="56"/>
      <c r="D511" s="51"/>
      <c r="E511" s="51"/>
      <c r="F511" s="51"/>
      <c r="G511" s="51" t="str">
        <f>IFERROR(__xludf.DUMMYFUNCTION("""COMPUTED_VALUE"""),"#VALUE!")</f>
        <v>#VALUE!</v>
      </c>
      <c r="H511" s="51" t="str">
        <f>IFERROR(__xludf.DUMMYFUNCTION("""COMPUTED_VALUE"""),"")</f>
        <v/>
      </c>
      <c r="I511" s="51" t="str">
        <f>IFERROR(__xludf.DUMMYFUNCTION("""COMPUTED_VALUE"""),"#VALUE!")</f>
        <v>#VALUE!</v>
      </c>
      <c r="J511" s="51" t="str">
        <f>IFERROR(__xludf.DUMMYFUNCTION("""COMPUTED_VALUE"""),"")</f>
        <v/>
      </c>
      <c r="K511" s="51"/>
      <c r="L511" s="51" t="s">
        <v>257</v>
      </c>
      <c r="M511" s="51"/>
      <c r="N511" s="51"/>
      <c r="O511" s="51"/>
      <c r="P511" s="51"/>
      <c r="Q511" s="51"/>
      <c r="R511" s="51"/>
      <c r="S511" s="51"/>
      <c r="T511" s="51"/>
    </row>
    <row r="512">
      <c r="A512" s="51"/>
      <c r="B512" s="51"/>
      <c r="C512" s="56"/>
      <c r="D512" s="51"/>
      <c r="E512" s="51"/>
      <c r="F512" s="51"/>
      <c r="G512" s="51" t="str">
        <f>IFERROR(__xludf.DUMMYFUNCTION("""COMPUTED_VALUE"""),"#VALUE!")</f>
        <v>#VALUE!</v>
      </c>
      <c r="H512" s="51" t="str">
        <f>IFERROR(__xludf.DUMMYFUNCTION("""COMPUTED_VALUE"""),"")</f>
        <v/>
      </c>
      <c r="I512" s="51" t="str">
        <f>IFERROR(__xludf.DUMMYFUNCTION("""COMPUTED_VALUE"""),"#VALUE!")</f>
        <v>#VALUE!</v>
      </c>
      <c r="J512" s="51" t="str">
        <f>IFERROR(__xludf.DUMMYFUNCTION("""COMPUTED_VALUE"""),"")</f>
        <v/>
      </c>
      <c r="K512" s="51"/>
      <c r="L512" s="51" t="s">
        <v>257</v>
      </c>
      <c r="M512" s="51"/>
      <c r="N512" s="51"/>
      <c r="O512" s="51"/>
      <c r="P512" s="51"/>
      <c r="Q512" s="51"/>
      <c r="R512" s="51"/>
      <c r="S512" s="51"/>
      <c r="T512" s="51"/>
    </row>
    <row r="513">
      <c r="A513" s="51"/>
      <c r="B513" s="51"/>
      <c r="C513" s="56"/>
      <c r="D513" s="51"/>
      <c r="E513" s="51"/>
      <c r="F513" s="51"/>
      <c r="G513" s="51" t="str">
        <f>IFERROR(__xludf.DUMMYFUNCTION("""COMPUTED_VALUE"""),"#VALUE!")</f>
        <v>#VALUE!</v>
      </c>
      <c r="H513" s="51" t="str">
        <f>IFERROR(__xludf.DUMMYFUNCTION("""COMPUTED_VALUE"""),"")</f>
        <v/>
      </c>
      <c r="I513" s="51" t="str">
        <f>IFERROR(__xludf.DUMMYFUNCTION("""COMPUTED_VALUE"""),"#VALUE!")</f>
        <v>#VALUE!</v>
      </c>
      <c r="J513" s="51" t="str">
        <f>IFERROR(__xludf.DUMMYFUNCTION("""COMPUTED_VALUE"""),"")</f>
        <v/>
      </c>
      <c r="K513" s="51"/>
      <c r="L513" s="51" t="s">
        <v>257</v>
      </c>
      <c r="M513" s="51"/>
      <c r="N513" s="51"/>
      <c r="O513" s="51"/>
      <c r="P513" s="51"/>
      <c r="Q513" s="51"/>
      <c r="R513" s="51"/>
      <c r="S513" s="51"/>
      <c r="T513" s="51"/>
    </row>
    <row r="514">
      <c r="A514" s="51"/>
      <c r="B514" s="51"/>
      <c r="C514" s="56"/>
      <c r="D514" s="51"/>
      <c r="E514" s="51"/>
      <c r="F514" s="51"/>
      <c r="G514" s="51" t="str">
        <f>IFERROR(__xludf.DUMMYFUNCTION("""COMPUTED_VALUE"""),"#VALUE!")</f>
        <v>#VALUE!</v>
      </c>
      <c r="H514" s="51" t="str">
        <f>IFERROR(__xludf.DUMMYFUNCTION("""COMPUTED_VALUE"""),"")</f>
        <v/>
      </c>
      <c r="I514" s="51" t="str">
        <f>IFERROR(__xludf.DUMMYFUNCTION("""COMPUTED_VALUE"""),"#VALUE!")</f>
        <v>#VALUE!</v>
      </c>
      <c r="J514" s="51" t="str">
        <f>IFERROR(__xludf.DUMMYFUNCTION("""COMPUTED_VALUE"""),"")</f>
        <v/>
      </c>
      <c r="K514" s="51"/>
      <c r="L514" s="51" t="s">
        <v>257</v>
      </c>
      <c r="M514" s="51"/>
      <c r="N514" s="51"/>
      <c r="O514" s="51"/>
      <c r="P514" s="51"/>
      <c r="Q514" s="51"/>
      <c r="R514" s="51"/>
      <c r="S514" s="51"/>
      <c r="T514" s="51"/>
    </row>
    <row r="515">
      <c r="A515" s="51"/>
      <c r="B515" s="51"/>
      <c r="C515" s="56"/>
      <c r="D515" s="51"/>
      <c r="E515" s="51"/>
      <c r="F515" s="51"/>
      <c r="G515" s="51" t="str">
        <f>IFERROR(__xludf.DUMMYFUNCTION("""COMPUTED_VALUE"""),"#VALUE!")</f>
        <v>#VALUE!</v>
      </c>
      <c r="H515" s="51" t="str">
        <f>IFERROR(__xludf.DUMMYFUNCTION("""COMPUTED_VALUE"""),"")</f>
        <v/>
      </c>
      <c r="I515" s="51" t="str">
        <f>IFERROR(__xludf.DUMMYFUNCTION("""COMPUTED_VALUE"""),"#VALUE!")</f>
        <v>#VALUE!</v>
      </c>
      <c r="J515" s="51" t="str">
        <f>IFERROR(__xludf.DUMMYFUNCTION("""COMPUTED_VALUE"""),"")</f>
        <v/>
      </c>
      <c r="K515" s="51"/>
      <c r="L515" s="51" t="s">
        <v>257</v>
      </c>
      <c r="M515" s="51"/>
      <c r="N515" s="51"/>
      <c r="O515" s="51"/>
      <c r="P515" s="51"/>
      <c r="Q515" s="51"/>
      <c r="R515" s="51"/>
      <c r="S515" s="51"/>
      <c r="T515" s="51"/>
    </row>
    <row r="516">
      <c r="A516" s="51"/>
      <c r="B516" s="51"/>
      <c r="C516" s="56"/>
      <c r="D516" s="51"/>
      <c r="E516" s="51"/>
      <c r="F516" s="51"/>
      <c r="G516" s="51" t="str">
        <f>IFERROR(__xludf.DUMMYFUNCTION("""COMPUTED_VALUE"""),"#VALUE!")</f>
        <v>#VALUE!</v>
      </c>
      <c r="H516" s="51" t="str">
        <f>IFERROR(__xludf.DUMMYFUNCTION("""COMPUTED_VALUE"""),"")</f>
        <v/>
      </c>
      <c r="I516" s="51" t="str">
        <f>IFERROR(__xludf.DUMMYFUNCTION("""COMPUTED_VALUE"""),"#VALUE!")</f>
        <v>#VALUE!</v>
      </c>
      <c r="J516" s="51" t="str">
        <f>IFERROR(__xludf.DUMMYFUNCTION("""COMPUTED_VALUE"""),"")</f>
        <v/>
      </c>
      <c r="K516" s="51"/>
      <c r="L516" s="51" t="s">
        <v>257</v>
      </c>
      <c r="M516" s="51"/>
      <c r="N516" s="51"/>
      <c r="O516" s="51"/>
      <c r="P516" s="51"/>
      <c r="Q516" s="51"/>
      <c r="R516" s="51"/>
      <c r="S516" s="51"/>
      <c r="T516" s="51"/>
    </row>
    <row r="517">
      <c r="A517" s="51"/>
      <c r="B517" s="51"/>
      <c r="C517" s="56"/>
      <c r="D517" s="51"/>
      <c r="E517" s="51"/>
      <c r="F517" s="51"/>
      <c r="G517" s="51" t="str">
        <f>IFERROR(__xludf.DUMMYFUNCTION("""COMPUTED_VALUE"""),"#VALUE!")</f>
        <v>#VALUE!</v>
      </c>
      <c r="H517" s="51" t="str">
        <f>IFERROR(__xludf.DUMMYFUNCTION("""COMPUTED_VALUE"""),"")</f>
        <v/>
      </c>
      <c r="I517" s="51" t="str">
        <f>IFERROR(__xludf.DUMMYFUNCTION("""COMPUTED_VALUE"""),"#VALUE!")</f>
        <v>#VALUE!</v>
      </c>
      <c r="J517" s="51" t="str">
        <f>IFERROR(__xludf.DUMMYFUNCTION("""COMPUTED_VALUE"""),"")</f>
        <v/>
      </c>
      <c r="K517" s="51"/>
      <c r="L517" s="51" t="s">
        <v>257</v>
      </c>
      <c r="M517" s="51"/>
      <c r="N517" s="51"/>
      <c r="O517" s="51"/>
      <c r="P517" s="51"/>
      <c r="Q517" s="51"/>
      <c r="R517" s="51"/>
      <c r="S517" s="51"/>
      <c r="T517" s="51"/>
    </row>
    <row r="518">
      <c r="A518" s="51"/>
      <c r="B518" s="51"/>
      <c r="C518" s="56"/>
      <c r="D518" s="51"/>
      <c r="E518" s="51"/>
      <c r="F518" s="51"/>
      <c r="G518" s="51" t="str">
        <f>IFERROR(__xludf.DUMMYFUNCTION("""COMPUTED_VALUE"""),"#VALUE!")</f>
        <v>#VALUE!</v>
      </c>
      <c r="H518" s="51" t="str">
        <f>IFERROR(__xludf.DUMMYFUNCTION("""COMPUTED_VALUE"""),"")</f>
        <v/>
      </c>
      <c r="I518" s="51" t="str">
        <f>IFERROR(__xludf.DUMMYFUNCTION("""COMPUTED_VALUE"""),"#VALUE!")</f>
        <v>#VALUE!</v>
      </c>
      <c r="J518" s="51" t="str">
        <f>IFERROR(__xludf.DUMMYFUNCTION("""COMPUTED_VALUE"""),"")</f>
        <v/>
      </c>
      <c r="K518" s="51"/>
      <c r="L518" s="51" t="s">
        <v>257</v>
      </c>
      <c r="M518" s="51"/>
      <c r="N518" s="51"/>
      <c r="O518" s="51"/>
      <c r="P518" s="51"/>
      <c r="Q518" s="51"/>
      <c r="R518" s="51"/>
      <c r="S518" s="51"/>
      <c r="T518" s="51"/>
    </row>
    <row r="519">
      <c r="A519" s="51"/>
      <c r="B519" s="51"/>
      <c r="C519" s="56"/>
      <c r="D519" s="51"/>
      <c r="E519" s="51"/>
      <c r="F519" s="51"/>
      <c r="G519" s="51" t="str">
        <f>IFERROR(__xludf.DUMMYFUNCTION("""COMPUTED_VALUE"""),"#VALUE!")</f>
        <v>#VALUE!</v>
      </c>
      <c r="H519" s="51" t="str">
        <f>IFERROR(__xludf.DUMMYFUNCTION("""COMPUTED_VALUE"""),"")</f>
        <v/>
      </c>
      <c r="I519" s="51" t="str">
        <f>IFERROR(__xludf.DUMMYFUNCTION("""COMPUTED_VALUE"""),"#VALUE!")</f>
        <v>#VALUE!</v>
      </c>
      <c r="J519" s="51" t="str">
        <f>IFERROR(__xludf.DUMMYFUNCTION("""COMPUTED_VALUE"""),"")</f>
        <v/>
      </c>
      <c r="K519" s="51"/>
      <c r="L519" s="51" t="s">
        <v>257</v>
      </c>
      <c r="M519" s="51"/>
      <c r="N519" s="51"/>
      <c r="O519" s="51"/>
      <c r="P519" s="51"/>
      <c r="Q519" s="51"/>
      <c r="R519" s="51"/>
      <c r="S519" s="51"/>
      <c r="T519" s="51"/>
    </row>
    <row r="520">
      <c r="A520" s="51"/>
      <c r="B520" s="51"/>
      <c r="C520" s="56"/>
      <c r="D520" s="51"/>
      <c r="E520" s="51"/>
      <c r="F520" s="51"/>
      <c r="G520" s="51" t="str">
        <f>IFERROR(__xludf.DUMMYFUNCTION("""COMPUTED_VALUE"""),"#VALUE!")</f>
        <v>#VALUE!</v>
      </c>
      <c r="H520" s="51" t="str">
        <f>IFERROR(__xludf.DUMMYFUNCTION("""COMPUTED_VALUE"""),"")</f>
        <v/>
      </c>
      <c r="I520" s="51" t="str">
        <f>IFERROR(__xludf.DUMMYFUNCTION("""COMPUTED_VALUE"""),"#VALUE!")</f>
        <v>#VALUE!</v>
      </c>
      <c r="J520" s="51" t="str">
        <f>IFERROR(__xludf.DUMMYFUNCTION("""COMPUTED_VALUE"""),"")</f>
        <v/>
      </c>
      <c r="K520" s="51"/>
      <c r="L520" s="51" t="s">
        <v>257</v>
      </c>
      <c r="M520" s="51"/>
      <c r="N520" s="51"/>
      <c r="O520" s="51"/>
      <c r="P520" s="51"/>
      <c r="Q520" s="51"/>
      <c r="R520" s="51"/>
      <c r="S520" s="51"/>
      <c r="T520" s="51"/>
    </row>
    <row r="521">
      <c r="A521" s="51"/>
      <c r="B521" s="51"/>
      <c r="C521" s="56"/>
      <c r="D521" s="51"/>
      <c r="E521" s="51"/>
      <c r="F521" s="51"/>
      <c r="G521" s="51" t="str">
        <f>IFERROR(__xludf.DUMMYFUNCTION("""COMPUTED_VALUE"""),"#VALUE!")</f>
        <v>#VALUE!</v>
      </c>
      <c r="H521" s="51" t="str">
        <f>IFERROR(__xludf.DUMMYFUNCTION("""COMPUTED_VALUE"""),"")</f>
        <v/>
      </c>
      <c r="I521" s="51" t="str">
        <f>IFERROR(__xludf.DUMMYFUNCTION("""COMPUTED_VALUE"""),"#VALUE!")</f>
        <v>#VALUE!</v>
      </c>
      <c r="J521" s="51" t="str">
        <f>IFERROR(__xludf.DUMMYFUNCTION("""COMPUTED_VALUE"""),"")</f>
        <v/>
      </c>
      <c r="K521" s="51"/>
      <c r="L521" s="51" t="s">
        <v>257</v>
      </c>
      <c r="M521" s="51"/>
      <c r="N521" s="51"/>
      <c r="O521" s="51"/>
      <c r="P521" s="51"/>
      <c r="Q521" s="51"/>
      <c r="R521" s="51"/>
      <c r="S521" s="51"/>
      <c r="T521" s="51"/>
    </row>
  </sheetData>
  <conditionalFormatting sqref="O2:O15">
    <cfRule type="containsText" dxfId="4" priority="1" operator="containsText" text="YES">
      <formula>NOT(ISERROR(SEARCH(("YES"),(O2))))</formula>
    </cfRule>
  </conditionalFormatting>
  <conditionalFormatting sqref="O2:O15">
    <cfRule type="cellIs" dxfId="5" priority="2" operator="equal">
      <formula>"NO"</formula>
    </cfRule>
  </conditionalFormatting>
  <conditionalFormatting sqref="P2:P15">
    <cfRule type="cellIs" dxfId="4" priority="3" operator="equal">
      <formula>"AVAILABLE"</formula>
    </cfRule>
  </conditionalFormatting>
  <conditionalFormatting sqref="P2:P15">
    <cfRule type="cellIs" dxfId="5" priority="4" operator="equal">
      <formula>"NOT AVAILABLE"</formula>
    </cfRule>
  </conditionalFormatting>
  <conditionalFormatting sqref="Q2:Q15">
    <cfRule type="cellIs" dxfId="4" priority="5" operator="equal">
      <formula>"AVAILABLE"</formula>
    </cfRule>
  </conditionalFormatting>
  <conditionalFormatting sqref="Q2:Q15">
    <cfRule type="cellIs" dxfId="6" priority="6" operator="equal">
      <formula>"UPLOADING"</formula>
    </cfRule>
  </conditionalFormatting>
  <conditionalFormatting sqref="Q2:Q15">
    <cfRule type="cellIs" dxfId="5" priority="7" operator="equal">
      <formula>"NOT AVAILABLE"</formula>
    </cfRule>
  </conditionalFormatting>
  <dataValidations>
    <dataValidation type="list" allowBlank="1" sqref="O2:O15">
      <formula1>"YES,NO"</formula1>
    </dataValidation>
    <dataValidation type="list" allowBlank="1" sqref="P2:P15">
      <formula1>"AVAILABLE,NOT AVAILABLE"</formula1>
    </dataValidation>
    <dataValidation type="list" allowBlank="1" sqref="Q2:Q15">
      <formula1>"AVAILABLE,UPLOADING,NOT AVAILABLE"</formula1>
    </dataValidation>
  </dataValidations>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14"/>
    <col customWidth="1" min="3" max="3" width="23.14"/>
    <col hidden="1" min="4" max="5" width="14.43"/>
    <col customWidth="1" min="6" max="6" width="38.71"/>
    <col hidden="1" min="9" max="9" width="14.43"/>
    <col customWidth="1" min="14" max="14" width="32.71"/>
  </cols>
  <sheetData>
    <row r="1">
      <c r="A1" s="46" t="s">
        <v>79</v>
      </c>
      <c r="B1" s="46" t="s">
        <v>80</v>
      </c>
      <c r="C1" s="48" t="s">
        <v>81</v>
      </c>
      <c r="D1" s="46" t="s">
        <v>82</v>
      </c>
      <c r="E1" s="46" t="s">
        <v>83</v>
      </c>
      <c r="F1" s="46" t="s">
        <v>84</v>
      </c>
      <c r="G1" s="46" t="s">
        <v>85</v>
      </c>
      <c r="H1" s="46" t="s">
        <v>86</v>
      </c>
      <c r="I1" s="46" t="s">
        <v>87</v>
      </c>
      <c r="J1" s="46" t="s">
        <v>88</v>
      </c>
      <c r="K1" s="46" t="s">
        <v>89</v>
      </c>
      <c r="L1" s="46" t="s">
        <v>90</v>
      </c>
      <c r="M1" s="46" t="s">
        <v>91</v>
      </c>
      <c r="N1" s="46" t="s">
        <v>92</v>
      </c>
      <c r="O1" s="50" t="s">
        <v>93</v>
      </c>
      <c r="P1" s="50" t="s">
        <v>94</v>
      </c>
      <c r="Q1" s="50" t="s">
        <v>95</v>
      </c>
      <c r="R1" s="51"/>
      <c r="S1" s="51"/>
      <c r="T1" s="51"/>
    </row>
    <row r="2">
      <c r="A2" s="54" t="str">
        <f>IFERROR(__xludf.DUMMYFUNCTION("QUERY(Master!A:H,""SELECT A,C,D,F,G,H where C = 'binate.io' ORDER BY F"")"),"Opening remarks")</f>
        <v>Opening remarks</v>
      </c>
      <c r="B2" s="69" t="str">
        <f>IFERROR(__xludf.DUMMYFUNCTION("""COMPUTED_VALUE"""),"binate.io")</f>
        <v>binate.io</v>
      </c>
      <c r="C2" s="56" t="str">
        <f>IFERROR(__xludf.DUMMYFUNCTION("""COMPUTED_VALUE"""),"Bas Wouterse")</f>
        <v>Bas Wouterse</v>
      </c>
      <c r="D2" s="51" t="str">
        <f>IFERROR(__xludf.DUMMYFUNCTION("""COMPUTED_VALUE"""),"2019/11/06 11:00:00")</f>
        <v>2019/11/06 11:00:00</v>
      </c>
      <c r="E2" s="51" t="str">
        <f>IFERROR(__xludf.DUMMYFUNCTION("""COMPUTED_VALUE"""),"2019/11/06 11:15:00")</f>
        <v>2019/11/06 11:15:00</v>
      </c>
      <c r="F2" s="51" t="str">
        <f>IFERROR(__xludf.DUMMYFUNCTION("""COMPUTED_VALUE"""),"0fa3111e-e336-4a86-a21c-8574cecc1ab4")</f>
        <v>0fa3111e-e336-4a86-a21c-8574cecc1ab4</v>
      </c>
      <c r="G2" s="61">
        <f>IFERROR(__xludf.DUMMYFUNCTION("ARRAYFORMULA(SPLIT(D2:D517,"" ""))"),43775.0)</f>
        <v>43775</v>
      </c>
      <c r="H2" s="60">
        <f>IFERROR(__xludf.DUMMYFUNCTION("""COMPUTED_VALUE"""),0.4583333333333333)</f>
        <v>0.4583333333</v>
      </c>
      <c r="I2" s="61">
        <f>IFERROR(__xludf.DUMMYFUNCTION("ARRAYFORMULA(SPLIT(E2:E517,"" ""))"),43775.0)</f>
        <v>43775</v>
      </c>
      <c r="J2" s="60">
        <f>IFERROR(__xludf.DUMMYFUNCTION("""COMPUTED_VALUE"""),0.46875)</f>
        <v>0.46875</v>
      </c>
      <c r="K2" s="60">
        <f t="shared" ref="K2:K16" si="1">J2-H2</f>
        <v>0.01041666667</v>
      </c>
      <c r="L2" s="54" t="str">
        <f t="array" ref="L2:L517">TEXT(K2:K517,"hhmmss")</f>
        <v>001500</v>
      </c>
      <c r="M2" s="62" t="s">
        <v>342</v>
      </c>
      <c r="N2" s="75" t="str">
        <f t="shared" ref="N2:N14" si="2">CONCATENATE(M2,"_",F2,"_","000000_000000.mp4")</f>
        <v>BI_4_1_0fa3111e-e336-4a86-a21c-8574cecc1ab4_000000_000000.mp4</v>
      </c>
      <c r="O2" s="50"/>
      <c r="P2" s="50"/>
      <c r="Q2" s="63"/>
      <c r="R2" s="51"/>
      <c r="S2" s="51"/>
      <c r="T2" s="51"/>
    </row>
    <row r="3">
      <c r="A3" s="51" t="str">
        <f>IFERROR(__xludf.DUMMYFUNCTION("""COMPUTED_VALUE"""),"From the underdog to the top dog")</f>
        <v>From the underdog to the top dog</v>
      </c>
      <c r="B3" s="69" t="str">
        <f>IFERROR(__xludf.DUMMYFUNCTION("""COMPUTED_VALUE"""),"binate.io")</f>
        <v>binate.io</v>
      </c>
      <c r="C3" s="56" t="str">
        <f>IFERROR(__xludf.DUMMYFUNCTION("""COMPUTED_VALUE"""),"Olivier Pomel and Shardul Shah")</f>
        <v>Olivier Pomel and Shardul Shah</v>
      </c>
      <c r="D3" s="51" t="str">
        <f>IFERROR(__xludf.DUMMYFUNCTION("""COMPUTED_VALUE"""),"2019/11/06 11:15:00")</f>
        <v>2019/11/06 11:15:00</v>
      </c>
      <c r="E3" s="51" t="str">
        <f>IFERROR(__xludf.DUMMYFUNCTION("""COMPUTED_VALUE"""),"2019/11/06 11:40:00")</f>
        <v>2019/11/06 11:40:00</v>
      </c>
      <c r="F3" s="51" t="str">
        <f>IFERROR(__xludf.DUMMYFUNCTION("""COMPUTED_VALUE"""),"3974faaa-ed12-41bb-b79a-d134ab9edfd7")</f>
        <v>3974faaa-ed12-41bb-b79a-d134ab9edfd7</v>
      </c>
      <c r="G3" s="58">
        <f>IFERROR(__xludf.DUMMYFUNCTION("""COMPUTED_VALUE"""),43775.0)</f>
        <v>43775</v>
      </c>
      <c r="H3" s="60">
        <f>IFERROR(__xludf.DUMMYFUNCTION("""COMPUTED_VALUE"""),0.46875)</f>
        <v>0.46875</v>
      </c>
      <c r="I3" s="58">
        <f>IFERROR(__xludf.DUMMYFUNCTION("""COMPUTED_VALUE"""),43775.0)</f>
        <v>43775</v>
      </c>
      <c r="J3" s="60">
        <f>IFERROR(__xludf.DUMMYFUNCTION("""COMPUTED_VALUE"""),0.4861111111111111)</f>
        <v>0.4861111111</v>
      </c>
      <c r="K3" s="60">
        <f t="shared" si="1"/>
        <v>0.01736111111</v>
      </c>
      <c r="L3" s="51" t="s">
        <v>107</v>
      </c>
      <c r="M3" s="62" t="s">
        <v>345</v>
      </c>
      <c r="N3" s="75" t="str">
        <f t="shared" si="2"/>
        <v>BI_4_2_3974faaa-ed12-41bb-b79a-d134ab9edfd7_000000_000000.mp4</v>
      </c>
      <c r="O3" s="50"/>
      <c r="P3" s="50"/>
      <c r="Q3" s="63"/>
      <c r="R3" s="51"/>
      <c r="S3" s="51"/>
      <c r="T3" s="51"/>
    </row>
    <row r="4">
      <c r="A4" s="51" t="str">
        <f>IFERROR(__xludf.DUMMYFUNCTION("""COMPUTED_VALUE"""),"Big data = big gains?")</f>
        <v>Big data = big gains?</v>
      </c>
      <c r="B4" s="69" t="str">
        <f>IFERROR(__xludf.DUMMYFUNCTION("""COMPUTED_VALUE"""),"binate.io")</f>
        <v>binate.io</v>
      </c>
      <c r="C4" s="56" t="str">
        <f>IFERROR(__xludf.DUMMYFUNCTION("""COMPUTED_VALUE"""),"Ilan Twig, Winnie Lee, Karthic Bala, Lori Fink and Rani Molla")</f>
        <v>Ilan Twig, Winnie Lee, Karthic Bala, Lori Fink and Rani Molla</v>
      </c>
      <c r="D4" s="51" t="str">
        <f>IFERROR(__xludf.DUMMYFUNCTION("""COMPUTED_VALUE"""),"2019/11/06 11:40:00")</f>
        <v>2019/11/06 11:40:00</v>
      </c>
      <c r="E4" s="51" t="str">
        <f>IFERROR(__xludf.DUMMYFUNCTION("""COMPUTED_VALUE"""),"2019/11/06 12:05:00")</f>
        <v>2019/11/06 12:05:00</v>
      </c>
      <c r="F4" s="51" t="str">
        <f>IFERROR(__xludf.DUMMYFUNCTION("""COMPUTED_VALUE"""),"94cb956d-fb44-48da-be1a-c1d81057c018")</f>
        <v>94cb956d-fb44-48da-be1a-c1d81057c018</v>
      </c>
      <c r="G4" s="58">
        <f>IFERROR(__xludf.DUMMYFUNCTION("""COMPUTED_VALUE"""),43775.0)</f>
        <v>43775</v>
      </c>
      <c r="H4" s="60">
        <f>IFERROR(__xludf.DUMMYFUNCTION("""COMPUTED_VALUE"""),0.4861111111111111)</f>
        <v>0.4861111111</v>
      </c>
      <c r="I4" s="58">
        <f>IFERROR(__xludf.DUMMYFUNCTION("""COMPUTED_VALUE"""),43775.0)</f>
        <v>43775</v>
      </c>
      <c r="J4" s="60">
        <f>IFERROR(__xludf.DUMMYFUNCTION("""COMPUTED_VALUE"""),0.5034722222222222)</f>
        <v>0.5034722222</v>
      </c>
      <c r="K4" s="60">
        <f t="shared" si="1"/>
        <v>0.01736111111</v>
      </c>
      <c r="L4" s="51" t="s">
        <v>107</v>
      </c>
      <c r="M4" s="62" t="s">
        <v>348</v>
      </c>
      <c r="N4" s="75" t="str">
        <f t="shared" si="2"/>
        <v>BI_4_3_94cb956d-fb44-48da-be1a-c1d81057c018_000000_000000.mp4</v>
      </c>
      <c r="O4" s="50"/>
      <c r="P4" s="50"/>
      <c r="Q4" s="63"/>
      <c r="R4" s="51"/>
      <c r="S4" s="51"/>
      <c r="T4" s="51"/>
    </row>
    <row r="5">
      <c r="A5" s="51" t="str">
        <f>IFERROR(__xludf.DUMMYFUNCTION("""COMPUTED_VALUE"""),"How AI has opened up the world of data")</f>
        <v>How AI has opened up the world of data</v>
      </c>
      <c r="B5" s="69" t="str">
        <f>IFERROR(__xludf.DUMMYFUNCTION("""COMPUTED_VALUE"""),"binate.io")</f>
        <v>binate.io</v>
      </c>
      <c r="C5" s="56" t="str">
        <f>IFERROR(__xludf.DUMMYFUNCTION("""COMPUTED_VALUE"""),"Sudheesh Nair")</f>
        <v>Sudheesh Nair</v>
      </c>
      <c r="D5" s="51" t="str">
        <f>IFERROR(__xludf.DUMMYFUNCTION("""COMPUTED_VALUE"""),"2019/11/06 12:05:00")</f>
        <v>2019/11/06 12:05:00</v>
      </c>
      <c r="E5" s="51" t="str">
        <f>IFERROR(__xludf.DUMMYFUNCTION("""COMPUTED_VALUE"""),"2019/11/06 12:25:00")</f>
        <v>2019/11/06 12:25:00</v>
      </c>
      <c r="F5" s="51" t="str">
        <f>IFERROR(__xludf.DUMMYFUNCTION("""COMPUTED_VALUE"""),"582f0ad8-e334-4559-916d-7039f21ac2e6")</f>
        <v>582f0ad8-e334-4559-916d-7039f21ac2e6</v>
      </c>
      <c r="G5" s="58">
        <f>IFERROR(__xludf.DUMMYFUNCTION("""COMPUTED_VALUE"""),43775.0)</f>
        <v>43775</v>
      </c>
      <c r="H5" s="60">
        <f>IFERROR(__xludf.DUMMYFUNCTION("""COMPUTED_VALUE"""),0.5034722222222222)</f>
        <v>0.5034722222</v>
      </c>
      <c r="I5" s="58">
        <f>IFERROR(__xludf.DUMMYFUNCTION("""COMPUTED_VALUE"""),43775.0)</f>
        <v>43775</v>
      </c>
      <c r="J5" s="60">
        <f>IFERROR(__xludf.DUMMYFUNCTION("""COMPUTED_VALUE"""),0.5173611111111112)</f>
        <v>0.5173611111</v>
      </c>
      <c r="K5" s="60">
        <f t="shared" si="1"/>
        <v>0.01388888889</v>
      </c>
      <c r="L5" s="51" t="s">
        <v>111</v>
      </c>
      <c r="M5" s="62" t="s">
        <v>351</v>
      </c>
      <c r="N5" s="75" t="str">
        <f t="shared" si="2"/>
        <v>BI_4_4_582f0ad8-e334-4559-916d-7039f21ac2e6_000000_000000.mp4</v>
      </c>
      <c r="O5" s="50"/>
      <c r="P5" s="50"/>
      <c r="Q5" s="63"/>
      <c r="R5" s="51"/>
      <c r="S5" s="51"/>
      <c r="T5" s="51"/>
    </row>
    <row r="6">
      <c r="A6" s="51" t="str">
        <f>IFERROR(__xludf.DUMMYFUNCTION("""COMPUTED_VALUE"""),"Why digitalisation requires new ways for cybersecurity")</f>
        <v>Why digitalisation requires new ways for cybersecurity</v>
      </c>
      <c r="B6" s="69" t="str">
        <f>IFERROR(__xludf.DUMMYFUNCTION("""COMPUTED_VALUE"""),"binate.io")</f>
        <v>binate.io</v>
      </c>
      <c r="C6" s="56" t="str">
        <f>IFERROR(__xludf.DUMMYFUNCTION("""COMPUTED_VALUE"""),"Natalia Oropeza")</f>
        <v>Natalia Oropeza</v>
      </c>
      <c r="D6" s="51" t="str">
        <f>IFERROR(__xludf.DUMMYFUNCTION("""COMPUTED_VALUE"""),"2019/11/06 12:25:00")</f>
        <v>2019/11/06 12:25:00</v>
      </c>
      <c r="E6" s="51" t="str">
        <f>IFERROR(__xludf.DUMMYFUNCTION("""COMPUTED_VALUE"""),"2019/11/06 12:45:00")</f>
        <v>2019/11/06 12:45:00</v>
      </c>
      <c r="F6" s="51" t="str">
        <f>IFERROR(__xludf.DUMMYFUNCTION("""COMPUTED_VALUE"""),"b2a9c498-e4f1-49a0-a2f6-c6da5d3a2240")</f>
        <v>b2a9c498-e4f1-49a0-a2f6-c6da5d3a2240</v>
      </c>
      <c r="G6" s="58">
        <f>IFERROR(__xludf.DUMMYFUNCTION("""COMPUTED_VALUE"""),43775.0)</f>
        <v>43775</v>
      </c>
      <c r="H6" s="60">
        <f>IFERROR(__xludf.DUMMYFUNCTION("""COMPUTED_VALUE"""),0.5173611111111112)</f>
        <v>0.5173611111</v>
      </c>
      <c r="I6" s="58">
        <f>IFERROR(__xludf.DUMMYFUNCTION("""COMPUTED_VALUE"""),43775.0)</f>
        <v>43775</v>
      </c>
      <c r="J6" s="60">
        <f>IFERROR(__xludf.DUMMYFUNCTION("""COMPUTED_VALUE"""),0.53125)</f>
        <v>0.53125</v>
      </c>
      <c r="K6" s="60">
        <f t="shared" si="1"/>
        <v>0.01388888889</v>
      </c>
      <c r="L6" s="51" t="s">
        <v>111</v>
      </c>
      <c r="M6" s="62" t="s">
        <v>353</v>
      </c>
      <c r="N6" s="75" t="str">
        <f t="shared" si="2"/>
        <v>BI_4_5_b2a9c498-e4f1-49a0-a2f6-c6da5d3a2240_000000_000000.mp4</v>
      </c>
      <c r="O6" s="50"/>
      <c r="P6" s="50"/>
      <c r="Q6" s="63"/>
      <c r="R6" s="51"/>
      <c r="S6" s="51"/>
      <c r="T6" s="51"/>
    </row>
    <row r="7">
      <c r="A7" s="51" t="str">
        <f>IFERROR(__xludf.DUMMYFUNCTION("""COMPUTED_VALUE"""),"To boldly hack where no one has hacked before")</f>
        <v>To boldly hack where no one has hacked before</v>
      </c>
      <c r="B7" s="69" t="str">
        <f>IFERROR(__xludf.DUMMYFUNCTION("""COMPUTED_VALUE"""),"binate.io")</f>
        <v>binate.io</v>
      </c>
      <c r="C7" s="56" t="str">
        <f>IFERROR(__xludf.DUMMYFUNCTION("""COMPUTED_VALUE"""),"Eduardo Cabrera")</f>
        <v>Eduardo Cabrera</v>
      </c>
      <c r="D7" s="51" t="str">
        <f>IFERROR(__xludf.DUMMYFUNCTION("""COMPUTED_VALUE"""),"2019/11/06 12:45:00")</f>
        <v>2019/11/06 12:45:00</v>
      </c>
      <c r="E7" s="51" t="str">
        <f>IFERROR(__xludf.DUMMYFUNCTION("""COMPUTED_VALUE"""),"2019/11/06 13:05:00")</f>
        <v>2019/11/06 13:05:00</v>
      </c>
      <c r="F7" s="51" t="str">
        <f>IFERROR(__xludf.DUMMYFUNCTION("""COMPUTED_VALUE"""),"9ee604b7-e376-4226-8b7b-a5ddf0cafc4d")</f>
        <v>9ee604b7-e376-4226-8b7b-a5ddf0cafc4d</v>
      </c>
      <c r="G7" s="58">
        <f>IFERROR(__xludf.DUMMYFUNCTION("""COMPUTED_VALUE"""),43775.0)</f>
        <v>43775</v>
      </c>
      <c r="H7" s="60">
        <f>IFERROR(__xludf.DUMMYFUNCTION("""COMPUTED_VALUE"""),0.53125)</f>
        <v>0.53125</v>
      </c>
      <c r="I7" s="58">
        <f>IFERROR(__xludf.DUMMYFUNCTION("""COMPUTED_VALUE"""),43775.0)</f>
        <v>43775</v>
      </c>
      <c r="J7" s="60">
        <f>IFERROR(__xludf.DUMMYFUNCTION("""COMPUTED_VALUE"""),0.5451388888888888)</f>
        <v>0.5451388889</v>
      </c>
      <c r="K7" s="60">
        <f t="shared" si="1"/>
        <v>0.01388888889</v>
      </c>
      <c r="L7" s="51" t="s">
        <v>111</v>
      </c>
      <c r="M7" s="62" t="s">
        <v>356</v>
      </c>
      <c r="N7" s="75" t="str">
        <f t="shared" si="2"/>
        <v>BI_4_6_9ee604b7-e376-4226-8b7b-a5ddf0cafc4d_000000_000000.mp4</v>
      </c>
      <c r="O7" s="50"/>
      <c r="P7" s="50"/>
      <c r="Q7" s="63"/>
      <c r="R7" s="51"/>
      <c r="S7" s="51"/>
      <c r="T7" s="51"/>
    </row>
    <row r="8">
      <c r="A8" s="51" t="str">
        <f>IFERROR(__xludf.DUMMYFUNCTION("""COMPUTED_VALUE"""),"Lunch break")</f>
        <v>Lunch break</v>
      </c>
      <c r="B8" s="69" t="str">
        <f>IFERROR(__xludf.DUMMYFUNCTION("""COMPUTED_VALUE"""),"binate.io")</f>
        <v>binate.io</v>
      </c>
      <c r="C8" s="56" t="str">
        <f>IFERROR(__xludf.DUMMYFUNCTION("""COMPUTED_VALUE"""),"")</f>
        <v/>
      </c>
      <c r="D8" s="51" t="str">
        <f>IFERROR(__xludf.DUMMYFUNCTION("""COMPUTED_VALUE"""),"2019/11/06 13:05:00")</f>
        <v>2019/11/06 13:05:00</v>
      </c>
      <c r="E8" s="51" t="str">
        <f>IFERROR(__xludf.DUMMYFUNCTION("""COMPUTED_VALUE"""),"2019/11/06 13:50:00")</f>
        <v>2019/11/06 13:50:00</v>
      </c>
      <c r="F8" s="51" t="str">
        <f>IFERROR(__xludf.DUMMYFUNCTION("""COMPUTED_VALUE"""),"da4fc303-cfe8-4656-83f6-cbd1d333596d")</f>
        <v>da4fc303-cfe8-4656-83f6-cbd1d333596d</v>
      </c>
      <c r="G8" s="58">
        <f>IFERROR(__xludf.DUMMYFUNCTION("""COMPUTED_VALUE"""),43775.0)</f>
        <v>43775</v>
      </c>
      <c r="H8" s="60">
        <f>IFERROR(__xludf.DUMMYFUNCTION("""COMPUTED_VALUE"""),0.5451388888888888)</f>
        <v>0.5451388889</v>
      </c>
      <c r="I8" s="58">
        <f>IFERROR(__xludf.DUMMYFUNCTION("""COMPUTED_VALUE"""),43775.0)</f>
        <v>43775</v>
      </c>
      <c r="J8" s="60">
        <f>IFERROR(__xludf.DUMMYFUNCTION("""COMPUTED_VALUE"""),0.5763888888888888)</f>
        <v>0.5763888889</v>
      </c>
      <c r="K8" s="60">
        <f t="shared" si="1"/>
        <v>0.03125</v>
      </c>
      <c r="L8" s="51" t="s">
        <v>131</v>
      </c>
      <c r="M8" s="62" t="s">
        <v>359</v>
      </c>
      <c r="N8" s="75" t="str">
        <f t="shared" si="2"/>
        <v>BI_4_7_da4fc303-cfe8-4656-83f6-cbd1d333596d_000000_000000.mp4</v>
      </c>
      <c r="O8" s="50"/>
      <c r="P8" s="50"/>
      <c r="Q8" s="63"/>
      <c r="R8" s="51"/>
      <c r="S8" s="51"/>
      <c r="T8" s="51"/>
    </row>
    <row r="9">
      <c r="A9" s="51" t="str">
        <f>IFERROR(__xludf.DUMMYFUNCTION("""COMPUTED_VALUE"""),"Opening remarks")</f>
        <v>Opening remarks</v>
      </c>
      <c r="B9" s="69" t="str">
        <f>IFERROR(__xludf.DUMMYFUNCTION("""COMPUTED_VALUE"""),"binate.io")</f>
        <v>binate.io</v>
      </c>
      <c r="C9" s="56" t="str">
        <f>IFERROR(__xludf.DUMMYFUNCTION("""COMPUTED_VALUE"""),"Josh Holmes")</f>
        <v>Josh Holmes</v>
      </c>
      <c r="D9" s="51" t="str">
        <f>IFERROR(__xludf.DUMMYFUNCTION("""COMPUTED_VALUE"""),"2019/11/06 13:50:00")</f>
        <v>2019/11/06 13:50:00</v>
      </c>
      <c r="E9" s="51" t="str">
        <f>IFERROR(__xludf.DUMMYFUNCTION("""COMPUTED_VALUE"""),"2019/11/06 14:05:00")</f>
        <v>2019/11/06 14:05:00</v>
      </c>
      <c r="F9" s="51" t="str">
        <f>IFERROR(__xludf.DUMMYFUNCTION("""COMPUTED_VALUE"""),"9d714d63-b884-4c31-aee7-36124f71ac27")</f>
        <v>9d714d63-b884-4c31-aee7-36124f71ac27</v>
      </c>
      <c r="G9" s="58">
        <f>IFERROR(__xludf.DUMMYFUNCTION("""COMPUTED_VALUE"""),43775.0)</f>
        <v>43775</v>
      </c>
      <c r="H9" s="60">
        <f>IFERROR(__xludf.DUMMYFUNCTION("""COMPUTED_VALUE"""),0.5763888888888888)</f>
        <v>0.5763888889</v>
      </c>
      <c r="I9" s="58">
        <f>IFERROR(__xludf.DUMMYFUNCTION("""COMPUTED_VALUE"""),43775.0)</f>
        <v>43775</v>
      </c>
      <c r="J9" s="60">
        <f>IFERROR(__xludf.DUMMYFUNCTION("""COMPUTED_VALUE"""),0.5868055555555556)</f>
        <v>0.5868055556</v>
      </c>
      <c r="K9" s="60">
        <f t="shared" si="1"/>
        <v>0.01041666667</v>
      </c>
      <c r="L9" s="51" t="s">
        <v>116</v>
      </c>
      <c r="M9" s="62" t="s">
        <v>360</v>
      </c>
      <c r="N9" s="75" t="str">
        <f t="shared" si="2"/>
        <v>BI_4_8_9d714d63-b884-4c31-aee7-36124f71ac27_000000_000000.mp4</v>
      </c>
      <c r="O9" s="50"/>
      <c r="P9" s="50"/>
      <c r="Q9" s="63"/>
      <c r="R9" s="51"/>
      <c r="S9" s="51"/>
      <c r="T9" s="51"/>
    </row>
    <row r="10">
      <c r="A10" s="51" t="str">
        <f>IFERROR(__xludf.DUMMYFUNCTION("""COMPUTED_VALUE"""),"The future education powered by AI ")</f>
        <v>The future education powered by AI </v>
      </c>
      <c r="B10" s="69" t="str">
        <f>IFERROR(__xludf.DUMMYFUNCTION("""COMPUTED_VALUE"""),"binate.io")</f>
        <v>binate.io</v>
      </c>
      <c r="C10" s="56" t="str">
        <f>IFERROR(__xludf.DUMMYFUNCTION("""COMPUTED_VALUE"""),"Derek Haoyang Li")</f>
        <v>Derek Haoyang Li</v>
      </c>
      <c r="D10" s="51" t="str">
        <f>IFERROR(__xludf.DUMMYFUNCTION("""COMPUTED_VALUE"""),"2019/11/06 14:05:00")</f>
        <v>2019/11/06 14:05:00</v>
      </c>
      <c r="E10" s="51" t="str">
        <f>IFERROR(__xludf.DUMMYFUNCTION("""COMPUTED_VALUE"""),"2019/11/06 14:25:00")</f>
        <v>2019/11/06 14:25:00</v>
      </c>
      <c r="F10" s="51" t="str">
        <f>IFERROR(__xludf.DUMMYFUNCTION("""COMPUTED_VALUE"""),"4df90319-cc96-41ff-9fab-d47ea71ad0c7")</f>
        <v>4df90319-cc96-41ff-9fab-d47ea71ad0c7</v>
      </c>
      <c r="G10" s="58">
        <f>IFERROR(__xludf.DUMMYFUNCTION("""COMPUTED_VALUE"""),43775.0)</f>
        <v>43775</v>
      </c>
      <c r="H10" s="60">
        <f>IFERROR(__xludf.DUMMYFUNCTION("""COMPUTED_VALUE"""),0.5868055555555556)</f>
        <v>0.5868055556</v>
      </c>
      <c r="I10" s="58">
        <f>IFERROR(__xludf.DUMMYFUNCTION("""COMPUTED_VALUE"""),43775.0)</f>
        <v>43775</v>
      </c>
      <c r="J10" s="60">
        <f>IFERROR(__xludf.DUMMYFUNCTION("""COMPUTED_VALUE"""),0.6006944444444444)</f>
        <v>0.6006944444</v>
      </c>
      <c r="K10" s="60">
        <f t="shared" si="1"/>
        <v>0.01388888889</v>
      </c>
      <c r="L10" s="51" t="s">
        <v>111</v>
      </c>
      <c r="M10" s="62" t="s">
        <v>361</v>
      </c>
      <c r="N10" s="75" t="str">
        <f t="shared" si="2"/>
        <v>BI_4_9_4df90319-cc96-41ff-9fab-d47ea71ad0c7_000000_000000.mp4</v>
      </c>
      <c r="O10" s="50"/>
      <c r="P10" s="50"/>
      <c r="Q10" s="63"/>
      <c r="R10" s="51"/>
      <c r="S10" s="51"/>
      <c r="T10" s="51"/>
    </row>
    <row r="11">
      <c r="A11" s="51" t="str">
        <f>IFERROR(__xludf.DUMMYFUNCTION("""COMPUTED_VALUE"""),"Are we AI-ready?")</f>
        <v>Are we AI-ready?</v>
      </c>
      <c r="B11" s="69" t="str">
        <f>IFERROR(__xludf.DUMMYFUNCTION("""COMPUTED_VALUE"""),"binate.io")</f>
        <v>binate.io</v>
      </c>
      <c r="C11" s="56" t="str">
        <f>IFERROR(__xludf.DUMMYFUNCTION("""COMPUTED_VALUE"""),"Jean-François Gagné and Tim Stevens")</f>
        <v>Jean-François Gagné and Tim Stevens</v>
      </c>
      <c r="D11" s="51" t="str">
        <f>IFERROR(__xludf.DUMMYFUNCTION("""COMPUTED_VALUE"""),"2019/11/06 14:25:00")</f>
        <v>2019/11/06 14:25:00</v>
      </c>
      <c r="E11" s="51" t="str">
        <f>IFERROR(__xludf.DUMMYFUNCTION("""COMPUTED_VALUE"""),"2019/11/06 14:45:00")</f>
        <v>2019/11/06 14:45:00</v>
      </c>
      <c r="F11" s="51" t="str">
        <f>IFERROR(__xludf.DUMMYFUNCTION("""COMPUTED_VALUE"""),"723e8585-eb70-4302-b1c5-a977bfb2a9da")</f>
        <v>723e8585-eb70-4302-b1c5-a977bfb2a9da</v>
      </c>
      <c r="G11" s="58">
        <f>IFERROR(__xludf.DUMMYFUNCTION("""COMPUTED_VALUE"""),43775.0)</f>
        <v>43775</v>
      </c>
      <c r="H11" s="60">
        <f>IFERROR(__xludf.DUMMYFUNCTION("""COMPUTED_VALUE"""),0.6006944444444444)</f>
        <v>0.6006944444</v>
      </c>
      <c r="I11" s="58">
        <f>IFERROR(__xludf.DUMMYFUNCTION("""COMPUTED_VALUE"""),43775.0)</f>
        <v>43775</v>
      </c>
      <c r="J11" s="60">
        <f>IFERROR(__xludf.DUMMYFUNCTION("""COMPUTED_VALUE"""),0.6145833333333334)</f>
        <v>0.6145833333</v>
      </c>
      <c r="K11" s="60">
        <f t="shared" si="1"/>
        <v>0.01388888889</v>
      </c>
      <c r="L11" s="51" t="s">
        <v>111</v>
      </c>
      <c r="M11" s="62" t="s">
        <v>362</v>
      </c>
      <c r="N11" s="75" t="str">
        <f t="shared" si="2"/>
        <v>BI_4_10_723e8585-eb70-4302-b1c5-a977bfb2a9da_000000_000000.mp4</v>
      </c>
      <c r="O11" s="50"/>
      <c r="P11" s="50"/>
      <c r="Q11" s="63"/>
      <c r="R11" s="51"/>
      <c r="S11" s="51"/>
      <c r="T11" s="51"/>
    </row>
    <row r="12">
      <c r="A12" s="51" t="str">
        <f>IFERROR(__xludf.DUMMYFUNCTION("""COMPUTED_VALUE"""),"How to create trust in data to transform a global media company?")</f>
        <v>How to create trust in data to transform a global media company?</v>
      </c>
      <c r="B12" s="69" t="str">
        <f>IFERROR(__xludf.DUMMYFUNCTION("""COMPUTED_VALUE"""),"binate.io")</f>
        <v>binate.io</v>
      </c>
      <c r="C12" s="56" t="str">
        <f>IFERROR(__xludf.DUMMYFUNCTION("""COMPUTED_VALUE"""),"Karthic Bala")</f>
        <v>Karthic Bala</v>
      </c>
      <c r="D12" s="51" t="str">
        <f>IFERROR(__xludf.DUMMYFUNCTION("""COMPUTED_VALUE"""),"2019/11/06 14:45:00")</f>
        <v>2019/11/06 14:45:00</v>
      </c>
      <c r="E12" s="51" t="str">
        <f>IFERROR(__xludf.DUMMYFUNCTION("""COMPUTED_VALUE"""),"2019/11/06 15:05:00")</f>
        <v>2019/11/06 15:05:00</v>
      </c>
      <c r="F12" s="51" t="str">
        <f>IFERROR(__xludf.DUMMYFUNCTION("""COMPUTED_VALUE"""),"6782683f-4383-4523-b056-5bc11a84c2b4")</f>
        <v>6782683f-4383-4523-b056-5bc11a84c2b4</v>
      </c>
      <c r="G12" s="58">
        <f>IFERROR(__xludf.DUMMYFUNCTION("""COMPUTED_VALUE"""),43775.0)</f>
        <v>43775</v>
      </c>
      <c r="H12" s="60">
        <f>IFERROR(__xludf.DUMMYFUNCTION("""COMPUTED_VALUE"""),0.6145833333333334)</f>
        <v>0.6145833333</v>
      </c>
      <c r="I12" s="58">
        <f>IFERROR(__xludf.DUMMYFUNCTION("""COMPUTED_VALUE"""),43775.0)</f>
        <v>43775</v>
      </c>
      <c r="J12" s="60">
        <f>IFERROR(__xludf.DUMMYFUNCTION("""COMPUTED_VALUE"""),0.6284722222222222)</f>
        <v>0.6284722222</v>
      </c>
      <c r="K12" s="60">
        <f t="shared" si="1"/>
        <v>0.01388888889</v>
      </c>
      <c r="L12" s="51" t="s">
        <v>111</v>
      </c>
      <c r="M12" s="62" t="s">
        <v>363</v>
      </c>
      <c r="N12" s="75" t="str">
        <f t="shared" si="2"/>
        <v>BI_4_11_6782683f-4383-4523-b056-5bc11a84c2b4_000000_000000.mp4</v>
      </c>
      <c r="O12" s="50"/>
      <c r="P12" s="50"/>
      <c r="Q12" s="63"/>
      <c r="R12" s="51"/>
      <c r="S12" s="51"/>
      <c r="T12" s="51"/>
    </row>
    <row r="13">
      <c r="A13" s="51" t="str">
        <f>IFERROR(__xludf.DUMMYFUNCTION("""COMPUTED_VALUE"""),"Enterprise SaaS 2.0")</f>
        <v>Enterprise SaaS 2.0</v>
      </c>
      <c r="B13" s="69" t="str">
        <f>IFERROR(__xludf.DUMMYFUNCTION("""COMPUTED_VALUE"""),"binate.io")</f>
        <v>binate.io</v>
      </c>
      <c r="C13" s="56" t="str">
        <f>IFERROR(__xludf.DUMMYFUNCTION("""COMPUTED_VALUE"""),"David Cancel")</f>
        <v>David Cancel</v>
      </c>
      <c r="D13" s="51" t="str">
        <f>IFERROR(__xludf.DUMMYFUNCTION("""COMPUTED_VALUE"""),"2019/11/06 15:05:00")</f>
        <v>2019/11/06 15:05:00</v>
      </c>
      <c r="E13" s="51" t="str">
        <f>IFERROR(__xludf.DUMMYFUNCTION("""COMPUTED_VALUE"""),"2019/11/06 15:25:00")</f>
        <v>2019/11/06 15:25:00</v>
      </c>
      <c r="F13" s="51" t="str">
        <f>IFERROR(__xludf.DUMMYFUNCTION("""COMPUTED_VALUE"""),"6171d51d-3459-461e-a7fa-d445d25521d9")</f>
        <v>6171d51d-3459-461e-a7fa-d445d25521d9</v>
      </c>
      <c r="G13" s="58">
        <f>IFERROR(__xludf.DUMMYFUNCTION("""COMPUTED_VALUE"""),43775.0)</f>
        <v>43775</v>
      </c>
      <c r="H13" s="60">
        <f>IFERROR(__xludf.DUMMYFUNCTION("""COMPUTED_VALUE"""),0.6284722222222222)</f>
        <v>0.6284722222</v>
      </c>
      <c r="I13" s="58">
        <f>IFERROR(__xludf.DUMMYFUNCTION("""COMPUTED_VALUE"""),43775.0)</f>
        <v>43775</v>
      </c>
      <c r="J13" s="60">
        <f>IFERROR(__xludf.DUMMYFUNCTION("""COMPUTED_VALUE"""),0.6423611111111112)</f>
        <v>0.6423611111</v>
      </c>
      <c r="K13" s="60">
        <f t="shared" si="1"/>
        <v>0.01388888889</v>
      </c>
      <c r="L13" s="51" t="s">
        <v>111</v>
      </c>
      <c r="M13" s="62" t="s">
        <v>364</v>
      </c>
      <c r="N13" s="75" t="str">
        <f t="shared" si="2"/>
        <v>BI_4_12_6171d51d-3459-461e-a7fa-d445d25521d9_000000_000000.mp4</v>
      </c>
      <c r="O13" s="50"/>
      <c r="P13" s="50"/>
      <c r="Q13" s="63"/>
      <c r="R13" s="51"/>
      <c r="S13" s="51"/>
      <c r="T13" s="51"/>
    </row>
    <row r="14">
      <c r="A14" s="51" t="str">
        <f>IFERROR(__xludf.DUMMYFUNCTION("""COMPUTED_VALUE"""),"Advancing in the age of automation ")</f>
        <v>Advancing in the age of automation </v>
      </c>
      <c r="B14" s="69" t="str">
        <f>IFERROR(__xludf.DUMMYFUNCTION("""COMPUTED_VALUE"""),"binate.io")</f>
        <v>binate.io</v>
      </c>
      <c r="C14" s="56" t="str">
        <f>IFERROR(__xludf.DUMMYFUNCTION("""COMPUTED_VALUE"""),"Gaurav Dhillon")</f>
        <v>Gaurav Dhillon</v>
      </c>
      <c r="D14" s="51" t="str">
        <f>IFERROR(__xludf.DUMMYFUNCTION("""COMPUTED_VALUE"""),"2019/11/06 15:25:00")</f>
        <v>2019/11/06 15:25:00</v>
      </c>
      <c r="E14" s="51" t="str">
        <f>IFERROR(__xludf.DUMMYFUNCTION("""COMPUTED_VALUE"""),"2019/11/06 15:45:00")</f>
        <v>2019/11/06 15:45:00</v>
      </c>
      <c r="F14" s="51" t="str">
        <f>IFERROR(__xludf.DUMMYFUNCTION("""COMPUTED_VALUE"""),"ce5cb8a4-44c3-435d-bb53-87dfe5cb3eda")</f>
        <v>ce5cb8a4-44c3-435d-bb53-87dfe5cb3eda</v>
      </c>
      <c r="G14" s="58">
        <f>IFERROR(__xludf.DUMMYFUNCTION("""COMPUTED_VALUE"""),43775.0)</f>
        <v>43775</v>
      </c>
      <c r="H14" s="60">
        <f>IFERROR(__xludf.DUMMYFUNCTION("""COMPUTED_VALUE"""),0.6423611111111112)</f>
        <v>0.6423611111</v>
      </c>
      <c r="I14" s="58">
        <f>IFERROR(__xludf.DUMMYFUNCTION("""COMPUTED_VALUE"""),43775.0)</f>
        <v>43775</v>
      </c>
      <c r="J14" s="60">
        <f>IFERROR(__xludf.DUMMYFUNCTION("""COMPUTED_VALUE"""),0.65625)</f>
        <v>0.65625</v>
      </c>
      <c r="K14" s="60">
        <f t="shared" si="1"/>
        <v>0.01388888889</v>
      </c>
      <c r="L14" s="51" t="s">
        <v>111</v>
      </c>
      <c r="M14" s="62" t="s">
        <v>365</v>
      </c>
      <c r="N14" s="75" t="str">
        <f t="shared" si="2"/>
        <v>BI_4_13_ce5cb8a4-44c3-435d-bb53-87dfe5cb3eda_000000_000000.mp4</v>
      </c>
      <c r="O14" s="50"/>
      <c r="P14" s="50"/>
      <c r="Q14" s="63"/>
      <c r="R14" s="51"/>
      <c r="S14" s="51"/>
      <c r="T14" s="51"/>
    </row>
    <row r="15">
      <c r="A15" s="51"/>
      <c r="B15" s="51"/>
      <c r="C15" s="56"/>
      <c r="D15" s="51"/>
      <c r="E15" s="51"/>
      <c r="F15" s="51"/>
      <c r="G15" s="51" t="str">
        <f>IFERROR(__xludf.DUMMYFUNCTION("""COMPUTED_VALUE"""),"#VALUE!")</f>
        <v>#VALUE!</v>
      </c>
      <c r="H15" s="51" t="str">
        <f>IFERROR(__xludf.DUMMYFUNCTION("""COMPUTED_VALUE"""),"")</f>
        <v/>
      </c>
      <c r="I15" s="51" t="str">
        <f>IFERROR(__xludf.DUMMYFUNCTION("""COMPUTED_VALUE"""),"#VALUE!")</f>
        <v>#VALUE!</v>
      </c>
      <c r="J15" s="51" t="str">
        <f>IFERROR(__xludf.DUMMYFUNCTION("""COMPUTED_VALUE"""),"")</f>
        <v/>
      </c>
      <c r="K15" s="51">
        <f t="shared" si="1"/>
        <v>0</v>
      </c>
      <c r="L15" s="51" t="s">
        <v>257</v>
      </c>
      <c r="M15" s="51"/>
      <c r="N15" s="51"/>
      <c r="O15" s="51"/>
      <c r="P15" s="51"/>
      <c r="Q15" s="51"/>
      <c r="R15" s="51"/>
      <c r="S15" s="51"/>
      <c r="T15" s="51"/>
    </row>
    <row r="16">
      <c r="A16" s="51"/>
      <c r="B16" s="51"/>
      <c r="C16" s="56"/>
      <c r="D16" s="51"/>
      <c r="E16" s="51"/>
      <c r="F16" s="51"/>
      <c r="G16" s="51" t="str">
        <f>IFERROR(__xludf.DUMMYFUNCTION("""COMPUTED_VALUE"""),"#VALUE!")</f>
        <v>#VALUE!</v>
      </c>
      <c r="H16" s="51" t="str">
        <f>IFERROR(__xludf.DUMMYFUNCTION("""COMPUTED_VALUE"""),"")</f>
        <v/>
      </c>
      <c r="I16" s="51" t="str">
        <f>IFERROR(__xludf.DUMMYFUNCTION("""COMPUTED_VALUE"""),"#VALUE!")</f>
        <v>#VALUE!</v>
      </c>
      <c r="J16" s="51" t="str">
        <f>IFERROR(__xludf.DUMMYFUNCTION("""COMPUTED_VALUE"""),"")</f>
        <v/>
      </c>
      <c r="K16" s="51">
        <f t="shared" si="1"/>
        <v>0</v>
      </c>
      <c r="L16" s="51" t="s">
        <v>257</v>
      </c>
      <c r="M16" s="51"/>
      <c r="N16" s="51"/>
      <c r="O16" s="51"/>
      <c r="P16" s="51"/>
      <c r="Q16" s="51"/>
      <c r="R16" s="51"/>
      <c r="S16" s="51"/>
      <c r="T16" s="51"/>
    </row>
    <row r="17">
      <c r="A17" s="51"/>
      <c r="B17" s="51"/>
      <c r="C17" s="56"/>
      <c r="D17" s="51"/>
      <c r="E17" s="51"/>
      <c r="F17" s="51"/>
      <c r="G17" s="51" t="str">
        <f>IFERROR(__xludf.DUMMYFUNCTION("""COMPUTED_VALUE"""),"#VALUE!")</f>
        <v>#VALUE!</v>
      </c>
      <c r="H17" s="51" t="str">
        <f>IFERROR(__xludf.DUMMYFUNCTION("""COMPUTED_VALUE"""),"")</f>
        <v/>
      </c>
      <c r="I17" s="51" t="str">
        <f>IFERROR(__xludf.DUMMYFUNCTION("""COMPUTED_VALUE"""),"#VALUE!")</f>
        <v>#VALUE!</v>
      </c>
      <c r="J17" s="51" t="str">
        <f>IFERROR(__xludf.DUMMYFUNCTION("""COMPUTED_VALUE"""),"")</f>
        <v/>
      </c>
      <c r="K17" s="51"/>
      <c r="L17" s="51" t="s">
        <v>257</v>
      </c>
      <c r="M17" s="51"/>
      <c r="N17" s="51"/>
      <c r="O17" s="51"/>
      <c r="P17" s="51"/>
      <c r="Q17" s="51"/>
      <c r="R17" s="51"/>
      <c r="S17" s="51"/>
      <c r="T17" s="51"/>
    </row>
    <row r="18">
      <c r="A18" s="51"/>
      <c r="B18" s="51"/>
      <c r="C18" s="56"/>
      <c r="D18" s="51"/>
      <c r="E18" s="51"/>
      <c r="F18" s="51"/>
      <c r="G18" s="51" t="str">
        <f>IFERROR(__xludf.DUMMYFUNCTION("""COMPUTED_VALUE"""),"#VALUE!")</f>
        <v>#VALUE!</v>
      </c>
      <c r="H18" s="51" t="str">
        <f>IFERROR(__xludf.DUMMYFUNCTION("""COMPUTED_VALUE"""),"")</f>
        <v/>
      </c>
      <c r="I18" s="51" t="str">
        <f>IFERROR(__xludf.DUMMYFUNCTION("""COMPUTED_VALUE"""),"#VALUE!")</f>
        <v>#VALUE!</v>
      </c>
      <c r="J18" s="51" t="str">
        <f>IFERROR(__xludf.DUMMYFUNCTION("""COMPUTED_VALUE"""),"")</f>
        <v/>
      </c>
      <c r="K18" s="51"/>
      <c r="L18" s="51" t="s">
        <v>257</v>
      </c>
      <c r="M18" s="51"/>
      <c r="N18" s="51"/>
      <c r="O18" s="51"/>
      <c r="P18" s="51"/>
      <c r="Q18" s="51"/>
      <c r="R18" s="51"/>
      <c r="S18" s="51"/>
      <c r="T18" s="51"/>
    </row>
    <row r="19">
      <c r="A19" s="51"/>
      <c r="B19" s="51"/>
      <c r="C19" s="56"/>
      <c r="D19" s="51"/>
      <c r="E19" s="51"/>
      <c r="F19" s="51"/>
      <c r="G19" s="51" t="str">
        <f>IFERROR(__xludf.DUMMYFUNCTION("""COMPUTED_VALUE"""),"#VALUE!")</f>
        <v>#VALUE!</v>
      </c>
      <c r="H19" s="51" t="str">
        <f>IFERROR(__xludf.DUMMYFUNCTION("""COMPUTED_VALUE"""),"")</f>
        <v/>
      </c>
      <c r="I19" s="51" t="str">
        <f>IFERROR(__xludf.DUMMYFUNCTION("""COMPUTED_VALUE"""),"#VALUE!")</f>
        <v>#VALUE!</v>
      </c>
      <c r="J19" s="51" t="str">
        <f>IFERROR(__xludf.DUMMYFUNCTION("""COMPUTED_VALUE"""),"")</f>
        <v/>
      </c>
      <c r="K19" s="51"/>
      <c r="L19" s="51" t="s">
        <v>257</v>
      </c>
      <c r="M19" s="51"/>
      <c r="N19" s="51"/>
      <c r="O19" s="51"/>
      <c r="P19" s="51"/>
      <c r="Q19" s="51"/>
      <c r="R19" s="51"/>
      <c r="S19" s="51"/>
      <c r="T19" s="51"/>
    </row>
    <row r="20">
      <c r="A20" s="51"/>
      <c r="B20" s="51"/>
      <c r="C20" s="56"/>
      <c r="D20" s="51"/>
      <c r="E20" s="51"/>
      <c r="F20" s="51"/>
      <c r="G20" s="51" t="str">
        <f>IFERROR(__xludf.DUMMYFUNCTION("""COMPUTED_VALUE"""),"#VALUE!")</f>
        <v>#VALUE!</v>
      </c>
      <c r="H20" s="51" t="str">
        <f>IFERROR(__xludf.DUMMYFUNCTION("""COMPUTED_VALUE"""),"")</f>
        <v/>
      </c>
      <c r="I20" s="51" t="str">
        <f>IFERROR(__xludf.DUMMYFUNCTION("""COMPUTED_VALUE"""),"#VALUE!")</f>
        <v>#VALUE!</v>
      </c>
      <c r="J20" s="51" t="str">
        <f>IFERROR(__xludf.DUMMYFUNCTION("""COMPUTED_VALUE"""),"")</f>
        <v/>
      </c>
      <c r="K20" s="51"/>
      <c r="L20" s="51" t="s">
        <v>257</v>
      </c>
      <c r="M20" s="51"/>
      <c r="N20" s="51"/>
      <c r="O20" s="51"/>
      <c r="P20" s="51"/>
      <c r="Q20" s="51"/>
      <c r="R20" s="51"/>
      <c r="S20" s="51"/>
      <c r="T20" s="51"/>
    </row>
    <row r="21">
      <c r="A21" s="51"/>
      <c r="B21" s="51"/>
      <c r="C21" s="56"/>
      <c r="D21" s="51"/>
      <c r="E21" s="51"/>
      <c r="F21" s="51"/>
      <c r="G21" s="51" t="str">
        <f>IFERROR(__xludf.DUMMYFUNCTION("""COMPUTED_VALUE"""),"#VALUE!")</f>
        <v>#VALUE!</v>
      </c>
      <c r="H21" s="51" t="str">
        <f>IFERROR(__xludf.DUMMYFUNCTION("""COMPUTED_VALUE"""),"")</f>
        <v/>
      </c>
      <c r="I21" s="51" t="str">
        <f>IFERROR(__xludf.DUMMYFUNCTION("""COMPUTED_VALUE"""),"#VALUE!")</f>
        <v>#VALUE!</v>
      </c>
      <c r="J21" s="51" t="str">
        <f>IFERROR(__xludf.DUMMYFUNCTION("""COMPUTED_VALUE"""),"")</f>
        <v/>
      </c>
      <c r="K21" s="51"/>
      <c r="L21" s="51" t="s">
        <v>257</v>
      </c>
      <c r="M21" s="51"/>
      <c r="N21" s="51"/>
      <c r="O21" s="51"/>
      <c r="P21" s="51"/>
      <c r="Q21" s="51"/>
      <c r="R21" s="51"/>
      <c r="S21" s="51"/>
      <c r="T21" s="51"/>
    </row>
    <row r="22">
      <c r="A22" s="51"/>
      <c r="B22" s="51"/>
      <c r="C22" s="56"/>
      <c r="D22" s="51"/>
      <c r="E22" s="51"/>
      <c r="F22" s="51"/>
      <c r="G22" s="51" t="str">
        <f>IFERROR(__xludf.DUMMYFUNCTION("""COMPUTED_VALUE"""),"#VALUE!")</f>
        <v>#VALUE!</v>
      </c>
      <c r="H22" s="51" t="str">
        <f>IFERROR(__xludf.DUMMYFUNCTION("""COMPUTED_VALUE"""),"")</f>
        <v/>
      </c>
      <c r="I22" s="51" t="str">
        <f>IFERROR(__xludf.DUMMYFUNCTION("""COMPUTED_VALUE"""),"#VALUE!")</f>
        <v>#VALUE!</v>
      </c>
      <c r="J22" s="51" t="str">
        <f>IFERROR(__xludf.DUMMYFUNCTION("""COMPUTED_VALUE"""),"")</f>
        <v/>
      </c>
      <c r="K22" s="51"/>
      <c r="L22" s="51" t="s">
        <v>257</v>
      </c>
      <c r="M22" s="51"/>
      <c r="N22" s="51"/>
      <c r="O22" s="51"/>
      <c r="P22" s="51"/>
      <c r="Q22" s="51"/>
      <c r="R22" s="51"/>
      <c r="S22" s="51"/>
      <c r="T22" s="51"/>
    </row>
    <row r="23">
      <c r="A23" s="51"/>
      <c r="B23" s="51"/>
      <c r="C23" s="56"/>
      <c r="D23" s="51"/>
      <c r="E23" s="51"/>
      <c r="F23" s="51"/>
      <c r="G23" s="51" t="str">
        <f>IFERROR(__xludf.DUMMYFUNCTION("""COMPUTED_VALUE"""),"#VALUE!")</f>
        <v>#VALUE!</v>
      </c>
      <c r="H23" s="51" t="str">
        <f>IFERROR(__xludf.DUMMYFUNCTION("""COMPUTED_VALUE"""),"")</f>
        <v/>
      </c>
      <c r="I23" s="51" t="str">
        <f>IFERROR(__xludf.DUMMYFUNCTION("""COMPUTED_VALUE"""),"#VALUE!")</f>
        <v>#VALUE!</v>
      </c>
      <c r="J23" s="51" t="str">
        <f>IFERROR(__xludf.DUMMYFUNCTION("""COMPUTED_VALUE"""),"")</f>
        <v/>
      </c>
      <c r="K23" s="51"/>
      <c r="L23" s="51" t="s">
        <v>257</v>
      </c>
      <c r="M23" s="51"/>
      <c r="N23" s="51"/>
      <c r="O23" s="51"/>
      <c r="P23" s="51"/>
      <c r="Q23" s="51"/>
      <c r="R23" s="51"/>
      <c r="S23" s="51"/>
      <c r="T23" s="51"/>
    </row>
    <row r="24">
      <c r="A24" s="51"/>
      <c r="B24" s="51"/>
      <c r="C24" s="56"/>
      <c r="D24" s="51"/>
      <c r="E24" s="51"/>
      <c r="F24" s="51"/>
      <c r="G24" s="51" t="str">
        <f>IFERROR(__xludf.DUMMYFUNCTION("""COMPUTED_VALUE"""),"#VALUE!")</f>
        <v>#VALUE!</v>
      </c>
      <c r="H24" s="51" t="str">
        <f>IFERROR(__xludf.DUMMYFUNCTION("""COMPUTED_VALUE"""),"")</f>
        <v/>
      </c>
      <c r="I24" s="51" t="str">
        <f>IFERROR(__xludf.DUMMYFUNCTION("""COMPUTED_VALUE"""),"#VALUE!")</f>
        <v>#VALUE!</v>
      </c>
      <c r="J24" s="51" t="str">
        <f>IFERROR(__xludf.DUMMYFUNCTION("""COMPUTED_VALUE"""),"")</f>
        <v/>
      </c>
      <c r="K24" s="51"/>
      <c r="L24" s="51" t="s">
        <v>257</v>
      </c>
      <c r="M24" s="51"/>
      <c r="N24" s="51"/>
      <c r="O24" s="51"/>
      <c r="P24" s="51"/>
      <c r="Q24" s="51"/>
      <c r="R24" s="51"/>
      <c r="S24" s="51"/>
      <c r="T24" s="51"/>
    </row>
    <row r="25">
      <c r="A25" s="51"/>
      <c r="B25" s="51"/>
      <c r="C25" s="56"/>
      <c r="D25" s="51"/>
      <c r="E25" s="51"/>
      <c r="F25" s="51"/>
      <c r="G25" s="51" t="str">
        <f>IFERROR(__xludf.DUMMYFUNCTION("""COMPUTED_VALUE"""),"#VALUE!")</f>
        <v>#VALUE!</v>
      </c>
      <c r="H25" s="51" t="str">
        <f>IFERROR(__xludf.DUMMYFUNCTION("""COMPUTED_VALUE"""),"")</f>
        <v/>
      </c>
      <c r="I25" s="51" t="str">
        <f>IFERROR(__xludf.DUMMYFUNCTION("""COMPUTED_VALUE"""),"#VALUE!")</f>
        <v>#VALUE!</v>
      </c>
      <c r="J25" s="51" t="str">
        <f>IFERROR(__xludf.DUMMYFUNCTION("""COMPUTED_VALUE"""),"")</f>
        <v/>
      </c>
      <c r="K25" s="51"/>
      <c r="L25" s="51" t="s">
        <v>257</v>
      </c>
      <c r="M25" s="51"/>
      <c r="N25" s="51"/>
      <c r="O25" s="51"/>
      <c r="P25" s="51"/>
      <c r="Q25" s="51"/>
      <c r="R25" s="51"/>
      <c r="S25" s="51"/>
      <c r="T25" s="51"/>
    </row>
    <row r="26">
      <c r="A26" s="51"/>
      <c r="B26" s="51"/>
      <c r="C26" s="56"/>
      <c r="D26" s="51"/>
      <c r="E26" s="51"/>
      <c r="F26" s="51"/>
      <c r="G26" s="51" t="str">
        <f>IFERROR(__xludf.DUMMYFUNCTION("""COMPUTED_VALUE"""),"#VALUE!")</f>
        <v>#VALUE!</v>
      </c>
      <c r="H26" s="51" t="str">
        <f>IFERROR(__xludf.DUMMYFUNCTION("""COMPUTED_VALUE"""),"")</f>
        <v/>
      </c>
      <c r="I26" s="51" t="str">
        <f>IFERROR(__xludf.DUMMYFUNCTION("""COMPUTED_VALUE"""),"#VALUE!")</f>
        <v>#VALUE!</v>
      </c>
      <c r="J26" s="51" t="str">
        <f>IFERROR(__xludf.DUMMYFUNCTION("""COMPUTED_VALUE"""),"")</f>
        <v/>
      </c>
      <c r="K26" s="51"/>
      <c r="L26" s="51" t="s">
        <v>257</v>
      </c>
      <c r="M26" s="51"/>
      <c r="N26" s="51"/>
      <c r="O26" s="51"/>
      <c r="P26" s="51"/>
      <c r="Q26" s="51"/>
      <c r="R26" s="51"/>
      <c r="S26" s="51"/>
      <c r="T26" s="51"/>
    </row>
    <row r="27">
      <c r="A27" s="51"/>
      <c r="B27" s="51"/>
      <c r="C27" s="56"/>
      <c r="D27" s="51"/>
      <c r="E27" s="51"/>
      <c r="F27" s="51"/>
      <c r="G27" s="51" t="str">
        <f>IFERROR(__xludf.DUMMYFUNCTION("""COMPUTED_VALUE"""),"#VALUE!")</f>
        <v>#VALUE!</v>
      </c>
      <c r="H27" s="51" t="str">
        <f>IFERROR(__xludf.DUMMYFUNCTION("""COMPUTED_VALUE"""),"")</f>
        <v/>
      </c>
      <c r="I27" s="51" t="str">
        <f>IFERROR(__xludf.DUMMYFUNCTION("""COMPUTED_VALUE"""),"#VALUE!")</f>
        <v>#VALUE!</v>
      </c>
      <c r="J27" s="51" t="str">
        <f>IFERROR(__xludf.DUMMYFUNCTION("""COMPUTED_VALUE"""),"")</f>
        <v/>
      </c>
      <c r="K27" s="51"/>
      <c r="L27" s="51" t="s">
        <v>257</v>
      </c>
      <c r="M27" s="51"/>
      <c r="N27" s="51"/>
      <c r="O27" s="51"/>
      <c r="P27" s="51"/>
      <c r="Q27" s="51"/>
      <c r="R27" s="51"/>
      <c r="S27" s="51"/>
      <c r="T27" s="51"/>
    </row>
    <row r="28">
      <c r="A28" s="51"/>
      <c r="B28" s="51"/>
      <c r="C28" s="56"/>
      <c r="D28" s="51"/>
      <c r="E28" s="51"/>
      <c r="F28" s="51"/>
      <c r="G28" s="51" t="str">
        <f>IFERROR(__xludf.DUMMYFUNCTION("""COMPUTED_VALUE"""),"#VALUE!")</f>
        <v>#VALUE!</v>
      </c>
      <c r="H28" s="51" t="str">
        <f>IFERROR(__xludf.DUMMYFUNCTION("""COMPUTED_VALUE"""),"")</f>
        <v/>
      </c>
      <c r="I28" s="51" t="str">
        <f>IFERROR(__xludf.DUMMYFUNCTION("""COMPUTED_VALUE"""),"#VALUE!")</f>
        <v>#VALUE!</v>
      </c>
      <c r="J28" s="51" t="str">
        <f>IFERROR(__xludf.DUMMYFUNCTION("""COMPUTED_VALUE"""),"")</f>
        <v/>
      </c>
      <c r="K28" s="51"/>
      <c r="L28" s="51" t="s">
        <v>257</v>
      </c>
      <c r="M28" s="51"/>
      <c r="N28" s="51"/>
      <c r="O28" s="51"/>
      <c r="P28" s="51"/>
      <c r="Q28" s="51"/>
      <c r="R28" s="51"/>
      <c r="S28" s="51"/>
      <c r="T28" s="51"/>
    </row>
    <row r="29">
      <c r="A29" s="51"/>
      <c r="B29" s="51"/>
      <c r="C29" s="56"/>
      <c r="D29" s="51"/>
      <c r="E29" s="51"/>
      <c r="F29" s="51"/>
      <c r="G29" s="51" t="str">
        <f>IFERROR(__xludf.DUMMYFUNCTION("""COMPUTED_VALUE"""),"#VALUE!")</f>
        <v>#VALUE!</v>
      </c>
      <c r="H29" s="51" t="str">
        <f>IFERROR(__xludf.DUMMYFUNCTION("""COMPUTED_VALUE"""),"")</f>
        <v/>
      </c>
      <c r="I29" s="51" t="str">
        <f>IFERROR(__xludf.DUMMYFUNCTION("""COMPUTED_VALUE"""),"#VALUE!")</f>
        <v>#VALUE!</v>
      </c>
      <c r="J29" s="51" t="str">
        <f>IFERROR(__xludf.DUMMYFUNCTION("""COMPUTED_VALUE"""),"")</f>
        <v/>
      </c>
      <c r="K29" s="51"/>
      <c r="L29" s="51" t="s">
        <v>257</v>
      </c>
      <c r="M29" s="51"/>
      <c r="N29" s="51"/>
      <c r="O29" s="51"/>
      <c r="P29" s="51"/>
      <c r="Q29" s="51"/>
      <c r="R29" s="51"/>
      <c r="S29" s="51"/>
      <c r="T29" s="51"/>
    </row>
    <row r="30">
      <c r="A30" s="51"/>
      <c r="B30" s="51"/>
      <c r="C30" s="56"/>
      <c r="D30" s="51"/>
      <c r="E30" s="51"/>
      <c r="F30" s="51"/>
      <c r="G30" s="51" t="str">
        <f>IFERROR(__xludf.DUMMYFUNCTION("""COMPUTED_VALUE"""),"#VALUE!")</f>
        <v>#VALUE!</v>
      </c>
      <c r="H30" s="51" t="str">
        <f>IFERROR(__xludf.DUMMYFUNCTION("""COMPUTED_VALUE"""),"")</f>
        <v/>
      </c>
      <c r="I30" s="51" t="str">
        <f>IFERROR(__xludf.DUMMYFUNCTION("""COMPUTED_VALUE"""),"#VALUE!")</f>
        <v>#VALUE!</v>
      </c>
      <c r="J30" s="51" t="str">
        <f>IFERROR(__xludf.DUMMYFUNCTION("""COMPUTED_VALUE"""),"")</f>
        <v/>
      </c>
      <c r="K30" s="51"/>
      <c r="L30" s="51" t="s">
        <v>257</v>
      </c>
      <c r="M30" s="51"/>
      <c r="N30" s="51"/>
      <c r="O30" s="51"/>
      <c r="P30" s="51"/>
      <c r="Q30" s="51"/>
      <c r="R30" s="51"/>
      <c r="S30" s="51"/>
      <c r="T30" s="51"/>
    </row>
    <row r="31">
      <c r="A31" s="51"/>
      <c r="B31" s="51"/>
      <c r="C31" s="56"/>
      <c r="D31" s="51"/>
      <c r="E31" s="51"/>
      <c r="F31" s="51"/>
      <c r="G31" s="51" t="str">
        <f>IFERROR(__xludf.DUMMYFUNCTION("""COMPUTED_VALUE"""),"#VALUE!")</f>
        <v>#VALUE!</v>
      </c>
      <c r="H31" s="51" t="str">
        <f>IFERROR(__xludf.DUMMYFUNCTION("""COMPUTED_VALUE"""),"")</f>
        <v/>
      </c>
      <c r="I31" s="51" t="str">
        <f>IFERROR(__xludf.DUMMYFUNCTION("""COMPUTED_VALUE"""),"#VALUE!")</f>
        <v>#VALUE!</v>
      </c>
      <c r="J31" s="51" t="str">
        <f>IFERROR(__xludf.DUMMYFUNCTION("""COMPUTED_VALUE"""),"")</f>
        <v/>
      </c>
      <c r="K31" s="51"/>
      <c r="L31" s="51" t="s">
        <v>257</v>
      </c>
      <c r="M31" s="51"/>
      <c r="N31" s="51"/>
      <c r="O31" s="51"/>
      <c r="P31" s="51"/>
      <c r="Q31" s="51"/>
      <c r="R31" s="51"/>
      <c r="S31" s="51"/>
      <c r="T31" s="51"/>
    </row>
    <row r="32">
      <c r="A32" s="51"/>
      <c r="B32" s="51"/>
      <c r="C32" s="56"/>
      <c r="D32" s="51"/>
      <c r="E32" s="51"/>
      <c r="F32" s="51"/>
      <c r="G32" s="51" t="str">
        <f>IFERROR(__xludf.DUMMYFUNCTION("""COMPUTED_VALUE"""),"#VALUE!")</f>
        <v>#VALUE!</v>
      </c>
      <c r="H32" s="51" t="str">
        <f>IFERROR(__xludf.DUMMYFUNCTION("""COMPUTED_VALUE"""),"")</f>
        <v/>
      </c>
      <c r="I32" s="51" t="str">
        <f>IFERROR(__xludf.DUMMYFUNCTION("""COMPUTED_VALUE"""),"#VALUE!")</f>
        <v>#VALUE!</v>
      </c>
      <c r="J32" s="51" t="str">
        <f>IFERROR(__xludf.DUMMYFUNCTION("""COMPUTED_VALUE"""),"")</f>
        <v/>
      </c>
      <c r="K32" s="51"/>
      <c r="L32" s="51" t="s">
        <v>257</v>
      </c>
      <c r="M32" s="51"/>
      <c r="N32" s="51"/>
      <c r="O32" s="51"/>
      <c r="P32" s="51"/>
      <c r="Q32" s="51"/>
      <c r="R32" s="51"/>
      <c r="S32" s="51"/>
      <c r="T32" s="51"/>
    </row>
    <row r="33">
      <c r="A33" s="51"/>
      <c r="B33" s="51"/>
      <c r="C33" s="56"/>
      <c r="D33" s="51"/>
      <c r="E33" s="51"/>
      <c r="F33" s="51"/>
      <c r="G33" s="51" t="str">
        <f>IFERROR(__xludf.DUMMYFUNCTION("""COMPUTED_VALUE"""),"#VALUE!")</f>
        <v>#VALUE!</v>
      </c>
      <c r="H33" s="51" t="str">
        <f>IFERROR(__xludf.DUMMYFUNCTION("""COMPUTED_VALUE"""),"")</f>
        <v/>
      </c>
      <c r="I33" s="51" t="str">
        <f>IFERROR(__xludf.DUMMYFUNCTION("""COMPUTED_VALUE"""),"#VALUE!")</f>
        <v>#VALUE!</v>
      </c>
      <c r="J33" s="51" t="str">
        <f>IFERROR(__xludf.DUMMYFUNCTION("""COMPUTED_VALUE"""),"")</f>
        <v/>
      </c>
      <c r="K33" s="51"/>
      <c r="L33" s="51" t="s">
        <v>257</v>
      </c>
      <c r="M33" s="51"/>
      <c r="N33" s="51"/>
      <c r="O33" s="51"/>
      <c r="P33" s="51"/>
      <c r="Q33" s="51"/>
      <c r="R33" s="51"/>
      <c r="S33" s="51"/>
      <c r="T33" s="51"/>
    </row>
    <row r="34">
      <c r="A34" s="51"/>
      <c r="B34" s="51"/>
      <c r="C34" s="56"/>
      <c r="D34" s="51"/>
      <c r="E34" s="51"/>
      <c r="F34" s="51"/>
      <c r="G34" s="51" t="str">
        <f>IFERROR(__xludf.DUMMYFUNCTION("""COMPUTED_VALUE"""),"#VALUE!")</f>
        <v>#VALUE!</v>
      </c>
      <c r="H34" s="51" t="str">
        <f>IFERROR(__xludf.DUMMYFUNCTION("""COMPUTED_VALUE"""),"")</f>
        <v/>
      </c>
      <c r="I34" s="51" t="str">
        <f>IFERROR(__xludf.DUMMYFUNCTION("""COMPUTED_VALUE"""),"#VALUE!")</f>
        <v>#VALUE!</v>
      </c>
      <c r="J34" s="51" t="str">
        <f>IFERROR(__xludf.DUMMYFUNCTION("""COMPUTED_VALUE"""),"")</f>
        <v/>
      </c>
      <c r="K34" s="51"/>
      <c r="L34" s="51" t="s">
        <v>257</v>
      </c>
      <c r="M34" s="51"/>
      <c r="N34" s="51"/>
      <c r="O34" s="51"/>
      <c r="P34" s="51"/>
      <c r="Q34" s="51"/>
      <c r="R34" s="51"/>
      <c r="S34" s="51"/>
      <c r="T34" s="51"/>
    </row>
    <row r="35">
      <c r="A35" s="51"/>
      <c r="B35" s="51"/>
      <c r="C35" s="56"/>
      <c r="D35" s="51"/>
      <c r="E35" s="51"/>
      <c r="F35" s="51"/>
      <c r="G35" s="51" t="str">
        <f>IFERROR(__xludf.DUMMYFUNCTION("""COMPUTED_VALUE"""),"#VALUE!")</f>
        <v>#VALUE!</v>
      </c>
      <c r="H35" s="51" t="str">
        <f>IFERROR(__xludf.DUMMYFUNCTION("""COMPUTED_VALUE"""),"")</f>
        <v/>
      </c>
      <c r="I35" s="51" t="str">
        <f>IFERROR(__xludf.DUMMYFUNCTION("""COMPUTED_VALUE"""),"#VALUE!")</f>
        <v>#VALUE!</v>
      </c>
      <c r="J35" s="51" t="str">
        <f>IFERROR(__xludf.DUMMYFUNCTION("""COMPUTED_VALUE"""),"")</f>
        <v/>
      </c>
      <c r="K35" s="51"/>
      <c r="L35" s="51" t="s">
        <v>257</v>
      </c>
      <c r="M35" s="51"/>
      <c r="N35" s="51"/>
      <c r="O35" s="51"/>
      <c r="P35" s="51"/>
      <c r="Q35" s="51"/>
      <c r="R35" s="51"/>
      <c r="S35" s="51"/>
      <c r="T35" s="51"/>
    </row>
    <row r="36">
      <c r="A36" s="51"/>
      <c r="B36" s="51"/>
      <c r="C36" s="56"/>
      <c r="D36" s="51"/>
      <c r="E36" s="51"/>
      <c r="F36" s="51"/>
      <c r="G36" s="51" t="str">
        <f>IFERROR(__xludf.DUMMYFUNCTION("""COMPUTED_VALUE"""),"#VALUE!")</f>
        <v>#VALUE!</v>
      </c>
      <c r="H36" s="51" t="str">
        <f>IFERROR(__xludf.DUMMYFUNCTION("""COMPUTED_VALUE"""),"")</f>
        <v/>
      </c>
      <c r="I36" s="51" t="str">
        <f>IFERROR(__xludf.DUMMYFUNCTION("""COMPUTED_VALUE"""),"#VALUE!")</f>
        <v>#VALUE!</v>
      </c>
      <c r="J36" s="51" t="str">
        <f>IFERROR(__xludf.DUMMYFUNCTION("""COMPUTED_VALUE"""),"")</f>
        <v/>
      </c>
      <c r="K36" s="51"/>
      <c r="L36" s="51" t="s">
        <v>257</v>
      </c>
      <c r="M36" s="51"/>
      <c r="N36" s="51"/>
      <c r="O36" s="51"/>
      <c r="P36" s="51"/>
      <c r="Q36" s="51"/>
      <c r="R36" s="51"/>
      <c r="S36" s="51"/>
      <c r="T36" s="51"/>
    </row>
    <row r="37">
      <c r="A37" s="51"/>
      <c r="B37" s="51"/>
      <c r="C37" s="56"/>
      <c r="D37" s="51"/>
      <c r="E37" s="51"/>
      <c r="F37" s="51"/>
      <c r="G37" s="51" t="str">
        <f>IFERROR(__xludf.DUMMYFUNCTION("""COMPUTED_VALUE"""),"#VALUE!")</f>
        <v>#VALUE!</v>
      </c>
      <c r="H37" s="51" t="str">
        <f>IFERROR(__xludf.DUMMYFUNCTION("""COMPUTED_VALUE"""),"")</f>
        <v/>
      </c>
      <c r="I37" s="51" t="str">
        <f>IFERROR(__xludf.DUMMYFUNCTION("""COMPUTED_VALUE"""),"#VALUE!")</f>
        <v>#VALUE!</v>
      </c>
      <c r="J37" s="51" t="str">
        <f>IFERROR(__xludf.DUMMYFUNCTION("""COMPUTED_VALUE"""),"")</f>
        <v/>
      </c>
      <c r="K37" s="51"/>
      <c r="L37" s="51" t="s">
        <v>257</v>
      </c>
      <c r="M37" s="51"/>
      <c r="N37" s="51"/>
      <c r="O37" s="51"/>
      <c r="P37" s="51"/>
      <c r="Q37" s="51"/>
      <c r="R37" s="51"/>
      <c r="S37" s="51"/>
      <c r="T37" s="51"/>
    </row>
    <row r="38">
      <c r="A38" s="51"/>
      <c r="B38" s="51"/>
      <c r="C38" s="56"/>
      <c r="D38" s="51"/>
      <c r="E38" s="51"/>
      <c r="F38" s="51"/>
      <c r="G38" s="51" t="str">
        <f>IFERROR(__xludf.DUMMYFUNCTION("""COMPUTED_VALUE"""),"#VALUE!")</f>
        <v>#VALUE!</v>
      </c>
      <c r="H38" s="51" t="str">
        <f>IFERROR(__xludf.DUMMYFUNCTION("""COMPUTED_VALUE"""),"")</f>
        <v/>
      </c>
      <c r="I38" s="51" t="str">
        <f>IFERROR(__xludf.DUMMYFUNCTION("""COMPUTED_VALUE"""),"#VALUE!")</f>
        <v>#VALUE!</v>
      </c>
      <c r="J38" s="51" t="str">
        <f>IFERROR(__xludf.DUMMYFUNCTION("""COMPUTED_VALUE"""),"")</f>
        <v/>
      </c>
      <c r="K38" s="51"/>
      <c r="L38" s="51" t="s">
        <v>257</v>
      </c>
      <c r="M38" s="51"/>
      <c r="N38" s="51"/>
      <c r="O38" s="51"/>
      <c r="P38" s="51"/>
      <c r="Q38" s="51"/>
      <c r="R38" s="51"/>
      <c r="S38" s="51"/>
      <c r="T38" s="51"/>
    </row>
    <row r="39">
      <c r="A39" s="51"/>
      <c r="B39" s="51"/>
      <c r="C39" s="56"/>
      <c r="D39" s="51"/>
      <c r="E39" s="51"/>
      <c r="F39" s="51"/>
      <c r="G39" s="51" t="str">
        <f>IFERROR(__xludf.DUMMYFUNCTION("""COMPUTED_VALUE"""),"#VALUE!")</f>
        <v>#VALUE!</v>
      </c>
      <c r="H39" s="51" t="str">
        <f>IFERROR(__xludf.DUMMYFUNCTION("""COMPUTED_VALUE"""),"")</f>
        <v/>
      </c>
      <c r="I39" s="51" t="str">
        <f>IFERROR(__xludf.DUMMYFUNCTION("""COMPUTED_VALUE"""),"#VALUE!")</f>
        <v>#VALUE!</v>
      </c>
      <c r="J39" s="51" t="str">
        <f>IFERROR(__xludf.DUMMYFUNCTION("""COMPUTED_VALUE"""),"")</f>
        <v/>
      </c>
      <c r="K39" s="51"/>
      <c r="L39" s="51" t="s">
        <v>257</v>
      </c>
      <c r="M39" s="51"/>
      <c r="N39" s="51"/>
      <c r="O39" s="51"/>
      <c r="P39" s="51"/>
      <c r="Q39" s="51"/>
      <c r="R39" s="51"/>
      <c r="S39" s="51"/>
      <c r="T39" s="51"/>
    </row>
    <row r="40">
      <c r="A40" s="51"/>
      <c r="B40" s="51"/>
      <c r="C40" s="56"/>
      <c r="D40" s="51"/>
      <c r="E40" s="51"/>
      <c r="F40" s="51"/>
      <c r="G40" s="51" t="str">
        <f>IFERROR(__xludf.DUMMYFUNCTION("""COMPUTED_VALUE"""),"#VALUE!")</f>
        <v>#VALUE!</v>
      </c>
      <c r="H40" s="51" t="str">
        <f>IFERROR(__xludf.DUMMYFUNCTION("""COMPUTED_VALUE"""),"")</f>
        <v/>
      </c>
      <c r="I40" s="51" t="str">
        <f>IFERROR(__xludf.DUMMYFUNCTION("""COMPUTED_VALUE"""),"#VALUE!")</f>
        <v>#VALUE!</v>
      </c>
      <c r="J40" s="51" t="str">
        <f>IFERROR(__xludf.DUMMYFUNCTION("""COMPUTED_VALUE"""),"")</f>
        <v/>
      </c>
      <c r="K40" s="51"/>
      <c r="L40" s="51" t="s">
        <v>257</v>
      </c>
      <c r="M40" s="51"/>
      <c r="N40" s="51"/>
      <c r="O40" s="51"/>
      <c r="P40" s="51"/>
      <c r="Q40" s="51"/>
      <c r="R40" s="51"/>
      <c r="S40" s="51"/>
      <c r="T40" s="51"/>
    </row>
    <row r="41">
      <c r="A41" s="51"/>
      <c r="B41" s="51"/>
      <c r="C41" s="56"/>
      <c r="D41" s="51"/>
      <c r="E41" s="51"/>
      <c r="F41" s="51"/>
      <c r="G41" s="51" t="str">
        <f>IFERROR(__xludf.DUMMYFUNCTION("""COMPUTED_VALUE"""),"#VALUE!")</f>
        <v>#VALUE!</v>
      </c>
      <c r="H41" s="51" t="str">
        <f>IFERROR(__xludf.DUMMYFUNCTION("""COMPUTED_VALUE"""),"")</f>
        <v/>
      </c>
      <c r="I41" s="51" t="str">
        <f>IFERROR(__xludf.DUMMYFUNCTION("""COMPUTED_VALUE"""),"#VALUE!")</f>
        <v>#VALUE!</v>
      </c>
      <c r="J41" s="51" t="str">
        <f>IFERROR(__xludf.DUMMYFUNCTION("""COMPUTED_VALUE"""),"")</f>
        <v/>
      </c>
      <c r="K41" s="51"/>
      <c r="L41" s="51" t="s">
        <v>257</v>
      </c>
      <c r="M41" s="51"/>
      <c r="N41" s="51"/>
      <c r="O41" s="51"/>
      <c r="P41" s="51"/>
      <c r="Q41" s="51"/>
      <c r="R41" s="51"/>
      <c r="S41" s="51"/>
      <c r="T41" s="51"/>
    </row>
    <row r="42">
      <c r="A42" s="51"/>
      <c r="B42" s="51"/>
      <c r="C42" s="56"/>
      <c r="D42" s="51"/>
      <c r="E42" s="51"/>
      <c r="F42" s="51"/>
      <c r="G42" s="51" t="str">
        <f>IFERROR(__xludf.DUMMYFUNCTION("""COMPUTED_VALUE"""),"#VALUE!")</f>
        <v>#VALUE!</v>
      </c>
      <c r="H42" s="51" t="str">
        <f>IFERROR(__xludf.DUMMYFUNCTION("""COMPUTED_VALUE"""),"")</f>
        <v/>
      </c>
      <c r="I42" s="51" t="str">
        <f>IFERROR(__xludf.DUMMYFUNCTION("""COMPUTED_VALUE"""),"#VALUE!")</f>
        <v>#VALUE!</v>
      </c>
      <c r="J42" s="51" t="str">
        <f>IFERROR(__xludf.DUMMYFUNCTION("""COMPUTED_VALUE"""),"")</f>
        <v/>
      </c>
      <c r="K42" s="51"/>
      <c r="L42" s="51" t="s">
        <v>257</v>
      </c>
      <c r="M42" s="51"/>
      <c r="N42" s="51"/>
      <c r="O42" s="51"/>
      <c r="P42" s="51"/>
      <c r="Q42" s="51"/>
      <c r="R42" s="51"/>
      <c r="S42" s="51"/>
      <c r="T42" s="51"/>
    </row>
    <row r="43">
      <c r="A43" s="51"/>
      <c r="B43" s="51"/>
      <c r="C43" s="56"/>
      <c r="D43" s="51"/>
      <c r="E43" s="51"/>
      <c r="F43" s="51"/>
      <c r="G43" s="51" t="str">
        <f>IFERROR(__xludf.DUMMYFUNCTION("""COMPUTED_VALUE"""),"#VALUE!")</f>
        <v>#VALUE!</v>
      </c>
      <c r="H43" s="51" t="str">
        <f>IFERROR(__xludf.DUMMYFUNCTION("""COMPUTED_VALUE"""),"")</f>
        <v/>
      </c>
      <c r="I43" s="51" t="str">
        <f>IFERROR(__xludf.DUMMYFUNCTION("""COMPUTED_VALUE"""),"#VALUE!")</f>
        <v>#VALUE!</v>
      </c>
      <c r="J43" s="51" t="str">
        <f>IFERROR(__xludf.DUMMYFUNCTION("""COMPUTED_VALUE"""),"")</f>
        <v/>
      </c>
      <c r="K43" s="51"/>
      <c r="L43" s="51" t="s">
        <v>257</v>
      </c>
      <c r="M43" s="51"/>
      <c r="N43" s="51"/>
      <c r="O43" s="51"/>
      <c r="P43" s="51"/>
      <c r="Q43" s="51"/>
      <c r="R43" s="51"/>
      <c r="S43" s="51"/>
      <c r="T43" s="51"/>
    </row>
    <row r="44">
      <c r="A44" s="51"/>
      <c r="B44" s="51"/>
      <c r="C44" s="56"/>
      <c r="D44" s="51"/>
      <c r="E44" s="51"/>
      <c r="F44" s="51"/>
      <c r="G44" s="51" t="str">
        <f>IFERROR(__xludf.DUMMYFUNCTION("""COMPUTED_VALUE"""),"#VALUE!")</f>
        <v>#VALUE!</v>
      </c>
      <c r="H44" s="51" t="str">
        <f>IFERROR(__xludf.DUMMYFUNCTION("""COMPUTED_VALUE"""),"")</f>
        <v/>
      </c>
      <c r="I44" s="51" t="str">
        <f>IFERROR(__xludf.DUMMYFUNCTION("""COMPUTED_VALUE"""),"#VALUE!")</f>
        <v>#VALUE!</v>
      </c>
      <c r="J44" s="51" t="str">
        <f>IFERROR(__xludf.DUMMYFUNCTION("""COMPUTED_VALUE"""),"")</f>
        <v/>
      </c>
      <c r="K44" s="51"/>
      <c r="L44" s="51" t="s">
        <v>257</v>
      </c>
      <c r="M44" s="51"/>
      <c r="N44" s="51"/>
      <c r="O44" s="51"/>
      <c r="P44" s="51"/>
      <c r="Q44" s="51"/>
      <c r="R44" s="51"/>
      <c r="S44" s="51"/>
      <c r="T44" s="51"/>
    </row>
    <row r="45">
      <c r="A45" s="51"/>
      <c r="B45" s="51"/>
      <c r="C45" s="56"/>
      <c r="D45" s="51"/>
      <c r="E45" s="51"/>
      <c r="F45" s="51"/>
      <c r="G45" s="51" t="str">
        <f>IFERROR(__xludf.DUMMYFUNCTION("""COMPUTED_VALUE"""),"#VALUE!")</f>
        <v>#VALUE!</v>
      </c>
      <c r="H45" s="51" t="str">
        <f>IFERROR(__xludf.DUMMYFUNCTION("""COMPUTED_VALUE"""),"")</f>
        <v/>
      </c>
      <c r="I45" s="51" t="str">
        <f>IFERROR(__xludf.DUMMYFUNCTION("""COMPUTED_VALUE"""),"#VALUE!")</f>
        <v>#VALUE!</v>
      </c>
      <c r="J45" s="51" t="str">
        <f>IFERROR(__xludf.DUMMYFUNCTION("""COMPUTED_VALUE"""),"")</f>
        <v/>
      </c>
      <c r="K45" s="51"/>
      <c r="L45" s="51" t="s">
        <v>257</v>
      </c>
      <c r="M45" s="51"/>
      <c r="N45" s="51"/>
      <c r="O45" s="51"/>
      <c r="P45" s="51"/>
      <c r="Q45" s="51"/>
      <c r="R45" s="51"/>
      <c r="S45" s="51"/>
      <c r="T45" s="51"/>
    </row>
    <row r="46">
      <c r="A46" s="51"/>
      <c r="B46" s="51"/>
      <c r="C46" s="56"/>
      <c r="D46" s="51"/>
      <c r="E46" s="51"/>
      <c r="F46" s="51"/>
      <c r="G46" s="51" t="str">
        <f>IFERROR(__xludf.DUMMYFUNCTION("""COMPUTED_VALUE"""),"#VALUE!")</f>
        <v>#VALUE!</v>
      </c>
      <c r="H46" s="51" t="str">
        <f>IFERROR(__xludf.DUMMYFUNCTION("""COMPUTED_VALUE"""),"")</f>
        <v/>
      </c>
      <c r="I46" s="51" t="str">
        <f>IFERROR(__xludf.DUMMYFUNCTION("""COMPUTED_VALUE"""),"#VALUE!")</f>
        <v>#VALUE!</v>
      </c>
      <c r="J46" s="51" t="str">
        <f>IFERROR(__xludf.DUMMYFUNCTION("""COMPUTED_VALUE"""),"")</f>
        <v/>
      </c>
      <c r="K46" s="51"/>
      <c r="L46" s="51" t="s">
        <v>257</v>
      </c>
      <c r="M46" s="51"/>
      <c r="N46" s="51"/>
      <c r="O46" s="51"/>
      <c r="P46" s="51"/>
      <c r="Q46" s="51"/>
      <c r="R46" s="51"/>
      <c r="S46" s="51"/>
      <c r="T46" s="51"/>
    </row>
    <row r="47">
      <c r="A47" s="51"/>
      <c r="B47" s="51"/>
      <c r="C47" s="56"/>
      <c r="D47" s="51"/>
      <c r="E47" s="51"/>
      <c r="F47" s="51"/>
      <c r="G47" s="51" t="str">
        <f>IFERROR(__xludf.DUMMYFUNCTION("""COMPUTED_VALUE"""),"#VALUE!")</f>
        <v>#VALUE!</v>
      </c>
      <c r="H47" s="51" t="str">
        <f>IFERROR(__xludf.DUMMYFUNCTION("""COMPUTED_VALUE"""),"")</f>
        <v/>
      </c>
      <c r="I47" s="51" t="str">
        <f>IFERROR(__xludf.DUMMYFUNCTION("""COMPUTED_VALUE"""),"#VALUE!")</f>
        <v>#VALUE!</v>
      </c>
      <c r="J47" s="51" t="str">
        <f>IFERROR(__xludf.DUMMYFUNCTION("""COMPUTED_VALUE"""),"")</f>
        <v/>
      </c>
      <c r="K47" s="51"/>
      <c r="L47" s="51" t="s">
        <v>257</v>
      </c>
      <c r="M47" s="51"/>
      <c r="N47" s="51"/>
      <c r="O47" s="51"/>
      <c r="P47" s="51"/>
      <c r="Q47" s="51"/>
      <c r="R47" s="51"/>
      <c r="S47" s="51"/>
      <c r="T47" s="51"/>
    </row>
    <row r="48">
      <c r="A48" s="51"/>
      <c r="B48" s="51"/>
      <c r="C48" s="56"/>
      <c r="D48" s="51"/>
      <c r="E48" s="51"/>
      <c r="F48" s="51"/>
      <c r="G48" s="51" t="str">
        <f>IFERROR(__xludf.DUMMYFUNCTION("""COMPUTED_VALUE"""),"#VALUE!")</f>
        <v>#VALUE!</v>
      </c>
      <c r="H48" s="51" t="str">
        <f>IFERROR(__xludf.DUMMYFUNCTION("""COMPUTED_VALUE"""),"")</f>
        <v/>
      </c>
      <c r="I48" s="51" t="str">
        <f>IFERROR(__xludf.DUMMYFUNCTION("""COMPUTED_VALUE"""),"#VALUE!")</f>
        <v>#VALUE!</v>
      </c>
      <c r="J48" s="51" t="str">
        <f>IFERROR(__xludf.DUMMYFUNCTION("""COMPUTED_VALUE"""),"")</f>
        <v/>
      </c>
      <c r="K48" s="51"/>
      <c r="L48" s="51" t="s">
        <v>257</v>
      </c>
      <c r="M48" s="51"/>
      <c r="N48" s="51"/>
      <c r="O48" s="51"/>
      <c r="P48" s="51"/>
      <c r="Q48" s="51"/>
      <c r="R48" s="51"/>
      <c r="S48" s="51"/>
      <c r="T48" s="51"/>
    </row>
    <row r="49">
      <c r="A49" s="51"/>
      <c r="B49" s="51"/>
      <c r="C49" s="56"/>
      <c r="D49" s="51"/>
      <c r="E49" s="51"/>
      <c r="F49" s="51"/>
      <c r="G49" s="51" t="str">
        <f>IFERROR(__xludf.DUMMYFUNCTION("""COMPUTED_VALUE"""),"#VALUE!")</f>
        <v>#VALUE!</v>
      </c>
      <c r="H49" s="51" t="str">
        <f>IFERROR(__xludf.DUMMYFUNCTION("""COMPUTED_VALUE"""),"")</f>
        <v/>
      </c>
      <c r="I49" s="51" t="str">
        <f>IFERROR(__xludf.DUMMYFUNCTION("""COMPUTED_VALUE"""),"#VALUE!")</f>
        <v>#VALUE!</v>
      </c>
      <c r="J49" s="51" t="str">
        <f>IFERROR(__xludf.DUMMYFUNCTION("""COMPUTED_VALUE"""),"")</f>
        <v/>
      </c>
      <c r="K49" s="51"/>
      <c r="L49" s="51" t="s">
        <v>257</v>
      </c>
      <c r="M49" s="51"/>
      <c r="N49" s="51"/>
      <c r="O49" s="51"/>
      <c r="P49" s="51"/>
      <c r="Q49" s="51"/>
      <c r="R49" s="51"/>
      <c r="S49" s="51"/>
      <c r="T49" s="51"/>
    </row>
    <row r="50">
      <c r="A50" s="51"/>
      <c r="B50" s="51"/>
      <c r="C50" s="56"/>
      <c r="D50" s="51"/>
      <c r="E50" s="51"/>
      <c r="F50" s="51"/>
      <c r="G50" s="51" t="str">
        <f>IFERROR(__xludf.DUMMYFUNCTION("""COMPUTED_VALUE"""),"#VALUE!")</f>
        <v>#VALUE!</v>
      </c>
      <c r="H50" s="51" t="str">
        <f>IFERROR(__xludf.DUMMYFUNCTION("""COMPUTED_VALUE"""),"")</f>
        <v/>
      </c>
      <c r="I50" s="51" t="str">
        <f>IFERROR(__xludf.DUMMYFUNCTION("""COMPUTED_VALUE"""),"#VALUE!")</f>
        <v>#VALUE!</v>
      </c>
      <c r="J50" s="51" t="str">
        <f>IFERROR(__xludf.DUMMYFUNCTION("""COMPUTED_VALUE"""),"")</f>
        <v/>
      </c>
      <c r="K50" s="51"/>
      <c r="L50" s="51" t="s">
        <v>257</v>
      </c>
      <c r="M50" s="51"/>
      <c r="N50" s="51"/>
      <c r="O50" s="51"/>
      <c r="P50" s="51"/>
      <c r="Q50" s="51"/>
      <c r="R50" s="51"/>
      <c r="S50" s="51"/>
      <c r="T50" s="51"/>
    </row>
    <row r="51">
      <c r="A51" s="51"/>
      <c r="B51" s="51"/>
      <c r="C51" s="56"/>
      <c r="D51" s="51"/>
      <c r="E51" s="51"/>
      <c r="F51" s="51"/>
      <c r="G51" s="51" t="str">
        <f>IFERROR(__xludf.DUMMYFUNCTION("""COMPUTED_VALUE"""),"#VALUE!")</f>
        <v>#VALUE!</v>
      </c>
      <c r="H51" s="51" t="str">
        <f>IFERROR(__xludf.DUMMYFUNCTION("""COMPUTED_VALUE"""),"")</f>
        <v/>
      </c>
      <c r="I51" s="51" t="str">
        <f>IFERROR(__xludf.DUMMYFUNCTION("""COMPUTED_VALUE"""),"#VALUE!")</f>
        <v>#VALUE!</v>
      </c>
      <c r="J51" s="51" t="str">
        <f>IFERROR(__xludf.DUMMYFUNCTION("""COMPUTED_VALUE"""),"")</f>
        <v/>
      </c>
      <c r="K51" s="51"/>
      <c r="L51" s="51" t="s">
        <v>257</v>
      </c>
      <c r="M51" s="51"/>
      <c r="N51" s="51"/>
      <c r="O51" s="51"/>
      <c r="P51" s="51"/>
      <c r="Q51" s="51"/>
      <c r="R51" s="51"/>
      <c r="S51" s="51"/>
      <c r="T51" s="51"/>
    </row>
    <row r="52">
      <c r="A52" s="51"/>
      <c r="B52" s="51"/>
      <c r="C52" s="56"/>
      <c r="D52" s="51"/>
      <c r="E52" s="51"/>
      <c r="F52" s="51"/>
      <c r="G52" s="51" t="str">
        <f>IFERROR(__xludf.DUMMYFUNCTION("""COMPUTED_VALUE"""),"#VALUE!")</f>
        <v>#VALUE!</v>
      </c>
      <c r="H52" s="51" t="str">
        <f>IFERROR(__xludf.DUMMYFUNCTION("""COMPUTED_VALUE"""),"")</f>
        <v/>
      </c>
      <c r="I52" s="51" t="str">
        <f>IFERROR(__xludf.DUMMYFUNCTION("""COMPUTED_VALUE"""),"#VALUE!")</f>
        <v>#VALUE!</v>
      </c>
      <c r="J52" s="51" t="str">
        <f>IFERROR(__xludf.DUMMYFUNCTION("""COMPUTED_VALUE"""),"")</f>
        <v/>
      </c>
      <c r="K52" s="51"/>
      <c r="L52" s="51" t="s">
        <v>257</v>
      </c>
      <c r="M52" s="51"/>
      <c r="N52" s="51"/>
      <c r="O52" s="51"/>
      <c r="P52" s="51"/>
      <c r="Q52" s="51"/>
      <c r="R52" s="51"/>
      <c r="S52" s="51"/>
      <c r="T52" s="51"/>
    </row>
    <row r="53">
      <c r="A53" s="51"/>
      <c r="B53" s="51"/>
      <c r="C53" s="56"/>
      <c r="D53" s="51"/>
      <c r="E53" s="51"/>
      <c r="F53" s="51"/>
      <c r="G53" s="51" t="str">
        <f>IFERROR(__xludf.DUMMYFUNCTION("""COMPUTED_VALUE"""),"#VALUE!")</f>
        <v>#VALUE!</v>
      </c>
      <c r="H53" s="51" t="str">
        <f>IFERROR(__xludf.DUMMYFUNCTION("""COMPUTED_VALUE"""),"")</f>
        <v/>
      </c>
      <c r="I53" s="51" t="str">
        <f>IFERROR(__xludf.DUMMYFUNCTION("""COMPUTED_VALUE"""),"#VALUE!")</f>
        <v>#VALUE!</v>
      </c>
      <c r="J53" s="51" t="str">
        <f>IFERROR(__xludf.DUMMYFUNCTION("""COMPUTED_VALUE"""),"")</f>
        <v/>
      </c>
      <c r="K53" s="51"/>
      <c r="L53" s="51" t="s">
        <v>257</v>
      </c>
      <c r="M53" s="51"/>
      <c r="N53" s="51"/>
      <c r="O53" s="51"/>
      <c r="P53" s="51"/>
      <c r="Q53" s="51"/>
      <c r="R53" s="51"/>
      <c r="S53" s="51"/>
      <c r="T53" s="51"/>
    </row>
    <row r="54">
      <c r="A54" s="51"/>
      <c r="B54" s="51"/>
      <c r="C54" s="56"/>
      <c r="D54" s="51"/>
      <c r="E54" s="51"/>
      <c r="F54" s="51"/>
      <c r="G54" s="51" t="str">
        <f>IFERROR(__xludf.DUMMYFUNCTION("""COMPUTED_VALUE"""),"#VALUE!")</f>
        <v>#VALUE!</v>
      </c>
      <c r="H54" s="51" t="str">
        <f>IFERROR(__xludf.DUMMYFUNCTION("""COMPUTED_VALUE"""),"")</f>
        <v/>
      </c>
      <c r="I54" s="51" t="str">
        <f>IFERROR(__xludf.DUMMYFUNCTION("""COMPUTED_VALUE"""),"#VALUE!")</f>
        <v>#VALUE!</v>
      </c>
      <c r="J54" s="51" t="str">
        <f>IFERROR(__xludf.DUMMYFUNCTION("""COMPUTED_VALUE"""),"")</f>
        <v/>
      </c>
      <c r="K54" s="51"/>
      <c r="L54" s="51" t="s">
        <v>257</v>
      </c>
      <c r="M54" s="51"/>
      <c r="N54" s="51"/>
      <c r="O54" s="51"/>
      <c r="P54" s="51"/>
      <c r="Q54" s="51"/>
      <c r="R54" s="51"/>
      <c r="S54" s="51"/>
      <c r="T54" s="51"/>
    </row>
    <row r="55">
      <c r="A55" s="51"/>
      <c r="B55" s="51"/>
      <c r="C55" s="56"/>
      <c r="D55" s="51"/>
      <c r="E55" s="51"/>
      <c r="F55" s="51"/>
      <c r="G55" s="51" t="str">
        <f>IFERROR(__xludf.DUMMYFUNCTION("""COMPUTED_VALUE"""),"#VALUE!")</f>
        <v>#VALUE!</v>
      </c>
      <c r="H55" s="51" t="str">
        <f>IFERROR(__xludf.DUMMYFUNCTION("""COMPUTED_VALUE"""),"")</f>
        <v/>
      </c>
      <c r="I55" s="51" t="str">
        <f>IFERROR(__xludf.DUMMYFUNCTION("""COMPUTED_VALUE"""),"#VALUE!")</f>
        <v>#VALUE!</v>
      </c>
      <c r="J55" s="51" t="str">
        <f>IFERROR(__xludf.DUMMYFUNCTION("""COMPUTED_VALUE"""),"")</f>
        <v/>
      </c>
      <c r="K55" s="51"/>
      <c r="L55" s="51" t="s">
        <v>257</v>
      </c>
      <c r="M55" s="51"/>
      <c r="N55" s="51"/>
      <c r="O55" s="51"/>
      <c r="P55" s="51"/>
      <c r="Q55" s="51"/>
      <c r="R55" s="51"/>
      <c r="S55" s="51"/>
      <c r="T55" s="51"/>
    </row>
    <row r="56">
      <c r="A56" s="51"/>
      <c r="B56" s="51"/>
      <c r="C56" s="56"/>
      <c r="D56" s="51"/>
      <c r="E56" s="51"/>
      <c r="F56" s="51"/>
      <c r="G56" s="51" t="str">
        <f>IFERROR(__xludf.DUMMYFUNCTION("""COMPUTED_VALUE"""),"#VALUE!")</f>
        <v>#VALUE!</v>
      </c>
      <c r="H56" s="51" t="str">
        <f>IFERROR(__xludf.DUMMYFUNCTION("""COMPUTED_VALUE"""),"")</f>
        <v/>
      </c>
      <c r="I56" s="51" t="str">
        <f>IFERROR(__xludf.DUMMYFUNCTION("""COMPUTED_VALUE"""),"#VALUE!")</f>
        <v>#VALUE!</v>
      </c>
      <c r="J56" s="51" t="str">
        <f>IFERROR(__xludf.DUMMYFUNCTION("""COMPUTED_VALUE"""),"")</f>
        <v/>
      </c>
      <c r="K56" s="51"/>
      <c r="L56" s="51" t="s">
        <v>257</v>
      </c>
      <c r="M56" s="51"/>
      <c r="N56" s="51"/>
      <c r="O56" s="51"/>
      <c r="P56" s="51"/>
      <c r="Q56" s="51"/>
      <c r="R56" s="51"/>
      <c r="S56" s="51"/>
      <c r="T56" s="51"/>
    </row>
    <row r="57">
      <c r="A57" s="51"/>
      <c r="B57" s="51"/>
      <c r="C57" s="56"/>
      <c r="D57" s="51"/>
      <c r="E57" s="51"/>
      <c r="F57" s="51"/>
      <c r="G57" s="51" t="str">
        <f>IFERROR(__xludf.DUMMYFUNCTION("""COMPUTED_VALUE"""),"#VALUE!")</f>
        <v>#VALUE!</v>
      </c>
      <c r="H57" s="51" t="str">
        <f>IFERROR(__xludf.DUMMYFUNCTION("""COMPUTED_VALUE"""),"")</f>
        <v/>
      </c>
      <c r="I57" s="51" t="str">
        <f>IFERROR(__xludf.DUMMYFUNCTION("""COMPUTED_VALUE"""),"#VALUE!")</f>
        <v>#VALUE!</v>
      </c>
      <c r="J57" s="51" t="str">
        <f>IFERROR(__xludf.DUMMYFUNCTION("""COMPUTED_VALUE"""),"")</f>
        <v/>
      </c>
      <c r="K57" s="51"/>
      <c r="L57" s="51" t="s">
        <v>257</v>
      </c>
      <c r="M57" s="51"/>
      <c r="N57" s="51"/>
      <c r="O57" s="51"/>
      <c r="P57" s="51"/>
      <c r="Q57" s="51"/>
      <c r="R57" s="51"/>
      <c r="S57" s="51"/>
      <c r="T57" s="51"/>
    </row>
    <row r="58">
      <c r="A58" s="51"/>
      <c r="B58" s="51"/>
      <c r="C58" s="56"/>
      <c r="D58" s="51"/>
      <c r="E58" s="51"/>
      <c r="F58" s="51"/>
      <c r="G58" s="51" t="str">
        <f>IFERROR(__xludf.DUMMYFUNCTION("""COMPUTED_VALUE"""),"#VALUE!")</f>
        <v>#VALUE!</v>
      </c>
      <c r="H58" s="51" t="str">
        <f>IFERROR(__xludf.DUMMYFUNCTION("""COMPUTED_VALUE"""),"")</f>
        <v/>
      </c>
      <c r="I58" s="51" t="str">
        <f>IFERROR(__xludf.DUMMYFUNCTION("""COMPUTED_VALUE"""),"#VALUE!")</f>
        <v>#VALUE!</v>
      </c>
      <c r="J58" s="51" t="str">
        <f>IFERROR(__xludf.DUMMYFUNCTION("""COMPUTED_VALUE"""),"")</f>
        <v/>
      </c>
      <c r="K58" s="51"/>
      <c r="L58" s="51" t="s">
        <v>257</v>
      </c>
      <c r="M58" s="51"/>
      <c r="N58" s="51"/>
      <c r="O58" s="51"/>
      <c r="P58" s="51"/>
      <c r="Q58" s="51"/>
      <c r="R58" s="51"/>
      <c r="S58" s="51"/>
      <c r="T58" s="51"/>
    </row>
    <row r="59">
      <c r="A59" s="51"/>
      <c r="B59" s="51"/>
      <c r="C59" s="56"/>
      <c r="D59" s="51"/>
      <c r="E59" s="51"/>
      <c r="F59" s="51"/>
      <c r="G59" s="51" t="str">
        <f>IFERROR(__xludf.DUMMYFUNCTION("""COMPUTED_VALUE"""),"#VALUE!")</f>
        <v>#VALUE!</v>
      </c>
      <c r="H59" s="51" t="str">
        <f>IFERROR(__xludf.DUMMYFUNCTION("""COMPUTED_VALUE"""),"")</f>
        <v/>
      </c>
      <c r="I59" s="51" t="str">
        <f>IFERROR(__xludf.DUMMYFUNCTION("""COMPUTED_VALUE"""),"#VALUE!")</f>
        <v>#VALUE!</v>
      </c>
      <c r="J59" s="51" t="str">
        <f>IFERROR(__xludf.DUMMYFUNCTION("""COMPUTED_VALUE"""),"")</f>
        <v/>
      </c>
      <c r="K59" s="51"/>
      <c r="L59" s="51" t="s">
        <v>257</v>
      </c>
      <c r="M59" s="51"/>
      <c r="N59" s="51"/>
      <c r="O59" s="51"/>
      <c r="P59" s="51"/>
      <c r="Q59" s="51"/>
      <c r="R59" s="51"/>
      <c r="S59" s="51"/>
      <c r="T59" s="51"/>
    </row>
    <row r="60">
      <c r="A60" s="51"/>
      <c r="B60" s="51"/>
      <c r="C60" s="56"/>
      <c r="D60" s="51"/>
      <c r="E60" s="51"/>
      <c r="F60" s="51"/>
      <c r="G60" s="51" t="str">
        <f>IFERROR(__xludf.DUMMYFUNCTION("""COMPUTED_VALUE"""),"#VALUE!")</f>
        <v>#VALUE!</v>
      </c>
      <c r="H60" s="51" t="str">
        <f>IFERROR(__xludf.DUMMYFUNCTION("""COMPUTED_VALUE"""),"")</f>
        <v/>
      </c>
      <c r="I60" s="51" t="str">
        <f>IFERROR(__xludf.DUMMYFUNCTION("""COMPUTED_VALUE"""),"#VALUE!")</f>
        <v>#VALUE!</v>
      </c>
      <c r="J60" s="51" t="str">
        <f>IFERROR(__xludf.DUMMYFUNCTION("""COMPUTED_VALUE"""),"")</f>
        <v/>
      </c>
      <c r="K60" s="51"/>
      <c r="L60" s="51" t="s">
        <v>257</v>
      </c>
      <c r="M60" s="51"/>
      <c r="N60" s="51"/>
      <c r="O60" s="51"/>
      <c r="P60" s="51"/>
      <c r="Q60" s="51"/>
      <c r="R60" s="51"/>
      <c r="S60" s="51"/>
      <c r="T60" s="51"/>
    </row>
    <row r="61">
      <c r="A61" s="51"/>
      <c r="B61" s="51"/>
      <c r="C61" s="56"/>
      <c r="D61" s="51"/>
      <c r="E61" s="51"/>
      <c r="F61" s="51"/>
      <c r="G61" s="51" t="str">
        <f>IFERROR(__xludf.DUMMYFUNCTION("""COMPUTED_VALUE"""),"#VALUE!")</f>
        <v>#VALUE!</v>
      </c>
      <c r="H61" s="51" t="str">
        <f>IFERROR(__xludf.DUMMYFUNCTION("""COMPUTED_VALUE"""),"")</f>
        <v/>
      </c>
      <c r="I61" s="51" t="str">
        <f>IFERROR(__xludf.DUMMYFUNCTION("""COMPUTED_VALUE"""),"#VALUE!")</f>
        <v>#VALUE!</v>
      </c>
      <c r="J61" s="51" t="str">
        <f>IFERROR(__xludf.DUMMYFUNCTION("""COMPUTED_VALUE"""),"")</f>
        <v/>
      </c>
      <c r="K61" s="51"/>
      <c r="L61" s="51" t="s">
        <v>257</v>
      </c>
      <c r="M61" s="51"/>
      <c r="N61" s="51"/>
      <c r="O61" s="51"/>
      <c r="P61" s="51"/>
      <c r="Q61" s="51"/>
      <c r="R61" s="51"/>
      <c r="S61" s="51"/>
      <c r="T61" s="51"/>
    </row>
    <row r="62">
      <c r="A62" s="51"/>
      <c r="B62" s="51"/>
      <c r="C62" s="56"/>
      <c r="D62" s="51"/>
      <c r="E62" s="51"/>
      <c r="F62" s="51"/>
      <c r="G62" s="51" t="str">
        <f>IFERROR(__xludf.DUMMYFUNCTION("""COMPUTED_VALUE"""),"#VALUE!")</f>
        <v>#VALUE!</v>
      </c>
      <c r="H62" s="51" t="str">
        <f>IFERROR(__xludf.DUMMYFUNCTION("""COMPUTED_VALUE"""),"")</f>
        <v/>
      </c>
      <c r="I62" s="51" t="str">
        <f>IFERROR(__xludf.DUMMYFUNCTION("""COMPUTED_VALUE"""),"#VALUE!")</f>
        <v>#VALUE!</v>
      </c>
      <c r="J62" s="51" t="str">
        <f>IFERROR(__xludf.DUMMYFUNCTION("""COMPUTED_VALUE"""),"")</f>
        <v/>
      </c>
      <c r="K62" s="51"/>
      <c r="L62" s="51" t="s">
        <v>257</v>
      </c>
      <c r="M62" s="51"/>
      <c r="N62" s="51"/>
      <c r="O62" s="51"/>
      <c r="P62" s="51"/>
      <c r="Q62" s="51"/>
      <c r="R62" s="51"/>
      <c r="S62" s="51"/>
      <c r="T62" s="51"/>
    </row>
    <row r="63">
      <c r="A63" s="51"/>
      <c r="B63" s="51"/>
      <c r="C63" s="56"/>
      <c r="D63" s="51"/>
      <c r="E63" s="51"/>
      <c r="F63" s="51"/>
      <c r="G63" s="51" t="str">
        <f>IFERROR(__xludf.DUMMYFUNCTION("""COMPUTED_VALUE"""),"#VALUE!")</f>
        <v>#VALUE!</v>
      </c>
      <c r="H63" s="51" t="str">
        <f>IFERROR(__xludf.DUMMYFUNCTION("""COMPUTED_VALUE"""),"")</f>
        <v/>
      </c>
      <c r="I63" s="51" t="str">
        <f>IFERROR(__xludf.DUMMYFUNCTION("""COMPUTED_VALUE"""),"#VALUE!")</f>
        <v>#VALUE!</v>
      </c>
      <c r="J63" s="51" t="str">
        <f>IFERROR(__xludf.DUMMYFUNCTION("""COMPUTED_VALUE"""),"")</f>
        <v/>
      </c>
      <c r="K63" s="51"/>
      <c r="L63" s="51" t="s">
        <v>257</v>
      </c>
      <c r="M63" s="51"/>
      <c r="N63" s="51"/>
      <c r="O63" s="51"/>
      <c r="P63" s="51"/>
      <c r="Q63" s="51"/>
      <c r="R63" s="51"/>
      <c r="S63" s="51"/>
      <c r="T63" s="51"/>
    </row>
    <row r="64">
      <c r="A64" s="51"/>
      <c r="B64" s="51"/>
      <c r="C64" s="56"/>
      <c r="D64" s="51"/>
      <c r="E64" s="51"/>
      <c r="F64" s="51"/>
      <c r="G64" s="51" t="str">
        <f>IFERROR(__xludf.DUMMYFUNCTION("""COMPUTED_VALUE"""),"#VALUE!")</f>
        <v>#VALUE!</v>
      </c>
      <c r="H64" s="51" t="str">
        <f>IFERROR(__xludf.DUMMYFUNCTION("""COMPUTED_VALUE"""),"")</f>
        <v/>
      </c>
      <c r="I64" s="51" t="str">
        <f>IFERROR(__xludf.DUMMYFUNCTION("""COMPUTED_VALUE"""),"#VALUE!")</f>
        <v>#VALUE!</v>
      </c>
      <c r="J64" s="51" t="str">
        <f>IFERROR(__xludf.DUMMYFUNCTION("""COMPUTED_VALUE"""),"")</f>
        <v/>
      </c>
      <c r="K64" s="51"/>
      <c r="L64" s="51" t="s">
        <v>257</v>
      </c>
      <c r="M64" s="51"/>
      <c r="N64" s="51"/>
      <c r="O64" s="51"/>
      <c r="P64" s="51"/>
      <c r="Q64" s="51"/>
      <c r="R64" s="51"/>
      <c r="S64" s="51"/>
      <c r="T64" s="51"/>
    </row>
    <row r="65">
      <c r="A65" s="51"/>
      <c r="B65" s="51"/>
      <c r="C65" s="56"/>
      <c r="D65" s="51"/>
      <c r="E65" s="51"/>
      <c r="F65" s="51"/>
      <c r="G65" s="51" t="str">
        <f>IFERROR(__xludf.DUMMYFUNCTION("""COMPUTED_VALUE"""),"#VALUE!")</f>
        <v>#VALUE!</v>
      </c>
      <c r="H65" s="51" t="str">
        <f>IFERROR(__xludf.DUMMYFUNCTION("""COMPUTED_VALUE"""),"")</f>
        <v/>
      </c>
      <c r="I65" s="51" t="str">
        <f>IFERROR(__xludf.DUMMYFUNCTION("""COMPUTED_VALUE"""),"#VALUE!")</f>
        <v>#VALUE!</v>
      </c>
      <c r="J65" s="51" t="str">
        <f>IFERROR(__xludf.DUMMYFUNCTION("""COMPUTED_VALUE"""),"")</f>
        <v/>
      </c>
      <c r="K65" s="51"/>
      <c r="L65" s="51" t="s">
        <v>257</v>
      </c>
      <c r="M65" s="51"/>
      <c r="N65" s="51"/>
      <c r="O65" s="51"/>
      <c r="P65" s="51"/>
      <c r="Q65" s="51"/>
      <c r="R65" s="51"/>
      <c r="S65" s="51"/>
      <c r="T65" s="51"/>
    </row>
    <row r="66">
      <c r="A66" s="51"/>
      <c r="B66" s="51"/>
      <c r="C66" s="56"/>
      <c r="D66" s="51"/>
      <c r="E66" s="51"/>
      <c r="F66" s="51"/>
      <c r="G66" s="51" t="str">
        <f>IFERROR(__xludf.DUMMYFUNCTION("""COMPUTED_VALUE"""),"#VALUE!")</f>
        <v>#VALUE!</v>
      </c>
      <c r="H66" s="51" t="str">
        <f>IFERROR(__xludf.DUMMYFUNCTION("""COMPUTED_VALUE"""),"")</f>
        <v/>
      </c>
      <c r="I66" s="51" t="str">
        <f>IFERROR(__xludf.DUMMYFUNCTION("""COMPUTED_VALUE"""),"#VALUE!")</f>
        <v>#VALUE!</v>
      </c>
      <c r="J66" s="51" t="str">
        <f>IFERROR(__xludf.DUMMYFUNCTION("""COMPUTED_VALUE"""),"")</f>
        <v/>
      </c>
      <c r="K66" s="51"/>
      <c r="L66" s="51" t="s">
        <v>257</v>
      </c>
      <c r="M66" s="51"/>
      <c r="N66" s="51"/>
      <c r="O66" s="51"/>
      <c r="P66" s="51"/>
      <c r="Q66" s="51"/>
      <c r="R66" s="51"/>
      <c r="S66" s="51"/>
      <c r="T66" s="51"/>
    </row>
    <row r="67">
      <c r="A67" s="51"/>
      <c r="B67" s="51"/>
      <c r="C67" s="56"/>
      <c r="D67" s="51"/>
      <c r="E67" s="51"/>
      <c r="F67" s="51"/>
      <c r="G67" s="51" t="str">
        <f>IFERROR(__xludf.DUMMYFUNCTION("""COMPUTED_VALUE"""),"#VALUE!")</f>
        <v>#VALUE!</v>
      </c>
      <c r="H67" s="51" t="str">
        <f>IFERROR(__xludf.DUMMYFUNCTION("""COMPUTED_VALUE"""),"")</f>
        <v/>
      </c>
      <c r="I67" s="51" t="str">
        <f>IFERROR(__xludf.DUMMYFUNCTION("""COMPUTED_VALUE"""),"#VALUE!")</f>
        <v>#VALUE!</v>
      </c>
      <c r="J67" s="51" t="str">
        <f>IFERROR(__xludf.DUMMYFUNCTION("""COMPUTED_VALUE"""),"")</f>
        <v/>
      </c>
      <c r="K67" s="51"/>
      <c r="L67" s="51" t="s">
        <v>257</v>
      </c>
      <c r="M67" s="51"/>
      <c r="N67" s="51"/>
      <c r="O67" s="51"/>
      <c r="P67" s="51"/>
      <c r="Q67" s="51"/>
      <c r="R67" s="51"/>
      <c r="S67" s="51"/>
      <c r="T67" s="51"/>
    </row>
    <row r="68">
      <c r="A68" s="51"/>
      <c r="B68" s="51"/>
      <c r="C68" s="56"/>
      <c r="D68" s="51"/>
      <c r="E68" s="51"/>
      <c r="F68" s="51"/>
      <c r="G68" s="51" t="str">
        <f>IFERROR(__xludf.DUMMYFUNCTION("""COMPUTED_VALUE"""),"#VALUE!")</f>
        <v>#VALUE!</v>
      </c>
      <c r="H68" s="51" t="str">
        <f>IFERROR(__xludf.DUMMYFUNCTION("""COMPUTED_VALUE"""),"")</f>
        <v/>
      </c>
      <c r="I68" s="51" t="str">
        <f>IFERROR(__xludf.DUMMYFUNCTION("""COMPUTED_VALUE"""),"#VALUE!")</f>
        <v>#VALUE!</v>
      </c>
      <c r="J68" s="51" t="str">
        <f>IFERROR(__xludf.DUMMYFUNCTION("""COMPUTED_VALUE"""),"")</f>
        <v/>
      </c>
      <c r="K68" s="51"/>
      <c r="L68" s="51" t="s">
        <v>257</v>
      </c>
      <c r="M68" s="51"/>
      <c r="N68" s="51"/>
      <c r="O68" s="51"/>
      <c r="P68" s="51"/>
      <c r="Q68" s="51"/>
      <c r="R68" s="51"/>
      <c r="S68" s="51"/>
      <c r="T68" s="51"/>
    </row>
    <row r="69">
      <c r="A69" s="51"/>
      <c r="B69" s="51"/>
      <c r="C69" s="56"/>
      <c r="D69" s="51"/>
      <c r="E69" s="51"/>
      <c r="F69" s="51"/>
      <c r="G69" s="51" t="str">
        <f>IFERROR(__xludf.DUMMYFUNCTION("""COMPUTED_VALUE"""),"#VALUE!")</f>
        <v>#VALUE!</v>
      </c>
      <c r="H69" s="51" t="str">
        <f>IFERROR(__xludf.DUMMYFUNCTION("""COMPUTED_VALUE"""),"")</f>
        <v/>
      </c>
      <c r="I69" s="51" t="str">
        <f>IFERROR(__xludf.DUMMYFUNCTION("""COMPUTED_VALUE"""),"#VALUE!")</f>
        <v>#VALUE!</v>
      </c>
      <c r="J69" s="51" t="str">
        <f>IFERROR(__xludf.DUMMYFUNCTION("""COMPUTED_VALUE"""),"")</f>
        <v/>
      </c>
      <c r="K69" s="51"/>
      <c r="L69" s="51" t="s">
        <v>257</v>
      </c>
      <c r="M69" s="51"/>
      <c r="N69" s="51"/>
      <c r="O69" s="51"/>
      <c r="P69" s="51"/>
      <c r="Q69" s="51"/>
      <c r="R69" s="51"/>
      <c r="S69" s="51"/>
      <c r="T69" s="51"/>
    </row>
    <row r="70">
      <c r="A70" s="51"/>
      <c r="B70" s="51"/>
      <c r="C70" s="56"/>
      <c r="D70" s="51"/>
      <c r="E70" s="51"/>
      <c r="F70" s="51"/>
      <c r="G70" s="51" t="str">
        <f>IFERROR(__xludf.DUMMYFUNCTION("""COMPUTED_VALUE"""),"#VALUE!")</f>
        <v>#VALUE!</v>
      </c>
      <c r="H70" s="51" t="str">
        <f>IFERROR(__xludf.DUMMYFUNCTION("""COMPUTED_VALUE"""),"")</f>
        <v/>
      </c>
      <c r="I70" s="51" t="str">
        <f>IFERROR(__xludf.DUMMYFUNCTION("""COMPUTED_VALUE"""),"#VALUE!")</f>
        <v>#VALUE!</v>
      </c>
      <c r="J70" s="51" t="str">
        <f>IFERROR(__xludf.DUMMYFUNCTION("""COMPUTED_VALUE"""),"")</f>
        <v/>
      </c>
      <c r="K70" s="51"/>
      <c r="L70" s="51" t="s">
        <v>257</v>
      </c>
      <c r="M70" s="51"/>
      <c r="N70" s="51"/>
      <c r="O70" s="51"/>
      <c r="P70" s="51"/>
      <c r="Q70" s="51"/>
      <c r="R70" s="51"/>
      <c r="S70" s="51"/>
      <c r="T70" s="51"/>
    </row>
    <row r="71">
      <c r="A71" s="51"/>
      <c r="B71" s="51"/>
      <c r="C71" s="56"/>
      <c r="D71" s="51"/>
      <c r="E71" s="51"/>
      <c r="F71" s="51"/>
      <c r="G71" s="51" t="str">
        <f>IFERROR(__xludf.DUMMYFUNCTION("""COMPUTED_VALUE"""),"#VALUE!")</f>
        <v>#VALUE!</v>
      </c>
      <c r="H71" s="51" t="str">
        <f>IFERROR(__xludf.DUMMYFUNCTION("""COMPUTED_VALUE"""),"")</f>
        <v/>
      </c>
      <c r="I71" s="51" t="str">
        <f>IFERROR(__xludf.DUMMYFUNCTION("""COMPUTED_VALUE"""),"#VALUE!")</f>
        <v>#VALUE!</v>
      </c>
      <c r="J71" s="51" t="str">
        <f>IFERROR(__xludf.DUMMYFUNCTION("""COMPUTED_VALUE"""),"")</f>
        <v/>
      </c>
      <c r="K71" s="51"/>
      <c r="L71" s="51" t="s">
        <v>257</v>
      </c>
      <c r="M71" s="51"/>
      <c r="N71" s="51"/>
      <c r="O71" s="51"/>
      <c r="P71" s="51"/>
      <c r="Q71" s="51"/>
      <c r="R71" s="51"/>
      <c r="S71" s="51"/>
      <c r="T71" s="51"/>
    </row>
    <row r="72">
      <c r="A72" s="51"/>
      <c r="B72" s="51"/>
      <c r="C72" s="56"/>
      <c r="D72" s="51"/>
      <c r="E72" s="51"/>
      <c r="F72" s="51"/>
      <c r="G72" s="51" t="str">
        <f>IFERROR(__xludf.DUMMYFUNCTION("""COMPUTED_VALUE"""),"#VALUE!")</f>
        <v>#VALUE!</v>
      </c>
      <c r="H72" s="51" t="str">
        <f>IFERROR(__xludf.DUMMYFUNCTION("""COMPUTED_VALUE"""),"")</f>
        <v/>
      </c>
      <c r="I72" s="51" t="str">
        <f>IFERROR(__xludf.DUMMYFUNCTION("""COMPUTED_VALUE"""),"#VALUE!")</f>
        <v>#VALUE!</v>
      </c>
      <c r="J72" s="51" t="str">
        <f>IFERROR(__xludf.DUMMYFUNCTION("""COMPUTED_VALUE"""),"")</f>
        <v/>
      </c>
      <c r="K72" s="51"/>
      <c r="L72" s="51" t="s">
        <v>257</v>
      </c>
      <c r="M72" s="51"/>
      <c r="N72" s="51"/>
      <c r="O72" s="51"/>
      <c r="P72" s="51"/>
      <c r="Q72" s="51"/>
      <c r="R72" s="51"/>
      <c r="S72" s="51"/>
      <c r="T72" s="51"/>
    </row>
    <row r="73">
      <c r="A73" s="51"/>
      <c r="B73" s="51"/>
      <c r="C73" s="56"/>
      <c r="D73" s="51"/>
      <c r="E73" s="51"/>
      <c r="F73" s="51"/>
      <c r="G73" s="51" t="str">
        <f>IFERROR(__xludf.DUMMYFUNCTION("""COMPUTED_VALUE"""),"#VALUE!")</f>
        <v>#VALUE!</v>
      </c>
      <c r="H73" s="51" t="str">
        <f>IFERROR(__xludf.DUMMYFUNCTION("""COMPUTED_VALUE"""),"")</f>
        <v/>
      </c>
      <c r="I73" s="51" t="str">
        <f>IFERROR(__xludf.DUMMYFUNCTION("""COMPUTED_VALUE"""),"#VALUE!")</f>
        <v>#VALUE!</v>
      </c>
      <c r="J73" s="51" t="str">
        <f>IFERROR(__xludf.DUMMYFUNCTION("""COMPUTED_VALUE"""),"")</f>
        <v/>
      </c>
      <c r="K73" s="51"/>
      <c r="L73" s="51" t="s">
        <v>257</v>
      </c>
      <c r="M73" s="51"/>
      <c r="N73" s="51"/>
      <c r="O73" s="51"/>
      <c r="P73" s="51"/>
      <c r="Q73" s="51"/>
      <c r="R73" s="51"/>
      <c r="S73" s="51"/>
      <c r="T73" s="51"/>
    </row>
    <row r="74">
      <c r="A74" s="51"/>
      <c r="B74" s="51"/>
      <c r="C74" s="56"/>
      <c r="D74" s="51"/>
      <c r="E74" s="51"/>
      <c r="F74" s="51"/>
      <c r="G74" s="51" t="str">
        <f>IFERROR(__xludf.DUMMYFUNCTION("""COMPUTED_VALUE"""),"#VALUE!")</f>
        <v>#VALUE!</v>
      </c>
      <c r="H74" s="51" t="str">
        <f>IFERROR(__xludf.DUMMYFUNCTION("""COMPUTED_VALUE"""),"")</f>
        <v/>
      </c>
      <c r="I74" s="51" t="str">
        <f>IFERROR(__xludf.DUMMYFUNCTION("""COMPUTED_VALUE"""),"#VALUE!")</f>
        <v>#VALUE!</v>
      </c>
      <c r="J74" s="51" t="str">
        <f>IFERROR(__xludf.DUMMYFUNCTION("""COMPUTED_VALUE"""),"")</f>
        <v/>
      </c>
      <c r="K74" s="51"/>
      <c r="L74" s="51" t="s">
        <v>257</v>
      </c>
      <c r="M74" s="51"/>
      <c r="N74" s="51"/>
      <c r="O74" s="51"/>
      <c r="P74" s="51"/>
      <c r="Q74" s="51"/>
      <c r="R74" s="51"/>
      <c r="S74" s="51"/>
      <c r="T74" s="51"/>
    </row>
    <row r="75">
      <c r="A75" s="51"/>
      <c r="B75" s="51"/>
      <c r="C75" s="56"/>
      <c r="D75" s="51"/>
      <c r="E75" s="51"/>
      <c r="F75" s="51"/>
      <c r="G75" s="51" t="str">
        <f>IFERROR(__xludf.DUMMYFUNCTION("""COMPUTED_VALUE"""),"#VALUE!")</f>
        <v>#VALUE!</v>
      </c>
      <c r="H75" s="51" t="str">
        <f>IFERROR(__xludf.DUMMYFUNCTION("""COMPUTED_VALUE"""),"")</f>
        <v/>
      </c>
      <c r="I75" s="51" t="str">
        <f>IFERROR(__xludf.DUMMYFUNCTION("""COMPUTED_VALUE"""),"#VALUE!")</f>
        <v>#VALUE!</v>
      </c>
      <c r="J75" s="51" t="str">
        <f>IFERROR(__xludf.DUMMYFUNCTION("""COMPUTED_VALUE"""),"")</f>
        <v/>
      </c>
      <c r="K75" s="51"/>
      <c r="L75" s="51" t="s">
        <v>257</v>
      </c>
      <c r="M75" s="51"/>
      <c r="N75" s="51"/>
      <c r="O75" s="51"/>
      <c r="P75" s="51"/>
      <c r="Q75" s="51"/>
      <c r="R75" s="51"/>
      <c r="S75" s="51"/>
      <c r="T75" s="51"/>
    </row>
    <row r="76">
      <c r="A76" s="51"/>
      <c r="B76" s="51"/>
      <c r="C76" s="56"/>
      <c r="D76" s="51"/>
      <c r="E76" s="51"/>
      <c r="F76" s="51"/>
      <c r="G76" s="51" t="str">
        <f>IFERROR(__xludf.DUMMYFUNCTION("""COMPUTED_VALUE"""),"#VALUE!")</f>
        <v>#VALUE!</v>
      </c>
      <c r="H76" s="51" t="str">
        <f>IFERROR(__xludf.DUMMYFUNCTION("""COMPUTED_VALUE"""),"")</f>
        <v/>
      </c>
      <c r="I76" s="51" t="str">
        <f>IFERROR(__xludf.DUMMYFUNCTION("""COMPUTED_VALUE"""),"#VALUE!")</f>
        <v>#VALUE!</v>
      </c>
      <c r="J76" s="51" t="str">
        <f>IFERROR(__xludf.DUMMYFUNCTION("""COMPUTED_VALUE"""),"")</f>
        <v/>
      </c>
      <c r="K76" s="51"/>
      <c r="L76" s="51" t="s">
        <v>257</v>
      </c>
      <c r="M76" s="51"/>
      <c r="N76" s="51"/>
      <c r="O76" s="51"/>
      <c r="P76" s="51"/>
      <c r="Q76" s="51"/>
      <c r="R76" s="51"/>
      <c r="S76" s="51"/>
      <c r="T76" s="51"/>
    </row>
    <row r="77">
      <c r="A77" s="51"/>
      <c r="B77" s="51"/>
      <c r="C77" s="56"/>
      <c r="D77" s="51"/>
      <c r="E77" s="51"/>
      <c r="F77" s="51"/>
      <c r="G77" s="51" t="str">
        <f>IFERROR(__xludf.DUMMYFUNCTION("""COMPUTED_VALUE"""),"#VALUE!")</f>
        <v>#VALUE!</v>
      </c>
      <c r="H77" s="51" t="str">
        <f>IFERROR(__xludf.DUMMYFUNCTION("""COMPUTED_VALUE"""),"")</f>
        <v/>
      </c>
      <c r="I77" s="51" t="str">
        <f>IFERROR(__xludf.DUMMYFUNCTION("""COMPUTED_VALUE"""),"#VALUE!")</f>
        <v>#VALUE!</v>
      </c>
      <c r="J77" s="51" t="str">
        <f>IFERROR(__xludf.DUMMYFUNCTION("""COMPUTED_VALUE"""),"")</f>
        <v/>
      </c>
      <c r="K77" s="51"/>
      <c r="L77" s="51" t="s">
        <v>257</v>
      </c>
      <c r="M77" s="51"/>
      <c r="N77" s="51"/>
      <c r="O77" s="51"/>
      <c r="P77" s="51"/>
      <c r="Q77" s="51"/>
      <c r="R77" s="51"/>
      <c r="S77" s="51"/>
      <c r="T77" s="51"/>
    </row>
    <row r="78">
      <c r="A78" s="51"/>
      <c r="B78" s="51"/>
      <c r="C78" s="56"/>
      <c r="D78" s="51"/>
      <c r="E78" s="51"/>
      <c r="F78" s="51"/>
      <c r="G78" s="51" t="str">
        <f>IFERROR(__xludf.DUMMYFUNCTION("""COMPUTED_VALUE"""),"#VALUE!")</f>
        <v>#VALUE!</v>
      </c>
      <c r="H78" s="51" t="str">
        <f>IFERROR(__xludf.DUMMYFUNCTION("""COMPUTED_VALUE"""),"")</f>
        <v/>
      </c>
      <c r="I78" s="51" t="str">
        <f>IFERROR(__xludf.DUMMYFUNCTION("""COMPUTED_VALUE"""),"#VALUE!")</f>
        <v>#VALUE!</v>
      </c>
      <c r="J78" s="51" t="str">
        <f>IFERROR(__xludf.DUMMYFUNCTION("""COMPUTED_VALUE"""),"")</f>
        <v/>
      </c>
      <c r="K78" s="51"/>
      <c r="L78" s="51" t="s">
        <v>257</v>
      </c>
      <c r="M78" s="51"/>
      <c r="N78" s="51"/>
      <c r="O78" s="51"/>
      <c r="P78" s="51"/>
      <c r="Q78" s="51"/>
      <c r="R78" s="51"/>
      <c r="S78" s="51"/>
      <c r="T78" s="51"/>
    </row>
    <row r="79">
      <c r="A79" s="51"/>
      <c r="B79" s="51"/>
      <c r="C79" s="56"/>
      <c r="D79" s="51"/>
      <c r="E79" s="51"/>
      <c r="F79" s="51"/>
      <c r="G79" s="51" t="str">
        <f>IFERROR(__xludf.DUMMYFUNCTION("""COMPUTED_VALUE"""),"#VALUE!")</f>
        <v>#VALUE!</v>
      </c>
      <c r="H79" s="51" t="str">
        <f>IFERROR(__xludf.DUMMYFUNCTION("""COMPUTED_VALUE"""),"")</f>
        <v/>
      </c>
      <c r="I79" s="51" t="str">
        <f>IFERROR(__xludf.DUMMYFUNCTION("""COMPUTED_VALUE"""),"#VALUE!")</f>
        <v>#VALUE!</v>
      </c>
      <c r="J79" s="51" t="str">
        <f>IFERROR(__xludf.DUMMYFUNCTION("""COMPUTED_VALUE"""),"")</f>
        <v/>
      </c>
      <c r="K79" s="51"/>
      <c r="L79" s="51" t="s">
        <v>257</v>
      </c>
      <c r="M79" s="51"/>
      <c r="N79" s="51"/>
      <c r="O79" s="51"/>
      <c r="P79" s="51"/>
      <c r="Q79" s="51"/>
      <c r="R79" s="51"/>
      <c r="S79" s="51"/>
      <c r="T79" s="51"/>
    </row>
    <row r="80">
      <c r="A80" s="51"/>
      <c r="B80" s="51"/>
      <c r="C80" s="56"/>
      <c r="D80" s="51"/>
      <c r="E80" s="51"/>
      <c r="F80" s="51"/>
      <c r="G80" s="51" t="str">
        <f>IFERROR(__xludf.DUMMYFUNCTION("""COMPUTED_VALUE"""),"#VALUE!")</f>
        <v>#VALUE!</v>
      </c>
      <c r="H80" s="51" t="str">
        <f>IFERROR(__xludf.DUMMYFUNCTION("""COMPUTED_VALUE"""),"")</f>
        <v/>
      </c>
      <c r="I80" s="51" t="str">
        <f>IFERROR(__xludf.DUMMYFUNCTION("""COMPUTED_VALUE"""),"#VALUE!")</f>
        <v>#VALUE!</v>
      </c>
      <c r="J80" s="51" t="str">
        <f>IFERROR(__xludf.DUMMYFUNCTION("""COMPUTED_VALUE"""),"")</f>
        <v/>
      </c>
      <c r="K80" s="51"/>
      <c r="L80" s="51" t="s">
        <v>257</v>
      </c>
      <c r="M80" s="51"/>
      <c r="N80" s="51"/>
      <c r="O80" s="51"/>
      <c r="P80" s="51"/>
      <c r="Q80" s="51"/>
      <c r="R80" s="51"/>
      <c r="S80" s="51"/>
      <c r="T80" s="51"/>
    </row>
    <row r="81">
      <c r="A81" s="51"/>
      <c r="B81" s="51"/>
      <c r="C81" s="56"/>
      <c r="D81" s="51"/>
      <c r="E81" s="51"/>
      <c r="F81" s="51"/>
      <c r="G81" s="51" t="str">
        <f>IFERROR(__xludf.DUMMYFUNCTION("""COMPUTED_VALUE"""),"#VALUE!")</f>
        <v>#VALUE!</v>
      </c>
      <c r="H81" s="51" t="str">
        <f>IFERROR(__xludf.DUMMYFUNCTION("""COMPUTED_VALUE"""),"")</f>
        <v/>
      </c>
      <c r="I81" s="51" t="str">
        <f>IFERROR(__xludf.DUMMYFUNCTION("""COMPUTED_VALUE"""),"#VALUE!")</f>
        <v>#VALUE!</v>
      </c>
      <c r="J81" s="51" t="str">
        <f>IFERROR(__xludf.DUMMYFUNCTION("""COMPUTED_VALUE"""),"")</f>
        <v/>
      </c>
      <c r="K81" s="51"/>
      <c r="L81" s="51" t="s">
        <v>257</v>
      </c>
      <c r="M81" s="51"/>
      <c r="N81" s="51"/>
      <c r="O81" s="51"/>
      <c r="P81" s="51"/>
      <c r="Q81" s="51"/>
      <c r="R81" s="51"/>
      <c r="S81" s="51"/>
      <c r="T81" s="51"/>
    </row>
    <row r="82">
      <c r="A82" s="51"/>
      <c r="B82" s="51"/>
      <c r="C82" s="56"/>
      <c r="D82" s="51"/>
      <c r="E82" s="51"/>
      <c r="F82" s="51"/>
      <c r="G82" s="51" t="str">
        <f>IFERROR(__xludf.DUMMYFUNCTION("""COMPUTED_VALUE"""),"#VALUE!")</f>
        <v>#VALUE!</v>
      </c>
      <c r="H82" s="51" t="str">
        <f>IFERROR(__xludf.DUMMYFUNCTION("""COMPUTED_VALUE"""),"")</f>
        <v/>
      </c>
      <c r="I82" s="51" t="str">
        <f>IFERROR(__xludf.DUMMYFUNCTION("""COMPUTED_VALUE"""),"#VALUE!")</f>
        <v>#VALUE!</v>
      </c>
      <c r="J82" s="51" t="str">
        <f>IFERROR(__xludf.DUMMYFUNCTION("""COMPUTED_VALUE"""),"")</f>
        <v/>
      </c>
      <c r="K82" s="51"/>
      <c r="L82" s="51" t="s">
        <v>257</v>
      </c>
      <c r="M82" s="51"/>
      <c r="N82" s="51"/>
      <c r="O82" s="51"/>
      <c r="P82" s="51"/>
      <c r="Q82" s="51"/>
      <c r="R82" s="51"/>
      <c r="S82" s="51"/>
      <c r="T82" s="51"/>
    </row>
    <row r="83">
      <c r="A83" s="51"/>
      <c r="B83" s="51"/>
      <c r="C83" s="56"/>
      <c r="D83" s="51"/>
      <c r="E83" s="51"/>
      <c r="F83" s="51"/>
      <c r="G83" s="51" t="str">
        <f>IFERROR(__xludf.DUMMYFUNCTION("""COMPUTED_VALUE"""),"#VALUE!")</f>
        <v>#VALUE!</v>
      </c>
      <c r="H83" s="51" t="str">
        <f>IFERROR(__xludf.DUMMYFUNCTION("""COMPUTED_VALUE"""),"")</f>
        <v/>
      </c>
      <c r="I83" s="51" t="str">
        <f>IFERROR(__xludf.DUMMYFUNCTION("""COMPUTED_VALUE"""),"#VALUE!")</f>
        <v>#VALUE!</v>
      </c>
      <c r="J83" s="51" t="str">
        <f>IFERROR(__xludf.DUMMYFUNCTION("""COMPUTED_VALUE"""),"")</f>
        <v/>
      </c>
      <c r="K83" s="51"/>
      <c r="L83" s="51" t="s">
        <v>257</v>
      </c>
      <c r="M83" s="51"/>
      <c r="N83" s="51"/>
      <c r="O83" s="51"/>
      <c r="P83" s="51"/>
      <c r="Q83" s="51"/>
      <c r="R83" s="51"/>
      <c r="S83" s="51"/>
      <c r="T83" s="51"/>
    </row>
    <row r="84">
      <c r="A84" s="51"/>
      <c r="B84" s="51"/>
      <c r="C84" s="56"/>
      <c r="D84" s="51"/>
      <c r="E84" s="51"/>
      <c r="F84" s="51"/>
      <c r="G84" s="51" t="str">
        <f>IFERROR(__xludf.DUMMYFUNCTION("""COMPUTED_VALUE"""),"#VALUE!")</f>
        <v>#VALUE!</v>
      </c>
      <c r="H84" s="51" t="str">
        <f>IFERROR(__xludf.DUMMYFUNCTION("""COMPUTED_VALUE"""),"")</f>
        <v/>
      </c>
      <c r="I84" s="51" t="str">
        <f>IFERROR(__xludf.DUMMYFUNCTION("""COMPUTED_VALUE"""),"#VALUE!")</f>
        <v>#VALUE!</v>
      </c>
      <c r="J84" s="51" t="str">
        <f>IFERROR(__xludf.DUMMYFUNCTION("""COMPUTED_VALUE"""),"")</f>
        <v/>
      </c>
      <c r="K84" s="51"/>
      <c r="L84" s="51" t="s">
        <v>257</v>
      </c>
      <c r="M84" s="51"/>
      <c r="N84" s="51"/>
      <c r="O84" s="51"/>
      <c r="P84" s="51"/>
      <c r="Q84" s="51"/>
      <c r="R84" s="51"/>
      <c r="S84" s="51"/>
      <c r="T84" s="51"/>
    </row>
    <row r="85">
      <c r="A85" s="51"/>
      <c r="B85" s="51"/>
      <c r="C85" s="56"/>
      <c r="D85" s="51"/>
      <c r="E85" s="51"/>
      <c r="F85" s="51"/>
      <c r="G85" s="51" t="str">
        <f>IFERROR(__xludf.DUMMYFUNCTION("""COMPUTED_VALUE"""),"#VALUE!")</f>
        <v>#VALUE!</v>
      </c>
      <c r="H85" s="51" t="str">
        <f>IFERROR(__xludf.DUMMYFUNCTION("""COMPUTED_VALUE"""),"")</f>
        <v/>
      </c>
      <c r="I85" s="51" t="str">
        <f>IFERROR(__xludf.DUMMYFUNCTION("""COMPUTED_VALUE"""),"#VALUE!")</f>
        <v>#VALUE!</v>
      </c>
      <c r="J85" s="51" t="str">
        <f>IFERROR(__xludf.DUMMYFUNCTION("""COMPUTED_VALUE"""),"")</f>
        <v/>
      </c>
      <c r="K85" s="51"/>
      <c r="L85" s="51" t="s">
        <v>257</v>
      </c>
      <c r="M85" s="51"/>
      <c r="N85" s="51"/>
      <c r="O85" s="51"/>
      <c r="P85" s="51"/>
      <c r="Q85" s="51"/>
      <c r="R85" s="51"/>
      <c r="S85" s="51"/>
      <c r="T85" s="51"/>
    </row>
    <row r="86">
      <c r="A86" s="51"/>
      <c r="B86" s="51"/>
      <c r="C86" s="56"/>
      <c r="D86" s="51"/>
      <c r="E86" s="51"/>
      <c r="F86" s="51"/>
      <c r="G86" s="51" t="str">
        <f>IFERROR(__xludf.DUMMYFUNCTION("""COMPUTED_VALUE"""),"#VALUE!")</f>
        <v>#VALUE!</v>
      </c>
      <c r="H86" s="51" t="str">
        <f>IFERROR(__xludf.DUMMYFUNCTION("""COMPUTED_VALUE"""),"")</f>
        <v/>
      </c>
      <c r="I86" s="51" t="str">
        <f>IFERROR(__xludf.DUMMYFUNCTION("""COMPUTED_VALUE"""),"#VALUE!")</f>
        <v>#VALUE!</v>
      </c>
      <c r="J86" s="51" t="str">
        <f>IFERROR(__xludf.DUMMYFUNCTION("""COMPUTED_VALUE"""),"")</f>
        <v/>
      </c>
      <c r="K86" s="51"/>
      <c r="L86" s="51" t="s">
        <v>257</v>
      </c>
      <c r="M86" s="51"/>
      <c r="N86" s="51"/>
      <c r="O86" s="51"/>
      <c r="P86" s="51"/>
      <c r="Q86" s="51"/>
      <c r="R86" s="51"/>
      <c r="S86" s="51"/>
      <c r="T86" s="51"/>
    </row>
    <row r="87">
      <c r="A87" s="51"/>
      <c r="B87" s="51"/>
      <c r="C87" s="56"/>
      <c r="D87" s="51"/>
      <c r="E87" s="51"/>
      <c r="F87" s="51"/>
      <c r="G87" s="51" t="str">
        <f>IFERROR(__xludf.DUMMYFUNCTION("""COMPUTED_VALUE"""),"#VALUE!")</f>
        <v>#VALUE!</v>
      </c>
      <c r="H87" s="51" t="str">
        <f>IFERROR(__xludf.DUMMYFUNCTION("""COMPUTED_VALUE"""),"")</f>
        <v/>
      </c>
      <c r="I87" s="51" t="str">
        <f>IFERROR(__xludf.DUMMYFUNCTION("""COMPUTED_VALUE"""),"#VALUE!")</f>
        <v>#VALUE!</v>
      </c>
      <c r="J87" s="51" t="str">
        <f>IFERROR(__xludf.DUMMYFUNCTION("""COMPUTED_VALUE"""),"")</f>
        <v/>
      </c>
      <c r="K87" s="51"/>
      <c r="L87" s="51" t="s">
        <v>257</v>
      </c>
      <c r="M87" s="51"/>
      <c r="N87" s="51"/>
      <c r="O87" s="51"/>
      <c r="P87" s="51"/>
      <c r="Q87" s="51"/>
      <c r="R87" s="51"/>
      <c r="S87" s="51"/>
      <c r="T87" s="51"/>
    </row>
    <row r="88">
      <c r="A88" s="51"/>
      <c r="B88" s="51"/>
      <c r="C88" s="56"/>
      <c r="D88" s="51"/>
      <c r="E88" s="51"/>
      <c r="F88" s="51"/>
      <c r="G88" s="51" t="str">
        <f>IFERROR(__xludf.DUMMYFUNCTION("""COMPUTED_VALUE"""),"#VALUE!")</f>
        <v>#VALUE!</v>
      </c>
      <c r="H88" s="51" t="str">
        <f>IFERROR(__xludf.DUMMYFUNCTION("""COMPUTED_VALUE"""),"")</f>
        <v/>
      </c>
      <c r="I88" s="51" t="str">
        <f>IFERROR(__xludf.DUMMYFUNCTION("""COMPUTED_VALUE"""),"#VALUE!")</f>
        <v>#VALUE!</v>
      </c>
      <c r="J88" s="51" t="str">
        <f>IFERROR(__xludf.DUMMYFUNCTION("""COMPUTED_VALUE"""),"")</f>
        <v/>
      </c>
      <c r="K88" s="51"/>
      <c r="L88" s="51" t="s">
        <v>257</v>
      </c>
      <c r="M88" s="51"/>
      <c r="N88" s="51"/>
      <c r="O88" s="51"/>
      <c r="P88" s="51"/>
      <c r="Q88" s="51"/>
      <c r="R88" s="51"/>
      <c r="S88" s="51"/>
      <c r="T88" s="51"/>
    </row>
    <row r="89">
      <c r="A89" s="51"/>
      <c r="B89" s="51"/>
      <c r="C89" s="56"/>
      <c r="D89" s="51"/>
      <c r="E89" s="51"/>
      <c r="F89" s="51"/>
      <c r="G89" s="51" t="str">
        <f>IFERROR(__xludf.DUMMYFUNCTION("""COMPUTED_VALUE"""),"#VALUE!")</f>
        <v>#VALUE!</v>
      </c>
      <c r="H89" s="51" t="str">
        <f>IFERROR(__xludf.DUMMYFUNCTION("""COMPUTED_VALUE"""),"")</f>
        <v/>
      </c>
      <c r="I89" s="51" t="str">
        <f>IFERROR(__xludf.DUMMYFUNCTION("""COMPUTED_VALUE"""),"#VALUE!")</f>
        <v>#VALUE!</v>
      </c>
      <c r="J89" s="51" t="str">
        <f>IFERROR(__xludf.DUMMYFUNCTION("""COMPUTED_VALUE"""),"")</f>
        <v/>
      </c>
      <c r="K89" s="51"/>
      <c r="L89" s="51" t="s">
        <v>257</v>
      </c>
      <c r="M89" s="51"/>
      <c r="N89" s="51"/>
      <c r="O89" s="51"/>
      <c r="P89" s="51"/>
      <c r="Q89" s="51"/>
      <c r="R89" s="51"/>
      <c r="S89" s="51"/>
      <c r="T89" s="51"/>
    </row>
    <row r="90">
      <c r="A90" s="51"/>
      <c r="B90" s="51"/>
      <c r="C90" s="56"/>
      <c r="D90" s="51"/>
      <c r="E90" s="51"/>
      <c r="F90" s="51"/>
      <c r="G90" s="51" t="str">
        <f>IFERROR(__xludf.DUMMYFUNCTION("""COMPUTED_VALUE"""),"#VALUE!")</f>
        <v>#VALUE!</v>
      </c>
      <c r="H90" s="51" t="str">
        <f>IFERROR(__xludf.DUMMYFUNCTION("""COMPUTED_VALUE"""),"")</f>
        <v/>
      </c>
      <c r="I90" s="51" t="str">
        <f>IFERROR(__xludf.DUMMYFUNCTION("""COMPUTED_VALUE"""),"#VALUE!")</f>
        <v>#VALUE!</v>
      </c>
      <c r="J90" s="51" t="str">
        <f>IFERROR(__xludf.DUMMYFUNCTION("""COMPUTED_VALUE"""),"")</f>
        <v/>
      </c>
      <c r="K90" s="51"/>
      <c r="L90" s="51" t="s">
        <v>257</v>
      </c>
      <c r="M90" s="51"/>
      <c r="N90" s="51"/>
      <c r="O90" s="51"/>
      <c r="P90" s="51"/>
      <c r="Q90" s="51"/>
      <c r="R90" s="51"/>
      <c r="S90" s="51"/>
      <c r="T90" s="51"/>
    </row>
    <row r="91">
      <c r="A91" s="51"/>
      <c r="B91" s="51"/>
      <c r="C91" s="56"/>
      <c r="D91" s="51"/>
      <c r="E91" s="51"/>
      <c r="F91" s="51"/>
      <c r="G91" s="51" t="str">
        <f>IFERROR(__xludf.DUMMYFUNCTION("""COMPUTED_VALUE"""),"#VALUE!")</f>
        <v>#VALUE!</v>
      </c>
      <c r="H91" s="51" t="str">
        <f>IFERROR(__xludf.DUMMYFUNCTION("""COMPUTED_VALUE"""),"")</f>
        <v/>
      </c>
      <c r="I91" s="51" t="str">
        <f>IFERROR(__xludf.DUMMYFUNCTION("""COMPUTED_VALUE"""),"#VALUE!")</f>
        <v>#VALUE!</v>
      </c>
      <c r="J91" s="51" t="str">
        <f>IFERROR(__xludf.DUMMYFUNCTION("""COMPUTED_VALUE"""),"")</f>
        <v/>
      </c>
      <c r="K91" s="51"/>
      <c r="L91" s="51" t="s">
        <v>257</v>
      </c>
      <c r="M91" s="51"/>
      <c r="N91" s="51"/>
      <c r="O91" s="51"/>
      <c r="P91" s="51"/>
      <c r="Q91" s="51"/>
      <c r="R91" s="51"/>
      <c r="S91" s="51"/>
      <c r="T91" s="51"/>
    </row>
    <row r="92">
      <c r="A92" s="51"/>
      <c r="B92" s="51"/>
      <c r="C92" s="56"/>
      <c r="D92" s="51"/>
      <c r="E92" s="51"/>
      <c r="F92" s="51"/>
      <c r="G92" s="51" t="str">
        <f>IFERROR(__xludf.DUMMYFUNCTION("""COMPUTED_VALUE"""),"#VALUE!")</f>
        <v>#VALUE!</v>
      </c>
      <c r="H92" s="51" t="str">
        <f>IFERROR(__xludf.DUMMYFUNCTION("""COMPUTED_VALUE"""),"")</f>
        <v/>
      </c>
      <c r="I92" s="51" t="str">
        <f>IFERROR(__xludf.DUMMYFUNCTION("""COMPUTED_VALUE"""),"#VALUE!")</f>
        <v>#VALUE!</v>
      </c>
      <c r="J92" s="51" t="str">
        <f>IFERROR(__xludf.DUMMYFUNCTION("""COMPUTED_VALUE"""),"")</f>
        <v/>
      </c>
      <c r="K92" s="51"/>
      <c r="L92" s="51" t="s">
        <v>257</v>
      </c>
      <c r="M92" s="51"/>
      <c r="N92" s="51"/>
      <c r="O92" s="51"/>
      <c r="P92" s="51"/>
      <c r="Q92" s="51"/>
      <c r="R92" s="51"/>
      <c r="S92" s="51"/>
      <c r="T92" s="51"/>
    </row>
    <row r="93">
      <c r="A93" s="51"/>
      <c r="B93" s="51"/>
      <c r="C93" s="56"/>
      <c r="D93" s="51"/>
      <c r="E93" s="51"/>
      <c r="F93" s="51"/>
      <c r="G93" s="51" t="str">
        <f>IFERROR(__xludf.DUMMYFUNCTION("""COMPUTED_VALUE"""),"#VALUE!")</f>
        <v>#VALUE!</v>
      </c>
      <c r="H93" s="51" t="str">
        <f>IFERROR(__xludf.DUMMYFUNCTION("""COMPUTED_VALUE"""),"")</f>
        <v/>
      </c>
      <c r="I93" s="51" t="str">
        <f>IFERROR(__xludf.DUMMYFUNCTION("""COMPUTED_VALUE"""),"#VALUE!")</f>
        <v>#VALUE!</v>
      </c>
      <c r="J93" s="51" t="str">
        <f>IFERROR(__xludf.DUMMYFUNCTION("""COMPUTED_VALUE"""),"")</f>
        <v/>
      </c>
      <c r="K93" s="51"/>
      <c r="L93" s="51" t="s">
        <v>257</v>
      </c>
      <c r="M93" s="51"/>
      <c r="N93" s="51"/>
      <c r="O93" s="51"/>
      <c r="P93" s="51"/>
      <c r="Q93" s="51"/>
      <c r="R93" s="51"/>
      <c r="S93" s="51"/>
      <c r="T93" s="51"/>
    </row>
    <row r="94">
      <c r="A94" s="51"/>
      <c r="B94" s="51"/>
      <c r="C94" s="56"/>
      <c r="D94" s="51"/>
      <c r="E94" s="51"/>
      <c r="F94" s="51"/>
      <c r="G94" s="51" t="str">
        <f>IFERROR(__xludf.DUMMYFUNCTION("""COMPUTED_VALUE"""),"#VALUE!")</f>
        <v>#VALUE!</v>
      </c>
      <c r="H94" s="51" t="str">
        <f>IFERROR(__xludf.DUMMYFUNCTION("""COMPUTED_VALUE"""),"")</f>
        <v/>
      </c>
      <c r="I94" s="51" t="str">
        <f>IFERROR(__xludf.DUMMYFUNCTION("""COMPUTED_VALUE"""),"#VALUE!")</f>
        <v>#VALUE!</v>
      </c>
      <c r="J94" s="51" t="str">
        <f>IFERROR(__xludf.DUMMYFUNCTION("""COMPUTED_VALUE"""),"")</f>
        <v/>
      </c>
      <c r="K94" s="51"/>
      <c r="L94" s="51" t="s">
        <v>257</v>
      </c>
      <c r="M94" s="51"/>
      <c r="N94" s="51"/>
      <c r="O94" s="51"/>
      <c r="P94" s="51"/>
      <c r="Q94" s="51"/>
      <c r="R94" s="51"/>
      <c r="S94" s="51"/>
      <c r="T94" s="51"/>
    </row>
    <row r="95">
      <c r="A95" s="51"/>
      <c r="B95" s="51"/>
      <c r="C95" s="56"/>
      <c r="D95" s="51"/>
      <c r="E95" s="51"/>
      <c r="F95" s="51"/>
      <c r="G95" s="51" t="str">
        <f>IFERROR(__xludf.DUMMYFUNCTION("""COMPUTED_VALUE"""),"#VALUE!")</f>
        <v>#VALUE!</v>
      </c>
      <c r="H95" s="51" t="str">
        <f>IFERROR(__xludf.DUMMYFUNCTION("""COMPUTED_VALUE"""),"")</f>
        <v/>
      </c>
      <c r="I95" s="51" t="str">
        <f>IFERROR(__xludf.DUMMYFUNCTION("""COMPUTED_VALUE"""),"#VALUE!")</f>
        <v>#VALUE!</v>
      </c>
      <c r="J95" s="51" t="str">
        <f>IFERROR(__xludf.DUMMYFUNCTION("""COMPUTED_VALUE"""),"")</f>
        <v/>
      </c>
      <c r="K95" s="51"/>
      <c r="L95" s="51" t="s">
        <v>257</v>
      </c>
      <c r="M95" s="51"/>
      <c r="N95" s="51"/>
      <c r="O95" s="51"/>
      <c r="P95" s="51"/>
      <c r="Q95" s="51"/>
      <c r="R95" s="51"/>
      <c r="S95" s="51"/>
      <c r="T95" s="51"/>
    </row>
    <row r="96">
      <c r="A96" s="51"/>
      <c r="B96" s="51"/>
      <c r="C96" s="56"/>
      <c r="D96" s="51"/>
      <c r="E96" s="51"/>
      <c r="F96" s="51"/>
      <c r="G96" s="51" t="str">
        <f>IFERROR(__xludf.DUMMYFUNCTION("""COMPUTED_VALUE"""),"#VALUE!")</f>
        <v>#VALUE!</v>
      </c>
      <c r="H96" s="51" t="str">
        <f>IFERROR(__xludf.DUMMYFUNCTION("""COMPUTED_VALUE"""),"")</f>
        <v/>
      </c>
      <c r="I96" s="51" t="str">
        <f>IFERROR(__xludf.DUMMYFUNCTION("""COMPUTED_VALUE"""),"#VALUE!")</f>
        <v>#VALUE!</v>
      </c>
      <c r="J96" s="51" t="str">
        <f>IFERROR(__xludf.DUMMYFUNCTION("""COMPUTED_VALUE"""),"")</f>
        <v/>
      </c>
      <c r="K96" s="51"/>
      <c r="L96" s="51" t="s">
        <v>257</v>
      </c>
      <c r="M96" s="51"/>
      <c r="N96" s="51"/>
      <c r="O96" s="51"/>
      <c r="P96" s="51"/>
      <c r="Q96" s="51"/>
      <c r="R96" s="51"/>
      <c r="S96" s="51"/>
      <c r="T96" s="51"/>
    </row>
    <row r="97">
      <c r="A97" s="51"/>
      <c r="B97" s="51"/>
      <c r="C97" s="56"/>
      <c r="D97" s="51"/>
      <c r="E97" s="51"/>
      <c r="F97" s="51"/>
      <c r="G97" s="51" t="str">
        <f>IFERROR(__xludf.DUMMYFUNCTION("""COMPUTED_VALUE"""),"#VALUE!")</f>
        <v>#VALUE!</v>
      </c>
      <c r="H97" s="51" t="str">
        <f>IFERROR(__xludf.DUMMYFUNCTION("""COMPUTED_VALUE"""),"")</f>
        <v/>
      </c>
      <c r="I97" s="51" t="str">
        <f>IFERROR(__xludf.DUMMYFUNCTION("""COMPUTED_VALUE"""),"#VALUE!")</f>
        <v>#VALUE!</v>
      </c>
      <c r="J97" s="51" t="str">
        <f>IFERROR(__xludf.DUMMYFUNCTION("""COMPUTED_VALUE"""),"")</f>
        <v/>
      </c>
      <c r="K97" s="51"/>
      <c r="L97" s="51" t="s">
        <v>257</v>
      </c>
      <c r="M97" s="51"/>
      <c r="N97" s="51"/>
      <c r="O97" s="51"/>
      <c r="P97" s="51"/>
      <c r="Q97" s="51"/>
      <c r="R97" s="51"/>
      <c r="S97" s="51"/>
      <c r="T97" s="51"/>
    </row>
    <row r="98">
      <c r="A98" s="51"/>
      <c r="B98" s="51"/>
      <c r="C98" s="56"/>
      <c r="D98" s="51"/>
      <c r="E98" s="51"/>
      <c r="F98" s="51"/>
      <c r="G98" s="51" t="str">
        <f>IFERROR(__xludf.DUMMYFUNCTION("""COMPUTED_VALUE"""),"#VALUE!")</f>
        <v>#VALUE!</v>
      </c>
      <c r="H98" s="51" t="str">
        <f>IFERROR(__xludf.DUMMYFUNCTION("""COMPUTED_VALUE"""),"")</f>
        <v/>
      </c>
      <c r="I98" s="51" t="str">
        <f>IFERROR(__xludf.DUMMYFUNCTION("""COMPUTED_VALUE"""),"#VALUE!")</f>
        <v>#VALUE!</v>
      </c>
      <c r="J98" s="51" t="str">
        <f>IFERROR(__xludf.DUMMYFUNCTION("""COMPUTED_VALUE"""),"")</f>
        <v/>
      </c>
      <c r="K98" s="51"/>
      <c r="L98" s="51" t="s">
        <v>257</v>
      </c>
      <c r="M98" s="51"/>
      <c r="N98" s="51"/>
      <c r="O98" s="51"/>
      <c r="P98" s="51"/>
      <c r="Q98" s="51"/>
      <c r="R98" s="51"/>
      <c r="S98" s="51"/>
      <c r="T98" s="51"/>
    </row>
    <row r="99">
      <c r="A99" s="51"/>
      <c r="B99" s="51"/>
      <c r="C99" s="56"/>
      <c r="D99" s="51"/>
      <c r="E99" s="51"/>
      <c r="F99" s="51"/>
      <c r="G99" s="51" t="str">
        <f>IFERROR(__xludf.DUMMYFUNCTION("""COMPUTED_VALUE"""),"#VALUE!")</f>
        <v>#VALUE!</v>
      </c>
      <c r="H99" s="51" t="str">
        <f>IFERROR(__xludf.DUMMYFUNCTION("""COMPUTED_VALUE"""),"")</f>
        <v/>
      </c>
      <c r="I99" s="51" t="str">
        <f>IFERROR(__xludf.DUMMYFUNCTION("""COMPUTED_VALUE"""),"#VALUE!")</f>
        <v>#VALUE!</v>
      </c>
      <c r="J99" s="51" t="str">
        <f>IFERROR(__xludf.DUMMYFUNCTION("""COMPUTED_VALUE"""),"")</f>
        <v/>
      </c>
      <c r="K99" s="51"/>
      <c r="L99" s="51" t="s">
        <v>257</v>
      </c>
      <c r="M99" s="51"/>
      <c r="N99" s="51"/>
      <c r="O99" s="51"/>
      <c r="P99" s="51"/>
      <c r="Q99" s="51"/>
      <c r="R99" s="51"/>
      <c r="S99" s="51"/>
      <c r="T99" s="51"/>
    </row>
    <row r="100">
      <c r="A100" s="51"/>
      <c r="B100" s="51"/>
      <c r="C100" s="56"/>
      <c r="D100" s="51"/>
      <c r="E100" s="51"/>
      <c r="F100" s="51"/>
      <c r="G100" s="51" t="str">
        <f>IFERROR(__xludf.DUMMYFUNCTION("""COMPUTED_VALUE"""),"#VALUE!")</f>
        <v>#VALUE!</v>
      </c>
      <c r="H100" s="51" t="str">
        <f>IFERROR(__xludf.DUMMYFUNCTION("""COMPUTED_VALUE"""),"")</f>
        <v/>
      </c>
      <c r="I100" s="51" t="str">
        <f>IFERROR(__xludf.DUMMYFUNCTION("""COMPUTED_VALUE"""),"#VALUE!")</f>
        <v>#VALUE!</v>
      </c>
      <c r="J100" s="51" t="str">
        <f>IFERROR(__xludf.DUMMYFUNCTION("""COMPUTED_VALUE"""),"")</f>
        <v/>
      </c>
      <c r="K100" s="51"/>
      <c r="L100" s="51" t="s">
        <v>257</v>
      </c>
      <c r="M100" s="51"/>
      <c r="N100" s="51"/>
      <c r="O100" s="51"/>
      <c r="P100" s="51"/>
      <c r="Q100" s="51"/>
      <c r="R100" s="51"/>
      <c r="S100" s="51"/>
      <c r="T100" s="51"/>
    </row>
    <row r="101">
      <c r="A101" s="51"/>
      <c r="B101" s="51"/>
      <c r="C101" s="56"/>
      <c r="D101" s="51"/>
      <c r="E101" s="51"/>
      <c r="F101" s="51"/>
      <c r="G101" s="51" t="str">
        <f>IFERROR(__xludf.DUMMYFUNCTION("""COMPUTED_VALUE"""),"#VALUE!")</f>
        <v>#VALUE!</v>
      </c>
      <c r="H101" s="51" t="str">
        <f>IFERROR(__xludf.DUMMYFUNCTION("""COMPUTED_VALUE"""),"")</f>
        <v/>
      </c>
      <c r="I101" s="51" t="str">
        <f>IFERROR(__xludf.DUMMYFUNCTION("""COMPUTED_VALUE"""),"#VALUE!")</f>
        <v>#VALUE!</v>
      </c>
      <c r="J101" s="51" t="str">
        <f>IFERROR(__xludf.DUMMYFUNCTION("""COMPUTED_VALUE"""),"")</f>
        <v/>
      </c>
      <c r="K101" s="51"/>
      <c r="L101" s="51" t="s">
        <v>257</v>
      </c>
      <c r="M101" s="51"/>
      <c r="N101" s="51"/>
      <c r="O101" s="51"/>
      <c r="P101" s="51"/>
      <c r="Q101" s="51"/>
      <c r="R101" s="51"/>
      <c r="S101" s="51"/>
      <c r="T101" s="51"/>
    </row>
    <row r="102">
      <c r="A102" s="51"/>
      <c r="B102" s="51"/>
      <c r="C102" s="56"/>
      <c r="D102" s="51"/>
      <c r="E102" s="51"/>
      <c r="F102" s="51"/>
      <c r="G102" s="51" t="str">
        <f>IFERROR(__xludf.DUMMYFUNCTION("""COMPUTED_VALUE"""),"#VALUE!")</f>
        <v>#VALUE!</v>
      </c>
      <c r="H102" s="51" t="str">
        <f>IFERROR(__xludf.DUMMYFUNCTION("""COMPUTED_VALUE"""),"")</f>
        <v/>
      </c>
      <c r="I102" s="51" t="str">
        <f>IFERROR(__xludf.DUMMYFUNCTION("""COMPUTED_VALUE"""),"#VALUE!")</f>
        <v>#VALUE!</v>
      </c>
      <c r="J102" s="51" t="str">
        <f>IFERROR(__xludf.DUMMYFUNCTION("""COMPUTED_VALUE"""),"")</f>
        <v/>
      </c>
      <c r="K102" s="51"/>
      <c r="L102" s="51" t="s">
        <v>257</v>
      </c>
      <c r="M102" s="51"/>
      <c r="N102" s="51"/>
      <c r="O102" s="51"/>
      <c r="P102" s="51"/>
      <c r="Q102" s="51"/>
      <c r="R102" s="51"/>
      <c r="S102" s="51"/>
      <c r="T102" s="51"/>
    </row>
    <row r="103">
      <c r="A103" s="51"/>
      <c r="B103" s="51"/>
      <c r="C103" s="56"/>
      <c r="D103" s="51"/>
      <c r="E103" s="51"/>
      <c r="F103" s="51"/>
      <c r="G103" s="51" t="str">
        <f>IFERROR(__xludf.DUMMYFUNCTION("""COMPUTED_VALUE"""),"#VALUE!")</f>
        <v>#VALUE!</v>
      </c>
      <c r="H103" s="51" t="str">
        <f>IFERROR(__xludf.DUMMYFUNCTION("""COMPUTED_VALUE"""),"")</f>
        <v/>
      </c>
      <c r="I103" s="51" t="str">
        <f>IFERROR(__xludf.DUMMYFUNCTION("""COMPUTED_VALUE"""),"#VALUE!")</f>
        <v>#VALUE!</v>
      </c>
      <c r="J103" s="51" t="str">
        <f>IFERROR(__xludf.DUMMYFUNCTION("""COMPUTED_VALUE"""),"")</f>
        <v/>
      </c>
      <c r="K103" s="51"/>
      <c r="L103" s="51" t="s">
        <v>257</v>
      </c>
      <c r="M103" s="51"/>
      <c r="N103" s="51"/>
      <c r="O103" s="51"/>
      <c r="P103" s="51"/>
      <c r="Q103" s="51"/>
      <c r="R103" s="51"/>
      <c r="S103" s="51"/>
      <c r="T103" s="51"/>
    </row>
    <row r="104">
      <c r="A104" s="51"/>
      <c r="B104" s="51"/>
      <c r="C104" s="56"/>
      <c r="D104" s="51"/>
      <c r="E104" s="51"/>
      <c r="F104" s="51"/>
      <c r="G104" s="51" t="str">
        <f>IFERROR(__xludf.DUMMYFUNCTION("""COMPUTED_VALUE"""),"#VALUE!")</f>
        <v>#VALUE!</v>
      </c>
      <c r="H104" s="51" t="str">
        <f>IFERROR(__xludf.DUMMYFUNCTION("""COMPUTED_VALUE"""),"")</f>
        <v/>
      </c>
      <c r="I104" s="51" t="str">
        <f>IFERROR(__xludf.DUMMYFUNCTION("""COMPUTED_VALUE"""),"#VALUE!")</f>
        <v>#VALUE!</v>
      </c>
      <c r="J104" s="51" t="str">
        <f>IFERROR(__xludf.DUMMYFUNCTION("""COMPUTED_VALUE"""),"")</f>
        <v/>
      </c>
      <c r="K104" s="51"/>
      <c r="L104" s="51" t="s">
        <v>257</v>
      </c>
      <c r="M104" s="51"/>
      <c r="N104" s="51"/>
      <c r="O104" s="51"/>
      <c r="P104" s="51"/>
      <c r="Q104" s="51"/>
      <c r="R104" s="51"/>
      <c r="S104" s="51"/>
      <c r="T104" s="51"/>
    </row>
    <row r="105">
      <c r="A105" s="51"/>
      <c r="B105" s="51"/>
      <c r="C105" s="56"/>
      <c r="D105" s="51"/>
      <c r="E105" s="51"/>
      <c r="F105" s="51"/>
      <c r="G105" s="51" t="str">
        <f>IFERROR(__xludf.DUMMYFUNCTION("""COMPUTED_VALUE"""),"#VALUE!")</f>
        <v>#VALUE!</v>
      </c>
      <c r="H105" s="51" t="str">
        <f>IFERROR(__xludf.DUMMYFUNCTION("""COMPUTED_VALUE"""),"")</f>
        <v/>
      </c>
      <c r="I105" s="51" t="str">
        <f>IFERROR(__xludf.DUMMYFUNCTION("""COMPUTED_VALUE"""),"#VALUE!")</f>
        <v>#VALUE!</v>
      </c>
      <c r="J105" s="51" t="str">
        <f>IFERROR(__xludf.DUMMYFUNCTION("""COMPUTED_VALUE"""),"")</f>
        <v/>
      </c>
      <c r="K105" s="51"/>
      <c r="L105" s="51" t="s">
        <v>257</v>
      </c>
      <c r="M105" s="51"/>
      <c r="N105" s="51"/>
      <c r="O105" s="51"/>
      <c r="P105" s="51"/>
      <c r="Q105" s="51"/>
      <c r="R105" s="51"/>
      <c r="S105" s="51"/>
      <c r="T105" s="51"/>
    </row>
    <row r="106">
      <c r="A106" s="51"/>
      <c r="B106" s="51"/>
      <c r="C106" s="56"/>
      <c r="D106" s="51"/>
      <c r="E106" s="51"/>
      <c r="F106" s="51"/>
      <c r="G106" s="51" t="str">
        <f>IFERROR(__xludf.DUMMYFUNCTION("""COMPUTED_VALUE"""),"#VALUE!")</f>
        <v>#VALUE!</v>
      </c>
      <c r="H106" s="51" t="str">
        <f>IFERROR(__xludf.DUMMYFUNCTION("""COMPUTED_VALUE"""),"")</f>
        <v/>
      </c>
      <c r="I106" s="51" t="str">
        <f>IFERROR(__xludf.DUMMYFUNCTION("""COMPUTED_VALUE"""),"#VALUE!")</f>
        <v>#VALUE!</v>
      </c>
      <c r="J106" s="51" t="str">
        <f>IFERROR(__xludf.DUMMYFUNCTION("""COMPUTED_VALUE"""),"")</f>
        <v/>
      </c>
      <c r="K106" s="51"/>
      <c r="L106" s="51" t="s">
        <v>257</v>
      </c>
      <c r="M106" s="51"/>
      <c r="N106" s="51"/>
      <c r="O106" s="51"/>
      <c r="P106" s="51"/>
      <c r="Q106" s="51"/>
      <c r="R106" s="51"/>
      <c r="S106" s="51"/>
      <c r="T106" s="51"/>
    </row>
    <row r="107">
      <c r="A107" s="51"/>
      <c r="B107" s="51"/>
      <c r="C107" s="56"/>
      <c r="D107" s="51"/>
      <c r="E107" s="51"/>
      <c r="F107" s="51"/>
      <c r="G107" s="51" t="str">
        <f>IFERROR(__xludf.DUMMYFUNCTION("""COMPUTED_VALUE"""),"#VALUE!")</f>
        <v>#VALUE!</v>
      </c>
      <c r="H107" s="51" t="str">
        <f>IFERROR(__xludf.DUMMYFUNCTION("""COMPUTED_VALUE"""),"")</f>
        <v/>
      </c>
      <c r="I107" s="51" t="str">
        <f>IFERROR(__xludf.DUMMYFUNCTION("""COMPUTED_VALUE"""),"#VALUE!")</f>
        <v>#VALUE!</v>
      </c>
      <c r="J107" s="51" t="str">
        <f>IFERROR(__xludf.DUMMYFUNCTION("""COMPUTED_VALUE"""),"")</f>
        <v/>
      </c>
      <c r="K107" s="51"/>
      <c r="L107" s="51" t="s">
        <v>257</v>
      </c>
      <c r="M107" s="51"/>
      <c r="N107" s="51"/>
      <c r="O107" s="51"/>
      <c r="P107" s="51"/>
      <c r="Q107" s="51"/>
      <c r="R107" s="51"/>
      <c r="S107" s="51"/>
      <c r="T107" s="51"/>
    </row>
    <row r="108">
      <c r="A108" s="51"/>
      <c r="B108" s="51"/>
      <c r="C108" s="56"/>
      <c r="D108" s="51"/>
      <c r="E108" s="51"/>
      <c r="F108" s="51"/>
      <c r="G108" s="51" t="str">
        <f>IFERROR(__xludf.DUMMYFUNCTION("""COMPUTED_VALUE"""),"#VALUE!")</f>
        <v>#VALUE!</v>
      </c>
      <c r="H108" s="51" t="str">
        <f>IFERROR(__xludf.DUMMYFUNCTION("""COMPUTED_VALUE"""),"")</f>
        <v/>
      </c>
      <c r="I108" s="51" t="str">
        <f>IFERROR(__xludf.DUMMYFUNCTION("""COMPUTED_VALUE"""),"#VALUE!")</f>
        <v>#VALUE!</v>
      </c>
      <c r="J108" s="51" t="str">
        <f>IFERROR(__xludf.DUMMYFUNCTION("""COMPUTED_VALUE"""),"")</f>
        <v/>
      </c>
      <c r="K108" s="51"/>
      <c r="L108" s="51" t="s">
        <v>257</v>
      </c>
      <c r="M108" s="51"/>
      <c r="N108" s="51"/>
      <c r="O108" s="51"/>
      <c r="P108" s="51"/>
      <c r="Q108" s="51"/>
      <c r="R108" s="51"/>
      <c r="S108" s="51"/>
      <c r="T108" s="51"/>
    </row>
    <row r="109">
      <c r="A109" s="51"/>
      <c r="B109" s="51"/>
      <c r="C109" s="56"/>
      <c r="D109" s="51"/>
      <c r="E109" s="51"/>
      <c r="F109" s="51"/>
      <c r="G109" s="51" t="str">
        <f>IFERROR(__xludf.DUMMYFUNCTION("""COMPUTED_VALUE"""),"#VALUE!")</f>
        <v>#VALUE!</v>
      </c>
      <c r="H109" s="51" t="str">
        <f>IFERROR(__xludf.DUMMYFUNCTION("""COMPUTED_VALUE"""),"")</f>
        <v/>
      </c>
      <c r="I109" s="51" t="str">
        <f>IFERROR(__xludf.DUMMYFUNCTION("""COMPUTED_VALUE"""),"#VALUE!")</f>
        <v>#VALUE!</v>
      </c>
      <c r="J109" s="51" t="str">
        <f>IFERROR(__xludf.DUMMYFUNCTION("""COMPUTED_VALUE"""),"")</f>
        <v/>
      </c>
      <c r="K109" s="51"/>
      <c r="L109" s="51" t="s">
        <v>257</v>
      </c>
      <c r="M109" s="51"/>
      <c r="N109" s="51"/>
      <c r="O109" s="51"/>
      <c r="P109" s="51"/>
      <c r="Q109" s="51"/>
      <c r="R109" s="51"/>
      <c r="S109" s="51"/>
      <c r="T109" s="51"/>
    </row>
    <row r="110">
      <c r="A110" s="51"/>
      <c r="B110" s="51"/>
      <c r="C110" s="56"/>
      <c r="D110" s="51"/>
      <c r="E110" s="51"/>
      <c r="F110" s="51"/>
      <c r="G110" s="51" t="str">
        <f>IFERROR(__xludf.DUMMYFUNCTION("""COMPUTED_VALUE"""),"#VALUE!")</f>
        <v>#VALUE!</v>
      </c>
      <c r="H110" s="51" t="str">
        <f>IFERROR(__xludf.DUMMYFUNCTION("""COMPUTED_VALUE"""),"")</f>
        <v/>
      </c>
      <c r="I110" s="51" t="str">
        <f>IFERROR(__xludf.DUMMYFUNCTION("""COMPUTED_VALUE"""),"#VALUE!")</f>
        <v>#VALUE!</v>
      </c>
      <c r="J110" s="51" t="str">
        <f>IFERROR(__xludf.DUMMYFUNCTION("""COMPUTED_VALUE"""),"")</f>
        <v/>
      </c>
      <c r="K110" s="51"/>
      <c r="L110" s="51" t="s">
        <v>257</v>
      </c>
      <c r="M110" s="51"/>
      <c r="N110" s="51"/>
      <c r="O110" s="51"/>
      <c r="P110" s="51"/>
      <c r="Q110" s="51"/>
      <c r="R110" s="51"/>
      <c r="S110" s="51"/>
      <c r="T110" s="51"/>
    </row>
    <row r="111">
      <c r="A111" s="51"/>
      <c r="B111" s="51"/>
      <c r="C111" s="56"/>
      <c r="D111" s="51"/>
      <c r="E111" s="51"/>
      <c r="F111" s="51"/>
      <c r="G111" s="51" t="str">
        <f>IFERROR(__xludf.DUMMYFUNCTION("""COMPUTED_VALUE"""),"#VALUE!")</f>
        <v>#VALUE!</v>
      </c>
      <c r="H111" s="51" t="str">
        <f>IFERROR(__xludf.DUMMYFUNCTION("""COMPUTED_VALUE"""),"")</f>
        <v/>
      </c>
      <c r="I111" s="51" t="str">
        <f>IFERROR(__xludf.DUMMYFUNCTION("""COMPUTED_VALUE"""),"#VALUE!")</f>
        <v>#VALUE!</v>
      </c>
      <c r="J111" s="51" t="str">
        <f>IFERROR(__xludf.DUMMYFUNCTION("""COMPUTED_VALUE"""),"")</f>
        <v/>
      </c>
      <c r="K111" s="51"/>
      <c r="L111" s="51" t="s">
        <v>257</v>
      </c>
      <c r="M111" s="51"/>
      <c r="N111" s="51"/>
      <c r="O111" s="51"/>
      <c r="P111" s="51"/>
      <c r="Q111" s="51"/>
      <c r="R111" s="51"/>
      <c r="S111" s="51"/>
      <c r="T111" s="51"/>
    </row>
    <row r="112">
      <c r="A112" s="51"/>
      <c r="B112" s="51"/>
      <c r="C112" s="56"/>
      <c r="D112" s="51"/>
      <c r="E112" s="51"/>
      <c r="F112" s="51"/>
      <c r="G112" s="51" t="str">
        <f>IFERROR(__xludf.DUMMYFUNCTION("""COMPUTED_VALUE"""),"#VALUE!")</f>
        <v>#VALUE!</v>
      </c>
      <c r="H112" s="51" t="str">
        <f>IFERROR(__xludf.DUMMYFUNCTION("""COMPUTED_VALUE"""),"")</f>
        <v/>
      </c>
      <c r="I112" s="51" t="str">
        <f>IFERROR(__xludf.DUMMYFUNCTION("""COMPUTED_VALUE"""),"#VALUE!")</f>
        <v>#VALUE!</v>
      </c>
      <c r="J112" s="51" t="str">
        <f>IFERROR(__xludf.DUMMYFUNCTION("""COMPUTED_VALUE"""),"")</f>
        <v/>
      </c>
      <c r="K112" s="51"/>
      <c r="L112" s="51" t="s">
        <v>257</v>
      </c>
      <c r="M112" s="51"/>
      <c r="N112" s="51"/>
      <c r="O112" s="51"/>
      <c r="P112" s="51"/>
      <c r="Q112" s="51"/>
      <c r="R112" s="51"/>
      <c r="S112" s="51"/>
      <c r="T112" s="51"/>
    </row>
    <row r="113">
      <c r="A113" s="51"/>
      <c r="B113" s="51"/>
      <c r="C113" s="56"/>
      <c r="D113" s="51"/>
      <c r="E113" s="51"/>
      <c r="F113" s="51"/>
      <c r="G113" s="51" t="str">
        <f>IFERROR(__xludf.DUMMYFUNCTION("""COMPUTED_VALUE"""),"#VALUE!")</f>
        <v>#VALUE!</v>
      </c>
      <c r="H113" s="51" t="str">
        <f>IFERROR(__xludf.DUMMYFUNCTION("""COMPUTED_VALUE"""),"")</f>
        <v/>
      </c>
      <c r="I113" s="51" t="str">
        <f>IFERROR(__xludf.DUMMYFUNCTION("""COMPUTED_VALUE"""),"#VALUE!")</f>
        <v>#VALUE!</v>
      </c>
      <c r="J113" s="51" t="str">
        <f>IFERROR(__xludf.DUMMYFUNCTION("""COMPUTED_VALUE"""),"")</f>
        <v/>
      </c>
      <c r="K113" s="51"/>
      <c r="L113" s="51" t="s">
        <v>257</v>
      </c>
      <c r="M113" s="51"/>
      <c r="N113" s="51"/>
      <c r="O113" s="51"/>
      <c r="P113" s="51"/>
      <c r="Q113" s="51"/>
      <c r="R113" s="51"/>
      <c r="S113" s="51"/>
      <c r="T113" s="51"/>
    </row>
    <row r="114">
      <c r="A114" s="51"/>
      <c r="B114" s="51"/>
      <c r="C114" s="56"/>
      <c r="D114" s="51"/>
      <c r="E114" s="51"/>
      <c r="F114" s="51"/>
      <c r="G114" s="51" t="str">
        <f>IFERROR(__xludf.DUMMYFUNCTION("""COMPUTED_VALUE"""),"#VALUE!")</f>
        <v>#VALUE!</v>
      </c>
      <c r="H114" s="51" t="str">
        <f>IFERROR(__xludf.DUMMYFUNCTION("""COMPUTED_VALUE"""),"")</f>
        <v/>
      </c>
      <c r="I114" s="51" t="str">
        <f>IFERROR(__xludf.DUMMYFUNCTION("""COMPUTED_VALUE"""),"#VALUE!")</f>
        <v>#VALUE!</v>
      </c>
      <c r="J114" s="51" t="str">
        <f>IFERROR(__xludf.DUMMYFUNCTION("""COMPUTED_VALUE"""),"")</f>
        <v/>
      </c>
      <c r="K114" s="51"/>
      <c r="L114" s="51" t="s">
        <v>257</v>
      </c>
      <c r="M114" s="51"/>
      <c r="N114" s="51"/>
      <c r="O114" s="51"/>
      <c r="P114" s="51"/>
      <c r="Q114" s="51"/>
      <c r="R114" s="51"/>
      <c r="S114" s="51"/>
      <c r="T114" s="51"/>
    </row>
    <row r="115">
      <c r="A115" s="51"/>
      <c r="B115" s="51"/>
      <c r="C115" s="56"/>
      <c r="D115" s="51"/>
      <c r="E115" s="51"/>
      <c r="F115" s="51"/>
      <c r="G115" s="51" t="str">
        <f>IFERROR(__xludf.DUMMYFUNCTION("""COMPUTED_VALUE"""),"#VALUE!")</f>
        <v>#VALUE!</v>
      </c>
      <c r="H115" s="51" t="str">
        <f>IFERROR(__xludf.DUMMYFUNCTION("""COMPUTED_VALUE"""),"")</f>
        <v/>
      </c>
      <c r="I115" s="51" t="str">
        <f>IFERROR(__xludf.DUMMYFUNCTION("""COMPUTED_VALUE"""),"#VALUE!")</f>
        <v>#VALUE!</v>
      </c>
      <c r="J115" s="51" t="str">
        <f>IFERROR(__xludf.DUMMYFUNCTION("""COMPUTED_VALUE"""),"")</f>
        <v/>
      </c>
      <c r="K115" s="51"/>
      <c r="L115" s="51" t="s">
        <v>257</v>
      </c>
      <c r="M115" s="51"/>
      <c r="N115" s="51"/>
      <c r="O115" s="51"/>
      <c r="P115" s="51"/>
      <c r="Q115" s="51"/>
      <c r="R115" s="51"/>
      <c r="S115" s="51"/>
      <c r="T115" s="51"/>
    </row>
    <row r="116">
      <c r="A116" s="51"/>
      <c r="B116" s="51"/>
      <c r="C116" s="56"/>
      <c r="D116" s="51"/>
      <c r="E116" s="51"/>
      <c r="F116" s="51"/>
      <c r="G116" s="51" t="str">
        <f>IFERROR(__xludf.DUMMYFUNCTION("""COMPUTED_VALUE"""),"#VALUE!")</f>
        <v>#VALUE!</v>
      </c>
      <c r="H116" s="51" t="str">
        <f>IFERROR(__xludf.DUMMYFUNCTION("""COMPUTED_VALUE"""),"")</f>
        <v/>
      </c>
      <c r="I116" s="51" t="str">
        <f>IFERROR(__xludf.DUMMYFUNCTION("""COMPUTED_VALUE"""),"#VALUE!")</f>
        <v>#VALUE!</v>
      </c>
      <c r="J116" s="51" t="str">
        <f>IFERROR(__xludf.DUMMYFUNCTION("""COMPUTED_VALUE"""),"")</f>
        <v/>
      </c>
      <c r="K116" s="51"/>
      <c r="L116" s="51" t="s">
        <v>257</v>
      </c>
      <c r="M116" s="51"/>
      <c r="N116" s="51"/>
      <c r="O116" s="51"/>
      <c r="P116" s="51"/>
      <c r="Q116" s="51"/>
      <c r="R116" s="51"/>
      <c r="S116" s="51"/>
      <c r="T116" s="51"/>
    </row>
    <row r="117">
      <c r="A117" s="51"/>
      <c r="B117" s="51"/>
      <c r="C117" s="56"/>
      <c r="D117" s="51"/>
      <c r="E117" s="51"/>
      <c r="F117" s="51"/>
      <c r="G117" s="51" t="str">
        <f>IFERROR(__xludf.DUMMYFUNCTION("""COMPUTED_VALUE"""),"#VALUE!")</f>
        <v>#VALUE!</v>
      </c>
      <c r="H117" s="51" t="str">
        <f>IFERROR(__xludf.DUMMYFUNCTION("""COMPUTED_VALUE"""),"")</f>
        <v/>
      </c>
      <c r="I117" s="51" t="str">
        <f>IFERROR(__xludf.DUMMYFUNCTION("""COMPUTED_VALUE"""),"#VALUE!")</f>
        <v>#VALUE!</v>
      </c>
      <c r="J117" s="51" t="str">
        <f>IFERROR(__xludf.DUMMYFUNCTION("""COMPUTED_VALUE"""),"")</f>
        <v/>
      </c>
      <c r="K117" s="51"/>
      <c r="L117" s="51" t="s">
        <v>257</v>
      </c>
      <c r="M117" s="51"/>
      <c r="N117" s="51"/>
      <c r="O117" s="51"/>
      <c r="P117" s="51"/>
      <c r="Q117" s="51"/>
      <c r="R117" s="51"/>
      <c r="S117" s="51"/>
      <c r="T117" s="51"/>
    </row>
    <row r="118">
      <c r="A118" s="51"/>
      <c r="B118" s="51"/>
      <c r="C118" s="56"/>
      <c r="D118" s="51"/>
      <c r="E118" s="51"/>
      <c r="F118" s="51"/>
      <c r="G118" s="51" t="str">
        <f>IFERROR(__xludf.DUMMYFUNCTION("""COMPUTED_VALUE"""),"#VALUE!")</f>
        <v>#VALUE!</v>
      </c>
      <c r="H118" s="51" t="str">
        <f>IFERROR(__xludf.DUMMYFUNCTION("""COMPUTED_VALUE"""),"")</f>
        <v/>
      </c>
      <c r="I118" s="51" t="str">
        <f>IFERROR(__xludf.DUMMYFUNCTION("""COMPUTED_VALUE"""),"#VALUE!")</f>
        <v>#VALUE!</v>
      </c>
      <c r="J118" s="51" t="str">
        <f>IFERROR(__xludf.DUMMYFUNCTION("""COMPUTED_VALUE"""),"")</f>
        <v/>
      </c>
      <c r="K118" s="51"/>
      <c r="L118" s="51" t="s">
        <v>257</v>
      </c>
      <c r="M118" s="51"/>
      <c r="N118" s="51"/>
      <c r="O118" s="51"/>
      <c r="P118" s="51"/>
      <c r="Q118" s="51"/>
      <c r="R118" s="51"/>
      <c r="S118" s="51"/>
      <c r="T118" s="51"/>
    </row>
    <row r="119">
      <c r="A119" s="51"/>
      <c r="B119" s="51"/>
      <c r="C119" s="56"/>
      <c r="D119" s="51"/>
      <c r="E119" s="51"/>
      <c r="F119" s="51"/>
      <c r="G119" s="51" t="str">
        <f>IFERROR(__xludf.DUMMYFUNCTION("""COMPUTED_VALUE"""),"#VALUE!")</f>
        <v>#VALUE!</v>
      </c>
      <c r="H119" s="51" t="str">
        <f>IFERROR(__xludf.DUMMYFUNCTION("""COMPUTED_VALUE"""),"")</f>
        <v/>
      </c>
      <c r="I119" s="51" t="str">
        <f>IFERROR(__xludf.DUMMYFUNCTION("""COMPUTED_VALUE"""),"#VALUE!")</f>
        <v>#VALUE!</v>
      </c>
      <c r="J119" s="51" t="str">
        <f>IFERROR(__xludf.DUMMYFUNCTION("""COMPUTED_VALUE"""),"")</f>
        <v/>
      </c>
      <c r="K119" s="51"/>
      <c r="L119" s="51" t="s">
        <v>257</v>
      </c>
      <c r="M119" s="51"/>
      <c r="N119" s="51"/>
      <c r="O119" s="51"/>
      <c r="P119" s="51"/>
      <c r="Q119" s="51"/>
      <c r="R119" s="51"/>
      <c r="S119" s="51"/>
      <c r="T119" s="51"/>
    </row>
    <row r="120">
      <c r="A120" s="51"/>
      <c r="B120" s="51"/>
      <c r="C120" s="56"/>
      <c r="D120" s="51"/>
      <c r="E120" s="51"/>
      <c r="F120" s="51"/>
      <c r="G120" s="51" t="str">
        <f>IFERROR(__xludf.DUMMYFUNCTION("""COMPUTED_VALUE"""),"#VALUE!")</f>
        <v>#VALUE!</v>
      </c>
      <c r="H120" s="51" t="str">
        <f>IFERROR(__xludf.DUMMYFUNCTION("""COMPUTED_VALUE"""),"")</f>
        <v/>
      </c>
      <c r="I120" s="51" t="str">
        <f>IFERROR(__xludf.DUMMYFUNCTION("""COMPUTED_VALUE"""),"#VALUE!")</f>
        <v>#VALUE!</v>
      </c>
      <c r="J120" s="51" t="str">
        <f>IFERROR(__xludf.DUMMYFUNCTION("""COMPUTED_VALUE"""),"")</f>
        <v/>
      </c>
      <c r="K120" s="51"/>
      <c r="L120" s="51" t="s">
        <v>257</v>
      </c>
      <c r="M120" s="51"/>
      <c r="N120" s="51"/>
      <c r="O120" s="51"/>
      <c r="P120" s="51"/>
      <c r="Q120" s="51"/>
      <c r="R120" s="51"/>
      <c r="S120" s="51"/>
      <c r="T120" s="51"/>
    </row>
    <row r="121">
      <c r="A121" s="51"/>
      <c r="B121" s="51"/>
      <c r="C121" s="56"/>
      <c r="D121" s="51"/>
      <c r="E121" s="51"/>
      <c r="F121" s="51"/>
      <c r="G121" s="51" t="str">
        <f>IFERROR(__xludf.DUMMYFUNCTION("""COMPUTED_VALUE"""),"#VALUE!")</f>
        <v>#VALUE!</v>
      </c>
      <c r="H121" s="51" t="str">
        <f>IFERROR(__xludf.DUMMYFUNCTION("""COMPUTED_VALUE"""),"")</f>
        <v/>
      </c>
      <c r="I121" s="51" t="str">
        <f>IFERROR(__xludf.DUMMYFUNCTION("""COMPUTED_VALUE"""),"#VALUE!")</f>
        <v>#VALUE!</v>
      </c>
      <c r="J121" s="51" t="str">
        <f>IFERROR(__xludf.DUMMYFUNCTION("""COMPUTED_VALUE"""),"")</f>
        <v/>
      </c>
      <c r="K121" s="51"/>
      <c r="L121" s="51" t="s">
        <v>257</v>
      </c>
      <c r="M121" s="51"/>
      <c r="N121" s="51"/>
      <c r="O121" s="51"/>
      <c r="P121" s="51"/>
      <c r="Q121" s="51"/>
      <c r="R121" s="51"/>
      <c r="S121" s="51"/>
      <c r="T121" s="51"/>
    </row>
    <row r="122">
      <c r="A122" s="51"/>
      <c r="B122" s="51"/>
      <c r="C122" s="56"/>
      <c r="D122" s="51"/>
      <c r="E122" s="51"/>
      <c r="F122" s="51"/>
      <c r="G122" s="51" t="str">
        <f>IFERROR(__xludf.DUMMYFUNCTION("""COMPUTED_VALUE"""),"#VALUE!")</f>
        <v>#VALUE!</v>
      </c>
      <c r="H122" s="51" t="str">
        <f>IFERROR(__xludf.DUMMYFUNCTION("""COMPUTED_VALUE"""),"")</f>
        <v/>
      </c>
      <c r="I122" s="51" t="str">
        <f>IFERROR(__xludf.DUMMYFUNCTION("""COMPUTED_VALUE"""),"#VALUE!")</f>
        <v>#VALUE!</v>
      </c>
      <c r="J122" s="51" t="str">
        <f>IFERROR(__xludf.DUMMYFUNCTION("""COMPUTED_VALUE"""),"")</f>
        <v/>
      </c>
      <c r="K122" s="51"/>
      <c r="L122" s="51" t="s">
        <v>257</v>
      </c>
      <c r="M122" s="51"/>
      <c r="N122" s="51"/>
      <c r="O122" s="51"/>
      <c r="P122" s="51"/>
      <c r="Q122" s="51"/>
      <c r="R122" s="51"/>
      <c r="S122" s="51"/>
      <c r="T122" s="51"/>
    </row>
    <row r="123">
      <c r="A123" s="51"/>
      <c r="B123" s="51"/>
      <c r="C123" s="56"/>
      <c r="D123" s="51"/>
      <c r="E123" s="51"/>
      <c r="F123" s="51"/>
      <c r="G123" s="51" t="str">
        <f>IFERROR(__xludf.DUMMYFUNCTION("""COMPUTED_VALUE"""),"#VALUE!")</f>
        <v>#VALUE!</v>
      </c>
      <c r="H123" s="51" t="str">
        <f>IFERROR(__xludf.DUMMYFUNCTION("""COMPUTED_VALUE"""),"")</f>
        <v/>
      </c>
      <c r="I123" s="51" t="str">
        <f>IFERROR(__xludf.DUMMYFUNCTION("""COMPUTED_VALUE"""),"#VALUE!")</f>
        <v>#VALUE!</v>
      </c>
      <c r="J123" s="51" t="str">
        <f>IFERROR(__xludf.DUMMYFUNCTION("""COMPUTED_VALUE"""),"")</f>
        <v/>
      </c>
      <c r="K123" s="51"/>
      <c r="L123" s="51" t="s">
        <v>257</v>
      </c>
      <c r="M123" s="51"/>
      <c r="N123" s="51"/>
      <c r="O123" s="51"/>
      <c r="P123" s="51"/>
      <c r="Q123" s="51"/>
      <c r="R123" s="51"/>
      <c r="S123" s="51"/>
      <c r="T123" s="51"/>
    </row>
    <row r="124">
      <c r="A124" s="51"/>
      <c r="B124" s="51"/>
      <c r="C124" s="56"/>
      <c r="D124" s="51"/>
      <c r="E124" s="51"/>
      <c r="F124" s="51"/>
      <c r="G124" s="51" t="str">
        <f>IFERROR(__xludf.DUMMYFUNCTION("""COMPUTED_VALUE"""),"#VALUE!")</f>
        <v>#VALUE!</v>
      </c>
      <c r="H124" s="51" t="str">
        <f>IFERROR(__xludf.DUMMYFUNCTION("""COMPUTED_VALUE"""),"")</f>
        <v/>
      </c>
      <c r="I124" s="51" t="str">
        <f>IFERROR(__xludf.DUMMYFUNCTION("""COMPUTED_VALUE"""),"#VALUE!")</f>
        <v>#VALUE!</v>
      </c>
      <c r="J124" s="51" t="str">
        <f>IFERROR(__xludf.DUMMYFUNCTION("""COMPUTED_VALUE"""),"")</f>
        <v/>
      </c>
      <c r="K124" s="51"/>
      <c r="L124" s="51" t="s">
        <v>257</v>
      </c>
      <c r="M124" s="51"/>
      <c r="N124" s="51"/>
      <c r="O124" s="51"/>
      <c r="P124" s="51"/>
      <c r="Q124" s="51"/>
      <c r="R124" s="51"/>
      <c r="S124" s="51"/>
      <c r="T124" s="51"/>
    </row>
    <row r="125">
      <c r="A125" s="51"/>
      <c r="B125" s="51"/>
      <c r="C125" s="56"/>
      <c r="D125" s="51"/>
      <c r="E125" s="51"/>
      <c r="F125" s="51"/>
      <c r="G125" s="51" t="str">
        <f>IFERROR(__xludf.DUMMYFUNCTION("""COMPUTED_VALUE"""),"#VALUE!")</f>
        <v>#VALUE!</v>
      </c>
      <c r="H125" s="51" t="str">
        <f>IFERROR(__xludf.DUMMYFUNCTION("""COMPUTED_VALUE"""),"")</f>
        <v/>
      </c>
      <c r="I125" s="51" t="str">
        <f>IFERROR(__xludf.DUMMYFUNCTION("""COMPUTED_VALUE"""),"#VALUE!")</f>
        <v>#VALUE!</v>
      </c>
      <c r="J125" s="51" t="str">
        <f>IFERROR(__xludf.DUMMYFUNCTION("""COMPUTED_VALUE"""),"")</f>
        <v/>
      </c>
      <c r="K125" s="51"/>
      <c r="L125" s="51" t="s">
        <v>257</v>
      </c>
      <c r="M125" s="51"/>
      <c r="N125" s="51"/>
      <c r="O125" s="51"/>
      <c r="P125" s="51"/>
      <c r="Q125" s="51"/>
      <c r="R125" s="51"/>
      <c r="S125" s="51"/>
      <c r="T125" s="51"/>
    </row>
    <row r="126">
      <c r="A126" s="51"/>
      <c r="B126" s="51"/>
      <c r="C126" s="56"/>
      <c r="D126" s="51"/>
      <c r="E126" s="51"/>
      <c r="F126" s="51"/>
      <c r="G126" s="51" t="str">
        <f>IFERROR(__xludf.DUMMYFUNCTION("""COMPUTED_VALUE"""),"#VALUE!")</f>
        <v>#VALUE!</v>
      </c>
      <c r="H126" s="51" t="str">
        <f>IFERROR(__xludf.DUMMYFUNCTION("""COMPUTED_VALUE"""),"")</f>
        <v/>
      </c>
      <c r="I126" s="51" t="str">
        <f>IFERROR(__xludf.DUMMYFUNCTION("""COMPUTED_VALUE"""),"#VALUE!")</f>
        <v>#VALUE!</v>
      </c>
      <c r="J126" s="51" t="str">
        <f>IFERROR(__xludf.DUMMYFUNCTION("""COMPUTED_VALUE"""),"")</f>
        <v/>
      </c>
      <c r="K126" s="51"/>
      <c r="L126" s="51" t="s">
        <v>257</v>
      </c>
      <c r="M126" s="51"/>
      <c r="N126" s="51"/>
      <c r="O126" s="51"/>
      <c r="P126" s="51"/>
      <c r="Q126" s="51"/>
      <c r="R126" s="51"/>
      <c r="S126" s="51"/>
      <c r="T126" s="51"/>
    </row>
    <row r="127">
      <c r="A127" s="51"/>
      <c r="B127" s="51"/>
      <c r="C127" s="56"/>
      <c r="D127" s="51"/>
      <c r="E127" s="51"/>
      <c r="F127" s="51"/>
      <c r="G127" s="51" t="str">
        <f>IFERROR(__xludf.DUMMYFUNCTION("""COMPUTED_VALUE"""),"#VALUE!")</f>
        <v>#VALUE!</v>
      </c>
      <c r="H127" s="51" t="str">
        <f>IFERROR(__xludf.DUMMYFUNCTION("""COMPUTED_VALUE"""),"")</f>
        <v/>
      </c>
      <c r="I127" s="51" t="str">
        <f>IFERROR(__xludf.DUMMYFUNCTION("""COMPUTED_VALUE"""),"#VALUE!")</f>
        <v>#VALUE!</v>
      </c>
      <c r="J127" s="51" t="str">
        <f>IFERROR(__xludf.DUMMYFUNCTION("""COMPUTED_VALUE"""),"")</f>
        <v/>
      </c>
      <c r="K127" s="51"/>
      <c r="L127" s="51" t="s">
        <v>257</v>
      </c>
      <c r="M127" s="51"/>
      <c r="N127" s="51"/>
      <c r="O127" s="51"/>
      <c r="P127" s="51"/>
      <c r="Q127" s="51"/>
      <c r="R127" s="51"/>
      <c r="S127" s="51"/>
      <c r="T127" s="51"/>
    </row>
    <row r="128">
      <c r="A128" s="51"/>
      <c r="B128" s="51"/>
      <c r="C128" s="56"/>
      <c r="D128" s="51"/>
      <c r="E128" s="51"/>
      <c r="F128" s="51"/>
      <c r="G128" s="51" t="str">
        <f>IFERROR(__xludf.DUMMYFUNCTION("""COMPUTED_VALUE"""),"#VALUE!")</f>
        <v>#VALUE!</v>
      </c>
      <c r="H128" s="51" t="str">
        <f>IFERROR(__xludf.DUMMYFUNCTION("""COMPUTED_VALUE"""),"")</f>
        <v/>
      </c>
      <c r="I128" s="51" t="str">
        <f>IFERROR(__xludf.DUMMYFUNCTION("""COMPUTED_VALUE"""),"#VALUE!")</f>
        <v>#VALUE!</v>
      </c>
      <c r="J128" s="51" t="str">
        <f>IFERROR(__xludf.DUMMYFUNCTION("""COMPUTED_VALUE"""),"")</f>
        <v/>
      </c>
      <c r="K128" s="51"/>
      <c r="L128" s="51" t="s">
        <v>257</v>
      </c>
      <c r="M128" s="51"/>
      <c r="N128" s="51"/>
      <c r="O128" s="51"/>
      <c r="P128" s="51"/>
      <c r="Q128" s="51"/>
      <c r="R128" s="51"/>
      <c r="S128" s="51"/>
      <c r="T128" s="51"/>
    </row>
    <row r="129">
      <c r="A129" s="51"/>
      <c r="B129" s="51"/>
      <c r="C129" s="56"/>
      <c r="D129" s="51"/>
      <c r="E129" s="51"/>
      <c r="F129" s="51"/>
      <c r="G129" s="51" t="str">
        <f>IFERROR(__xludf.DUMMYFUNCTION("""COMPUTED_VALUE"""),"#VALUE!")</f>
        <v>#VALUE!</v>
      </c>
      <c r="H129" s="51" t="str">
        <f>IFERROR(__xludf.DUMMYFUNCTION("""COMPUTED_VALUE"""),"")</f>
        <v/>
      </c>
      <c r="I129" s="51" t="str">
        <f>IFERROR(__xludf.DUMMYFUNCTION("""COMPUTED_VALUE"""),"#VALUE!")</f>
        <v>#VALUE!</v>
      </c>
      <c r="J129" s="51" t="str">
        <f>IFERROR(__xludf.DUMMYFUNCTION("""COMPUTED_VALUE"""),"")</f>
        <v/>
      </c>
      <c r="K129" s="51"/>
      <c r="L129" s="51" t="s">
        <v>257</v>
      </c>
      <c r="M129" s="51"/>
      <c r="N129" s="51"/>
      <c r="O129" s="51"/>
      <c r="P129" s="51"/>
      <c r="Q129" s="51"/>
      <c r="R129" s="51"/>
      <c r="S129" s="51"/>
      <c r="T129" s="51"/>
    </row>
    <row r="130">
      <c r="A130" s="51"/>
      <c r="B130" s="51"/>
      <c r="C130" s="56"/>
      <c r="D130" s="51"/>
      <c r="E130" s="51"/>
      <c r="F130" s="51"/>
      <c r="G130" s="51" t="str">
        <f>IFERROR(__xludf.DUMMYFUNCTION("""COMPUTED_VALUE"""),"#VALUE!")</f>
        <v>#VALUE!</v>
      </c>
      <c r="H130" s="51" t="str">
        <f>IFERROR(__xludf.DUMMYFUNCTION("""COMPUTED_VALUE"""),"")</f>
        <v/>
      </c>
      <c r="I130" s="51" t="str">
        <f>IFERROR(__xludf.DUMMYFUNCTION("""COMPUTED_VALUE"""),"#VALUE!")</f>
        <v>#VALUE!</v>
      </c>
      <c r="J130" s="51" t="str">
        <f>IFERROR(__xludf.DUMMYFUNCTION("""COMPUTED_VALUE"""),"")</f>
        <v/>
      </c>
      <c r="K130" s="51"/>
      <c r="L130" s="51" t="s">
        <v>257</v>
      </c>
      <c r="M130" s="51"/>
      <c r="N130" s="51"/>
      <c r="O130" s="51"/>
      <c r="P130" s="51"/>
      <c r="Q130" s="51"/>
      <c r="R130" s="51"/>
      <c r="S130" s="51"/>
      <c r="T130" s="51"/>
    </row>
    <row r="131">
      <c r="A131" s="51"/>
      <c r="B131" s="51"/>
      <c r="C131" s="56"/>
      <c r="D131" s="51"/>
      <c r="E131" s="51"/>
      <c r="F131" s="51"/>
      <c r="G131" s="51" t="str">
        <f>IFERROR(__xludf.DUMMYFUNCTION("""COMPUTED_VALUE"""),"#VALUE!")</f>
        <v>#VALUE!</v>
      </c>
      <c r="H131" s="51" t="str">
        <f>IFERROR(__xludf.DUMMYFUNCTION("""COMPUTED_VALUE"""),"")</f>
        <v/>
      </c>
      <c r="I131" s="51" t="str">
        <f>IFERROR(__xludf.DUMMYFUNCTION("""COMPUTED_VALUE"""),"#VALUE!")</f>
        <v>#VALUE!</v>
      </c>
      <c r="J131" s="51" t="str">
        <f>IFERROR(__xludf.DUMMYFUNCTION("""COMPUTED_VALUE"""),"")</f>
        <v/>
      </c>
      <c r="K131" s="51"/>
      <c r="L131" s="51" t="s">
        <v>257</v>
      </c>
      <c r="M131" s="51"/>
      <c r="N131" s="51"/>
      <c r="O131" s="51"/>
      <c r="P131" s="51"/>
      <c r="Q131" s="51"/>
      <c r="R131" s="51"/>
      <c r="S131" s="51"/>
      <c r="T131" s="51"/>
    </row>
    <row r="132">
      <c r="A132" s="51"/>
      <c r="B132" s="51"/>
      <c r="C132" s="56"/>
      <c r="D132" s="51"/>
      <c r="E132" s="51"/>
      <c r="F132" s="51"/>
      <c r="G132" s="51" t="str">
        <f>IFERROR(__xludf.DUMMYFUNCTION("""COMPUTED_VALUE"""),"#VALUE!")</f>
        <v>#VALUE!</v>
      </c>
      <c r="H132" s="51" t="str">
        <f>IFERROR(__xludf.DUMMYFUNCTION("""COMPUTED_VALUE"""),"")</f>
        <v/>
      </c>
      <c r="I132" s="51" t="str">
        <f>IFERROR(__xludf.DUMMYFUNCTION("""COMPUTED_VALUE"""),"#VALUE!")</f>
        <v>#VALUE!</v>
      </c>
      <c r="J132" s="51" t="str">
        <f>IFERROR(__xludf.DUMMYFUNCTION("""COMPUTED_VALUE"""),"")</f>
        <v/>
      </c>
      <c r="K132" s="51"/>
      <c r="L132" s="51" t="s">
        <v>257</v>
      </c>
      <c r="M132" s="51"/>
      <c r="N132" s="51"/>
      <c r="O132" s="51"/>
      <c r="P132" s="51"/>
      <c r="Q132" s="51"/>
      <c r="R132" s="51"/>
      <c r="S132" s="51"/>
      <c r="T132" s="51"/>
    </row>
    <row r="133">
      <c r="A133" s="51"/>
      <c r="B133" s="51"/>
      <c r="C133" s="56"/>
      <c r="D133" s="51"/>
      <c r="E133" s="51"/>
      <c r="F133" s="51"/>
      <c r="G133" s="51" t="str">
        <f>IFERROR(__xludf.DUMMYFUNCTION("""COMPUTED_VALUE"""),"#VALUE!")</f>
        <v>#VALUE!</v>
      </c>
      <c r="H133" s="51" t="str">
        <f>IFERROR(__xludf.DUMMYFUNCTION("""COMPUTED_VALUE"""),"")</f>
        <v/>
      </c>
      <c r="I133" s="51" t="str">
        <f>IFERROR(__xludf.DUMMYFUNCTION("""COMPUTED_VALUE"""),"#VALUE!")</f>
        <v>#VALUE!</v>
      </c>
      <c r="J133" s="51" t="str">
        <f>IFERROR(__xludf.DUMMYFUNCTION("""COMPUTED_VALUE"""),"")</f>
        <v/>
      </c>
      <c r="K133" s="51"/>
      <c r="L133" s="51" t="s">
        <v>257</v>
      </c>
      <c r="M133" s="51"/>
      <c r="N133" s="51"/>
      <c r="O133" s="51"/>
      <c r="P133" s="51"/>
      <c r="Q133" s="51"/>
      <c r="R133" s="51"/>
      <c r="S133" s="51"/>
      <c r="T133" s="51"/>
    </row>
    <row r="134">
      <c r="A134" s="51"/>
      <c r="B134" s="51"/>
      <c r="C134" s="56"/>
      <c r="D134" s="51"/>
      <c r="E134" s="51"/>
      <c r="F134" s="51"/>
      <c r="G134" s="51" t="str">
        <f>IFERROR(__xludf.DUMMYFUNCTION("""COMPUTED_VALUE"""),"#VALUE!")</f>
        <v>#VALUE!</v>
      </c>
      <c r="H134" s="51" t="str">
        <f>IFERROR(__xludf.DUMMYFUNCTION("""COMPUTED_VALUE"""),"")</f>
        <v/>
      </c>
      <c r="I134" s="51" t="str">
        <f>IFERROR(__xludf.DUMMYFUNCTION("""COMPUTED_VALUE"""),"#VALUE!")</f>
        <v>#VALUE!</v>
      </c>
      <c r="J134" s="51" t="str">
        <f>IFERROR(__xludf.DUMMYFUNCTION("""COMPUTED_VALUE"""),"")</f>
        <v/>
      </c>
      <c r="K134" s="51"/>
      <c r="L134" s="51" t="s">
        <v>257</v>
      </c>
      <c r="M134" s="51"/>
      <c r="N134" s="51"/>
      <c r="O134" s="51"/>
      <c r="P134" s="51"/>
      <c r="Q134" s="51"/>
      <c r="R134" s="51"/>
      <c r="S134" s="51"/>
      <c r="T134" s="51"/>
    </row>
    <row r="135">
      <c r="A135" s="51"/>
      <c r="B135" s="51"/>
      <c r="C135" s="56"/>
      <c r="D135" s="51"/>
      <c r="E135" s="51"/>
      <c r="F135" s="51"/>
      <c r="G135" s="51" t="str">
        <f>IFERROR(__xludf.DUMMYFUNCTION("""COMPUTED_VALUE"""),"#VALUE!")</f>
        <v>#VALUE!</v>
      </c>
      <c r="H135" s="51" t="str">
        <f>IFERROR(__xludf.DUMMYFUNCTION("""COMPUTED_VALUE"""),"")</f>
        <v/>
      </c>
      <c r="I135" s="51" t="str">
        <f>IFERROR(__xludf.DUMMYFUNCTION("""COMPUTED_VALUE"""),"#VALUE!")</f>
        <v>#VALUE!</v>
      </c>
      <c r="J135" s="51" t="str">
        <f>IFERROR(__xludf.DUMMYFUNCTION("""COMPUTED_VALUE"""),"")</f>
        <v/>
      </c>
      <c r="K135" s="51"/>
      <c r="L135" s="51" t="s">
        <v>257</v>
      </c>
      <c r="M135" s="51"/>
      <c r="N135" s="51"/>
      <c r="O135" s="51"/>
      <c r="P135" s="51"/>
      <c r="Q135" s="51"/>
      <c r="R135" s="51"/>
      <c r="S135" s="51"/>
      <c r="T135" s="51"/>
    </row>
    <row r="136">
      <c r="A136" s="51"/>
      <c r="B136" s="51"/>
      <c r="C136" s="56"/>
      <c r="D136" s="51"/>
      <c r="E136" s="51"/>
      <c r="F136" s="51"/>
      <c r="G136" s="51" t="str">
        <f>IFERROR(__xludf.DUMMYFUNCTION("""COMPUTED_VALUE"""),"#VALUE!")</f>
        <v>#VALUE!</v>
      </c>
      <c r="H136" s="51" t="str">
        <f>IFERROR(__xludf.DUMMYFUNCTION("""COMPUTED_VALUE"""),"")</f>
        <v/>
      </c>
      <c r="I136" s="51" t="str">
        <f>IFERROR(__xludf.DUMMYFUNCTION("""COMPUTED_VALUE"""),"#VALUE!")</f>
        <v>#VALUE!</v>
      </c>
      <c r="J136" s="51" t="str">
        <f>IFERROR(__xludf.DUMMYFUNCTION("""COMPUTED_VALUE"""),"")</f>
        <v/>
      </c>
      <c r="K136" s="51"/>
      <c r="L136" s="51" t="s">
        <v>257</v>
      </c>
      <c r="M136" s="51"/>
      <c r="N136" s="51"/>
      <c r="O136" s="51"/>
      <c r="P136" s="51"/>
      <c r="Q136" s="51"/>
      <c r="R136" s="51"/>
      <c r="S136" s="51"/>
      <c r="T136" s="51"/>
    </row>
    <row r="137">
      <c r="A137" s="51"/>
      <c r="B137" s="51"/>
      <c r="C137" s="56"/>
      <c r="D137" s="51"/>
      <c r="E137" s="51"/>
      <c r="F137" s="51"/>
      <c r="G137" s="51" t="str">
        <f>IFERROR(__xludf.DUMMYFUNCTION("""COMPUTED_VALUE"""),"#VALUE!")</f>
        <v>#VALUE!</v>
      </c>
      <c r="H137" s="51" t="str">
        <f>IFERROR(__xludf.DUMMYFUNCTION("""COMPUTED_VALUE"""),"")</f>
        <v/>
      </c>
      <c r="I137" s="51" t="str">
        <f>IFERROR(__xludf.DUMMYFUNCTION("""COMPUTED_VALUE"""),"#VALUE!")</f>
        <v>#VALUE!</v>
      </c>
      <c r="J137" s="51" t="str">
        <f>IFERROR(__xludf.DUMMYFUNCTION("""COMPUTED_VALUE"""),"")</f>
        <v/>
      </c>
      <c r="K137" s="51"/>
      <c r="L137" s="51" t="s">
        <v>257</v>
      </c>
      <c r="M137" s="51"/>
      <c r="N137" s="51"/>
      <c r="O137" s="51"/>
      <c r="P137" s="51"/>
      <c r="Q137" s="51"/>
      <c r="R137" s="51"/>
      <c r="S137" s="51"/>
      <c r="T137" s="51"/>
    </row>
    <row r="138">
      <c r="A138" s="51"/>
      <c r="B138" s="51"/>
      <c r="C138" s="56"/>
      <c r="D138" s="51"/>
      <c r="E138" s="51"/>
      <c r="F138" s="51"/>
      <c r="G138" s="51" t="str">
        <f>IFERROR(__xludf.DUMMYFUNCTION("""COMPUTED_VALUE"""),"#VALUE!")</f>
        <v>#VALUE!</v>
      </c>
      <c r="H138" s="51" t="str">
        <f>IFERROR(__xludf.DUMMYFUNCTION("""COMPUTED_VALUE"""),"")</f>
        <v/>
      </c>
      <c r="I138" s="51" t="str">
        <f>IFERROR(__xludf.DUMMYFUNCTION("""COMPUTED_VALUE"""),"#VALUE!")</f>
        <v>#VALUE!</v>
      </c>
      <c r="J138" s="51" t="str">
        <f>IFERROR(__xludf.DUMMYFUNCTION("""COMPUTED_VALUE"""),"")</f>
        <v/>
      </c>
      <c r="K138" s="51"/>
      <c r="L138" s="51" t="s">
        <v>257</v>
      </c>
      <c r="M138" s="51"/>
      <c r="N138" s="51"/>
      <c r="O138" s="51"/>
      <c r="P138" s="51"/>
      <c r="Q138" s="51"/>
      <c r="R138" s="51"/>
      <c r="S138" s="51"/>
      <c r="T138" s="51"/>
    </row>
    <row r="139">
      <c r="A139" s="51"/>
      <c r="B139" s="51"/>
      <c r="C139" s="56"/>
      <c r="D139" s="51"/>
      <c r="E139" s="51"/>
      <c r="F139" s="51"/>
      <c r="G139" s="51" t="str">
        <f>IFERROR(__xludf.DUMMYFUNCTION("""COMPUTED_VALUE"""),"#VALUE!")</f>
        <v>#VALUE!</v>
      </c>
      <c r="H139" s="51" t="str">
        <f>IFERROR(__xludf.DUMMYFUNCTION("""COMPUTED_VALUE"""),"")</f>
        <v/>
      </c>
      <c r="I139" s="51" t="str">
        <f>IFERROR(__xludf.DUMMYFUNCTION("""COMPUTED_VALUE"""),"#VALUE!")</f>
        <v>#VALUE!</v>
      </c>
      <c r="J139" s="51" t="str">
        <f>IFERROR(__xludf.DUMMYFUNCTION("""COMPUTED_VALUE"""),"")</f>
        <v/>
      </c>
      <c r="K139" s="51"/>
      <c r="L139" s="51" t="s">
        <v>257</v>
      </c>
      <c r="M139" s="51"/>
      <c r="N139" s="51"/>
      <c r="O139" s="51"/>
      <c r="P139" s="51"/>
      <c r="Q139" s="51"/>
      <c r="R139" s="51"/>
      <c r="S139" s="51"/>
      <c r="T139" s="51"/>
    </row>
    <row r="140">
      <c r="A140" s="51"/>
      <c r="B140" s="51"/>
      <c r="C140" s="56"/>
      <c r="D140" s="51"/>
      <c r="E140" s="51"/>
      <c r="F140" s="51"/>
      <c r="G140" s="51" t="str">
        <f>IFERROR(__xludf.DUMMYFUNCTION("""COMPUTED_VALUE"""),"#VALUE!")</f>
        <v>#VALUE!</v>
      </c>
      <c r="H140" s="51" t="str">
        <f>IFERROR(__xludf.DUMMYFUNCTION("""COMPUTED_VALUE"""),"")</f>
        <v/>
      </c>
      <c r="I140" s="51" t="str">
        <f>IFERROR(__xludf.DUMMYFUNCTION("""COMPUTED_VALUE"""),"#VALUE!")</f>
        <v>#VALUE!</v>
      </c>
      <c r="J140" s="51" t="str">
        <f>IFERROR(__xludf.DUMMYFUNCTION("""COMPUTED_VALUE"""),"")</f>
        <v/>
      </c>
      <c r="K140" s="51"/>
      <c r="L140" s="51" t="s">
        <v>257</v>
      </c>
      <c r="M140" s="51"/>
      <c r="N140" s="51"/>
      <c r="O140" s="51"/>
      <c r="P140" s="51"/>
      <c r="Q140" s="51"/>
      <c r="R140" s="51"/>
      <c r="S140" s="51"/>
      <c r="T140" s="51"/>
    </row>
    <row r="141">
      <c r="A141" s="51"/>
      <c r="B141" s="51"/>
      <c r="C141" s="56"/>
      <c r="D141" s="51"/>
      <c r="E141" s="51"/>
      <c r="F141" s="51"/>
      <c r="G141" s="51" t="str">
        <f>IFERROR(__xludf.DUMMYFUNCTION("""COMPUTED_VALUE"""),"#VALUE!")</f>
        <v>#VALUE!</v>
      </c>
      <c r="H141" s="51" t="str">
        <f>IFERROR(__xludf.DUMMYFUNCTION("""COMPUTED_VALUE"""),"")</f>
        <v/>
      </c>
      <c r="I141" s="51" t="str">
        <f>IFERROR(__xludf.DUMMYFUNCTION("""COMPUTED_VALUE"""),"#VALUE!")</f>
        <v>#VALUE!</v>
      </c>
      <c r="J141" s="51" t="str">
        <f>IFERROR(__xludf.DUMMYFUNCTION("""COMPUTED_VALUE"""),"")</f>
        <v/>
      </c>
      <c r="K141" s="51"/>
      <c r="L141" s="51" t="s">
        <v>257</v>
      </c>
      <c r="M141" s="51"/>
      <c r="N141" s="51"/>
      <c r="O141" s="51"/>
      <c r="P141" s="51"/>
      <c r="Q141" s="51"/>
      <c r="R141" s="51"/>
      <c r="S141" s="51"/>
      <c r="T141" s="51"/>
    </row>
    <row r="142">
      <c r="A142" s="51"/>
      <c r="B142" s="51"/>
      <c r="C142" s="56"/>
      <c r="D142" s="51"/>
      <c r="E142" s="51"/>
      <c r="F142" s="51"/>
      <c r="G142" s="51" t="str">
        <f>IFERROR(__xludf.DUMMYFUNCTION("""COMPUTED_VALUE"""),"#VALUE!")</f>
        <v>#VALUE!</v>
      </c>
      <c r="H142" s="51" t="str">
        <f>IFERROR(__xludf.DUMMYFUNCTION("""COMPUTED_VALUE"""),"")</f>
        <v/>
      </c>
      <c r="I142" s="51" t="str">
        <f>IFERROR(__xludf.DUMMYFUNCTION("""COMPUTED_VALUE"""),"#VALUE!")</f>
        <v>#VALUE!</v>
      </c>
      <c r="J142" s="51" t="str">
        <f>IFERROR(__xludf.DUMMYFUNCTION("""COMPUTED_VALUE"""),"")</f>
        <v/>
      </c>
      <c r="K142" s="51"/>
      <c r="L142" s="51" t="s">
        <v>257</v>
      </c>
      <c r="M142" s="51"/>
      <c r="N142" s="51"/>
      <c r="O142" s="51"/>
      <c r="P142" s="51"/>
      <c r="Q142" s="51"/>
      <c r="R142" s="51"/>
      <c r="S142" s="51"/>
      <c r="T142" s="51"/>
    </row>
    <row r="143">
      <c r="A143" s="51"/>
      <c r="B143" s="51"/>
      <c r="C143" s="56"/>
      <c r="D143" s="51"/>
      <c r="E143" s="51"/>
      <c r="F143" s="51"/>
      <c r="G143" s="51" t="str">
        <f>IFERROR(__xludf.DUMMYFUNCTION("""COMPUTED_VALUE"""),"#VALUE!")</f>
        <v>#VALUE!</v>
      </c>
      <c r="H143" s="51" t="str">
        <f>IFERROR(__xludf.DUMMYFUNCTION("""COMPUTED_VALUE"""),"")</f>
        <v/>
      </c>
      <c r="I143" s="51" t="str">
        <f>IFERROR(__xludf.DUMMYFUNCTION("""COMPUTED_VALUE"""),"#VALUE!")</f>
        <v>#VALUE!</v>
      </c>
      <c r="J143" s="51" t="str">
        <f>IFERROR(__xludf.DUMMYFUNCTION("""COMPUTED_VALUE"""),"")</f>
        <v/>
      </c>
      <c r="K143" s="51"/>
      <c r="L143" s="51" t="s">
        <v>257</v>
      </c>
      <c r="M143" s="51"/>
      <c r="N143" s="51"/>
      <c r="O143" s="51"/>
      <c r="P143" s="51"/>
      <c r="Q143" s="51"/>
      <c r="R143" s="51"/>
      <c r="S143" s="51"/>
      <c r="T143" s="51"/>
    </row>
    <row r="144">
      <c r="A144" s="51"/>
      <c r="B144" s="51"/>
      <c r="C144" s="56"/>
      <c r="D144" s="51"/>
      <c r="E144" s="51"/>
      <c r="F144" s="51"/>
      <c r="G144" s="51" t="str">
        <f>IFERROR(__xludf.DUMMYFUNCTION("""COMPUTED_VALUE"""),"#VALUE!")</f>
        <v>#VALUE!</v>
      </c>
      <c r="H144" s="51" t="str">
        <f>IFERROR(__xludf.DUMMYFUNCTION("""COMPUTED_VALUE"""),"")</f>
        <v/>
      </c>
      <c r="I144" s="51" t="str">
        <f>IFERROR(__xludf.DUMMYFUNCTION("""COMPUTED_VALUE"""),"#VALUE!")</f>
        <v>#VALUE!</v>
      </c>
      <c r="J144" s="51" t="str">
        <f>IFERROR(__xludf.DUMMYFUNCTION("""COMPUTED_VALUE"""),"")</f>
        <v/>
      </c>
      <c r="K144" s="51"/>
      <c r="L144" s="51" t="s">
        <v>257</v>
      </c>
      <c r="M144" s="51"/>
      <c r="N144" s="51"/>
      <c r="O144" s="51"/>
      <c r="P144" s="51"/>
      <c r="Q144" s="51"/>
      <c r="R144" s="51"/>
      <c r="S144" s="51"/>
      <c r="T144" s="51"/>
    </row>
    <row r="145">
      <c r="A145" s="51"/>
      <c r="B145" s="51"/>
      <c r="C145" s="56"/>
      <c r="D145" s="51"/>
      <c r="E145" s="51"/>
      <c r="F145" s="51"/>
      <c r="G145" s="51" t="str">
        <f>IFERROR(__xludf.DUMMYFUNCTION("""COMPUTED_VALUE"""),"#VALUE!")</f>
        <v>#VALUE!</v>
      </c>
      <c r="H145" s="51" t="str">
        <f>IFERROR(__xludf.DUMMYFUNCTION("""COMPUTED_VALUE"""),"")</f>
        <v/>
      </c>
      <c r="I145" s="51" t="str">
        <f>IFERROR(__xludf.DUMMYFUNCTION("""COMPUTED_VALUE"""),"#VALUE!")</f>
        <v>#VALUE!</v>
      </c>
      <c r="J145" s="51" t="str">
        <f>IFERROR(__xludf.DUMMYFUNCTION("""COMPUTED_VALUE"""),"")</f>
        <v/>
      </c>
      <c r="K145" s="51"/>
      <c r="L145" s="51" t="s">
        <v>257</v>
      </c>
      <c r="M145" s="51"/>
      <c r="N145" s="51"/>
      <c r="O145" s="51"/>
      <c r="P145" s="51"/>
      <c r="Q145" s="51"/>
      <c r="R145" s="51"/>
      <c r="S145" s="51"/>
      <c r="T145" s="51"/>
    </row>
    <row r="146">
      <c r="A146" s="51"/>
      <c r="B146" s="51"/>
      <c r="C146" s="56"/>
      <c r="D146" s="51"/>
      <c r="E146" s="51"/>
      <c r="F146" s="51"/>
      <c r="G146" s="51" t="str">
        <f>IFERROR(__xludf.DUMMYFUNCTION("""COMPUTED_VALUE"""),"#VALUE!")</f>
        <v>#VALUE!</v>
      </c>
      <c r="H146" s="51" t="str">
        <f>IFERROR(__xludf.DUMMYFUNCTION("""COMPUTED_VALUE"""),"")</f>
        <v/>
      </c>
      <c r="I146" s="51" t="str">
        <f>IFERROR(__xludf.DUMMYFUNCTION("""COMPUTED_VALUE"""),"#VALUE!")</f>
        <v>#VALUE!</v>
      </c>
      <c r="J146" s="51" t="str">
        <f>IFERROR(__xludf.DUMMYFUNCTION("""COMPUTED_VALUE"""),"")</f>
        <v/>
      </c>
      <c r="K146" s="51"/>
      <c r="L146" s="51" t="s">
        <v>257</v>
      </c>
      <c r="M146" s="51"/>
      <c r="N146" s="51"/>
      <c r="O146" s="51"/>
      <c r="P146" s="51"/>
      <c r="Q146" s="51"/>
      <c r="R146" s="51"/>
      <c r="S146" s="51"/>
      <c r="T146" s="51"/>
    </row>
    <row r="147">
      <c r="A147" s="51"/>
      <c r="B147" s="51"/>
      <c r="C147" s="56"/>
      <c r="D147" s="51"/>
      <c r="E147" s="51"/>
      <c r="F147" s="51"/>
      <c r="G147" s="51" t="str">
        <f>IFERROR(__xludf.DUMMYFUNCTION("""COMPUTED_VALUE"""),"#VALUE!")</f>
        <v>#VALUE!</v>
      </c>
      <c r="H147" s="51" t="str">
        <f>IFERROR(__xludf.DUMMYFUNCTION("""COMPUTED_VALUE"""),"")</f>
        <v/>
      </c>
      <c r="I147" s="51" t="str">
        <f>IFERROR(__xludf.DUMMYFUNCTION("""COMPUTED_VALUE"""),"#VALUE!")</f>
        <v>#VALUE!</v>
      </c>
      <c r="J147" s="51" t="str">
        <f>IFERROR(__xludf.DUMMYFUNCTION("""COMPUTED_VALUE"""),"")</f>
        <v/>
      </c>
      <c r="K147" s="51"/>
      <c r="L147" s="51" t="s">
        <v>257</v>
      </c>
      <c r="M147" s="51"/>
      <c r="N147" s="51"/>
      <c r="O147" s="51"/>
      <c r="P147" s="51"/>
      <c r="Q147" s="51"/>
      <c r="R147" s="51"/>
      <c r="S147" s="51"/>
      <c r="T147" s="51"/>
    </row>
    <row r="148">
      <c r="A148" s="51"/>
      <c r="B148" s="51"/>
      <c r="C148" s="56"/>
      <c r="D148" s="51"/>
      <c r="E148" s="51"/>
      <c r="F148" s="51"/>
      <c r="G148" s="51" t="str">
        <f>IFERROR(__xludf.DUMMYFUNCTION("""COMPUTED_VALUE"""),"#VALUE!")</f>
        <v>#VALUE!</v>
      </c>
      <c r="H148" s="51" t="str">
        <f>IFERROR(__xludf.DUMMYFUNCTION("""COMPUTED_VALUE"""),"")</f>
        <v/>
      </c>
      <c r="I148" s="51" t="str">
        <f>IFERROR(__xludf.DUMMYFUNCTION("""COMPUTED_VALUE"""),"#VALUE!")</f>
        <v>#VALUE!</v>
      </c>
      <c r="J148" s="51" t="str">
        <f>IFERROR(__xludf.DUMMYFUNCTION("""COMPUTED_VALUE"""),"")</f>
        <v/>
      </c>
      <c r="K148" s="51"/>
      <c r="L148" s="51" t="s">
        <v>257</v>
      </c>
      <c r="M148" s="51"/>
      <c r="N148" s="51"/>
      <c r="O148" s="51"/>
      <c r="P148" s="51"/>
      <c r="Q148" s="51"/>
      <c r="R148" s="51"/>
      <c r="S148" s="51"/>
      <c r="T148" s="51"/>
    </row>
    <row r="149">
      <c r="A149" s="51"/>
      <c r="B149" s="51"/>
      <c r="C149" s="56"/>
      <c r="D149" s="51"/>
      <c r="E149" s="51"/>
      <c r="F149" s="51"/>
      <c r="G149" s="51" t="str">
        <f>IFERROR(__xludf.DUMMYFUNCTION("""COMPUTED_VALUE"""),"#VALUE!")</f>
        <v>#VALUE!</v>
      </c>
      <c r="H149" s="51" t="str">
        <f>IFERROR(__xludf.DUMMYFUNCTION("""COMPUTED_VALUE"""),"")</f>
        <v/>
      </c>
      <c r="I149" s="51" t="str">
        <f>IFERROR(__xludf.DUMMYFUNCTION("""COMPUTED_VALUE"""),"#VALUE!")</f>
        <v>#VALUE!</v>
      </c>
      <c r="J149" s="51" t="str">
        <f>IFERROR(__xludf.DUMMYFUNCTION("""COMPUTED_VALUE"""),"")</f>
        <v/>
      </c>
      <c r="K149" s="51"/>
      <c r="L149" s="51" t="s">
        <v>257</v>
      </c>
      <c r="M149" s="51"/>
      <c r="N149" s="51"/>
      <c r="O149" s="51"/>
      <c r="P149" s="51"/>
      <c r="Q149" s="51"/>
      <c r="R149" s="51"/>
      <c r="S149" s="51"/>
      <c r="T149" s="51"/>
    </row>
    <row r="150">
      <c r="A150" s="51"/>
      <c r="B150" s="51"/>
      <c r="C150" s="56"/>
      <c r="D150" s="51"/>
      <c r="E150" s="51"/>
      <c r="F150" s="51"/>
      <c r="G150" s="51" t="str">
        <f>IFERROR(__xludf.DUMMYFUNCTION("""COMPUTED_VALUE"""),"#VALUE!")</f>
        <v>#VALUE!</v>
      </c>
      <c r="H150" s="51" t="str">
        <f>IFERROR(__xludf.DUMMYFUNCTION("""COMPUTED_VALUE"""),"")</f>
        <v/>
      </c>
      <c r="I150" s="51" t="str">
        <f>IFERROR(__xludf.DUMMYFUNCTION("""COMPUTED_VALUE"""),"#VALUE!")</f>
        <v>#VALUE!</v>
      </c>
      <c r="J150" s="51" t="str">
        <f>IFERROR(__xludf.DUMMYFUNCTION("""COMPUTED_VALUE"""),"")</f>
        <v/>
      </c>
      <c r="K150" s="51"/>
      <c r="L150" s="51" t="s">
        <v>257</v>
      </c>
      <c r="M150" s="51"/>
      <c r="N150" s="51"/>
      <c r="O150" s="51"/>
      <c r="P150" s="51"/>
      <c r="Q150" s="51"/>
      <c r="R150" s="51"/>
      <c r="S150" s="51"/>
      <c r="T150" s="51"/>
    </row>
    <row r="151">
      <c r="A151" s="51"/>
      <c r="B151" s="51"/>
      <c r="C151" s="56"/>
      <c r="D151" s="51"/>
      <c r="E151" s="51"/>
      <c r="F151" s="51"/>
      <c r="G151" s="51" t="str">
        <f>IFERROR(__xludf.DUMMYFUNCTION("""COMPUTED_VALUE"""),"#VALUE!")</f>
        <v>#VALUE!</v>
      </c>
      <c r="H151" s="51" t="str">
        <f>IFERROR(__xludf.DUMMYFUNCTION("""COMPUTED_VALUE"""),"")</f>
        <v/>
      </c>
      <c r="I151" s="51" t="str">
        <f>IFERROR(__xludf.DUMMYFUNCTION("""COMPUTED_VALUE"""),"#VALUE!")</f>
        <v>#VALUE!</v>
      </c>
      <c r="J151" s="51" t="str">
        <f>IFERROR(__xludf.DUMMYFUNCTION("""COMPUTED_VALUE"""),"")</f>
        <v/>
      </c>
      <c r="K151" s="51"/>
      <c r="L151" s="51" t="s">
        <v>257</v>
      </c>
      <c r="M151" s="51"/>
      <c r="N151" s="51"/>
      <c r="O151" s="51"/>
      <c r="P151" s="51"/>
      <c r="Q151" s="51"/>
      <c r="R151" s="51"/>
      <c r="S151" s="51"/>
      <c r="T151" s="51"/>
    </row>
    <row r="152">
      <c r="A152" s="51"/>
      <c r="B152" s="51"/>
      <c r="C152" s="56"/>
      <c r="D152" s="51"/>
      <c r="E152" s="51"/>
      <c r="F152" s="51"/>
      <c r="G152" s="51" t="str">
        <f>IFERROR(__xludf.DUMMYFUNCTION("""COMPUTED_VALUE"""),"#VALUE!")</f>
        <v>#VALUE!</v>
      </c>
      <c r="H152" s="51" t="str">
        <f>IFERROR(__xludf.DUMMYFUNCTION("""COMPUTED_VALUE"""),"")</f>
        <v/>
      </c>
      <c r="I152" s="51" t="str">
        <f>IFERROR(__xludf.DUMMYFUNCTION("""COMPUTED_VALUE"""),"#VALUE!")</f>
        <v>#VALUE!</v>
      </c>
      <c r="J152" s="51" t="str">
        <f>IFERROR(__xludf.DUMMYFUNCTION("""COMPUTED_VALUE"""),"")</f>
        <v/>
      </c>
      <c r="K152" s="51"/>
      <c r="L152" s="51" t="s">
        <v>257</v>
      </c>
      <c r="M152" s="51"/>
      <c r="N152" s="51"/>
      <c r="O152" s="51"/>
      <c r="P152" s="51"/>
      <c r="Q152" s="51"/>
      <c r="R152" s="51"/>
      <c r="S152" s="51"/>
      <c r="T152" s="51"/>
    </row>
    <row r="153">
      <c r="A153" s="51"/>
      <c r="B153" s="51"/>
      <c r="C153" s="56"/>
      <c r="D153" s="51"/>
      <c r="E153" s="51"/>
      <c r="F153" s="51"/>
      <c r="G153" s="51" t="str">
        <f>IFERROR(__xludf.DUMMYFUNCTION("""COMPUTED_VALUE"""),"#VALUE!")</f>
        <v>#VALUE!</v>
      </c>
      <c r="H153" s="51" t="str">
        <f>IFERROR(__xludf.DUMMYFUNCTION("""COMPUTED_VALUE"""),"")</f>
        <v/>
      </c>
      <c r="I153" s="51" t="str">
        <f>IFERROR(__xludf.DUMMYFUNCTION("""COMPUTED_VALUE"""),"#VALUE!")</f>
        <v>#VALUE!</v>
      </c>
      <c r="J153" s="51" t="str">
        <f>IFERROR(__xludf.DUMMYFUNCTION("""COMPUTED_VALUE"""),"")</f>
        <v/>
      </c>
      <c r="K153" s="51"/>
      <c r="L153" s="51" t="s">
        <v>257</v>
      </c>
      <c r="M153" s="51"/>
      <c r="N153" s="51"/>
      <c r="O153" s="51"/>
      <c r="P153" s="51"/>
      <c r="Q153" s="51"/>
      <c r="R153" s="51"/>
      <c r="S153" s="51"/>
      <c r="T153" s="51"/>
    </row>
    <row r="154">
      <c r="A154" s="51"/>
      <c r="B154" s="51"/>
      <c r="C154" s="56"/>
      <c r="D154" s="51"/>
      <c r="E154" s="51"/>
      <c r="F154" s="51"/>
      <c r="G154" s="51" t="str">
        <f>IFERROR(__xludf.DUMMYFUNCTION("""COMPUTED_VALUE"""),"#VALUE!")</f>
        <v>#VALUE!</v>
      </c>
      <c r="H154" s="51" t="str">
        <f>IFERROR(__xludf.DUMMYFUNCTION("""COMPUTED_VALUE"""),"")</f>
        <v/>
      </c>
      <c r="I154" s="51" t="str">
        <f>IFERROR(__xludf.DUMMYFUNCTION("""COMPUTED_VALUE"""),"#VALUE!")</f>
        <v>#VALUE!</v>
      </c>
      <c r="J154" s="51" t="str">
        <f>IFERROR(__xludf.DUMMYFUNCTION("""COMPUTED_VALUE"""),"")</f>
        <v/>
      </c>
      <c r="K154" s="51"/>
      <c r="L154" s="51" t="s">
        <v>257</v>
      </c>
      <c r="M154" s="51"/>
      <c r="N154" s="51"/>
      <c r="O154" s="51"/>
      <c r="P154" s="51"/>
      <c r="Q154" s="51"/>
      <c r="R154" s="51"/>
      <c r="S154" s="51"/>
      <c r="T154" s="51"/>
    </row>
    <row r="155">
      <c r="A155" s="51"/>
      <c r="B155" s="51"/>
      <c r="C155" s="56"/>
      <c r="D155" s="51"/>
      <c r="E155" s="51"/>
      <c r="F155" s="51"/>
      <c r="G155" s="51" t="str">
        <f>IFERROR(__xludf.DUMMYFUNCTION("""COMPUTED_VALUE"""),"#VALUE!")</f>
        <v>#VALUE!</v>
      </c>
      <c r="H155" s="51" t="str">
        <f>IFERROR(__xludf.DUMMYFUNCTION("""COMPUTED_VALUE"""),"")</f>
        <v/>
      </c>
      <c r="I155" s="51" t="str">
        <f>IFERROR(__xludf.DUMMYFUNCTION("""COMPUTED_VALUE"""),"#VALUE!")</f>
        <v>#VALUE!</v>
      </c>
      <c r="J155" s="51" t="str">
        <f>IFERROR(__xludf.DUMMYFUNCTION("""COMPUTED_VALUE"""),"")</f>
        <v/>
      </c>
      <c r="K155" s="51"/>
      <c r="L155" s="51" t="s">
        <v>257</v>
      </c>
      <c r="M155" s="51"/>
      <c r="N155" s="51"/>
      <c r="O155" s="51"/>
      <c r="P155" s="51"/>
      <c r="Q155" s="51"/>
      <c r="R155" s="51"/>
      <c r="S155" s="51"/>
      <c r="T155" s="51"/>
    </row>
    <row r="156">
      <c r="A156" s="51"/>
      <c r="B156" s="51"/>
      <c r="C156" s="56"/>
      <c r="D156" s="51"/>
      <c r="E156" s="51"/>
      <c r="F156" s="51"/>
      <c r="G156" s="51" t="str">
        <f>IFERROR(__xludf.DUMMYFUNCTION("""COMPUTED_VALUE"""),"#VALUE!")</f>
        <v>#VALUE!</v>
      </c>
      <c r="H156" s="51" t="str">
        <f>IFERROR(__xludf.DUMMYFUNCTION("""COMPUTED_VALUE"""),"")</f>
        <v/>
      </c>
      <c r="I156" s="51" t="str">
        <f>IFERROR(__xludf.DUMMYFUNCTION("""COMPUTED_VALUE"""),"#VALUE!")</f>
        <v>#VALUE!</v>
      </c>
      <c r="J156" s="51" t="str">
        <f>IFERROR(__xludf.DUMMYFUNCTION("""COMPUTED_VALUE"""),"")</f>
        <v/>
      </c>
      <c r="K156" s="51"/>
      <c r="L156" s="51" t="s">
        <v>257</v>
      </c>
      <c r="M156" s="51"/>
      <c r="N156" s="51"/>
      <c r="O156" s="51"/>
      <c r="P156" s="51"/>
      <c r="Q156" s="51"/>
      <c r="R156" s="51"/>
      <c r="S156" s="51"/>
      <c r="T156" s="51"/>
    </row>
    <row r="157">
      <c r="A157" s="51"/>
      <c r="B157" s="51"/>
      <c r="C157" s="56"/>
      <c r="D157" s="51"/>
      <c r="E157" s="51"/>
      <c r="F157" s="51"/>
      <c r="G157" s="51" t="str">
        <f>IFERROR(__xludf.DUMMYFUNCTION("""COMPUTED_VALUE"""),"#VALUE!")</f>
        <v>#VALUE!</v>
      </c>
      <c r="H157" s="51" t="str">
        <f>IFERROR(__xludf.DUMMYFUNCTION("""COMPUTED_VALUE"""),"")</f>
        <v/>
      </c>
      <c r="I157" s="51" t="str">
        <f>IFERROR(__xludf.DUMMYFUNCTION("""COMPUTED_VALUE"""),"#VALUE!")</f>
        <v>#VALUE!</v>
      </c>
      <c r="J157" s="51" t="str">
        <f>IFERROR(__xludf.DUMMYFUNCTION("""COMPUTED_VALUE"""),"")</f>
        <v/>
      </c>
      <c r="K157" s="51"/>
      <c r="L157" s="51" t="s">
        <v>257</v>
      </c>
      <c r="M157" s="51"/>
      <c r="N157" s="51"/>
      <c r="O157" s="51"/>
      <c r="P157" s="51"/>
      <c r="Q157" s="51"/>
      <c r="R157" s="51"/>
      <c r="S157" s="51"/>
      <c r="T157" s="51"/>
    </row>
    <row r="158">
      <c r="A158" s="51"/>
      <c r="B158" s="51"/>
      <c r="C158" s="56"/>
      <c r="D158" s="51"/>
      <c r="E158" s="51"/>
      <c r="F158" s="51"/>
      <c r="G158" s="51" t="str">
        <f>IFERROR(__xludf.DUMMYFUNCTION("""COMPUTED_VALUE"""),"#VALUE!")</f>
        <v>#VALUE!</v>
      </c>
      <c r="H158" s="51" t="str">
        <f>IFERROR(__xludf.DUMMYFUNCTION("""COMPUTED_VALUE"""),"")</f>
        <v/>
      </c>
      <c r="I158" s="51" t="str">
        <f>IFERROR(__xludf.DUMMYFUNCTION("""COMPUTED_VALUE"""),"#VALUE!")</f>
        <v>#VALUE!</v>
      </c>
      <c r="J158" s="51" t="str">
        <f>IFERROR(__xludf.DUMMYFUNCTION("""COMPUTED_VALUE"""),"")</f>
        <v/>
      </c>
      <c r="K158" s="51"/>
      <c r="L158" s="51" t="s">
        <v>257</v>
      </c>
      <c r="M158" s="51"/>
      <c r="N158" s="51"/>
      <c r="O158" s="51"/>
      <c r="P158" s="51"/>
      <c r="Q158" s="51"/>
      <c r="R158" s="51"/>
      <c r="S158" s="51"/>
      <c r="T158" s="51"/>
    </row>
    <row r="159">
      <c r="A159" s="51"/>
      <c r="B159" s="51"/>
      <c r="C159" s="56"/>
      <c r="D159" s="51"/>
      <c r="E159" s="51"/>
      <c r="F159" s="51"/>
      <c r="G159" s="51" t="str">
        <f>IFERROR(__xludf.DUMMYFUNCTION("""COMPUTED_VALUE"""),"#VALUE!")</f>
        <v>#VALUE!</v>
      </c>
      <c r="H159" s="51" t="str">
        <f>IFERROR(__xludf.DUMMYFUNCTION("""COMPUTED_VALUE"""),"")</f>
        <v/>
      </c>
      <c r="I159" s="51" t="str">
        <f>IFERROR(__xludf.DUMMYFUNCTION("""COMPUTED_VALUE"""),"#VALUE!")</f>
        <v>#VALUE!</v>
      </c>
      <c r="J159" s="51" t="str">
        <f>IFERROR(__xludf.DUMMYFUNCTION("""COMPUTED_VALUE"""),"")</f>
        <v/>
      </c>
      <c r="K159" s="51"/>
      <c r="L159" s="51" t="s">
        <v>257</v>
      </c>
      <c r="M159" s="51"/>
      <c r="N159" s="51"/>
      <c r="O159" s="51"/>
      <c r="P159" s="51"/>
      <c r="Q159" s="51"/>
      <c r="R159" s="51"/>
      <c r="S159" s="51"/>
      <c r="T159" s="51"/>
    </row>
    <row r="160">
      <c r="A160" s="51"/>
      <c r="B160" s="51"/>
      <c r="C160" s="56"/>
      <c r="D160" s="51"/>
      <c r="E160" s="51"/>
      <c r="F160" s="51"/>
      <c r="G160" s="51" t="str">
        <f>IFERROR(__xludf.DUMMYFUNCTION("""COMPUTED_VALUE"""),"#VALUE!")</f>
        <v>#VALUE!</v>
      </c>
      <c r="H160" s="51" t="str">
        <f>IFERROR(__xludf.DUMMYFUNCTION("""COMPUTED_VALUE"""),"")</f>
        <v/>
      </c>
      <c r="I160" s="51" t="str">
        <f>IFERROR(__xludf.DUMMYFUNCTION("""COMPUTED_VALUE"""),"#VALUE!")</f>
        <v>#VALUE!</v>
      </c>
      <c r="J160" s="51" t="str">
        <f>IFERROR(__xludf.DUMMYFUNCTION("""COMPUTED_VALUE"""),"")</f>
        <v/>
      </c>
      <c r="K160" s="51"/>
      <c r="L160" s="51" t="s">
        <v>257</v>
      </c>
      <c r="M160" s="51"/>
      <c r="N160" s="51"/>
      <c r="O160" s="51"/>
      <c r="P160" s="51"/>
      <c r="Q160" s="51"/>
      <c r="R160" s="51"/>
      <c r="S160" s="51"/>
      <c r="T160" s="51"/>
    </row>
    <row r="161">
      <c r="A161" s="51"/>
      <c r="B161" s="51"/>
      <c r="C161" s="56"/>
      <c r="D161" s="51"/>
      <c r="E161" s="51"/>
      <c r="F161" s="51"/>
      <c r="G161" s="51" t="str">
        <f>IFERROR(__xludf.DUMMYFUNCTION("""COMPUTED_VALUE"""),"#VALUE!")</f>
        <v>#VALUE!</v>
      </c>
      <c r="H161" s="51" t="str">
        <f>IFERROR(__xludf.DUMMYFUNCTION("""COMPUTED_VALUE"""),"")</f>
        <v/>
      </c>
      <c r="I161" s="51" t="str">
        <f>IFERROR(__xludf.DUMMYFUNCTION("""COMPUTED_VALUE"""),"#VALUE!")</f>
        <v>#VALUE!</v>
      </c>
      <c r="J161" s="51" t="str">
        <f>IFERROR(__xludf.DUMMYFUNCTION("""COMPUTED_VALUE"""),"")</f>
        <v/>
      </c>
      <c r="K161" s="51"/>
      <c r="L161" s="51" t="s">
        <v>257</v>
      </c>
      <c r="M161" s="51"/>
      <c r="N161" s="51"/>
      <c r="O161" s="51"/>
      <c r="P161" s="51"/>
      <c r="Q161" s="51"/>
      <c r="R161" s="51"/>
      <c r="S161" s="51"/>
      <c r="T161" s="51"/>
    </row>
    <row r="162">
      <c r="A162" s="51"/>
      <c r="B162" s="51"/>
      <c r="C162" s="56"/>
      <c r="D162" s="51"/>
      <c r="E162" s="51"/>
      <c r="F162" s="51"/>
      <c r="G162" s="51" t="str">
        <f>IFERROR(__xludf.DUMMYFUNCTION("""COMPUTED_VALUE"""),"#VALUE!")</f>
        <v>#VALUE!</v>
      </c>
      <c r="H162" s="51" t="str">
        <f>IFERROR(__xludf.DUMMYFUNCTION("""COMPUTED_VALUE"""),"")</f>
        <v/>
      </c>
      <c r="I162" s="51" t="str">
        <f>IFERROR(__xludf.DUMMYFUNCTION("""COMPUTED_VALUE"""),"#VALUE!")</f>
        <v>#VALUE!</v>
      </c>
      <c r="J162" s="51" t="str">
        <f>IFERROR(__xludf.DUMMYFUNCTION("""COMPUTED_VALUE"""),"")</f>
        <v/>
      </c>
      <c r="K162" s="51"/>
      <c r="L162" s="51" t="s">
        <v>257</v>
      </c>
      <c r="M162" s="51"/>
      <c r="N162" s="51"/>
      <c r="O162" s="51"/>
      <c r="P162" s="51"/>
      <c r="Q162" s="51"/>
      <c r="R162" s="51"/>
      <c r="S162" s="51"/>
      <c r="T162" s="51"/>
    </row>
    <row r="163">
      <c r="A163" s="51"/>
      <c r="B163" s="51"/>
      <c r="C163" s="56"/>
      <c r="D163" s="51"/>
      <c r="E163" s="51"/>
      <c r="F163" s="51"/>
      <c r="G163" s="51" t="str">
        <f>IFERROR(__xludf.DUMMYFUNCTION("""COMPUTED_VALUE"""),"#VALUE!")</f>
        <v>#VALUE!</v>
      </c>
      <c r="H163" s="51" t="str">
        <f>IFERROR(__xludf.DUMMYFUNCTION("""COMPUTED_VALUE"""),"")</f>
        <v/>
      </c>
      <c r="I163" s="51" t="str">
        <f>IFERROR(__xludf.DUMMYFUNCTION("""COMPUTED_VALUE"""),"#VALUE!")</f>
        <v>#VALUE!</v>
      </c>
      <c r="J163" s="51" t="str">
        <f>IFERROR(__xludf.DUMMYFUNCTION("""COMPUTED_VALUE"""),"")</f>
        <v/>
      </c>
      <c r="K163" s="51"/>
      <c r="L163" s="51" t="s">
        <v>257</v>
      </c>
      <c r="M163" s="51"/>
      <c r="N163" s="51"/>
      <c r="O163" s="51"/>
      <c r="P163" s="51"/>
      <c r="Q163" s="51"/>
      <c r="R163" s="51"/>
      <c r="S163" s="51"/>
      <c r="T163" s="51"/>
    </row>
    <row r="164">
      <c r="A164" s="51"/>
      <c r="B164" s="51"/>
      <c r="C164" s="56"/>
      <c r="D164" s="51"/>
      <c r="E164" s="51"/>
      <c r="F164" s="51"/>
      <c r="G164" s="51" t="str">
        <f>IFERROR(__xludf.DUMMYFUNCTION("""COMPUTED_VALUE"""),"#VALUE!")</f>
        <v>#VALUE!</v>
      </c>
      <c r="H164" s="51" t="str">
        <f>IFERROR(__xludf.DUMMYFUNCTION("""COMPUTED_VALUE"""),"")</f>
        <v/>
      </c>
      <c r="I164" s="51" t="str">
        <f>IFERROR(__xludf.DUMMYFUNCTION("""COMPUTED_VALUE"""),"#VALUE!")</f>
        <v>#VALUE!</v>
      </c>
      <c r="J164" s="51" t="str">
        <f>IFERROR(__xludf.DUMMYFUNCTION("""COMPUTED_VALUE"""),"")</f>
        <v/>
      </c>
      <c r="K164" s="51"/>
      <c r="L164" s="51" t="s">
        <v>257</v>
      </c>
      <c r="M164" s="51"/>
      <c r="N164" s="51"/>
      <c r="O164" s="51"/>
      <c r="P164" s="51"/>
      <c r="Q164" s="51"/>
      <c r="R164" s="51"/>
      <c r="S164" s="51"/>
      <c r="T164" s="51"/>
    </row>
    <row r="165">
      <c r="A165" s="51"/>
      <c r="B165" s="51"/>
      <c r="C165" s="56"/>
      <c r="D165" s="51"/>
      <c r="E165" s="51"/>
      <c r="F165" s="51"/>
      <c r="G165" s="51" t="str">
        <f>IFERROR(__xludf.DUMMYFUNCTION("""COMPUTED_VALUE"""),"#VALUE!")</f>
        <v>#VALUE!</v>
      </c>
      <c r="H165" s="51" t="str">
        <f>IFERROR(__xludf.DUMMYFUNCTION("""COMPUTED_VALUE"""),"")</f>
        <v/>
      </c>
      <c r="I165" s="51" t="str">
        <f>IFERROR(__xludf.DUMMYFUNCTION("""COMPUTED_VALUE"""),"#VALUE!")</f>
        <v>#VALUE!</v>
      </c>
      <c r="J165" s="51" t="str">
        <f>IFERROR(__xludf.DUMMYFUNCTION("""COMPUTED_VALUE"""),"")</f>
        <v/>
      </c>
      <c r="K165" s="51"/>
      <c r="L165" s="51" t="s">
        <v>257</v>
      </c>
      <c r="M165" s="51"/>
      <c r="N165" s="51"/>
      <c r="O165" s="51"/>
      <c r="P165" s="51"/>
      <c r="Q165" s="51"/>
      <c r="R165" s="51"/>
      <c r="S165" s="51"/>
      <c r="T165" s="51"/>
    </row>
    <row r="166">
      <c r="A166" s="51"/>
      <c r="B166" s="51"/>
      <c r="C166" s="56"/>
      <c r="D166" s="51"/>
      <c r="E166" s="51"/>
      <c r="F166" s="51"/>
      <c r="G166" s="51" t="str">
        <f>IFERROR(__xludf.DUMMYFUNCTION("""COMPUTED_VALUE"""),"#VALUE!")</f>
        <v>#VALUE!</v>
      </c>
      <c r="H166" s="51" t="str">
        <f>IFERROR(__xludf.DUMMYFUNCTION("""COMPUTED_VALUE"""),"")</f>
        <v/>
      </c>
      <c r="I166" s="51" t="str">
        <f>IFERROR(__xludf.DUMMYFUNCTION("""COMPUTED_VALUE"""),"#VALUE!")</f>
        <v>#VALUE!</v>
      </c>
      <c r="J166" s="51" t="str">
        <f>IFERROR(__xludf.DUMMYFUNCTION("""COMPUTED_VALUE"""),"")</f>
        <v/>
      </c>
      <c r="K166" s="51"/>
      <c r="L166" s="51" t="s">
        <v>257</v>
      </c>
      <c r="M166" s="51"/>
      <c r="N166" s="51"/>
      <c r="O166" s="51"/>
      <c r="P166" s="51"/>
      <c r="Q166" s="51"/>
      <c r="R166" s="51"/>
      <c r="S166" s="51"/>
      <c r="T166" s="51"/>
    </row>
    <row r="167">
      <c r="A167" s="51"/>
      <c r="B167" s="51"/>
      <c r="C167" s="56"/>
      <c r="D167" s="51"/>
      <c r="E167" s="51"/>
      <c r="F167" s="51"/>
      <c r="G167" s="51" t="str">
        <f>IFERROR(__xludf.DUMMYFUNCTION("""COMPUTED_VALUE"""),"#VALUE!")</f>
        <v>#VALUE!</v>
      </c>
      <c r="H167" s="51" t="str">
        <f>IFERROR(__xludf.DUMMYFUNCTION("""COMPUTED_VALUE"""),"")</f>
        <v/>
      </c>
      <c r="I167" s="51" t="str">
        <f>IFERROR(__xludf.DUMMYFUNCTION("""COMPUTED_VALUE"""),"#VALUE!")</f>
        <v>#VALUE!</v>
      </c>
      <c r="J167" s="51" t="str">
        <f>IFERROR(__xludf.DUMMYFUNCTION("""COMPUTED_VALUE"""),"")</f>
        <v/>
      </c>
      <c r="K167" s="51"/>
      <c r="L167" s="51" t="s">
        <v>257</v>
      </c>
      <c r="M167" s="51"/>
      <c r="N167" s="51"/>
      <c r="O167" s="51"/>
      <c r="P167" s="51"/>
      <c r="Q167" s="51"/>
      <c r="R167" s="51"/>
      <c r="S167" s="51"/>
      <c r="T167" s="51"/>
    </row>
    <row r="168">
      <c r="A168" s="51"/>
      <c r="B168" s="51"/>
      <c r="C168" s="56"/>
      <c r="D168" s="51"/>
      <c r="E168" s="51"/>
      <c r="F168" s="51"/>
      <c r="G168" s="51" t="str">
        <f>IFERROR(__xludf.DUMMYFUNCTION("""COMPUTED_VALUE"""),"#VALUE!")</f>
        <v>#VALUE!</v>
      </c>
      <c r="H168" s="51" t="str">
        <f>IFERROR(__xludf.DUMMYFUNCTION("""COMPUTED_VALUE"""),"")</f>
        <v/>
      </c>
      <c r="I168" s="51" t="str">
        <f>IFERROR(__xludf.DUMMYFUNCTION("""COMPUTED_VALUE"""),"#VALUE!")</f>
        <v>#VALUE!</v>
      </c>
      <c r="J168" s="51" t="str">
        <f>IFERROR(__xludf.DUMMYFUNCTION("""COMPUTED_VALUE"""),"")</f>
        <v/>
      </c>
      <c r="K168" s="51"/>
      <c r="L168" s="51" t="s">
        <v>257</v>
      </c>
      <c r="M168" s="51"/>
      <c r="N168" s="51"/>
      <c r="O168" s="51"/>
      <c r="P168" s="51"/>
      <c r="Q168" s="51"/>
      <c r="R168" s="51"/>
      <c r="S168" s="51"/>
      <c r="T168" s="51"/>
    </row>
    <row r="169">
      <c r="A169" s="51"/>
      <c r="B169" s="51"/>
      <c r="C169" s="56"/>
      <c r="D169" s="51"/>
      <c r="E169" s="51"/>
      <c r="F169" s="51"/>
      <c r="G169" s="51" t="str">
        <f>IFERROR(__xludf.DUMMYFUNCTION("""COMPUTED_VALUE"""),"#VALUE!")</f>
        <v>#VALUE!</v>
      </c>
      <c r="H169" s="51" t="str">
        <f>IFERROR(__xludf.DUMMYFUNCTION("""COMPUTED_VALUE"""),"")</f>
        <v/>
      </c>
      <c r="I169" s="51" t="str">
        <f>IFERROR(__xludf.DUMMYFUNCTION("""COMPUTED_VALUE"""),"#VALUE!")</f>
        <v>#VALUE!</v>
      </c>
      <c r="J169" s="51" t="str">
        <f>IFERROR(__xludf.DUMMYFUNCTION("""COMPUTED_VALUE"""),"")</f>
        <v/>
      </c>
      <c r="K169" s="51"/>
      <c r="L169" s="51" t="s">
        <v>257</v>
      </c>
      <c r="M169" s="51"/>
      <c r="N169" s="51"/>
      <c r="O169" s="51"/>
      <c r="P169" s="51"/>
      <c r="Q169" s="51"/>
      <c r="R169" s="51"/>
      <c r="S169" s="51"/>
      <c r="T169" s="51"/>
    </row>
    <row r="170">
      <c r="A170" s="51"/>
      <c r="B170" s="51"/>
      <c r="C170" s="56"/>
      <c r="D170" s="51"/>
      <c r="E170" s="51"/>
      <c r="F170" s="51"/>
      <c r="G170" s="51" t="str">
        <f>IFERROR(__xludf.DUMMYFUNCTION("""COMPUTED_VALUE"""),"#VALUE!")</f>
        <v>#VALUE!</v>
      </c>
      <c r="H170" s="51" t="str">
        <f>IFERROR(__xludf.DUMMYFUNCTION("""COMPUTED_VALUE"""),"")</f>
        <v/>
      </c>
      <c r="I170" s="51" t="str">
        <f>IFERROR(__xludf.DUMMYFUNCTION("""COMPUTED_VALUE"""),"#VALUE!")</f>
        <v>#VALUE!</v>
      </c>
      <c r="J170" s="51" t="str">
        <f>IFERROR(__xludf.DUMMYFUNCTION("""COMPUTED_VALUE"""),"")</f>
        <v/>
      </c>
      <c r="K170" s="51"/>
      <c r="L170" s="51" t="s">
        <v>257</v>
      </c>
      <c r="M170" s="51"/>
      <c r="N170" s="51"/>
      <c r="O170" s="51"/>
      <c r="P170" s="51"/>
      <c r="Q170" s="51"/>
      <c r="R170" s="51"/>
      <c r="S170" s="51"/>
      <c r="T170" s="51"/>
    </row>
    <row r="171">
      <c r="A171" s="51"/>
      <c r="B171" s="51"/>
      <c r="C171" s="56"/>
      <c r="D171" s="51"/>
      <c r="E171" s="51"/>
      <c r="F171" s="51"/>
      <c r="G171" s="51" t="str">
        <f>IFERROR(__xludf.DUMMYFUNCTION("""COMPUTED_VALUE"""),"#VALUE!")</f>
        <v>#VALUE!</v>
      </c>
      <c r="H171" s="51" t="str">
        <f>IFERROR(__xludf.DUMMYFUNCTION("""COMPUTED_VALUE"""),"")</f>
        <v/>
      </c>
      <c r="I171" s="51" t="str">
        <f>IFERROR(__xludf.DUMMYFUNCTION("""COMPUTED_VALUE"""),"#VALUE!")</f>
        <v>#VALUE!</v>
      </c>
      <c r="J171" s="51" t="str">
        <f>IFERROR(__xludf.DUMMYFUNCTION("""COMPUTED_VALUE"""),"")</f>
        <v/>
      </c>
      <c r="K171" s="51"/>
      <c r="L171" s="51" t="s">
        <v>257</v>
      </c>
      <c r="M171" s="51"/>
      <c r="N171" s="51"/>
      <c r="O171" s="51"/>
      <c r="P171" s="51"/>
      <c r="Q171" s="51"/>
      <c r="R171" s="51"/>
      <c r="S171" s="51"/>
      <c r="T171" s="51"/>
    </row>
    <row r="172">
      <c r="A172" s="51"/>
      <c r="B172" s="51"/>
      <c r="C172" s="56"/>
      <c r="D172" s="51"/>
      <c r="E172" s="51"/>
      <c r="F172" s="51"/>
      <c r="G172" s="51" t="str">
        <f>IFERROR(__xludf.DUMMYFUNCTION("""COMPUTED_VALUE"""),"#VALUE!")</f>
        <v>#VALUE!</v>
      </c>
      <c r="H172" s="51" t="str">
        <f>IFERROR(__xludf.DUMMYFUNCTION("""COMPUTED_VALUE"""),"")</f>
        <v/>
      </c>
      <c r="I172" s="51" t="str">
        <f>IFERROR(__xludf.DUMMYFUNCTION("""COMPUTED_VALUE"""),"#VALUE!")</f>
        <v>#VALUE!</v>
      </c>
      <c r="J172" s="51" t="str">
        <f>IFERROR(__xludf.DUMMYFUNCTION("""COMPUTED_VALUE"""),"")</f>
        <v/>
      </c>
      <c r="K172" s="51"/>
      <c r="L172" s="51" t="s">
        <v>257</v>
      </c>
      <c r="M172" s="51"/>
      <c r="N172" s="51"/>
      <c r="O172" s="51"/>
      <c r="P172" s="51"/>
      <c r="Q172" s="51"/>
      <c r="R172" s="51"/>
      <c r="S172" s="51"/>
      <c r="T172" s="51"/>
    </row>
    <row r="173">
      <c r="A173" s="51"/>
      <c r="B173" s="51"/>
      <c r="C173" s="56"/>
      <c r="D173" s="51"/>
      <c r="E173" s="51"/>
      <c r="F173" s="51"/>
      <c r="G173" s="51" t="str">
        <f>IFERROR(__xludf.DUMMYFUNCTION("""COMPUTED_VALUE"""),"#VALUE!")</f>
        <v>#VALUE!</v>
      </c>
      <c r="H173" s="51" t="str">
        <f>IFERROR(__xludf.DUMMYFUNCTION("""COMPUTED_VALUE"""),"")</f>
        <v/>
      </c>
      <c r="I173" s="51" t="str">
        <f>IFERROR(__xludf.DUMMYFUNCTION("""COMPUTED_VALUE"""),"#VALUE!")</f>
        <v>#VALUE!</v>
      </c>
      <c r="J173" s="51" t="str">
        <f>IFERROR(__xludf.DUMMYFUNCTION("""COMPUTED_VALUE"""),"")</f>
        <v/>
      </c>
      <c r="K173" s="51"/>
      <c r="L173" s="51" t="s">
        <v>257</v>
      </c>
      <c r="M173" s="51"/>
      <c r="N173" s="51"/>
      <c r="O173" s="51"/>
      <c r="P173" s="51"/>
      <c r="Q173" s="51"/>
      <c r="R173" s="51"/>
      <c r="S173" s="51"/>
      <c r="T173" s="51"/>
    </row>
    <row r="174">
      <c r="A174" s="51"/>
      <c r="B174" s="51"/>
      <c r="C174" s="56"/>
      <c r="D174" s="51"/>
      <c r="E174" s="51"/>
      <c r="F174" s="51"/>
      <c r="G174" s="51" t="str">
        <f>IFERROR(__xludf.DUMMYFUNCTION("""COMPUTED_VALUE"""),"#VALUE!")</f>
        <v>#VALUE!</v>
      </c>
      <c r="H174" s="51" t="str">
        <f>IFERROR(__xludf.DUMMYFUNCTION("""COMPUTED_VALUE"""),"")</f>
        <v/>
      </c>
      <c r="I174" s="51" t="str">
        <f>IFERROR(__xludf.DUMMYFUNCTION("""COMPUTED_VALUE"""),"#VALUE!")</f>
        <v>#VALUE!</v>
      </c>
      <c r="J174" s="51" t="str">
        <f>IFERROR(__xludf.DUMMYFUNCTION("""COMPUTED_VALUE"""),"")</f>
        <v/>
      </c>
      <c r="K174" s="51"/>
      <c r="L174" s="51" t="s">
        <v>257</v>
      </c>
      <c r="M174" s="51"/>
      <c r="N174" s="51"/>
      <c r="O174" s="51"/>
      <c r="P174" s="51"/>
      <c r="Q174" s="51"/>
      <c r="R174" s="51"/>
      <c r="S174" s="51"/>
      <c r="T174" s="51"/>
    </row>
    <row r="175">
      <c r="A175" s="51"/>
      <c r="B175" s="51"/>
      <c r="C175" s="56"/>
      <c r="D175" s="51"/>
      <c r="E175" s="51"/>
      <c r="F175" s="51"/>
      <c r="G175" s="51" t="str">
        <f>IFERROR(__xludf.DUMMYFUNCTION("""COMPUTED_VALUE"""),"#VALUE!")</f>
        <v>#VALUE!</v>
      </c>
      <c r="H175" s="51" t="str">
        <f>IFERROR(__xludf.DUMMYFUNCTION("""COMPUTED_VALUE"""),"")</f>
        <v/>
      </c>
      <c r="I175" s="51" t="str">
        <f>IFERROR(__xludf.DUMMYFUNCTION("""COMPUTED_VALUE"""),"#VALUE!")</f>
        <v>#VALUE!</v>
      </c>
      <c r="J175" s="51" t="str">
        <f>IFERROR(__xludf.DUMMYFUNCTION("""COMPUTED_VALUE"""),"")</f>
        <v/>
      </c>
      <c r="K175" s="51"/>
      <c r="L175" s="51" t="s">
        <v>257</v>
      </c>
      <c r="M175" s="51"/>
      <c r="N175" s="51"/>
      <c r="O175" s="51"/>
      <c r="P175" s="51"/>
      <c r="Q175" s="51"/>
      <c r="R175" s="51"/>
      <c r="S175" s="51"/>
      <c r="T175" s="51"/>
    </row>
    <row r="176">
      <c r="A176" s="51"/>
      <c r="B176" s="51"/>
      <c r="C176" s="56"/>
      <c r="D176" s="51"/>
      <c r="E176" s="51"/>
      <c r="F176" s="51"/>
      <c r="G176" s="51" t="str">
        <f>IFERROR(__xludf.DUMMYFUNCTION("""COMPUTED_VALUE"""),"#VALUE!")</f>
        <v>#VALUE!</v>
      </c>
      <c r="H176" s="51" t="str">
        <f>IFERROR(__xludf.DUMMYFUNCTION("""COMPUTED_VALUE"""),"")</f>
        <v/>
      </c>
      <c r="I176" s="51" t="str">
        <f>IFERROR(__xludf.DUMMYFUNCTION("""COMPUTED_VALUE"""),"#VALUE!")</f>
        <v>#VALUE!</v>
      </c>
      <c r="J176" s="51" t="str">
        <f>IFERROR(__xludf.DUMMYFUNCTION("""COMPUTED_VALUE"""),"")</f>
        <v/>
      </c>
      <c r="K176" s="51"/>
      <c r="L176" s="51" t="s">
        <v>257</v>
      </c>
      <c r="M176" s="51"/>
      <c r="N176" s="51"/>
      <c r="O176" s="51"/>
      <c r="P176" s="51"/>
      <c r="Q176" s="51"/>
      <c r="R176" s="51"/>
      <c r="S176" s="51"/>
      <c r="T176" s="51"/>
    </row>
    <row r="177">
      <c r="A177" s="51"/>
      <c r="B177" s="51"/>
      <c r="C177" s="56"/>
      <c r="D177" s="51"/>
      <c r="E177" s="51"/>
      <c r="F177" s="51"/>
      <c r="G177" s="51" t="str">
        <f>IFERROR(__xludf.DUMMYFUNCTION("""COMPUTED_VALUE"""),"#VALUE!")</f>
        <v>#VALUE!</v>
      </c>
      <c r="H177" s="51" t="str">
        <f>IFERROR(__xludf.DUMMYFUNCTION("""COMPUTED_VALUE"""),"")</f>
        <v/>
      </c>
      <c r="I177" s="51" t="str">
        <f>IFERROR(__xludf.DUMMYFUNCTION("""COMPUTED_VALUE"""),"#VALUE!")</f>
        <v>#VALUE!</v>
      </c>
      <c r="J177" s="51" t="str">
        <f>IFERROR(__xludf.DUMMYFUNCTION("""COMPUTED_VALUE"""),"")</f>
        <v/>
      </c>
      <c r="K177" s="51"/>
      <c r="L177" s="51" t="s">
        <v>257</v>
      </c>
      <c r="M177" s="51"/>
      <c r="N177" s="51"/>
      <c r="O177" s="51"/>
      <c r="P177" s="51"/>
      <c r="Q177" s="51"/>
      <c r="R177" s="51"/>
      <c r="S177" s="51"/>
      <c r="T177" s="51"/>
    </row>
    <row r="178">
      <c r="A178" s="51"/>
      <c r="B178" s="51"/>
      <c r="C178" s="56"/>
      <c r="D178" s="51"/>
      <c r="E178" s="51"/>
      <c r="F178" s="51"/>
      <c r="G178" s="51" t="str">
        <f>IFERROR(__xludf.DUMMYFUNCTION("""COMPUTED_VALUE"""),"#VALUE!")</f>
        <v>#VALUE!</v>
      </c>
      <c r="H178" s="51" t="str">
        <f>IFERROR(__xludf.DUMMYFUNCTION("""COMPUTED_VALUE"""),"")</f>
        <v/>
      </c>
      <c r="I178" s="51" t="str">
        <f>IFERROR(__xludf.DUMMYFUNCTION("""COMPUTED_VALUE"""),"#VALUE!")</f>
        <v>#VALUE!</v>
      </c>
      <c r="J178" s="51" t="str">
        <f>IFERROR(__xludf.DUMMYFUNCTION("""COMPUTED_VALUE"""),"")</f>
        <v/>
      </c>
      <c r="K178" s="51"/>
      <c r="L178" s="51" t="s">
        <v>257</v>
      </c>
      <c r="M178" s="51"/>
      <c r="N178" s="51"/>
      <c r="O178" s="51"/>
      <c r="P178" s="51"/>
      <c r="Q178" s="51"/>
      <c r="R178" s="51"/>
      <c r="S178" s="51"/>
      <c r="T178" s="51"/>
    </row>
    <row r="179">
      <c r="A179" s="51"/>
      <c r="B179" s="51"/>
      <c r="C179" s="56"/>
      <c r="D179" s="51"/>
      <c r="E179" s="51"/>
      <c r="F179" s="51"/>
      <c r="G179" s="51" t="str">
        <f>IFERROR(__xludf.DUMMYFUNCTION("""COMPUTED_VALUE"""),"#VALUE!")</f>
        <v>#VALUE!</v>
      </c>
      <c r="H179" s="51" t="str">
        <f>IFERROR(__xludf.DUMMYFUNCTION("""COMPUTED_VALUE"""),"")</f>
        <v/>
      </c>
      <c r="I179" s="51" t="str">
        <f>IFERROR(__xludf.DUMMYFUNCTION("""COMPUTED_VALUE"""),"#VALUE!")</f>
        <v>#VALUE!</v>
      </c>
      <c r="J179" s="51" t="str">
        <f>IFERROR(__xludf.DUMMYFUNCTION("""COMPUTED_VALUE"""),"")</f>
        <v/>
      </c>
      <c r="K179" s="51"/>
      <c r="L179" s="51" t="s">
        <v>257</v>
      </c>
      <c r="M179" s="51"/>
      <c r="N179" s="51"/>
      <c r="O179" s="51"/>
      <c r="P179" s="51"/>
      <c r="Q179" s="51"/>
      <c r="R179" s="51"/>
      <c r="S179" s="51"/>
      <c r="T179" s="51"/>
    </row>
    <row r="180">
      <c r="A180" s="51"/>
      <c r="B180" s="51"/>
      <c r="C180" s="56"/>
      <c r="D180" s="51"/>
      <c r="E180" s="51"/>
      <c r="F180" s="51"/>
      <c r="G180" s="51" t="str">
        <f>IFERROR(__xludf.DUMMYFUNCTION("""COMPUTED_VALUE"""),"#VALUE!")</f>
        <v>#VALUE!</v>
      </c>
      <c r="H180" s="51" t="str">
        <f>IFERROR(__xludf.DUMMYFUNCTION("""COMPUTED_VALUE"""),"")</f>
        <v/>
      </c>
      <c r="I180" s="51" t="str">
        <f>IFERROR(__xludf.DUMMYFUNCTION("""COMPUTED_VALUE"""),"#VALUE!")</f>
        <v>#VALUE!</v>
      </c>
      <c r="J180" s="51" t="str">
        <f>IFERROR(__xludf.DUMMYFUNCTION("""COMPUTED_VALUE"""),"")</f>
        <v/>
      </c>
      <c r="K180" s="51"/>
      <c r="L180" s="51" t="s">
        <v>257</v>
      </c>
      <c r="M180" s="51"/>
      <c r="N180" s="51"/>
      <c r="O180" s="51"/>
      <c r="P180" s="51"/>
      <c r="Q180" s="51"/>
      <c r="R180" s="51"/>
      <c r="S180" s="51"/>
      <c r="T180" s="51"/>
    </row>
    <row r="181">
      <c r="A181" s="51"/>
      <c r="B181" s="51"/>
      <c r="C181" s="56"/>
      <c r="D181" s="51"/>
      <c r="E181" s="51"/>
      <c r="F181" s="51"/>
      <c r="G181" s="51" t="str">
        <f>IFERROR(__xludf.DUMMYFUNCTION("""COMPUTED_VALUE"""),"#VALUE!")</f>
        <v>#VALUE!</v>
      </c>
      <c r="H181" s="51" t="str">
        <f>IFERROR(__xludf.DUMMYFUNCTION("""COMPUTED_VALUE"""),"")</f>
        <v/>
      </c>
      <c r="I181" s="51" t="str">
        <f>IFERROR(__xludf.DUMMYFUNCTION("""COMPUTED_VALUE"""),"#VALUE!")</f>
        <v>#VALUE!</v>
      </c>
      <c r="J181" s="51" t="str">
        <f>IFERROR(__xludf.DUMMYFUNCTION("""COMPUTED_VALUE"""),"")</f>
        <v/>
      </c>
      <c r="K181" s="51"/>
      <c r="L181" s="51" t="s">
        <v>257</v>
      </c>
      <c r="M181" s="51"/>
      <c r="N181" s="51"/>
      <c r="O181" s="51"/>
      <c r="P181" s="51"/>
      <c r="Q181" s="51"/>
      <c r="R181" s="51"/>
      <c r="S181" s="51"/>
      <c r="T181" s="51"/>
    </row>
    <row r="182">
      <c r="A182" s="51"/>
      <c r="B182" s="51"/>
      <c r="C182" s="56"/>
      <c r="D182" s="51"/>
      <c r="E182" s="51"/>
      <c r="F182" s="51"/>
      <c r="G182" s="51" t="str">
        <f>IFERROR(__xludf.DUMMYFUNCTION("""COMPUTED_VALUE"""),"#VALUE!")</f>
        <v>#VALUE!</v>
      </c>
      <c r="H182" s="51" t="str">
        <f>IFERROR(__xludf.DUMMYFUNCTION("""COMPUTED_VALUE"""),"")</f>
        <v/>
      </c>
      <c r="I182" s="51" t="str">
        <f>IFERROR(__xludf.DUMMYFUNCTION("""COMPUTED_VALUE"""),"#VALUE!")</f>
        <v>#VALUE!</v>
      </c>
      <c r="J182" s="51" t="str">
        <f>IFERROR(__xludf.DUMMYFUNCTION("""COMPUTED_VALUE"""),"")</f>
        <v/>
      </c>
      <c r="K182" s="51"/>
      <c r="L182" s="51" t="s">
        <v>257</v>
      </c>
      <c r="M182" s="51"/>
      <c r="N182" s="51"/>
      <c r="O182" s="51"/>
      <c r="P182" s="51"/>
      <c r="Q182" s="51"/>
      <c r="R182" s="51"/>
      <c r="S182" s="51"/>
      <c r="T182" s="51"/>
    </row>
    <row r="183">
      <c r="A183" s="51"/>
      <c r="B183" s="51"/>
      <c r="C183" s="56"/>
      <c r="D183" s="51"/>
      <c r="E183" s="51"/>
      <c r="F183" s="51"/>
      <c r="G183" s="51" t="str">
        <f>IFERROR(__xludf.DUMMYFUNCTION("""COMPUTED_VALUE"""),"#VALUE!")</f>
        <v>#VALUE!</v>
      </c>
      <c r="H183" s="51" t="str">
        <f>IFERROR(__xludf.DUMMYFUNCTION("""COMPUTED_VALUE"""),"")</f>
        <v/>
      </c>
      <c r="I183" s="51" t="str">
        <f>IFERROR(__xludf.DUMMYFUNCTION("""COMPUTED_VALUE"""),"#VALUE!")</f>
        <v>#VALUE!</v>
      </c>
      <c r="J183" s="51" t="str">
        <f>IFERROR(__xludf.DUMMYFUNCTION("""COMPUTED_VALUE"""),"")</f>
        <v/>
      </c>
      <c r="K183" s="51"/>
      <c r="L183" s="51" t="s">
        <v>257</v>
      </c>
      <c r="M183" s="51"/>
      <c r="N183" s="51"/>
      <c r="O183" s="51"/>
      <c r="P183" s="51"/>
      <c r="Q183" s="51"/>
      <c r="R183" s="51"/>
      <c r="S183" s="51"/>
      <c r="T183" s="51"/>
    </row>
    <row r="184">
      <c r="A184" s="51"/>
      <c r="B184" s="51"/>
      <c r="C184" s="56"/>
      <c r="D184" s="51"/>
      <c r="E184" s="51"/>
      <c r="F184" s="51"/>
      <c r="G184" s="51" t="str">
        <f>IFERROR(__xludf.DUMMYFUNCTION("""COMPUTED_VALUE"""),"#VALUE!")</f>
        <v>#VALUE!</v>
      </c>
      <c r="H184" s="51" t="str">
        <f>IFERROR(__xludf.DUMMYFUNCTION("""COMPUTED_VALUE"""),"")</f>
        <v/>
      </c>
      <c r="I184" s="51" t="str">
        <f>IFERROR(__xludf.DUMMYFUNCTION("""COMPUTED_VALUE"""),"#VALUE!")</f>
        <v>#VALUE!</v>
      </c>
      <c r="J184" s="51" t="str">
        <f>IFERROR(__xludf.DUMMYFUNCTION("""COMPUTED_VALUE"""),"")</f>
        <v/>
      </c>
      <c r="K184" s="51"/>
      <c r="L184" s="51" t="s">
        <v>257</v>
      </c>
      <c r="M184" s="51"/>
      <c r="N184" s="51"/>
      <c r="O184" s="51"/>
      <c r="P184" s="51"/>
      <c r="Q184" s="51"/>
      <c r="R184" s="51"/>
      <c r="S184" s="51"/>
      <c r="T184" s="51"/>
    </row>
    <row r="185">
      <c r="A185" s="51"/>
      <c r="B185" s="51"/>
      <c r="C185" s="56"/>
      <c r="D185" s="51"/>
      <c r="E185" s="51"/>
      <c r="F185" s="51"/>
      <c r="G185" s="51" t="str">
        <f>IFERROR(__xludf.DUMMYFUNCTION("""COMPUTED_VALUE"""),"#VALUE!")</f>
        <v>#VALUE!</v>
      </c>
      <c r="H185" s="51" t="str">
        <f>IFERROR(__xludf.DUMMYFUNCTION("""COMPUTED_VALUE"""),"")</f>
        <v/>
      </c>
      <c r="I185" s="51" t="str">
        <f>IFERROR(__xludf.DUMMYFUNCTION("""COMPUTED_VALUE"""),"#VALUE!")</f>
        <v>#VALUE!</v>
      </c>
      <c r="J185" s="51" t="str">
        <f>IFERROR(__xludf.DUMMYFUNCTION("""COMPUTED_VALUE"""),"")</f>
        <v/>
      </c>
      <c r="K185" s="51"/>
      <c r="L185" s="51" t="s">
        <v>257</v>
      </c>
      <c r="M185" s="51"/>
      <c r="N185" s="51"/>
      <c r="O185" s="51"/>
      <c r="P185" s="51"/>
      <c r="Q185" s="51"/>
      <c r="R185" s="51"/>
      <c r="S185" s="51"/>
      <c r="T185" s="51"/>
    </row>
    <row r="186">
      <c r="A186" s="51"/>
      <c r="B186" s="51"/>
      <c r="C186" s="56"/>
      <c r="D186" s="51"/>
      <c r="E186" s="51"/>
      <c r="F186" s="51"/>
      <c r="G186" s="51" t="str">
        <f>IFERROR(__xludf.DUMMYFUNCTION("""COMPUTED_VALUE"""),"#VALUE!")</f>
        <v>#VALUE!</v>
      </c>
      <c r="H186" s="51" t="str">
        <f>IFERROR(__xludf.DUMMYFUNCTION("""COMPUTED_VALUE"""),"")</f>
        <v/>
      </c>
      <c r="I186" s="51" t="str">
        <f>IFERROR(__xludf.DUMMYFUNCTION("""COMPUTED_VALUE"""),"#VALUE!")</f>
        <v>#VALUE!</v>
      </c>
      <c r="J186" s="51" t="str">
        <f>IFERROR(__xludf.DUMMYFUNCTION("""COMPUTED_VALUE"""),"")</f>
        <v/>
      </c>
      <c r="K186" s="51"/>
      <c r="L186" s="51" t="s">
        <v>257</v>
      </c>
      <c r="M186" s="51"/>
      <c r="N186" s="51"/>
      <c r="O186" s="51"/>
      <c r="P186" s="51"/>
      <c r="Q186" s="51"/>
      <c r="R186" s="51"/>
      <c r="S186" s="51"/>
      <c r="T186" s="51"/>
    </row>
    <row r="187">
      <c r="A187" s="51"/>
      <c r="B187" s="51"/>
      <c r="C187" s="56"/>
      <c r="D187" s="51"/>
      <c r="E187" s="51"/>
      <c r="F187" s="51"/>
      <c r="G187" s="51" t="str">
        <f>IFERROR(__xludf.DUMMYFUNCTION("""COMPUTED_VALUE"""),"#VALUE!")</f>
        <v>#VALUE!</v>
      </c>
      <c r="H187" s="51" t="str">
        <f>IFERROR(__xludf.DUMMYFUNCTION("""COMPUTED_VALUE"""),"")</f>
        <v/>
      </c>
      <c r="I187" s="51" t="str">
        <f>IFERROR(__xludf.DUMMYFUNCTION("""COMPUTED_VALUE"""),"#VALUE!")</f>
        <v>#VALUE!</v>
      </c>
      <c r="J187" s="51" t="str">
        <f>IFERROR(__xludf.DUMMYFUNCTION("""COMPUTED_VALUE"""),"")</f>
        <v/>
      </c>
      <c r="K187" s="51"/>
      <c r="L187" s="51" t="s">
        <v>257</v>
      </c>
      <c r="M187" s="51"/>
      <c r="N187" s="51"/>
      <c r="O187" s="51"/>
      <c r="P187" s="51"/>
      <c r="Q187" s="51"/>
      <c r="R187" s="51"/>
      <c r="S187" s="51"/>
      <c r="T187" s="51"/>
    </row>
    <row r="188">
      <c r="A188" s="51"/>
      <c r="B188" s="51"/>
      <c r="C188" s="56"/>
      <c r="D188" s="51"/>
      <c r="E188" s="51"/>
      <c r="F188" s="51"/>
      <c r="G188" s="51" t="str">
        <f>IFERROR(__xludf.DUMMYFUNCTION("""COMPUTED_VALUE"""),"#VALUE!")</f>
        <v>#VALUE!</v>
      </c>
      <c r="H188" s="51" t="str">
        <f>IFERROR(__xludf.DUMMYFUNCTION("""COMPUTED_VALUE"""),"")</f>
        <v/>
      </c>
      <c r="I188" s="51" t="str">
        <f>IFERROR(__xludf.DUMMYFUNCTION("""COMPUTED_VALUE"""),"#VALUE!")</f>
        <v>#VALUE!</v>
      </c>
      <c r="J188" s="51" t="str">
        <f>IFERROR(__xludf.DUMMYFUNCTION("""COMPUTED_VALUE"""),"")</f>
        <v/>
      </c>
      <c r="K188" s="51"/>
      <c r="L188" s="51" t="s">
        <v>257</v>
      </c>
      <c r="M188" s="51"/>
      <c r="N188" s="51"/>
      <c r="O188" s="51"/>
      <c r="P188" s="51"/>
      <c r="Q188" s="51"/>
      <c r="R188" s="51"/>
      <c r="S188" s="51"/>
      <c r="T188" s="51"/>
    </row>
    <row r="189">
      <c r="A189" s="51"/>
      <c r="B189" s="51"/>
      <c r="C189" s="56"/>
      <c r="D189" s="51"/>
      <c r="E189" s="51"/>
      <c r="F189" s="51"/>
      <c r="G189" s="51" t="str">
        <f>IFERROR(__xludf.DUMMYFUNCTION("""COMPUTED_VALUE"""),"#VALUE!")</f>
        <v>#VALUE!</v>
      </c>
      <c r="H189" s="51" t="str">
        <f>IFERROR(__xludf.DUMMYFUNCTION("""COMPUTED_VALUE"""),"")</f>
        <v/>
      </c>
      <c r="I189" s="51" t="str">
        <f>IFERROR(__xludf.DUMMYFUNCTION("""COMPUTED_VALUE"""),"#VALUE!")</f>
        <v>#VALUE!</v>
      </c>
      <c r="J189" s="51" t="str">
        <f>IFERROR(__xludf.DUMMYFUNCTION("""COMPUTED_VALUE"""),"")</f>
        <v/>
      </c>
      <c r="K189" s="51"/>
      <c r="L189" s="51" t="s">
        <v>257</v>
      </c>
      <c r="M189" s="51"/>
      <c r="N189" s="51"/>
      <c r="O189" s="51"/>
      <c r="P189" s="51"/>
      <c r="Q189" s="51"/>
      <c r="R189" s="51"/>
      <c r="S189" s="51"/>
      <c r="T189" s="51"/>
    </row>
    <row r="190">
      <c r="A190" s="51"/>
      <c r="B190" s="51"/>
      <c r="C190" s="56"/>
      <c r="D190" s="51"/>
      <c r="E190" s="51"/>
      <c r="F190" s="51"/>
      <c r="G190" s="51" t="str">
        <f>IFERROR(__xludf.DUMMYFUNCTION("""COMPUTED_VALUE"""),"#VALUE!")</f>
        <v>#VALUE!</v>
      </c>
      <c r="H190" s="51" t="str">
        <f>IFERROR(__xludf.DUMMYFUNCTION("""COMPUTED_VALUE"""),"")</f>
        <v/>
      </c>
      <c r="I190" s="51" t="str">
        <f>IFERROR(__xludf.DUMMYFUNCTION("""COMPUTED_VALUE"""),"#VALUE!")</f>
        <v>#VALUE!</v>
      </c>
      <c r="J190" s="51" t="str">
        <f>IFERROR(__xludf.DUMMYFUNCTION("""COMPUTED_VALUE"""),"")</f>
        <v/>
      </c>
      <c r="K190" s="51"/>
      <c r="L190" s="51" t="s">
        <v>257</v>
      </c>
      <c r="M190" s="51"/>
      <c r="N190" s="51"/>
      <c r="O190" s="51"/>
      <c r="P190" s="51"/>
      <c r="Q190" s="51"/>
      <c r="R190" s="51"/>
      <c r="S190" s="51"/>
      <c r="T190" s="51"/>
    </row>
    <row r="191">
      <c r="A191" s="51"/>
      <c r="B191" s="51"/>
      <c r="C191" s="56"/>
      <c r="D191" s="51"/>
      <c r="E191" s="51"/>
      <c r="F191" s="51"/>
      <c r="G191" s="51" t="str">
        <f>IFERROR(__xludf.DUMMYFUNCTION("""COMPUTED_VALUE"""),"#VALUE!")</f>
        <v>#VALUE!</v>
      </c>
      <c r="H191" s="51" t="str">
        <f>IFERROR(__xludf.DUMMYFUNCTION("""COMPUTED_VALUE"""),"")</f>
        <v/>
      </c>
      <c r="I191" s="51" t="str">
        <f>IFERROR(__xludf.DUMMYFUNCTION("""COMPUTED_VALUE"""),"#VALUE!")</f>
        <v>#VALUE!</v>
      </c>
      <c r="J191" s="51" t="str">
        <f>IFERROR(__xludf.DUMMYFUNCTION("""COMPUTED_VALUE"""),"")</f>
        <v/>
      </c>
      <c r="K191" s="51"/>
      <c r="L191" s="51" t="s">
        <v>257</v>
      </c>
      <c r="M191" s="51"/>
      <c r="N191" s="51"/>
      <c r="O191" s="51"/>
      <c r="P191" s="51"/>
      <c r="Q191" s="51"/>
      <c r="R191" s="51"/>
      <c r="S191" s="51"/>
      <c r="T191" s="51"/>
    </row>
    <row r="192">
      <c r="A192" s="51"/>
      <c r="B192" s="51"/>
      <c r="C192" s="56"/>
      <c r="D192" s="51"/>
      <c r="E192" s="51"/>
      <c r="F192" s="51"/>
      <c r="G192" s="51" t="str">
        <f>IFERROR(__xludf.DUMMYFUNCTION("""COMPUTED_VALUE"""),"#VALUE!")</f>
        <v>#VALUE!</v>
      </c>
      <c r="H192" s="51" t="str">
        <f>IFERROR(__xludf.DUMMYFUNCTION("""COMPUTED_VALUE"""),"")</f>
        <v/>
      </c>
      <c r="I192" s="51" t="str">
        <f>IFERROR(__xludf.DUMMYFUNCTION("""COMPUTED_VALUE"""),"#VALUE!")</f>
        <v>#VALUE!</v>
      </c>
      <c r="J192" s="51" t="str">
        <f>IFERROR(__xludf.DUMMYFUNCTION("""COMPUTED_VALUE"""),"")</f>
        <v/>
      </c>
      <c r="K192" s="51"/>
      <c r="L192" s="51" t="s">
        <v>257</v>
      </c>
      <c r="M192" s="51"/>
      <c r="N192" s="51"/>
      <c r="O192" s="51"/>
      <c r="P192" s="51"/>
      <c r="Q192" s="51"/>
      <c r="R192" s="51"/>
      <c r="S192" s="51"/>
      <c r="T192" s="51"/>
    </row>
    <row r="193">
      <c r="A193" s="51"/>
      <c r="B193" s="51"/>
      <c r="C193" s="56"/>
      <c r="D193" s="51"/>
      <c r="E193" s="51"/>
      <c r="F193" s="51"/>
      <c r="G193" s="51" t="str">
        <f>IFERROR(__xludf.DUMMYFUNCTION("""COMPUTED_VALUE"""),"#VALUE!")</f>
        <v>#VALUE!</v>
      </c>
      <c r="H193" s="51" t="str">
        <f>IFERROR(__xludf.DUMMYFUNCTION("""COMPUTED_VALUE"""),"")</f>
        <v/>
      </c>
      <c r="I193" s="51" t="str">
        <f>IFERROR(__xludf.DUMMYFUNCTION("""COMPUTED_VALUE"""),"#VALUE!")</f>
        <v>#VALUE!</v>
      </c>
      <c r="J193" s="51" t="str">
        <f>IFERROR(__xludf.DUMMYFUNCTION("""COMPUTED_VALUE"""),"")</f>
        <v/>
      </c>
      <c r="K193" s="51"/>
      <c r="L193" s="51" t="s">
        <v>257</v>
      </c>
      <c r="M193" s="51"/>
      <c r="N193" s="51"/>
      <c r="O193" s="51"/>
      <c r="P193" s="51"/>
      <c r="Q193" s="51"/>
      <c r="R193" s="51"/>
      <c r="S193" s="51"/>
      <c r="T193" s="51"/>
    </row>
    <row r="194">
      <c r="A194" s="51"/>
      <c r="B194" s="51"/>
      <c r="C194" s="56"/>
      <c r="D194" s="51"/>
      <c r="E194" s="51"/>
      <c r="F194" s="51"/>
      <c r="G194" s="51" t="str">
        <f>IFERROR(__xludf.DUMMYFUNCTION("""COMPUTED_VALUE"""),"#VALUE!")</f>
        <v>#VALUE!</v>
      </c>
      <c r="H194" s="51" t="str">
        <f>IFERROR(__xludf.DUMMYFUNCTION("""COMPUTED_VALUE"""),"")</f>
        <v/>
      </c>
      <c r="I194" s="51" t="str">
        <f>IFERROR(__xludf.DUMMYFUNCTION("""COMPUTED_VALUE"""),"#VALUE!")</f>
        <v>#VALUE!</v>
      </c>
      <c r="J194" s="51" t="str">
        <f>IFERROR(__xludf.DUMMYFUNCTION("""COMPUTED_VALUE"""),"")</f>
        <v/>
      </c>
      <c r="K194" s="51"/>
      <c r="L194" s="51" t="s">
        <v>257</v>
      </c>
      <c r="M194" s="51"/>
      <c r="N194" s="51"/>
      <c r="O194" s="51"/>
      <c r="P194" s="51"/>
      <c r="Q194" s="51"/>
      <c r="R194" s="51"/>
      <c r="S194" s="51"/>
      <c r="T194" s="51"/>
    </row>
    <row r="195">
      <c r="A195" s="51"/>
      <c r="B195" s="51"/>
      <c r="C195" s="56"/>
      <c r="D195" s="51"/>
      <c r="E195" s="51"/>
      <c r="F195" s="51"/>
      <c r="G195" s="51" t="str">
        <f>IFERROR(__xludf.DUMMYFUNCTION("""COMPUTED_VALUE"""),"#VALUE!")</f>
        <v>#VALUE!</v>
      </c>
      <c r="H195" s="51" t="str">
        <f>IFERROR(__xludf.DUMMYFUNCTION("""COMPUTED_VALUE"""),"")</f>
        <v/>
      </c>
      <c r="I195" s="51" t="str">
        <f>IFERROR(__xludf.DUMMYFUNCTION("""COMPUTED_VALUE"""),"#VALUE!")</f>
        <v>#VALUE!</v>
      </c>
      <c r="J195" s="51" t="str">
        <f>IFERROR(__xludf.DUMMYFUNCTION("""COMPUTED_VALUE"""),"")</f>
        <v/>
      </c>
      <c r="K195" s="51"/>
      <c r="L195" s="51" t="s">
        <v>257</v>
      </c>
      <c r="M195" s="51"/>
      <c r="N195" s="51"/>
      <c r="O195" s="51"/>
      <c r="P195" s="51"/>
      <c r="Q195" s="51"/>
      <c r="R195" s="51"/>
      <c r="S195" s="51"/>
      <c r="T195" s="51"/>
    </row>
    <row r="196">
      <c r="A196" s="51"/>
      <c r="B196" s="51"/>
      <c r="C196" s="56"/>
      <c r="D196" s="51"/>
      <c r="E196" s="51"/>
      <c r="F196" s="51"/>
      <c r="G196" s="51" t="str">
        <f>IFERROR(__xludf.DUMMYFUNCTION("""COMPUTED_VALUE"""),"#VALUE!")</f>
        <v>#VALUE!</v>
      </c>
      <c r="H196" s="51" t="str">
        <f>IFERROR(__xludf.DUMMYFUNCTION("""COMPUTED_VALUE"""),"")</f>
        <v/>
      </c>
      <c r="I196" s="51" t="str">
        <f>IFERROR(__xludf.DUMMYFUNCTION("""COMPUTED_VALUE"""),"#VALUE!")</f>
        <v>#VALUE!</v>
      </c>
      <c r="J196" s="51" t="str">
        <f>IFERROR(__xludf.DUMMYFUNCTION("""COMPUTED_VALUE"""),"")</f>
        <v/>
      </c>
      <c r="K196" s="51"/>
      <c r="L196" s="51" t="s">
        <v>257</v>
      </c>
      <c r="M196" s="51"/>
      <c r="N196" s="51"/>
      <c r="O196" s="51"/>
      <c r="P196" s="51"/>
      <c r="Q196" s="51"/>
      <c r="R196" s="51"/>
      <c r="S196" s="51"/>
      <c r="T196" s="51"/>
    </row>
    <row r="197">
      <c r="A197" s="51"/>
      <c r="B197" s="51"/>
      <c r="C197" s="56"/>
      <c r="D197" s="51"/>
      <c r="E197" s="51"/>
      <c r="F197" s="51"/>
      <c r="G197" s="51" t="str">
        <f>IFERROR(__xludf.DUMMYFUNCTION("""COMPUTED_VALUE"""),"#VALUE!")</f>
        <v>#VALUE!</v>
      </c>
      <c r="H197" s="51" t="str">
        <f>IFERROR(__xludf.DUMMYFUNCTION("""COMPUTED_VALUE"""),"")</f>
        <v/>
      </c>
      <c r="I197" s="51" t="str">
        <f>IFERROR(__xludf.DUMMYFUNCTION("""COMPUTED_VALUE"""),"#VALUE!")</f>
        <v>#VALUE!</v>
      </c>
      <c r="J197" s="51" t="str">
        <f>IFERROR(__xludf.DUMMYFUNCTION("""COMPUTED_VALUE"""),"")</f>
        <v/>
      </c>
      <c r="K197" s="51"/>
      <c r="L197" s="51" t="s">
        <v>257</v>
      </c>
      <c r="M197" s="51"/>
      <c r="N197" s="51"/>
      <c r="O197" s="51"/>
      <c r="P197" s="51"/>
      <c r="Q197" s="51"/>
      <c r="R197" s="51"/>
      <c r="S197" s="51"/>
      <c r="T197" s="51"/>
    </row>
    <row r="198">
      <c r="A198" s="51"/>
      <c r="B198" s="51"/>
      <c r="C198" s="56"/>
      <c r="D198" s="51"/>
      <c r="E198" s="51"/>
      <c r="F198" s="51"/>
      <c r="G198" s="51" t="str">
        <f>IFERROR(__xludf.DUMMYFUNCTION("""COMPUTED_VALUE"""),"#VALUE!")</f>
        <v>#VALUE!</v>
      </c>
      <c r="H198" s="51" t="str">
        <f>IFERROR(__xludf.DUMMYFUNCTION("""COMPUTED_VALUE"""),"")</f>
        <v/>
      </c>
      <c r="I198" s="51" t="str">
        <f>IFERROR(__xludf.DUMMYFUNCTION("""COMPUTED_VALUE"""),"#VALUE!")</f>
        <v>#VALUE!</v>
      </c>
      <c r="J198" s="51" t="str">
        <f>IFERROR(__xludf.DUMMYFUNCTION("""COMPUTED_VALUE"""),"")</f>
        <v/>
      </c>
      <c r="K198" s="51"/>
      <c r="L198" s="51" t="s">
        <v>257</v>
      </c>
      <c r="M198" s="51"/>
      <c r="N198" s="51"/>
      <c r="O198" s="51"/>
      <c r="P198" s="51"/>
      <c r="Q198" s="51"/>
      <c r="R198" s="51"/>
      <c r="S198" s="51"/>
      <c r="T198" s="51"/>
    </row>
    <row r="199">
      <c r="A199" s="51"/>
      <c r="B199" s="51"/>
      <c r="C199" s="56"/>
      <c r="D199" s="51"/>
      <c r="E199" s="51"/>
      <c r="F199" s="51"/>
      <c r="G199" s="51" t="str">
        <f>IFERROR(__xludf.DUMMYFUNCTION("""COMPUTED_VALUE"""),"#VALUE!")</f>
        <v>#VALUE!</v>
      </c>
      <c r="H199" s="51" t="str">
        <f>IFERROR(__xludf.DUMMYFUNCTION("""COMPUTED_VALUE"""),"")</f>
        <v/>
      </c>
      <c r="I199" s="51" t="str">
        <f>IFERROR(__xludf.DUMMYFUNCTION("""COMPUTED_VALUE"""),"#VALUE!")</f>
        <v>#VALUE!</v>
      </c>
      <c r="J199" s="51" t="str">
        <f>IFERROR(__xludf.DUMMYFUNCTION("""COMPUTED_VALUE"""),"")</f>
        <v/>
      </c>
      <c r="K199" s="51"/>
      <c r="L199" s="51" t="s">
        <v>257</v>
      </c>
      <c r="M199" s="51"/>
      <c r="N199" s="51"/>
      <c r="O199" s="51"/>
      <c r="P199" s="51"/>
      <c r="Q199" s="51"/>
      <c r="R199" s="51"/>
      <c r="S199" s="51"/>
      <c r="T199" s="51"/>
    </row>
    <row r="200">
      <c r="A200" s="51"/>
      <c r="B200" s="51"/>
      <c r="C200" s="56"/>
      <c r="D200" s="51"/>
      <c r="E200" s="51"/>
      <c r="F200" s="51"/>
      <c r="G200" s="51" t="str">
        <f>IFERROR(__xludf.DUMMYFUNCTION("""COMPUTED_VALUE"""),"#VALUE!")</f>
        <v>#VALUE!</v>
      </c>
      <c r="H200" s="51" t="str">
        <f>IFERROR(__xludf.DUMMYFUNCTION("""COMPUTED_VALUE"""),"")</f>
        <v/>
      </c>
      <c r="I200" s="51" t="str">
        <f>IFERROR(__xludf.DUMMYFUNCTION("""COMPUTED_VALUE"""),"#VALUE!")</f>
        <v>#VALUE!</v>
      </c>
      <c r="J200" s="51" t="str">
        <f>IFERROR(__xludf.DUMMYFUNCTION("""COMPUTED_VALUE"""),"")</f>
        <v/>
      </c>
      <c r="K200" s="51"/>
      <c r="L200" s="51" t="s">
        <v>257</v>
      </c>
      <c r="M200" s="51"/>
      <c r="N200" s="51"/>
      <c r="O200" s="51"/>
      <c r="P200" s="51"/>
      <c r="Q200" s="51"/>
      <c r="R200" s="51"/>
      <c r="S200" s="51"/>
      <c r="T200" s="51"/>
    </row>
    <row r="201">
      <c r="A201" s="51"/>
      <c r="B201" s="51"/>
      <c r="C201" s="56"/>
      <c r="D201" s="51"/>
      <c r="E201" s="51"/>
      <c r="F201" s="51"/>
      <c r="G201" s="51" t="str">
        <f>IFERROR(__xludf.DUMMYFUNCTION("""COMPUTED_VALUE"""),"#VALUE!")</f>
        <v>#VALUE!</v>
      </c>
      <c r="H201" s="51" t="str">
        <f>IFERROR(__xludf.DUMMYFUNCTION("""COMPUTED_VALUE"""),"")</f>
        <v/>
      </c>
      <c r="I201" s="51" t="str">
        <f>IFERROR(__xludf.DUMMYFUNCTION("""COMPUTED_VALUE"""),"#VALUE!")</f>
        <v>#VALUE!</v>
      </c>
      <c r="J201" s="51" t="str">
        <f>IFERROR(__xludf.DUMMYFUNCTION("""COMPUTED_VALUE"""),"")</f>
        <v/>
      </c>
      <c r="K201" s="51"/>
      <c r="L201" s="51" t="s">
        <v>257</v>
      </c>
      <c r="M201" s="51"/>
      <c r="N201" s="51"/>
      <c r="O201" s="51"/>
      <c r="P201" s="51"/>
      <c r="Q201" s="51"/>
      <c r="R201" s="51"/>
      <c r="S201" s="51"/>
      <c r="T201" s="51"/>
    </row>
    <row r="202">
      <c r="A202" s="51"/>
      <c r="B202" s="51"/>
      <c r="C202" s="56"/>
      <c r="D202" s="51"/>
      <c r="E202" s="51"/>
      <c r="F202" s="51"/>
      <c r="G202" s="51" t="str">
        <f>IFERROR(__xludf.DUMMYFUNCTION("""COMPUTED_VALUE"""),"#VALUE!")</f>
        <v>#VALUE!</v>
      </c>
      <c r="H202" s="51" t="str">
        <f>IFERROR(__xludf.DUMMYFUNCTION("""COMPUTED_VALUE"""),"")</f>
        <v/>
      </c>
      <c r="I202" s="51" t="str">
        <f>IFERROR(__xludf.DUMMYFUNCTION("""COMPUTED_VALUE"""),"#VALUE!")</f>
        <v>#VALUE!</v>
      </c>
      <c r="J202" s="51" t="str">
        <f>IFERROR(__xludf.DUMMYFUNCTION("""COMPUTED_VALUE"""),"")</f>
        <v/>
      </c>
      <c r="K202" s="51"/>
      <c r="L202" s="51" t="s">
        <v>257</v>
      </c>
      <c r="M202" s="51"/>
      <c r="N202" s="51"/>
      <c r="O202" s="51"/>
      <c r="P202" s="51"/>
      <c r="Q202" s="51"/>
      <c r="R202" s="51"/>
      <c r="S202" s="51"/>
      <c r="T202" s="51"/>
    </row>
    <row r="203">
      <c r="A203" s="51"/>
      <c r="B203" s="51"/>
      <c r="C203" s="56"/>
      <c r="D203" s="51"/>
      <c r="E203" s="51"/>
      <c r="F203" s="51"/>
      <c r="G203" s="51" t="str">
        <f>IFERROR(__xludf.DUMMYFUNCTION("""COMPUTED_VALUE"""),"#VALUE!")</f>
        <v>#VALUE!</v>
      </c>
      <c r="H203" s="51" t="str">
        <f>IFERROR(__xludf.DUMMYFUNCTION("""COMPUTED_VALUE"""),"")</f>
        <v/>
      </c>
      <c r="I203" s="51" t="str">
        <f>IFERROR(__xludf.DUMMYFUNCTION("""COMPUTED_VALUE"""),"#VALUE!")</f>
        <v>#VALUE!</v>
      </c>
      <c r="J203" s="51" t="str">
        <f>IFERROR(__xludf.DUMMYFUNCTION("""COMPUTED_VALUE"""),"")</f>
        <v/>
      </c>
      <c r="K203" s="51"/>
      <c r="L203" s="51" t="s">
        <v>257</v>
      </c>
      <c r="M203" s="51"/>
      <c r="N203" s="51"/>
      <c r="O203" s="51"/>
      <c r="P203" s="51"/>
      <c r="Q203" s="51"/>
      <c r="R203" s="51"/>
      <c r="S203" s="51"/>
      <c r="T203" s="51"/>
    </row>
    <row r="204">
      <c r="A204" s="51"/>
      <c r="B204" s="51"/>
      <c r="C204" s="56"/>
      <c r="D204" s="51"/>
      <c r="E204" s="51"/>
      <c r="F204" s="51"/>
      <c r="G204" s="51" t="str">
        <f>IFERROR(__xludf.DUMMYFUNCTION("""COMPUTED_VALUE"""),"#VALUE!")</f>
        <v>#VALUE!</v>
      </c>
      <c r="H204" s="51" t="str">
        <f>IFERROR(__xludf.DUMMYFUNCTION("""COMPUTED_VALUE"""),"")</f>
        <v/>
      </c>
      <c r="I204" s="51" t="str">
        <f>IFERROR(__xludf.DUMMYFUNCTION("""COMPUTED_VALUE"""),"#VALUE!")</f>
        <v>#VALUE!</v>
      </c>
      <c r="J204" s="51" t="str">
        <f>IFERROR(__xludf.DUMMYFUNCTION("""COMPUTED_VALUE"""),"")</f>
        <v/>
      </c>
      <c r="K204" s="51"/>
      <c r="L204" s="51" t="s">
        <v>257</v>
      </c>
      <c r="M204" s="51"/>
      <c r="N204" s="51"/>
      <c r="O204" s="51"/>
      <c r="P204" s="51"/>
      <c r="Q204" s="51"/>
      <c r="R204" s="51"/>
      <c r="S204" s="51"/>
      <c r="T204" s="51"/>
    </row>
    <row r="205">
      <c r="A205" s="51"/>
      <c r="B205" s="51"/>
      <c r="C205" s="56"/>
      <c r="D205" s="51"/>
      <c r="E205" s="51"/>
      <c r="F205" s="51"/>
      <c r="G205" s="51" t="str">
        <f>IFERROR(__xludf.DUMMYFUNCTION("""COMPUTED_VALUE"""),"#VALUE!")</f>
        <v>#VALUE!</v>
      </c>
      <c r="H205" s="51" t="str">
        <f>IFERROR(__xludf.DUMMYFUNCTION("""COMPUTED_VALUE"""),"")</f>
        <v/>
      </c>
      <c r="I205" s="51" t="str">
        <f>IFERROR(__xludf.DUMMYFUNCTION("""COMPUTED_VALUE"""),"#VALUE!")</f>
        <v>#VALUE!</v>
      </c>
      <c r="J205" s="51" t="str">
        <f>IFERROR(__xludf.DUMMYFUNCTION("""COMPUTED_VALUE"""),"")</f>
        <v/>
      </c>
      <c r="K205" s="51"/>
      <c r="L205" s="51" t="s">
        <v>257</v>
      </c>
      <c r="M205" s="51"/>
      <c r="N205" s="51"/>
      <c r="O205" s="51"/>
      <c r="P205" s="51"/>
      <c r="Q205" s="51"/>
      <c r="R205" s="51"/>
      <c r="S205" s="51"/>
      <c r="T205" s="51"/>
    </row>
    <row r="206">
      <c r="A206" s="51"/>
      <c r="B206" s="51"/>
      <c r="C206" s="56"/>
      <c r="D206" s="51"/>
      <c r="E206" s="51"/>
      <c r="F206" s="51"/>
      <c r="G206" s="51" t="str">
        <f>IFERROR(__xludf.DUMMYFUNCTION("""COMPUTED_VALUE"""),"#VALUE!")</f>
        <v>#VALUE!</v>
      </c>
      <c r="H206" s="51" t="str">
        <f>IFERROR(__xludf.DUMMYFUNCTION("""COMPUTED_VALUE"""),"")</f>
        <v/>
      </c>
      <c r="I206" s="51" t="str">
        <f>IFERROR(__xludf.DUMMYFUNCTION("""COMPUTED_VALUE"""),"#VALUE!")</f>
        <v>#VALUE!</v>
      </c>
      <c r="J206" s="51" t="str">
        <f>IFERROR(__xludf.DUMMYFUNCTION("""COMPUTED_VALUE"""),"")</f>
        <v/>
      </c>
      <c r="K206" s="51"/>
      <c r="L206" s="51" t="s">
        <v>257</v>
      </c>
      <c r="M206" s="51"/>
      <c r="N206" s="51"/>
      <c r="O206" s="51"/>
      <c r="P206" s="51"/>
      <c r="Q206" s="51"/>
      <c r="R206" s="51"/>
      <c r="S206" s="51"/>
      <c r="T206" s="51"/>
    </row>
    <row r="207">
      <c r="A207" s="51"/>
      <c r="B207" s="51"/>
      <c r="C207" s="56"/>
      <c r="D207" s="51"/>
      <c r="E207" s="51"/>
      <c r="F207" s="51"/>
      <c r="G207" s="51" t="str">
        <f>IFERROR(__xludf.DUMMYFUNCTION("""COMPUTED_VALUE"""),"#VALUE!")</f>
        <v>#VALUE!</v>
      </c>
      <c r="H207" s="51" t="str">
        <f>IFERROR(__xludf.DUMMYFUNCTION("""COMPUTED_VALUE"""),"")</f>
        <v/>
      </c>
      <c r="I207" s="51" t="str">
        <f>IFERROR(__xludf.DUMMYFUNCTION("""COMPUTED_VALUE"""),"#VALUE!")</f>
        <v>#VALUE!</v>
      </c>
      <c r="J207" s="51" t="str">
        <f>IFERROR(__xludf.DUMMYFUNCTION("""COMPUTED_VALUE"""),"")</f>
        <v/>
      </c>
      <c r="K207" s="51"/>
      <c r="L207" s="51" t="s">
        <v>257</v>
      </c>
      <c r="M207" s="51"/>
      <c r="N207" s="51"/>
      <c r="O207" s="51"/>
      <c r="P207" s="51"/>
      <c r="Q207" s="51"/>
      <c r="R207" s="51"/>
      <c r="S207" s="51"/>
      <c r="T207" s="51"/>
    </row>
    <row r="208">
      <c r="A208" s="51"/>
      <c r="B208" s="51"/>
      <c r="C208" s="56"/>
      <c r="D208" s="51"/>
      <c r="E208" s="51"/>
      <c r="F208" s="51"/>
      <c r="G208" s="51" t="str">
        <f>IFERROR(__xludf.DUMMYFUNCTION("""COMPUTED_VALUE"""),"#VALUE!")</f>
        <v>#VALUE!</v>
      </c>
      <c r="H208" s="51" t="str">
        <f>IFERROR(__xludf.DUMMYFUNCTION("""COMPUTED_VALUE"""),"")</f>
        <v/>
      </c>
      <c r="I208" s="51" t="str">
        <f>IFERROR(__xludf.DUMMYFUNCTION("""COMPUTED_VALUE"""),"#VALUE!")</f>
        <v>#VALUE!</v>
      </c>
      <c r="J208" s="51" t="str">
        <f>IFERROR(__xludf.DUMMYFUNCTION("""COMPUTED_VALUE"""),"")</f>
        <v/>
      </c>
      <c r="K208" s="51"/>
      <c r="L208" s="51" t="s">
        <v>257</v>
      </c>
      <c r="M208" s="51"/>
      <c r="N208" s="51"/>
      <c r="O208" s="51"/>
      <c r="P208" s="51"/>
      <c r="Q208" s="51"/>
      <c r="R208" s="51"/>
      <c r="S208" s="51"/>
      <c r="T208" s="51"/>
    </row>
    <row r="209">
      <c r="A209" s="51"/>
      <c r="B209" s="51"/>
      <c r="C209" s="56"/>
      <c r="D209" s="51"/>
      <c r="E209" s="51"/>
      <c r="F209" s="51"/>
      <c r="G209" s="51" t="str">
        <f>IFERROR(__xludf.DUMMYFUNCTION("""COMPUTED_VALUE"""),"#VALUE!")</f>
        <v>#VALUE!</v>
      </c>
      <c r="H209" s="51" t="str">
        <f>IFERROR(__xludf.DUMMYFUNCTION("""COMPUTED_VALUE"""),"")</f>
        <v/>
      </c>
      <c r="I209" s="51" t="str">
        <f>IFERROR(__xludf.DUMMYFUNCTION("""COMPUTED_VALUE"""),"#VALUE!")</f>
        <v>#VALUE!</v>
      </c>
      <c r="J209" s="51" t="str">
        <f>IFERROR(__xludf.DUMMYFUNCTION("""COMPUTED_VALUE"""),"")</f>
        <v/>
      </c>
      <c r="K209" s="51"/>
      <c r="L209" s="51" t="s">
        <v>257</v>
      </c>
      <c r="M209" s="51"/>
      <c r="N209" s="51"/>
      <c r="O209" s="51"/>
      <c r="P209" s="51"/>
      <c r="Q209" s="51"/>
      <c r="R209" s="51"/>
      <c r="S209" s="51"/>
      <c r="T209" s="51"/>
    </row>
    <row r="210">
      <c r="A210" s="51"/>
      <c r="B210" s="51"/>
      <c r="C210" s="56"/>
      <c r="D210" s="51"/>
      <c r="E210" s="51"/>
      <c r="F210" s="51"/>
      <c r="G210" s="51" t="str">
        <f>IFERROR(__xludf.DUMMYFUNCTION("""COMPUTED_VALUE"""),"#VALUE!")</f>
        <v>#VALUE!</v>
      </c>
      <c r="H210" s="51" t="str">
        <f>IFERROR(__xludf.DUMMYFUNCTION("""COMPUTED_VALUE"""),"")</f>
        <v/>
      </c>
      <c r="I210" s="51" t="str">
        <f>IFERROR(__xludf.DUMMYFUNCTION("""COMPUTED_VALUE"""),"#VALUE!")</f>
        <v>#VALUE!</v>
      </c>
      <c r="J210" s="51" t="str">
        <f>IFERROR(__xludf.DUMMYFUNCTION("""COMPUTED_VALUE"""),"")</f>
        <v/>
      </c>
      <c r="K210" s="51"/>
      <c r="L210" s="51" t="s">
        <v>257</v>
      </c>
      <c r="M210" s="51"/>
      <c r="N210" s="51"/>
      <c r="O210" s="51"/>
      <c r="P210" s="51"/>
      <c r="Q210" s="51"/>
      <c r="R210" s="51"/>
      <c r="S210" s="51"/>
      <c r="T210" s="51"/>
    </row>
    <row r="211">
      <c r="A211" s="51"/>
      <c r="B211" s="51"/>
      <c r="C211" s="56"/>
      <c r="D211" s="51"/>
      <c r="E211" s="51"/>
      <c r="F211" s="51"/>
      <c r="G211" s="51" t="str">
        <f>IFERROR(__xludf.DUMMYFUNCTION("""COMPUTED_VALUE"""),"#VALUE!")</f>
        <v>#VALUE!</v>
      </c>
      <c r="H211" s="51" t="str">
        <f>IFERROR(__xludf.DUMMYFUNCTION("""COMPUTED_VALUE"""),"")</f>
        <v/>
      </c>
      <c r="I211" s="51" t="str">
        <f>IFERROR(__xludf.DUMMYFUNCTION("""COMPUTED_VALUE"""),"#VALUE!")</f>
        <v>#VALUE!</v>
      </c>
      <c r="J211" s="51" t="str">
        <f>IFERROR(__xludf.DUMMYFUNCTION("""COMPUTED_VALUE"""),"")</f>
        <v/>
      </c>
      <c r="K211" s="51"/>
      <c r="L211" s="51" t="s">
        <v>257</v>
      </c>
      <c r="M211" s="51"/>
      <c r="N211" s="51"/>
      <c r="O211" s="51"/>
      <c r="P211" s="51"/>
      <c r="Q211" s="51"/>
      <c r="R211" s="51"/>
      <c r="S211" s="51"/>
      <c r="T211" s="51"/>
    </row>
    <row r="212">
      <c r="A212" s="51"/>
      <c r="B212" s="51"/>
      <c r="C212" s="56"/>
      <c r="D212" s="51"/>
      <c r="E212" s="51"/>
      <c r="F212" s="51"/>
      <c r="G212" s="51" t="str">
        <f>IFERROR(__xludf.DUMMYFUNCTION("""COMPUTED_VALUE"""),"#VALUE!")</f>
        <v>#VALUE!</v>
      </c>
      <c r="H212" s="51" t="str">
        <f>IFERROR(__xludf.DUMMYFUNCTION("""COMPUTED_VALUE"""),"")</f>
        <v/>
      </c>
      <c r="I212" s="51" t="str">
        <f>IFERROR(__xludf.DUMMYFUNCTION("""COMPUTED_VALUE"""),"#VALUE!")</f>
        <v>#VALUE!</v>
      </c>
      <c r="J212" s="51" t="str">
        <f>IFERROR(__xludf.DUMMYFUNCTION("""COMPUTED_VALUE"""),"")</f>
        <v/>
      </c>
      <c r="K212" s="51"/>
      <c r="L212" s="51" t="s">
        <v>257</v>
      </c>
      <c r="M212" s="51"/>
      <c r="N212" s="51"/>
      <c r="O212" s="51"/>
      <c r="P212" s="51"/>
      <c r="Q212" s="51"/>
      <c r="R212" s="51"/>
      <c r="S212" s="51"/>
      <c r="T212" s="51"/>
    </row>
    <row r="213">
      <c r="A213" s="51"/>
      <c r="B213" s="51"/>
      <c r="C213" s="56"/>
      <c r="D213" s="51"/>
      <c r="E213" s="51"/>
      <c r="F213" s="51"/>
      <c r="G213" s="51" t="str">
        <f>IFERROR(__xludf.DUMMYFUNCTION("""COMPUTED_VALUE"""),"#VALUE!")</f>
        <v>#VALUE!</v>
      </c>
      <c r="H213" s="51" t="str">
        <f>IFERROR(__xludf.DUMMYFUNCTION("""COMPUTED_VALUE"""),"")</f>
        <v/>
      </c>
      <c r="I213" s="51" t="str">
        <f>IFERROR(__xludf.DUMMYFUNCTION("""COMPUTED_VALUE"""),"#VALUE!")</f>
        <v>#VALUE!</v>
      </c>
      <c r="J213" s="51" t="str">
        <f>IFERROR(__xludf.DUMMYFUNCTION("""COMPUTED_VALUE"""),"")</f>
        <v/>
      </c>
      <c r="K213" s="51"/>
      <c r="L213" s="51" t="s">
        <v>257</v>
      </c>
      <c r="M213" s="51"/>
      <c r="N213" s="51"/>
      <c r="O213" s="51"/>
      <c r="P213" s="51"/>
      <c r="Q213" s="51"/>
      <c r="R213" s="51"/>
      <c r="S213" s="51"/>
      <c r="T213" s="51"/>
    </row>
    <row r="214">
      <c r="A214" s="51"/>
      <c r="B214" s="51"/>
      <c r="C214" s="56"/>
      <c r="D214" s="51"/>
      <c r="E214" s="51"/>
      <c r="F214" s="51"/>
      <c r="G214" s="51" t="str">
        <f>IFERROR(__xludf.DUMMYFUNCTION("""COMPUTED_VALUE"""),"#VALUE!")</f>
        <v>#VALUE!</v>
      </c>
      <c r="H214" s="51" t="str">
        <f>IFERROR(__xludf.DUMMYFUNCTION("""COMPUTED_VALUE"""),"")</f>
        <v/>
      </c>
      <c r="I214" s="51" t="str">
        <f>IFERROR(__xludf.DUMMYFUNCTION("""COMPUTED_VALUE"""),"#VALUE!")</f>
        <v>#VALUE!</v>
      </c>
      <c r="J214" s="51" t="str">
        <f>IFERROR(__xludf.DUMMYFUNCTION("""COMPUTED_VALUE"""),"")</f>
        <v/>
      </c>
      <c r="K214" s="51"/>
      <c r="L214" s="51" t="s">
        <v>257</v>
      </c>
      <c r="M214" s="51"/>
      <c r="N214" s="51"/>
      <c r="O214" s="51"/>
      <c r="P214" s="51"/>
      <c r="Q214" s="51"/>
      <c r="R214" s="51"/>
      <c r="S214" s="51"/>
      <c r="T214" s="51"/>
    </row>
    <row r="215">
      <c r="A215" s="51"/>
      <c r="B215" s="51"/>
      <c r="C215" s="56"/>
      <c r="D215" s="51"/>
      <c r="E215" s="51"/>
      <c r="F215" s="51"/>
      <c r="G215" s="51" t="str">
        <f>IFERROR(__xludf.DUMMYFUNCTION("""COMPUTED_VALUE"""),"#VALUE!")</f>
        <v>#VALUE!</v>
      </c>
      <c r="H215" s="51" t="str">
        <f>IFERROR(__xludf.DUMMYFUNCTION("""COMPUTED_VALUE"""),"")</f>
        <v/>
      </c>
      <c r="I215" s="51" t="str">
        <f>IFERROR(__xludf.DUMMYFUNCTION("""COMPUTED_VALUE"""),"#VALUE!")</f>
        <v>#VALUE!</v>
      </c>
      <c r="J215" s="51" t="str">
        <f>IFERROR(__xludf.DUMMYFUNCTION("""COMPUTED_VALUE"""),"")</f>
        <v/>
      </c>
      <c r="K215" s="51"/>
      <c r="L215" s="51" t="s">
        <v>257</v>
      </c>
      <c r="M215" s="51"/>
      <c r="N215" s="51"/>
      <c r="O215" s="51"/>
      <c r="P215" s="51"/>
      <c r="Q215" s="51"/>
      <c r="R215" s="51"/>
      <c r="S215" s="51"/>
      <c r="T215" s="51"/>
    </row>
    <row r="216">
      <c r="A216" s="51"/>
      <c r="B216" s="51"/>
      <c r="C216" s="56"/>
      <c r="D216" s="51"/>
      <c r="E216" s="51"/>
      <c r="F216" s="51"/>
      <c r="G216" s="51" t="str">
        <f>IFERROR(__xludf.DUMMYFUNCTION("""COMPUTED_VALUE"""),"#VALUE!")</f>
        <v>#VALUE!</v>
      </c>
      <c r="H216" s="51" t="str">
        <f>IFERROR(__xludf.DUMMYFUNCTION("""COMPUTED_VALUE"""),"")</f>
        <v/>
      </c>
      <c r="I216" s="51" t="str">
        <f>IFERROR(__xludf.DUMMYFUNCTION("""COMPUTED_VALUE"""),"#VALUE!")</f>
        <v>#VALUE!</v>
      </c>
      <c r="J216" s="51" t="str">
        <f>IFERROR(__xludf.DUMMYFUNCTION("""COMPUTED_VALUE"""),"")</f>
        <v/>
      </c>
      <c r="K216" s="51"/>
      <c r="L216" s="51" t="s">
        <v>257</v>
      </c>
      <c r="M216" s="51"/>
      <c r="N216" s="51"/>
      <c r="O216" s="51"/>
      <c r="P216" s="51"/>
      <c r="Q216" s="51"/>
      <c r="R216" s="51"/>
      <c r="S216" s="51"/>
      <c r="T216" s="51"/>
    </row>
    <row r="217">
      <c r="A217" s="51"/>
      <c r="B217" s="51"/>
      <c r="C217" s="56"/>
      <c r="D217" s="51"/>
      <c r="E217" s="51"/>
      <c r="F217" s="51"/>
      <c r="G217" s="51" t="str">
        <f>IFERROR(__xludf.DUMMYFUNCTION("""COMPUTED_VALUE"""),"#VALUE!")</f>
        <v>#VALUE!</v>
      </c>
      <c r="H217" s="51" t="str">
        <f>IFERROR(__xludf.DUMMYFUNCTION("""COMPUTED_VALUE"""),"")</f>
        <v/>
      </c>
      <c r="I217" s="51" t="str">
        <f>IFERROR(__xludf.DUMMYFUNCTION("""COMPUTED_VALUE"""),"#VALUE!")</f>
        <v>#VALUE!</v>
      </c>
      <c r="J217" s="51" t="str">
        <f>IFERROR(__xludf.DUMMYFUNCTION("""COMPUTED_VALUE"""),"")</f>
        <v/>
      </c>
      <c r="K217" s="51"/>
      <c r="L217" s="51" t="s">
        <v>257</v>
      </c>
      <c r="M217" s="51"/>
      <c r="N217" s="51"/>
      <c r="O217" s="51"/>
      <c r="P217" s="51"/>
      <c r="Q217" s="51"/>
      <c r="R217" s="51"/>
      <c r="S217" s="51"/>
      <c r="T217" s="51"/>
    </row>
    <row r="218">
      <c r="A218" s="51"/>
      <c r="B218" s="51"/>
      <c r="C218" s="56"/>
      <c r="D218" s="51"/>
      <c r="E218" s="51"/>
      <c r="F218" s="51"/>
      <c r="G218" s="51" t="str">
        <f>IFERROR(__xludf.DUMMYFUNCTION("""COMPUTED_VALUE"""),"#VALUE!")</f>
        <v>#VALUE!</v>
      </c>
      <c r="H218" s="51" t="str">
        <f>IFERROR(__xludf.DUMMYFUNCTION("""COMPUTED_VALUE"""),"")</f>
        <v/>
      </c>
      <c r="I218" s="51" t="str">
        <f>IFERROR(__xludf.DUMMYFUNCTION("""COMPUTED_VALUE"""),"#VALUE!")</f>
        <v>#VALUE!</v>
      </c>
      <c r="J218" s="51" t="str">
        <f>IFERROR(__xludf.DUMMYFUNCTION("""COMPUTED_VALUE"""),"")</f>
        <v/>
      </c>
      <c r="K218" s="51"/>
      <c r="L218" s="51" t="s">
        <v>257</v>
      </c>
      <c r="M218" s="51"/>
      <c r="N218" s="51"/>
      <c r="O218" s="51"/>
      <c r="P218" s="51"/>
      <c r="Q218" s="51"/>
      <c r="R218" s="51"/>
      <c r="S218" s="51"/>
      <c r="T218" s="51"/>
    </row>
    <row r="219">
      <c r="A219" s="51"/>
      <c r="B219" s="51"/>
      <c r="C219" s="56"/>
      <c r="D219" s="51"/>
      <c r="E219" s="51"/>
      <c r="F219" s="51"/>
      <c r="G219" s="51" t="str">
        <f>IFERROR(__xludf.DUMMYFUNCTION("""COMPUTED_VALUE"""),"#VALUE!")</f>
        <v>#VALUE!</v>
      </c>
      <c r="H219" s="51" t="str">
        <f>IFERROR(__xludf.DUMMYFUNCTION("""COMPUTED_VALUE"""),"")</f>
        <v/>
      </c>
      <c r="I219" s="51" t="str">
        <f>IFERROR(__xludf.DUMMYFUNCTION("""COMPUTED_VALUE"""),"#VALUE!")</f>
        <v>#VALUE!</v>
      </c>
      <c r="J219" s="51" t="str">
        <f>IFERROR(__xludf.DUMMYFUNCTION("""COMPUTED_VALUE"""),"")</f>
        <v/>
      </c>
      <c r="K219" s="51"/>
      <c r="L219" s="51" t="s">
        <v>257</v>
      </c>
      <c r="M219" s="51"/>
      <c r="N219" s="51"/>
      <c r="O219" s="51"/>
      <c r="P219" s="51"/>
      <c r="Q219" s="51"/>
      <c r="R219" s="51"/>
      <c r="S219" s="51"/>
      <c r="T219" s="51"/>
    </row>
    <row r="220">
      <c r="A220" s="51"/>
      <c r="B220" s="51"/>
      <c r="C220" s="56"/>
      <c r="D220" s="51"/>
      <c r="E220" s="51"/>
      <c r="F220" s="51"/>
      <c r="G220" s="51" t="str">
        <f>IFERROR(__xludf.DUMMYFUNCTION("""COMPUTED_VALUE"""),"#VALUE!")</f>
        <v>#VALUE!</v>
      </c>
      <c r="H220" s="51" t="str">
        <f>IFERROR(__xludf.DUMMYFUNCTION("""COMPUTED_VALUE"""),"")</f>
        <v/>
      </c>
      <c r="I220" s="51" t="str">
        <f>IFERROR(__xludf.DUMMYFUNCTION("""COMPUTED_VALUE"""),"#VALUE!")</f>
        <v>#VALUE!</v>
      </c>
      <c r="J220" s="51" t="str">
        <f>IFERROR(__xludf.DUMMYFUNCTION("""COMPUTED_VALUE"""),"")</f>
        <v/>
      </c>
      <c r="K220" s="51"/>
      <c r="L220" s="51" t="s">
        <v>257</v>
      </c>
      <c r="M220" s="51"/>
      <c r="N220" s="51"/>
      <c r="O220" s="51"/>
      <c r="P220" s="51"/>
      <c r="Q220" s="51"/>
      <c r="R220" s="51"/>
      <c r="S220" s="51"/>
      <c r="T220" s="51"/>
    </row>
    <row r="221">
      <c r="A221" s="51"/>
      <c r="B221" s="51"/>
      <c r="C221" s="56"/>
      <c r="D221" s="51"/>
      <c r="E221" s="51"/>
      <c r="F221" s="51"/>
      <c r="G221" s="51" t="str">
        <f>IFERROR(__xludf.DUMMYFUNCTION("""COMPUTED_VALUE"""),"#VALUE!")</f>
        <v>#VALUE!</v>
      </c>
      <c r="H221" s="51" t="str">
        <f>IFERROR(__xludf.DUMMYFUNCTION("""COMPUTED_VALUE"""),"")</f>
        <v/>
      </c>
      <c r="I221" s="51" t="str">
        <f>IFERROR(__xludf.DUMMYFUNCTION("""COMPUTED_VALUE"""),"#VALUE!")</f>
        <v>#VALUE!</v>
      </c>
      <c r="J221" s="51" t="str">
        <f>IFERROR(__xludf.DUMMYFUNCTION("""COMPUTED_VALUE"""),"")</f>
        <v/>
      </c>
      <c r="K221" s="51"/>
      <c r="L221" s="51" t="s">
        <v>257</v>
      </c>
      <c r="M221" s="51"/>
      <c r="N221" s="51"/>
      <c r="O221" s="51"/>
      <c r="P221" s="51"/>
      <c r="Q221" s="51"/>
      <c r="R221" s="51"/>
      <c r="S221" s="51"/>
      <c r="T221" s="51"/>
    </row>
    <row r="222">
      <c r="A222" s="51"/>
      <c r="B222" s="51"/>
      <c r="C222" s="56"/>
      <c r="D222" s="51"/>
      <c r="E222" s="51"/>
      <c r="F222" s="51"/>
      <c r="G222" s="51" t="str">
        <f>IFERROR(__xludf.DUMMYFUNCTION("""COMPUTED_VALUE"""),"#VALUE!")</f>
        <v>#VALUE!</v>
      </c>
      <c r="H222" s="51" t="str">
        <f>IFERROR(__xludf.DUMMYFUNCTION("""COMPUTED_VALUE"""),"")</f>
        <v/>
      </c>
      <c r="I222" s="51" t="str">
        <f>IFERROR(__xludf.DUMMYFUNCTION("""COMPUTED_VALUE"""),"#VALUE!")</f>
        <v>#VALUE!</v>
      </c>
      <c r="J222" s="51" t="str">
        <f>IFERROR(__xludf.DUMMYFUNCTION("""COMPUTED_VALUE"""),"")</f>
        <v/>
      </c>
      <c r="K222" s="51"/>
      <c r="L222" s="51" t="s">
        <v>257</v>
      </c>
      <c r="M222" s="51"/>
      <c r="N222" s="51"/>
      <c r="O222" s="51"/>
      <c r="P222" s="51"/>
      <c r="Q222" s="51"/>
      <c r="R222" s="51"/>
      <c r="S222" s="51"/>
      <c r="T222" s="51"/>
    </row>
    <row r="223">
      <c r="A223" s="51"/>
      <c r="B223" s="51"/>
      <c r="C223" s="56"/>
      <c r="D223" s="51"/>
      <c r="E223" s="51"/>
      <c r="F223" s="51"/>
      <c r="G223" s="51" t="str">
        <f>IFERROR(__xludf.DUMMYFUNCTION("""COMPUTED_VALUE"""),"#VALUE!")</f>
        <v>#VALUE!</v>
      </c>
      <c r="H223" s="51" t="str">
        <f>IFERROR(__xludf.DUMMYFUNCTION("""COMPUTED_VALUE"""),"")</f>
        <v/>
      </c>
      <c r="I223" s="51" t="str">
        <f>IFERROR(__xludf.DUMMYFUNCTION("""COMPUTED_VALUE"""),"#VALUE!")</f>
        <v>#VALUE!</v>
      </c>
      <c r="J223" s="51" t="str">
        <f>IFERROR(__xludf.DUMMYFUNCTION("""COMPUTED_VALUE"""),"")</f>
        <v/>
      </c>
      <c r="K223" s="51"/>
      <c r="L223" s="51" t="s">
        <v>257</v>
      </c>
      <c r="M223" s="51"/>
      <c r="N223" s="51"/>
      <c r="O223" s="51"/>
      <c r="P223" s="51"/>
      <c r="Q223" s="51"/>
      <c r="R223" s="51"/>
      <c r="S223" s="51"/>
      <c r="T223" s="51"/>
    </row>
    <row r="224">
      <c r="A224" s="51"/>
      <c r="B224" s="51"/>
      <c r="C224" s="56"/>
      <c r="D224" s="51"/>
      <c r="E224" s="51"/>
      <c r="F224" s="51"/>
      <c r="G224" s="51" t="str">
        <f>IFERROR(__xludf.DUMMYFUNCTION("""COMPUTED_VALUE"""),"#VALUE!")</f>
        <v>#VALUE!</v>
      </c>
      <c r="H224" s="51" t="str">
        <f>IFERROR(__xludf.DUMMYFUNCTION("""COMPUTED_VALUE"""),"")</f>
        <v/>
      </c>
      <c r="I224" s="51" t="str">
        <f>IFERROR(__xludf.DUMMYFUNCTION("""COMPUTED_VALUE"""),"#VALUE!")</f>
        <v>#VALUE!</v>
      </c>
      <c r="J224" s="51" t="str">
        <f>IFERROR(__xludf.DUMMYFUNCTION("""COMPUTED_VALUE"""),"")</f>
        <v/>
      </c>
      <c r="K224" s="51"/>
      <c r="L224" s="51" t="s">
        <v>257</v>
      </c>
      <c r="M224" s="51"/>
      <c r="N224" s="51"/>
      <c r="O224" s="51"/>
      <c r="P224" s="51"/>
      <c r="Q224" s="51"/>
      <c r="R224" s="51"/>
      <c r="S224" s="51"/>
      <c r="T224" s="51"/>
    </row>
    <row r="225">
      <c r="A225" s="51"/>
      <c r="B225" s="51"/>
      <c r="C225" s="56"/>
      <c r="D225" s="51"/>
      <c r="E225" s="51"/>
      <c r="F225" s="51"/>
      <c r="G225" s="51" t="str">
        <f>IFERROR(__xludf.DUMMYFUNCTION("""COMPUTED_VALUE"""),"#VALUE!")</f>
        <v>#VALUE!</v>
      </c>
      <c r="H225" s="51" t="str">
        <f>IFERROR(__xludf.DUMMYFUNCTION("""COMPUTED_VALUE"""),"")</f>
        <v/>
      </c>
      <c r="I225" s="51" t="str">
        <f>IFERROR(__xludf.DUMMYFUNCTION("""COMPUTED_VALUE"""),"#VALUE!")</f>
        <v>#VALUE!</v>
      </c>
      <c r="J225" s="51" t="str">
        <f>IFERROR(__xludf.DUMMYFUNCTION("""COMPUTED_VALUE"""),"")</f>
        <v/>
      </c>
      <c r="K225" s="51"/>
      <c r="L225" s="51" t="s">
        <v>257</v>
      </c>
      <c r="M225" s="51"/>
      <c r="N225" s="51"/>
      <c r="O225" s="51"/>
      <c r="P225" s="51"/>
      <c r="Q225" s="51"/>
      <c r="R225" s="51"/>
      <c r="S225" s="51"/>
      <c r="T225" s="51"/>
    </row>
    <row r="226">
      <c r="A226" s="51"/>
      <c r="B226" s="51"/>
      <c r="C226" s="56"/>
      <c r="D226" s="51"/>
      <c r="E226" s="51"/>
      <c r="F226" s="51"/>
      <c r="G226" s="51" t="str">
        <f>IFERROR(__xludf.DUMMYFUNCTION("""COMPUTED_VALUE"""),"#VALUE!")</f>
        <v>#VALUE!</v>
      </c>
      <c r="H226" s="51" t="str">
        <f>IFERROR(__xludf.DUMMYFUNCTION("""COMPUTED_VALUE"""),"")</f>
        <v/>
      </c>
      <c r="I226" s="51" t="str">
        <f>IFERROR(__xludf.DUMMYFUNCTION("""COMPUTED_VALUE"""),"#VALUE!")</f>
        <v>#VALUE!</v>
      </c>
      <c r="J226" s="51" t="str">
        <f>IFERROR(__xludf.DUMMYFUNCTION("""COMPUTED_VALUE"""),"")</f>
        <v/>
      </c>
      <c r="K226" s="51"/>
      <c r="L226" s="51" t="s">
        <v>257</v>
      </c>
      <c r="M226" s="51"/>
      <c r="N226" s="51"/>
      <c r="O226" s="51"/>
      <c r="P226" s="51"/>
      <c r="Q226" s="51"/>
      <c r="R226" s="51"/>
      <c r="S226" s="51"/>
      <c r="T226" s="51"/>
    </row>
    <row r="227">
      <c r="A227" s="51"/>
      <c r="B227" s="51"/>
      <c r="C227" s="56"/>
      <c r="D227" s="51"/>
      <c r="E227" s="51"/>
      <c r="F227" s="51"/>
      <c r="G227" s="51" t="str">
        <f>IFERROR(__xludf.DUMMYFUNCTION("""COMPUTED_VALUE"""),"#VALUE!")</f>
        <v>#VALUE!</v>
      </c>
      <c r="H227" s="51" t="str">
        <f>IFERROR(__xludf.DUMMYFUNCTION("""COMPUTED_VALUE"""),"")</f>
        <v/>
      </c>
      <c r="I227" s="51" t="str">
        <f>IFERROR(__xludf.DUMMYFUNCTION("""COMPUTED_VALUE"""),"#VALUE!")</f>
        <v>#VALUE!</v>
      </c>
      <c r="J227" s="51" t="str">
        <f>IFERROR(__xludf.DUMMYFUNCTION("""COMPUTED_VALUE"""),"")</f>
        <v/>
      </c>
      <c r="K227" s="51"/>
      <c r="L227" s="51" t="s">
        <v>257</v>
      </c>
      <c r="M227" s="51"/>
      <c r="N227" s="51"/>
      <c r="O227" s="51"/>
      <c r="P227" s="51"/>
      <c r="Q227" s="51"/>
      <c r="R227" s="51"/>
      <c r="S227" s="51"/>
      <c r="T227" s="51"/>
    </row>
    <row r="228">
      <c r="A228" s="51"/>
      <c r="B228" s="51"/>
      <c r="C228" s="56"/>
      <c r="D228" s="51"/>
      <c r="E228" s="51"/>
      <c r="F228" s="51"/>
      <c r="G228" s="51" t="str">
        <f>IFERROR(__xludf.DUMMYFUNCTION("""COMPUTED_VALUE"""),"#VALUE!")</f>
        <v>#VALUE!</v>
      </c>
      <c r="H228" s="51" t="str">
        <f>IFERROR(__xludf.DUMMYFUNCTION("""COMPUTED_VALUE"""),"")</f>
        <v/>
      </c>
      <c r="I228" s="51" t="str">
        <f>IFERROR(__xludf.DUMMYFUNCTION("""COMPUTED_VALUE"""),"#VALUE!")</f>
        <v>#VALUE!</v>
      </c>
      <c r="J228" s="51" t="str">
        <f>IFERROR(__xludf.DUMMYFUNCTION("""COMPUTED_VALUE"""),"")</f>
        <v/>
      </c>
      <c r="K228" s="51"/>
      <c r="L228" s="51" t="s">
        <v>257</v>
      </c>
      <c r="M228" s="51"/>
      <c r="N228" s="51"/>
      <c r="O228" s="51"/>
      <c r="P228" s="51"/>
      <c r="Q228" s="51"/>
      <c r="R228" s="51"/>
      <c r="S228" s="51"/>
      <c r="T228" s="51"/>
    </row>
    <row r="229">
      <c r="A229" s="51"/>
      <c r="B229" s="51"/>
      <c r="C229" s="56"/>
      <c r="D229" s="51"/>
      <c r="E229" s="51"/>
      <c r="F229" s="51"/>
      <c r="G229" s="51" t="str">
        <f>IFERROR(__xludf.DUMMYFUNCTION("""COMPUTED_VALUE"""),"#VALUE!")</f>
        <v>#VALUE!</v>
      </c>
      <c r="H229" s="51" t="str">
        <f>IFERROR(__xludf.DUMMYFUNCTION("""COMPUTED_VALUE"""),"")</f>
        <v/>
      </c>
      <c r="I229" s="51" t="str">
        <f>IFERROR(__xludf.DUMMYFUNCTION("""COMPUTED_VALUE"""),"#VALUE!")</f>
        <v>#VALUE!</v>
      </c>
      <c r="J229" s="51" t="str">
        <f>IFERROR(__xludf.DUMMYFUNCTION("""COMPUTED_VALUE"""),"")</f>
        <v/>
      </c>
      <c r="K229" s="51"/>
      <c r="L229" s="51" t="s">
        <v>257</v>
      </c>
      <c r="M229" s="51"/>
      <c r="N229" s="51"/>
      <c r="O229" s="51"/>
      <c r="P229" s="51"/>
      <c r="Q229" s="51"/>
      <c r="R229" s="51"/>
      <c r="S229" s="51"/>
      <c r="T229" s="51"/>
    </row>
    <row r="230">
      <c r="A230" s="51"/>
      <c r="B230" s="51"/>
      <c r="C230" s="56"/>
      <c r="D230" s="51"/>
      <c r="E230" s="51"/>
      <c r="F230" s="51"/>
      <c r="G230" s="51" t="str">
        <f>IFERROR(__xludf.DUMMYFUNCTION("""COMPUTED_VALUE"""),"#VALUE!")</f>
        <v>#VALUE!</v>
      </c>
      <c r="H230" s="51" t="str">
        <f>IFERROR(__xludf.DUMMYFUNCTION("""COMPUTED_VALUE"""),"")</f>
        <v/>
      </c>
      <c r="I230" s="51" t="str">
        <f>IFERROR(__xludf.DUMMYFUNCTION("""COMPUTED_VALUE"""),"#VALUE!")</f>
        <v>#VALUE!</v>
      </c>
      <c r="J230" s="51" t="str">
        <f>IFERROR(__xludf.DUMMYFUNCTION("""COMPUTED_VALUE"""),"")</f>
        <v/>
      </c>
      <c r="K230" s="51"/>
      <c r="L230" s="51" t="s">
        <v>257</v>
      </c>
      <c r="M230" s="51"/>
      <c r="N230" s="51"/>
      <c r="O230" s="51"/>
      <c r="P230" s="51"/>
      <c r="Q230" s="51"/>
      <c r="R230" s="51"/>
      <c r="S230" s="51"/>
      <c r="T230" s="51"/>
    </row>
    <row r="231">
      <c r="A231" s="51"/>
      <c r="B231" s="51"/>
      <c r="C231" s="56"/>
      <c r="D231" s="51"/>
      <c r="E231" s="51"/>
      <c r="F231" s="51"/>
      <c r="G231" s="51" t="str">
        <f>IFERROR(__xludf.DUMMYFUNCTION("""COMPUTED_VALUE"""),"#VALUE!")</f>
        <v>#VALUE!</v>
      </c>
      <c r="H231" s="51" t="str">
        <f>IFERROR(__xludf.DUMMYFUNCTION("""COMPUTED_VALUE"""),"")</f>
        <v/>
      </c>
      <c r="I231" s="51" t="str">
        <f>IFERROR(__xludf.DUMMYFUNCTION("""COMPUTED_VALUE"""),"#VALUE!")</f>
        <v>#VALUE!</v>
      </c>
      <c r="J231" s="51" t="str">
        <f>IFERROR(__xludf.DUMMYFUNCTION("""COMPUTED_VALUE"""),"")</f>
        <v/>
      </c>
      <c r="K231" s="51"/>
      <c r="L231" s="51" t="s">
        <v>257</v>
      </c>
      <c r="M231" s="51"/>
      <c r="N231" s="51"/>
      <c r="O231" s="51"/>
      <c r="P231" s="51"/>
      <c r="Q231" s="51"/>
      <c r="R231" s="51"/>
      <c r="S231" s="51"/>
      <c r="T231" s="51"/>
    </row>
    <row r="232">
      <c r="A232" s="51"/>
      <c r="B232" s="51"/>
      <c r="C232" s="56"/>
      <c r="D232" s="51"/>
      <c r="E232" s="51"/>
      <c r="F232" s="51"/>
      <c r="G232" s="51" t="str">
        <f>IFERROR(__xludf.DUMMYFUNCTION("""COMPUTED_VALUE"""),"#VALUE!")</f>
        <v>#VALUE!</v>
      </c>
      <c r="H232" s="51" t="str">
        <f>IFERROR(__xludf.DUMMYFUNCTION("""COMPUTED_VALUE"""),"")</f>
        <v/>
      </c>
      <c r="I232" s="51" t="str">
        <f>IFERROR(__xludf.DUMMYFUNCTION("""COMPUTED_VALUE"""),"#VALUE!")</f>
        <v>#VALUE!</v>
      </c>
      <c r="J232" s="51" t="str">
        <f>IFERROR(__xludf.DUMMYFUNCTION("""COMPUTED_VALUE"""),"")</f>
        <v/>
      </c>
      <c r="K232" s="51"/>
      <c r="L232" s="51" t="s">
        <v>257</v>
      </c>
      <c r="M232" s="51"/>
      <c r="N232" s="51"/>
      <c r="O232" s="51"/>
      <c r="P232" s="51"/>
      <c r="Q232" s="51"/>
      <c r="R232" s="51"/>
      <c r="S232" s="51"/>
      <c r="T232" s="51"/>
    </row>
    <row r="233">
      <c r="A233" s="51"/>
      <c r="B233" s="51"/>
      <c r="C233" s="56"/>
      <c r="D233" s="51"/>
      <c r="E233" s="51"/>
      <c r="F233" s="51"/>
      <c r="G233" s="51" t="str">
        <f>IFERROR(__xludf.DUMMYFUNCTION("""COMPUTED_VALUE"""),"#VALUE!")</f>
        <v>#VALUE!</v>
      </c>
      <c r="H233" s="51" t="str">
        <f>IFERROR(__xludf.DUMMYFUNCTION("""COMPUTED_VALUE"""),"")</f>
        <v/>
      </c>
      <c r="I233" s="51" t="str">
        <f>IFERROR(__xludf.DUMMYFUNCTION("""COMPUTED_VALUE"""),"#VALUE!")</f>
        <v>#VALUE!</v>
      </c>
      <c r="J233" s="51" t="str">
        <f>IFERROR(__xludf.DUMMYFUNCTION("""COMPUTED_VALUE"""),"")</f>
        <v/>
      </c>
      <c r="K233" s="51"/>
      <c r="L233" s="51" t="s">
        <v>257</v>
      </c>
      <c r="M233" s="51"/>
      <c r="N233" s="51"/>
      <c r="O233" s="51"/>
      <c r="P233" s="51"/>
      <c r="Q233" s="51"/>
      <c r="R233" s="51"/>
      <c r="S233" s="51"/>
      <c r="T233" s="51"/>
    </row>
    <row r="234">
      <c r="A234" s="51"/>
      <c r="B234" s="51"/>
      <c r="C234" s="56"/>
      <c r="D234" s="51"/>
      <c r="E234" s="51"/>
      <c r="F234" s="51"/>
      <c r="G234" s="51" t="str">
        <f>IFERROR(__xludf.DUMMYFUNCTION("""COMPUTED_VALUE"""),"#VALUE!")</f>
        <v>#VALUE!</v>
      </c>
      <c r="H234" s="51" t="str">
        <f>IFERROR(__xludf.DUMMYFUNCTION("""COMPUTED_VALUE"""),"")</f>
        <v/>
      </c>
      <c r="I234" s="51" t="str">
        <f>IFERROR(__xludf.DUMMYFUNCTION("""COMPUTED_VALUE"""),"#VALUE!")</f>
        <v>#VALUE!</v>
      </c>
      <c r="J234" s="51" t="str">
        <f>IFERROR(__xludf.DUMMYFUNCTION("""COMPUTED_VALUE"""),"")</f>
        <v/>
      </c>
      <c r="K234" s="51"/>
      <c r="L234" s="51" t="s">
        <v>257</v>
      </c>
      <c r="M234" s="51"/>
      <c r="N234" s="51"/>
      <c r="O234" s="51"/>
      <c r="P234" s="51"/>
      <c r="Q234" s="51"/>
      <c r="R234" s="51"/>
      <c r="S234" s="51"/>
      <c r="T234" s="51"/>
    </row>
    <row r="235">
      <c r="A235" s="51"/>
      <c r="B235" s="51"/>
      <c r="C235" s="56"/>
      <c r="D235" s="51"/>
      <c r="E235" s="51"/>
      <c r="F235" s="51"/>
      <c r="G235" s="51" t="str">
        <f>IFERROR(__xludf.DUMMYFUNCTION("""COMPUTED_VALUE"""),"#VALUE!")</f>
        <v>#VALUE!</v>
      </c>
      <c r="H235" s="51" t="str">
        <f>IFERROR(__xludf.DUMMYFUNCTION("""COMPUTED_VALUE"""),"")</f>
        <v/>
      </c>
      <c r="I235" s="51" t="str">
        <f>IFERROR(__xludf.DUMMYFUNCTION("""COMPUTED_VALUE"""),"#VALUE!")</f>
        <v>#VALUE!</v>
      </c>
      <c r="J235" s="51" t="str">
        <f>IFERROR(__xludf.DUMMYFUNCTION("""COMPUTED_VALUE"""),"")</f>
        <v/>
      </c>
      <c r="K235" s="51"/>
      <c r="L235" s="51" t="s">
        <v>257</v>
      </c>
      <c r="M235" s="51"/>
      <c r="N235" s="51"/>
      <c r="O235" s="51"/>
      <c r="P235" s="51"/>
      <c r="Q235" s="51"/>
      <c r="R235" s="51"/>
      <c r="S235" s="51"/>
      <c r="T235" s="51"/>
    </row>
    <row r="236">
      <c r="A236" s="51"/>
      <c r="B236" s="51"/>
      <c r="C236" s="56"/>
      <c r="D236" s="51"/>
      <c r="E236" s="51"/>
      <c r="F236" s="51"/>
      <c r="G236" s="51" t="str">
        <f>IFERROR(__xludf.DUMMYFUNCTION("""COMPUTED_VALUE"""),"#VALUE!")</f>
        <v>#VALUE!</v>
      </c>
      <c r="H236" s="51" t="str">
        <f>IFERROR(__xludf.DUMMYFUNCTION("""COMPUTED_VALUE"""),"")</f>
        <v/>
      </c>
      <c r="I236" s="51" t="str">
        <f>IFERROR(__xludf.DUMMYFUNCTION("""COMPUTED_VALUE"""),"#VALUE!")</f>
        <v>#VALUE!</v>
      </c>
      <c r="J236" s="51" t="str">
        <f>IFERROR(__xludf.DUMMYFUNCTION("""COMPUTED_VALUE"""),"")</f>
        <v/>
      </c>
      <c r="K236" s="51"/>
      <c r="L236" s="51" t="s">
        <v>257</v>
      </c>
      <c r="M236" s="51"/>
      <c r="N236" s="51"/>
      <c r="O236" s="51"/>
      <c r="P236" s="51"/>
      <c r="Q236" s="51"/>
      <c r="R236" s="51"/>
      <c r="S236" s="51"/>
      <c r="T236" s="51"/>
    </row>
    <row r="237">
      <c r="A237" s="51"/>
      <c r="B237" s="51"/>
      <c r="C237" s="56"/>
      <c r="D237" s="51"/>
      <c r="E237" s="51"/>
      <c r="F237" s="51"/>
      <c r="G237" s="51" t="str">
        <f>IFERROR(__xludf.DUMMYFUNCTION("""COMPUTED_VALUE"""),"#VALUE!")</f>
        <v>#VALUE!</v>
      </c>
      <c r="H237" s="51" t="str">
        <f>IFERROR(__xludf.DUMMYFUNCTION("""COMPUTED_VALUE"""),"")</f>
        <v/>
      </c>
      <c r="I237" s="51" t="str">
        <f>IFERROR(__xludf.DUMMYFUNCTION("""COMPUTED_VALUE"""),"#VALUE!")</f>
        <v>#VALUE!</v>
      </c>
      <c r="J237" s="51" t="str">
        <f>IFERROR(__xludf.DUMMYFUNCTION("""COMPUTED_VALUE"""),"")</f>
        <v/>
      </c>
      <c r="K237" s="51"/>
      <c r="L237" s="51" t="s">
        <v>257</v>
      </c>
      <c r="M237" s="51"/>
      <c r="N237" s="51"/>
      <c r="O237" s="51"/>
      <c r="P237" s="51"/>
      <c r="Q237" s="51"/>
      <c r="R237" s="51"/>
      <c r="S237" s="51"/>
      <c r="T237" s="51"/>
    </row>
    <row r="238">
      <c r="A238" s="51"/>
      <c r="B238" s="51"/>
      <c r="C238" s="56"/>
      <c r="D238" s="51"/>
      <c r="E238" s="51"/>
      <c r="F238" s="51"/>
      <c r="G238" s="51" t="str">
        <f>IFERROR(__xludf.DUMMYFUNCTION("""COMPUTED_VALUE"""),"#VALUE!")</f>
        <v>#VALUE!</v>
      </c>
      <c r="H238" s="51" t="str">
        <f>IFERROR(__xludf.DUMMYFUNCTION("""COMPUTED_VALUE"""),"")</f>
        <v/>
      </c>
      <c r="I238" s="51" t="str">
        <f>IFERROR(__xludf.DUMMYFUNCTION("""COMPUTED_VALUE"""),"#VALUE!")</f>
        <v>#VALUE!</v>
      </c>
      <c r="J238" s="51" t="str">
        <f>IFERROR(__xludf.DUMMYFUNCTION("""COMPUTED_VALUE"""),"")</f>
        <v/>
      </c>
      <c r="K238" s="51"/>
      <c r="L238" s="51" t="s">
        <v>257</v>
      </c>
      <c r="M238" s="51"/>
      <c r="N238" s="51"/>
      <c r="O238" s="51"/>
      <c r="P238" s="51"/>
      <c r="Q238" s="51"/>
      <c r="R238" s="51"/>
      <c r="S238" s="51"/>
      <c r="T238" s="51"/>
    </row>
    <row r="239">
      <c r="A239" s="51"/>
      <c r="B239" s="51"/>
      <c r="C239" s="56"/>
      <c r="D239" s="51"/>
      <c r="E239" s="51"/>
      <c r="F239" s="51"/>
      <c r="G239" s="51" t="str">
        <f>IFERROR(__xludf.DUMMYFUNCTION("""COMPUTED_VALUE"""),"#VALUE!")</f>
        <v>#VALUE!</v>
      </c>
      <c r="H239" s="51" t="str">
        <f>IFERROR(__xludf.DUMMYFUNCTION("""COMPUTED_VALUE"""),"")</f>
        <v/>
      </c>
      <c r="I239" s="51" t="str">
        <f>IFERROR(__xludf.DUMMYFUNCTION("""COMPUTED_VALUE"""),"#VALUE!")</f>
        <v>#VALUE!</v>
      </c>
      <c r="J239" s="51" t="str">
        <f>IFERROR(__xludf.DUMMYFUNCTION("""COMPUTED_VALUE"""),"")</f>
        <v/>
      </c>
      <c r="K239" s="51"/>
      <c r="L239" s="51" t="s">
        <v>257</v>
      </c>
      <c r="M239" s="51"/>
      <c r="N239" s="51"/>
      <c r="O239" s="51"/>
      <c r="P239" s="51"/>
      <c r="Q239" s="51"/>
      <c r="R239" s="51"/>
      <c r="S239" s="51"/>
      <c r="T239" s="51"/>
    </row>
    <row r="240">
      <c r="A240" s="51"/>
      <c r="B240" s="51"/>
      <c r="C240" s="56"/>
      <c r="D240" s="51"/>
      <c r="E240" s="51"/>
      <c r="F240" s="51"/>
      <c r="G240" s="51" t="str">
        <f>IFERROR(__xludf.DUMMYFUNCTION("""COMPUTED_VALUE"""),"#VALUE!")</f>
        <v>#VALUE!</v>
      </c>
      <c r="H240" s="51" t="str">
        <f>IFERROR(__xludf.DUMMYFUNCTION("""COMPUTED_VALUE"""),"")</f>
        <v/>
      </c>
      <c r="I240" s="51" t="str">
        <f>IFERROR(__xludf.DUMMYFUNCTION("""COMPUTED_VALUE"""),"#VALUE!")</f>
        <v>#VALUE!</v>
      </c>
      <c r="J240" s="51" t="str">
        <f>IFERROR(__xludf.DUMMYFUNCTION("""COMPUTED_VALUE"""),"")</f>
        <v/>
      </c>
      <c r="K240" s="51"/>
      <c r="L240" s="51" t="s">
        <v>257</v>
      </c>
      <c r="M240" s="51"/>
      <c r="N240" s="51"/>
      <c r="O240" s="51"/>
      <c r="P240" s="51"/>
      <c r="Q240" s="51"/>
      <c r="R240" s="51"/>
      <c r="S240" s="51"/>
      <c r="T240" s="51"/>
    </row>
    <row r="241">
      <c r="A241" s="51"/>
      <c r="B241" s="51"/>
      <c r="C241" s="56"/>
      <c r="D241" s="51"/>
      <c r="E241" s="51"/>
      <c r="F241" s="51"/>
      <c r="G241" s="51" t="str">
        <f>IFERROR(__xludf.DUMMYFUNCTION("""COMPUTED_VALUE"""),"#VALUE!")</f>
        <v>#VALUE!</v>
      </c>
      <c r="H241" s="51" t="str">
        <f>IFERROR(__xludf.DUMMYFUNCTION("""COMPUTED_VALUE"""),"")</f>
        <v/>
      </c>
      <c r="I241" s="51" t="str">
        <f>IFERROR(__xludf.DUMMYFUNCTION("""COMPUTED_VALUE"""),"#VALUE!")</f>
        <v>#VALUE!</v>
      </c>
      <c r="J241" s="51" t="str">
        <f>IFERROR(__xludf.DUMMYFUNCTION("""COMPUTED_VALUE"""),"")</f>
        <v/>
      </c>
      <c r="K241" s="51"/>
      <c r="L241" s="51" t="s">
        <v>257</v>
      </c>
      <c r="M241" s="51"/>
      <c r="N241" s="51"/>
      <c r="O241" s="51"/>
      <c r="P241" s="51"/>
      <c r="Q241" s="51"/>
      <c r="R241" s="51"/>
      <c r="S241" s="51"/>
      <c r="T241" s="51"/>
    </row>
    <row r="242">
      <c r="A242" s="51"/>
      <c r="B242" s="51"/>
      <c r="C242" s="56"/>
      <c r="D242" s="51"/>
      <c r="E242" s="51"/>
      <c r="F242" s="51"/>
      <c r="G242" s="51" t="str">
        <f>IFERROR(__xludf.DUMMYFUNCTION("""COMPUTED_VALUE"""),"#VALUE!")</f>
        <v>#VALUE!</v>
      </c>
      <c r="H242" s="51" t="str">
        <f>IFERROR(__xludf.DUMMYFUNCTION("""COMPUTED_VALUE"""),"")</f>
        <v/>
      </c>
      <c r="I242" s="51" t="str">
        <f>IFERROR(__xludf.DUMMYFUNCTION("""COMPUTED_VALUE"""),"#VALUE!")</f>
        <v>#VALUE!</v>
      </c>
      <c r="J242" s="51" t="str">
        <f>IFERROR(__xludf.DUMMYFUNCTION("""COMPUTED_VALUE"""),"")</f>
        <v/>
      </c>
      <c r="K242" s="51"/>
      <c r="L242" s="51" t="s">
        <v>257</v>
      </c>
      <c r="M242" s="51"/>
      <c r="N242" s="51"/>
      <c r="O242" s="51"/>
      <c r="P242" s="51"/>
      <c r="Q242" s="51"/>
      <c r="R242" s="51"/>
      <c r="S242" s="51"/>
      <c r="T242" s="51"/>
    </row>
    <row r="243">
      <c r="A243" s="51"/>
      <c r="B243" s="51"/>
      <c r="C243" s="56"/>
      <c r="D243" s="51"/>
      <c r="E243" s="51"/>
      <c r="F243" s="51"/>
      <c r="G243" s="51" t="str">
        <f>IFERROR(__xludf.DUMMYFUNCTION("""COMPUTED_VALUE"""),"#VALUE!")</f>
        <v>#VALUE!</v>
      </c>
      <c r="H243" s="51" t="str">
        <f>IFERROR(__xludf.DUMMYFUNCTION("""COMPUTED_VALUE"""),"")</f>
        <v/>
      </c>
      <c r="I243" s="51" t="str">
        <f>IFERROR(__xludf.DUMMYFUNCTION("""COMPUTED_VALUE"""),"#VALUE!")</f>
        <v>#VALUE!</v>
      </c>
      <c r="J243" s="51" t="str">
        <f>IFERROR(__xludf.DUMMYFUNCTION("""COMPUTED_VALUE"""),"")</f>
        <v/>
      </c>
      <c r="K243" s="51"/>
      <c r="L243" s="51" t="s">
        <v>257</v>
      </c>
      <c r="M243" s="51"/>
      <c r="N243" s="51"/>
      <c r="O243" s="51"/>
      <c r="P243" s="51"/>
      <c r="Q243" s="51"/>
      <c r="R243" s="51"/>
      <c r="S243" s="51"/>
      <c r="T243" s="51"/>
    </row>
    <row r="244">
      <c r="A244" s="51"/>
      <c r="B244" s="51"/>
      <c r="C244" s="56"/>
      <c r="D244" s="51"/>
      <c r="E244" s="51"/>
      <c r="F244" s="51"/>
      <c r="G244" s="51" t="str">
        <f>IFERROR(__xludf.DUMMYFUNCTION("""COMPUTED_VALUE"""),"#VALUE!")</f>
        <v>#VALUE!</v>
      </c>
      <c r="H244" s="51" t="str">
        <f>IFERROR(__xludf.DUMMYFUNCTION("""COMPUTED_VALUE"""),"")</f>
        <v/>
      </c>
      <c r="I244" s="51" t="str">
        <f>IFERROR(__xludf.DUMMYFUNCTION("""COMPUTED_VALUE"""),"#VALUE!")</f>
        <v>#VALUE!</v>
      </c>
      <c r="J244" s="51" t="str">
        <f>IFERROR(__xludf.DUMMYFUNCTION("""COMPUTED_VALUE"""),"")</f>
        <v/>
      </c>
      <c r="K244" s="51"/>
      <c r="L244" s="51" t="s">
        <v>257</v>
      </c>
      <c r="M244" s="51"/>
      <c r="N244" s="51"/>
      <c r="O244" s="51"/>
      <c r="P244" s="51"/>
      <c r="Q244" s="51"/>
      <c r="R244" s="51"/>
      <c r="S244" s="51"/>
      <c r="T244" s="51"/>
    </row>
    <row r="245">
      <c r="A245" s="51"/>
      <c r="B245" s="51"/>
      <c r="C245" s="56"/>
      <c r="D245" s="51"/>
      <c r="E245" s="51"/>
      <c r="F245" s="51"/>
      <c r="G245" s="51" t="str">
        <f>IFERROR(__xludf.DUMMYFUNCTION("""COMPUTED_VALUE"""),"#VALUE!")</f>
        <v>#VALUE!</v>
      </c>
      <c r="H245" s="51" t="str">
        <f>IFERROR(__xludf.DUMMYFUNCTION("""COMPUTED_VALUE"""),"")</f>
        <v/>
      </c>
      <c r="I245" s="51" t="str">
        <f>IFERROR(__xludf.DUMMYFUNCTION("""COMPUTED_VALUE"""),"#VALUE!")</f>
        <v>#VALUE!</v>
      </c>
      <c r="J245" s="51" t="str">
        <f>IFERROR(__xludf.DUMMYFUNCTION("""COMPUTED_VALUE"""),"")</f>
        <v/>
      </c>
      <c r="K245" s="51"/>
      <c r="L245" s="51" t="s">
        <v>257</v>
      </c>
      <c r="M245" s="51"/>
      <c r="N245" s="51"/>
      <c r="O245" s="51"/>
      <c r="P245" s="51"/>
      <c r="Q245" s="51"/>
      <c r="R245" s="51"/>
      <c r="S245" s="51"/>
      <c r="T245" s="51"/>
    </row>
    <row r="246">
      <c r="A246" s="51"/>
      <c r="B246" s="51"/>
      <c r="C246" s="56"/>
      <c r="D246" s="51"/>
      <c r="E246" s="51"/>
      <c r="F246" s="51"/>
      <c r="G246" s="51" t="str">
        <f>IFERROR(__xludf.DUMMYFUNCTION("""COMPUTED_VALUE"""),"#VALUE!")</f>
        <v>#VALUE!</v>
      </c>
      <c r="H246" s="51" t="str">
        <f>IFERROR(__xludf.DUMMYFUNCTION("""COMPUTED_VALUE"""),"")</f>
        <v/>
      </c>
      <c r="I246" s="51" t="str">
        <f>IFERROR(__xludf.DUMMYFUNCTION("""COMPUTED_VALUE"""),"#VALUE!")</f>
        <v>#VALUE!</v>
      </c>
      <c r="J246" s="51" t="str">
        <f>IFERROR(__xludf.DUMMYFUNCTION("""COMPUTED_VALUE"""),"")</f>
        <v/>
      </c>
      <c r="K246" s="51"/>
      <c r="L246" s="51" t="s">
        <v>257</v>
      </c>
      <c r="M246" s="51"/>
      <c r="N246" s="51"/>
      <c r="O246" s="51"/>
      <c r="P246" s="51"/>
      <c r="Q246" s="51"/>
      <c r="R246" s="51"/>
      <c r="S246" s="51"/>
      <c r="T246" s="51"/>
    </row>
    <row r="247">
      <c r="A247" s="51"/>
      <c r="B247" s="51"/>
      <c r="C247" s="56"/>
      <c r="D247" s="51"/>
      <c r="E247" s="51"/>
      <c r="F247" s="51"/>
      <c r="G247" s="51" t="str">
        <f>IFERROR(__xludf.DUMMYFUNCTION("""COMPUTED_VALUE"""),"#VALUE!")</f>
        <v>#VALUE!</v>
      </c>
      <c r="H247" s="51" t="str">
        <f>IFERROR(__xludf.DUMMYFUNCTION("""COMPUTED_VALUE"""),"")</f>
        <v/>
      </c>
      <c r="I247" s="51" t="str">
        <f>IFERROR(__xludf.DUMMYFUNCTION("""COMPUTED_VALUE"""),"#VALUE!")</f>
        <v>#VALUE!</v>
      </c>
      <c r="J247" s="51" t="str">
        <f>IFERROR(__xludf.DUMMYFUNCTION("""COMPUTED_VALUE"""),"")</f>
        <v/>
      </c>
      <c r="K247" s="51"/>
      <c r="L247" s="51" t="s">
        <v>257</v>
      </c>
      <c r="M247" s="51"/>
      <c r="N247" s="51"/>
      <c r="O247" s="51"/>
      <c r="P247" s="51"/>
      <c r="Q247" s="51"/>
      <c r="R247" s="51"/>
      <c r="S247" s="51"/>
      <c r="T247" s="51"/>
    </row>
    <row r="248">
      <c r="A248" s="51"/>
      <c r="B248" s="51"/>
      <c r="C248" s="56"/>
      <c r="D248" s="51"/>
      <c r="E248" s="51"/>
      <c r="F248" s="51"/>
      <c r="G248" s="51" t="str">
        <f>IFERROR(__xludf.DUMMYFUNCTION("""COMPUTED_VALUE"""),"#VALUE!")</f>
        <v>#VALUE!</v>
      </c>
      <c r="H248" s="51" t="str">
        <f>IFERROR(__xludf.DUMMYFUNCTION("""COMPUTED_VALUE"""),"")</f>
        <v/>
      </c>
      <c r="I248" s="51" t="str">
        <f>IFERROR(__xludf.DUMMYFUNCTION("""COMPUTED_VALUE"""),"#VALUE!")</f>
        <v>#VALUE!</v>
      </c>
      <c r="J248" s="51" t="str">
        <f>IFERROR(__xludf.DUMMYFUNCTION("""COMPUTED_VALUE"""),"")</f>
        <v/>
      </c>
      <c r="K248" s="51"/>
      <c r="L248" s="51" t="s">
        <v>257</v>
      </c>
      <c r="M248" s="51"/>
      <c r="N248" s="51"/>
      <c r="O248" s="51"/>
      <c r="P248" s="51"/>
      <c r="Q248" s="51"/>
      <c r="R248" s="51"/>
      <c r="S248" s="51"/>
      <c r="T248" s="51"/>
    </row>
    <row r="249">
      <c r="A249" s="51"/>
      <c r="B249" s="51"/>
      <c r="C249" s="56"/>
      <c r="D249" s="51"/>
      <c r="E249" s="51"/>
      <c r="F249" s="51"/>
      <c r="G249" s="51" t="str">
        <f>IFERROR(__xludf.DUMMYFUNCTION("""COMPUTED_VALUE"""),"#VALUE!")</f>
        <v>#VALUE!</v>
      </c>
      <c r="H249" s="51" t="str">
        <f>IFERROR(__xludf.DUMMYFUNCTION("""COMPUTED_VALUE"""),"")</f>
        <v/>
      </c>
      <c r="I249" s="51" t="str">
        <f>IFERROR(__xludf.DUMMYFUNCTION("""COMPUTED_VALUE"""),"#VALUE!")</f>
        <v>#VALUE!</v>
      </c>
      <c r="J249" s="51" t="str">
        <f>IFERROR(__xludf.DUMMYFUNCTION("""COMPUTED_VALUE"""),"")</f>
        <v/>
      </c>
      <c r="K249" s="51"/>
      <c r="L249" s="51" t="s">
        <v>257</v>
      </c>
      <c r="M249" s="51"/>
      <c r="N249" s="51"/>
      <c r="O249" s="51"/>
      <c r="P249" s="51"/>
      <c r="Q249" s="51"/>
      <c r="R249" s="51"/>
      <c r="S249" s="51"/>
      <c r="T249" s="51"/>
    </row>
    <row r="250">
      <c r="A250" s="51"/>
      <c r="B250" s="51"/>
      <c r="C250" s="56"/>
      <c r="D250" s="51"/>
      <c r="E250" s="51"/>
      <c r="F250" s="51"/>
      <c r="G250" s="51" t="str">
        <f>IFERROR(__xludf.DUMMYFUNCTION("""COMPUTED_VALUE"""),"#VALUE!")</f>
        <v>#VALUE!</v>
      </c>
      <c r="H250" s="51" t="str">
        <f>IFERROR(__xludf.DUMMYFUNCTION("""COMPUTED_VALUE"""),"")</f>
        <v/>
      </c>
      <c r="I250" s="51" t="str">
        <f>IFERROR(__xludf.DUMMYFUNCTION("""COMPUTED_VALUE"""),"#VALUE!")</f>
        <v>#VALUE!</v>
      </c>
      <c r="J250" s="51" t="str">
        <f>IFERROR(__xludf.DUMMYFUNCTION("""COMPUTED_VALUE"""),"")</f>
        <v/>
      </c>
      <c r="K250" s="51"/>
      <c r="L250" s="51" t="s">
        <v>257</v>
      </c>
      <c r="M250" s="51"/>
      <c r="N250" s="51"/>
      <c r="O250" s="51"/>
      <c r="P250" s="51"/>
      <c r="Q250" s="51"/>
      <c r="R250" s="51"/>
      <c r="S250" s="51"/>
      <c r="T250" s="51"/>
    </row>
    <row r="251">
      <c r="A251" s="51"/>
      <c r="B251" s="51"/>
      <c r="C251" s="56"/>
      <c r="D251" s="51"/>
      <c r="E251" s="51"/>
      <c r="F251" s="51"/>
      <c r="G251" s="51" t="str">
        <f>IFERROR(__xludf.DUMMYFUNCTION("""COMPUTED_VALUE"""),"#VALUE!")</f>
        <v>#VALUE!</v>
      </c>
      <c r="H251" s="51" t="str">
        <f>IFERROR(__xludf.DUMMYFUNCTION("""COMPUTED_VALUE"""),"")</f>
        <v/>
      </c>
      <c r="I251" s="51" t="str">
        <f>IFERROR(__xludf.DUMMYFUNCTION("""COMPUTED_VALUE"""),"#VALUE!")</f>
        <v>#VALUE!</v>
      </c>
      <c r="J251" s="51" t="str">
        <f>IFERROR(__xludf.DUMMYFUNCTION("""COMPUTED_VALUE"""),"")</f>
        <v/>
      </c>
      <c r="K251" s="51"/>
      <c r="L251" s="51" t="s">
        <v>257</v>
      </c>
      <c r="M251" s="51"/>
      <c r="N251" s="51"/>
      <c r="O251" s="51"/>
      <c r="P251" s="51"/>
      <c r="Q251" s="51"/>
      <c r="R251" s="51"/>
      <c r="S251" s="51"/>
      <c r="T251" s="51"/>
    </row>
    <row r="252">
      <c r="A252" s="51"/>
      <c r="B252" s="51"/>
      <c r="C252" s="56"/>
      <c r="D252" s="51"/>
      <c r="E252" s="51"/>
      <c r="F252" s="51"/>
      <c r="G252" s="51" t="str">
        <f>IFERROR(__xludf.DUMMYFUNCTION("""COMPUTED_VALUE"""),"#VALUE!")</f>
        <v>#VALUE!</v>
      </c>
      <c r="H252" s="51" t="str">
        <f>IFERROR(__xludf.DUMMYFUNCTION("""COMPUTED_VALUE"""),"")</f>
        <v/>
      </c>
      <c r="I252" s="51" t="str">
        <f>IFERROR(__xludf.DUMMYFUNCTION("""COMPUTED_VALUE"""),"#VALUE!")</f>
        <v>#VALUE!</v>
      </c>
      <c r="J252" s="51" t="str">
        <f>IFERROR(__xludf.DUMMYFUNCTION("""COMPUTED_VALUE"""),"")</f>
        <v/>
      </c>
      <c r="K252" s="51"/>
      <c r="L252" s="51" t="s">
        <v>257</v>
      </c>
      <c r="M252" s="51"/>
      <c r="N252" s="51"/>
      <c r="O252" s="51"/>
      <c r="P252" s="51"/>
      <c r="Q252" s="51"/>
      <c r="R252" s="51"/>
      <c r="S252" s="51"/>
      <c r="T252" s="51"/>
    </row>
    <row r="253">
      <c r="A253" s="51"/>
      <c r="B253" s="51"/>
      <c r="C253" s="56"/>
      <c r="D253" s="51"/>
      <c r="E253" s="51"/>
      <c r="F253" s="51"/>
      <c r="G253" s="51" t="str">
        <f>IFERROR(__xludf.DUMMYFUNCTION("""COMPUTED_VALUE"""),"#VALUE!")</f>
        <v>#VALUE!</v>
      </c>
      <c r="H253" s="51" t="str">
        <f>IFERROR(__xludf.DUMMYFUNCTION("""COMPUTED_VALUE"""),"")</f>
        <v/>
      </c>
      <c r="I253" s="51" t="str">
        <f>IFERROR(__xludf.DUMMYFUNCTION("""COMPUTED_VALUE"""),"#VALUE!")</f>
        <v>#VALUE!</v>
      </c>
      <c r="J253" s="51" t="str">
        <f>IFERROR(__xludf.DUMMYFUNCTION("""COMPUTED_VALUE"""),"")</f>
        <v/>
      </c>
      <c r="K253" s="51"/>
      <c r="L253" s="51" t="s">
        <v>257</v>
      </c>
      <c r="M253" s="51"/>
      <c r="N253" s="51"/>
      <c r="O253" s="51"/>
      <c r="P253" s="51"/>
      <c r="Q253" s="51"/>
      <c r="R253" s="51"/>
      <c r="S253" s="51"/>
      <c r="T253" s="51"/>
    </row>
    <row r="254">
      <c r="A254" s="51"/>
      <c r="B254" s="51"/>
      <c r="C254" s="56"/>
      <c r="D254" s="51"/>
      <c r="E254" s="51"/>
      <c r="F254" s="51"/>
      <c r="G254" s="51" t="str">
        <f>IFERROR(__xludf.DUMMYFUNCTION("""COMPUTED_VALUE"""),"#VALUE!")</f>
        <v>#VALUE!</v>
      </c>
      <c r="H254" s="51" t="str">
        <f>IFERROR(__xludf.DUMMYFUNCTION("""COMPUTED_VALUE"""),"")</f>
        <v/>
      </c>
      <c r="I254" s="51" t="str">
        <f>IFERROR(__xludf.DUMMYFUNCTION("""COMPUTED_VALUE"""),"#VALUE!")</f>
        <v>#VALUE!</v>
      </c>
      <c r="J254" s="51" t="str">
        <f>IFERROR(__xludf.DUMMYFUNCTION("""COMPUTED_VALUE"""),"")</f>
        <v/>
      </c>
      <c r="K254" s="51"/>
      <c r="L254" s="51" t="s">
        <v>257</v>
      </c>
      <c r="M254" s="51"/>
      <c r="N254" s="51"/>
      <c r="O254" s="51"/>
      <c r="P254" s="51"/>
      <c r="Q254" s="51"/>
      <c r="R254" s="51"/>
      <c r="S254" s="51"/>
      <c r="T254" s="51"/>
    </row>
    <row r="255">
      <c r="A255" s="51"/>
      <c r="B255" s="51"/>
      <c r="C255" s="56"/>
      <c r="D255" s="51"/>
      <c r="E255" s="51"/>
      <c r="F255" s="51"/>
      <c r="G255" s="51" t="str">
        <f>IFERROR(__xludf.DUMMYFUNCTION("""COMPUTED_VALUE"""),"#VALUE!")</f>
        <v>#VALUE!</v>
      </c>
      <c r="H255" s="51" t="str">
        <f>IFERROR(__xludf.DUMMYFUNCTION("""COMPUTED_VALUE"""),"")</f>
        <v/>
      </c>
      <c r="I255" s="51" t="str">
        <f>IFERROR(__xludf.DUMMYFUNCTION("""COMPUTED_VALUE"""),"#VALUE!")</f>
        <v>#VALUE!</v>
      </c>
      <c r="J255" s="51" t="str">
        <f>IFERROR(__xludf.DUMMYFUNCTION("""COMPUTED_VALUE"""),"")</f>
        <v/>
      </c>
      <c r="K255" s="51"/>
      <c r="L255" s="51" t="s">
        <v>257</v>
      </c>
      <c r="M255" s="51"/>
      <c r="N255" s="51"/>
      <c r="O255" s="51"/>
      <c r="P255" s="51"/>
      <c r="Q255" s="51"/>
      <c r="R255" s="51"/>
      <c r="S255" s="51"/>
      <c r="T255" s="51"/>
    </row>
    <row r="256">
      <c r="A256" s="51"/>
      <c r="B256" s="51"/>
      <c r="C256" s="56"/>
      <c r="D256" s="51"/>
      <c r="E256" s="51"/>
      <c r="F256" s="51"/>
      <c r="G256" s="51" t="str">
        <f>IFERROR(__xludf.DUMMYFUNCTION("""COMPUTED_VALUE"""),"#VALUE!")</f>
        <v>#VALUE!</v>
      </c>
      <c r="H256" s="51" t="str">
        <f>IFERROR(__xludf.DUMMYFUNCTION("""COMPUTED_VALUE"""),"")</f>
        <v/>
      </c>
      <c r="I256" s="51" t="str">
        <f>IFERROR(__xludf.DUMMYFUNCTION("""COMPUTED_VALUE"""),"#VALUE!")</f>
        <v>#VALUE!</v>
      </c>
      <c r="J256" s="51" t="str">
        <f>IFERROR(__xludf.DUMMYFUNCTION("""COMPUTED_VALUE"""),"")</f>
        <v/>
      </c>
      <c r="K256" s="51"/>
      <c r="L256" s="51" t="s">
        <v>257</v>
      </c>
      <c r="M256" s="51"/>
      <c r="N256" s="51"/>
      <c r="O256" s="51"/>
      <c r="P256" s="51"/>
      <c r="Q256" s="51"/>
      <c r="R256" s="51"/>
      <c r="S256" s="51"/>
      <c r="T256" s="51"/>
    </row>
    <row r="257">
      <c r="A257" s="51"/>
      <c r="B257" s="51"/>
      <c r="C257" s="56"/>
      <c r="D257" s="51"/>
      <c r="E257" s="51"/>
      <c r="F257" s="51"/>
      <c r="G257" s="51" t="str">
        <f>IFERROR(__xludf.DUMMYFUNCTION("""COMPUTED_VALUE"""),"#VALUE!")</f>
        <v>#VALUE!</v>
      </c>
      <c r="H257" s="51" t="str">
        <f>IFERROR(__xludf.DUMMYFUNCTION("""COMPUTED_VALUE"""),"")</f>
        <v/>
      </c>
      <c r="I257" s="51" t="str">
        <f>IFERROR(__xludf.DUMMYFUNCTION("""COMPUTED_VALUE"""),"#VALUE!")</f>
        <v>#VALUE!</v>
      </c>
      <c r="J257" s="51" t="str">
        <f>IFERROR(__xludf.DUMMYFUNCTION("""COMPUTED_VALUE"""),"")</f>
        <v/>
      </c>
      <c r="K257" s="51"/>
      <c r="L257" s="51" t="s">
        <v>257</v>
      </c>
      <c r="M257" s="51"/>
      <c r="N257" s="51"/>
      <c r="O257" s="51"/>
      <c r="P257" s="51"/>
      <c r="Q257" s="51"/>
      <c r="R257" s="51"/>
      <c r="S257" s="51"/>
      <c r="T257" s="51"/>
    </row>
    <row r="258">
      <c r="A258" s="51"/>
      <c r="B258" s="51"/>
      <c r="C258" s="56"/>
      <c r="D258" s="51"/>
      <c r="E258" s="51"/>
      <c r="F258" s="51"/>
      <c r="G258" s="51" t="str">
        <f>IFERROR(__xludf.DUMMYFUNCTION("""COMPUTED_VALUE"""),"#VALUE!")</f>
        <v>#VALUE!</v>
      </c>
      <c r="H258" s="51" t="str">
        <f>IFERROR(__xludf.DUMMYFUNCTION("""COMPUTED_VALUE"""),"")</f>
        <v/>
      </c>
      <c r="I258" s="51" t="str">
        <f>IFERROR(__xludf.DUMMYFUNCTION("""COMPUTED_VALUE"""),"#VALUE!")</f>
        <v>#VALUE!</v>
      </c>
      <c r="J258" s="51" t="str">
        <f>IFERROR(__xludf.DUMMYFUNCTION("""COMPUTED_VALUE"""),"")</f>
        <v/>
      </c>
      <c r="K258" s="51"/>
      <c r="L258" s="51" t="s">
        <v>257</v>
      </c>
      <c r="M258" s="51"/>
      <c r="N258" s="51"/>
      <c r="O258" s="51"/>
      <c r="P258" s="51"/>
      <c r="Q258" s="51"/>
      <c r="R258" s="51"/>
      <c r="S258" s="51"/>
      <c r="T258" s="51"/>
    </row>
    <row r="259">
      <c r="A259" s="51"/>
      <c r="B259" s="51"/>
      <c r="C259" s="56"/>
      <c r="D259" s="51"/>
      <c r="E259" s="51"/>
      <c r="F259" s="51"/>
      <c r="G259" s="51" t="str">
        <f>IFERROR(__xludf.DUMMYFUNCTION("""COMPUTED_VALUE"""),"#VALUE!")</f>
        <v>#VALUE!</v>
      </c>
      <c r="H259" s="51" t="str">
        <f>IFERROR(__xludf.DUMMYFUNCTION("""COMPUTED_VALUE"""),"")</f>
        <v/>
      </c>
      <c r="I259" s="51" t="str">
        <f>IFERROR(__xludf.DUMMYFUNCTION("""COMPUTED_VALUE"""),"#VALUE!")</f>
        <v>#VALUE!</v>
      </c>
      <c r="J259" s="51" t="str">
        <f>IFERROR(__xludf.DUMMYFUNCTION("""COMPUTED_VALUE"""),"")</f>
        <v/>
      </c>
      <c r="K259" s="51"/>
      <c r="L259" s="51" t="s">
        <v>257</v>
      </c>
      <c r="M259" s="51"/>
      <c r="N259" s="51"/>
      <c r="O259" s="51"/>
      <c r="P259" s="51"/>
      <c r="Q259" s="51"/>
      <c r="R259" s="51"/>
      <c r="S259" s="51"/>
      <c r="T259" s="51"/>
    </row>
    <row r="260">
      <c r="A260" s="51"/>
      <c r="B260" s="51"/>
      <c r="C260" s="56"/>
      <c r="D260" s="51"/>
      <c r="E260" s="51"/>
      <c r="F260" s="51"/>
      <c r="G260" s="51" t="str">
        <f>IFERROR(__xludf.DUMMYFUNCTION("""COMPUTED_VALUE"""),"#VALUE!")</f>
        <v>#VALUE!</v>
      </c>
      <c r="H260" s="51" t="str">
        <f>IFERROR(__xludf.DUMMYFUNCTION("""COMPUTED_VALUE"""),"")</f>
        <v/>
      </c>
      <c r="I260" s="51" t="str">
        <f>IFERROR(__xludf.DUMMYFUNCTION("""COMPUTED_VALUE"""),"#VALUE!")</f>
        <v>#VALUE!</v>
      </c>
      <c r="J260" s="51" t="str">
        <f>IFERROR(__xludf.DUMMYFUNCTION("""COMPUTED_VALUE"""),"")</f>
        <v/>
      </c>
      <c r="K260" s="51"/>
      <c r="L260" s="51" t="s">
        <v>257</v>
      </c>
      <c r="M260" s="51"/>
      <c r="N260" s="51"/>
      <c r="O260" s="51"/>
      <c r="P260" s="51"/>
      <c r="Q260" s="51"/>
      <c r="R260" s="51"/>
      <c r="S260" s="51"/>
      <c r="T260" s="51"/>
    </row>
    <row r="261">
      <c r="A261" s="51"/>
      <c r="B261" s="51"/>
      <c r="C261" s="56"/>
      <c r="D261" s="51"/>
      <c r="E261" s="51"/>
      <c r="F261" s="51"/>
      <c r="G261" s="51" t="str">
        <f>IFERROR(__xludf.DUMMYFUNCTION("""COMPUTED_VALUE"""),"#VALUE!")</f>
        <v>#VALUE!</v>
      </c>
      <c r="H261" s="51" t="str">
        <f>IFERROR(__xludf.DUMMYFUNCTION("""COMPUTED_VALUE"""),"")</f>
        <v/>
      </c>
      <c r="I261" s="51" t="str">
        <f>IFERROR(__xludf.DUMMYFUNCTION("""COMPUTED_VALUE"""),"#VALUE!")</f>
        <v>#VALUE!</v>
      </c>
      <c r="J261" s="51" t="str">
        <f>IFERROR(__xludf.DUMMYFUNCTION("""COMPUTED_VALUE"""),"")</f>
        <v/>
      </c>
      <c r="K261" s="51"/>
      <c r="L261" s="51" t="s">
        <v>257</v>
      </c>
      <c r="M261" s="51"/>
      <c r="N261" s="51"/>
      <c r="O261" s="51"/>
      <c r="P261" s="51"/>
      <c r="Q261" s="51"/>
      <c r="R261" s="51"/>
      <c r="S261" s="51"/>
      <c r="T261" s="51"/>
    </row>
    <row r="262">
      <c r="A262" s="51"/>
      <c r="B262" s="51"/>
      <c r="C262" s="56"/>
      <c r="D262" s="51"/>
      <c r="E262" s="51"/>
      <c r="F262" s="51"/>
      <c r="G262" s="51" t="str">
        <f>IFERROR(__xludf.DUMMYFUNCTION("""COMPUTED_VALUE"""),"#VALUE!")</f>
        <v>#VALUE!</v>
      </c>
      <c r="H262" s="51" t="str">
        <f>IFERROR(__xludf.DUMMYFUNCTION("""COMPUTED_VALUE"""),"")</f>
        <v/>
      </c>
      <c r="I262" s="51" t="str">
        <f>IFERROR(__xludf.DUMMYFUNCTION("""COMPUTED_VALUE"""),"#VALUE!")</f>
        <v>#VALUE!</v>
      </c>
      <c r="J262" s="51" t="str">
        <f>IFERROR(__xludf.DUMMYFUNCTION("""COMPUTED_VALUE"""),"")</f>
        <v/>
      </c>
      <c r="K262" s="51"/>
      <c r="L262" s="51" t="s">
        <v>257</v>
      </c>
      <c r="M262" s="51"/>
      <c r="N262" s="51"/>
      <c r="O262" s="51"/>
      <c r="P262" s="51"/>
      <c r="Q262" s="51"/>
      <c r="R262" s="51"/>
      <c r="S262" s="51"/>
      <c r="T262" s="51"/>
    </row>
    <row r="263">
      <c r="A263" s="51"/>
      <c r="B263" s="51"/>
      <c r="C263" s="56"/>
      <c r="D263" s="51"/>
      <c r="E263" s="51"/>
      <c r="F263" s="51"/>
      <c r="G263" s="51" t="str">
        <f>IFERROR(__xludf.DUMMYFUNCTION("""COMPUTED_VALUE"""),"#VALUE!")</f>
        <v>#VALUE!</v>
      </c>
      <c r="H263" s="51" t="str">
        <f>IFERROR(__xludf.DUMMYFUNCTION("""COMPUTED_VALUE"""),"")</f>
        <v/>
      </c>
      <c r="I263" s="51" t="str">
        <f>IFERROR(__xludf.DUMMYFUNCTION("""COMPUTED_VALUE"""),"#VALUE!")</f>
        <v>#VALUE!</v>
      </c>
      <c r="J263" s="51" t="str">
        <f>IFERROR(__xludf.DUMMYFUNCTION("""COMPUTED_VALUE"""),"")</f>
        <v/>
      </c>
      <c r="K263" s="51"/>
      <c r="L263" s="51" t="s">
        <v>257</v>
      </c>
      <c r="M263" s="51"/>
      <c r="N263" s="51"/>
      <c r="O263" s="51"/>
      <c r="P263" s="51"/>
      <c r="Q263" s="51"/>
      <c r="R263" s="51"/>
      <c r="S263" s="51"/>
      <c r="T263" s="51"/>
    </row>
    <row r="264">
      <c r="A264" s="51"/>
      <c r="B264" s="51"/>
      <c r="C264" s="56"/>
      <c r="D264" s="51"/>
      <c r="E264" s="51"/>
      <c r="F264" s="51"/>
      <c r="G264" s="51" t="str">
        <f>IFERROR(__xludf.DUMMYFUNCTION("""COMPUTED_VALUE"""),"#VALUE!")</f>
        <v>#VALUE!</v>
      </c>
      <c r="H264" s="51" t="str">
        <f>IFERROR(__xludf.DUMMYFUNCTION("""COMPUTED_VALUE"""),"")</f>
        <v/>
      </c>
      <c r="I264" s="51" t="str">
        <f>IFERROR(__xludf.DUMMYFUNCTION("""COMPUTED_VALUE"""),"#VALUE!")</f>
        <v>#VALUE!</v>
      </c>
      <c r="J264" s="51" t="str">
        <f>IFERROR(__xludf.DUMMYFUNCTION("""COMPUTED_VALUE"""),"")</f>
        <v/>
      </c>
      <c r="K264" s="51"/>
      <c r="L264" s="51" t="s">
        <v>257</v>
      </c>
      <c r="M264" s="51"/>
      <c r="N264" s="51"/>
      <c r="O264" s="51"/>
      <c r="P264" s="51"/>
      <c r="Q264" s="51"/>
      <c r="R264" s="51"/>
      <c r="S264" s="51"/>
      <c r="T264" s="51"/>
    </row>
    <row r="265">
      <c r="A265" s="51"/>
      <c r="B265" s="51"/>
      <c r="C265" s="56"/>
      <c r="D265" s="51"/>
      <c r="E265" s="51"/>
      <c r="F265" s="51"/>
      <c r="G265" s="51" t="str">
        <f>IFERROR(__xludf.DUMMYFUNCTION("""COMPUTED_VALUE"""),"#VALUE!")</f>
        <v>#VALUE!</v>
      </c>
      <c r="H265" s="51" t="str">
        <f>IFERROR(__xludf.DUMMYFUNCTION("""COMPUTED_VALUE"""),"")</f>
        <v/>
      </c>
      <c r="I265" s="51" t="str">
        <f>IFERROR(__xludf.DUMMYFUNCTION("""COMPUTED_VALUE"""),"#VALUE!")</f>
        <v>#VALUE!</v>
      </c>
      <c r="J265" s="51" t="str">
        <f>IFERROR(__xludf.DUMMYFUNCTION("""COMPUTED_VALUE"""),"")</f>
        <v/>
      </c>
      <c r="K265" s="51"/>
      <c r="L265" s="51" t="s">
        <v>257</v>
      </c>
      <c r="M265" s="51"/>
      <c r="N265" s="51"/>
      <c r="O265" s="51"/>
      <c r="P265" s="51"/>
      <c r="Q265" s="51"/>
      <c r="R265" s="51"/>
      <c r="S265" s="51"/>
      <c r="T265" s="51"/>
    </row>
    <row r="266">
      <c r="A266" s="51"/>
      <c r="B266" s="51"/>
      <c r="C266" s="56"/>
      <c r="D266" s="51"/>
      <c r="E266" s="51"/>
      <c r="F266" s="51"/>
      <c r="G266" s="51" t="str">
        <f>IFERROR(__xludf.DUMMYFUNCTION("""COMPUTED_VALUE"""),"#VALUE!")</f>
        <v>#VALUE!</v>
      </c>
      <c r="H266" s="51" t="str">
        <f>IFERROR(__xludf.DUMMYFUNCTION("""COMPUTED_VALUE"""),"")</f>
        <v/>
      </c>
      <c r="I266" s="51" t="str">
        <f>IFERROR(__xludf.DUMMYFUNCTION("""COMPUTED_VALUE"""),"#VALUE!")</f>
        <v>#VALUE!</v>
      </c>
      <c r="J266" s="51" t="str">
        <f>IFERROR(__xludf.DUMMYFUNCTION("""COMPUTED_VALUE"""),"")</f>
        <v/>
      </c>
      <c r="K266" s="51"/>
      <c r="L266" s="51" t="s">
        <v>257</v>
      </c>
      <c r="M266" s="51"/>
      <c r="N266" s="51"/>
      <c r="O266" s="51"/>
      <c r="P266" s="51"/>
      <c r="Q266" s="51"/>
      <c r="R266" s="51"/>
      <c r="S266" s="51"/>
      <c r="T266" s="51"/>
    </row>
    <row r="267">
      <c r="A267" s="51"/>
      <c r="B267" s="51"/>
      <c r="C267" s="56"/>
      <c r="D267" s="51"/>
      <c r="E267" s="51"/>
      <c r="F267" s="51"/>
      <c r="G267" s="51" t="str">
        <f>IFERROR(__xludf.DUMMYFUNCTION("""COMPUTED_VALUE"""),"#VALUE!")</f>
        <v>#VALUE!</v>
      </c>
      <c r="H267" s="51" t="str">
        <f>IFERROR(__xludf.DUMMYFUNCTION("""COMPUTED_VALUE"""),"")</f>
        <v/>
      </c>
      <c r="I267" s="51" t="str">
        <f>IFERROR(__xludf.DUMMYFUNCTION("""COMPUTED_VALUE"""),"#VALUE!")</f>
        <v>#VALUE!</v>
      </c>
      <c r="J267" s="51" t="str">
        <f>IFERROR(__xludf.DUMMYFUNCTION("""COMPUTED_VALUE"""),"")</f>
        <v/>
      </c>
      <c r="K267" s="51"/>
      <c r="L267" s="51" t="s">
        <v>257</v>
      </c>
      <c r="M267" s="51"/>
      <c r="N267" s="51"/>
      <c r="O267" s="51"/>
      <c r="P267" s="51"/>
      <c r="Q267" s="51"/>
      <c r="R267" s="51"/>
      <c r="S267" s="51"/>
      <c r="T267" s="51"/>
    </row>
    <row r="268">
      <c r="A268" s="51"/>
      <c r="B268" s="51"/>
      <c r="C268" s="56"/>
      <c r="D268" s="51"/>
      <c r="E268" s="51"/>
      <c r="F268" s="51"/>
      <c r="G268" s="51" t="str">
        <f>IFERROR(__xludf.DUMMYFUNCTION("""COMPUTED_VALUE"""),"#VALUE!")</f>
        <v>#VALUE!</v>
      </c>
      <c r="H268" s="51" t="str">
        <f>IFERROR(__xludf.DUMMYFUNCTION("""COMPUTED_VALUE"""),"")</f>
        <v/>
      </c>
      <c r="I268" s="51" t="str">
        <f>IFERROR(__xludf.DUMMYFUNCTION("""COMPUTED_VALUE"""),"#VALUE!")</f>
        <v>#VALUE!</v>
      </c>
      <c r="J268" s="51" t="str">
        <f>IFERROR(__xludf.DUMMYFUNCTION("""COMPUTED_VALUE"""),"")</f>
        <v/>
      </c>
      <c r="K268" s="51"/>
      <c r="L268" s="51" t="s">
        <v>257</v>
      </c>
      <c r="M268" s="51"/>
      <c r="N268" s="51"/>
      <c r="O268" s="51"/>
      <c r="P268" s="51"/>
      <c r="Q268" s="51"/>
      <c r="R268" s="51"/>
      <c r="S268" s="51"/>
      <c r="T268" s="51"/>
    </row>
    <row r="269">
      <c r="A269" s="51"/>
      <c r="B269" s="51"/>
      <c r="C269" s="56"/>
      <c r="D269" s="51"/>
      <c r="E269" s="51"/>
      <c r="F269" s="51"/>
      <c r="G269" s="51" t="str">
        <f>IFERROR(__xludf.DUMMYFUNCTION("""COMPUTED_VALUE"""),"#VALUE!")</f>
        <v>#VALUE!</v>
      </c>
      <c r="H269" s="51" t="str">
        <f>IFERROR(__xludf.DUMMYFUNCTION("""COMPUTED_VALUE"""),"")</f>
        <v/>
      </c>
      <c r="I269" s="51" t="str">
        <f>IFERROR(__xludf.DUMMYFUNCTION("""COMPUTED_VALUE"""),"#VALUE!")</f>
        <v>#VALUE!</v>
      </c>
      <c r="J269" s="51" t="str">
        <f>IFERROR(__xludf.DUMMYFUNCTION("""COMPUTED_VALUE"""),"")</f>
        <v/>
      </c>
      <c r="K269" s="51"/>
      <c r="L269" s="51" t="s">
        <v>257</v>
      </c>
      <c r="M269" s="51"/>
      <c r="N269" s="51"/>
      <c r="O269" s="51"/>
      <c r="P269" s="51"/>
      <c r="Q269" s="51"/>
      <c r="R269" s="51"/>
      <c r="S269" s="51"/>
      <c r="T269" s="51"/>
    </row>
    <row r="270">
      <c r="A270" s="51"/>
      <c r="B270" s="51"/>
      <c r="C270" s="56"/>
      <c r="D270" s="51"/>
      <c r="E270" s="51"/>
      <c r="F270" s="51"/>
      <c r="G270" s="51" t="str">
        <f>IFERROR(__xludf.DUMMYFUNCTION("""COMPUTED_VALUE"""),"#VALUE!")</f>
        <v>#VALUE!</v>
      </c>
      <c r="H270" s="51" t="str">
        <f>IFERROR(__xludf.DUMMYFUNCTION("""COMPUTED_VALUE"""),"")</f>
        <v/>
      </c>
      <c r="I270" s="51" t="str">
        <f>IFERROR(__xludf.DUMMYFUNCTION("""COMPUTED_VALUE"""),"#VALUE!")</f>
        <v>#VALUE!</v>
      </c>
      <c r="J270" s="51" t="str">
        <f>IFERROR(__xludf.DUMMYFUNCTION("""COMPUTED_VALUE"""),"")</f>
        <v/>
      </c>
      <c r="K270" s="51"/>
      <c r="L270" s="51" t="s">
        <v>257</v>
      </c>
      <c r="M270" s="51"/>
      <c r="N270" s="51"/>
      <c r="O270" s="51"/>
      <c r="P270" s="51"/>
      <c r="Q270" s="51"/>
      <c r="R270" s="51"/>
      <c r="S270" s="51"/>
      <c r="T270" s="51"/>
    </row>
    <row r="271">
      <c r="A271" s="51"/>
      <c r="B271" s="51"/>
      <c r="C271" s="56"/>
      <c r="D271" s="51"/>
      <c r="E271" s="51"/>
      <c r="F271" s="51"/>
      <c r="G271" s="51" t="str">
        <f>IFERROR(__xludf.DUMMYFUNCTION("""COMPUTED_VALUE"""),"#VALUE!")</f>
        <v>#VALUE!</v>
      </c>
      <c r="H271" s="51" t="str">
        <f>IFERROR(__xludf.DUMMYFUNCTION("""COMPUTED_VALUE"""),"")</f>
        <v/>
      </c>
      <c r="I271" s="51" t="str">
        <f>IFERROR(__xludf.DUMMYFUNCTION("""COMPUTED_VALUE"""),"#VALUE!")</f>
        <v>#VALUE!</v>
      </c>
      <c r="J271" s="51" t="str">
        <f>IFERROR(__xludf.DUMMYFUNCTION("""COMPUTED_VALUE"""),"")</f>
        <v/>
      </c>
      <c r="K271" s="51"/>
      <c r="L271" s="51" t="s">
        <v>257</v>
      </c>
      <c r="M271" s="51"/>
      <c r="N271" s="51"/>
      <c r="O271" s="51"/>
      <c r="P271" s="51"/>
      <c r="Q271" s="51"/>
      <c r="R271" s="51"/>
      <c r="S271" s="51"/>
      <c r="T271" s="51"/>
    </row>
    <row r="272">
      <c r="A272" s="51"/>
      <c r="B272" s="51"/>
      <c r="C272" s="56"/>
      <c r="D272" s="51"/>
      <c r="E272" s="51"/>
      <c r="F272" s="51"/>
      <c r="G272" s="51" t="str">
        <f>IFERROR(__xludf.DUMMYFUNCTION("""COMPUTED_VALUE"""),"#VALUE!")</f>
        <v>#VALUE!</v>
      </c>
      <c r="H272" s="51" t="str">
        <f>IFERROR(__xludf.DUMMYFUNCTION("""COMPUTED_VALUE"""),"")</f>
        <v/>
      </c>
      <c r="I272" s="51" t="str">
        <f>IFERROR(__xludf.DUMMYFUNCTION("""COMPUTED_VALUE"""),"#VALUE!")</f>
        <v>#VALUE!</v>
      </c>
      <c r="J272" s="51" t="str">
        <f>IFERROR(__xludf.DUMMYFUNCTION("""COMPUTED_VALUE"""),"")</f>
        <v/>
      </c>
      <c r="K272" s="51"/>
      <c r="L272" s="51" t="s">
        <v>257</v>
      </c>
      <c r="M272" s="51"/>
      <c r="N272" s="51"/>
      <c r="O272" s="51"/>
      <c r="P272" s="51"/>
      <c r="Q272" s="51"/>
      <c r="R272" s="51"/>
      <c r="S272" s="51"/>
      <c r="T272" s="51"/>
    </row>
    <row r="273">
      <c r="A273" s="51"/>
      <c r="B273" s="51"/>
      <c r="C273" s="56"/>
      <c r="D273" s="51"/>
      <c r="E273" s="51"/>
      <c r="F273" s="51"/>
      <c r="G273" s="51" t="str">
        <f>IFERROR(__xludf.DUMMYFUNCTION("""COMPUTED_VALUE"""),"#VALUE!")</f>
        <v>#VALUE!</v>
      </c>
      <c r="H273" s="51" t="str">
        <f>IFERROR(__xludf.DUMMYFUNCTION("""COMPUTED_VALUE"""),"")</f>
        <v/>
      </c>
      <c r="I273" s="51" t="str">
        <f>IFERROR(__xludf.DUMMYFUNCTION("""COMPUTED_VALUE"""),"#VALUE!")</f>
        <v>#VALUE!</v>
      </c>
      <c r="J273" s="51" t="str">
        <f>IFERROR(__xludf.DUMMYFUNCTION("""COMPUTED_VALUE"""),"")</f>
        <v/>
      </c>
      <c r="K273" s="51"/>
      <c r="L273" s="51" t="s">
        <v>257</v>
      </c>
      <c r="M273" s="51"/>
      <c r="N273" s="51"/>
      <c r="O273" s="51"/>
      <c r="P273" s="51"/>
      <c r="Q273" s="51"/>
      <c r="R273" s="51"/>
      <c r="S273" s="51"/>
      <c r="T273" s="51"/>
    </row>
    <row r="274">
      <c r="A274" s="51"/>
      <c r="B274" s="51"/>
      <c r="C274" s="56"/>
      <c r="D274" s="51"/>
      <c r="E274" s="51"/>
      <c r="F274" s="51"/>
      <c r="G274" s="51" t="str">
        <f>IFERROR(__xludf.DUMMYFUNCTION("""COMPUTED_VALUE"""),"#VALUE!")</f>
        <v>#VALUE!</v>
      </c>
      <c r="H274" s="51" t="str">
        <f>IFERROR(__xludf.DUMMYFUNCTION("""COMPUTED_VALUE"""),"")</f>
        <v/>
      </c>
      <c r="I274" s="51" t="str">
        <f>IFERROR(__xludf.DUMMYFUNCTION("""COMPUTED_VALUE"""),"#VALUE!")</f>
        <v>#VALUE!</v>
      </c>
      <c r="J274" s="51" t="str">
        <f>IFERROR(__xludf.DUMMYFUNCTION("""COMPUTED_VALUE"""),"")</f>
        <v/>
      </c>
      <c r="K274" s="51"/>
      <c r="L274" s="51" t="s">
        <v>257</v>
      </c>
      <c r="M274" s="51"/>
      <c r="N274" s="51"/>
      <c r="O274" s="51"/>
      <c r="P274" s="51"/>
      <c r="Q274" s="51"/>
      <c r="R274" s="51"/>
      <c r="S274" s="51"/>
      <c r="T274" s="51"/>
    </row>
    <row r="275">
      <c r="A275" s="51"/>
      <c r="B275" s="51"/>
      <c r="C275" s="56"/>
      <c r="D275" s="51"/>
      <c r="E275" s="51"/>
      <c r="F275" s="51"/>
      <c r="G275" s="51" t="str">
        <f>IFERROR(__xludf.DUMMYFUNCTION("""COMPUTED_VALUE"""),"#VALUE!")</f>
        <v>#VALUE!</v>
      </c>
      <c r="H275" s="51" t="str">
        <f>IFERROR(__xludf.DUMMYFUNCTION("""COMPUTED_VALUE"""),"")</f>
        <v/>
      </c>
      <c r="I275" s="51" t="str">
        <f>IFERROR(__xludf.DUMMYFUNCTION("""COMPUTED_VALUE"""),"#VALUE!")</f>
        <v>#VALUE!</v>
      </c>
      <c r="J275" s="51" t="str">
        <f>IFERROR(__xludf.DUMMYFUNCTION("""COMPUTED_VALUE"""),"")</f>
        <v/>
      </c>
      <c r="K275" s="51"/>
      <c r="L275" s="51" t="s">
        <v>257</v>
      </c>
      <c r="M275" s="51"/>
      <c r="N275" s="51"/>
      <c r="O275" s="51"/>
      <c r="P275" s="51"/>
      <c r="Q275" s="51"/>
      <c r="R275" s="51"/>
      <c r="S275" s="51"/>
      <c r="T275" s="51"/>
    </row>
    <row r="276">
      <c r="A276" s="51"/>
      <c r="B276" s="51"/>
      <c r="C276" s="56"/>
      <c r="D276" s="51"/>
      <c r="E276" s="51"/>
      <c r="F276" s="51"/>
      <c r="G276" s="51" t="str">
        <f>IFERROR(__xludf.DUMMYFUNCTION("""COMPUTED_VALUE"""),"#VALUE!")</f>
        <v>#VALUE!</v>
      </c>
      <c r="H276" s="51" t="str">
        <f>IFERROR(__xludf.DUMMYFUNCTION("""COMPUTED_VALUE"""),"")</f>
        <v/>
      </c>
      <c r="I276" s="51" t="str">
        <f>IFERROR(__xludf.DUMMYFUNCTION("""COMPUTED_VALUE"""),"#VALUE!")</f>
        <v>#VALUE!</v>
      </c>
      <c r="J276" s="51" t="str">
        <f>IFERROR(__xludf.DUMMYFUNCTION("""COMPUTED_VALUE"""),"")</f>
        <v/>
      </c>
      <c r="K276" s="51"/>
      <c r="L276" s="51" t="s">
        <v>257</v>
      </c>
      <c r="M276" s="51"/>
      <c r="N276" s="51"/>
      <c r="O276" s="51"/>
      <c r="P276" s="51"/>
      <c r="Q276" s="51"/>
      <c r="R276" s="51"/>
      <c r="S276" s="51"/>
      <c r="T276" s="51"/>
    </row>
    <row r="277">
      <c r="A277" s="51"/>
      <c r="B277" s="51"/>
      <c r="C277" s="56"/>
      <c r="D277" s="51"/>
      <c r="E277" s="51"/>
      <c r="F277" s="51"/>
      <c r="G277" s="51" t="str">
        <f>IFERROR(__xludf.DUMMYFUNCTION("""COMPUTED_VALUE"""),"#VALUE!")</f>
        <v>#VALUE!</v>
      </c>
      <c r="H277" s="51" t="str">
        <f>IFERROR(__xludf.DUMMYFUNCTION("""COMPUTED_VALUE"""),"")</f>
        <v/>
      </c>
      <c r="I277" s="51" t="str">
        <f>IFERROR(__xludf.DUMMYFUNCTION("""COMPUTED_VALUE"""),"#VALUE!")</f>
        <v>#VALUE!</v>
      </c>
      <c r="J277" s="51" t="str">
        <f>IFERROR(__xludf.DUMMYFUNCTION("""COMPUTED_VALUE"""),"")</f>
        <v/>
      </c>
      <c r="K277" s="51"/>
      <c r="L277" s="51" t="s">
        <v>257</v>
      </c>
      <c r="M277" s="51"/>
      <c r="N277" s="51"/>
      <c r="O277" s="51"/>
      <c r="P277" s="51"/>
      <c r="Q277" s="51"/>
      <c r="R277" s="51"/>
      <c r="S277" s="51"/>
      <c r="T277" s="51"/>
    </row>
    <row r="278">
      <c r="A278" s="51"/>
      <c r="B278" s="51"/>
      <c r="C278" s="56"/>
      <c r="D278" s="51"/>
      <c r="E278" s="51"/>
      <c r="F278" s="51"/>
      <c r="G278" s="51" t="str">
        <f>IFERROR(__xludf.DUMMYFUNCTION("""COMPUTED_VALUE"""),"#VALUE!")</f>
        <v>#VALUE!</v>
      </c>
      <c r="H278" s="51" t="str">
        <f>IFERROR(__xludf.DUMMYFUNCTION("""COMPUTED_VALUE"""),"")</f>
        <v/>
      </c>
      <c r="I278" s="51" t="str">
        <f>IFERROR(__xludf.DUMMYFUNCTION("""COMPUTED_VALUE"""),"#VALUE!")</f>
        <v>#VALUE!</v>
      </c>
      <c r="J278" s="51" t="str">
        <f>IFERROR(__xludf.DUMMYFUNCTION("""COMPUTED_VALUE"""),"")</f>
        <v/>
      </c>
      <c r="K278" s="51"/>
      <c r="L278" s="51" t="s">
        <v>257</v>
      </c>
      <c r="M278" s="51"/>
      <c r="N278" s="51"/>
      <c r="O278" s="51"/>
      <c r="P278" s="51"/>
      <c r="Q278" s="51"/>
      <c r="R278" s="51"/>
      <c r="S278" s="51"/>
      <c r="T278" s="51"/>
    </row>
    <row r="279">
      <c r="A279" s="51"/>
      <c r="B279" s="51"/>
      <c r="C279" s="56"/>
      <c r="D279" s="51"/>
      <c r="E279" s="51"/>
      <c r="F279" s="51"/>
      <c r="G279" s="51" t="str">
        <f>IFERROR(__xludf.DUMMYFUNCTION("""COMPUTED_VALUE"""),"#VALUE!")</f>
        <v>#VALUE!</v>
      </c>
      <c r="H279" s="51" t="str">
        <f>IFERROR(__xludf.DUMMYFUNCTION("""COMPUTED_VALUE"""),"")</f>
        <v/>
      </c>
      <c r="I279" s="51" t="str">
        <f>IFERROR(__xludf.DUMMYFUNCTION("""COMPUTED_VALUE"""),"#VALUE!")</f>
        <v>#VALUE!</v>
      </c>
      <c r="J279" s="51" t="str">
        <f>IFERROR(__xludf.DUMMYFUNCTION("""COMPUTED_VALUE"""),"")</f>
        <v/>
      </c>
      <c r="K279" s="51"/>
      <c r="L279" s="51" t="s">
        <v>257</v>
      </c>
      <c r="M279" s="51"/>
      <c r="N279" s="51"/>
      <c r="O279" s="51"/>
      <c r="P279" s="51"/>
      <c r="Q279" s="51"/>
      <c r="R279" s="51"/>
      <c r="S279" s="51"/>
      <c r="T279" s="51"/>
    </row>
    <row r="280">
      <c r="A280" s="51"/>
      <c r="B280" s="51"/>
      <c r="C280" s="56"/>
      <c r="D280" s="51"/>
      <c r="E280" s="51"/>
      <c r="F280" s="51"/>
      <c r="G280" s="51" t="str">
        <f>IFERROR(__xludf.DUMMYFUNCTION("""COMPUTED_VALUE"""),"#VALUE!")</f>
        <v>#VALUE!</v>
      </c>
      <c r="H280" s="51" t="str">
        <f>IFERROR(__xludf.DUMMYFUNCTION("""COMPUTED_VALUE"""),"")</f>
        <v/>
      </c>
      <c r="I280" s="51" t="str">
        <f>IFERROR(__xludf.DUMMYFUNCTION("""COMPUTED_VALUE"""),"#VALUE!")</f>
        <v>#VALUE!</v>
      </c>
      <c r="J280" s="51" t="str">
        <f>IFERROR(__xludf.DUMMYFUNCTION("""COMPUTED_VALUE"""),"")</f>
        <v/>
      </c>
      <c r="K280" s="51"/>
      <c r="L280" s="51" t="s">
        <v>257</v>
      </c>
      <c r="M280" s="51"/>
      <c r="N280" s="51"/>
      <c r="O280" s="51"/>
      <c r="P280" s="51"/>
      <c r="Q280" s="51"/>
      <c r="R280" s="51"/>
      <c r="S280" s="51"/>
      <c r="T280" s="51"/>
    </row>
    <row r="281">
      <c r="A281" s="51"/>
      <c r="B281" s="51"/>
      <c r="C281" s="56"/>
      <c r="D281" s="51"/>
      <c r="E281" s="51"/>
      <c r="F281" s="51"/>
      <c r="G281" s="51" t="str">
        <f>IFERROR(__xludf.DUMMYFUNCTION("""COMPUTED_VALUE"""),"#VALUE!")</f>
        <v>#VALUE!</v>
      </c>
      <c r="H281" s="51" t="str">
        <f>IFERROR(__xludf.DUMMYFUNCTION("""COMPUTED_VALUE"""),"")</f>
        <v/>
      </c>
      <c r="I281" s="51" t="str">
        <f>IFERROR(__xludf.DUMMYFUNCTION("""COMPUTED_VALUE"""),"#VALUE!")</f>
        <v>#VALUE!</v>
      </c>
      <c r="J281" s="51" t="str">
        <f>IFERROR(__xludf.DUMMYFUNCTION("""COMPUTED_VALUE"""),"")</f>
        <v/>
      </c>
      <c r="K281" s="51"/>
      <c r="L281" s="51" t="s">
        <v>257</v>
      </c>
      <c r="M281" s="51"/>
      <c r="N281" s="51"/>
      <c r="O281" s="51"/>
      <c r="P281" s="51"/>
      <c r="Q281" s="51"/>
      <c r="R281" s="51"/>
      <c r="S281" s="51"/>
      <c r="T281" s="51"/>
    </row>
    <row r="282">
      <c r="A282" s="51"/>
      <c r="B282" s="51"/>
      <c r="C282" s="56"/>
      <c r="D282" s="51"/>
      <c r="E282" s="51"/>
      <c r="F282" s="51"/>
      <c r="G282" s="51" t="str">
        <f>IFERROR(__xludf.DUMMYFUNCTION("""COMPUTED_VALUE"""),"#VALUE!")</f>
        <v>#VALUE!</v>
      </c>
      <c r="H282" s="51" t="str">
        <f>IFERROR(__xludf.DUMMYFUNCTION("""COMPUTED_VALUE"""),"")</f>
        <v/>
      </c>
      <c r="I282" s="51" t="str">
        <f>IFERROR(__xludf.DUMMYFUNCTION("""COMPUTED_VALUE"""),"#VALUE!")</f>
        <v>#VALUE!</v>
      </c>
      <c r="J282" s="51" t="str">
        <f>IFERROR(__xludf.DUMMYFUNCTION("""COMPUTED_VALUE"""),"")</f>
        <v/>
      </c>
      <c r="K282" s="51"/>
      <c r="L282" s="51" t="s">
        <v>257</v>
      </c>
      <c r="M282" s="51"/>
      <c r="N282" s="51"/>
      <c r="O282" s="51"/>
      <c r="P282" s="51"/>
      <c r="Q282" s="51"/>
      <c r="R282" s="51"/>
      <c r="S282" s="51"/>
      <c r="T282" s="51"/>
    </row>
    <row r="283">
      <c r="A283" s="51"/>
      <c r="B283" s="51"/>
      <c r="C283" s="56"/>
      <c r="D283" s="51"/>
      <c r="E283" s="51"/>
      <c r="F283" s="51"/>
      <c r="G283" s="51" t="str">
        <f>IFERROR(__xludf.DUMMYFUNCTION("""COMPUTED_VALUE"""),"#VALUE!")</f>
        <v>#VALUE!</v>
      </c>
      <c r="H283" s="51" t="str">
        <f>IFERROR(__xludf.DUMMYFUNCTION("""COMPUTED_VALUE"""),"")</f>
        <v/>
      </c>
      <c r="I283" s="51" t="str">
        <f>IFERROR(__xludf.DUMMYFUNCTION("""COMPUTED_VALUE"""),"#VALUE!")</f>
        <v>#VALUE!</v>
      </c>
      <c r="J283" s="51" t="str">
        <f>IFERROR(__xludf.DUMMYFUNCTION("""COMPUTED_VALUE"""),"")</f>
        <v/>
      </c>
      <c r="K283" s="51"/>
      <c r="L283" s="51" t="s">
        <v>257</v>
      </c>
      <c r="M283" s="51"/>
      <c r="N283" s="51"/>
      <c r="O283" s="51"/>
      <c r="P283" s="51"/>
      <c r="Q283" s="51"/>
      <c r="R283" s="51"/>
      <c r="S283" s="51"/>
      <c r="T283" s="51"/>
    </row>
    <row r="284">
      <c r="A284" s="51"/>
      <c r="B284" s="51"/>
      <c r="C284" s="56"/>
      <c r="D284" s="51"/>
      <c r="E284" s="51"/>
      <c r="F284" s="51"/>
      <c r="G284" s="51" t="str">
        <f>IFERROR(__xludf.DUMMYFUNCTION("""COMPUTED_VALUE"""),"#VALUE!")</f>
        <v>#VALUE!</v>
      </c>
      <c r="H284" s="51" t="str">
        <f>IFERROR(__xludf.DUMMYFUNCTION("""COMPUTED_VALUE"""),"")</f>
        <v/>
      </c>
      <c r="I284" s="51" t="str">
        <f>IFERROR(__xludf.DUMMYFUNCTION("""COMPUTED_VALUE"""),"#VALUE!")</f>
        <v>#VALUE!</v>
      </c>
      <c r="J284" s="51" t="str">
        <f>IFERROR(__xludf.DUMMYFUNCTION("""COMPUTED_VALUE"""),"")</f>
        <v/>
      </c>
      <c r="K284" s="51"/>
      <c r="L284" s="51" t="s">
        <v>257</v>
      </c>
      <c r="M284" s="51"/>
      <c r="N284" s="51"/>
      <c r="O284" s="51"/>
      <c r="P284" s="51"/>
      <c r="Q284" s="51"/>
      <c r="R284" s="51"/>
      <c r="S284" s="51"/>
      <c r="T284" s="51"/>
    </row>
    <row r="285">
      <c r="A285" s="51"/>
      <c r="B285" s="51"/>
      <c r="C285" s="56"/>
      <c r="D285" s="51"/>
      <c r="E285" s="51"/>
      <c r="F285" s="51"/>
      <c r="G285" s="51" t="str">
        <f>IFERROR(__xludf.DUMMYFUNCTION("""COMPUTED_VALUE"""),"#VALUE!")</f>
        <v>#VALUE!</v>
      </c>
      <c r="H285" s="51" t="str">
        <f>IFERROR(__xludf.DUMMYFUNCTION("""COMPUTED_VALUE"""),"")</f>
        <v/>
      </c>
      <c r="I285" s="51" t="str">
        <f>IFERROR(__xludf.DUMMYFUNCTION("""COMPUTED_VALUE"""),"#VALUE!")</f>
        <v>#VALUE!</v>
      </c>
      <c r="J285" s="51" t="str">
        <f>IFERROR(__xludf.DUMMYFUNCTION("""COMPUTED_VALUE"""),"")</f>
        <v/>
      </c>
      <c r="K285" s="51"/>
      <c r="L285" s="51" t="s">
        <v>257</v>
      </c>
      <c r="M285" s="51"/>
      <c r="N285" s="51"/>
      <c r="O285" s="51"/>
      <c r="P285" s="51"/>
      <c r="Q285" s="51"/>
      <c r="R285" s="51"/>
      <c r="S285" s="51"/>
      <c r="T285" s="51"/>
    </row>
    <row r="286">
      <c r="A286" s="51"/>
      <c r="B286" s="51"/>
      <c r="C286" s="56"/>
      <c r="D286" s="51"/>
      <c r="E286" s="51"/>
      <c r="F286" s="51"/>
      <c r="G286" s="51" t="str">
        <f>IFERROR(__xludf.DUMMYFUNCTION("""COMPUTED_VALUE"""),"#VALUE!")</f>
        <v>#VALUE!</v>
      </c>
      <c r="H286" s="51" t="str">
        <f>IFERROR(__xludf.DUMMYFUNCTION("""COMPUTED_VALUE"""),"")</f>
        <v/>
      </c>
      <c r="I286" s="51" t="str">
        <f>IFERROR(__xludf.DUMMYFUNCTION("""COMPUTED_VALUE"""),"#VALUE!")</f>
        <v>#VALUE!</v>
      </c>
      <c r="J286" s="51" t="str">
        <f>IFERROR(__xludf.DUMMYFUNCTION("""COMPUTED_VALUE"""),"")</f>
        <v/>
      </c>
      <c r="K286" s="51"/>
      <c r="L286" s="51" t="s">
        <v>257</v>
      </c>
      <c r="M286" s="51"/>
      <c r="N286" s="51"/>
      <c r="O286" s="51"/>
      <c r="P286" s="51"/>
      <c r="Q286" s="51"/>
      <c r="R286" s="51"/>
      <c r="S286" s="51"/>
      <c r="T286" s="51"/>
    </row>
    <row r="287">
      <c r="A287" s="51"/>
      <c r="B287" s="51"/>
      <c r="C287" s="56"/>
      <c r="D287" s="51"/>
      <c r="E287" s="51"/>
      <c r="F287" s="51"/>
      <c r="G287" s="51" t="str">
        <f>IFERROR(__xludf.DUMMYFUNCTION("""COMPUTED_VALUE"""),"#VALUE!")</f>
        <v>#VALUE!</v>
      </c>
      <c r="H287" s="51" t="str">
        <f>IFERROR(__xludf.DUMMYFUNCTION("""COMPUTED_VALUE"""),"")</f>
        <v/>
      </c>
      <c r="I287" s="51" t="str">
        <f>IFERROR(__xludf.DUMMYFUNCTION("""COMPUTED_VALUE"""),"#VALUE!")</f>
        <v>#VALUE!</v>
      </c>
      <c r="J287" s="51" t="str">
        <f>IFERROR(__xludf.DUMMYFUNCTION("""COMPUTED_VALUE"""),"")</f>
        <v/>
      </c>
      <c r="K287" s="51"/>
      <c r="L287" s="51" t="s">
        <v>257</v>
      </c>
      <c r="M287" s="51"/>
      <c r="N287" s="51"/>
      <c r="O287" s="51"/>
      <c r="P287" s="51"/>
      <c r="Q287" s="51"/>
      <c r="R287" s="51"/>
      <c r="S287" s="51"/>
      <c r="T287" s="51"/>
    </row>
    <row r="288">
      <c r="A288" s="51"/>
      <c r="B288" s="51"/>
      <c r="C288" s="56"/>
      <c r="D288" s="51"/>
      <c r="E288" s="51"/>
      <c r="F288" s="51"/>
      <c r="G288" s="51" t="str">
        <f>IFERROR(__xludf.DUMMYFUNCTION("""COMPUTED_VALUE"""),"#VALUE!")</f>
        <v>#VALUE!</v>
      </c>
      <c r="H288" s="51" t="str">
        <f>IFERROR(__xludf.DUMMYFUNCTION("""COMPUTED_VALUE"""),"")</f>
        <v/>
      </c>
      <c r="I288" s="51" t="str">
        <f>IFERROR(__xludf.DUMMYFUNCTION("""COMPUTED_VALUE"""),"#VALUE!")</f>
        <v>#VALUE!</v>
      </c>
      <c r="J288" s="51" t="str">
        <f>IFERROR(__xludf.DUMMYFUNCTION("""COMPUTED_VALUE"""),"")</f>
        <v/>
      </c>
      <c r="K288" s="51"/>
      <c r="L288" s="51" t="s">
        <v>257</v>
      </c>
      <c r="M288" s="51"/>
      <c r="N288" s="51"/>
      <c r="O288" s="51"/>
      <c r="P288" s="51"/>
      <c r="Q288" s="51"/>
      <c r="R288" s="51"/>
      <c r="S288" s="51"/>
      <c r="T288" s="51"/>
    </row>
    <row r="289">
      <c r="A289" s="51"/>
      <c r="B289" s="51"/>
      <c r="C289" s="56"/>
      <c r="D289" s="51"/>
      <c r="E289" s="51"/>
      <c r="F289" s="51"/>
      <c r="G289" s="51" t="str">
        <f>IFERROR(__xludf.DUMMYFUNCTION("""COMPUTED_VALUE"""),"#VALUE!")</f>
        <v>#VALUE!</v>
      </c>
      <c r="H289" s="51" t="str">
        <f>IFERROR(__xludf.DUMMYFUNCTION("""COMPUTED_VALUE"""),"")</f>
        <v/>
      </c>
      <c r="I289" s="51" t="str">
        <f>IFERROR(__xludf.DUMMYFUNCTION("""COMPUTED_VALUE"""),"#VALUE!")</f>
        <v>#VALUE!</v>
      </c>
      <c r="J289" s="51" t="str">
        <f>IFERROR(__xludf.DUMMYFUNCTION("""COMPUTED_VALUE"""),"")</f>
        <v/>
      </c>
      <c r="K289" s="51"/>
      <c r="L289" s="51" t="s">
        <v>257</v>
      </c>
      <c r="M289" s="51"/>
      <c r="N289" s="51"/>
      <c r="O289" s="51"/>
      <c r="P289" s="51"/>
      <c r="Q289" s="51"/>
      <c r="R289" s="51"/>
      <c r="S289" s="51"/>
      <c r="T289" s="51"/>
    </row>
    <row r="290">
      <c r="A290" s="51"/>
      <c r="B290" s="51"/>
      <c r="C290" s="56"/>
      <c r="D290" s="51"/>
      <c r="E290" s="51"/>
      <c r="F290" s="51"/>
      <c r="G290" s="51" t="str">
        <f>IFERROR(__xludf.DUMMYFUNCTION("""COMPUTED_VALUE"""),"#VALUE!")</f>
        <v>#VALUE!</v>
      </c>
      <c r="H290" s="51" t="str">
        <f>IFERROR(__xludf.DUMMYFUNCTION("""COMPUTED_VALUE"""),"")</f>
        <v/>
      </c>
      <c r="I290" s="51" t="str">
        <f>IFERROR(__xludf.DUMMYFUNCTION("""COMPUTED_VALUE"""),"#VALUE!")</f>
        <v>#VALUE!</v>
      </c>
      <c r="J290" s="51" t="str">
        <f>IFERROR(__xludf.DUMMYFUNCTION("""COMPUTED_VALUE"""),"")</f>
        <v/>
      </c>
      <c r="K290" s="51"/>
      <c r="L290" s="51" t="s">
        <v>257</v>
      </c>
      <c r="M290" s="51"/>
      <c r="N290" s="51"/>
      <c r="O290" s="51"/>
      <c r="P290" s="51"/>
      <c r="Q290" s="51"/>
      <c r="R290" s="51"/>
      <c r="S290" s="51"/>
      <c r="T290" s="51"/>
    </row>
    <row r="291">
      <c r="A291" s="51"/>
      <c r="B291" s="51"/>
      <c r="C291" s="56"/>
      <c r="D291" s="51"/>
      <c r="E291" s="51"/>
      <c r="F291" s="51"/>
      <c r="G291" s="51" t="str">
        <f>IFERROR(__xludf.DUMMYFUNCTION("""COMPUTED_VALUE"""),"#VALUE!")</f>
        <v>#VALUE!</v>
      </c>
      <c r="H291" s="51" t="str">
        <f>IFERROR(__xludf.DUMMYFUNCTION("""COMPUTED_VALUE"""),"")</f>
        <v/>
      </c>
      <c r="I291" s="51" t="str">
        <f>IFERROR(__xludf.DUMMYFUNCTION("""COMPUTED_VALUE"""),"#VALUE!")</f>
        <v>#VALUE!</v>
      </c>
      <c r="J291" s="51" t="str">
        <f>IFERROR(__xludf.DUMMYFUNCTION("""COMPUTED_VALUE"""),"")</f>
        <v/>
      </c>
      <c r="K291" s="51"/>
      <c r="L291" s="51" t="s">
        <v>257</v>
      </c>
      <c r="M291" s="51"/>
      <c r="N291" s="51"/>
      <c r="O291" s="51"/>
      <c r="P291" s="51"/>
      <c r="Q291" s="51"/>
      <c r="R291" s="51"/>
      <c r="S291" s="51"/>
      <c r="T291" s="51"/>
    </row>
    <row r="292">
      <c r="A292" s="51"/>
      <c r="B292" s="51"/>
      <c r="C292" s="56"/>
      <c r="D292" s="51"/>
      <c r="E292" s="51"/>
      <c r="F292" s="51"/>
      <c r="G292" s="51" t="str">
        <f>IFERROR(__xludf.DUMMYFUNCTION("""COMPUTED_VALUE"""),"#VALUE!")</f>
        <v>#VALUE!</v>
      </c>
      <c r="H292" s="51" t="str">
        <f>IFERROR(__xludf.DUMMYFUNCTION("""COMPUTED_VALUE"""),"")</f>
        <v/>
      </c>
      <c r="I292" s="51" t="str">
        <f>IFERROR(__xludf.DUMMYFUNCTION("""COMPUTED_VALUE"""),"#VALUE!")</f>
        <v>#VALUE!</v>
      </c>
      <c r="J292" s="51" t="str">
        <f>IFERROR(__xludf.DUMMYFUNCTION("""COMPUTED_VALUE"""),"")</f>
        <v/>
      </c>
      <c r="K292" s="51"/>
      <c r="L292" s="51" t="s">
        <v>257</v>
      </c>
      <c r="M292" s="51"/>
      <c r="N292" s="51"/>
      <c r="O292" s="51"/>
      <c r="P292" s="51"/>
      <c r="Q292" s="51"/>
      <c r="R292" s="51"/>
      <c r="S292" s="51"/>
      <c r="T292" s="51"/>
    </row>
    <row r="293">
      <c r="A293" s="51"/>
      <c r="B293" s="51"/>
      <c r="C293" s="56"/>
      <c r="D293" s="51"/>
      <c r="E293" s="51"/>
      <c r="F293" s="51"/>
      <c r="G293" s="51" t="str">
        <f>IFERROR(__xludf.DUMMYFUNCTION("""COMPUTED_VALUE"""),"#VALUE!")</f>
        <v>#VALUE!</v>
      </c>
      <c r="H293" s="51" t="str">
        <f>IFERROR(__xludf.DUMMYFUNCTION("""COMPUTED_VALUE"""),"")</f>
        <v/>
      </c>
      <c r="I293" s="51" t="str">
        <f>IFERROR(__xludf.DUMMYFUNCTION("""COMPUTED_VALUE"""),"#VALUE!")</f>
        <v>#VALUE!</v>
      </c>
      <c r="J293" s="51" t="str">
        <f>IFERROR(__xludf.DUMMYFUNCTION("""COMPUTED_VALUE"""),"")</f>
        <v/>
      </c>
      <c r="K293" s="51"/>
      <c r="L293" s="51" t="s">
        <v>257</v>
      </c>
      <c r="M293" s="51"/>
      <c r="N293" s="51"/>
      <c r="O293" s="51"/>
      <c r="P293" s="51"/>
      <c r="Q293" s="51"/>
      <c r="R293" s="51"/>
      <c r="S293" s="51"/>
      <c r="T293" s="51"/>
    </row>
    <row r="294">
      <c r="A294" s="51"/>
      <c r="B294" s="51"/>
      <c r="C294" s="56"/>
      <c r="D294" s="51"/>
      <c r="E294" s="51"/>
      <c r="F294" s="51"/>
      <c r="G294" s="51" t="str">
        <f>IFERROR(__xludf.DUMMYFUNCTION("""COMPUTED_VALUE"""),"#VALUE!")</f>
        <v>#VALUE!</v>
      </c>
      <c r="H294" s="51" t="str">
        <f>IFERROR(__xludf.DUMMYFUNCTION("""COMPUTED_VALUE"""),"")</f>
        <v/>
      </c>
      <c r="I294" s="51" t="str">
        <f>IFERROR(__xludf.DUMMYFUNCTION("""COMPUTED_VALUE"""),"#VALUE!")</f>
        <v>#VALUE!</v>
      </c>
      <c r="J294" s="51" t="str">
        <f>IFERROR(__xludf.DUMMYFUNCTION("""COMPUTED_VALUE"""),"")</f>
        <v/>
      </c>
      <c r="K294" s="51"/>
      <c r="L294" s="51" t="s">
        <v>257</v>
      </c>
      <c r="M294" s="51"/>
      <c r="N294" s="51"/>
      <c r="O294" s="51"/>
      <c r="P294" s="51"/>
      <c r="Q294" s="51"/>
      <c r="R294" s="51"/>
      <c r="S294" s="51"/>
      <c r="T294" s="51"/>
    </row>
    <row r="295">
      <c r="A295" s="51"/>
      <c r="B295" s="51"/>
      <c r="C295" s="56"/>
      <c r="D295" s="51"/>
      <c r="E295" s="51"/>
      <c r="F295" s="51"/>
      <c r="G295" s="51" t="str">
        <f>IFERROR(__xludf.DUMMYFUNCTION("""COMPUTED_VALUE"""),"#VALUE!")</f>
        <v>#VALUE!</v>
      </c>
      <c r="H295" s="51" t="str">
        <f>IFERROR(__xludf.DUMMYFUNCTION("""COMPUTED_VALUE"""),"")</f>
        <v/>
      </c>
      <c r="I295" s="51" t="str">
        <f>IFERROR(__xludf.DUMMYFUNCTION("""COMPUTED_VALUE"""),"#VALUE!")</f>
        <v>#VALUE!</v>
      </c>
      <c r="J295" s="51" t="str">
        <f>IFERROR(__xludf.DUMMYFUNCTION("""COMPUTED_VALUE"""),"")</f>
        <v/>
      </c>
      <c r="K295" s="51"/>
      <c r="L295" s="51" t="s">
        <v>257</v>
      </c>
      <c r="M295" s="51"/>
      <c r="N295" s="51"/>
      <c r="O295" s="51"/>
      <c r="P295" s="51"/>
      <c r="Q295" s="51"/>
      <c r="R295" s="51"/>
      <c r="S295" s="51"/>
      <c r="T295" s="51"/>
    </row>
    <row r="296">
      <c r="A296" s="51"/>
      <c r="B296" s="51"/>
      <c r="C296" s="56"/>
      <c r="D296" s="51"/>
      <c r="E296" s="51"/>
      <c r="F296" s="51"/>
      <c r="G296" s="51" t="str">
        <f>IFERROR(__xludf.DUMMYFUNCTION("""COMPUTED_VALUE"""),"#VALUE!")</f>
        <v>#VALUE!</v>
      </c>
      <c r="H296" s="51" t="str">
        <f>IFERROR(__xludf.DUMMYFUNCTION("""COMPUTED_VALUE"""),"")</f>
        <v/>
      </c>
      <c r="I296" s="51" t="str">
        <f>IFERROR(__xludf.DUMMYFUNCTION("""COMPUTED_VALUE"""),"#VALUE!")</f>
        <v>#VALUE!</v>
      </c>
      <c r="J296" s="51" t="str">
        <f>IFERROR(__xludf.DUMMYFUNCTION("""COMPUTED_VALUE"""),"")</f>
        <v/>
      </c>
      <c r="K296" s="51"/>
      <c r="L296" s="51" t="s">
        <v>257</v>
      </c>
      <c r="M296" s="51"/>
      <c r="N296" s="51"/>
      <c r="O296" s="51"/>
      <c r="P296" s="51"/>
      <c r="Q296" s="51"/>
      <c r="R296" s="51"/>
      <c r="S296" s="51"/>
      <c r="T296" s="51"/>
    </row>
    <row r="297">
      <c r="A297" s="51"/>
      <c r="B297" s="51"/>
      <c r="C297" s="56"/>
      <c r="D297" s="51"/>
      <c r="E297" s="51"/>
      <c r="F297" s="51"/>
      <c r="G297" s="51" t="str">
        <f>IFERROR(__xludf.DUMMYFUNCTION("""COMPUTED_VALUE"""),"#VALUE!")</f>
        <v>#VALUE!</v>
      </c>
      <c r="H297" s="51" t="str">
        <f>IFERROR(__xludf.DUMMYFUNCTION("""COMPUTED_VALUE"""),"")</f>
        <v/>
      </c>
      <c r="I297" s="51" t="str">
        <f>IFERROR(__xludf.DUMMYFUNCTION("""COMPUTED_VALUE"""),"#VALUE!")</f>
        <v>#VALUE!</v>
      </c>
      <c r="J297" s="51" t="str">
        <f>IFERROR(__xludf.DUMMYFUNCTION("""COMPUTED_VALUE"""),"")</f>
        <v/>
      </c>
      <c r="K297" s="51"/>
      <c r="L297" s="51" t="s">
        <v>257</v>
      </c>
      <c r="M297" s="51"/>
      <c r="N297" s="51"/>
      <c r="O297" s="51"/>
      <c r="P297" s="51"/>
      <c r="Q297" s="51"/>
      <c r="R297" s="51"/>
      <c r="S297" s="51"/>
      <c r="T297" s="51"/>
    </row>
    <row r="298">
      <c r="A298" s="51"/>
      <c r="B298" s="51"/>
      <c r="C298" s="56"/>
      <c r="D298" s="51"/>
      <c r="E298" s="51"/>
      <c r="F298" s="51"/>
      <c r="G298" s="51" t="str">
        <f>IFERROR(__xludf.DUMMYFUNCTION("""COMPUTED_VALUE"""),"#VALUE!")</f>
        <v>#VALUE!</v>
      </c>
      <c r="H298" s="51" t="str">
        <f>IFERROR(__xludf.DUMMYFUNCTION("""COMPUTED_VALUE"""),"")</f>
        <v/>
      </c>
      <c r="I298" s="51" t="str">
        <f>IFERROR(__xludf.DUMMYFUNCTION("""COMPUTED_VALUE"""),"#VALUE!")</f>
        <v>#VALUE!</v>
      </c>
      <c r="J298" s="51" t="str">
        <f>IFERROR(__xludf.DUMMYFUNCTION("""COMPUTED_VALUE"""),"")</f>
        <v/>
      </c>
      <c r="K298" s="51"/>
      <c r="L298" s="51" t="s">
        <v>257</v>
      </c>
      <c r="M298" s="51"/>
      <c r="N298" s="51"/>
      <c r="O298" s="51"/>
      <c r="P298" s="51"/>
      <c r="Q298" s="51"/>
      <c r="R298" s="51"/>
      <c r="S298" s="51"/>
      <c r="T298" s="51"/>
    </row>
    <row r="299">
      <c r="A299" s="51"/>
      <c r="B299" s="51"/>
      <c r="C299" s="56"/>
      <c r="D299" s="51"/>
      <c r="E299" s="51"/>
      <c r="F299" s="51"/>
      <c r="G299" s="51" t="str">
        <f>IFERROR(__xludf.DUMMYFUNCTION("""COMPUTED_VALUE"""),"#VALUE!")</f>
        <v>#VALUE!</v>
      </c>
      <c r="H299" s="51" t="str">
        <f>IFERROR(__xludf.DUMMYFUNCTION("""COMPUTED_VALUE"""),"")</f>
        <v/>
      </c>
      <c r="I299" s="51" t="str">
        <f>IFERROR(__xludf.DUMMYFUNCTION("""COMPUTED_VALUE"""),"#VALUE!")</f>
        <v>#VALUE!</v>
      </c>
      <c r="J299" s="51" t="str">
        <f>IFERROR(__xludf.DUMMYFUNCTION("""COMPUTED_VALUE"""),"")</f>
        <v/>
      </c>
      <c r="K299" s="51"/>
      <c r="L299" s="51" t="s">
        <v>257</v>
      </c>
      <c r="M299" s="51"/>
      <c r="N299" s="51"/>
      <c r="O299" s="51"/>
      <c r="P299" s="51"/>
      <c r="Q299" s="51"/>
      <c r="R299" s="51"/>
      <c r="S299" s="51"/>
      <c r="T299" s="51"/>
    </row>
    <row r="300">
      <c r="A300" s="51"/>
      <c r="B300" s="51"/>
      <c r="C300" s="56"/>
      <c r="D300" s="51"/>
      <c r="E300" s="51"/>
      <c r="F300" s="51"/>
      <c r="G300" s="51" t="str">
        <f>IFERROR(__xludf.DUMMYFUNCTION("""COMPUTED_VALUE"""),"#VALUE!")</f>
        <v>#VALUE!</v>
      </c>
      <c r="H300" s="51" t="str">
        <f>IFERROR(__xludf.DUMMYFUNCTION("""COMPUTED_VALUE"""),"")</f>
        <v/>
      </c>
      <c r="I300" s="51" t="str">
        <f>IFERROR(__xludf.DUMMYFUNCTION("""COMPUTED_VALUE"""),"#VALUE!")</f>
        <v>#VALUE!</v>
      </c>
      <c r="J300" s="51" t="str">
        <f>IFERROR(__xludf.DUMMYFUNCTION("""COMPUTED_VALUE"""),"")</f>
        <v/>
      </c>
      <c r="K300" s="51"/>
      <c r="L300" s="51" t="s">
        <v>257</v>
      </c>
      <c r="M300" s="51"/>
      <c r="N300" s="51"/>
      <c r="O300" s="51"/>
      <c r="P300" s="51"/>
      <c r="Q300" s="51"/>
      <c r="R300" s="51"/>
      <c r="S300" s="51"/>
      <c r="T300" s="51"/>
    </row>
    <row r="301">
      <c r="A301" s="51"/>
      <c r="B301" s="51"/>
      <c r="C301" s="56"/>
      <c r="D301" s="51"/>
      <c r="E301" s="51"/>
      <c r="F301" s="51"/>
      <c r="G301" s="51" t="str">
        <f>IFERROR(__xludf.DUMMYFUNCTION("""COMPUTED_VALUE"""),"#VALUE!")</f>
        <v>#VALUE!</v>
      </c>
      <c r="H301" s="51" t="str">
        <f>IFERROR(__xludf.DUMMYFUNCTION("""COMPUTED_VALUE"""),"")</f>
        <v/>
      </c>
      <c r="I301" s="51" t="str">
        <f>IFERROR(__xludf.DUMMYFUNCTION("""COMPUTED_VALUE"""),"#VALUE!")</f>
        <v>#VALUE!</v>
      </c>
      <c r="J301" s="51" t="str">
        <f>IFERROR(__xludf.DUMMYFUNCTION("""COMPUTED_VALUE"""),"")</f>
        <v/>
      </c>
      <c r="K301" s="51"/>
      <c r="L301" s="51" t="s">
        <v>257</v>
      </c>
      <c r="M301" s="51"/>
      <c r="N301" s="51"/>
      <c r="O301" s="51"/>
      <c r="P301" s="51"/>
      <c r="Q301" s="51"/>
      <c r="R301" s="51"/>
      <c r="S301" s="51"/>
      <c r="T301" s="51"/>
    </row>
    <row r="302">
      <c r="A302" s="51"/>
      <c r="B302" s="51"/>
      <c r="C302" s="56"/>
      <c r="D302" s="51"/>
      <c r="E302" s="51"/>
      <c r="F302" s="51"/>
      <c r="G302" s="51" t="str">
        <f>IFERROR(__xludf.DUMMYFUNCTION("""COMPUTED_VALUE"""),"#VALUE!")</f>
        <v>#VALUE!</v>
      </c>
      <c r="H302" s="51" t="str">
        <f>IFERROR(__xludf.DUMMYFUNCTION("""COMPUTED_VALUE"""),"")</f>
        <v/>
      </c>
      <c r="I302" s="51" t="str">
        <f>IFERROR(__xludf.DUMMYFUNCTION("""COMPUTED_VALUE"""),"#VALUE!")</f>
        <v>#VALUE!</v>
      </c>
      <c r="J302" s="51" t="str">
        <f>IFERROR(__xludf.DUMMYFUNCTION("""COMPUTED_VALUE"""),"")</f>
        <v/>
      </c>
      <c r="K302" s="51"/>
      <c r="L302" s="51" t="s">
        <v>257</v>
      </c>
      <c r="M302" s="51"/>
      <c r="N302" s="51"/>
      <c r="O302" s="51"/>
      <c r="P302" s="51"/>
      <c r="Q302" s="51"/>
      <c r="R302" s="51"/>
      <c r="S302" s="51"/>
      <c r="T302" s="51"/>
    </row>
    <row r="303">
      <c r="A303" s="51"/>
      <c r="B303" s="51"/>
      <c r="C303" s="56"/>
      <c r="D303" s="51"/>
      <c r="E303" s="51"/>
      <c r="F303" s="51"/>
      <c r="G303" s="51" t="str">
        <f>IFERROR(__xludf.DUMMYFUNCTION("""COMPUTED_VALUE"""),"#VALUE!")</f>
        <v>#VALUE!</v>
      </c>
      <c r="H303" s="51" t="str">
        <f>IFERROR(__xludf.DUMMYFUNCTION("""COMPUTED_VALUE"""),"")</f>
        <v/>
      </c>
      <c r="I303" s="51" t="str">
        <f>IFERROR(__xludf.DUMMYFUNCTION("""COMPUTED_VALUE"""),"#VALUE!")</f>
        <v>#VALUE!</v>
      </c>
      <c r="J303" s="51" t="str">
        <f>IFERROR(__xludf.DUMMYFUNCTION("""COMPUTED_VALUE"""),"")</f>
        <v/>
      </c>
      <c r="K303" s="51"/>
      <c r="L303" s="51" t="s">
        <v>257</v>
      </c>
      <c r="M303" s="51"/>
      <c r="N303" s="51"/>
      <c r="O303" s="51"/>
      <c r="P303" s="51"/>
      <c r="Q303" s="51"/>
      <c r="R303" s="51"/>
      <c r="S303" s="51"/>
      <c r="T303" s="51"/>
    </row>
    <row r="304">
      <c r="A304" s="51"/>
      <c r="B304" s="51"/>
      <c r="C304" s="56"/>
      <c r="D304" s="51"/>
      <c r="E304" s="51"/>
      <c r="F304" s="51"/>
      <c r="G304" s="51" t="str">
        <f>IFERROR(__xludf.DUMMYFUNCTION("""COMPUTED_VALUE"""),"#VALUE!")</f>
        <v>#VALUE!</v>
      </c>
      <c r="H304" s="51" t="str">
        <f>IFERROR(__xludf.DUMMYFUNCTION("""COMPUTED_VALUE"""),"")</f>
        <v/>
      </c>
      <c r="I304" s="51" t="str">
        <f>IFERROR(__xludf.DUMMYFUNCTION("""COMPUTED_VALUE"""),"#VALUE!")</f>
        <v>#VALUE!</v>
      </c>
      <c r="J304" s="51" t="str">
        <f>IFERROR(__xludf.DUMMYFUNCTION("""COMPUTED_VALUE"""),"")</f>
        <v/>
      </c>
      <c r="K304" s="51"/>
      <c r="L304" s="51" t="s">
        <v>257</v>
      </c>
      <c r="M304" s="51"/>
      <c r="N304" s="51"/>
      <c r="O304" s="51"/>
      <c r="P304" s="51"/>
      <c r="Q304" s="51"/>
      <c r="R304" s="51"/>
      <c r="S304" s="51"/>
      <c r="T304" s="51"/>
    </row>
    <row r="305">
      <c r="A305" s="51"/>
      <c r="B305" s="51"/>
      <c r="C305" s="56"/>
      <c r="D305" s="51"/>
      <c r="E305" s="51"/>
      <c r="F305" s="51"/>
      <c r="G305" s="51" t="str">
        <f>IFERROR(__xludf.DUMMYFUNCTION("""COMPUTED_VALUE"""),"#VALUE!")</f>
        <v>#VALUE!</v>
      </c>
      <c r="H305" s="51" t="str">
        <f>IFERROR(__xludf.DUMMYFUNCTION("""COMPUTED_VALUE"""),"")</f>
        <v/>
      </c>
      <c r="I305" s="51" t="str">
        <f>IFERROR(__xludf.DUMMYFUNCTION("""COMPUTED_VALUE"""),"#VALUE!")</f>
        <v>#VALUE!</v>
      </c>
      <c r="J305" s="51" t="str">
        <f>IFERROR(__xludf.DUMMYFUNCTION("""COMPUTED_VALUE"""),"")</f>
        <v/>
      </c>
      <c r="K305" s="51"/>
      <c r="L305" s="51" t="s">
        <v>257</v>
      </c>
      <c r="M305" s="51"/>
      <c r="N305" s="51"/>
      <c r="O305" s="51"/>
      <c r="P305" s="51"/>
      <c r="Q305" s="51"/>
      <c r="R305" s="51"/>
      <c r="S305" s="51"/>
      <c r="T305" s="51"/>
    </row>
    <row r="306">
      <c r="A306" s="51"/>
      <c r="B306" s="51"/>
      <c r="C306" s="56"/>
      <c r="D306" s="51"/>
      <c r="E306" s="51"/>
      <c r="F306" s="51"/>
      <c r="G306" s="51" t="str">
        <f>IFERROR(__xludf.DUMMYFUNCTION("""COMPUTED_VALUE"""),"#VALUE!")</f>
        <v>#VALUE!</v>
      </c>
      <c r="H306" s="51" t="str">
        <f>IFERROR(__xludf.DUMMYFUNCTION("""COMPUTED_VALUE"""),"")</f>
        <v/>
      </c>
      <c r="I306" s="51" t="str">
        <f>IFERROR(__xludf.DUMMYFUNCTION("""COMPUTED_VALUE"""),"#VALUE!")</f>
        <v>#VALUE!</v>
      </c>
      <c r="J306" s="51" t="str">
        <f>IFERROR(__xludf.DUMMYFUNCTION("""COMPUTED_VALUE"""),"")</f>
        <v/>
      </c>
      <c r="K306" s="51"/>
      <c r="L306" s="51" t="s">
        <v>257</v>
      </c>
      <c r="M306" s="51"/>
      <c r="N306" s="51"/>
      <c r="O306" s="51"/>
      <c r="P306" s="51"/>
      <c r="Q306" s="51"/>
      <c r="R306" s="51"/>
      <c r="S306" s="51"/>
      <c r="T306" s="51"/>
    </row>
    <row r="307">
      <c r="A307" s="51"/>
      <c r="B307" s="51"/>
      <c r="C307" s="56"/>
      <c r="D307" s="51"/>
      <c r="E307" s="51"/>
      <c r="F307" s="51"/>
      <c r="G307" s="51" t="str">
        <f>IFERROR(__xludf.DUMMYFUNCTION("""COMPUTED_VALUE"""),"#VALUE!")</f>
        <v>#VALUE!</v>
      </c>
      <c r="H307" s="51" t="str">
        <f>IFERROR(__xludf.DUMMYFUNCTION("""COMPUTED_VALUE"""),"")</f>
        <v/>
      </c>
      <c r="I307" s="51" t="str">
        <f>IFERROR(__xludf.DUMMYFUNCTION("""COMPUTED_VALUE"""),"#VALUE!")</f>
        <v>#VALUE!</v>
      </c>
      <c r="J307" s="51" t="str">
        <f>IFERROR(__xludf.DUMMYFUNCTION("""COMPUTED_VALUE"""),"")</f>
        <v/>
      </c>
      <c r="K307" s="51"/>
      <c r="L307" s="51" t="s">
        <v>257</v>
      </c>
      <c r="M307" s="51"/>
      <c r="N307" s="51"/>
      <c r="O307" s="51"/>
      <c r="P307" s="51"/>
      <c r="Q307" s="51"/>
      <c r="R307" s="51"/>
      <c r="S307" s="51"/>
      <c r="T307" s="51"/>
    </row>
    <row r="308">
      <c r="A308" s="51"/>
      <c r="B308" s="51"/>
      <c r="C308" s="56"/>
      <c r="D308" s="51"/>
      <c r="E308" s="51"/>
      <c r="F308" s="51"/>
      <c r="G308" s="51" t="str">
        <f>IFERROR(__xludf.DUMMYFUNCTION("""COMPUTED_VALUE"""),"#VALUE!")</f>
        <v>#VALUE!</v>
      </c>
      <c r="H308" s="51" t="str">
        <f>IFERROR(__xludf.DUMMYFUNCTION("""COMPUTED_VALUE"""),"")</f>
        <v/>
      </c>
      <c r="I308" s="51" t="str">
        <f>IFERROR(__xludf.DUMMYFUNCTION("""COMPUTED_VALUE"""),"#VALUE!")</f>
        <v>#VALUE!</v>
      </c>
      <c r="J308" s="51" t="str">
        <f>IFERROR(__xludf.DUMMYFUNCTION("""COMPUTED_VALUE"""),"")</f>
        <v/>
      </c>
      <c r="K308" s="51"/>
      <c r="L308" s="51" t="s">
        <v>257</v>
      </c>
      <c r="M308" s="51"/>
      <c r="N308" s="51"/>
      <c r="O308" s="51"/>
      <c r="P308" s="51"/>
      <c r="Q308" s="51"/>
      <c r="R308" s="51"/>
      <c r="S308" s="51"/>
      <c r="T308" s="51"/>
    </row>
    <row r="309">
      <c r="A309" s="51"/>
      <c r="B309" s="51"/>
      <c r="C309" s="56"/>
      <c r="D309" s="51"/>
      <c r="E309" s="51"/>
      <c r="F309" s="51"/>
      <c r="G309" s="51" t="str">
        <f>IFERROR(__xludf.DUMMYFUNCTION("""COMPUTED_VALUE"""),"#VALUE!")</f>
        <v>#VALUE!</v>
      </c>
      <c r="H309" s="51" t="str">
        <f>IFERROR(__xludf.DUMMYFUNCTION("""COMPUTED_VALUE"""),"")</f>
        <v/>
      </c>
      <c r="I309" s="51" t="str">
        <f>IFERROR(__xludf.DUMMYFUNCTION("""COMPUTED_VALUE"""),"#VALUE!")</f>
        <v>#VALUE!</v>
      </c>
      <c r="J309" s="51" t="str">
        <f>IFERROR(__xludf.DUMMYFUNCTION("""COMPUTED_VALUE"""),"")</f>
        <v/>
      </c>
      <c r="K309" s="51"/>
      <c r="L309" s="51" t="s">
        <v>257</v>
      </c>
      <c r="M309" s="51"/>
      <c r="N309" s="51"/>
      <c r="O309" s="51"/>
      <c r="P309" s="51"/>
      <c r="Q309" s="51"/>
      <c r="R309" s="51"/>
      <c r="S309" s="51"/>
      <c r="T309" s="51"/>
    </row>
    <row r="310">
      <c r="A310" s="51"/>
      <c r="B310" s="51"/>
      <c r="C310" s="56"/>
      <c r="D310" s="51"/>
      <c r="E310" s="51"/>
      <c r="F310" s="51"/>
      <c r="G310" s="51" t="str">
        <f>IFERROR(__xludf.DUMMYFUNCTION("""COMPUTED_VALUE"""),"#VALUE!")</f>
        <v>#VALUE!</v>
      </c>
      <c r="H310" s="51" t="str">
        <f>IFERROR(__xludf.DUMMYFUNCTION("""COMPUTED_VALUE"""),"")</f>
        <v/>
      </c>
      <c r="I310" s="51" t="str">
        <f>IFERROR(__xludf.DUMMYFUNCTION("""COMPUTED_VALUE"""),"#VALUE!")</f>
        <v>#VALUE!</v>
      </c>
      <c r="J310" s="51" t="str">
        <f>IFERROR(__xludf.DUMMYFUNCTION("""COMPUTED_VALUE"""),"")</f>
        <v/>
      </c>
      <c r="K310" s="51"/>
      <c r="L310" s="51" t="s">
        <v>257</v>
      </c>
      <c r="M310" s="51"/>
      <c r="N310" s="51"/>
      <c r="O310" s="51"/>
      <c r="P310" s="51"/>
      <c r="Q310" s="51"/>
      <c r="R310" s="51"/>
      <c r="S310" s="51"/>
      <c r="T310" s="51"/>
    </row>
    <row r="311">
      <c r="A311" s="51"/>
      <c r="B311" s="51"/>
      <c r="C311" s="56"/>
      <c r="D311" s="51"/>
      <c r="E311" s="51"/>
      <c r="F311" s="51"/>
      <c r="G311" s="51" t="str">
        <f>IFERROR(__xludf.DUMMYFUNCTION("""COMPUTED_VALUE"""),"#VALUE!")</f>
        <v>#VALUE!</v>
      </c>
      <c r="H311" s="51" t="str">
        <f>IFERROR(__xludf.DUMMYFUNCTION("""COMPUTED_VALUE"""),"")</f>
        <v/>
      </c>
      <c r="I311" s="51" t="str">
        <f>IFERROR(__xludf.DUMMYFUNCTION("""COMPUTED_VALUE"""),"#VALUE!")</f>
        <v>#VALUE!</v>
      </c>
      <c r="J311" s="51" t="str">
        <f>IFERROR(__xludf.DUMMYFUNCTION("""COMPUTED_VALUE"""),"")</f>
        <v/>
      </c>
      <c r="K311" s="51"/>
      <c r="L311" s="51" t="s">
        <v>257</v>
      </c>
      <c r="M311" s="51"/>
      <c r="N311" s="51"/>
      <c r="O311" s="51"/>
      <c r="P311" s="51"/>
      <c r="Q311" s="51"/>
      <c r="R311" s="51"/>
      <c r="S311" s="51"/>
      <c r="T311" s="51"/>
    </row>
    <row r="312">
      <c r="A312" s="51"/>
      <c r="B312" s="51"/>
      <c r="C312" s="56"/>
      <c r="D312" s="51"/>
      <c r="E312" s="51"/>
      <c r="F312" s="51"/>
      <c r="G312" s="51" t="str">
        <f>IFERROR(__xludf.DUMMYFUNCTION("""COMPUTED_VALUE"""),"#VALUE!")</f>
        <v>#VALUE!</v>
      </c>
      <c r="H312" s="51" t="str">
        <f>IFERROR(__xludf.DUMMYFUNCTION("""COMPUTED_VALUE"""),"")</f>
        <v/>
      </c>
      <c r="I312" s="51" t="str">
        <f>IFERROR(__xludf.DUMMYFUNCTION("""COMPUTED_VALUE"""),"#VALUE!")</f>
        <v>#VALUE!</v>
      </c>
      <c r="J312" s="51" t="str">
        <f>IFERROR(__xludf.DUMMYFUNCTION("""COMPUTED_VALUE"""),"")</f>
        <v/>
      </c>
      <c r="K312" s="51"/>
      <c r="L312" s="51" t="s">
        <v>257</v>
      </c>
      <c r="M312" s="51"/>
      <c r="N312" s="51"/>
      <c r="O312" s="51"/>
      <c r="P312" s="51"/>
      <c r="Q312" s="51"/>
      <c r="R312" s="51"/>
      <c r="S312" s="51"/>
      <c r="T312" s="51"/>
    </row>
    <row r="313">
      <c r="A313" s="51"/>
      <c r="B313" s="51"/>
      <c r="C313" s="56"/>
      <c r="D313" s="51"/>
      <c r="E313" s="51"/>
      <c r="F313" s="51"/>
      <c r="G313" s="51" t="str">
        <f>IFERROR(__xludf.DUMMYFUNCTION("""COMPUTED_VALUE"""),"#VALUE!")</f>
        <v>#VALUE!</v>
      </c>
      <c r="H313" s="51" t="str">
        <f>IFERROR(__xludf.DUMMYFUNCTION("""COMPUTED_VALUE"""),"")</f>
        <v/>
      </c>
      <c r="I313" s="51" t="str">
        <f>IFERROR(__xludf.DUMMYFUNCTION("""COMPUTED_VALUE"""),"#VALUE!")</f>
        <v>#VALUE!</v>
      </c>
      <c r="J313" s="51" t="str">
        <f>IFERROR(__xludf.DUMMYFUNCTION("""COMPUTED_VALUE"""),"")</f>
        <v/>
      </c>
      <c r="K313" s="51"/>
      <c r="L313" s="51" t="s">
        <v>257</v>
      </c>
      <c r="M313" s="51"/>
      <c r="N313" s="51"/>
      <c r="O313" s="51"/>
      <c r="P313" s="51"/>
      <c r="Q313" s="51"/>
      <c r="R313" s="51"/>
      <c r="S313" s="51"/>
      <c r="T313" s="51"/>
    </row>
    <row r="314">
      <c r="A314" s="51"/>
      <c r="B314" s="51"/>
      <c r="C314" s="56"/>
      <c r="D314" s="51"/>
      <c r="E314" s="51"/>
      <c r="F314" s="51"/>
      <c r="G314" s="51" t="str">
        <f>IFERROR(__xludf.DUMMYFUNCTION("""COMPUTED_VALUE"""),"#VALUE!")</f>
        <v>#VALUE!</v>
      </c>
      <c r="H314" s="51" t="str">
        <f>IFERROR(__xludf.DUMMYFUNCTION("""COMPUTED_VALUE"""),"")</f>
        <v/>
      </c>
      <c r="I314" s="51" t="str">
        <f>IFERROR(__xludf.DUMMYFUNCTION("""COMPUTED_VALUE"""),"#VALUE!")</f>
        <v>#VALUE!</v>
      </c>
      <c r="J314" s="51" t="str">
        <f>IFERROR(__xludf.DUMMYFUNCTION("""COMPUTED_VALUE"""),"")</f>
        <v/>
      </c>
      <c r="K314" s="51"/>
      <c r="L314" s="51" t="s">
        <v>257</v>
      </c>
      <c r="M314" s="51"/>
      <c r="N314" s="51"/>
      <c r="O314" s="51"/>
      <c r="P314" s="51"/>
      <c r="Q314" s="51"/>
      <c r="R314" s="51"/>
      <c r="S314" s="51"/>
      <c r="T314" s="51"/>
    </row>
    <row r="315">
      <c r="A315" s="51"/>
      <c r="B315" s="51"/>
      <c r="C315" s="56"/>
      <c r="D315" s="51"/>
      <c r="E315" s="51"/>
      <c r="F315" s="51"/>
      <c r="G315" s="51" t="str">
        <f>IFERROR(__xludf.DUMMYFUNCTION("""COMPUTED_VALUE"""),"#VALUE!")</f>
        <v>#VALUE!</v>
      </c>
      <c r="H315" s="51" t="str">
        <f>IFERROR(__xludf.DUMMYFUNCTION("""COMPUTED_VALUE"""),"")</f>
        <v/>
      </c>
      <c r="I315" s="51" t="str">
        <f>IFERROR(__xludf.DUMMYFUNCTION("""COMPUTED_VALUE"""),"#VALUE!")</f>
        <v>#VALUE!</v>
      </c>
      <c r="J315" s="51" t="str">
        <f>IFERROR(__xludf.DUMMYFUNCTION("""COMPUTED_VALUE"""),"")</f>
        <v/>
      </c>
      <c r="K315" s="51"/>
      <c r="L315" s="51" t="s">
        <v>257</v>
      </c>
      <c r="M315" s="51"/>
      <c r="N315" s="51"/>
      <c r="O315" s="51"/>
      <c r="P315" s="51"/>
      <c r="Q315" s="51"/>
      <c r="R315" s="51"/>
      <c r="S315" s="51"/>
      <c r="T315" s="51"/>
    </row>
    <row r="316">
      <c r="A316" s="51"/>
      <c r="B316" s="51"/>
      <c r="C316" s="56"/>
      <c r="D316" s="51"/>
      <c r="E316" s="51"/>
      <c r="F316" s="51"/>
      <c r="G316" s="51" t="str">
        <f>IFERROR(__xludf.DUMMYFUNCTION("""COMPUTED_VALUE"""),"#VALUE!")</f>
        <v>#VALUE!</v>
      </c>
      <c r="H316" s="51" t="str">
        <f>IFERROR(__xludf.DUMMYFUNCTION("""COMPUTED_VALUE"""),"")</f>
        <v/>
      </c>
      <c r="I316" s="51" t="str">
        <f>IFERROR(__xludf.DUMMYFUNCTION("""COMPUTED_VALUE"""),"#VALUE!")</f>
        <v>#VALUE!</v>
      </c>
      <c r="J316" s="51" t="str">
        <f>IFERROR(__xludf.DUMMYFUNCTION("""COMPUTED_VALUE"""),"")</f>
        <v/>
      </c>
      <c r="K316" s="51"/>
      <c r="L316" s="51" t="s">
        <v>257</v>
      </c>
      <c r="M316" s="51"/>
      <c r="N316" s="51"/>
      <c r="O316" s="51"/>
      <c r="P316" s="51"/>
      <c r="Q316" s="51"/>
      <c r="R316" s="51"/>
      <c r="S316" s="51"/>
      <c r="T316" s="51"/>
    </row>
    <row r="317">
      <c r="A317" s="51"/>
      <c r="B317" s="51"/>
      <c r="C317" s="56"/>
      <c r="D317" s="51"/>
      <c r="E317" s="51"/>
      <c r="F317" s="51"/>
      <c r="G317" s="51" t="str">
        <f>IFERROR(__xludf.DUMMYFUNCTION("""COMPUTED_VALUE"""),"#VALUE!")</f>
        <v>#VALUE!</v>
      </c>
      <c r="H317" s="51" t="str">
        <f>IFERROR(__xludf.DUMMYFUNCTION("""COMPUTED_VALUE"""),"")</f>
        <v/>
      </c>
      <c r="I317" s="51" t="str">
        <f>IFERROR(__xludf.DUMMYFUNCTION("""COMPUTED_VALUE"""),"#VALUE!")</f>
        <v>#VALUE!</v>
      </c>
      <c r="J317" s="51" t="str">
        <f>IFERROR(__xludf.DUMMYFUNCTION("""COMPUTED_VALUE"""),"")</f>
        <v/>
      </c>
      <c r="K317" s="51"/>
      <c r="L317" s="51" t="s">
        <v>257</v>
      </c>
      <c r="M317" s="51"/>
      <c r="N317" s="51"/>
      <c r="O317" s="51"/>
      <c r="P317" s="51"/>
      <c r="Q317" s="51"/>
      <c r="R317" s="51"/>
      <c r="S317" s="51"/>
      <c r="T317" s="51"/>
    </row>
    <row r="318">
      <c r="A318" s="51"/>
      <c r="B318" s="51"/>
      <c r="C318" s="56"/>
      <c r="D318" s="51"/>
      <c r="E318" s="51"/>
      <c r="F318" s="51"/>
      <c r="G318" s="51" t="str">
        <f>IFERROR(__xludf.DUMMYFUNCTION("""COMPUTED_VALUE"""),"#VALUE!")</f>
        <v>#VALUE!</v>
      </c>
      <c r="H318" s="51" t="str">
        <f>IFERROR(__xludf.DUMMYFUNCTION("""COMPUTED_VALUE"""),"")</f>
        <v/>
      </c>
      <c r="I318" s="51" t="str">
        <f>IFERROR(__xludf.DUMMYFUNCTION("""COMPUTED_VALUE"""),"#VALUE!")</f>
        <v>#VALUE!</v>
      </c>
      <c r="J318" s="51" t="str">
        <f>IFERROR(__xludf.DUMMYFUNCTION("""COMPUTED_VALUE"""),"")</f>
        <v/>
      </c>
      <c r="K318" s="51"/>
      <c r="L318" s="51" t="s">
        <v>257</v>
      </c>
      <c r="M318" s="51"/>
      <c r="N318" s="51"/>
      <c r="O318" s="51"/>
      <c r="P318" s="51"/>
      <c r="Q318" s="51"/>
      <c r="R318" s="51"/>
      <c r="S318" s="51"/>
      <c r="T318" s="51"/>
    </row>
    <row r="319">
      <c r="A319" s="51"/>
      <c r="B319" s="51"/>
      <c r="C319" s="56"/>
      <c r="D319" s="51"/>
      <c r="E319" s="51"/>
      <c r="F319" s="51"/>
      <c r="G319" s="51" t="str">
        <f>IFERROR(__xludf.DUMMYFUNCTION("""COMPUTED_VALUE"""),"#VALUE!")</f>
        <v>#VALUE!</v>
      </c>
      <c r="H319" s="51" t="str">
        <f>IFERROR(__xludf.DUMMYFUNCTION("""COMPUTED_VALUE"""),"")</f>
        <v/>
      </c>
      <c r="I319" s="51" t="str">
        <f>IFERROR(__xludf.DUMMYFUNCTION("""COMPUTED_VALUE"""),"#VALUE!")</f>
        <v>#VALUE!</v>
      </c>
      <c r="J319" s="51" t="str">
        <f>IFERROR(__xludf.DUMMYFUNCTION("""COMPUTED_VALUE"""),"")</f>
        <v/>
      </c>
      <c r="K319" s="51"/>
      <c r="L319" s="51" t="s">
        <v>257</v>
      </c>
      <c r="M319" s="51"/>
      <c r="N319" s="51"/>
      <c r="O319" s="51"/>
      <c r="P319" s="51"/>
      <c r="Q319" s="51"/>
      <c r="R319" s="51"/>
      <c r="S319" s="51"/>
      <c r="T319" s="51"/>
    </row>
    <row r="320">
      <c r="A320" s="51"/>
      <c r="B320" s="51"/>
      <c r="C320" s="56"/>
      <c r="D320" s="51"/>
      <c r="E320" s="51"/>
      <c r="F320" s="51"/>
      <c r="G320" s="51" t="str">
        <f>IFERROR(__xludf.DUMMYFUNCTION("""COMPUTED_VALUE"""),"#VALUE!")</f>
        <v>#VALUE!</v>
      </c>
      <c r="H320" s="51" t="str">
        <f>IFERROR(__xludf.DUMMYFUNCTION("""COMPUTED_VALUE"""),"")</f>
        <v/>
      </c>
      <c r="I320" s="51" t="str">
        <f>IFERROR(__xludf.DUMMYFUNCTION("""COMPUTED_VALUE"""),"#VALUE!")</f>
        <v>#VALUE!</v>
      </c>
      <c r="J320" s="51" t="str">
        <f>IFERROR(__xludf.DUMMYFUNCTION("""COMPUTED_VALUE"""),"")</f>
        <v/>
      </c>
      <c r="K320" s="51"/>
      <c r="L320" s="51" t="s">
        <v>257</v>
      </c>
      <c r="M320" s="51"/>
      <c r="N320" s="51"/>
      <c r="O320" s="51"/>
      <c r="P320" s="51"/>
      <c r="Q320" s="51"/>
      <c r="R320" s="51"/>
      <c r="S320" s="51"/>
      <c r="T320" s="51"/>
    </row>
    <row r="321">
      <c r="A321" s="51"/>
      <c r="B321" s="51"/>
      <c r="C321" s="56"/>
      <c r="D321" s="51"/>
      <c r="E321" s="51"/>
      <c r="F321" s="51"/>
      <c r="G321" s="51" t="str">
        <f>IFERROR(__xludf.DUMMYFUNCTION("""COMPUTED_VALUE"""),"#VALUE!")</f>
        <v>#VALUE!</v>
      </c>
      <c r="H321" s="51" t="str">
        <f>IFERROR(__xludf.DUMMYFUNCTION("""COMPUTED_VALUE"""),"")</f>
        <v/>
      </c>
      <c r="I321" s="51" t="str">
        <f>IFERROR(__xludf.DUMMYFUNCTION("""COMPUTED_VALUE"""),"#VALUE!")</f>
        <v>#VALUE!</v>
      </c>
      <c r="J321" s="51" t="str">
        <f>IFERROR(__xludf.DUMMYFUNCTION("""COMPUTED_VALUE"""),"")</f>
        <v/>
      </c>
      <c r="K321" s="51"/>
      <c r="L321" s="51" t="s">
        <v>257</v>
      </c>
      <c r="M321" s="51"/>
      <c r="N321" s="51"/>
      <c r="O321" s="51"/>
      <c r="P321" s="51"/>
      <c r="Q321" s="51"/>
      <c r="R321" s="51"/>
      <c r="S321" s="51"/>
      <c r="T321" s="51"/>
    </row>
    <row r="322">
      <c r="A322" s="51"/>
      <c r="B322" s="51"/>
      <c r="C322" s="56"/>
      <c r="D322" s="51"/>
      <c r="E322" s="51"/>
      <c r="F322" s="51"/>
      <c r="G322" s="51" t="str">
        <f>IFERROR(__xludf.DUMMYFUNCTION("""COMPUTED_VALUE"""),"#VALUE!")</f>
        <v>#VALUE!</v>
      </c>
      <c r="H322" s="51" t="str">
        <f>IFERROR(__xludf.DUMMYFUNCTION("""COMPUTED_VALUE"""),"")</f>
        <v/>
      </c>
      <c r="I322" s="51" t="str">
        <f>IFERROR(__xludf.DUMMYFUNCTION("""COMPUTED_VALUE"""),"#VALUE!")</f>
        <v>#VALUE!</v>
      </c>
      <c r="J322" s="51" t="str">
        <f>IFERROR(__xludf.DUMMYFUNCTION("""COMPUTED_VALUE"""),"")</f>
        <v/>
      </c>
      <c r="K322" s="51"/>
      <c r="L322" s="51" t="s">
        <v>257</v>
      </c>
      <c r="M322" s="51"/>
      <c r="N322" s="51"/>
      <c r="O322" s="51"/>
      <c r="P322" s="51"/>
      <c r="Q322" s="51"/>
      <c r="R322" s="51"/>
      <c r="S322" s="51"/>
      <c r="T322" s="51"/>
    </row>
    <row r="323">
      <c r="A323" s="51"/>
      <c r="B323" s="51"/>
      <c r="C323" s="56"/>
      <c r="D323" s="51"/>
      <c r="E323" s="51"/>
      <c r="F323" s="51"/>
      <c r="G323" s="51" t="str">
        <f>IFERROR(__xludf.DUMMYFUNCTION("""COMPUTED_VALUE"""),"#VALUE!")</f>
        <v>#VALUE!</v>
      </c>
      <c r="H323" s="51" t="str">
        <f>IFERROR(__xludf.DUMMYFUNCTION("""COMPUTED_VALUE"""),"")</f>
        <v/>
      </c>
      <c r="I323" s="51" t="str">
        <f>IFERROR(__xludf.DUMMYFUNCTION("""COMPUTED_VALUE"""),"#VALUE!")</f>
        <v>#VALUE!</v>
      </c>
      <c r="J323" s="51" t="str">
        <f>IFERROR(__xludf.DUMMYFUNCTION("""COMPUTED_VALUE"""),"")</f>
        <v/>
      </c>
      <c r="K323" s="51"/>
      <c r="L323" s="51" t="s">
        <v>257</v>
      </c>
      <c r="M323" s="51"/>
      <c r="N323" s="51"/>
      <c r="O323" s="51"/>
      <c r="P323" s="51"/>
      <c r="Q323" s="51"/>
      <c r="R323" s="51"/>
      <c r="S323" s="51"/>
      <c r="T323" s="51"/>
    </row>
    <row r="324">
      <c r="A324" s="51"/>
      <c r="B324" s="51"/>
      <c r="C324" s="56"/>
      <c r="D324" s="51"/>
      <c r="E324" s="51"/>
      <c r="F324" s="51"/>
      <c r="G324" s="51" t="str">
        <f>IFERROR(__xludf.DUMMYFUNCTION("""COMPUTED_VALUE"""),"#VALUE!")</f>
        <v>#VALUE!</v>
      </c>
      <c r="H324" s="51" t="str">
        <f>IFERROR(__xludf.DUMMYFUNCTION("""COMPUTED_VALUE"""),"")</f>
        <v/>
      </c>
      <c r="I324" s="51" t="str">
        <f>IFERROR(__xludf.DUMMYFUNCTION("""COMPUTED_VALUE"""),"#VALUE!")</f>
        <v>#VALUE!</v>
      </c>
      <c r="J324" s="51" t="str">
        <f>IFERROR(__xludf.DUMMYFUNCTION("""COMPUTED_VALUE"""),"")</f>
        <v/>
      </c>
      <c r="K324" s="51"/>
      <c r="L324" s="51" t="s">
        <v>257</v>
      </c>
      <c r="M324" s="51"/>
      <c r="N324" s="51"/>
      <c r="O324" s="51"/>
      <c r="P324" s="51"/>
      <c r="Q324" s="51"/>
      <c r="R324" s="51"/>
      <c r="S324" s="51"/>
      <c r="T324" s="51"/>
    </row>
    <row r="325">
      <c r="A325" s="51"/>
      <c r="B325" s="51"/>
      <c r="C325" s="56"/>
      <c r="D325" s="51"/>
      <c r="E325" s="51"/>
      <c r="F325" s="51"/>
      <c r="G325" s="51" t="str">
        <f>IFERROR(__xludf.DUMMYFUNCTION("""COMPUTED_VALUE"""),"#VALUE!")</f>
        <v>#VALUE!</v>
      </c>
      <c r="H325" s="51" t="str">
        <f>IFERROR(__xludf.DUMMYFUNCTION("""COMPUTED_VALUE"""),"")</f>
        <v/>
      </c>
      <c r="I325" s="51" t="str">
        <f>IFERROR(__xludf.DUMMYFUNCTION("""COMPUTED_VALUE"""),"#VALUE!")</f>
        <v>#VALUE!</v>
      </c>
      <c r="J325" s="51" t="str">
        <f>IFERROR(__xludf.DUMMYFUNCTION("""COMPUTED_VALUE"""),"")</f>
        <v/>
      </c>
      <c r="K325" s="51"/>
      <c r="L325" s="51" t="s">
        <v>257</v>
      </c>
      <c r="M325" s="51"/>
      <c r="N325" s="51"/>
      <c r="O325" s="51"/>
      <c r="P325" s="51"/>
      <c r="Q325" s="51"/>
      <c r="R325" s="51"/>
      <c r="S325" s="51"/>
      <c r="T325" s="51"/>
    </row>
    <row r="326">
      <c r="A326" s="51"/>
      <c r="B326" s="51"/>
      <c r="C326" s="56"/>
      <c r="D326" s="51"/>
      <c r="E326" s="51"/>
      <c r="F326" s="51"/>
      <c r="G326" s="51" t="str">
        <f>IFERROR(__xludf.DUMMYFUNCTION("""COMPUTED_VALUE"""),"#VALUE!")</f>
        <v>#VALUE!</v>
      </c>
      <c r="H326" s="51" t="str">
        <f>IFERROR(__xludf.DUMMYFUNCTION("""COMPUTED_VALUE"""),"")</f>
        <v/>
      </c>
      <c r="I326" s="51" t="str">
        <f>IFERROR(__xludf.DUMMYFUNCTION("""COMPUTED_VALUE"""),"#VALUE!")</f>
        <v>#VALUE!</v>
      </c>
      <c r="J326" s="51" t="str">
        <f>IFERROR(__xludf.DUMMYFUNCTION("""COMPUTED_VALUE"""),"")</f>
        <v/>
      </c>
      <c r="K326" s="51"/>
      <c r="L326" s="51" t="s">
        <v>257</v>
      </c>
      <c r="M326" s="51"/>
      <c r="N326" s="51"/>
      <c r="O326" s="51"/>
      <c r="P326" s="51"/>
      <c r="Q326" s="51"/>
      <c r="R326" s="51"/>
      <c r="S326" s="51"/>
      <c r="T326" s="51"/>
    </row>
    <row r="327">
      <c r="A327" s="51"/>
      <c r="B327" s="51"/>
      <c r="C327" s="56"/>
      <c r="D327" s="51"/>
      <c r="E327" s="51"/>
      <c r="F327" s="51"/>
      <c r="G327" s="51" t="str">
        <f>IFERROR(__xludf.DUMMYFUNCTION("""COMPUTED_VALUE"""),"#VALUE!")</f>
        <v>#VALUE!</v>
      </c>
      <c r="H327" s="51" t="str">
        <f>IFERROR(__xludf.DUMMYFUNCTION("""COMPUTED_VALUE"""),"")</f>
        <v/>
      </c>
      <c r="I327" s="51" t="str">
        <f>IFERROR(__xludf.DUMMYFUNCTION("""COMPUTED_VALUE"""),"#VALUE!")</f>
        <v>#VALUE!</v>
      </c>
      <c r="J327" s="51" t="str">
        <f>IFERROR(__xludf.DUMMYFUNCTION("""COMPUTED_VALUE"""),"")</f>
        <v/>
      </c>
      <c r="K327" s="51"/>
      <c r="L327" s="51" t="s">
        <v>257</v>
      </c>
      <c r="M327" s="51"/>
      <c r="N327" s="51"/>
      <c r="O327" s="51"/>
      <c r="P327" s="51"/>
      <c r="Q327" s="51"/>
      <c r="R327" s="51"/>
      <c r="S327" s="51"/>
      <c r="T327" s="51"/>
    </row>
    <row r="328">
      <c r="A328" s="51"/>
      <c r="B328" s="51"/>
      <c r="C328" s="56"/>
      <c r="D328" s="51"/>
      <c r="E328" s="51"/>
      <c r="F328" s="51"/>
      <c r="G328" s="51" t="str">
        <f>IFERROR(__xludf.DUMMYFUNCTION("""COMPUTED_VALUE"""),"#VALUE!")</f>
        <v>#VALUE!</v>
      </c>
      <c r="H328" s="51" t="str">
        <f>IFERROR(__xludf.DUMMYFUNCTION("""COMPUTED_VALUE"""),"")</f>
        <v/>
      </c>
      <c r="I328" s="51" t="str">
        <f>IFERROR(__xludf.DUMMYFUNCTION("""COMPUTED_VALUE"""),"#VALUE!")</f>
        <v>#VALUE!</v>
      </c>
      <c r="J328" s="51" t="str">
        <f>IFERROR(__xludf.DUMMYFUNCTION("""COMPUTED_VALUE"""),"")</f>
        <v/>
      </c>
      <c r="K328" s="51"/>
      <c r="L328" s="51" t="s">
        <v>257</v>
      </c>
      <c r="M328" s="51"/>
      <c r="N328" s="51"/>
      <c r="O328" s="51"/>
      <c r="P328" s="51"/>
      <c r="Q328" s="51"/>
      <c r="R328" s="51"/>
      <c r="S328" s="51"/>
      <c r="T328" s="51"/>
    </row>
    <row r="329">
      <c r="A329" s="51"/>
      <c r="B329" s="51"/>
      <c r="C329" s="56"/>
      <c r="D329" s="51"/>
      <c r="E329" s="51"/>
      <c r="F329" s="51"/>
      <c r="G329" s="51" t="str">
        <f>IFERROR(__xludf.DUMMYFUNCTION("""COMPUTED_VALUE"""),"#VALUE!")</f>
        <v>#VALUE!</v>
      </c>
      <c r="H329" s="51" t="str">
        <f>IFERROR(__xludf.DUMMYFUNCTION("""COMPUTED_VALUE"""),"")</f>
        <v/>
      </c>
      <c r="I329" s="51" t="str">
        <f>IFERROR(__xludf.DUMMYFUNCTION("""COMPUTED_VALUE"""),"#VALUE!")</f>
        <v>#VALUE!</v>
      </c>
      <c r="J329" s="51" t="str">
        <f>IFERROR(__xludf.DUMMYFUNCTION("""COMPUTED_VALUE"""),"")</f>
        <v/>
      </c>
      <c r="K329" s="51"/>
      <c r="L329" s="51" t="s">
        <v>257</v>
      </c>
      <c r="M329" s="51"/>
      <c r="N329" s="51"/>
      <c r="O329" s="51"/>
      <c r="P329" s="51"/>
      <c r="Q329" s="51"/>
      <c r="R329" s="51"/>
      <c r="S329" s="51"/>
      <c r="T329" s="51"/>
    </row>
    <row r="330">
      <c r="A330" s="51"/>
      <c r="B330" s="51"/>
      <c r="C330" s="56"/>
      <c r="D330" s="51"/>
      <c r="E330" s="51"/>
      <c r="F330" s="51"/>
      <c r="G330" s="51" t="str">
        <f>IFERROR(__xludf.DUMMYFUNCTION("""COMPUTED_VALUE"""),"#VALUE!")</f>
        <v>#VALUE!</v>
      </c>
      <c r="H330" s="51" t="str">
        <f>IFERROR(__xludf.DUMMYFUNCTION("""COMPUTED_VALUE"""),"")</f>
        <v/>
      </c>
      <c r="I330" s="51" t="str">
        <f>IFERROR(__xludf.DUMMYFUNCTION("""COMPUTED_VALUE"""),"#VALUE!")</f>
        <v>#VALUE!</v>
      </c>
      <c r="J330" s="51" t="str">
        <f>IFERROR(__xludf.DUMMYFUNCTION("""COMPUTED_VALUE"""),"")</f>
        <v/>
      </c>
      <c r="K330" s="51"/>
      <c r="L330" s="51" t="s">
        <v>257</v>
      </c>
      <c r="M330" s="51"/>
      <c r="N330" s="51"/>
      <c r="O330" s="51"/>
      <c r="P330" s="51"/>
      <c r="Q330" s="51"/>
      <c r="R330" s="51"/>
      <c r="S330" s="51"/>
      <c r="T330" s="51"/>
    </row>
    <row r="331">
      <c r="A331" s="51"/>
      <c r="B331" s="51"/>
      <c r="C331" s="56"/>
      <c r="D331" s="51"/>
      <c r="E331" s="51"/>
      <c r="F331" s="51"/>
      <c r="G331" s="51" t="str">
        <f>IFERROR(__xludf.DUMMYFUNCTION("""COMPUTED_VALUE"""),"#VALUE!")</f>
        <v>#VALUE!</v>
      </c>
      <c r="H331" s="51" t="str">
        <f>IFERROR(__xludf.DUMMYFUNCTION("""COMPUTED_VALUE"""),"")</f>
        <v/>
      </c>
      <c r="I331" s="51" t="str">
        <f>IFERROR(__xludf.DUMMYFUNCTION("""COMPUTED_VALUE"""),"#VALUE!")</f>
        <v>#VALUE!</v>
      </c>
      <c r="J331" s="51" t="str">
        <f>IFERROR(__xludf.DUMMYFUNCTION("""COMPUTED_VALUE"""),"")</f>
        <v/>
      </c>
      <c r="K331" s="51"/>
      <c r="L331" s="51" t="s">
        <v>257</v>
      </c>
      <c r="M331" s="51"/>
      <c r="N331" s="51"/>
      <c r="O331" s="51"/>
      <c r="P331" s="51"/>
      <c r="Q331" s="51"/>
      <c r="R331" s="51"/>
      <c r="S331" s="51"/>
      <c r="T331" s="51"/>
    </row>
    <row r="332">
      <c r="A332" s="51"/>
      <c r="B332" s="51"/>
      <c r="C332" s="56"/>
      <c r="D332" s="51"/>
      <c r="E332" s="51"/>
      <c r="F332" s="51"/>
      <c r="G332" s="51" t="str">
        <f>IFERROR(__xludf.DUMMYFUNCTION("""COMPUTED_VALUE"""),"#VALUE!")</f>
        <v>#VALUE!</v>
      </c>
      <c r="H332" s="51" t="str">
        <f>IFERROR(__xludf.DUMMYFUNCTION("""COMPUTED_VALUE"""),"")</f>
        <v/>
      </c>
      <c r="I332" s="51" t="str">
        <f>IFERROR(__xludf.DUMMYFUNCTION("""COMPUTED_VALUE"""),"#VALUE!")</f>
        <v>#VALUE!</v>
      </c>
      <c r="J332" s="51" t="str">
        <f>IFERROR(__xludf.DUMMYFUNCTION("""COMPUTED_VALUE"""),"")</f>
        <v/>
      </c>
      <c r="K332" s="51"/>
      <c r="L332" s="51" t="s">
        <v>257</v>
      </c>
      <c r="M332" s="51"/>
      <c r="N332" s="51"/>
      <c r="O332" s="51"/>
      <c r="P332" s="51"/>
      <c r="Q332" s="51"/>
      <c r="R332" s="51"/>
      <c r="S332" s="51"/>
      <c r="T332" s="51"/>
    </row>
    <row r="333">
      <c r="A333" s="51"/>
      <c r="B333" s="51"/>
      <c r="C333" s="56"/>
      <c r="D333" s="51"/>
      <c r="E333" s="51"/>
      <c r="F333" s="51"/>
      <c r="G333" s="51" t="str">
        <f>IFERROR(__xludf.DUMMYFUNCTION("""COMPUTED_VALUE"""),"#VALUE!")</f>
        <v>#VALUE!</v>
      </c>
      <c r="H333" s="51" t="str">
        <f>IFERROR(__xludf.DUMMYFUNCTION("""COMPUTED_VALUE"""),"")</f>
        <v/>
      </c>
      <c r="I333" s="51" t="str">
        <f>IFERROR(__xludf.DUMMYFUNCTION("""COMPUTED_VALUE"""),"#VALUE!")</f>
        <v>#VALUE!</v>
      </c>
      <c r="J333" s="51" t="str">
        <f>IFERROR(__xludf.DUMMYFUNCTION("""COMPUTED_VALUE"""),"")</f>
        <v/>
      </c>
      <c r="K333" s="51"/>
      <c r="L333" s="51" t="s">
        <v>257</v>
      </c>
      <c r="M333" s="51"/>
      <c r="N333" s="51"/>
      <c r="O333" s="51"/>
      <c r="P333" s="51"/>
      <c r="Q333" s="51"/>
      <c r="R333" s="51"/>
      <c r="S333" s="51"/>
      <c r="T333" s="51"/>
    </row>
    <row r="334">
      <c r="A334" s="51"/>
      <c r="B334" s="51"/>
      <c r="C334" s="56"/>
      <c r="D334" s="51"/>
      <c r="E334" s="51"/>
      <c r="F334" s="51"/>
      <c r="G334" s="51" t="str">
        <f>IFERROR(__xludf.DUMMYFUNCTION("""COMPUTED_VALUE"""),"#VALUE!")</f>
        <v>#VALUE!</v>
      </c>
      <c r="H334" s="51" t="str">
        <f>IFERROR(__xludf.DUMMYFUNCTION("""COMPUTED_VALUE"""),"")</f>
        <v/>
      </c>
      <c r="I334" s="51" t="str">
        <f>IFERROR(__xludf.DUMMYFUNCTION("""COMPUTED_VALUE"""),"#VALUE!")</f>
        <v>#VALUE!</v>
      </c>
      <c r="J334" s="51" t="str">
        <f>IFERROR(__xludf.DUMMYFUNCTION("""COMPUTED_VALUE"""),"")</f>
        <v/>
      </c>
      <c r="K334" s="51"/>
      <c r="L334" s="51" t="s">
        <v>257</v>
      </c>
      <c r="M334" s="51"/>
      <c r="N334" s="51"/>
      <c r="O334" s="51"/>
      <c r="P334" s="51"/>
      <c r="Q334" s="51"/>
      <c r="R334" s="51"/>
      <c r="S334" s="51"/>
      <c r="T334" s="51"/>
    </row>
    <row r="335">
      <c r="A335" s="51"/>
      <c r="B335" s="51"/>
      <c r="C335" s="56"/>
      <c r="D335" s="51"/>
      <c r="E335" s="51"/>
      <c r="F335" s="51"/>
      <c r="G335" s="51" t="str">
        <f>IFERROR(__xludf.DUMMYFUNCTION("""COMPUTED_VALUE"""),"#VALUE!")</f>
        <v>#VALUE!</v>
      </c>
      <c r="H335" s="51" t="str">
        <f>IFERROR(__xludf.DUMMYFUNCTION("""COMPUTED_VALUE"""),"")</f>
        <v/>
      </c>
      <c r="I335" s="51" t="str">
        <f>IFERROR(__xludf.DUMMYFUNCTION("""COMPUTED_VALUE"""),"#VALUE!")</f>
        <v>#VALUE!</v>
      </c>
      <c r="J335" s="51" t="str">
        <f>IFERROR(__xludf.DUMMYFUNCTION("""COMPUTED_VALUE"""),"")</f>
        <v/>
      </c>
      <c r="K335" s="51"/>
      <c r="L335" s="51" t="s">
        <v>257</v>
      </c>
      <c r="M335" s="51"/>
      <c r="N335" s="51"/>
      <c r="O335" s="51"/>
      <c r="P335" s="51"/>
      <c r="Q335" s="51"/>
      <c r="R335" s="51"/>
      <c r="S335" s="51"/>
      <c r="T335" s="51"/>
    </row>
    <row r="336">
      <c r="A336" s="51"/>
      <c r="B336" s="51"/>
      <c r="C336" s="56"/>
      <c r="D336" s="51"/>
      <c r="E336" s="51"/>
      <c r="F336" s="51"/>
      <c r="G336" s="51" t="str">
        <f>IFERROR(__xludf.DUMMYFUNCTION("""COMPUTED_VALUE"""),"#VALUE!")</f>
        <v>#VALUE!</v>
      </c>
      <c r="H336" s="51" t="str">
        <f>IFERROR(__xludf.DUMMYFUNCTION("""COMPUTED_VALUE"""),"")</f>
        <v/>
      </c>
      <c r="I336" s="51" t="str">
        <f>IFERROR(__xludf.DUMMYFUNCTION("""COMPUTED_VALUE"""),"#VALUE!")</f>
        <v>#VALUE!</v>
      </c>
      <c r="J336" s="51" t="str">
        <f>IFERROR(__xludf.DUMMYFUNCTION("""COMPUTED_VALUE"""),"")</f>
        <v/>
      </c>
      <c r="K336" s="51"/>
      <c r="L336" s="51" t="s">
        <v>257</v>
      </c>
      <c r="M336" s="51"/>
      <c r="N336" s="51"/>
      <c r="O336" s="51"/>
      <c r="P336" s="51"/>
      <c r="Q336" s="51"/>
      <c r="R336" s="51"/>
      <c r="S336" s="51"/>
      <c r="T336" s="51"/>
    </row>
    <row r="337">
      <c r="A337" s="51"/>
      <c r="B337" s="51"/>
      <c r="C337" s="56"/>
      <c r="D337" s="51"/>
      <c r="E337" s="51"/>
      <c r="F337" s="51"/>
      <c r="G337" s="51" t="str">
        <f>IFERROR(__xludf.DUMMYFUNCTION("""COMPUTED_VALUE"""),"#VALUE!")</f>
        <v>#VALUE!</v>
      </c>
      <c r="H337" s="51" t="str">
        <f>IFERROR(__xludf.DUMMYFUNCTION("""COMPUTED_VALUE"""),"")</f>
        <v/>
      </c>
      <c r="I337" s="51" t="str">
        <f>IFERROR(__xludf.DUMMYFUNCTION("""COMPUTED_VALUE"""),"#VALUE!")</f>
        <v>#VALUE!</v>
      </c>
      <c r="J337" s="51" t="str">
        <f>IFERROR(__xludf.DUMMYFUNCTION("""COMPUTED_VALUE"""),"")</f>
        <v/>
      </c>
      <c r="K337" s="51"/>
      <c r="L337" s="51" t="s">
        <v>257</v>
      </c>
      <c r="M337" s="51"/>
      <c r="N337" s="51"/>
      <c r="O337" s="51"/>
      <c r="P337" s="51"/>
      <c r="Q337" s="51"/>
      <c r="R337" s="51"/>
      <c r="S337" s="51"/>
      <c r="T337" s="51"/>
    </row>
    <row r="338">
      <c r="A338" s="51"/>
      <c r="B338" s="51"/>
      <c r="C338" s="56"/>
      <c r="D338" s="51"/>
      <c r="E338" s="51"/>
      <c r="F338" s="51"/>
      <c r="G338" s="51" t="str">
        <f>IFERROR(__xludf.DUMMYFUNCTION("""COMPUTED_VALUE"""),"#VALUE!")</f>
        <v>#VALUE!</v>
      </c>
      <c r="H338" s="51" t="str">
        <f>IFERROR(__xludf.DUMMYFUNCTION("""COMPUTED_VALUE"""),"")</f>
        <v/>
      </c>
      <c r="I338" s="51" t="str">
        <f>IFERROR(__xludf.DUMMYFUNCTION("""COMPUTED_VALUE"""),"#VALUE!")</f>
        <v>#VALUE!</v>
      </c>
      <c r="J338" s="51" t="str">
        <f>IFERROR(__xludf.DUMMYFUNCTION("""COMPUTED_VALUE"""),"")</f>
        <v/>
      </c>
      <c r="K338" s="51"/>
      <c r="L338" s="51" t="s">
        <v>257</v>
      </c>
      <c r="M338" s="51"/>
      <c r="N338" s="51"/>
      <c r="O338" s="51"/>
      <c r="P338" s="51"/>
      <c r="Q338" s="51"/>
      <c r="R338" s="51"/>
      <c r="S338" s="51"/>
      <c r="T338" s="51"/>
    </row>
    <row r="339">
      <c r="A339" s="51"/>
      <c r="B339" s="51"/>
      <c r="C339" s="56"/>
      <c r="D339" s="51"/>
      <c r="E339" s="51"/>
      <c r="F339" s="51"/>
      <c r="G339" s="51" t="str">
        <f>IFERROR(__xludf.DUMMYFUNCTION("""COMPUTED_VALUE"""),"#VALUE!")</f>
        <v>#VALUE!</v>
      </c>
      <c r="H339" s="51" t="str">
        <f>IFERROR(__xludf.DUMMYFUNCTION("""COMPUTED_VALUE"""),"")</f>
        <v/>
      </c>
      <c r="I339" s="51" t="str">
        <f>IFERROR(__xludf.DUMMYFUNCTION("""COMPUTED_VALUE"""),"#VALUE!")</f>
        <v>#VALUE!</v>
      </c>
      <c r="J339" s="51" t="str">
        <f>IFERROR(__xludf.DUMMYFUNCTION("""COMPUTED_VALUE"""),"")</f>
        <v/>
      </c>
      <c r="K339" s="51"/>
      <c r="L339" s="51" t="s">
        <v>257</v>
      </c>
      <c r="M339" s="51"/>
      <c r="N339" s="51"/>
      <c r="O339" s="51"/>
      <c r="P339" s="51"/>
      <c r="Q339" s="51"/>
      <c r="R339" s="51"/>
      <c r="S339" s="51"/>
      <c r="T339" s="51"/>
    </row>
    <row r="340">
      <c r="A340" s="51"/>
      <c r="B340" s="51"/>
      <c r="C340" s="56"/>
      <c r="D340" s="51"/>
      <c r="E340" s="51"/>
      <c r="F340" s="51"/>
      <c r="G340" s="51" t="str">
        <f>IFERROR(__xludf.DUMMYFUNCTION("""COMPUTED_VALUE"""),"#VALUE!")</f>
        <v>#VALUE!</v>
      </c>
      <c r="H340" s="51" t="str">
        <f>IFERROR(__xludf.DUMMYFUNCTION("""COMPUTED_VALUE"""),"")</f>
        <v/>
      </c>
      <c r="I340" s="51" t="str">
        <f>IFERROR(__xludf.DUMMYFUNCTION("""COMPUTED_VALUE"""),"#VALUE!")</f>
        <v>#VALUE!</v>
      </c>
      <c r="J340" s="51" t="str">
        <f>IFERROR(__xludf.DUMMYFUNCTION("""COMPUTED_VALUE"""),"")</f>
        <v/>
      </c>
      <c r="K340" s="51"/>
      <c r="L340" s="51" t="s">
        <v>257</v>
      </c>
      <c r="M340" s="51"/>
      <c r="N340" s="51"/>
      <c r="O340" s="51"/>
      <c r="P340" s="51"/>
      <c r="Q340" s="51"/>
      <c r="R340" s="51"/>
      <c r="S340" s="51"/>
      <c r="T340" s="51"/>
    </row>
    <row r="341">
      <c r="A341" s="51"/>
      <c r="B341" s="51"/>
      <c r="C341" s="56"/>
      <c r="D341" s="51"/>
      <c r="E341" s="51"/>
      <c r="F341" s="51"/>
      <c r="G341" s="51" t="str">
        <f>IFERROR(__xludf.DUMMYFUNCTION("""COMPUTED_VALUE"""),"#VALUE!")</f>
        <v>#VALUE!</v>
      </c>
      <c r="H341" s="51" t="str">
        <f>IFERROR(__xludf.DUMMYFUNCTION("""COMPUTED_VALUE"""),"")</f>
        <v/>
      </c>
      <c r="I341" s="51" t="str">
        <f>IFERROR(__xludf.DUMMYFUNCTION("""COMPUTED_VALUE"""),"#VALUE!")</f>
        <v>#VALUE!</v>
      </c>
      <c r="J341" s="51" t="str">
        <f>IFERROR(__xludf.DUMMYFUNCTION("""COMPUTED_VALUE"""),"")</f>
        <v/>
      </c>
      <c r="K341" s="51"/>
      <c r="L341" s="51" t="s">
        <v>257</v>
      </c>
      <c r="M341" s="51"/>
      <c r="N341" s="51"/>
      <c r="O341" s="51"/>
      <c r="P341" s="51"/>
      <c r="Q341" s="51"/>
      <c r="R341" s="51"/>
      <c r="S341" s="51"/>
      <c r="T341" s="51"/>
    </row>
    <row r="342">
      <c r="A342" s="51"/>
      <c r="B342" s="51"/>
      <c r="C342" s="56"/>
      <c r="D342" s="51"/>
      <c r="E342" s="51"/>
      <c r="F342" s="51"/>
      <c r="G342" s="51" t="str">
        <f>IFERROR(__xludf.DUMMYFUNCTION("""COMPUTED_VALUE"""),"#VALUE!")</f>
        <v>#VALUE!</v>
      </c>
      <c r="H342" s="51" t="str">
        <f>IFERROR(__xludf.DUMMYFUNCTION("""COMPUTED_VALUE"""),"")</f>
        <v/>
      </c>
      <c r="I342" s="51" t="str">
        <f>IFERROR(__xludf.DUMMYFUNCTION("""COMPUTED_VALUE"""),"#VALUE!")</f>
        <v>#VALUE!</v>
      </c>
      <c r="J342" s="51" t="str">
        <f>IFERROR(__xludf.DUMMYFUNCTION("""COMPUTED_VALUE"""),"")</f>
        <v/>
      </c>
      <c r="K342" s="51"/>
      <c r="L342" s="51" t="s">
        <v>257</v>
      </c>
      <c r="M342" s="51"/>
      <c r="N342" s="51"/>
      <c r="O342" s="51"/>
      <c r="P342" s="51"/>
      <c r="Q342" s="51"/>
      <c r="R342" s="51"/>
      <c r="S342" s="51"/>
      <c r="T342" s="51"/>
    </row>
    <row r="343">
      <c r="A343" s="51"/>
      <c r="B343" s="51"/>
      <c r="C343" s="56"/>
      <c r="D343" s="51"/>
      <c r="E343" s="51"/>
      <c r="F343" s="51"/>
      <c r="G343" s="51" t="str">
        <f>IFERROR(__xludf.DUMMYFUNCTION("""COMPUTED_VALUE"""),"#VALUE!")</f>
        <v>#VALUE!</v>
      </c>
      <c r="H343" s="51" t="str">
        <f>IFERROR(__xludf.DUMMYFUNCTION("""COMPUTED_VALUE"""),"")</f>
        <v/>
      </c>
      <c r="I343" s="51" t="str">
        <f>IFERROR(__xludf.DUMMYFUNCTION("""COMPUTED_VALUE"""),"#VALUE!")</f>
        <v>#VALUE!</v>
      </c>
      <c r="J343" s="51" t="str">
        <f>IFERROR(__xludf.DUMMYFUNCTION("""COMPUTED_VALUE"""),"")</f>
        <v/>
      </c>
      <c r="K343" s="51"/>
      <c r="L343" s="51" t="s">
        <v>257</v>
      </c>
      <c r="M343" s="51"/>
      <c r="N343" s="51"/>
      <c r="O343" s="51"/>
      <c r="P343" s="51"/>
      <c r="Q343" s="51"/>
      <c r="R343" s="51"/>
      <c r="S343" s="51"/>
      <c r="T343" s="51"/>
    </row>
    <row r="344">
      <c r="A344" s="51"/>
      <c r="B344" s="51"/>
      <c r="C344" s="56"/>
      <c r="D344" s="51"/>
      <c r="E344" s="51"/>
      <c r="F344" s="51"/>
      <c r="G344" s="51" t="str">
        <f>IFERROR(__xludf.DUMMYFUNCTION("""COMPUTED_VALUE"""),"#VALUE!")</f>
        <v>#VALUE!</v>
      </c>
      <c r="H344" s="51" t="str">
        <f>IFERROR(__xludf.DUMMYFUNCTION("""COMPUTED_VALUE"""),"")</f>
        <v/>
      </c>
      <c r="I344" s="51" t="str">
        <f>IFERROR(__xludf.DUMMYFUNCTION("""COMPUTED_VALUE"""),"#VALUE!")</f>
        <v>#VALUE!</v>
      </c>
      <c r="J344" s="51" t="str">
        <f>IFERROR(__xludf.DUMMYFUNCTION("""COMPUTED_VALUE"""),"")</f>
        <v/>
      </c>
      <c r="K344" s="51"/>
      <c r="L344" s="51" t="s">
        <v>257</v>
      </c>
      <c r="M344" s="51"/>
      <c r="N344" s="51"/>
      <c r="O344" s="51"/>
      <c r="P344" s="51"/>
      <c r="Q344" s="51"/>
      <c r="R344" s="51"/>
      <c r="S344" s="51"/>
      <c r="T344" s="51"/>
    </row>
    <row r="345">
      <c r="A345" s="51"/>
      <c r="B345" s="51"/>
      <c r="C345" s="56"/>
      <c r="D345" s="51"/>
      <c r="E345" s="51"/>
      <c r="F345" s="51"/>
      <c r="G345" s="51" t="str">
        <f>IFERROR(__xludf.DUMMYFUNCTION("""COMPUTED_VALUE"""),"#VALUE!")</f>
        <v>#VALUE!</v>
      </c>
      <c r="H345" s="51" t="str">
        <f>IFERROR(__xludf.DUMMYFUNCTION("""COMPUTED_VALUE"""),"")</f>
        <v/>
      </c>
      <c r="I345" s="51" t="str">
        <f>IFERROR(__xludf.DUMMYFUNCTION("""COMPUTED_VALUE"""),"#VALUE!")</f>
        <v>#VALUE!</v>
      </c>
      <c r="J345" s="51" t="str">
        <f>IFERROR(__xludf.DUMMYFUNCTION("""COMPUTED_VALUE"""),"")</f>
        <v/>
      </c>
      <c r="K345" s="51"/>
      <c r="L345" s="51" t="s">
        <v>257</v>
      </c>
      <c r="M345" s="51"/>
      <c r="N345" s="51"/>
      <c r="O345" s="51"/>
      <c r="P345" s="51"/>
      <c r="Q345" s="51"/>
      <c r="R345" s="51"/>
      <c r="S345" s="51"/>
      <c r="T345" s="51"/>
    </row>
    <row r="346">
      <c r="A346" s="51"/>
      <c r="B346" s="51"/>
      <c r="C346" s="56"/>
      <c r="D346" s="51"/>
      <c r="E346" s="51"/>
      <c r="F346" s="51"/>
      <c r="G346" s="51" t="str">
        <f>IFERROR(__xludf.DUMMYFUNCTION("""COMPUTED_VALUE"""),"#VALUE!")</f>
        <v>#VALUE!</v>
      </c>
      <c r="H346" s="51" t="str">
        <f>IFERROR(__xludf.DUMMYFUNCTION("""COMPUTED_VALUE"""),"")</f>
        <v/>
      </c>
      <c r="I346" s="51" t="str">
        <f>IFERROR(__xludf.DUMMYFUNCTION("""COMPUTED_VALUE"""),"#VALUE!")</f>
        <v>#VALUE!</v>
      </c>
      <c r="J346" s="51" t="str">
        <f>IFERROR(__xludf.DUMMYFUNCTION("""COMPUTED_VALUE"""),"")</f>
        <v/>
      </c>
      <c r="K346" s="51"/>
      <c r="L346" s="51" t="s">
        <v>257</v>
      </c>
      <c r="M346" s="51"/>
      <c r="N346" s="51"/>
      <c r="O346" s="51"/>
      <c r="P346" s="51"/>
      <c r="Q346" s="51"/>
      <c r="R346" s="51"/>
      <c r="S346" s="51"/>
      <c r="T346" s="51"/>
    </row>
    <row r="347">
      <c r="A347" s="51"/>
      <c r="B347" s="51"/>
      <c r="C347" s="56"/>
      <c r="D347" s="51"/>
      <c r="E347" s="51"/>
      <c r="F347" s="51"/>
      <c r="G347" s="51" t="str">
        <f>IFERROR(__xludf.DUMMYFUNCTION("""COMPUTED_VALUE"""),"#VALUE!")</f>
        <v>#VALUE!</v>
      </c>
      <c r="H347" s="51" t="str">
        <f>IFERROR(__xludf.DUMMYFUNCTION("""COMPUTED_VALUE"""),"")</f>
        <v/>
      </c>
      <c r="I347" s="51" t="str">
        <f>IFERROR(__xludf.DUMMYFUNCTION("""COMPUTED_VALUE"""),"#VALUE!")</f>
        <v>#VALUE!</v>
      </c>
      <c r="J347" s="51" t="str">
        <f>IFERROR(__xludf.DUMMYFUNCTION("""COMPUTED_VALUE"""),"")</f>
        <v/>
      </c>
      <c r="K347" s="51"/>
      <c r="L347" s="51" t="s">
        <v>257</v>
      </c>
      <c r="M347" s="51"/>
      <c r="N347" s="51"/>
      <c r="O347" s="51"/>
      <c r="P347" s="51"/>
      <c r="Q347" s="51"/>
      <c r="R347" s="51"/>
      <c r="S347" s="51"/>
      <c r="T347" s="51"/>
    </row>
    <row r="348">
      <c r="A348" s="51"/>
      <c r="B348" s="51"/>
      <c r="C348" s="56"/>
      <c r="D348" s="51"/>
      <c r="E348" s="51"/>
      <c r="F348" s="51"/>
      <c r="G348" s="51" t="str">
        <f>IFERROR(__xludf.DUMMYFUNCTION("""COMPUTED_VALUE"""),"#VALUE!")</f>
        <v>#VALUE!</v>
      </c>
      <c r="H348" s="51" t="str">
        <f>IFERROR(__xludf.DUMMYFUNCTION("""COMPUTED_VALUE"""),"")</f>
        <v/>
      </c>
      <c r="I348" s="51" t="str">
        <f>IFERROR(__xludf.DUMMYFUNCTION("""COMPUTED_VALUE"""),"#VALUE!")</f>
        <v>#VALUE!</v>
      </c>
      <c r="J348" s="51" t="str">
        <f>IFERROR(__xludf.DUMMYFUNCTION("""COMPUTED_VALUE"""),"")</f>
        <v/>
      </c>
      <c r="K348" s="51"/>
      <c r="L348" s="51" t="s">
        <v>257</v>
      </c>
      <c r="M348" s="51"/>
      <c r="N348" s="51"/>
      <c r="O348" s="51"/>
      <c r="P348" s="51"/>
      <c r="Q348" s="51"/>
      <c r="R348" s="51"/>
      <c r="S348" s="51"/>
      <c r="T348" s="51"/>
    </row>
    <row r="349">
      <c r="A349" s="51"/>
      <c r="B349" s="51"/>
      <c r="C349" s="56"/>
      <c r="D349" s="51"/>
      <c r="E349" s="51"/>
      <c r="F349" s="51"/>
      <c r="G349" s="51" t="str">
        <f>IFERROR(__xludf.DUMMYFUNCTION("""COMPUTED_VALUE"""),"#VALUE!")</f>
        <v>#VALUE!</v>
      </c>
      <c r="H349" s="51" t="str">
        <f>IFERROR(__xludf.DUMMYFUNCTION("""COMPUTED_VALUE"""),"")</f>
        <v/>
      </c>
      <c r="I349" s="51" t="str">
        <f>IFERROR(__xludf.DUMMYFUNCTION("""COMPUTED_VALUE"""),"#VALUE!")</f>
        <v>#VALUE!</v>
      </c>
      <c r="J349" s="51" t="str">
        <f>IFERROR(__xludf.DUMMYFUNCTION("""COMPUTED_VALUE"""),"")</f>
        <v/>
      </c>
      <c r="K349" s="51"/>
      <c r="L349" s="51" t="s">
        <v>257</v>
      </c>
      <c r="M349" s="51"/>
      <c r="N349" s="51"/>
      <c r="O349" s="51"/>
      <c r="P349" s="51"/>
      <c r="Q349" s="51"/>
      <c r="R349" s="51"/>
      <c r="S349" s="51"/>
      <c r="T349" s="51"/>
    </row>
    <row r="350">
      <c r="A350" s="51"/>
      <c r="B350" s="51"/>
      <c r="C350" s="56"/>
      <c r="D350" s="51"/>
      <c r="E350" s="51"/>
      <c r="F350" s="51"/>
      <c r="G350" s="51" t="str">
        <f>IFERROR(__xludf.DUMMYFUNCTION("""COMPUTED_VALUE"""),"#VALUE!")</f>
        <v>#VALUE!</v>
      </c>
      <c r="H350" s="51" t="str">
        <f>IFERROR(__xludf.DUMMYFUNCTION("""COMPUTED_VALUE"""),"")</f>
        <v/>
      </c>
      <c r="I350" s="51" t="str">
        <f>IFERROR(__xludf.DUMMYFUNCTION("""COMPUTED_VALUE"""),"#VALUE!")</f>
        <v>#VALUE!</v>
      </c>
      <c r="J350" s="51" t="str">
        <f>IFERROR(__xludf.DUMMYFUNCTION("""COMPUTED_VALUE"""),"")</f>
        <v/>
      </c>
      <c r="K350" s="51"/>
      <c r="L350" s="51" t="s">
        <v>257</v>
      </c>
      <c r="M350" s="51"/>
      <c r="N350" s="51"/>
      <c r="O350" s="51"/>
      <c r="P350" s="51"/>
      <c r="Q350" s="51"/>
      <c r="R350" s="51"/>
      <c r="S350" s="51"/>
      <c r="T350" s="51"/>
    </row>
    <row r="351">
      <c r="A351" s="51"/>
      <c r="B351" s="51"/>
      <c r="C351" s="56"/>
      <c r="D351" s="51"/>
      <c r="E351" s="51"/>
      <c r="F351" s="51"/>
      <c r="G351" s="51" t="str">
        <f>IFERROR(__xludf.DUMMYFUNCTION("""COMPUTED_VALUE"""),"#VALUE!")</f>
        <v>#VALUE!</v>
      </c>
      <c r="H351" s="51" t="str">
        <f>IFERROR(__xludf.DUMMYFUNCTION("""COMPUTED_VALUE"""),"")</f>
        <v/>
      </c>
      <c r="I351" s="51" t="str">
        <f>IFERROR(__xludf.DUMMYFUNCTION("""COMPUTED_VALUE"""),"#VALUE!")</f>
        <v>#VALUE!</v>
      </c>
      <c r="J351" s="51" t="str">
        <f>IFERROR(__xludf.DUMMYFUNCTION("""COMPUTED_VALUE"""),"")</f>
        <v/>
      </c>
      <c r="K351" s="51"/>
      <c r="L351" s="51" t="s">
        <v>257</v>
      </c>
      <c r="M351" s="51"/>
      <c r="N351" s="51"/>
      <c r="O351" s="51"/>
      <c r="P351" s="51"/>
      <c r="Q351" s="51"/>
      <c r="R351" s="51"/>
      <c r="S351" s="51"/>
      <c r="T351" s="51"/>
    </row>
    <row r="352">
      <c r="A352" s="51"/>
      <c r="B352" s="51"/>
      <c r="C352" s="56"/>
      <c r="D352" s="51"/>
      <c r="E352" s="51"/>
      <c r="F352" s="51"/>
      <c r="G352" s="51" t="str">
        <f>IFERROR(__xludf.DUMMYFUNCTION("""COMPUTED_VALUE"""),"#VALUE!")</f>
        <v>#VALUE!</v>
      </c>
      <c r="H352" s="51" t="str">
        <f>IFERROR(__xludf.DUMMYFUNCTION("""COMPUTED_VALUE"""),"")</f>
        <v/>
      </c>
      <c r="I352" s="51" t="str">
        <f>IFERROR(__xludf.DUMMYFUNCTION("""COMPUTED_VALUE"""),"#VALUE!")</f>
        <v>#VALUE!</v>
      </c>
      <c r="J352" s="51" t="str">
        <f>IFERROR(__xludf.DUMMYFUNCTION("""COMPUTED_VALUE"""),"")</f>
        <v/>
      </c>
      <c r="K352" s="51"/>
      <c r="L352" s="51" t="s">
        <v>257</v>
      </c>
      <c r="M352" s="51"/>
      <c r="N352" s="51"/>
      <c r="O352" s="51"/>
      <c r="P352" s="51"/>
      <c r="Q352" s="51"/>
      <c r="R352" s="51"/>
      <c r="S352" s="51"/>
      <c r="T352" s="51"/>
    </row>
    <row r="353">
      <c r="A353" s="51"/>
      <c r="B353" s="51"/>
      <c r="C353" s="56"/>
      <c r="D353" s="51"/>
      <c r="E353" s="51"/>
      <c r="F353" s="51"/>
      <c r="G353" s="51" t="str">
        <f>IFERROR(__xludf.DUMMYFUNCTION("""COMPUTED_VALUE"""),"#VALUE!")</f>
        <v>#VALUE!</v>
      </c>
      <c r="H353" s="51" t="str">
        <f>IFERROR(__xludf.DUMMYFUNCTION("""COMPUTED_VALUE"""),"")</f>
        <v/>
      </c>
      <c r="I353" s="51" t="str">
        <f>IFERROR(__xludf.DUMMYFUNCTION("""COMPUTED_VALUE"""),"#VALUE!")</f>
        <v>#VALUE!</v>
      </c>
      <c r="J353" s="51" t="str">
        <f>IFERROR(__xludf.DUMMYFUNCTION("""COMPUTED_VALUE"""),"")</f>
        <v/>
      </c>
      <c r="K353" s="51"/>
      <c r="L353" s="51" t="s">
        <v>257</v>
      </c>
      <c r="M353" s="51"/>
      <c r="N353" s="51"/>
      <c r="O353" s="51"/>
      <c r="P353" s="51"/>
      <c r="Q353" s="51"/>
      <c r="R353" s="51"/>
      <c r="S353" s="51"/>
      <c r="T353" s="51"/>
    </row>
    <row r="354">
      <c r="A354" s="51"/>
      <c r="B354" s="51"/>
      <c r="C354" s="56"/>
      <c r="D354" s="51"/>
      <c r="E354" s="51"/>
      <c r="F354" s="51"/>
      <c r="G354" s="51" t="str">
        <f>IFERROR(__xludf.DUMMYFUNCTION("""COMPUTED_VALUE"""),"#VALUE!")</f>
        <v>#VALUE!</v>
      </c>
      <c r="H354" s="51" t="str">
        <f>IFERROR(__xludf.DUMMYFUNCTION("""COMPUTED_VALUE"""),"")</f>
        <v/>
      </c>
      <c r="I354" s="51" t="str">
        <f>IFERROR(__xludf.DUMMYFUNCTION("""COMPUTED_VALUE"""),"#VALUE!")</f>
        <v>#VALUE!</v>
      </c>
      <c r="J354" s="51" t="str">
        <f>IFERROR(__xludf.DUMMYFUNCTION("""COMPUTED_VALUE"""),"")</f>
        <v/>
      </c>
      <c r="K354" s="51"/>
      <c r="L354" s="51" t="s">
        <v>257</v>
      </c>
      <c r="M354" s="51"/>
      <c r="N354" s="51"/>
      <c r="O354" s="51"/>
      <c r="P354" s="51"/>
      <c r="Q354" s="51"/>
      <c r="R354" s="51"/>
      <c r="S354" s="51"/>
      <c r="T354" s="51"/>
    </row>
    <row r="355">
      <c r="A355" s="51"/>
      <c r="B355" s="51"/>
      <c r="C355" s="56"/>
      <c r="D355" s="51"/>
      <c r="E355" s="51"/>
      <c r="F355" s="51"/>
      <c r="G355" s="51" t="str">
        <f>IFERROR(__xludf.DUMMYFUNCTION("""COMPUTED_VALUE"""),"#VALUE!")</f>
        <v>#VALUE!</v>
      </c>
      <c r="H355" s="51" t="str">
        <f>IFERROR(__xludf.DUMMYFUNCTION("""COMPUTED_VALUE"""),"")</f>
        <v/>
      </c>
      <c r="I355" s="51" t="str">
        <f>IFERROR(__xludf.DUMMYFUNCTION("""COMPUTED_VALUE"""),"#VALUE!")</f>
        <v>#VALUE!</v>
      </c>
      <c r="J355" s="51" t="str">
        <f>IFERROR(__xludf.DUMMYFUNCTION("""COMPUTED_VALUE"""),"")</f>
        <v/>
      </c>
      <c r="K355" s="51"/>
      <c r="L355" s="51" t="s">
        <v>257</v>
      </c>
      <c r="M355" s="51"/>
      <c r="N355" s="51"/>
      <c r="O355" s="51"/>
      <c r="P355" s="51"/>
      <c r="Q355" s="51"/>
      <c r="R355" s="51"/>
      <c r="S355" s="51"/>
      <c r="T355" s="51"/>
    </row>
    <row r="356">
      <c r="A356" s="51"/>
      <c r="B356" s="51"/>
      <c r="C356" s="56"/>
      <c r="D356" s="51"/>
      <c r="E356" s="51"/>
      <c r="F356" s="51"/>
      <c r="G356" s="51" t="str">
        <f>IFERROR(__xludf.DUMMYFUNCTION("""COMPUTED_VALUE"""),"#VALUE!")</f>
        <v>#VALUE!</v>
      </c>
      <c r="H356" s="51" t="str">
        <f>IFERROR(__xludf.DUMMYFUNCTION("""COMPUTED_VALUE"""),"")</f>
        <v/>
      </c>
      <c r="I356" s="51" t="str">
        <f>IFERROR(__xludf.DUMMYFUNCTION("""COMPUTED_VALUE"""),"#VALUE!")</f>
        <v>#VALUE!</v>
      </c>
      <c r="J356" s="51" t="str">
        <f>IFERROR(__xludf.DUMMYFUNCTION("""COMPUTED_VALUE"""),"")</f>
        <v/>
      </c>
      <c r="K356" s="51"/>
      <c r="L356" s="51" t="s">
        <v>257</v>
      </c>
      <c r="M356" s="51"/>
      <c r="N356" s="51"/>
      <c r="O356" s="51"/>
      <c r="P356" s="51"/>
      <c r="Q356" s="51"/>
      <c r="R356" s="51"/>
      <c r="S356" s="51"/>
      <c r="T356" s="51"/>
    </row>
    <row r="357">
      <c r="A357" s="51"/>
      <c r="B357" s="51"/>
      <c r="C357" s="56"/>
      <c r="D357" s="51"/>
      <c r="E357" s="51"/>
      <c r="F357" s="51"/>
      <c r="G357" s="51" t="str">
        <f>IFERROR(__xludf.DUMMYFUNCTION("""COMPUTED_VALUE"""),"#VALUE!")</f>
        <v>#VALUE!</v>
      </c>
      <c r="H357" s="51" t="str">
        <f>IFERROR(__xludf.DUMMYFUNCTION("""COMPUTED_VALUE"""),"")</f>
        <v/>
      </c>
      <c r="I357" s="51" t="str">
        <f>IFERROR(__xludf.DUMMYFUNCTION("""COMPUTED_VALUE"""),"#VALUE!")</f>
        <v>#VALUE!</v>
      </c>
      <c r="J357" s="51" t="str">
        <f>IFERROR(__xludf.DUMMYFUNCTION("""COMPUTED_VALUE"""),"")</f>
        <v/>
      </c>
      <c r="K357" s="51"/>
      <c r="L357" s="51" t="s">
        <v>257</v>
      </c>
      <c r="M357" s="51"/>
      <c r="N357" s="51"/>
      <c r="O357" s="51"/>
      <c r="P357" s="51"/>
      <c r="Q357" s="51"/>
      <c r="R357" s="51"/>
      <c r="S357" s="51"/>
      <c r="T357" s="51"/>
    </row>
    <row r="358">
      <c r="A358" s="51"/>
      <c r="B358" s="51"/>
      <c r="C358" s="56"/>
      <c r="D358" s="51"/>
      <c r="E358" s="51"/>
      <c r="F358" s="51"/>
      <c r="G358" s="51" t="str">
        <f>IFERROR(__xludf.DUMMYFUNCTION("""COMPUTED_VALUE"""),"#VALUE!")</f>
        <v>#VALUE!</v>
      </c>
      <c r="H358" s="51" t="str">
        <f>IFERROR(__xludf.DUMMYFUNCTION("""COMPUTED_VALUE"""),"")</f>
        <v/>
      </c>
      <c r="I358" s="51" t="str">
        <f>IFERROR(__xludf.DUMMYFUNCTION("""COMPUTED_VALUE"""),"#VALUE!")</f>
        <v>#VALUE!</v>
      </c>
      <c r="J358" s="51" t="str">
        <f>IFERROR(__xludf.DUMMYFUNCTION("""COMPUTED_VALUE"""),"")</f>
        <v/>
      </c>
      <c r="K358" s="51"/>
      <c r="L358" s="51" t="s">
        <v>257</v>
      </c>
      <c r="M358" s="51"/>
      <c r="N358" s="51"/>
      <c r="O358" s="51"/>
      <c r="P358" s="51"/>
      <c r="Q358" s="51"/>
      <c r="R358" s="51"/>
      <c r="S358" s="51"/>
      <c r="T358" s="51"/>
    </row>
    <row r="359">
      <c r="A359" s="51"/>
      <c r="B359" s="51"/>
      <c r="C359" s="56"/>
      <c r="D359" s="51"/>
      <c r="E359" s="51"/>
      <c r="F359" s="51"/>
      <c r="G359" s="51" t="str">
        <f>IFERROR(__xludf.DUMMYFUNCTION("""COMPUTED_VALUE"""),"#VALUE!")</f>
        <v>#VALUE!</v>
      </c>
      <c r="H359" s="51" t="str">
        <f>IFERROR(__xludf.DUMMYFUNCTION("""COMPUTED_VALUE"""),"")</f>
        <v/>
      </c>
      <c r="I359" s="51" t="str">
        <f>IFERROR(__xludf.DUMMYFUNCTION("""COMPUTED_VALUE"""),"#VALUE!")</f>
        <v>#VALUE!</v>
      </c>
      <c r="J359" s="51" t="str">
        <f>IFERROR(__xludf.DUMMYFUNCTION("""COMPUTED_VALUE"""),"")</f>
        <v/>
      </c>
      <c r="K359" s="51"/>
      <c r="L359" s="51" t="s">
        <v>257</v>
      </c>
      <c r="M359" s="51"/>
      <c r="N359" s="51"/>
      <c r="O359" s="51"/>
      <c r="P359" s="51"/>
      <c r="Q359" s="51"/>
      <c r="R359" s="51"/>
      <c r="S359" s="51"/>
      <c r="T359" s="51"/>
    </row>
    <row r="360">
      <c r="A360" s="51"/>
      <c r="B360" s="51"/>
      <c r="C360" s="56"/>
      <c r="D360" s="51"/>
      <c r="E360" s="51"/>
      <c r="F360" s="51"/>
      <c r="G360" s="51" t="str">
        <f>IFERROR(__xludf.DUMMYFUNCTION("""COMPUTED_VALUE"""),"#VALUE!")</f>
        <v>#VALUE!</v>
      </c>
      <c r="H360" s="51" t="str">
        <f>IFERROR(__xludf.DUMMYFUNCTION("""COMPUTED_VALUE"""),"")</f>
        <v/>
      </c>
      <c r="I360" s="51" t="str">
        <f>IFERROR(__xludf.DUMMYFUNCTION("""COMPUTED_VALUE"""),"#VALUE!")</f>
        <v>#VALUE!</v>
      </c>
      <c r="J360" s="51" t="str">
        <f>IFERROR(__xludf.DUMMYFUNCTION("""COMPUTED_VALUE"""),"")</f>
        <v/>
      </c>
      <c r="K360" s="51"/>
      <c r="L360" s="51" t="s">
        <v>257</v>
      </c>
      <c r="M360" s="51"/>
      <c r="N360" s="51"/>
      <c r="O360" s="51"/>
      <c r="P360" s="51"/>
      <c r="Q360" s="51"/>
      <c r="R360" s="51"/>
      <c r="S360" s="51"/>
      <c r="T360" s="51"/>
    </row>
    <row r="361">
      <c r="A361" s="51"/>
      <c r="B361" s="51"/>
      <c r="C361" s="56"/>
      <c r="D361" s="51"/>
      <c r="E361" s="51"/>
      <c r="F361" s="51"/>
      <c r="G361" s="51" t="str">
        <f>IFERROR(__xludf.DUMMYFUNCTION("""COMPUTED_VALUE"""),"#VALUE!")</f>
        <v>#VALUE!</v>
      </c>
      <c r="H361" s="51" t="str">
        <f>IFERROR(__xludf.DUMMYFUNCTION("""COMPUTED_VALUE"""),"")</f>
        <v/>
      </c>
      <c r="I361" s="51" t="str">
        <f>IFERROR(__xludf.DUMMYFUNCTION("""COMPUTED_VALUE"""),"#VALUE!")</f>
        <v>#VALUE!</v>
      </c>
      <c r="J361" s="51" t="str">
        <f>IFERROR(__xludf.DUMMYFUNCTION("""COMPUTED_VALUE"""),"")</f>
        <v/>
      </c>
      <c r="K361" s="51"/>
      <c r="L361" s="51" t="s">
        <v>257</v>
      </c>
      <c r="M361" s="51"/>
      <c r="N361" s="51"/>
      <c r="O361" s="51"/>
      <c r="P361" s="51"/>
      <c r="Q361" s="51"/>
      <c r="R361" s="51"/>
      <c r="S361" s="51"/>
      <c r="T361" s="51"/>
    </row>
    <row r="362">
      <c r="A362" s="51"/>
      <c r="B362" s="51"/>
      <c r="C362" s="56"/>
      <c r="D362" s="51"/>
      <c r="E362" s="51"/>
      <c r="F362" s="51"/>
      <c r="G362" s="51" t="str">
        <f>IFERROR(__xludf.DUMMYFUNCTION("""COMPUTED_VALUE"""),"#VALUE!")</f>
        <v>#VALUE!</v>
      </c>
      <c r="H362" s="51" t="str">
        <f>IFERROR(__xludf.DUMMYFUNCTION("""COMPUTED_VALUE"""),"")</f>
        <v/>
      </c>
      <c r="I362" s="51" t="str">
        <f>IFERROR(__xludf.DUMMYFUNCTION("""COMPUTED_VALUE"""),"#VALUE!")</f>
        <v>#VALUE!</v>
      </c>
      <c r="J362" s="51" t="str">
        <f>IFERROR(__xludf.DUMMYFUNCTION("""COMPUTED_VALUE"""),"")</f>
        <v/>
      </c>
      <c r="K362" s="51"/>
      <c r="L362" s="51" t="s">
        <v>257</v>
      </c>
      <c r="M362" s="51"/>
      <c r="N362" s="51"/>
      <c r="O362" s="51"/>
      <c r="P362" s="51"/>
      <c r="Q362" s="51"/>
      <c r="R362" s="51"/>
      <c r="S362" s="51"/>
      <c r="T362" s="51"/>
    </row>
    <row r="363">
      <c r="A363" s="51"/>
      <c r="B363" s="51"/>
      <c r="C363" s="56"/>
      <c r="D363" s="51"/>
      <c r="E363" s="51"/>
      <c r="F363" s="51"/>
      <c r="G363" s="51" t="str">
        <f>IFERROR(__xludf.DUMMYFUNCTION("""COMPUTED_VALUE"""),"#VALUE!")</f>
        <v>#VALUE!</v>
      </c>
      <c r="H363" s="51" t="str">
        <f>IFERROR(__xludf.DUMMYFUNCTION("""COMPUTED_VALUE"""),"")</f>
        <v/>
      </c>
      <c r="I363" s="51" t="str">
        <f>IFERROR(__xludf.DUMMYFUNCTION("""COMPUTED_VALUE"""),"#VALUE!")</f>
        <v>#VALUE!</v>
      </c>
      <c r="J363" s="51" t="str">
        <f>IFERROR(__xludf.DUMMYFUNCTION("""COMPUTED_VALUE"""),"")</f>
        <v/>
      </c>
      <c r="K363" s="51"/>
      <c r="L363" s="51" t="s">
        <v>257</v>
      </c>
      <c r="M363" s="51"/>
      <c r="N363" s="51"/>
      <c r="O363" s="51"/>
      <c r="P363" s="51"/>
      <c r="Q363" s="51"/>
      <c r="R363" s="51"/>
      <c r="S363" s="51"/>
      <c r="T363" s="51"/>
    </row>
    <row r="364">
      <c r="A364" s="51"/>
      <c r="B364" s="51"/>
      <c r="C364" s="56"/>
      <c r="D364" s="51"/>
      <c r="E364" s="51"/>
      <c r="F364" s="51"/>
      <c r="G364" s="51" t="str">
        <f>IFERROR(__xludf.DUMMYFUNCTION("""COMPUTED_VALUE"""),"#VALUE!")</f>
        <v>#VALUE!</v>
      </c>
      <c r="H364" s="51" t="str">
        <f>IFERROR(__xludf.DUMMYFUNCTION("""COMPUTED_VALUE"""),"")</f>
        <v/>
      </c>
      <c r="I364" s="51" t="str">
        <f>IFERROR(__xludf.DUMMYFUNCTION("""COMPUTED_VALUE"""),"#VALUE!")</f>
        <v>#VALUE!</v>
      </c>
      <c r="J364" s="51" t="str">
        <f>IFERROR(__xludf.DUMMYFUNCTION("""COMPUTED_VALUE"""),"")</f>
        <v/>
      </c>
      <c r="K364" s="51"/>
      <c r="L364" s="51" t="s">
        <v>257</v>
      </c>
      <c r="M364" s="51"/>
      <c r="N364" s="51"/>
      <c r="O364" s="51"/>
      <c r="P364" s="51"/>
      <c r="Q364" s="51"/>
      <c r="R364" s="51"/>
      <c r="S364" s="51"/>
      <c r="T364" s="51"/>
    </row>
    <row r="365">
      <c r="A365" s="51"/>
      <c r="B365" s="51"/>
      <c r="C365" s="56"/>
      <c r="D365" s="51"/>
      <c r="E365" s="51"/>
      <c r="F365" s="51"/>
      <c r="G365" s="51" t="str">
        <f>IFERROR(__xludf.DUMMYFUNCTION("""COMPUTED_VALUE"""),"#VALUE!")</f>
        <v>#VALUE!</v>
      </c>
      <c r="H365" s="51" t="str">
        <f>IFERROR(__xludf.DUMMYFUNCTION("""COMPUTED_VALUE"""),"")</f>
        <v/>
      </c>
      <c r="I365" s="51" t="str">
        <f>IFERROR(__xludf.DUMMYFUNCTION("""COMPUTED_VALUE"""),"#VALUE!")</f>
        <v>#VALUE!</v>
      </c>
      <c r="J365" s="51" t="str">
        <f>IFERROR(__xludf.DUMMYFUNCTION("""COMPUTED_VALUE"""),"")</f>
        <v/>
      </c>
      <c r="K365" s="51"/>
      <c r="L365" s="51" t="s">
        <v>257</v>
      </c>
      <c r="M365" s="51"/>
      <c r="N365" s="51"/>
      <c r="O365" s="51"/>
      <c r="P365" s="51"/>
      <c r="Q365" s="51"/>
      <c r="R365" s="51"/>
      <c r="S365" s="51"/>
      <c r="T365" s="51"/>
    </row>
    <row r="366">
      <c r="A366" s="51"/>
      <c r="B366" s="51"/>
      <c r="C366" s="56"/>
      <c r="D366" s="51"/>
      <c r="E366" s="51"/>
      <c r="F366" s="51"/>
      <c r="G366" s="51" t="str">
        <f>IFERROR(__xludf.DUMMYFUNCTION("""COMPUTED_VALUE"""),"#VALUE!")</f>
        <v>#VALUE!</v>
      </c>
      <c r="H366" s="51" t="str">
        <f>IFERROR(__xludf.DUMMYFUNCTION("""COMPUTED_VALUE"""),"")</f>
        <v/>
      </c>
      <c r="I366" s="51" t="str">
        <f>IFERROR(__xludf.DUMMYFUNCTION("""COMPUTED_VALUE"""),"#VALUE!")</f>
        <v>#VALUE!</v>
      </c>
      <c r="J366" s="51" t="str">
        <f>IFERROR(__xludf.DUMMYFUNCTION("""COMPUTED_VALUE"""),"")</f>
        <v/>
      </c>
      <c r="K366" s="51"/>
      <c r="L366" s="51" t="s">
        <v>257</v>
      </c>
      <c r="M366" s="51"/>
      <c r="N366" s="51"/>
      <c r="O366" s="51"/>
      <c r="P366" s="51"/>
      <c r="Q366" s="51"/>
      <c r="R366" s="51"/>
      <c r="S366" s="51"/>
      <c r="T366" s="51"/>
    </row>
    <row r="367">
      <c r="A367" s="51"/>
      <c r="B367" s="51"/>
      <c r="C367" s="56"/>
      <c r="D367" s="51"/>
      <c r="E367" s="51"/>
      <c r="F367" s="51"/>
      <c r="G367" s="51" t="str">
        <f>IFERROR(__xludf.DUMMYFUNCTION("""COMPUTED_VALUE"""),"#VALUE!")</f>
        <v>#VALUE!</v>
      </c>
      <c r="H367" s="51" t="str">
        <f>IFERROR(__xludf.DUMMYFUNCTION("""COMPUTED_VALUE"""),"")</f>
        <v/>
      </c>
      <c r="I367" s="51" t="str">
        <f>IFERROR(__xludf.DUMMYFUNCTION("""COMPUTED_VALUE"""),"#VALUE!")</f>
        <v>#VALUE!</v>
      </c>
      <c r="J367" s="51" t="str">
        <f>IFERROR(__xludf.DUMMYFUNCTION("""COMPUTED_VALUE"""),"")</f>
        <v/>
      </c>
      <c r="K367" s="51"/>
      <c r="L367" s="51" t="s">
        <v>257</v>
      </c>
      <c r="M367" s="51"/>
      <c r="N367" s="51"/>
      <c r="O367" s="51"/>
      <c r="P367" s="51"/>
      <c r="Q367" s="51"/>
      <c r="R367" s="51"/>
      <c r="S367" s="51"/>
      <c r="T367" s="51"/>
    </row>
    <row r="368">
      <c r="A368" s="51"/>
      <c r="B368" s="51"/>
      <c r="C368" s="56"/>
      <c r="D368" s="51"/>
      <c r="E368" s="51"/>
      <c r="F368" s="51"/>
      <c r="G368" s="51" t="str">
        <f>IFERROR(__xludf.DUMMYFUNCTION("""COMPUTED_VALUE"""),"#VALUE!")</f>
        <v>#VALUE!</v>
      </c>
      <c r="H368" s="51" t="str">
        <f>IFERROR(__xludf.DUMMYFUNCTION("""COMPUTED_VALUE"""),"")</f>
        <v/>
      </c>
      <c r="I368" s="51" t="str">
        <f>IFERROR(__xludf.DUMMYFUNCTION("""COMPUTED_VALUE"""),"#VALUE!")</f>
        <v>#VALUE!</v>
      </c>
      <c r="J368" s="51" t="str">
        <f>IFERROR(__xludf.DUMMYFUNCTION("""COMPUTED_VALUE"""),"")</f>
        <v/>
      </c>
      <c r="K368" s="51"/>
      <c r="L368" s="51" t="s">
        <v>257</v>
      </c>
      <c r="M368" s="51"/>
      <c r="N368" s="51"/>
      <c r="O368" s="51"/>
      <c r="P368" s="51"/>
      <c r="Q368" s="51"/>
      <c r="R368" s="51"/>
      <c r="S368" s="51"/>
      <c r="T368" s="51"/>
    </row>
    <row r="369">
      <c r="A369" s="51"/>
      <c r="B369" s="51"/>
      <c r="C369" s="56"/>
      <c r="D369" s="51"/>
      <c r="E369" s="51"/>
      <c r="F369" s="51"/>
      <c r="G369" s="51" t="str">
        <f>IFERROR(__xludf.DUMMYFUNCTION("""COMPUTED_VALUE"""),"#VALUE!")</f>
        <v>#VALUE!</v>
      </c>
      <c r="H369" s="51" t="str">
        <f>IFERROR(__xludf.DUMMYFUNCTION("""COMPUTED_VALUE"""),"")</f>
        <v/>
      </c>
      <c r="I369" s="51" t="str">
        <f>IFERROR(__xludf.DUMMYFUNCTION("""COMPUTED_VALUE"""),"#VALUE!")</f>
        <v>#VALUE!</v>
      </c>
      <c r="J369" s="51" t="str">
        <f>IFERROR(__xludf.DUMMYFUNCTION("""COMPUTED_VALUE"""),"")</f>
        <v/>
      </c>
      <c r="K369" s="51"/>
      <c r="L369" s="51" t="s">
        <v>257</v>
      </c>
      <c r="M369" s="51"/>
      <c r="N369" s="51"/>
      <c r="O369" s="51"/>
      <c r="P369" s="51"/>
      <c r="Q369" s="51"/>
      <c r="R369" s="51"/>
      <c r="S369" s="51"/>
      <c r="T369" s="51"/>
    </row>
    <row r="370">
      <c r="A370" s="51"/>
      <c r="B370" s="51"/>
      <c r="C370" s="56"/>
      <c r="D370" s="51"/>
      <c r="E370" s="51"/>
      <c r="F370" s="51"/>
      <c r="G370" s="51" t="str">
        <f>IFERROR(__xludf.DUMMYFUNCTION("""COMPUTED_VALUE"""),"#VALUE!")</f>
        <v>#VALUE!</v>
      </c>
      <c r="H370" s="51" t="str">
        <f>IFERROR(__xludf.DUMMYFUNCTION("""COMPUTED_VALUE"""),"")</f>
        <v/>
      </c>
      <c r="I370" s="51" t="str">
        <f>IFERROR(__xludf.DUMMYFUNCTION("""COMPUTED_VALUE"""),"#VALUE!")</f>
        <v>#VALUE!</v>
      </c>
      <c r="J370" s="51" t="str">
        <f>IFERROR(__xludf.DUMMYFUNCTION("""COMPUTED_VALUE"""),"")</f>
        <v/>
      </c>
      <c r="K370" s="51"/>
      <c r="L370" s="51" t="s">
        <v>257</v>
      </c>
      <c r="M370" s="51"/>
      <c r="N370" s="51"/>
      <c r="O370" s="51"/>
      <c r="P370" s="51"/>
      <c r="Q370" s="51"/>
      <c r="R370" s="51"/>
      <c r="S370" s="51"/>
      <c r="T370" s="51"/>
    </row>
    <row r="371">
      <c r="A371" s="51"/>
      <c r="B371" s="51"/>
      <c r="C371" s="56"/>
      <c r="D371" s="51"/>
      <c r="E371" s="51"/>
      <c r="F371" s="51"/>
      <c r="G371" s="51" t="str">
        <f>IFERROR(__xludf.DUMMYFUNCTION("""COMPUTED_VALUE"""),"#VALUE!")</f>
        <v>#VALUE!</v>
      </c>
      <c r="H371" s="51" t="str">
        <f>IFERROR(__xludf.DUMMYFUNCTION("""COMPUTED_VALUE"""),"")</f>
        <v/>
      </c>
      <c r="I371" s="51" t="str">
        <f>IFERROR(__xludf.DUMMYFUNCTION("""COMPUTED_VALUE"""),"#VALUE!")</f>
        <v>#VALUE!</v>
      </c>
      <c r="J371" s="51" t="str">
        <f>IFERROR(__xludf.DUMMYFUNCTION("""COMPUTED_VALUE"""),"")</f>
        <v/>
      </c>
      <c r="K371" s="51"/>
      <c r="L371" s="51" t="s">
        <v>257</v>
      </c>
      <c r="M371" s="51"/>
      <c r="N371" s="51"/>
      <c r="O371" s="51"/>
      <c r="P371" s="51"/>
      <c r="Q371" s="51"/>
      <c r="R371" s="51"/>
      <c r="S371" s="51"/>
      <c r="T371" s="51"/>
    </row>
    <row r="372">
      <c r="A372" s="51"/>
      <c r="B372" s="51"/>
      <c r="C372" s="56"/>
      <c r="D372" s="51"/>
      <c r="E372" s="51"/>
      <c r="F372" s="51"/>
      <c r="G372" s="51" t="str">
        <f>IFERROR(__xludf.DUMMYFUNCTION("""COMPUTED_VALUE"""),"#VALUE!")</f>
        <v>#VALUE!</v>
      </c>
      <c r="H372" s="51" t="str">
        <f>IFERROR(__xludf.DUMMYFUNCTION("""COMPUTED_VALUE"""),"")</f>
        <v/>
      </c>
      <c r="I372" s="51" t="str">
        <f>IFERROR(__xludf.DUMMYFUNCTION("""COMPUTED_VALUE"""),"#VALUE!")</f>
        <v>#VALUE!</v>
      </c>
      <c r="J372" s="51" t="str">
        <f>IFERROR(__xludf.DUMMYFUNCTION("""COMPUTED_VALUE"""),"")</f>
        <v/>
      </c>
      <c r="K372" s="51"/>
      <c r="L372" s="51" t="s">
        <v>257</v>
      </c>
      <c r="M372" s="51"/>
      <c r="N372" s="51"/>
      <c r="O372" s="51"/>
      <c r="P372" s="51"/>
      <c r="Q372" s="51"/>
      <c r="R372" s="51"/>
      <c r="S372" s="51"/>
      <c r="T372" s="51"/>
    </row>
    <row r="373">
      <c r="A373" s="51"/>
      <c r="B373" s="51"/>
      <c r="C373" s="56"/>
      <c r="D373" s="51"/>
      <c r="E373" s="51"/>
      <c r="F373" s="51"/>
      <c r="G373" s="51" t="str">
        <f>IFERROR(__xludf.DUMMYFUNCTION("""COMPUTED_VALUE"""),"#VALUE!")</f>
        <v>#VALUE!</v>
      </c>
      <c r="H373" s="51" t="str">
        <f>IFERROR(__xludf.DUMMYFUNCTION("""COMPUTED_VALUE"""),"")</f>
        <v/>
      </c>
      <c r="I373" s="51" t="str">
        <f>IFERROR(__xludf.DUMMYFUNCTION("""COMPUTED_VALUE"""),"#VALUE!")</f>
        <v>#VALUE!</v>
      </c>
      <c r="J373" s="51" t="str">
        <f>IFERROR(__xludf.DUMMYFUNCTION("""COMPUTED_VALUE"""),"")</f>
        <v/>
      </c>
      <c r="K373" s="51"/>
      <c r="L373" s="51" t="s">
        <v>257</v>
      </c>
      <c r="M373" s="51"/>
      <c r="N373" s="51"/>
      <c r="O373" s="51"/>
      <c r="P373" s="51"/>
      <c r="Q373" s="51"/>
      <c r="R373" s="51"/>
      <c r="S373" s="51"/>
      <c r="T373" s="51"/>
    </row>
    <row r="374">
      <c r="A374" s="51"/>
      <c r="B374" s="51"/>
      <c r="C374" s="56"/>
      <c r="D374" s="51"/>
      <c r="E374" s="51"/>
      <c r="F374" s="51"/>
      <c r="G374" s="51" t="str">
        <f>IFERROR(__xludf.DUMMYFUNCTION("""COMPUTED_VALUE"""),"#VALUE!")</f>
        <v>#VALUE!</v>
      </c>
      <c r="H374" s="51" t="str">
        <f>IFERROR(__xludf.DUMMYFUNCTION("""COMPUTED_VALUE"""),"")</f>
        <v/>
      </c>
      <c r="I374" s="51" t="str">
        <f>IFERROR(__xludf.DUMMYFUNCTION("""COMPUTED_VALUE"""),"#VALUE!")</f>
        <v>#VALUE!</v>
      </c>
      <c r="J374" s="51" t="str">
        <f>IFERROR(__xludf.DUMMYFUNCTION("""COMPUTED_VALUE"""),"")</f>
        <v/>
      </c>
      <c r="K374" s="51"/>
      <c r="L374" s="51" t="s">
        <v>257</v>
      </c>
      <c r="M374" s="51"/>
      <c r="N374" s="51"/>
      <c r="O374" s="51"/>
      <c r="P374" s="51"/>
      <c r="Q374" s="51"/>
      <c r="R374" s="51"/>
      <c r="S374" s="51"/>
      <c r="T374" s="51"/>
    </row>
    <row r="375">
      <c r="A375" s="51"/>
      <c r="B375" s="51"/>
      <c r="C375" s="56"/>
      <c r="D375" s="51"/>
      <c r="E375" s="51"/>
      <c r="F375" s="51"/>
      <c r="G375" s="51" t="str">
        <f>IFERROR(__xludf.DUMMYFUNCTION("""COMPUTED_VALUE"""),"#VALUE!")</f>
        <v>#VALUE!</v>
      </c>
      <c r="H375" s="51" t="str">
        <f>IFERROR(__xludf.DUMMYFUNCTION("""COMPUTED_VALUE"""),"")</f>
        <v/>
      </c>
      <c r="I375" s="51" t="str">
        <f>IFERROR(__xludf.DUMMYFUNCTION("""COMPUTED_VALUE"""),"#VALUE!")</f>
        <v>#VALUE!</v>
      </c>
      <c r="J375" s="51" t="str">
        <f>IFERROR(__xludf.DUMMYFUNCTION("""COMPUTED_VALUE"""),"")</f>
        <v/>
      </c>
      <c r="K375" s="51"/>
      <c r="L375" s="51" t="s">
        <v>257</v>
      </c>
      <c r="M375" s="51"/>
      <c r="N375" s="51"/>
      <c r="O375" s="51"/>
      <c r="P375" s="51"/>
      <c r="Q375" s="51"/>
      <c r="R375" s="51"/>
      <c r="S375" s="51"/>
      <c r="T375" s="51"/>
    </row>
    <row r="376">
      <c r="A376" s="51"/>
      <c r="B376" s="51"/>
      <c r="C376" s="56"/>
      <c r="D376" s="51"/>
      <c r="E376" s="51"/>
      <c r="F376" s="51"/>
      <c r="G376" s="51" t="str">
        <f>IFERROR(__xludf.DUMMYFUNCTION("""COMPUTED_VALUE"""),"#VALUE!")</f>
        <v>#VALUE!</v>
      </c>
      <c r="H376" s="51" t="str">
        <f>IFERROR(__xludf.DUMMYFUNCTION("""COMPUTED_VALUE"""),"")</f>
        <v/>
      </c>
      <c r="I376" s="51" t="str">
        <f>IFERROR(__xludf.DUMMYFUNCTION("""COMPUTED_VALUE"""),"#VALUE!")</f>
        <v>#VALUE!</v>
      </c>
      <c r="J376" s="51" t="str">
        <f>IFERROR(__xludf.DUMMYFUNCTION("""COMPUTED_VALUE"""),"")</f>
        <v/>
      </c>
      <c r="K376" s="51"/>
      <c r="L376" s="51" t="s">
        <v>257</v>
      </c>
      <c r="M376" s="51"/>
      <c r="N376" s="51"/>
      <c r="O376" s="51"/>
      <c r="P376" s="51"/>
      <c r="Q376" s="51"/>
      <c r="R376" s="51"/>
      <c r="S376" s="51"/>
      <c r="T376" s="51"/>
    </row>
    <row r="377">
      <c r="A377" s="51"/>
      <c r="B377" s="51"/>
      <c r="C377" s="56"/>
      <c r="D377" s="51"/>
      <c r="E377" s="51"/>
      <c r="F377" s="51"/>
      <c r="G377" s="51" t="str">
        <f>IFERROR(__xludf.DUMMYFUNCTION("""COMPUTED_VALUE"""),"#VALUE!")</f>
        <v>#VALUE!</v>
      </c>
      <c r="H377" s="51" t="str">
        <f>IFERROR(__xludf.DUMMYFUNCTION("""COMPUTED_VALUE"""),"")</f>
        <v/>
      </c>
      <c r="I377" s="51" t="str">
        <f>IFERROR(__xludf.DUMMYFUNCTION("""COMPUTED_VALUE"""),"#VALUE!")</f>
        <v>#VALUE!</v>
      </c>
      <c r="J377" s="51" t="str">
        <f>IFERROR(__xludf.DUMMYFUNCTION("""COMPUTED_VALUE"""),"")</f>
        <v/>
      </c>
      <c r="K377" s="51"/>
      <c r="L377" s="51" t="s">
        <v>257</v>
      </c>
      <c r="M377" s="51"/>
      <c r="N377" s="51"/>
      <c r="O377" s="51"/>
      <c r="P377" s="51"/>
      <c r="Q377" s="51"/>
      <c r="R377" s="51"/>
      <c r="S377" s="51"/>
      <c r="T377" s="51"/>
    </row>
    <row r="378">
      <c r="A378" s="51"/>
      <c r="B378" s="51"/>
      <c r="C378" s="56"/>
      <c r="D378" s="51"/>
      <c r="E378" s="51"/>
      <c r="F378" s="51"/>
      <c r="G378" s="51" t="str">
        <f>IFERROR(__xludf.DUMMYFUNCTION("""COMPUTED_VALUE"""),"#VALUE!")</f>
        <v>#VALUE!</v>
      </c>
      <c r="H378" s="51" t="str">
        <f>IFERROR(__xludf.DUMMYFUNCTION("""COMPUTED_VALUE"""),"")</f>
        <v/>
      </c>
      <c r="I378" s="51" t="str">
        <f>IFERROR(__xludf.DUMMYFUNCTION("""COMPUTED_VALUE"""),"#VALUE!")</f>
        <v>#VALUE!</v>
      </c>
      <c r="J378" s="51" t="str">
        <f>IFERROR(__xludf.DUMMYFUNCTION("""COMPUTED_VALUE"""),"")</f>
        <v/>
      </c>
      <c r="K378" s="51"/>
      <c r="L378" s="51" t="s">
        <v>257</v>
      </c>
      <c r="M378" s="51"/>
      <c r="N378" s="51"/>
      <c r="O378" s="51"/>
      <c r="P378" s="51"/>
      <c r="Q378" s="51"/>
      <c r="R378" s="51"/>
      <c r="S378" s="51"/>
      <c r="T378" s="51"/>
    </row>
    <row r="379">
      <c r="A379" s="51"/>
      <c r="B379" s="51"/>
      <c r="C379" s="56"/>
      <c r="D379" s="51"/>
      <c r="E379" s="51"/>
      <c r="F379" s="51"/>
      <c r="G379" s="51" t="str">
        <f>IFERROR(__xludf.DUMMYFUNCTION("""COMPUTED_VALUE"""),"#VALUE!")</f>
        <v>#VALUE!</v>
      </c>
      <c r="H379" s="51" t="str">
        <f>IFERROR(__xludf.DUMMYFUNCTION("""COMPUTED_VALUE"""),"")</f>
        <v/>
      </c>
      <c r="I379" s="51" t="str">
        <f>IFERROR(__xludf.DUMMYFUNCTION("""COMPUTED_VALUE"""),"#VALUE!")</f>
        <v>#VALUE!</v>
      </c>
      <c r="J379" s="51" t="str">
        <f>IFERROR(__xludf.DUMMYFUNCTION("""COMPUTED_VALUE"""),"")</f>
        <v/>
      </c>
      <c r="K379" s="51"/>
      <c r="L379" s="51" t="s">
        <v>257</v>
      </c>
      <c r="M379" s="51"/>
      <c r="N379" s="51"/>
      <c r="O379" s="51"/>
      <c r="P379" s="51"/>
      <c r="Q379" s="51"/>
      <c r="R379" s="51"/>
      <c r="S379" s="51"/>
      <c r="T379" s="51"/>
    </row>
    <row r="380">
      <c r="A380" s="51"/>
      <c r="B380" s="51"/>
      <c r="C380" s="56"/>
      <c r="D380" s="51"/>
      <c r="E380" s="51"/>
      <c r="F380" s="51"/>
      <c r="G380" s="51" t="str">
        <f>IFERROR(__xludf.DUMMYFUNCTION("""COMPUTED_VALUE"""),"#VALUE!")</f>
        <v>#VALUE!</v>
      </c>
      <c r="H380" s="51" t="str">
        <f>IFERROR(__xludf.DUMMYFUNCTION("""COMPUTED_VALUE"""),"")</f>
        <v/>
      </c>
      <c r="I380" s="51" t="str">
        <f>IFERROR(__xludf.DUMMYFUNCTION("""COMPUTED_VALUE"""),"#VALUE!")</f>
        <v>#VALUE!</v>
      </c>
      <c r="J380" s="51" t="str">
        <f>IFERROR(__xludf.DUMMYFUNCTION("""COMPUTED_VALUE"""),"")</f>
        <v/>
      </c>
      <c r="K380" s="51"/>
      <c r="L380" s="51" t="s">
        <v>257</v>
      </c>
      <c r="M380" s="51"/>
      <c r="N380" s="51"/>
      <c r="O380" s="51"/>
      <c r="P380" s="51"/>
      <c r="Q380" s="51"/>
      <c r="R380" s="51"/>
      <c r="S380" s="51"/>
      <c r="T380" s="51"/>
    </row>
    <row r="381">
      <c r="A381" s="51"/>
      <c r="B381" s="51"/>
      <c r="C381" s="56"/>
      <c r="D381" s="51"/>
      <c r="E381" s="51"/>
      <c r="F381" s="51"/>
      <c r="G381" s="51" t="str">
        <f>IFERROR(__xludf.DUMMYFUNCTION("""COMPUTED_VALUE"""),"#VALUE!")</f>
        <v>#VALUE!</v>
      </c>
      <c r="H381" s="51" t="str">
        <f>IFERROR(__xludf.DUMMYFUNCTION("""COMPUTED_VALUE"""),"")</f>
        <v/>
      </c>
      <c r="I381" s="51" t="str">
        <f>IFERROR(__xludf.DUMMYFUNCTION("""COMPUTED_VALUE"""),"#VALUE!")</f>
        <v>#VALUE!</v>
      </c>
      <c r="J381" s="51" t="str">
        <f>IFERROR(__xludf.DUMMYFUNCTION("""COMPUTED_VALUE"""),"")</f>
        <v/>
      </c>
      <c r="K381" s="51"/>
      <c r="L381" s="51" t="s">
        <v>257</v>
      </c>
      <c r="M381" s="51"/>
      <c r="N381" s="51"/>
      <c r="O381" s="51"/>
      <c r="P381" s="51"/>
      <c r="Q381" s="51"/>
      <c r="R381" s="51"/>
      <c r="S381" s="51"/>
      <c r="T381" s="51"/>
    </row>
    <row r="382">
      <c r="A382" s="51"/>
      <c r="B382" s="51"/>
      <c r="C382" s="56"/>
      <c r="D382" s="51"/>
      <c r="E382" s="51"/>
      <c r="F382" s="51"/>
      <c r="G382" s="51" t="str">
        <f>IFERROR(__xludf.DUMMYFUNCTION("""COMPUTED_VALUE"""),"#VALUE!")</f>
        <v>#VALUE!</v>
      </c>
      <c r="H382" s="51" t="str">
        <f>IFERROR(__xludf.DUMMYFUNCTION("""COMPUTED_VALUE"""),"")</f>
        <v/>
      </c>
      <c r="I382" s="51" t="str">
        <f>IFERROR(__xludf.DUMMYFUNCTION("""COMPUTED_VALUE"""),"#VALUE!")</f>
        <v>#VALUE!</v>
      </c>
      <c r="J382" s="51" t="str">
        <f>IFERROR(__xludf.DUMMYFUNCTION("""COMPUTED_VALUE"""),"")</f>
        <v/>
      </c>
      <c r="K382" s="51"/>
      <c r="L382" s="51" t="s">
        <v>257</v>
      </c>
      <c r="M382" s="51"/>
      <c r="N382" s="51"/>
      <c r="O382" s="51"/>
      <c r="P382" s="51"/>
      <c r="Q382" s="51"/>
      <c r="R382" s="51"/>
      <c r="S382" s="51"/>
      <c r="T382" s="51"/>
    </row>
    <row r="383">
      <c r="A383" s="51"/>
      <c r="B383" s="51"/>
      <c r="C383" s="56"/>
      <c r="D383" s="51"/>
      <c r="E383" s="51"/>
      <c r="F383" s="51"/>
      <c r="G383" s="51" t="str">
        <f>IFERROR(__xludf.DUMMYFUNCTION("""COMPUTED_VALUE"""),"#VALUE!")</f>
        <v>#VALUE!</v>
      </c>
      <c r="H383" s="51" t="str">
        <f>IFERROR(__xludf.DUMMYFUNCTION("""COMPUTED_VALUE"""),"")</f>
        <v/>
      </c>
      <c r="I383" s="51" t="str">
        <f>IFERROR(__xludf.DUMMYFUNCTION("""COMPUTED_VALUE"""),"#VALUE!")</f>
        <v>#VALUE!</v>
      </c>
      <c r="J383" s="51" t="str">
        <f>IFERROR(__xludf.DUMMYFUNCTION("""COMPUTED_VALUE"""),"")</f>
        <v/>
      </c>
      <c r="K383" s="51"/>
      <c r="L383" s="51" t="s">
        <v>257</v>
      </c>
      <c r="M383" s="51"/>
      <c r="N383" s="51"/>
      <c r="O383" s="51"/>
      <c r="P383" s="51"/>
      <c r="Q383" s="51"/>
      <c r="R383" s="51"/>
      <c r="S383" s="51"/>
      <c r="T383" s="51"/>
    </row>
    <row r="384">
      <c r="A384" s="51"/>
      <c r="B384" s="51"/>
      <c r="C384" s="56"/>
      <c r="D384" s="51"/>
      <c r="E384" s="51"/>
      <c r="F384" s="51"/>
      <c r="G384" s="51" t="str">
        <f>IFERROR(__xludf.DUMMYFUNCTION("""COMPUTED_VALUE"""),"#VALUE!")</f>
        <v>#VALUE!</v>
      </c>
      <c r="H384" s="51" t="str">
        <f>IFERROR(__xludf.DUMMYFUNCTION("""COMPUTED_VALUE"""),"")</f>
        <v/>
      </c>
      <c r="I384" s="51" t="str">
        <f>IFERROR(__xludf.DUMMYFUNCTION("""COMPUTED_VALUE"""),"#VALUE!")</f>
        <v>#VALUE!</v>
      </c>
      <c r="J384" s="51" t="str">
        <f>IFERROR(__xludf.DUMMYFUNCTION("""COMPUTED_VALUE"""),"")</f>
        <v/>
      </c>
      <c r="K384" s="51"/>
      <c r="L384" s="51" t="s">
        <v>257</v>
      </c>
      <c r="M384" s="51"/>
      <c r="N384" s="51"/>
      <c r="O384" s="51"/>
      <c r="P384" s="51"/>
      <c r="Q384" s="51"/>
      <c r="R384" s="51"/>
      <c r="S384" s="51"/>
      <c r="T384" s="51"/>
    </row>
    <row r="385">
      <c r="A385" s="51"/>
      <c r="B385" s="51"/>
      <c r="C385" s="56"/>
      <c r="D385" s="51"/>
      <c r="E385" s="51"/>
      <c r="F385" s="51"/>
      <c r="G385" s="51" t="str">
        <f>IFERROR(__xludf.DUMMYFUNCTION("""COMPUTED_VALUE"""),"#VALUE!")</f>
        <v>#VALUE!</v>
      </c>
      <c r="H385" s="51" t="str">
        <f>IFERROR(__xludf.DUMMYFUNCTION("""COMPUTED_VALUE"""),"")</f>
        <v/>
      </c>
      <c r="I385" s="51" t="str">
        <f>IFERROR(__xludf.DUMMYFUNCTION("""COMPUTED_VALUE"""),"#VALUE!")</f>
        <v>#VALUE!</v>
      </c>
      <c r="J385" s="51" t="str">
        <f>IFERROR(__xludf.DUMMYFUNCTION("""COMPUTED_VALUE"""),"")</f>
        <v/>
      </c>
      <c r="K385" s="51"/>
      <c r="L385" s="51" t="s">
        <v>257</v>
      </c>
      <c r="M385" s="51"/>
      <c r="N385" s="51"/>
      <c r="O385" s="51"/>
      <c r="P385" s="51"/>
      <c r="Q385" s="51"/>
      <c r="R385" s="51"/>
      <c r="S385" s="51"/>
      <c r="T385" s="51"/>
    </row>
    <row r="386">
      <c r="A386" s="51"/>
      <c r="B386" s="51"/>
      <c r="C386" s="56"/>
      <c r="D386" s="51"/>
      <c r="E386" s="51"/>
      <c r="F386" s="51"/>
      <c r="G386" s="51" t="str">
        <f>IFERROR(__xludf.DUMMYFUNCTION("""COMPUTED_VALUE"""),"#VALUE!")</f>
        <v>#VALUE!</v>
      </c>
      <c r="H386" s="51" t="str">
        <f>IFERROR(__xludf.DUMMYFUNCTION("""COMPUTED_VALUE"""),"")</f>
        <v/>
      </c>
      <c r="I386" s="51" t="str">
        <f>IFERROR(__xludf.DUMMYFUNCTION("""COMPUTED_VALUE"""),"#VALUE!")</f>
        <v>#VALUE!</v>
      </c>
      <c r="J386" s="51" t="str">
        <f>IFERROR(__xludf.DUMMYFUNCTION("""COMPUTED_VALUE"""),"")</f>
        <v/>
      </c>
      <c r="K386" s="51"/>
      <c r="L386" s="51" t="s">
        <v>257</v>
      </c>
      <c r="M386" s="51"/>
      <c r="N386" s="51"/>
      <c r="O386" s="51"/>
      <c r="P386" s="51"/>
      <c r="Q386" s="51"/>
      <c r="R386" s="51"/>
      <c r="S386" s="51"/>
      <c r="T386" s="51"/>
    </row>
    <row r="387">
      <c r="A387" s="51"/>
      <c r="B387" s="51"/>
      <c r="C387" s="56"/>
      <c r="D387" s="51"/>
      <c r="E387" s="51"/>
      <c r="F387" s="51"/>
      <c r="G387" s="51" t="str">
        <f>IFERROR(__xludf.DUMMYFUNCTION("""COMPUTED_VALUE"""),"#VALUE!")</f>
        <v>#VALUE!</v>
      </c>
      <c r="H387" s="51" t="str">
        <f>IFERROR(__xludf.DUMMYFUNCTION("""COMPUTED_VALUE"""),"")</f>
        <v/>
      </c>
      <c r="I387" s="51" t="str">
        <f>IFERROR(__xludf.DUMMYFUNCTION("""COMPUTED_VALUE"""),"#VALUE!")</f>
        <v>#VALUE!</v>
      </c>
      <c r="J387" s="51" t="str">
        <f>IFERROR(__xludf.DUMMYFUNCTION("""COMPUTED_VALUE"""),"")</f>
        <v/>
      </c>
      <c r="K387" s="51"/>
      <c r="L387" s="51" t="s">
        <v>257</v>
      </c>
      <c r="M387" s="51"/>
      <c r="N387" s="51"/>
      <c r="O387" s="51"/>
      <c r="P387" s="51"/>
      <c r="Q387" s="51"/>
      <c r="R387" s="51"/>
      <c r="S387" s="51"/>
      <c r="T387" s="51"/>
    </row>
    <row r="388">
      <c r="A388" s="51"/>
      <c r="B388" s="51"/>
      <c r="C388" s="56"/>
      <c r="D388" s="51"/>
      <c r="E388" s="51"/>
      <c r="F388" s="51"/>
      <c r="G388" s="51" t="str">
        <f>IFERROR(__xludf.DUMMYFUNCTION("""COMPUTED_VALUE"""),"#VALUE!")</f>
        <v>#VALUE!</v>
      </c>
      <c r="H388" s="51" t="str">
        <f>IFERROR(__xludf.DUMMYFUNCTION("""COMPUTED_VALUE"""),"")</f>
        <v/>
      </c>
      <c r="I388" s="51" t="str">
        <f>IFERROR(__xludf.DUMMYFUNCTION("""COMPUTED_VALUE"""),"#VALUE!")</f>
        <v>#VALUE!</v>
      </c>
      <c r="J388" s="51" t="str">
        <f>IFERROR(__xludf.DUMMYFUNCTION("""COMPUTED_VALUE"""),"")</f>
        <v/>
      </c>
      <c r="K388" s="51"/>
      <c r="L388" s="51" t="s">
        <v>257</v>
      </c>
      <c r="M388" s="51"/>
      <c r="N388" s="51"/>
      <c r="O388" s="51"/>
      <c r="P388" s="51"/>
      <c r="Q388" s="51"/>
      <c r="R388" s="51"/>
      <c r="S388" s="51"/>
      <c r="T388" s="51"/>
    </row>
    <row r="389">
      <c r="A389" s="51"/>
      <c r="B389" s="51"/>
      <c r="C389" s="56"/>
      <c r="D389" s="51"/>
      <c r="E389" s="51"/>
      <c r="F389" s="51"/>
      <c r="G389" s="51" t="str">
        <f>IFERROR(__xludf.DUMMYFUNCTION("""COMPUTED_VALUE"""),"#VALUE!")</f>
        <v>#VALUE!</v>
      </c>
      <c r="H389" s="51" t="str">
        <f>IFERROR(__xludf.DUMMYFUNCTION("""COMPUTED_VALUE"""),"")</f>
        <v/>
      </c>
      <c r="I389" s="51" t="str">
        <f>IFERROR(__xludf.DUMMYFUNCTION("""COMPUTED_VALUE"""),"#VALUE!")</f>
        <v>#VALUE!</v>
      </c>
      <c r="J389" s="51" t="str">
        <f>IFERROR(__xludf.DUMMYFUNCTION("""COMPUTED_VALUE"""),"")</f>
        <v/>
      </c>
      <c r="K389" s="51"/>
      <c r="L389" s="51" t="s">
        <v>257</v>
      </c>
      <c r="M389" s="51"/>
      <c r="N389" s="51"/>
      <c r="O389" s="51"/>
      <c r="P389" s="51"/>
      <c r="Q389" s="51"/>
      <c r="R389" s="51"/>
      <c r="S389" s="51"/>
      <c r="T389" s="51"/>
    </row>
    <row r="390">
      <c r="A390" s="51"/>
      <c r="B390" s="51"/>
      <c r="C390" s="56"/>
      <c r="D390" s="51"/>
      <c r="E390" s="51"/>
      <c r="F390" s="51"/>
      <c r="G390" s="51" t="str">
        <f>IFERROR(__xludf.DUMMYFUNCTION("""COMPUTED_VALUE"""),"#VALUE!")</f>
        <v>#VALUE!</v>
      </c>
      <c r="H390" s="51" t="str">
        <f>IFERROR(__xludf.DUMMYFUNCTION("""COMPUTED_VALUE"""),"")</f>
        <v/>
      </c>
      <c r="I390" s="51" t="str">
        <f>IFERROR(__xludf.DUMMYFUNCTION("""COMPUTED_VALUE"""),"#VALUE!")</f>
        <v>#VALUE!</v>
      </c>
      <c r="J390" s="51" t="str">
        <f>IFERROR(__xludf.DUMMYFUNCTION("""COMPUTED_VALUE"""),"")</f>
        <v/>
      </c>
      <c r="K390" s="51"/>
      <c r="L390" s="51" t="s">
        <v>257</v>
      </c>
      <c r="M390" s="51"/>
      <c r="N390" s="51"/>
      <c r="O390" s="51"/>
      <c r="P390" s="51"/>
      <c r="Q390" s="51"/>
      <c r="R390" s="51"/>
      <c r="S390" s="51"/>
      <c r="T390" s="51"/>
    </row>
    <row r="391">
      <c r="A391" s="51"/>
      <c r="B391" s="51"/>
      <c r="C391" s="56"/>
      <c r="D391" s="51"/>
      <c r="E391" s="51"/>
      <c r="F391" s="51"/>
      <c r="G391" s="51" t="str">
        <f>IFERROR(__xludf.DUMMYFUNCTION("""COMPUTED_VALUE"""),"#VALUE!")</f>
        <v>#VALUE!</v>
      </c>
      <c r="H391" s="51" t="str">
        <f>IFERROR(__xludf.DUMMYFUNCTION("""COMPUTED_VALUE"""),"")</f>
        <v/>
      </c>
      <c r="I391" s="51" t="str">
        <f>IFERROR(__xludf.DUMMYFUNCTION("""COMPUTED_VALUE"""),"#VALUE!")</f>
        <v>#VALUE!</v>
      </c>
      <c r="J391" s="51" t="str">
        <f>IFERROR(__xludf.DUMMYFUNCTION("""COMPUTED_VALUE"""),"")</f>
        <v/>
      </c>
      <c r="K391" s="51"/>
      <c r="L391" s="51" t="s">
        <v>257</v>
      </c>
      <c r="M391" s="51"/>
      <c r="N391" s="51"/>
      <c r="O391" s="51"/>
      <c r="P391" s="51"/>
      <c r="Q391" s="51"/>
      <c r="R391" s="51"/>
      <c r="S391" s="51"/>
      <c r="T391" s="51"/>
    </row>
    <row r="392">
      <c r="A392" s="51"/>
      <c r="B392" s="51"/>
      <c r="C392" s="56"/>
      <c r="D392" s="51"/>
      <c r="E392" s="51"/>
      <c r="F392" s="51"/>
      <c r="G392" s="51" t="str">
        <f>IFERROR(__xludf.DUMMYFUNCTION("""COMPUTED_VALUE"""),"#VALUE!")</f>
        <v>#VALUE!</v>
      </c>
      <c r="H392" s="51" t="str">
        <f>IFERROR(__xludf.DUMMYFUNCTION("""COMPUTED_VALUE"""),"")</f>
        <v/>
      </c>
      <c r="I392" s="51" t="str">
        <f>IFERROR(__xludf.DUMMYFUNCTION("""COMPUTED_VALUE"""),"#VALUE!")</f>
        <v>#VALUE!</v>
      </c>
      <c r="J392" s="51" t="str">
        <f>IFERROR(__xludf.DUMMYFUNCTION("""COMPUTED_VALUE"""),"")</f>
        <v/>
      </c>
      <c r="K392" s="51"/>
      <c r="L392" s="51" t="s">
        <v>257</v>
      </c>
      <c r="M392" s="51"/>
      <c r="N392" s="51"/>
      <c r="O392" s="51"/>
      <c r="P392" s="51"/>
      <c r="Q392" s="51"/>
      <c r="R392" s="51"/>
      <c r="S392" s="51"/>
      <c r="T392" s="51"/>
    </row>
    <row r="393">
      <c r="A393" s="51"/>
      <c r="B393" s="51"/>
      <c r="C393" s="56"/>
      <c r="D393" s="51"/>
      <c r="E393" s="51"/>
      <c r="F393" s="51"/>
      <c r="G393" s="51" t="str">
        <f>IFERROR(__xludf.DUMMYFUNCTION("""COMPUTED_VALUE"""),"#VALUE!")</f>
        <v>#VALUE!</v>
      </c>
      <c r="H393" s="51" t="str">
        <f>IFERROR(__xludf.DUMMYFUNCTION("""COMPUTED_VALUE"""),"")</f>
        <v/>
      </c>
      <c r="I393" s="51" t="str">
        <f>IFERROR(__xludf.DUMMYFUNCTION("""COMPUTED_VALUE"""),"#VALUE!")</f>
        <v>#VALUE!</v>
      </c>
      <c r="J393" s="51" t="str">
        <f>IFERROR(__xludf.DUMMYFUNCTION("""COMPUTED_VALUE"""),"")</f>
        <v/>
      </c>
      <c r="K393" s="51"/>
      <c r="L393" s="51" t="s">
        <v>257</v>
      </c>
      <c r="M393" s="51"/>
      <c r="N393" s="51"/>
      <c r="O393" s="51"/>
      <c r="P393" s="51"/>
      <c r="Q393" s="51"/>
      <c r="R393" s="51"/>
      <c r="S393" s="51"/>
      <c r="T393" s="51"/>
    </row>
    <row r="394">
      <c r="A394" s="51"/>
      <c r="B394" s="51"/>
      <c r="C394" s="56"/>
      <c r="D394" s="51"/>
      <c r="E394" s="51"/>
      <c r="F394" s="51"/>
      <c r="G394" s="51" t="str">
        <f>IFERROR(__xludf.DUMMYFUNCTION("""COMPUTED_VALUE"""),"#VALUE!")</f>
        <v>#VALUE!</v>
      </c>
      <c r="H394" s="51" t="str">
        <f>IFERROR(__xludf.DUMMYFUNCTION("""COMPUTED_VALUE"""),"")</f>
        <v/>
      </c>
      <c r="I394" s="51" t="str">
        <f>IFERROR(__xludf.DUMMYFUNCTION("""COMPUTED_VALUE"""),"#VALUE!")</f>
        <v>#VALUE!</v>
      </c>
      <c r="J394" s="51" t="str">
        <f>IFERROR(__xludf.DUMMYFUNCTION("""COMPUTED_VALUE"""),"")</f>
        <v/>
      </c>
      <c r="K394" s="51"/>
      <c r="L394" s="51" t="s">
        <v>257</v>
      </c>
      <c r="M394" s="51"/>
      <c r="N394" s="51"/>
      <c r="O394" s="51"/>
      <c r="P394" s="51"/>
      <c r="Q394" s="51"/>
      <c r="R394" s="51"/>
      <c r="S394" s="51"/>
      <c r="T394" s="51"/>
    </row>
    <row r="395">
      <c r="A395" s="51"/>
      <c r="B395" s="51"/>
      <c r="C395" s="56"/>
      <c r="D395" s="51"/>
      <c r="E395" s="51"/>
      <c r="F395" s="51"/>
      <c r="G395" s="51" t="str">
        <f>IFERROR(__xludf.DUMMYFUNCTION("""COMPUTED_VALUE"""),"#VALUE!")</f>
        <v>#VALUE!</v>
      </c>
      <c r="H395" s="51" t="str">
        <f>IFERROR(__xludf.DUMMYFUNCTION("""COMPUTED_VALUE"""),"")</f>
        <v/>
      </c>
      <c r="I395" s="51" t="str">
        <f>IFERROR(__xludf.DUMMYFUNCTION("""COMPUTED_VALUE"""),"#VALUE!")</f>
        <v>#VALUE!</v>
      </c>
      <c r="J395" s="51" t="str">
        <f>IFERROR(__xludf.DUMMYFUNCTION("""COMPUTED_VALUE"""),"")</f>
        <v/>
      </c>
      <c r="K395" s="51"/>
      <c r="L395" s="51" t="s">
        <v>257</v>
      </c>
      <c r="M395" s="51"/>
      <c r="N395" s="51"/>
      <c r="O395" s="51"/>
      <c r="P395" s="51"/>
      <c r="Q395" s="51"/>
      <c r="R395" s="51"/>
      <c r="S395" s="51"/>
      <c r="T395" s="51"/>
    </row>
    <row r="396">
      <c r="A396" s="51"/>
      <c r="B396" s="51"/>
      <c r="C396" s="56"/>
      <c r="D396" s="51"/>
      <c r="E396" s="51"/>
      <c r="F396" s="51"/>
      <c r="G396" s="51" t="str">
        <f>IFERROR(__xludf.DUMMYFUNCTION("""COMPUTED_VALUE"""),"#VALUE!")</f>
        <v>#VALUE!</v>
      </c>
      <c r="H396" s="51" t="str">
        <f>IFERROR(__xludf.DUMMYFUNCTION("""COMPUTED_VALUE"""),"")</f>
        <v/>
      </c>
      <c r="I396" s="51" t="str">
        <f>IFERROR(__xludf.DUMMYFUNCTION("""COMPUTED_VALUE"""),"#VALUE!")</f>
        <v>#VALUE!</v>
      </c>
      <c r="J396" s="51" t="str">
        <f>IFERROR(__xludf.DUMMYFUNCTION("""COMPUTED_VALUE"""),"")</f>
        <v/>
      </c>
      <c r="K396" s="51"/>
      <c r="L396" s="51" t="s">
        <v>257</v>
      </c>
      <c r="M396" s="51"/>
      <c r="N396" s="51"/>
      <c r="O396" s="51"/>
      <c r="P396" s="51"/>
      <c r="Q396" s="51"/>
      <c r="R396" s="51"/>
      <c r="S396" s="51"/>
      <c r="T396" s="51"/>
    </row>
    <row r="397">
      <c r="A397" s="51"/>
      <c r="B397" s="51"/>
      <c r="C397" s="56"/>
      <c r="D397" s="51"/>
      <c r="E397" s="51"/>
      <c r="F397" s="51"/>
      <c r="G397" s="51" t="str">
        <f>IFERROR(__xludf.DUMMYFUNCTION("""COMPUTED_VALUE"""),"#VALUE!")</f>
        <v>#VALUE!</v>
      </c>
      <c r="H397" s="51" t="str">
        <f>IFERROR(__xludf.DUMMYFUNCTION("""COMPUTED_VALUE"""),"")</f>
        <v/>
      </c>
      <c r="I397" s="51" t="str">
        <f>IFERROR(__xludf.DUMMYFUNCTION("""COMPUTED_VALUE"""),"#VALUE!")</f>
        <v>#VALUE!</v>
      </c>
      <c r="J397" s="51" t="str">
        <f>IFERROR(__xludf.DUMMYFUNCTION("""COMPUTED_VALUE"""),"")</f>
        <v/>
      </c>
      <c r="K397" s="51"/>
      <c r="L397" s="51" t="s">
        <v>257</v>
      </c>
      <c r="M397" s="51"/>
      <c r="N397" s="51"/>
      <c r="O397" s="51"/>
      <c r="P397" s="51"/>
      <c r="Q397" s="51"/>
      <c r="R397" s="51"/>
      <c r="S397" s="51"/>
      <c r="T397" s="51"/>
    </row>
    <row r="398">
      <c r="A398" s="51"/>
      <c r="B398" s="51"/>
      <c r="C398" s="56"/>
      <c r="D398" s="51"/>
      <c r="E398" s="51"/>
      <c r="F398" s="51"/>
      <c r="G398" s="51" t="str">
        <f>IFERROR(__xludf.DUMMYFUNCTION("""COMPUTED_VALUE"""),"#VALUE!")</f>
        <v>#VALUE!</v>
      </c>
      <c r="H398" s="51" t="str">
        <f>IFERROR(__xludf.DUMMYFUNCTION("""COMPUTED_VALUE"""),"")</f>
        <v/>
      </c>
      <c r="I398" s="51" t="str">
        <f>IFERROR(__xludf.DUMMYFUNCTION("""COMPUTED_VALUE"""),"#VALUE!")</f>
        <v>#VALUE!</v>
      </c>
      <c r="J398" s="51" t="str">
        <f>IFERROR(__xludf.DUMMYFUNCTION("""COMPUTED_VALUE"""),"")</f>
        <v/>
      </c>
      <c r="K398" s="51"/>
      <c r="L398" s="51" t="s">
        <v>257</v>
      </c>
      <c r="M398" s="51"/>
      <c r="N398" s="51"/>
      <c r="O398" s="51"/>
      <c r="P398" s="51"/>
      <c r="Q398" s="51"/>
      <c r="R398" s="51"/>
      <c r="S398" s="51"/>
      <c r="T398" s="51"/>
    </row>
    <row r="399">
      <c r="A399" s="51"/>
      <c r="B399" s="51"/>
      <c r="C399" s="56"/>
      <c r="D399" s="51"/>
      <c r="E399" s="51"/>
      <c r="F399" s="51"/>
      <c r="G399" s="51" t="str">
        <f>IFERROR(__xludf.DUMMYFUNCTION("""COMPUTED_VALUE"""),"#VALUE!")</f>
        <v>#VALUE!</v>
      </c>
      <c r="H399" s="51" t="str">
        <f>IFERROR(__xludf.DUMMYFUNCTION("""COMPUTED_VALUE"""),"")</f>
        <v/>
      </c>
      <c r="I399" s="51" t="str">
        <f>IFERROR(__xludf.DUMMYFUNCTION("""COMPUTED_VALUE"""),"#VALUE!")</f>
        <v>#VALUE!</v>
      </c>
      <c r="J399" s="51" t="str">
        <f>IFERROR(__xludf.DUMMYFUNCTION("""COMPUTED_VALUE"""),"")</f>
        <v/>
      </c>
      <c r="K399" s="51"/>
      <c r="L399" s="51" t="s">
        <v>257</v>
      </c>
      <c r="M399" s="51"/>
      <c r="N399" s="51"/>
      <c r="O399" s="51"/>
      <c r="P399" s="51"/>
      <c r="Q399" s="51"/>
      <c r="R399" s="51"/>
      <c r="S399" s="51"/>
      <c r="T399" s="51"/>
    </row>
    <row r="400">
      <c r="A400" s="51"/>
      <c r="B400" s="51"/>
      <c r="C400" s="56"/>
      <c r="D400" s="51"/>
      <c r="E400" s="51"/>
      <c r="F400" s="51"/>
      <c r="G400" s="51" t="str">
        <f>IFERROR(__xludf.DUMMYFUNCTION("""COMPUTED_VALUE"""),"#VALUE!")</f>
        <v>#VALUE!</v>
      </c>
      <c r="H400" s="51" t="str">
        <f>IFERROR(__xludf.DUMMYFUNCTION("""COMPUTED_VALUE"""),"")</f>
        <v/>
      </c>
      <c r="I400" s="51" t="str">
        <f>IFERROR(__xludf.DUMMYFUNCTION("""COMPUTED_VALUE"""),"#VALUE!")</f>
        <v>#VALUE!</v>
      </c>
      <c r="J400" s="51" t="str">
        <f>IFERROR(__xludf.DUMMYFUNCTION("""COMPUTED_VALUE"""),"")</f>
        <v/>
      </c>
      <c r="K400" s="51"/>
      <c r="L400" s="51" t="s">
        <v>257</v>
      </c>
      <c r="M400" s="51"/>
      <c r="N400" s="51"/>
      <c r="O400" s="51"/>
      <c r="P400" s="51"/>
      <c r="Q400" s="51"/>
      <c r="R400" s="51"/>
      <c r="S400" s="51"/>
      <c r="T400" s="51"/>
    </row>
    <row r="401">
      <c r="A401" s="51"/>
      <c r="B401" s="51"/>
      <c r="C401" s="56"/>
      <c r="D401" s="51"/>
      <c r="E401" s="51"/>
      <c r="F401" s="51"/>
      <c r="G401" s="51" t="str">
        <f>IFERROR(__xludf.DUMMYFUNCTION("""COMPUTED_VALUE"""),"#VALUE!")</f>
        <v>#VALUE!</v>
      </c>
      <c r="H401" s="51" t="str">
        <f>IFERROR(__xludf.DUMMYFUNCTION("""COMPUTED_VALUE"""),"")</f>
        <v/>
      </c>
      <c r="I401" s="51" t="str">
        <f>IFERROR(__xludf.DUMMYFUNCTION("""COMPUTED_VALUE"""),"#VALUE!")</f>
        <v>#VALUE!</v>
      </c>
      <c r="J401" s="51" t="str">
        <f>IFERROR(__xludf.DUMMYFUNCTION("""COMPUTED_VALUE"""),"")</f>
        <v/>
      </c>
      <c r="K401" s="51"/>
      <c r="L401" s="51" t="s">
        <v>257</v>
      </c>
      <c r="M401" s="51"/>
      <c r="N401" s="51"/>
      <c r="O401" s="51"/>
      <c r="P401" s="51"/>
      <c r="Q401" s="51"/>
      <c r="R401" s="51"/>
      <c r="S401" s="51"/>
      <c r="T401" s="51"/>
    </row>
    <row r="402">
      <c r="A402" s="51"/>
      <c r="B402" s="51"/>
      <c r="C402" s="56"/>
      <c r="D402" s="51"/>
      <c r="E402" s="51"/>
      <c r="F402" s="51"/>
      <c r="G402" s="51" t="str">
        <f>IFERROR(__xludf.DUMMYFUNCTION("""COMPUTED_VALUE"""),"#VALUE!")</f>
        <v>#VALUE!</v>
      </c>
      <c r="H402" s="51" t="str">
        <f>IFERROR(__xludf.DUMMYFUNCTION("""COMPUTED_VALUE"""),"")</f>
        <v/>
      </c>
      <c r="I402" s="51" t="str">
        <f>IFERROR(__xludf.DUMMYFUNCTION("""COMPUTED_VALUE"""),"#VALUE!")</f>
        <v>#VALUE!</v>
      </c>
      <c r="J402" s="51" t="str">
        <f>IFERROR(__xludf.DUMMYFUNCTION("""COMPUTED_VALUE"""),"")</f>
        <v/>
      </c>
      <c r="K402" s="51"/>
      <c r="L402" s="51" t="s">
        <v>257</v>
      </c>
      <c r="M402" s="51"/>
      <c r="N402" s="51"/>
      <c r="O402" s="51"/>
      <c r="P402" s="51"/>
      <c r="Q402" s="51"/>
      <c r="R402" s="51"/>
      <c r="S402" s="51"/>
      <c r="T402" s="51"/>
    </row>
    <row r="403">
      <c r="A403" s="51"/>
      <c r="B403" s="51"/>
      <c r="C403" s="56"/>
      <c r="D403" s="51"/>
      <c r="E403" s="51"/>
      <c r="F403" s="51"/>
      <c r="G403" s="51" t="str">
        <f>IFERROR(__xludf.DUMMYFUNCTION("""COMPUTED_VALUE"""),"#VALUE!")</f>
        <v>#VALUE!</v>
      </c>
      <c r="H403" s="51" t="str">
        <f>IFERROR(__xludf.DUMMYFUNCTION("""COMPUTED_VALUE"""),"")</f>
        <v/>
      </c>
      <c r="I403" s="51" t="str">
        <f>IFERROR(__xludf.DUMMYFUNCTION("""COMPUTED_VALUE"""),"#VALUE!")</f>
        <v>#VALUE!</v>
      </c>
      <c r="J403" s="51" t="str">
        <f>IFERROR(__xludf.DUMMYFUNCTION("""COMPUTED_VALUE"""),"")</f>
        <v/>
      </c>
      <c r="K403" s="51"/>
      <c r="L403" s="51" t="s">
        <v>257</v>
      </c>
      <c r="M403" s="51"/>
      <c r="N403" s="51"/>
      <c r="O403" s="51"/>
      <c r="P403" s="51"/>
      <c r="Q403" s="51"/>
      <c r="R403" s="51"/>
      <c r="S403" s="51"/>
      <c r="T403" s="51"/>
    </row>
    <row r="404">
      <c r="A404" s="51"/>
      <c r="B404" s="51"/>
      <c r="C404" s="56"/>
      <c r="D404" s="51"/>
      <c r="E404" s="51"/>
      <c r="F404" s="51"/>
      <c r="G404" s="51" t="str">
        <f>IFERROR(__xludf.DUMMYFUNCTION("""COMPUTED_VALUE"""),"#VALUE!")</f>
        <v>#VALUE!</v>
      </c>
      <c r="H404" s="51" t="str">
        <f>IFERROR(__xludf.DUMMYFUNCTION("""COMPUTED_VALUE"""),"")</f>
        <v/>
      </c>
      <c r="I404" s="51" t="str">
        <f>IFERROR(__xludf.DUMMYFUNCTION("""COMPUTED_VALUE"""),"#VALUE!")</f>
        <v>#VALUE!</v>
      </c>
      <c r="J404" s="51" t="str">
        <f>IFERROR(__xludf.DUMMYFUNCTION("""COMPUTED_VALUE"""),"")</f>
        <v/>
      </c>
      <c r="K404" s="51"/>
      <c r="L404" s="51" t="s">
        <v>257</v>
      </c>
      <c r="M404" s="51"/>
      <c r="N404" s="51"/>
      <c r="O404" s="51"/>
      <c r="P404" s="51"/>
      <c r="Q404" s="51"/>
      <c r="R404" s="51"/>
      <c r="S404" s="51"/>
      <c r="T404" s="51"/>
    </row>
    <row r="405">
      <c r="A405" s="51"/>
      <c r="B405" s="51"/>
      <c r="C405" s="56"/>
      <c r="D405" s="51"/>
      <c r="E405" s="51"/>
      <c r="F405" s="51"/>
      <c r="G405" s="51" t="str">
        <f>IFERROR(__xludf.DUMMYFUNCTION("""COMPUTED_VALUE"""),"#VALUE!")</f>
        <v>#VALUE!</v>
      </c>
      <c r="H405" s="51" t="str">
        <f>IFERROR(__xludf.DUMMYFUNCTION("""COMPUTED_VALUE"""),"")</f>
        <v/>
      </c>
      <c r="I405" s="51" t="str">
        <f>IFERROR(__xludf.DUMMYFUNCTION("""COMPUTED_VALUE"""),"#VALUE!")</f>
        <v>#VALUE!</v>
      </c>
      <c r="J405" s="51" t="str">
        <f>IFERROR(__xludf.DUMMYFUNCTION("""COMPUTED_VALUE"""),"")</f>
        <v/>
      </c>
      <c r="K405" s="51"/>
      <c r="L405" s="51" t="s">
        <v>257</v>
      </c>
      <c r="M405" s="51"/>
      <c r="N405" s="51"/>
      <c r="O405" s="51"/>
      <c r="P405" s="51"/>
      <c r="Q405" s="51"/>
      <c r="R405" s="51"/>
      <c r="S405" s="51"/>
      <c r="T405" s="51"/>
    </row>
    <row r="406">
      <c r="A406" s="51"/>
      <c r="B406" s="51"/>
      <c r="C406" s="56"/>
      <c r="D406" s="51"/>
      <c r="E406" s="51"/>
      <c r="F406" s="51"/>
      <c r="G406" s="51" t="str">
        <f>IFERROR(__xludf.DUMMYFUNCTION("""COMPUTED_VALUE"""),"#VALUE!")</f>
        <v>#VALUE!</v>
      </c>
      <c r="H406" s="51" t="str">
        <f>IFERROR(__xludf.DUMMYFUNCTION("""COMPUTED_VALUE"""),"")</f>
        <v/>
      </c>
      <c r="I406" s="51" t="str">
        <f>IFERROR(__xludf.DUMMYFUNCTION("""COMPUTED_VALUE"""),"#VALUE!")</f>
        <v>#VALUE!</v>
      </c>
      <c r="J406" s="51" t="str">
        <f>IFERROR(__xludf.DUMMYFUNCTION("""COMPUTED_VALUE"""),"")</f>
        <v/>
      </c>
      <c r="K406" s="51"/>
      <c r="L406" s="51" t="s">
        <v>257</v>
      </c>
      <c r="M406" s="51"/>
      <c r="N406" s="51"/>
      <c r="O406" s="51"/>
      <c r="P406" s="51"/>
      <c r="Q406" s="51"/>
      <c r="R406" s="51"/>
      <c r="S406" s="51"/>
      <c r="T406" s="51"/>
    </row>
    <row r="407">
      <c r="A407" s="51"/>
      <c r="B407" s="51"/>
      <c r="C407" s="56"/>
      <c r="D407" s="51"/>
      <c r="E407" s="51"/>
      <c r="F407" s="51"/>
      <c r="G407" s="51" t="str">
        <f>IFERROR(__xludf.DUMMYFUNCTION("""COMPUTED_VALUE"""),"#VALUE!")</f>
        <v>#VALUE!</v>
      </c>
      <c r="H407" s="51" t="str">
        <f>IFERROR(__xludf.DUMMYFUNCTION("""COMPUTED_VALUE"""),"")</f>
        <v/>
      </c>
      <c r="I407" s="51" t="str">
        <f>IFERROR(__xludf.DUMMYFUNCTION("""COMPUTED_VALUE"""),"#VALUE!")</f>
        <v>#VALUE!</v>
      </c>
      <c r="J407" s="51" t="str">
        <f>IFERROR(__xludf.DUMMYFUNCTION("""COMPUTED_VALUE"""),"")</f>
        <v/>
      </c>
      <c r="K407" s="51"/>
      <c r="L407" s="51" t="s">
        <v>257</v>
      </c>
      <c r="M407" s="51"/>
      <c r="N407" s="51"/>
      <c r="O407" s="51"/>
      <c r="P407" s="51"/>
      <c r="Q407" s="51"/>
      <c r="R407" s="51"/>
      <c r="S407" s="51"/>
      <c r="T407" s="51"/>
    </row>
    <row r="408">
      <c r="A408" s="51"/>
      <c r="B408" s="51"/>
      <c r="C408" s="56"/>
      <c r="D408" s="51"/>
      <c r="E408" s="51"/>
      <c r="F408" s="51"/>
      <c r="G408" s="51" t="str">
        <f>IFERROR(__xludf.DUMMYFUNCTION("""COMPUTED_VALUE"""),"#VALUE!")</f>
        <v>#VALUE!</v>
      </c>
      <c r="H408" s="51" t="str">
        <f>IFERROR(__xludf.DUMMYFUNCTION("""COMPUTED_VALUE"""),"")</f>
        <v/>
      </c>
      <c r="I408" s="51" t="str">
        <f>IFERROR(__xludf.DUMMYFUNCTION("""COMPUTED_VALUE"""),"#VALUE!")</f>
        <v>#VALUE!</v>
      </c>
      <c r="J408" s="51" t="str">
        <f>IFERROR(__xludf.DUMMYFUNCTION("""COMPUTED_VALUE"""),"")</f>
        <v/>
      </c>
      <c r="K408" s="51"/>
      <c r="L408" s="51" t="s">
        <v>257</v>
      </c>
      <c r="M408" s="51"/>
      <c r="N408" s="51"/>
      <c r="O408" s="51"/>
      <c r="P408" s="51"/>
      <c r="Q408" s="51"/>
      <c r="R408" s="51"/>
      <c r="S408" s="51"/>
      <c r="T408" s="51"/>
    </row>
    <row r="409">
      <c r="A409" s="51"/>
      <c r="B409" s="51"/>
      <c r="C409" s="56"/>
      <c r="D409" s="51"/>
      <c r="E409" s="51"/>
      <c r="F409" s="51"/>
      <c r="G409" s="51" t="str">
        <f>IFERROR(__xludf.DUMMYFUNCTION("""COMPUTED_VALUE"""),"#VALUE!")</f>
        <v>#VALUE!</v>
      </c>
      <c r="H409" s="51" t="str">
        <f>IFERROR(__xludf.DUMMYFUNCTION("""COMPUTED_VALUE"""),"")</f>
        <v/>
      </c>
      <c r="I409" s="51" t="str">
        <f>IFERROR(__xludf.DUMMYFUNCTION("""COMPUTED_VALUE"""),"#VALUE!")</f>
        <v>#VALUE!</v>
      </c>
      <c r="J409" s="51" t="str">
        <f>IFERROR(__xludf.DUMMYFUNCTION("""COMPUTED_VALUE"""),"")</f>
        <v/>
      </c>
      <c r="K409" s="51"/>
      <c r="L409" s="51" t="s">
        <v>257</v>
      </c>
      <c r="M409" s="51"/>
      <c r="N409" s="51"/>
      <c r="O409" s="51"/>
      <c r="P409" s="51"/>
      <c r="Q409" s="51"/>
      <c r="R409" s="51"/>
      <c r="S409" s="51"/>
      <c r="T409" s="51"/>
    </row>
    <row r="410">
      <c r="A410" s="51"/>
      <c r="B410" s="51"/>
      <c r="C410" s="56"/>
      <c r="D410" s="51"/>
      <c r="E410" s="51"/>
      <c r="F410" s="51"/>
      <c r="G410" s="51" t="str">
        <f>IFERROR(__xludf.DUMMYFUNCTION("""COMPUTED_VALUE"""),"#VALUE!")</f>
        <v>#VALUE!</v>
      </c>
      <c r="H410" s="51" t="str">
        <f>IFERROR(__xludf.DUMMYFUNCTION("""COMPUTED_VALUE"""),"")</f>
        <v/>
      </c>
      <c r="I410" s="51" t="str">
        <f>IFERROR(__xludf.DUMMYFUNCTION("""COMPUTED_VALUE"""),"#VALUE!")</f>
        <v>#VALUE!</v>
      </c>
      <c r="J410" s="51" t="str">
        <f>IFERROR(__xludf.DUMMYFUNCTION("""COMPUTED_VALUE"""),"")</f>
        <v/>
      </c>
      <c r="K410" s="51"/>
      <c r="L410" s="51" t="s">
        <v>257</v>
      </c>
      <c r="M410" s="51"/>
      <c r="N410" s="51"/>
      <c r="O410" s="51"/>
      <c r="P410" s="51"/>
      <c r="Q410" s="51"/>
      <c r="R410" s="51"/>
      <c r="S410" s="51"/>
      <c r="T410" s="51"/>
    </row>
    <row r="411">
      <c r="A411" s="51"/>
      <c r="B411" s="51"/>
      <c r="C411" s="56"/>
      <c r="D411" s="51"/>
      <c r="E411" s="51"/>
      <c r="F411" s="51"/>
      <c r="G411" s="51" t="str">
        <f>IFERROR(__xludf.DUMMYFUNCTION("""COMPUTED_VALUE"""),"#VALUE!")</f>
        <v>#VALUE!</v>
      </c>
      <c r="H411" s="51" t="str">
        <f>IFERROR(__xludf.DUMMYFUNCTION("""COMPUTED_VALUE"""),"")</f>
        <v/>
      </c>
      <c r="I411" s="51" t="str">
        <f>IFERROR(__xludf.DUMMYFUNCTION("""COMPUTED_VALUE"""),"#VALUE!")</f>
        <v>#VALUE!</v>
      </c>
      <c r="J411" s="51" t="str">
        <f>IFERROR(__xludf.DUMMYFUNCTION("""COMPUTED_VALUE"""),"")</f>
        <v/>
      </c>
      <c r="K411" s="51"/>
      <c r="L411" s="51" t="s">
        <v>257</v>
      </c>
      <c r="M411" s="51"/>
      <c r="N411" s="51"/>
      <c r="O411" s="51"/>
      <c r="P411" s="51"/>
      <c r="Q411" s="51"/>
      <c r="R411" s="51"/>
      <c r="S411" s="51"/>
      <c r="T411" s="51"/>
    </row>
    <row r="412">
      <c r="A412" s="51"/>
      <c r="B412" s="51"/>
      <c r="C412" s="56"/>
      <c r="D412" s="51"/>
      <c r="E412" s="51"/>
      <c r="F412" s="51"/>
      <c r="G412" s="51" t="str">
        <f>IFERROR(__xludf.DUMMYFUNCTION("""COMPUTED_VALUE"""),"#VALUE!")</f>
        <v>#VALUE!</v>
      </c>
      <c r="H412" s="51" t="str">
        <f>IFERROR(__xludf.DUMMYFUNCTION("""COMPUTED_VALUE"""),"")</f>
        <v/>
      </c>
      <c r="I412" s="51" t="str">
        <f>IFERROR(__xludf.DUMMYFUNCTION("""COMPUTED_VALUE"""),"#VALUE!")</f>
        <v>#VALUE!</v>
      </c>
      <c r="J412" s="51" t="str">
        <f>IFERROR(__xludf.DUMMYFUNCTION("""COMPUTED_VALUE"""),"")</f>
        <v/>
      </c>
      <c r="K412" s="51"/>
      <c r="L412" s="51" t="s">
        <v>257</v>
      </c>
      <c r="M412" s="51"/>
      <c r="N412" s="51"/>
      <c r="O412" s="51"/>
      <c r="P412" s="51"/>
      <c r="Q412" s="51"/>
      <c r="R412" s="51"/>
      <c r="S412" s="51"/>
      <c r="T412" s="51"/>
    </row>
    <row r="413">
      <c r="A413" s="51"/>
      <c r="B413" s="51"/>
      <c r="C413" s="56"/>
      <c r="D413" s="51"/>
      <c r="E413" s="51"/>
      <c r="F413" s="51"/>
      <c r="G413" s="51" t="str">
        <f>IFERROR(__xludf.DUMMYFUNCTION("""COMPUTED_VALUE"""),"#VALUE!")</f>
        <v>#VALUE!</v>
      </c>
      <c r="H413" s="51" t="str">
        <f>IFERROR(__xludf.DUMMYFUNCTION("""COMPUTED_VALUE"""),"")</f>
        <v/>
      </c>
      <c r="I413" s="51" t="str">
        <f>IFERROR(__xludf.DUMMYFUNCTION("""COMPUTED_VALUE"""),"#VALUE!")</f>
        <v>#VALUE!</v>
      </c>
      <c r="J413" s="51" t="str">
        <f>IFERROR(__xludf.DUMMYFUNCTION("""COMPUTED_VALUE"""),"")</f>
        <v/>
      </c>
      <c r="K413" s="51"/>
      <c r="L413" s="51" t="s">
        <v>257</v>
      </c>
      <c r="M413" s="51"/>
      <c r="N413" s="51"/>
      <c r="O413" s="51"/>
      <c r="P413" s="51"/>
      <c r="Q413" s="51"/>
      <c r="R413" s="51"/>
      <c r="S413" s="51"/>
      <c r="T413" s="51"/>
    </row>
    <row r="414">
      <c r="A414" s="51"/>
      <c r="B414" s="51"/>
      <c r="C414" s="56"/>
      <c r="D414" s="51"/>
      <c r="E414" s="51"/>
      <c r="F414" s="51"/>
      <c r="G414" s="51" t="str">
        <f>IFERROR(__xludf.DUMMYFUNCTION("""COMPUTED_VALUE"""),"#VALUE!")</f>
        <v>#VALUE!</v>
      </c>
      <c r="H414" s="51" t="str">
        <f>IFERROR(__xludf.DUMMYFUNCTION("""COMPUTED_VALUE"""),"")</f>
        <v/>
      </c>
      <c r="I414" s="51" t="str">
        <f>IFERROR(__xludf.DUMMYFUNCTION("""COMPUTED_VALUE"""),"#VALUE!")</f>
        <v>#VALUE!</v>
      </c>
      <c r="J414" s="51" t="str">
        <f>IFERROR(__xludf.DUMMYFUNCTION("""COMPUTED_VALUE"""),"")</f>
        <v/>
      </c>
      <c r="K414" s="51"/>
      <c r="L414" s="51" t="s">
        <v>257</v>
      </c>
      <c r="M414" s="51"/>
      <c r="N414" s="51"/>
      <c r="O414" s="51"/>
      <c r="P414" s="51"/>
      <c r="Q414" s="51"/>
      <c r="R414" s="51"/>
      <c r="S414" s="51"/>
      <c r="T414" s="51"/>
    </row>
    <row r="415">
      <c r="A415" s="51"/>
      <c r="B415" s="51"/>
      <c r="C415" s="56"/>
      <c r="D415" s="51"/>
      <c r="E415" s="51"/>
      <c r="F415" s="51"/>
      <c r="G415" s="51" t="str">
        <f>IFERROR(__xludf.DUMMYFUNCTION("""COMPUTED_VALUE"""),"#VALUE!")</f>
        <v>#VALUE!</v>
      </c>
      <c r="H415" s="51" t="str">
        <f>IFERROR(__xludf.DUMMYFUNCTION("""COMPUTED_VALUE"""),"")</f>
        <v/>
      </c>
      <c r="I415" s="51" t="str">
        <f>IFERROR(__xludf.DUMMYFUNCTION("""COMPUTED_VALUE"""),"#VALUE!")</f>
        <v>#VALUE!</v>
      </c>
      <c r="J415" s="51" t="str">
        <f>IFERROR(__xludf.DUMMYFUNCTION("""COMPUTED_VALUE"""),"")</f>
        <v/>
      </c>
      <c r="K415" s="51"/>
      <c r="L415" s="51" t="s">
        <v>257</v>
      </c>
      <c r="M415" s="51"/>
      <c r="N415" s="51"/>
      <c r="O415" s="51"/>
      <c r="P415" s="51"/>
      <c r="Q415" s="51"/>
      <c r="R415" s="51"/>
      <c r="S415" s="51"/>
      <c r="T415" s="51"/>
    </row>
    <row r="416">
      <c r="A416" s="51"/>
      <c r="B416" s="51"/>
      <c r="C416" s="56"/>
      <c r="D416" s="51"/>
      <c r="E416" s="51"/>
      <c r="F416" s="51"/>
      <c r="G416" s="51" t="str">
        <f>IFERROR(__xludf.DUMMYFUNCTION("""COMPUTED_VALUE"""),"#VALUE!")</f>
        <v>#VALUE!</v>
      </c>
      <c r="H416" s="51" t="str">
        <f>IFERROR(__xludf.DUMMYFUNCTION("""COMPUTED_VALUE"""),"")</f>
        <v/>
      </c>
      <c r="I416" s="51" t="str">
        <f>IFERROR(__xludf.DUMMYFUNCTION("""COMPUTED_VALUE"""),"#VALUE!")</f>
        <v>#VALUE!</v>
      </c>
      <c r="J416" s="51" t="str">
        <f>IFERROR(__xludf.DUMMYFUNCTION("""COMPUTED_VALUE"""),"")</f>
        <v/>
      </c>
      <c r="K416" s="51"/>
      <c r="L416" s="51" t="s">
        <v>257</v>
      </c>
      <c r="M416" s="51"/>
      <c r="N416" s="51"/>
      <c r="O416" s="51"/>
      <c r="P416" s="51"/>
      <c r="Q416" s="51"/>
      <c r="R416" s="51"/>
      <c r="S416" s="51"/>
      <c r="T416" s="51"/>
    </row>
    <row r="417">
      <c r="A417" s="51"/>
      <c r="B417" s="51"/>
      <c r="C417" s="56"/>
      <c r="D417" s="51"/>
      <c r="E417" s="51"/>
      <c r="F417" s="51"/>
      <c r="G417" s="51" t="str">
        <f>IFERROR(__xludf.DUMMYFUNCTION("""COMPUTED_VALUE"""),"#VALUE!")</f>
        <v>#VALUE!</v>
      </c>
      <c r="H417" s="51" t="str">
        <f>IFERROR(__xludf.DUMMYFUNCTION("""COMPUTED_VALUE"""),"")</f>
        <v/>
      </c>
      <c r="I417" s="51" t="str">
        <f>IFERROR(__xludf.DUMMYFUNCTION("""COMPUTED_VALUE"""),"#VALUE!")</f>
        <v>#VALUE!</v>
      </c>
      <c r="J417" s="51" t="str">
        <f>IFERROR(__xludf.DUMMYFUNCTION("""COMPUTED_VALUE"""),"")</f>
        <v/>
      </c>
      <c r="K417" s="51"/>
      <c r="L417" s="51" t="s">
        <v>257</v>
      </c>
      <c r="M417" s="51"/>
      <c r="N417" s="51"/>
      <c r="O417" s="51"/>
      <c r="P417" s="51"/>
      <c r="Q417" s="51"/>
      <c r="R417" s="51"/>
      <c r="S417" s="51"/>
      <c r="T417" s="51"/>
    </row>
    <row r="418">
      <c r="A418" s="51"/>
      <c r="B418" s="51"/>
      <c r="C418" s="56"/>
      <c r="D418" s="51"/>
      <c r="E418" s="51"/>
      <c r="F418" s="51"/>
      <c r="G418" s="51" t="str">
        <f>IFERROR(__xludf.DUMMYFUNCTION("""COMPUTED_VALUE"""),"#VALUE!")</f>
        <v>#VALUE!</v>
      </c>
      <c r="H418" s="51" t="str">
        <f>IFERROR(__xludf.DUMMYFUNCTION("""COMPUTED_VALUE"""),"")</f>
        <v/>
      </c>
      <c r="I418" s="51" t="str">
        <f>IFERROR(__xludf.DUMMYFUNCTION("""COMPUTED_VALUE"""),"#VALUE!")</f>
        <v>#VALUE!</v>
      </c>
      <c r="J418" s="51" t="str">
        <f>IFERROR(__xludf.DUMMYFUNCTION("""COMPUTED_VALUE"""),"")</f>
        <v/>
      </c>
      <c r="K418" s="51"/>
      <c r="L418" s="51" t="s">
        <v>257</v>
      </c>
      <c r="M418" s="51"/>
      <c r="N418" s="51"/>
      <c r="O418" s="51"/>
      <c r="P418" s="51"/>
      <c r="Q418" s="51"/>
      <c r="R418" s="51"/>
      <c r="S418" s="51"/>
      <c r="T418" s="51"/>
    </row>
    <row r="419">
      <c r="A419" s="51"/>
      <c r="B419" s="51"/>
      <c r="C419" s="56"/>
      <c r="D419" s="51"/>
      <c r="E419" s="51"/>
      <c r="F419" s="51"/>
      <c r="G419" s="51" t="str">
        <f>IFERROR(__xludf.DUMMYFUNCTION("""COMPUTED_VALUE"""),"#VALUE!")</f>
        <v>#VALUE!</v>
      </c>
      <c r="H419" s="51" t="str">
        <f>IFERROR(__xludf.DUMMYFUNCTION("""COMPUTED_VALUE"""),"")</f>
        <v/>
      </c>
      <c r="I419" s="51" t="str">
        <f>IFERROR(__xludf.DUMMYFUNCTION("""COMPUTED_VALUE"""),"#VALUE!")</f>
        <v>#VALUE!</v>
      </c>
      <c r="J419" s="51" t="str">
        <f>IFERROR(__xludf.DUMMYFUNCTION("""COMPUTED_VALUE"""),"")</f>
        <v/>
      </c>
      <c r="K419" s="51"/>
      <c r="L419" s="51" t="s">
        <v>257</v>
      </c>
      <c r="M419" s="51"/>
      <c r="N419" s="51"/>
      <c r="O419" s="51"/>
      <c r="P419" s="51"/>
      <c r="Q419" s="51"/>
      <c r="R419" s="51"/>
      <c r="S419" s="51"/>
      <c r="T419" s="51"/>
    </row>
    <row r="420">
      <c r="A420" s="51"/>
      <c r="B420" s="51"/>
      <c r="C420" s="56"/>
      <c r="D420" s="51"/>
      <c r="E420" s="51"/>
      <c r="F420" s="51"/>
      <c r="G420" s="51" t="str">
        <f>IFERROR(__xludf.DUMMYFUNCTION("""COMPUTED_VALUE"""),"#VALUE!")</f>
        <v>#VALUE!</v>
      </c>
      <c r="H420" s="51" t="str">
        <f>IFERROR(__xludf.DUMMYFUNCTION("""COMPUTED_VALUE"""),"")</f>
        <v/>
      </c>
      <c r="I420" s="51" t="str">
        <f>IFERROR(__xludf.DUMMYFUNCTION("""COMPUTED_VALUE"""),"#VALUE!")</f>
        <v>#VALUE!</v>
      </c>
      <c r="J420" s="51" t="str">
        <f>IFERROR(__xludf.DUMMYFUNCTION("""COMPUTED_VALUE"""),"")</f>
        <v/>
      </c>
      <c r="K420" s="51"/>
      <c r="L420" s="51" t="s">
        <v>257</v>
      </c>
      <c r="M420" s="51"/>
      <c r="N420" s="51"/>
      <c r="O420" s="51"/>
      <c r="P420" s="51"/>
      <c r="Q420" s="51"/>
      <c r="R420" s="51"/>
      <c r="S420" s="51"/>
      <c r="T420" s="51"/>
    </row>
    <row r="421">
      <c r="A421" s="51"/>
      <c r="B421" s="51"/>
      <c r="C421" s="56"/>
      <c r="D421" s="51"/>
      <c r="E421" s="51"/>
      <c r="F421" s="51"/>
      <c r="G421" s="51" t="str">
        <f>IFERROR(__xludf.DUMMYFUNCTION("""COMPUTED_VALUE"""),"#VALUE!")</f>
        <v>#VALUE!</v>
      </c>
      <c r="H421" s="51" t="str">
        <f>IFERROR(__xludf.DUMMYFUNCTION("""COMPUTED_VALUE"""),"")</f>
        <v/>
      </c>
      <c r="I421" s="51" t="str">
        <f>IFERROR(__xludf.DUMMYFUNCTION("""COMPUTED_VALUE"""),"#VALUE!")</f>
        <v>#VALUE!</v>
      </c>
      <c r="J421" s="51" t="str">
        <f>IFERROR(__xludf.DUMMYFUNCTION("""COMPUTED_VALUE"""),"")</f>
        <v/>
      </c>
      <c r="K421" s="51"/>
      <c r="L421" s="51" t="s">
        <v>257</v>
      </c>
      <c r="M421" s="51"/>
      <c r="N421" s="51"/>
      <c r="O421" s="51"/>
      <c r="P421" s="51"/>
      <c r="Q421" s="51"/>
      <c r="R421" s="51"/>
      <c r="S421" s="51"/>
      <c r="T421" s="51"/>
    </row>
    <row r="422">
      <c r="A422" s="51"/>
      <c r="B422" s="51"/>
      <c r="C422" s="56"/>
      <c r="D422" s="51"/>
      <c r="E422" s="51"/>
      <c r="F422" s="51"/>
      <c r="G422" s="51" t="str">
        <f>IFERROR(__xludf.DUMMYFUNCTION("""COMPUTED_VALUE"""),"#VALUE!")</f>
        <v>#VALUE!</v>
      </c>
      <c r="H422" s="51" t="str">
        <f>IFERROR(__xludf.DUMMYFUNCTION("""COMPUTED_VALUE"""),"")</f>
        <v/>
      </c>
      <c r="I422" s="51" t="str">
        <f>IFERROR(__xludf.DUMMYFUNCTION("""COMPUTED_VALUE"""),"#VALUE!")</f>
        <v>#VALUE!</v>
      </c>
      <c r="J422" s="51" t="str">
        <f>IFERROR(__xludf.DUMMYFUNCTION("""COMPUTED_VALUE"""),"")</f>
        <v/>
      </c>
      <c r="K422" s="51"/>
      <c r="L422" s="51" t="s">
        <v>257</v>
      </c>
      <c r="M422" s="51"/>
      <c r="N422" s="51"/>
      <c r="O422" s="51"/>
      <c r="P422" s="51"/>
      <c r="Q422" s="51"/>
      <c r="R422" s="51"/>
      <c r="S422" s="51"/>
      <c r="T422" s="51"/>
    </row>
    <row r="423">
      <c r="A423" s="51"/>
      <c r="B423" s="51"/>
      <c r="C423" s="56"/>
      <c r="D423" s="51"/>
      <c r="E423" s="51"/>
      <c r="F423" s="51"/>
      <c r="G423" s="51" t="str">
        <f>IFERROR(__xludf.DUMMYFUNCTION("""COMPUTED_VALUE"""),"#VALUE!")</f>
        <v>#VALUE!</v>
      </c>
      <c r="H423" s="51" t="str">
        <f>IFERROR(__xludf.DUMMYFUNCTION("""COMPUTED_VALUE"""),"")</f>
        <v/>
      </c>
      <c r="I423" s="51" t="str">
        <f>IFERROR(__xludf.DUMMYFUNCTION("""COMPUTED_VALUE"""),"#VALUE!")</f>
        <v>#VALUE!</v>
      </c>
      <c r="J423" s="51" t="str">
        <f>IFERROR(__xludf.DUMMYFUNCTION("""COMPUTED_VALUE"""),"")</f>
        <v/>
      </c>
      <c r="K423" s="51"/>
      <c r="L423" s="51" t="s">
        <v>257</v>
      </c>
      <c r="M423" s="51"/>
      <c r="N423" s="51"/>
      <c r="O423" s="51"/>
      <c r="P423" s="51"/>
      <c r="Q423" s="51"/>
      <c r="R423" s="51"/>
      <c r="S423" s="51"/>
      <c r="T423" s="51"/>
    </row>
    <row r="424">
      <c r="A424" s="51"/>
      <c r="B424" s="51"/>
      <c r="C424" s="56"/>
      <c r="D424" s="51"/>
      <c r="E424" s="51"/>
      <c r="F424" s="51"/>
      <c r="G424" s="51" t="str">
        <f>IFERROR(__xludf.DUMMYFUNCTION("""COMPUTED_VALUE"""),"#VALUE!")</f>
        <v>#VALUE!</v>
      </c>
      <c r="H424" s="51" t="str">
        <f>IFERROR(__xludf.DUMMYFUNCTION("""COMPUTED_VALUE"""),"")</f>
        <v/>
      </c>
      <c r="I424" s="51" t="str">
        <f>IFERROR(__xludf.DUMMYFUNCTION("""COMPUTED_VALUE"""),"#VALUE!")</f>
        <v>#VALUE!</v>
      </c>
      <c r="J424" s="51" t="str">
        <f>IFERROR(__xludf.DUMMYFUNCTION("""COMPUTED_VALUE"""),"")</f>
        <v/>
      </c>
      <c r="K424" s="51"/>
      <c r="L424" s="51" t="s">
        <v>257</v>
      </c>
      <c r="M424" s="51"/>
      <c r="N424" s="51"/>
      <c r="O424" s="51"/>
      <c r="P424" s="51"/>
      <c r="Q424" s="51"/>
      <c r="R424" s="51"/>
      <c r="S424" s="51"/>
      <c r="T424" s="51"/>
    </row>
    <row r="425">
      <c r="A425" s="51"/>
      <c r="B425" s="51"/>
      <c r="C425" s="56"/>
      <c r="D425" s="51"/>
      <c r="E425" s="51"/>
      <c r="F425" s="51"/>
      <c r="G425" s="51" t="str">
        <f>IFERROR(__xludf.DUMMYFUNCTION("""COMPUTED_VALUE"""),"#VALUE!")</f>
        <v>#VALUE!</v>
      </c>
      <c r="H425" s="51" t="str">
        <f>IFERROR(__xludf.DUMMYFUNCTION("""COMPUTED_VALUE"""),"")</f>
        <v/>
      </c>
      <c r="I425" s="51" t="str">
        <f>IFERROR(__xludf.DUMMYFUNCTION("""COMPUTED_VALUE"""),"#VALUE!")</f>
        <v>#VALUE!</v>
      </c>
      <c r="J425" s="51" t="str">
        <f>IFERROR(__xludf.DUMMYFUNCTION("""COMPUTED_VALUE"""),"")</f>
        <v/>
      </c>
      <c r="K425" s="51"/>
      <c r="L425" s="51" t="s">
        <v>257</v>
      </c>
      <c r="M425" s="51"/>
      <c r="N425" s="51"/>
      <c r="O425" s="51"/>
      <c r="P425" s="51"/>
      <c r="Q425" s="51"/>
      <c r="R425" s="51"/>
      <c r="S425" s="51"/>
      <c r="T425" s="51"/>
    </row>
    <row r="426">
      <c r="A426" s="51"/>
      <c r="B426" s="51"/>
      <c r="C426" s="56"/>
      <c r="D426" s="51"/>
      <c r="E426" s="51"/>
      <c r="F426" s="51"/>
      <c r="G426" s="51" t="str">
        <f>IFERROR(__xludf.DUMMYFUNCTION("""COMPUTED_VALUE"""),"#VALUE!")</f>
        <v>#VALUE!</v>
      </c>
      <c r="H426" s="51" t="str">
        <f>IFERROR(__xludf.DUMMYFUNCTION("""COMPUTED_VALUE"""),"")</f>
        <v/>
      </c>
      <c r="I426" s="51" t="str">
        <f>IFERROR(__xludf.DUMMYFUNCTION("""COMPUTED_VALUE"""),"#VALUE!")</f>
        <v>#VALUE!</v>
      </c>
      <c r="J426" s="51" t="str">
        <f>IFERROR(__xludf.DUMMYFUNCTION("""COMPUTED_VALUE"""),"")</f>
        <v/>
      </c>
      <c r="K426" s="51"/>
      <c r="L426" s="51" t="s">
        <v>257</v>
      </c>
      <c r="M426" s="51"/>
      <c r="N426" s="51"/>
      <c r="O426" s="51"/>
      <c r="P426" s="51"/>
      <c r="Q426" s="51"/>
      <c r="R426" s="51"/>
      <c r="S426" s="51"/>
      <c r="T426" s="51"/>
    </row>
    <row r="427">
      <c r="A427" s="51"/>
      <c r="B427" s="51"/>
      <c r="C427" s="56"/>
      <c r="D427" s="51"/>
      <c r="E427" s="51"/>
      <c r="F427" s="51"/>
      <c r="G427" s="51" t="str">
        <f>IFERROR(__xludf.DUMMYFUNCTION("""COMPUTED_VALUE"""),"#VALUE!")</f>
        <v>#VALUE!</v>
      </c>
      <c r="H427" s="51" t="str">
        <f>IFERROR(__xludf.DUMMYFUNCTION("""COMPUTED_VALUE"""),"")</f>
        <v/>
      </c>
      <c r="I427" s="51" t="str">
        <f>IFERROR(__xludf.DUMMYFUNCTION("""COMPUTED_VALUE"""),"#VALUE!")</f>
        <v>#VALUE!</v>
      </c>
      <c r="J427" s="51" t="str">
        <f>IFERROR(__xludf.DUMMYFUNCTION("""COMPUTED_VALUE"""),"")</f>
        <v/>
      </c>
      <c r="K427" s="51"/>
      <c r="L427" s="51" t="s">
        <v>257</v>
      </c>
      <c r="M427" s="51"/>
      <c r="N427" s="51"/>
      <c r="O427" s="51"/>
      <c r="P427" s="51"/>
      <c r="Q427" s="51"/>
      <c r="R427" s="51"/>
      <c r="S427" s="51"/>
      <c r="T427" s="51"/>
    </row>
    <row r="428">
      <c r="A428" s="51"/>
      <c r="B428" s="51"/>
      <c r="C428" s="56"/>
      <c r="D428" s="51"/>
      <c r="E428" s="51"/>
      <c r="F428" s="51"/>
      <c r="G428" s="51" t="str">
        <f>IFERROR(__xludf.DUMMYFUNCTION("""COMPUTED_VALUE"""),"#VALUE!")</f>
        <v>#VALUE!</v>
      </c>
      <c r="H428" s="51" t="str">
        <f>IFERROR(__xludf.DUMMYFUNCTION("""COMPUTED_VALUE"""),"")</f>
        <v/>
      </c>
      <c r="I428" s="51" t="str">
        <f>IFERROR(__xludf.DUMMYFUNCTION("""COMPUTED_VALUE"""),"#VALUE!")</f>
        <v>#VALUE!</v>
      </c>
      <c r="J428" s="51" t="str">
        <f>IFERROR(__xludf.DUMMYFUNCTION("""COMPUTED_VALUE"""),"")</f>
        <v/>
      </c>
      <c r="K428" s="51"/>
      <c r="L428" s="51" t="s">
        <v>257</v>
      </c>
      <c r="M428" s="51"/>
      <c r="N428" s="51"/>
      <c r="O428" s="51"/>
      <c r="P428" s="51"/>
      <c r="Q428" s="51"/>
      <c r="R428" s="51"/>
      <c r="S428" s="51"/>
      <c r="T428" s="51"/>
    </row>
    <row r="429">
      <c r="A429" s="51"/>
      <c r="B429" s="51"/>
      <c r="C429" s="56"/>
      <c r="D429" s="51"/>
      <c r="E429" s="51"/>
      <c r="F429" s="51"/>
      <c r="G429" s="51" t="str">
        <f>IFERROR(__xludf.DUMMYFUNCTION("""COMPUTED_VALUE"""),"#VALUE!")</f>
        <v>#VALUE!</v>
      </c>
      <c r="H429" s="51" t="str">
        <f>IFERROR(__xludf.DUMMYFUNCTION("""COMPUTED_VALUE"""),"")</f>
        <v/>
      </c>
      <c r="I429" s="51" t="str">
        <f>IFERROR(__xludf.DUMMYFUNCTION("""COMPUTED_VALUE"""),"#VALUE!")</f>
        <v>#VALUE!</v>
      </c>
      <c r="J429" s="51" t="str">
        <f>IFERROR(__xludf.DUMMYFUNCTION("""COMPUTED_VALUE"""),"")</f>
        <v/>
      </c>
      <c r="K429" s="51"/>
      <c r="L429" s="51" t="s">
        <v>257</v>
      </c>
      <c r="M429" s="51"/>
      <c r="N429" s="51"/>
      <c r="O429" s="51"/>
      <c r="P429" s="51"/>
      <c r="Q429" s="51"/>
      <c r="R429" s="51"/>
      <c r="S429" s="51"/>
      <c r="T429" s="51"/>
    </row>
    <row r="430">
      <c r="A430" s="51"/>
      <c r="B430" s="51"/>
      <c r="C430" s="56"/>
      <c r="D430" s="51"/>
      <c r="E430" s="51"/>
      <c r="F430" s="51"/>
      <c r="G430" s="51" t="str">
        <f>IFERROR(__xludf.DUMMYFUNCTION("""COMPUTED_VALUE"""),"#VALUE!")</f>
        <v>#VALUE!</v>
      </c>
      <c r="H430" s="51" t="str">
        <f>IFERROR(__xludf.DUMMYFUNCTION("""COMPUTED_VALUE"""),"")</f>
        <v/>
      </c>
      <c r="I430" s="51" t="str">
        <f>IFERROR(__xludf.DUMMYFUNCTION("""COMPUTED_VALUE"""),"#VALUE!")</f>
        <v>#VALUE!</v>
      </c>
      <c r="J430" s="51" t="str">
        <f>IFERROR(__xludf.DUMMYFUNCTION("""COMPUTED_VALUE"""),"")</f>
        <v/>
      </c>
      <c r="K430" s="51"/>
      <c r="L430" s="51" t="s">
        <v>257</v>
      </c>
      <c r="M430" s="51"/>
      <c r="N430" s="51"/>
      <c r="O430" s="51"/>
      <c r="P430" s="51"/>
      <c r="Q430" s="51"/>
      <c r="R430" s="51"/>
      <c r="S430" s="51"/>
      <c r="T430" s="51"/>
    </row>
    <row r="431">
      <c r="A431" s="51"/>
      <c r="B431" s="51"/>
      <c r="C431" s="56"/>
      <c r="D431" s="51"/>
      <c r="E431" s="51"/>
      <c r="F431" s="51"/>
      <c r="G431" s="51" t="str">
        <f>IFERROR(__xludf.DUMMYFUNCTION("""COMPUTED_VALUE"""),"#VALUE!")</f>
        <v>#VALUE!</v>
      </c>
      <c r="H431" s="51" t="str">
        <f>IFERROR(__xludf.DUMMYFUNCTION("""COMPUTED_VALUE"""),"")</f>
        <v/>
      </c>
      <c r="I431" s="51" t="str">
        <f>IFERROR(__xludf.DUMMYFUNCTION("""COMPUTED_VALUE"""),"#VALUE!")</f>
        <v>#VALUE!</v>
      </c>
      <c r="J431" s="51" t="str">
        <f>IFERROR(__xludf.DUMMYFUNCTION("""COMPUTED_VALUE"""),"")</f>
        <v/>
      </c>
      <c r="K431" s="51"/>
      <c r="L431" s="51" t="s">
        <v>257</v>
      </c>
      <c r="M431" s="51"/>
      <c r="N431" s="51"/>
      <c r="O431" s="51"/>
      <c r="P431" s="51"/>
      <c r="Q431" s="51"/>
      <c r="R431" s="51"/>
      <c r="S431" s="51"/>
      <c r="T431" s="51"/>
    </row>
    <row r="432">
      <c r="A432" s="51"/>
      <c r="B432" s="51"/>
      <c r="C432" s="56"/>
      <c r="D432" s="51"/>
      <c r="E432" s="51"/>
      <c r="F432" s="51"/>
      <c r="G432" s="51" t="str">
        <f>IFERROR(__xludf.DUMMYFUNCTION("""COMPUTED_VALUE"""),"#VALUE!")</f>
        <v>#VALUE!</v>
      </c>
      <c r="H432" s="51" t="str">
        <f>IFERROR(__xludf.DUMMYFUNCTION("""COMPUTED_VALUE"""),"")</f>
        <v/>
      </c>
      <c r="I432" s="51" t="str">
        <f>IFERROR(__xludf.DUMMYFUNCTION("""COMPUTED_VALUE"""),"#VALUE!")</f>
        <v>#VALUE!</v>
      </c>
      <c r="J432" s="51" t="str">
        <f>IFERROR(__xludf.DUMMYFUNCTION("""COMPUTED_VALUE"""),"")</f>
        <v/>
      </c>
      <c r="K432" s="51"/>
      <c r="L432" s="51" t="s">
        <v>257</v>
      </c>
      <c r="M432" s="51"/>
      <c r="N432" s="51"/>
      <c r="O432" s="51"/>
      <c r="P432" s="51"/>
      <c r="Q432" s="51"/>
      <c r="R432" s="51"/>
      <c r="S432" s="51"/>
      <c r="T432" s="51"/>
    </row>
    <row r="433">
      <c r="A433" s="51"/>
      <c r="B433" s="51"/>
      <c r="C433" s="56"/>
      <c r="D433" s="51"/>
      <c r="E433" s="51"/>
      <c r="F433" s="51"/>
      <c r="G433" s="51" t="str">
        <f>IFERROR(__xludf.DUMMYFUNCTION("""COMPUTED_VALUE"""),"#VALUE!")</f>
        <v>#VALUE!</v>
      </c>
      <c r="H433" s="51" t="str">
        <f>IFERROR(__xludf.DUMMYFUNCTION("""COMPUTED_VALUE"""),"")</f>
        <v/>
      </c>
      <c r="I433" s="51" t="str">
        <f>IFERROR(__xludf.DUMMYFUNCTION("""COMPUTED_VALUE"""),"#VALUE!")</f>
        <v>#VALUE!</v>
      </c>
      <c r="J433" s="51" t="str">
        <f>IFERROR(__xludf.DUMMYFUNCTION("""COMPUTED_VALUE"""),"")</f>
        <v/>
      </c>
      <c r="K433" s="51"/>
      <c r="L433" s="51" t="s">
        <v>257</v>
      </c>
      <c r="M433" s="51"/>
      <c r="N433" s="51"/>
      <c r="O433" s="51"/>
      <c r="P433" s="51"/>
      <c r="Q433" s="51"/>
      <c r="R433" s="51"/>
      <c r="S433" s="51"/>
      <c r="T433" s="51"/>
    </row>
    <row r="434">
      <c r="A434" s="51"/>
      <c r="B434" s="51"/>
      <c r="C434" s="56"/>
      <c r="D434" s="51"/>
      <c r="E434" s="51"/>
      <c r="F434" s="51"/>
      <c r="G434" s="51" t="str">
        <f>IFERROR(__xludf.DUMMYFUNCTION("""COMPUTED_VALUE"""),"#VALUE!")</f>
        <v>#VALUE!</v>
      </c>
      <c r="H434" s="51" t="str">
        <f>IFERROR(__xludf.DUMMYFUNCTION("""COMPUTED_VALUE"""),"")</f>
        <v/>
      </c>
      <c r="I434" s="51" t="str">
        <f>IFERROR(__xludf.DUMMYFUNCTION("""COMPUTED_VALUE"""),"#VALUE!")</f>
        <v>#VALUE!</v>
      </c>
      <c r="J434" s="51" t="str">
        <f>IFERROR(__xludf.DUMMYFUNCTION("""COMPUTED_VALUE"""),"")</f>
        <v/>
      </c>
      <c r="K434" s="51"/>
      <c r="L434" s="51" t="s">
        <v>257</v>
      </c>
      <c r="M434" s="51"/>
      <c r="N434" s="51"/>
      <c r="O434" s="51"/>
      <c r="P434" s="51"/>
      <c r="Q434" s="51"/>
      <c r="R434" s="51"/>
      <c r="S434" s="51"/>
      <c r="T434" s="51"/>
    </row>
    <row r="435">
      <c r="A435" s="51"/>
      <c r="B435" s="51"/>
      <c r="C435" s="56"/>
      <c r="D435" s="51"/>
      <c r="E435" s="51"/>
      <c r="F435" s="51"/>
      <c r="G435" s="51" t="str">
        <f>IFERROR(__xludf.DUMMYFUNCTION("""COMPUTED_VALUE"""),"#VALUE!")</f>
        <v>#VALUE!</v>
      </c>
      <c r="H435" s="51" t="str">
        <f>IFERROR(__xludf.DUMMYFUNCTION("""COMPUTED_VALUE"""),"")</f>
        <v/>
      </c>
      <c r="I435" s="51" t="str">
        <f>IFERROR(__xludf.DUMMYFUNCTION("""COMPUTED_VALUE"""),"#VALUE!")</f>
        <v>#VALUE!</v>
      </c>
      <c r="J435" s="51" t="str">
        <f>IFERROR(__xludf.DUMMYFUNCTION("""COMPUTED_VALUE"""),"")</f>
        <v/>
      </c>
      <c r="K435" s="51"/>
      <c r="L435" s="51" t="s">
        <v>257</v>
      </c>
      <c r="M435" s="51"/>
      <c r="N435" s="51"/>
      <c r="O435" s="51"/>
      <c r="P435" s="51"/>
      <c r="Q435" s="51"/>
      <c r="R435" s="51"/>
      <c r="S435" s="51"/>
      <c r="T435" s="51"/>
    </row>
    <row r="436">
      <c r="A436" s="51"/>
      <c r="B436" s="51"/>
      <c r="C436" s="56"/>
      <c r="D436" s="51"/>
      <c r="E436" s="51"/>
      <c r="F436" s="51"/>
      <c r="G436" s="51" t="str">
        <f>IFERROR(__xludf.DUMMYFUNCTION("""COMPUTED_VALUE"""),"#VALUE!")</f>
        <v>#VALUE!</v>
      </c>
      <c r="H436" s="51" t="str">
        <f>IFERROR(__xludf.DUMMYFUNCTION("""COMPUTED_VALUE"""),"")</f>
        <v/>
      </c>
      <c r="I436" s="51" t="str">
        <f>IFERROR(__xludf.DUMMYFUNCTION("""COMPUTED_VALUE"""),"#VALUE!")</f>
        <v>#VALUE!</v>
      </c>
      <c r="J436" s="51" t="str">
        <f>IFERROR(__xludf.DUMMYFUNCTION("""COMPUTED_VALUE"""),"")</f>
        <v/>
      </c>
      <c r="K436" s="51"/>
      <c r="L436" s="51" t="s">
        <v>257</v>
      </c>
      <c r="M436" s="51"/>
      <c r="N436" s="51"/>
      <c r="O436" s="51"/>
      <c r="P436" s="51"/>
      <c r="Q436" s="51"/>
      <c r="R436" s="51"/>
      <c r="S436" s="51"/>
      <c r="T436" s="51"/>
    </row>
    <row r="437">
      <c r="A437" s="51"/>
      <c r="B437" s="51"/>
      <c r="C437" s="56"/>
      <c r="D437" s="51"/>
      <c r="E437" s="51"/>
      <c r="F437" s="51"/>
      <c r="G437" s="51" t="str">
        <f>IFERROR(__xludf.DUMMYFUNCTION("""COMPUTED_VALUE"""),"#VALUE!")</f>
        <v>#VALUE!</v>
      </c>
      <c r="H437" s="51" t="str">
        <f>IFERROR(__xludf.DUMMYFUNCTION("""COMPUTED_VALUE"""),"")</f>
        <v/>
      </c>
      <c r="I437" s="51" t="str">
        <f>IFERROR(__xludf.DUMMYFUNCTION("""COMPUTED_VALUE"""),"#VALUE!")</f>
        <v>#VALUE!</v>
      </c>
      <c r="J437" s="51" t="str">
        <f>IFERROR(__xludf.DUMMYFUNCTION("""COMPUTED_VALUE"""),"")</f>
        <v/>
      </c>
      <c r="K437" s="51"/>
      <c r="L437" s="51" t="s">
        <v>257</v>
      </c>
      <c r="M437" s="51"/>
      <c r="N437" s="51"/>
      <c r="O437" s="51"/>
      <c r="P437" s="51"/>
      <c r="Q437" s="51"/>
      <c r="R437" s="51"/>
      <c r="S437" s="51"/>
      <c r="T437" s="51"/>
    </row>
    <row r="438">
      <c r="A438" s="51"/>
      <c r="B438" s="51"/>
      <c r="C438" s="56"/>
      <c r="D438" s="51"/>
      <c r="E438" s="51"/>
      <c r="F438" s="51"/>
      <c r="G438" s="51" t="str">
        <f>IFERROR(__xludf.DUMMYFUNCTION("""COMPUTED_VALUE"""),"#VALUE!")</f>
        <v>#VALUE!</v>
      </c>
      <c r="H438" s="51" t="str">
        <f>IFERROR(__xludf.DUMMYFUNCTION("""COMPUTED_VALUE"""),"")</f>
        <v/>
      </c>
      <c r="I438" s="51" t="str">
        <f>IFERROR(__xludf.DUMMYFUNCTION("""COMPUTED_VALUE"""),"#VALUE!")</f>
        <v>#VALUE!</v>
      </c>
      <c r="J438" s="51" t="str">
        <f>IFERROR(__xludf.DUMMYFUNCTION("""COMPUTED_VALUE"""),"")</f>
        <v/>
      </c>
      <c r="K438" s="51"/>
      <c r="L438" s="51" t="s">
        <v>257</v>
      </c>
      <c r="M438" s="51"/>
      <c r="N438" s="51"/>
      <c r="O438" s="51"/>
      <c r="P438" s="51"/>
      <c r="Q438" s="51"/>
      <c r="R438" s="51"/>
      <c r="S438" s="51"/>
      <c r="T438" s="51"/>
    </row>
    <row r="439">
      <c r="A439" s="51"/>
      <c r="B439" s="51"/>
      <c r="C439" s="56"/>
      <c r="D439" s="51"/>
      <c r="E439" s="51"/>
      <c r="F439" s="51"/>
      <c r="G439" s="51" t="str">
        <f>IFERROR(__xludf.DUMMYFUNCTION("""COMPUTED_VALUE"""),"#VALUE!")</f>
        <v>#VALUE!</v>
      </c>
      <c r="H439" s="51" t="str">
        <f>IFERROR(__xludf.DUMMYFUNCTION("""COMPUTED_VALUE"""),"")</f>
        <v/>
      </c>
      <c r="I439" s="51" t="str">
        <f>IFERROR(__xludf.DUMMYFUNCTION("""COMPUTED_VALUE"""),"#VALUE!")</f>
        <v>#VALUE!</v>
      </c>
      <c r="J439" s="51" t="str">
        <f>IFERROR(__xludf.DUMMYFUNCTION("""COMPUTED_VALUE"""),"")</f>
        <v/>
      </c>
      <c r="K439" s="51"/>
      <c r="L439" s="51" t="s">
        <v>257</v>
      </c>
      <c r="M439" s="51"/>
      <c r="N439" s="51"/>
      <c r="O439" s="51"/>
      <c r="P439" s="51"/>
      <c r="Q439" s="51"/>
      <c r="R439" s="51"/>
      <c r="S439" s="51"/>
      <c r="T439" s="51"/>
    </row>
    <row r="440">
      <c r="A440" s="51"/>
      <c r="B440" s="51"/>
      <c r="C440" s="56"/>
      <c r="D440" s="51"/>
      <c r="E440" s="51"/>
      <c r="F440" s="51"/>
      <c r="G440" s="51" t="str">
        <f>IFERROR(__xludf.DUMMYFUNCTION("""COMPUTED_VALUE"""),"#VALUE!")</f>
        <v>#VALUE!</v>
      </c>
      <c r="H440" s="51" t="str">
        <f>IFERROR(__xludf.DUMMYFUNCTION("""COMPUTED_VALUE"""),"")</f>
        <v/>
      </c>
      <c r="I440" s="51" t="str">
        <f>IFERROR(__xludf.DUMMYFUNCTION("""COMPUTED_VALUE"""),"#VALUE!")</f>
        <v>#VALUE!</v>
      </c>
      <c r="J440" s="51" t="str">
        <f>IFERROR(__xludf.DUMMYFUNCTION("""COMPUTED_VALUE"""),"")</f>
        <v/>
      </c>
      <c r="K440" s="51"/>
      <c r="L440" s="51" t="s">
        <v>257</v>
      </c>
      <c r="M440" s="51"/>
      <c r="N440" s="51"/>
      <c r="O440" s="51"/>
      <c r="P440" s="51"/>
      <c r="Q440" s="51"/>
      <c r="R440" s="51"/>
      <c r="S440" s="51"/>
      <c r="T440" s="51"/>
    </row>
    <row r="441">
      <c r="A441" s="51"/>
      <c r="B441" s="51"/>
      <c r="C441" s="56"/>
      <c r="D441" s="51"/>
      <c r="E441" s="51"/>
      <c r="F441" s="51"/>
      <c r="G441" s="51" t="str">
        <f>IFERROR(__xludf.DUMMYFUNCTION("""COMPUTED_VALUE"""),"#VALUE!")</f>
        <v>#VALUE!</v>
      </c>
      <c r="H441" s="51" t="str">
        <f>IFERROR(__xludf.DUMMYFUNCTION("""COMPUTED_VALUE"""),"")</f>
        <v/>
      </c>
      <c r="I441" s="51" t="str">
        <f>IFERROR(__xludf.DUMMYFUNCTION("""COMPUTED_VALUE"""),"#VALUE!")</f>
        <v>#VALUE!</v>
      </c>
      <c r="J441" s="51" t="str">
        <f>IFERROR(__xludf.DUMMYFUNCTION("""COMPUTED_VALUE"""),"")</f>
        <v/>
      </c>
      <c r="K441" s="51"/>
      <c r="L441" s="51" t="s">
        <v>257</v>
      </c>
      <c r="M441" s="51"/>
      <c r="N441" s="51"/>
      <c r="O441" s="51"/>
      <c r="P441" s="51"/>
      <c r="Q441" s="51"/>
      <c r="R441" s="51"/>
      <c r="S441" s="51"/>
      <c r="T441" s="51"/>
    </row>
    <row r="442">
      <c r="A442" s="51"/>
      <c r="B442" s="51"/>
      <c r="C442" s="56"/>
      <c r="D442" s="51"/>
      <c r="E442" s="51"/>
      <c r="F442" s="51"/>
      <c r="G442" s="51" t="str">
        <f>IFERROR(__xludf.DUMMYFUNCTION("""COMPUTED_VALUE"""),"#VALUE!")</f>
        <v>#VALUE!</v>
      </c>
      <c r="H442" s="51" t="str">
        <f>IFERROR(__xludf.DUMMYFUNCTION("""COMPUTED_VALUE"""),"")</f>
        <v/>
      </c>
      <c r="I442" s="51" t="str">
        <f>IFERROR(__xludf.DUMMYFUNCTION("""COMPUTED_VALUE"""),"#VALUE!")</f>
        <v>#VALUE!</v>
      </c>
      <c r="J442" s="51" t="str">
        <f>IFERROR(__xludf.DUMMYFUNCTION("""COMPUTED_VALUE"""),"")</f>
        <v/>
      </c>
      <c r="K442" s="51"/>
      <c r="L442" s="51" t="s">
        <v>257</v>
      </c>
      <c r="M442" s="51"/>
      <c r="N442" s="51"/>
      <c r="O442" s="51"/>
      <c r="P442" s="51"/>
      <c r="Q442" s="51"/>
      <c r="R442" s="51"/>
      <c r="S442" s="51"/>
      <c r="T442" s="51"/>
    </row>
    <row r="443">
      <c r="A443" s="51"/>
      <c r="B443" s="51"/>
      <c r="C443" s="56"/>
      <c r="D443" s="51"/>
      <c r="E443" s="51"/>
      <c r="F443" s="51"/>
      <c r="G443" s="51" t="str">
        <f>IFERROR(__xludf.DUMMYFUNCTION("""COMPUTED_VALUE"""),"#VALUE!")</f>
        <v>#VALUE!</v>
      </c>
      <c r="H443" s="51" t="str">
        <f>IFERROR(__xludf.DUMMYFUNCTION("""COMPUTED_VALUE"""),"")</f>
        <v/>
      </c>
      <c r="I443" s="51" t="str">
        <f>IFERROR(__xludf.DUMMYFUNCTION("""COMPUTED_VALUE"""),"#VALUE!")</f>
        <v>#VALUE!</v>
      </c>
      <c r="J443" s="51" t="str">
        <f>IFERROR(__xludf.DUMMYFUNCTION("""COMPUTED_VALUE"""),"")</f>
        <v/>
      </c>
      <c r="K443" s="51"/>
      <c r="L443" s="51" t="s">
        <v>257</v>
      </c>
      <c r="M443" s="51"/>
      <c r="N443" s="51"/>
      <c r="O443" s="51"/>
      <c r="P443" s="51"/>
      <c r="Q443" s="51"/>
      <c r="R443" s="51"/>
      <c r="S443" s="51"/>
      <c r="T443" s="51"/>
    </row>
    <row r="444">
      <c r="A444" s="51"/>
      <c r="B444" s="51"/>
      <c r="C444" s="56"/>
      <c r="D444" s="51"/>
      <c r="E444" s="51"/>
      <c r="F444" s="51"/>
      <c r="G444" s="51" t="str">
        <f>IFERROR(__xludf.DUMMYFUNCTION("""COMPUTED_VALUE"""),"#VALUE!")</f>
        <v>#VALUE!</v>
      </c>
      <c r="H444" s="51" t="str">
        <f>IFERROR(__xludf.DUMMYFUNCTION("""COMPUTED_VALUE"""),"")</f>
        <v/>
      </c>
      <c r="I444" s="51" t="str">
        <f>IFERROR(__xludf.DUMMYFUNCTION("""COMPUTED_VALUE"""),"#VALUE!")</f>
        <v>#VALUE!</v>
      </c>
      <c r="J444" s="51" t="str">
        <f>IFERROR(__xludf.DUMMYFUNCTION("""COMPUTED_VALUE"""),"")</f>
        <v/>
      </c>
      <c r="K444" s="51"/>
      <c r="L444" s="51" t="s">
        <v>257</v>
      </c>
      <c r="M444" s="51"/>
      <c r="N444" s="51"/>
      <c r="O444" s="51"/>
      <c r="P444" s="51"/>
      <c r="Q444" s="51"/>
      <c r="R444" s="51"/>
      <c r="S444" s="51"/>
      <c r="T444" s="51"/>
    </row>
    <row r="445">
      <c r="A445" s="51"/>
      <c r="B445" s="51"/>
      <c r="C445" s="56"/>
      <c r="D445" s="51"/>
      <c r="E445" s="51"/>
      <c r="F445" s="51"/>
      <c r="G445" s="51" t="str">
        <f>IFERROR(__xludf.DUMMYFUNCTION("""COMPUTED_VALUE"""),"#VALUE!")</f>
        <v>#VALUE!</v>
      </c>
      <c r="H445" s="51" t="str">
        <f>IFERROR(__xludf.DUMMYFUNCTION("""COMPUTED_VALUE"""),"")</f>
        <v/>
      </c>
      <c r="I445" s="51" t="str">
        <f>IFERROR(__xludf.DUMMYFUNCTION("""COMPUTED_VALUE"""),"#VALUE!")</f>
        <v>#VALUE!</v>
      </c>
      <c r="J445" s="51" t="str">
        <f>IFERROR(__xludf.DUMMYFUNCTION("""COMPUTED_VALUE"""),"")</f>
        <v/>
      </c>
      <c r="K445" s="51"/>
      <c r="L445" s="51" t="s">
        <v>257</v>
      </c>
      <c r="M445" s="51"/>
      <c r="N445" s="51"/>
      <c r="O445" s="51"/>
      <c r="P445" s="51"/>
      <c r="Q445" s="51"/>
      <c r="R445" s="51"/>
      <c r="S445" s="51"/>
      <c r="T445" s="51"/>
    </row>
    <row r="446">
      <c r="A446" s="51"/>
      <c r="B446" s="51"/>
      <c r="C446" s="56"/>
      <c r="D446" s="51"/>
      <c r="E446" s="51"/>
      <c r="F446" s="51"/>
      <c r="G446" s="51" t="str">
        <f>IFERROR(__xludf.DUMMYFUNCTION("""COMPUTED_VALUE"""),"#VALUE!")</f>
        <v>#VALUE!</v>
      </c>
      <c r="H446" s="51" t="str">
        <f>IFERROR(__xludf.DUMMYFUNCTION("""COMPUTED_VALUE"""),"")</f>
        <v/>
      </c>
      <c r="I446" s="51" t="str">
        <f>IFERROR(__xludf.DUMMYFUNCTION("""COMPUTED_VALUE"""),"#VALUE!")</f>
        <v>#VALUE!</v>
      </c>
      <c r="J446" s="51" t="str">
        <f>IFERROR(__xludf.DUMMYFUNCTION("""COMPUTED_VALUE"""),"")</f>
        <v/>
      </c>
      <c r="K446" s="51"/>
      <c r="L446" s="51" t="s">
        <v>257</v>
      </c>
      <c r="M446" s="51"/>
      <c r="N446" s="51"/>
      <c r="O446" s="51"/>
      <c r="P446" s="51"/>
      <c r="Q446" s="51"/>
      <c r="R446" s="51"/>
      <c r="S446" s="51"/>
      <c r="T446" s="51"/>
    </row>
    <row r="447">
      <c r="A447" s="51"/>
      <c r="B447" s="51"/>
      <c r="C447" s="56"/>
      <c r="D447" s="51"/>
      <c r="E447" s="51"/>
      <c r="F447" s="51"/>
      <c r="G447" s="51" t="str">
        <f>IFERROR(__xludf.DUMMYFUNCTION("""COMPUTED_VALUE"""),"#VALUE!")</f>
        <v>#VALUE!</v>
      </c>
      <c r="H447" s="51" t="str">
        <f>IFERROR(__xludf.DUMMYFUNCTION("""COMPUTED_VALUE"""),"")</f>
        <v/>
      </c>
      <c r="I447" s="51" t="str">
        <f>IFERROR(__xludf.DUMMYFUNCTION("""COMPUTED_VALUE"""),"#VALUE!")</f>
        <v>#VALUE!</v>
      </c>
      <c r="J447" s="51" t="str">
        <f>IFERROR(__xludf.DUMMYFUNCTION("""COMPUTED_VALUE"""),"")</f>
        <v/>
      </c>
      <c r="K447" s="51"/>
      <c r="L447" s="51" t="s">
        <v>257</v>
      </c>
      <c r="M447" s="51"/>
      <c r="N447" s="51"/>
      <c r="O447" s="51"/>
      <c r="P447" s="51"/>
      <c r="Q447" s="51"/>
      <c r="R447" s="51"/>
      <c r="S447" s="51"/>
      <c r="T447" s="51"/>
    </row>
    <row r="448">
      <c r="A448" s="51"/>
      <c r="B448" s="51"/>
      <c r="C448" s="56"/>
      <c r="D448" s="51"/>
      <c r="E448" s="51"/>
      <c r="F448" s="51"/>
      <c r="G448" s="51" t="str">
        <f>IFERROR(__xludf.DUMMYFUNCTION("""COMPUTED_VALUE"""),"#VALUE!")</f>
        <v>#VALUE!</v>
      </c>
      <c r="H448" s="51" t="str">
        <f>IFERROR(__xludf.DUMMYFUNCTION("""COMPUTED_VALUE"""),"")</f>
        <v/>
      </c>
      <c r="I448" s="51" t="str">
        <f>IFERROR(__xludf.DUMMYFUNCTION("""COMPUTED_VALUE"""),"#VALUE!")</f>
        <v>#VALUE!</v>
      </c>
      <c r="J448" s="51" t="str">
        <f>IFERROR(__xludf.DUMMYFUNCTION("""COMPUTED_VALUE"""),"")</f>
        <v/>
      </c>
      <c r="K448" s="51"/>
      <c r="L448" s="51" t="s">
        <v>257</v>
      </c>
      <c r="M448" s="51"/>
      <c r="N448" s="51"/>
      <c r="O448" s="51"/>
      <c r="P448" s="51"/>
      <c r="Q448" s="51"/>
      <c r="R448" s="51"/>
      <c r="S448" s="51"/>
      <c r="T448" s="51"/>
    </row>
    <row r="449">
      <c r="A449" s="51"/>
      <c r="B449" s="51"/>
      <c r="C449" s="56"/>
      <c r="D449" s="51"/>
      <c r="E449" s="51"/>
      <c r="F449" s="51"/>
      <c r="G449" s="51" t="str">
        <f>IFERROR(__xludf.DUMMYFUNCTION("""COMPUTED_VALUE"""),"#VALUE!")</f>
        <v>#VALUE!</v>
      </c>
      <c r="H449" s="51" t="str">
        <f>IFERROR(__xludf.DUMMYFUNCTION("""COMPUTED_VALUE"""),"")</f>
        <v/>
      </c>
      <c r="I449" s="51" t="str">
        <f>IFERROR(__xludf.DUMMYFUNCTION("""COMPUTED_VALUE"""),"#VALUE!")</f>
        <v>#VALUE!</v>
      </c>
      <c r="J449" s="51" t="str">
        <f>IFERROR(__xludf.DUMMYFUNCTION("""COMPUTED_VALUE"""),"")</f>
        <v/>
      </c>
      <c r="K449" s="51"/>
      <c r="L449" s="51" t="s">
        <v>257</v>
      </c>
      <c r="M449" s="51"/>
      <c r="N449" s="51"/>
      <c r="O449" s="51"/>
      <c r="P449" s="51"/>
      <c r="Q449" s="51"/>
      <c r="R449" s="51"/>
      <c r="S449" s="51"/>
      <c r="T449" s="51"/>
    </row>
    <row r="450">
      <c r="A450" s="51"/>
      <c r="B450" s="51"/>
      <c r="C450" s="56"/>
      <c r="D450" s="51"/>
      <c r="E450" s="51"/>
      <c r="F450" s="51"/>
      <c r="G450" s="51" t="str">
        <f>IFERROR(__xludf.DUMMYFUNCTION("""COMPUTED_VALUE"""),"#VALUE!")</f>
        <v>#VALUE!</v>
      </c>
      <c r="H450" s="51" t="str">
        <f>IFERROR(__xludf.DUMMYFUNCTION("""COMPUTED_VALUE"""),"")</f>
        <v/>
      </c>
      <c r="I450" s="51" t="str">
        <f>IFERROR(__xludf.DUMMYFUNCTION("""COMPUTED_VALUE"""),"#VALUE!")</f>
        <v>#VALUE!</v>
      </c>
      <c r="J450" s="51" t="str">
        <f>IFERROR(__xludf.DUMMYFUNCTION("""COMPUTED_VALUE"""),"")</f>
        <v/>
      </c>
      <c r="K450" s="51"/>
      <c r="L450" s="51" t="s">
        <v>257</v>
      </c>
      <c r="M450" s="51"/>
      <c r="N450" s="51"/>
      <c r="O450" s="51"/>
      <c r="P450" s="51"/>
      <c r="Q450" s="51"/>
      <c r="R450" s="51"/>
      <c r="S450" s="51"/>
      <c r="T450" s="51"/>
    </row>
    <row r="451">
      <c r="A451" s="51"/>
      <c r="B451" s="51"/>
      <c r="C451" s="56"/>
      <c r="D451" s="51"/>
      <c r="E451" s="51"/>
      <c r="F451" s="51"/>
      <c r="G451" s="51" t="str">
        <f>IFERROR(__xludf.DUMMYFUNCTION("""COMPUTED_VALUE"""),"#VALUE!")</f>
        <v>#VALUE!</v>
      </c>
      <c r="H451" s="51" t="str">
        <f>IFERROR(__xludf.DUMMYFUNCTION("""COMPUTED_VALUE"""),"")</f>
        <v/>
      </c>
      <c r="I451" s="51" t="str">
        <f>IFERROR(__xludf.DUMMYFUNCTION("""COMPUTED_VALUE"""),"#VALUE!")</f>
        <v>#VALUE!</v>
      </c>
      <c r="J451" s="51" t="str">
        <f>IFERROR(__xludf.DUMMYFUNCTION("""COMPUTED_VALUE"""),"")</f>
        <v/>
      </c>
      <c r="K451" s="51"/>
      <c r="L451" s="51" t="s">
        <v>257</v>
      </c>
      <c r="M451" s="51"/>
      <c r="N451" s="51"/>
      <c r="O451" s="51"/>
      <c r="P451" s="51"/>
      <c r="Q451" s="51"/>
      <c r="R451" s="51"/>
      <c r="S451" s="51"/>
      <c r="T451" s="51"/>
    </row>
    <row r="452">
      <c r="A452" s="51"/>
      <c r="B452" s="51"/>
      <c r="C452" s="56"/>
      <c r="D452" s="51"/>
      <c r="E452" s="51"/>
      <c r="F452" s="51"/>
      <c r="G452" s="51" t="str">
        <f>IFERROR(__xludf.DUMMYFUNCTION("""COMPUTED_VALUE"""),"#VALUE!")</f>
        <v>#VALUE!</v>
      </c>
      <c r="H452" s="51" t="str">
        <f>IFERROR(__xludf.DUMMYFUNCTION("""COMPUTED_VALUE"""),"")</f>
        <v/>
      </c>
      <c r="I452" s="51" t="str">
        <f>IFERROR(__xludf.DUMMYFUNCTION("""COMPUTED_VALUE"""),"#VALUE!")</f>
        <v>#VALUE!</v>
      </c>
      <c r="J452" s="51" t="str">
        <f>IFERROR(__xludf.DUMMYFUNCTION("""COMPUTED_VALUE"""),"")</f>
        <v/>
      </c>
      <c r="K452" s="51"/>
      <c r="L452" s="51" t="s">
        <v>257</v>
      </c>
      <c r="M452" s="51"/>
      <c r="N452" s="51"/>
      <c r="O452" s="51"/>
      <c r="P452" s="51"/>
      <c r="Q452" s="51"/>
      <c r="R452" s="51"/>
      <c r="S452" s="51"/>
      <c r="T452" s="51"/>
    </row>
    <row r="453">
      <c r="A453" s="51"/>
      <c r="B453" s="51"/>
      <c r="C453" s="56"/>
      <c r="D453" s="51"/>
      <c r="E453" s="51"/>
      <c r="F453" s="51"/>
      <c r="G453" s="51" t="str">
        <f>IFERROR(__xludf.DUMMYFUNCTION("""COMPUTED_VALUE"""),"#VALUE!")</f>
        <v>#VALUE!</v>
      </c>
      <c r="H453" s="51" t="str">
        <f>IFERROR(__xludf.DUMMYFUNCTION("""COMPUTED_VALUE"""),"")</f>
        <v/>
      </c>
      <c r="I453" s="51" t="str">
        <f>IFERROR(__xludf.DUMMYFUNCTION("""COMPUTED_VALUE"""),"#VALUE!")</f>
        <v>#VALUE!</v>
      </c>
      <c r="J453" s="51" t="str">
        <f>IFERROR(__xludf.DUMMYFUNCTION("""COMPUTED_VALUE"""),"")</f>
        <v/>
      </c>
      <c r="K453" s="51"/>
      <c r="L453" s="51" t="s">
        <v>257</v>
      </c>
      <c r="M453" s="51"/>
      <c r="N453" s="51"/>
      <c r="O453" s="51"/>
      <c r="P453" s="51"/>
      <c r="Q453" s="51"/>
      <c r="R453" s="51"/>
      <c r="S453" s="51"/>
      <c r="T453" s="51"/>
    </row>
    <row r="454">
      <c r="A454" s="51"/>
      <c r="B454" s="51"/>
      <c r="C454" s="56"/>
      <c r="D454" s="51"/>
      <c r="E454" s="51"/>
      <c r="F454" s="51"/>
      <c r="G454" s="51" t="str">
        <f>IFERROR(__xludf.DUMMYFUNCTION("""COMPUTED_VALUE"""),"#VALUE!")</f>
        <v>#VALUE!</v>
      </c>
      <c r="H454" s="51" t="str">
        <f>IFERROR(__xludf.DUMMYFUNCTION("""COMPUTED_VALUE"""),"")</f>
        <v/>
      </c>
      <c r="I454" s="51" t="str">
        <f>IFERROR(__xludf.DUMMYFUNCTION("""COMPUTED_VALUE"""),"#VALUE!")</f>
        <v>#VALUE!</v>
      </c>
      <c r="J454" s="51" t="str">
        <f>IFERROR(__xludf.DUMMYFUNCTION("""COMPUTED_VALUE"""),"")</f>
        <v/>
      </c>
      <c r="K454" s="51"/>
      <c r="L454" s="51" t="s">
        <v>257</v>
      </c>
      <c r="M454" s="51"/>
      <c r="N454" s="51"/>
      <c r="O454" s="51"/>
      <c r="P454" s="51"/>
      <c r="Q454" s="51"/>
      <c r="R454" s="51"/>
      <c r="S454" s="51"/>
      <c r="T454" s="51"/>
    </row>
    <row r="455">
      <c r="A455" s="51"/>
      <c r="B455" s="51"/>
      <c r="C455" s="56"/>
      <c r="D455" s="51"/>
      <c r="E455" s="51"/>
      <c r="F455" s="51"/>
      <c r="G455" s="51" t="str">
        <f>IFERROR(__xludf.DUMMYFUNCTION("""COMPUTED_VALUE"""),"#VALUE!")</f>
        <v>#VALUE!</v>
      </c>
      <c r="H455" s="51" t="str">
        <f>IFERROR(__xludf.DUMMYFUNCTION("""COMPUTED_VALUE"""),"")</f>
        <v/>
      </c>
      <c r="I455" s="51" t="str">
        <f>IFERROR(__xludf.DUMMYFUNCTION("""COMPUTED_VALUE"""),"#VALUE!")</f>
        <v>#VALUE!</v>
      </c>
      <c r="J455" s="51" t="str">
        <f>IFERROR(__xludf.DUMMYFUNCTION("""COMPUTED_VALUE"""),"")</f>
        <v/>
      </c>
      <c r="K455" s="51"/>
      <c r="L455" s="51" t="s">
        <v>257</v>
      </c>
      <c r="M455" s="51"/>
      <c r="N455" s="51"/>
      <c r="O455" s="51"/>
      <c r="P455" s="51"/>
      <c r="Q455" s="51"/>
      <c r="R455" s="51"/>
      <c r="S455" s="51"/>
      <c r="T455" s="51"/>
    </row>
    <row r="456">
      <c r="A456" s="51"/>
      <c r="B456" s="51"/>
      <c r="C456" s="56"/>
      <c r="D456" s="51"/>
      <c r="E456" s="51"/>
      <c r="F456" s="51"/>
      <c r="G456" s="51" t="str">
        <f>IFERROR(__xludf.DUMMYFUNCTION("""COMPUTED_VALUE"""),"#VALUE!")</f>
        <v>#VALUE!</v>
      </c>
      <c r="H456" s="51" t="str">
        <f>IFERROR(__xludf.DUMMYFUNCTION("""COMPUTED_VALUE"""),"")</f>
        <v/>
      </c>
      <c r="I456" s="51" t="str">
        <f>IFERROR(__xludf.DUMMYFUNCTION("""COMPUTED_VALUE"""),"#VALUE!")</f>
        <v>#VALUE!</v>
      </c>
      <c r="J456" s="51" t="str">
        <f>IFERROR(__xludf.DUMMYFUNCTION("""COMPUTED_VALUE"""),"")</f>
        <v/>
      </c>
      <c r="K456" s="51"/>
      <c r="L456" s="51" t="s">
        <v>257</v>
      </c>
      <c r="M456" s="51"/>
      <c r="N456" s="51"/>
      <c r="O456" s="51"/>
      <c r="P456" s="51"/>
      <c r="Q456" s="51"/>
      <c r="R456" s="51"/>
      <c r="S456" s="51"/>
      <c r="T456" s="51"/>
    </row>
    <row r="457">
      <c r="A457" s="51"/>
      <c r="B457" s="51"/>
      <c r="C457" s="56"/>
      <c r="D457" s="51"/>
      <c r="E457" s="51"/>
      <c r="F457" s="51"/>
      <c r="G457" s="51" t="str">
        <f>IFERROR(__xludf.DUMMYFUNCTION("""COMPUTED_VALUE"""),"#VALUE!")</f>
        <v>#VALUE!</v>
      </c>
      <c r="H457" s="51" t="str">
        <f>IFERROR(__xludf.DUMMYFUNCTION("""COMPUTED_VALUE"""),"")</f>
        <v/>
      </c>
      <c r="I457" s="51" t="str">
        <f>IFERROR(__xludf.DUMMYFUNCTION("""COMPUTED_VALUE"""),"#VALUE!")</f>
        <v>#VALUE!</v>
      </c>
      <c r="J457" s="51" t="str">
        <f>IFERROR(__xludf.DUMMYFUNCTION("""COMPUTED_VALUE"""),"")</f>
        <v/>
      </c>
      <c r="K457" s="51"/>
      <c r="L457" s="51" t="s">
        <v>257</v>
      </c>
      <c r="M457" s="51"/>
      <c r="N457" s="51"/>
      <c r="O457" s="51"/>
      <c r="P457" s="51"/>
      <c r="Q457" s="51"/>
      <c r="R457" s="51"/>
      <c r="S457" s="51"/>
      <c r="T457" s="51"/>
    </row>
    <row r="458">
      <c r="A458" s="51"/>
      <c r="B458" s="51"/>
      <c r="C458" s="56"/>
      <c r="D458" s="51"/>
      <c r="E458" s="51"/>
      <c r="F458" s="51"/>
      <c r="G458" s="51" t="str">
        <f>IFERROR(__xludf.DUMMYFUNCTION("""COMPUTED_VALUE"""),"#VALUE!")</f>
        <v>#VALUE!</v>
      </c>
      <c r="H458" s="51" t="str">
        <f>IFERROR(__xludf.DUMMYFUNCTION("""COMPUTED_VALUE"""),"")</f>
        <v/>
      </c>
      <c r="I458" s="51" t="str">
        <f>IFERROR(__xludf.DUMMYFUNCTION("""COMPUTED_VALUE"""),"#VALUE!")</f>
        <v>#VALUE!</v>
      </c>
      <c r="J458" s="51" t="str">
        <f>IFERROR(__xludf.DUMMYFUNCTION("""COMPUTED_VALUE"""),"")</f>
        <v/>
      </c>
      <c r="K458" s="51"/>
      <c r="L458" s="51" t="s">
        <v>257</v>
      </c>
      <c r="M458" s="51"/>
      <c r="N458" s="51"/>
      <c r="O458" s="51"/>
      <c r="P458" s="51"/>
      <c r="Q458" s="51"/>
      <c r="R458" s="51"/>
      <c r="S458" s="51"/>
      <c r="T458" s="51"/>
    </row>
    <row r="459">
      <c r="A459" s="51"/>
      <c r="B459" s="51"/>
      <c r="C459" s="56"/>
      <c r="D459" s="51"/>
      <c r="E459" s="51"/>
      <c r="F459" s="51"/>
      <c r="G459" s="51" t="str">
        <f>IFERROR(__xludf.DUMMYFUNCTION("""COMPUTED_VALUE"""),"#VALUE!")</f>
        <v>#VALUE!</v>
      </c>
      <c r="H459" s="51" t="str">
        <f>IFERROR(__xludf.DUMMYFUNCTION("""COMPUTED_VALUE"""),"")</f>
        <v/>
      </c>
      <c r="I459" s="51" t="str">
        <f>IFERROR(__xludf.DUMMYFUNCTION("""COMPUTED_VALUE"""),"#VALUE!")</f>
        <v>#VALUE!</v>
      </c>
      <c r="J459" s="51" t="str">
        <f>IFERROR(__xludf.DUMMYFUNCTION("""COMPUTED_VALUE"""),"")</f>
        <v/>
      </c>
      <c r="K459" s="51"/>
      <c r="L459" s="51" t="s">
        <v>257</v>
      </c>
      <c r="M459" s="51"/>
      <c r="N459" s="51"/>
      <c r="O459" s="51"/>
      <c r="P459" s="51"/>
      <c r="Q459" s="51"/>
      <c r="R459" s="51"/>
      <c r="S459" s="51"/>
      <c r="T459" s="51"/>
    </row>
    <row r="460">
      <c r="A460" s="51"/>
      <c r="B460" s="51"/>
      <c r="C460" s="56"/>
      <c r="D460" s="51"/>
      <c r="E460" s="51"/>
      <c r="F460" s="51"/>
      <c r="G460" s="51" t="str">
        <f>IFERROR(__xludf.DUMMYFUNCTION("""COMPUTED_VALUE"""),"#VALUE!")</f>
        <v>#VALUE!</v>
      </c>
      <c r="H460" s="51" t="str">
        <f>IFERROR(__xludf.DUMMYFUNCTION("""COMPUTED_VALUE"""),"")</f>
        <v/>
      </c>
      <c r="I460" s="51" t="str">
        <f>IFERROR(__xludf.DUMMYFUNCTION("""COMPUTED_VALUE"""),"#VALUE!")</f>
        <v>#VALUE!</v>
      </c>
      <c r="J460" s="51" t="str">
        <f>IFERROR(__xludf.DUMMYFUNCTION("""COMPUTED_VALUE"""),"")</f>
        <v/>
      </c>
      <c r="K460" s="51"/>
      <c r="L460" s="51" t="s">
        <v>257</v>
      </c>
      <c r="M460" s="51"/>
      <c r="N460" s="51"/>
      <c r="O460" s="51"/>
      <c r="P460" s="51"/>
      <c r="Q460" s="51"/>
      <c r="R460" s="51"/>
      <c r="S460" s="51"/>
      <c r="T460" s="51"/>
    </row>
    <row r="461">
      <c r="A461" s="51"/>
      <c r="B461" s="51"/>
      <c r="C461" s="56"/>
      <c r="D461" s="51"/>
      <c r="E461" s="51"/>
      <c r="F461" s="51"/>
      <c r="G461" s="51" t="str">
        <f>IFERROR(__xludf.DUMMYFUNCTION("""COMPUTED_VALUE"""),"#VALUE!")</f>
        <v>#VALUE!</v>
      </c>
      <c r="H461" s="51" t="str">
        <f>IFERROR(__xludf.DUMMYFUNCTION("""COMPUTED_VALUE"""),"")</f>
        <v/>
      </c>
      <c r="I461" s="51" t="str">
        <f>IFERROR(__xludf.DUMMYFUNCTION("""COMPUTED_VALUE"""),"#VALUE!")</f>
        <v>#VALUE!</v>
      </c>
      <c r="J461" s="51" t="str">
        <f>IFERROR(__xludf.DUMMYFUNCTION("""COMPUTED_VALUE"""),"")</f>
        <v/>
      </c>
      <c r="K461" s="51"/>
      <c r="L461" s="51" t="s">
        <v>257</v>
      </c>
      <c r="M461" s="51"/>
      <c r="N461" s="51"/>
      <c r="O461" s="51"/>
      <c r="P461" s="51"/>
      <c r="Q461" s="51"/>
      <c r="R461" s="51"/>
      <c r="S461" s="51"/>
      <c r="T461" s="51"/>
    </row>
    <row r="462">
      <c r="A462" s="51"/>
      <c r="B462" s="51"/>
      <c r="C462" s="56"/>
      <c r="D462" s="51"/>
      <c r="E462" s="51"/>
      <c r="F462" s="51"/>
      <c r="G462" s="51" t="str">
        <f>IFERROR(__xludf.DUMMYFUNCTION("""COMPUTED_VALUE"""),"#VALUE!")</f>
        <v>#VALUE!</v>
      </c>
      <c r="H462" s="51" t="str">
        <f>IFERROR(__xludf.DUMMYFUNCTION("""COMPUTED_VALUE"""),"")</f>
        <v/>
      </c>
      <c r="I462" s="51" t="str">
        <f>IFERROR(__xludf.DUMMYFUNCTION("""COMPUTED_VALUE"""),"#VALUE!")</f>
        <v>#VALUE!</v>
      </c>
      <c r="J462" s="51" t="str">
        <f>IFERROR(__xludf.DUMMYFUNCTION("""COMPUTED_VALUE"""),"")</f>
        <v/>
      </c>
      <c r="K462" s="51"/>
      <c r="L462" s="51" t="s">
        <v>257</v>
      </c>
      <c r="M462" s="51"/>
      <c r="N462" s="51"/>
      <c r="O462" s="51"/>
      <c r="P462" s="51"/>
      <c r="Q462" s="51"/>
      <c r="R462" s="51"/>
      <c r="S462" s="51"/>
      <c r="T462" s="51"/>
    </row>
    <row r="463">
      <c r="A463" s="51"/>
      <c r="B463" s="51"/>
      <c r="C463" s="56"/>
      <c r="D463" s="51"/>
      <c r="E463" s="51"/>
      <c r="F463" s="51"/>
      <c r="G463" s="51" t="str">
        <f>IFERROR(__xludf.DUMMYFUNCTION("""COMPUTED_VALUE"""),"#VALUE!")</f>
        <v>#VALUE!</v>
      </c>
      <c r="H463" s="51" t="str">
        <f>IFERROR(__xludf.DUMMYFUNCTION("""COMPUTED_VALUE"""),"")</f>
        <v/>
      </c>
      <c r="I463" s="51" t="str">
        <f>IFERROR(__xludf.DUMMYFUNCTION("""COMPUTED_VALUE"""),"#VALUE!")</f>
        <v>#VALUE!</v>
      </c>
      <c r="J463" s="51" t="str">
        <f>IFERROR(__xludf.DUMMYFUNCTION("""COMPUTED_VALUE"""),"")</f>
        <v/>
      </c>
      <c r="K463" s="51"/>
      <c r="L463" s="51" t="s">
        <v>257</v>
      </c>
      <c r="M463" s="51"/>
      <c r="N463" s="51"/>
      <c r="O463" s="51"/>
      <c r="P463" s="51"/>
      <c r="Q463" s="51"/>
      <c r="R463" s="51"/>
      <c r="S463" s="51"/>
      <c r="T463" s="51"/>
    </row>
    <row r="464">
      <c r="A464" s="51"/>
      <c r="B464" s="51"/>
      <c r="C464" s="56"/>
      <c r="D464" s="51"/>
      <c r="E464" s="51"/>
      <c r="F464" s="51"/>
      <c r="G464" s="51" t="str">
        <f>IFERROR(__xludf.DUMMYFUNCTION("""COMPUTED_VALUE"""),"#VALUE!")</f>
        <v>#VALUE!</v>
      </c>
      <c r="H464" s="51" t="str">
        <f>IFERROR(__xludf.DUMMYFUNCTION("""COMPUTED_VALUE"""),"")</f>
        <v/>
      </c>
      <c r="I464" s="51" t="str">
        <f>IFERROR(__xludf.DUMMYFUNCTION("""COMPUTED_VALUE"""),"#VALUE!")</f>
        <v>#VALUE!</v>
      </c>
      <c r="J464" s="51" t="str">
        <f>IFERROR(__xludf.DUMMYFUNCTION("""COMPUTED_VALUE"""),"")</f>
        <v/>
      </c>
      <c r="K464" s="51"/>
      <c r="L464" s="51" t="s">
        <v>257</v>
      </c>
      <c r="M464" s="51"/>
      <c r="N464" s="51"/>
      <c r="O464" s="51"/>
      <c r="P464" s="51"/>
      <c r="Q464" s="51"/>
      <c r="R464" s="51"/>
      <c r="S464" s="51"/>
      <c r="T464" s="51"/>
    </row>
    <row r="465">
      <c r="A465" s="51"/>
      <c r="B465" s="51"/>
      <c r="C465" s="56"/>
      <c r="D465" s="51"/>
      <c r="E465" s="51"/>
      <c r="F465" s="51"/>
      <c r="G465" s="51" t="str">
        <f>IFERROR(__xludf.DUMMYFUNCTION("""COMPUTED_VALUE"""),"#VALUE!")</f>
        <v>#VALUE!</v>
      </c>
      <c r="H465" s="51" t="str">
        <f>IFERROR(__xludf.DUMMYFUNCTION("""COMPUTED_VALUE"""),"")</f>
        <v/>
      </c>
      <c r="I465" s="51" t="str">
        <f>IFERROR(__xludf.DUMMYFUNCTION("""COMPUTED_VALUE"""),"#VALUE!")</f>
        <v>#VALUE!</v>
      </c>
      <c r="J465" s="51" t="str">
        <f>IFERROR(__xludf.DUMMYFUNCTION("""COMPUTED_VALUE"""),"")</f>
        <v/>
      </c>
      <c r="K465" s="51"/>
      <c r="L465" s="51" t="s">
        <v>257</v>
      </c>
      <c r="M465" s="51"/>
      <c r="N465" s="51"/>
      <c r="O465" s="51"/>
      <c r="P465" s="51"/>
      <c r="Q465" s="51"/>
      <c r="R465" s="51"/>
      <c r="S465" s="51"/>
      <c r="T465" s="51"/>
    </row>
    <row r="466">
      <c r="A466" s="51"/>
      <c r="B466" s="51"/>
      <c r="C466" s="56"/>
      <c r="D466" s="51"/>
      <c r="E466" s="51"/>
      <c r="F466" s="51"/>
      <c r="G466" s="51" t="str">
        <f>IFERROR(__xludf.DUMMYFUNCTION("""COMPUTED_VALUE"""),"#VALUE!")</f>
        <v>#VALUE!</v>
      </c>
      <c r="H466" s="51" t="str">
        <f>IFERROR(__xludf.DUMMYFUNCTION("""COMPUTED_VALUE"""),"")</f>
        <v/>
      </c>
      <c r="I466" s="51" t="str">
        <f>IFERROR(__xludf.DUMMYFUNCTION("""COMPUTED_VALUE"""),"#VALUE!")</f>
        <v>#VALUE!</v>
      </c>
      <c r="J466" s="51" t="str">
        <f>IFERROR(__xludf.DUMMYFUNCTION("""COMPUTED_VALUE"""),"")</f>
        <v/>
      </c>
      <c r="K466" s="51"/>
      <c r="L466" s="51" t="s">
        <v>257</v>
      </c>
      <c r="M466" s="51"/>
      <c r="N466" s="51"/>
      <c r="O466" s="51"/>
      <c r="P466" s="51"/>
      <c r="Q466" s="51"/>
      <c r="R466" s="51"/>
      <c r="S466" s="51"/>
      <c r="T466" s="51"/>
    </row>
    <row r="467">
      <c r="A467" s="51"/>
      <c r="B467" s="51"/>
      <c r="C467" s="56"/>
      <c r="D467" s="51"/>
      <c r="E467" s="51"/>
      <c r="F467" s="51"/>
      <c r="G467" s="51" t="str">
        <f>IFERROR(__xludf.DUMMYFUNCTION("""COMPUTED_VALUE"""),"#VALUE!")</f>
        <v>#VALUE!</v>
      </c>
      <c r="H467" s="51" t="str">
        <f>IFERROR(__xludf.DUMMYFUNCTION("""COMPUTED_VALUE"""),"")</f>
        <v/>
      </c>
      <c r="I467" s="51" t="str">
        <f>IFERROR(__xludf.DUMMYFUNCTION("""COMPUTED_VALUE"""),"#VALUE!")</f>
        <v>#VALUE!</v>
      </c>
      <c r="J467" s="51" t="str">
        <f>IFERROR(__xludf.DUMMYFUNCTION("""COMPUTED_VALUE"""),"")</f>
        <v/>
      </c>
      <c r="K467" s="51"/>
      <c r="L467" s="51" t="s">
        <v>257</v>
      </c>
      <c r="M467" s="51"/>
      <c r="N467" s="51"/>
      <c r="O467" s="51"/>
      <c r="P467" s="51"/>
      <c r="Q467" s="51"/>
      <c r="R467" s="51"/>
      <c r="S467" s="51"/>
      <c r="T467" s="51"/>
    </row>
    <row r="468">
      <c r="A468" s="51"/>
      <c r="B468" s="51"/>
      <c r="C468" s="56"/>
      <c r="D468" s="51"/>
      <c r="E468" s="51"/>
      <c r="F468" s="51"/>
      <c r="G468" s="51" t="str">
        <f>IFERROR(__xludf.DUMMYFUNCTION("""COMPUTED_VALUE"""),"#VALUE!")</f>
        <v>#VALUE!</v>
      </c>
      <c r="H468" s="51" t="str">
        <f>IFERROR(__xludf.DUMMYFUNCTION("""COMPUTED_VALUE"""),"")</f>
        <v/>
      </c>
      <c r="I468" s="51" t="str">
        <f>IFERROR(__xludf.DUMMYFUNCTION("""COMPUTED_VALUE"""),"#VALUE!")</f>
        <v>#VALUE!</v>
      </c>
      <c r="J468" s="51" t="str">
        <f>IFERROR(__xludf.DUMMYFUNCTION("""COMPUTED_VALUE"""),"")</f>
        <v/>
      </c>
      <c r="K468" s="51"/>
      <c r="L468" s="51" t="s">
        <v>257</v>
      </c>
      <c r="M468" s="51"/>
      <c r="N468" s="51"/>
      <c r="O468" s="51"/>
      <c r="P468" s="51"/>
      <c r="Q468" s="51"/>
      <c r="R468" s="51"/>
      <c r="S468" s="51"/>
      <c r="T468" s="51"/>
    </row>
    <row r="469">
      <c r="A469" s="51"/>
      <c r="B469" s="51"/>
      <c r="C469" s="56"/>
      <c r="D469" s="51"/>
      <c r="E469" s="51"/>
      <c r="F469" s="51"/>
      <c r="G469" s="51" t="str">
        <f>IFERROR(__xludf.DUMMYFUNCTION("""COMPUTED_VALUE"""),"#VALUE!")</f>
        <v>#VALUE!</v>
      </c>
      <c r="H469" s="51" t="str">
        <f>IFERROR(__xludf.DUMMYFUNCTION("""COMPUTED_VALUE"""),"")</f>
        <v/>
      </c>
      <c r="I469" s="51" t="str">
        <f>IFERROR(__xludf.DUMMYFUNCTION("""COMPUTED_VALUE"""),"#VALUE!")</f>
        <v>#VALUE!</v>
      </c>
      <c r="J469" s="51" t="str">
        <f>IFERROR(__xludf.DUMMYFUNCTION("""COMPUTED_VALUE"""),"")</f>
        <v/>
      </c>
      <c r="K469" s="51"/>
      <c r="L469" s="51" t="s">
        <v>257</v>
      </c>
      <c r="M469" s="51"/>
      <c r="N469" s="51"/>
      <c r="O469" s="51"/>
      <c r="P469" s="51"/>
      <c r="Q469" s="51"/>
      <c r="R469" s="51"/>
      <c r="S469" s="51"/>
      <c r="T469" s="51"/>
    </row>
    <row r="470">
      <c r="A470" s="51"/>
      <c r="B470" s="51"/>
      <c r="C470" s="56"/>
      <c r="D470" s="51"/>
      <c r="E470" s="51"/>
      <c r="F470" s="51"/>
      <c r="G470" s="51" t="str">
        <f>IFERROR(__xludf.DUMMYFUNCTION("""COMPUTED_VALUE"""),"#VALUE!")</f>
        <v>#VALUE!</v>
      </c>
      <c r="H470" s="51" t="str">
        <f>IFERROR(__xludf.DUMMYFUNCTION("""COMPUTED_VALUE"""),"")</f>
        <v/>
      </c>
      <c r="I470" s="51" t="str">
        <f>IFERROR(__xludf.DUMMYFUNCTION("""COMPUTED_VALUE"""),"#VALUE!")</f>
        <v>#VALUE!</v>
      </c>
      <c r="J470" s="51" t="str">
        <f>IFERROR(__xludf.DUMMYFUNCTION("""COMPUTED_VALUE"""),"")</f>
        <v/>
      </c>
      <c r="K470" s="51"/>
      <c r="L470" s="51" t="s">
        <v>257</v>
      </c>
      <c r="M470" s="51"/>
      <c r="N470" s="51"/>
      <c r="O470" s="51"/>
      <c r="P470" s="51"/>
      <c r="Q470" s="51"/>
      <c r="R470" s="51"/>
      <c r="S470" s="51"/>
      <c r="T470" s="51"/>
    </row>
    <row r="471">
      <c r="A471" s="51"/>
      <c r="B471" s="51"/>
      <c r="C471" s="56"/>
      <c r="D471" s="51"/>
      <c r="E471" s="51"/>
      <c r="F471" s="51"/>
      <c r="G471" s="51" t="str">
        <f>IFERROR(__xludf.DUMMYFUNCTION("""COMPUTED_VALUE"""),"#VALUE!")</f>
        <v>#VALUE!</v>
      </c>
      <c r="H471" s="51" t="str">
        <f>IFERROR(__xludf.DUMMYFUNCTION("""COMPUTED_VALUE"""),"")</f>
        <v/>
      </c>
      <c r="I471" s="51" t="str">
        <f>IFERROR(__xludf.DUMMYFUNCTION("""COMPUTED_VALUE"""),"#VALUE!")</f>
        <v>#VALUE!</v>
      </c>
      <c r="J471" s="51" t="str">
        <f>IFERROR(__xludf.DUMMYFUNCTION("""COMPUTED_VALUE"""),"")</f>
        <v/>
      </c>
      <c r="K471" s="51"/>
      <c r="L471" s="51" t="s">
        <v>257</v>
      </c>
      <c r="M471" s="51"/>
      <c r="N471" s="51"/>
      <c r="O471" s="51"/>
      <c r="P471" s="51"/>
      <c r="Q471" s="51"/>
      <c r="R471" s="51"/>
      <c r="S471" s="51"/>
      <c r="T471" s="51"/>
    </row>
    <row r="472">
      <c r="A472" s="51"/>
      <c r="B472" s="51"/>
      <c r="C472" s="56"/>
      <c r="D472" s="51"/>
      <c r="E472" s="51"/>
      <c r="F472" s="51"/>
      <c r="G472" s="51" t="str">
        <f>IFERROR(__xludf.DUMMYFUNCTION("""COMPUTED_VALUE"""),"#VALUE!")</f>
        <v>#VALUE!</v>
      </c>
      <c r="H472" s="51" t="str">
        <f>IFERROR(__xludf.DUMMYFUNCTION("""COMPUTED_VALUE"""),"")</f>
        <v/>
      </c>
      <c r="I472" s="51" t="str">
        <f>IFERROR(__xludf.DUMMYFUNCTION("""COMPUTED_VALUE"""),"#VALUE!")</f>
        <v>#VALUE!</v>
      </c>
      <c r="J472" s="51" t="str">
        <f>IFERROR(__xludf.DUMMYFUNCTION("""COMPUTED_VALUE"""),"")</f>
        <v/>
      </c>
      <c r="K472" s="51"/>
      <c r="L472" s="51" t="s">
        <v>257</v>
      </c>
      <c r="M472" s="51"/>
      <c r="N472" s="51"/>
      <c r="O472" s="51"/>
      <c r="P472" s="51"/>
      <c r="Q472" s="51"/>
      <c r="R472" s="51"/>
      <c r="S472" s="51"/>
      <c r="T472" s="51"/>
    </row>
    <row r="473">
      <c r="A473" s="51"/>
      <c r="B473" s="51"/>
      <c r="C473" s="56"/>
      <c r="D473" s="51"/>
      <c r="E473" s="51"/>
      <c r="F473" s="51"/>
      <c r="G473" s="51" t="str">
        <f>IFERROR(__xludf.DUMMYFUNCTION("""COMPUTED_VALUE"""),"#VALUE!")</f>
        <v>#VALUE!</v>
      </c>
      <c r="H473" s="51" t="str">
        <f>IFERROR(__xludf.DUMMYFUNCTION("""COMPUTED_VALUE"""),"")</f>
        <v/>
      </c>
      <c r="I473" s="51" t="str">
        <f>IFERROR(__xludf.DUMMYFUNCTION("""COMPUTED_VALUE"""),"#VALUE!")</f>
        <v>#VALUE!</v>
      </c>
      <c r="J473" s="51" t="str">
        <f>IFERROR(__xludf.DUMMYFUNCTION("""COMPUTED_VALUE"""),"")</f>
        <v/>
      </c>
      <c r="K473" s="51"/>
      <c r="L473" s="51" t="s">
        <v>257</v>
      </c>
      <c r="M473" s="51"/>
      <c r="N473" s="51"/>
      <c r="O473" s="51"/>
      <c r="P473" s="51"/>
      <c r="Q473" s="51"/>
      <c r="R473" s="51"/>
      <c r="S473" s="51"/>
      <c r="T473" s="51"/>
    </row>
    <row r="474">
      <c r="A474" s="51"/>
      <c r="B474" s="51"/>
      <c r="C474" s="56"/>
      <c r="D474" s="51"/>
      <c r="E474" s="51"/>
      <c r="F474" s="51"/>
      <c r="G474" s="51" t="str">
        <f>IFERROR(__xludf.DUMMYFUNCTION("""COMPUTED_VALUE"""),"#VALUE!")</f>
        <v>#VALUE!</v>
      </c>
      <c r="H474" s="51" t="str">
        <f>IFERROR(__xludf.DUMMYFUNCTION("""COMPUTED_VALUE"""),"")</f>
        <v/>
      </c>
      <c r="I474" s="51" t="str">
        <f>IFERROR(__xludf.DUMMYFUNCTION("""COMPUTED_VALUE"""),"#VALUE!")</f>
        <v>#VALUE!</v>
      </c>
      <c r="J474" s="51" t="str">
        <f>IFERROR(__xludf.DUMMYFUNCTION("""COMPUTED_VALUE"""),"")</f>
        <v/>
      </c>
      <c r="K474" s="51"/>
      <c r="L474" s="51" t="s">
        <v>257</v>
      </c>
      <c r="M474" s="51"/>
      <c r="N474" s="51"/>
      <c r="O474" s="51"/>
      <c r="P474" s="51"/>
      <c r="Q474" s="51"/>
      <c r="R474" s="51"/>
      <c r="S474" s="51"/>
      <c r="T474" s="51"/>
    </row>
    <row r="475">
      <c r="A475" s="51"/>
      <c r="B475" s="51"/>
      <c r="C475" s="56"/>
      <c r="D475" s="51"/>
      <c r="E475" s="51"/>
      <c r="F475" s="51"/>
      <c r="G475" s="51" t="str">
        <f>IFERROR(__xludf.DUMMYFUNCTION("""COMPUTED_VALUE"""),"#VALUE!")</f>
        <v>#VALUE!</v>
      </c>
      <c r="H475" s="51" t="str">
        <f>IFERROR(__xludf.DUMMYFUNCTION("""COMPUTED_VALUE"""),"")</f>
        <v/>
      </c>
      <c r="I475" s="51" t="str">
        <f>IFERROR(__xludf.DUMMYFUNCTION("""COMPUTED_VALUE"""),"#VALUE!")</f>
        <v>#VALUE!</v>
      </c>
      <c r="J475" s="51" t="str">
        <f>IFERROR(__xludf.DUMMYFUNCTION("""COMPUTED_VALUE"""),"")</f>
        <v/>
      </c>
      <c r="K475" s="51"/>
      <c r="L475" s="51" t="s">
        <v>257</v>
      </c>
      <c r="M475" s="51"/>
      <c r="N475" s="51"/>
      <c r="O475" s="51"/>
      <c r="P475" s="51"/>
      <c r="Q475" s="51"/>
      <c r="R475" s="51"/>
      <c r="S475" s="51"/>
      <c r="T475" s="51"/>
    </row>
    <row r="476">
      <c r="A476" s="51"/>
      <c r="B476" s="51"/>
      <c r="C476" s="56"/>
      <c r="D476" s="51"/>
      <c r="E476" s="51"/>
      <c r="F476" s="51"/>
      <c r="G476" s="51" t="str">
        <f>IFERROR(__xludf.DUMMYFUNCTION("""COMPUTED_VALUE"""),"#VALUE!")</f>
        <v>#VALUE!</v>
      </c>
      <c r="H476" s="51" t="str">
        <f>IFERROR(__xludf.DUMMYFUNCTION("""COMPUTED_VALUE"""),"")</f>
        <v/>
      </c>
      <c r="I476" s="51" t="str">
        <f>IFERROR(__xludf.DUMMYFUNCTION("""COMPUTED_VALUE"""),"#VALUE!")</f>
        <v>#VALUE!</v>
      </c>
      <c r="J476" s="51" t="str">
        <f>IFERROR(__xludf.DUMMYFUNCTION("""COMPUTED_VALUE"""),"")</f>
        <v/>
      </c>
      <c r="K476" s="51"/>
      <c r="L476" s="51" t="s">
        <v>257</v>
      </c>
      <c r="M476" s="51"/>
      <c r="N476" s="51"/>
      <c r="O476" s="51"/>
      <c r="P476" s="51"/>
      <c r="Q476" s="51"/>
      <c r="R476" s="51"/>
      <c r="S476" s="51"/>
      <c r="T476" s="51"/>
    </row>
    <row r="477">
      <c r="A477" s="51"/>
      <c r="B477" s="51"/>
      <c r="C477" s="56"/>
      <c r="D477" s="51"/>
      <c r="E477" s="51"/>
      <c r="F477" s="51"/>
      <c r="G477" s="51" t="str">
        <f>IFERROR(__xludf.DUMMYFUNCTION("""COMPUTED_VALUE"""),"#VALUE!")</f>
        <v>#VALUE!</v>
      </c>
      <c r="H477" s="51" t="str">
        <f>IFERROR(__xludf.DUMMYFUNCTION("""COMPUTED_VALUE"""),"")</f>
        <v/>
      </c>
      <c r="I477" s="51" t="str">
        <f>IFERROR(__xludf.DUMMYFUNCTION("""COMPUTED_VALUE"""),"#VALUE!")</f>
        <v>#VALUE!</v>
      </c>
      <c r="J477" s="51" t="str">
        <f>IFERROR(__xludf.DUMMYFUNCTION("""COMPUTED_VALUE"""),"")</f>
        <v/>
      </c>
      <c r="K477" s="51"/>
      <c r="L477" s="51" t="s">
        <v>257</v>
      </c>
      <c r="M477" s="51"/>
      <c r="N477" s="51"/>
      <c r="O477" s="51"/>
      <c r="P477" s="51"/>
      <c r="Q477" s="51"/>
      <c r="R477" s="51"/>
      <c r="S477" s="51"/>
      <c r="T477" s="51"/>
    </row>
    <row r="478">
      <c r="A478" s="51"/>
      <c r="B478" s="51"/>
      <c r="C478" s="56"/>
      <c r="D478" s="51"/>
      <c r="E478" s="51"/>
      <c r="F478" s="51"/>
      <c r="G478" s="51" t="str">
        <f>IFERROR(__xludf.DUMMYFUNCTION("""COMPUTED_VALUE"""),"#VALUE!")</f>
        <v>#VALUE!</v>
      </c>
      <c r="H478" s="51" t="str">
        <f>IFERROR(__xludf.DUMMYFUNCTION("""COMPUTED_VALUE"""),"")</f>
        <v/>
      </c>
      <c r="I478" s="51" t="str">
        <f>IFERROR(__xludf.DUMMYFUNCTION("""COMPUTED_VALUE"""),"#VALUE!")</f>
        <v>#VALUE!</v>
      </c>
      <c r="J478" s="51" t="str">
        <f>IFERROR(__xludf.DUMMYFUNCTION("""COMPUTED_VALUE"""),"")</f>
        <v/>
      </c>
      <c r="K478" s="51"/>
      <c r="L478" s="51" t="s">
        <v>257</v>
      </c>
      <c r="M478" s="51"/>
      <c r="N478" s="51"/>
      <c r="O478" s="51"/>
      <c r="P478" s="51"/>
      <c r="Q478" s="51"/>
      <c r="R478" s="51"/>
      <c r="S478" s="51"/>
      <c r="T478" s="51"/>
    </row>
    <row r="479">
      <c r="A479" s="51"/>
      <c r="B479" s="51"/>
      <c r="C479" s="56"/>
      <c r="D479" s="51"/>
      <c r="E479" s="51"/>
      <c r="F479" s="51"/>
      <c r="G479" s="51" t="str">
        <f>IFERROR(__xludf.DUMMYFUNCTION("""COMPUTED_VALUE"""),"#VALUE!")</f>
        <v>#VALUE!</v>
      </c>
      <c r="H479" s="51" t="str">
        <f>IFERROR(__xludf.DUMMYFUNCTION("""COMPUTED_VALUE"""),"")</f>
        <v/>
      </c>
      <c r="I479" s="51" t="str">
        <f>IFERROR(__xludf.DUMMYFUNCTION("""COMPUTED_VALUE"""),"#VALUE!")</f>
        <v>#VALUE!</v>
      </c>
      <c r="J479" s="51" t="str">
        <f>IFERROR(__xludf.DUMMYFUNCTION("""COMPUTED_VALUE"""),"")</f>
        <v/>
      </c>
      <c r="K479" s="51"/>
      <c r="L479" s="51" t="s">
        <v>257</v>
      </c>
      <c r="M479" s="51"/>
      <c r="N479" s="51"/>
      <c r="O479" s="51"/>
      <c r="P479" s="51"/>
      <c r="Q479" s="51"/>
      <c r="R479" s="51"/>
      <c r="S479" s="51"/>
      <c r="T479" s="51"/>
    </row>
    <row r="480">
      <c r="A480" s="51"/>
      <c r="B480" s="51"/>
      <c r="C480" s="56"/>
      <c r="D480" s="51"/>
      <c r="E480" s="51"/>
      <c r="F480" s="51"/>
      <c r="G480" s="51" t="str">
        <f>IFERROR(__xludf.DUMMYFUNCTION("""COMPUTED_VALUE"""),"#VALUE!")</f>
        <v>#VALUE!</v>
      </c>
      <c r="H480" s="51" t="str">
        <f>IFERROR(__xludf.DUMMYFUNCTION("""COMPUTED_VALUE"""),"")</f>
        <v/>
      </c>
      <c r="I480" s="51" t="str">
        <f>IFERROR(__xludf.DUMMYFUNCTION("""COMPUTED_VALUE"""),"#VALUE!")</f>
        <v>#VALUE!</v>
      </c>
      <c r="J480" s="51" t="str">
        <f>IFERROR(__xludf.DUMMYFUNCTION("""COMPUTED_VALUE"""),"")</f>
        <v/>
      </c>
      <c r="K480" s="51"/>
      <c r="L480" s="51" t="s">
        <v>257</v>
      </c>
      <c r="M480" s="51"/>
      <c r="N480" s="51"/>
      <c r="O480" s="51"/>
      <c r="P480" s="51"/>
      <c r="Q480" s="51"/>
      <c r="R480" s="51"/>
      <c r="S480" s="51"/>
      <c r="T480" s="51"/>
    </row>
    <row r="481">
      <c r="A481" s="51"/>
      <c r="B481" s="51"/>
      <c r="C481" s="56"/>
      <c r="D481" s="51"/>
      <c r="E481" s="51"/>
      <c r="F481" s="51"/>
      <c r="G481" s="51" t="str">
        <f>IFERROR(__xludf.DUMMYFUNCTION("""COMPUTED_VALUE"""),"#VALUE!")</f>
        <v>#VALUE!</v>
      </c>
      <c r="H481" s="51" t="str">
        <f>IFERROR(__xludf.DUMMYFUNCTION("""COMPUTED_VALUE"""),"")</f>
        <v/>
      </c>
      <c r="I481" s="51" t="str">
        <f>IFERROR(__xludf.DUMMYFUNCTION("""COMPUTED_VALUE"""),"#VALUE!")</f>
        <v>#VALUE!</v>
      </c>
      <c r="J481" s="51" t="str">
        <f>IFERROR(__xludf.DUMMYFUNCTION("""COMPUTED_VALUE"""),"")</f>
        <v/>
      </c>
      <c r="K481" s="51"/>
      <c r="L481" s="51" t="s">
        <v>257</v>
      </c>
      <c r="M481" s="51"/>
      <c r="N481" s="51"/>
      <c r="O481" s="51"/>
      <c r="P481" s="51"/>
      <c r="Q481" s="51"/>
      <c r="R481" s="51"/>
      <c r="S481" s="51"/>
      <c r="T481" s="51"/>
    </row>
    <row r="482">
      <c r="A482" s="51"/>
      <c r="B482" s="51"/>
      <c r="C482" s="56"/>
      <c r="D482" s="51"/>
      <c r="E482" s="51"/>
      <c r="F482" s="51"/>
      <c r="G482" s="51" t="str">
        <f>IFERROR(__xludf.DUMMYFUNCTION("""COMPUTED_VALUE"""),"#VALUE!")</f>
        <v>#VALUE!</v>
      </c>
      <c r="H482" s="51" t="str">
        <f>IFERROR(__xludf.DUMMYFUNCTION("""COMPUTED_VALUE"""),"")</f>
        <v/>
      </c>
      <c r="I482" s="51" t="str">
        <f>IFERROR(__xludf.DUMMYFUNCTION("""COMPUTED_VALUE"""),"#VALUE!")</f>
        <v>#VALUE!</v>
      </c>
      <c r="J482" s="51" t="str">
        <f>IFERROR(__xludf.DUMMYFUNCTION("""COMPUTED_VALUE"""),"")</f>
        <v/>
      </c>
      <c r="K482" s="51"/>
      <c r="L482" s="51" t="s">
        <v>257</v>
      </c>
      <c r="M482" s="51"/>
      <c r="N482" s="51"/>
      <c r="O482" s="51"/>
      <c r="P482" s="51"/>
      <c r="Q482" s="51"/>
      <c r="R482" s="51"/>
      <c r="S482" s="51"/>
      <c r="T482" s="51"/>
    </row>
    <row r="483">
      <c r="A483" s="51"/>
      <c r="B483" s="51"/>
      <c r="C483" s="56"/>
      <c r="D483" s="51"/>
      <c r="E483" s="51"/>
      <c r="F483" s="51"/>
      <c r="G483" s="51" t="str">
        <f>IFERROR(__xludf.DUMMYFUNCTION("""COMPUTED_VALUE"""),"#VALUE!")</f>
        <v>#VALUE!</v>
      </c>
      <c r="H483" s="51" t="str">
        <f>IFERROR(__xludf.DUMMYFUNCTION("""COMPUTED_VALUE"""),"")</f>
        <v/>
      </c>
      <c r="I483" s="51" t="str">
        <f>IFERROR(__xludf.DUMMYFUNCTION("""COMPUTED_VALUE"""),"#VALUE!")</f>
        <v>#VALUE!</v>
      </c>
      <c r="J483" s="51" t="str">
        <f>IFERROR(__xludf.DUMMYFUNCTION("""COMPUTED_VALUE"""),"")</f>
        <v/>
      </c>
      <c r="K483" s="51"/>
      <c r="L483" s="51" t="s">
        <v>257</v>
      </c>
      <c r="M483" s="51"/>
      <c r="N483" s="51"/>
      <c r="O483" s="51"/>
      <c r="P483" s="51"/>
      <c r="Q483" s="51"/>
      <c r="R483" s="51"/>
      <c r="S483" s="51"/>
      <c r="T483" s="51"/>
    </row>
    <row r="484">
      <c r="A484" s="51"/>
      <c r="B484" s="51"/>
      <c r="C484" s="56"/>
      <c r="D484" s="51"/>
      <c r="E484" s="51"/>
      <c r="F484" s="51"/>
      <c r="G484" s="51" t="str">
        <f>IFERROR(__xludf.DUMMYFUNCTION("""COMPUTED_VALUE"""),"#VALUE!")</f>
        <v>#VALUE!</v>
      </c>
      <c r="H484" s="51" t="str">
        <f>IFERROR(__xludf.DUMMYFUNCTION("""COMPUTED_VALUE"""),"")</f>
        <v/>
      </c>
      <c r="I484" s="51" t="str">
        <f>IFERROR(__xludf.DUMMYFUNCTION("""COMPUTED_VALUE"""),"#VALUE!")</f>
        <v>#VALUE!</v>
      </c>
      <c r="J484" s="51" t="str">
        <f>IFERROR(__xludf.DUMMYFUNCTION("""COMPUTED_VALUE"""),"")</f>
        <v/>
      </c>
      <c r="K484" s="51"/>
      <c r="L484" s="51" t="s">
        <v>257</v>
      </c>
      <c r="M484" s="51"/>
      <c r="N484" s="51"/>
      <c r="O484" s="51"/>
      <c r="P484" s="51"/>
      <c r="Q484" s="51"/>
      <c r="R484" s="51"/>
      <c r="S484" s="51"/>
      <c r="T484" s="51"/>
    </row>
    <row r="485">
      <c r="A485" s="51"/>
      <c r="B485" s="51"/>
      <c r="C485" s="56"/>
      <c r="D485" s="51"/>
      <c r="E485" s="51"/>
      <c r="F485" s="51"/>
      <c r="G485" s="51" t="str">
        <f>IFERROR(__xludf.DUMMYFUNCTION("""COMPUTED_VALUE"""),"#VALUE!")</f>
        <v>#VALUE!</v>
      </c>
      <c r="H485" s="51" t="str">
        <f>IFERROR(__xludf.DUMMYFUNCTION("""COMPUTED_VALUE"""),"")</f>
        <v/>
      </c>
      <c r="I485" s="51" t="str">
        <f>IFERROR(__xludf.DUMMYFUNCTION("""COMPUTED_VALUE"""),"#VALUE!")</f>
        <v>#VALUE!</v>
      </c>
      <c r="J485" s="51" t="str">
        <f>IFERROR(__xludf.DUMMYFUNCTION("""COMPUTED_VALUE"""),"")</f>
        <v/>
      </c>
      <c r="K485" s="51"/>
      <c r="L485" s="51" t="s">
        <v>257</v>
      </c>
      <c r="M485" s="51"/>
      <c r="N485" s="51"/>
      <c r="O485" s="51"/>
      <c r="P485" s="51"/>
      <c r="Q485" s="51"/>
      <c r="R485" s="51"/>
      <c r="S485" s="51"/>
      <c r="T485" s="51"/>
    </row>
    <row r="486">
      <c r="A486" s="51"/>
      <c r="B486" s="51"/>
      <c r="C486" s="56"/>
      <c r="D486" s="51"/>
      <c r="E486" s="51"/>
      <c r="F486" s="51"/>
      <c r="G486" s="51" t="str">
        <f>IFERROR(__xludf.DUMMYFUNCTION("""COMPUTED_VALUE"""),"#VALUE!")</f>
        <v>#VALUE!</v>
      </c>
      <c r="H486" s="51" t="str">
        <f>IFERROR(__xludf.DUMMYFUNCTION("""COMPUTED_VALUE"""),"")</f>
        <v/>
      </c>
      <c r="I486" s="51" t="str">
        <f>IFERROR(__xludf.DUMMYFUNCTION("""COMPUTED_VALUE"""),"#VALUE!")</f>
        <v>#VALUE!</v>
      </c>
      <c r="J486" s="51" t="str">
        <f>IFERROR(__xludf.DUMMYFUNCTION("""COMPUTED_VALUE"""),"")</f>
        <v/>
      </c>
      <c r="K486" s="51"/>
      <c r="L486" s="51" t="s">
        <v>257</v>
      </c>
      <c r="M486" s="51"/>
      <c r="N486" s="51"/>
      <c r="O486" s="51"/>
      <c r="P486" s="51"/>
      <c r="Q486" s="51"/>
      <c r="R486" s="51"/>
      <c r="S486" s="51"/>
      <c r="T486" s="51"/>
    </row>
    <row r="487">
      <c r="A487" s="51"/>
      <c r="B487" s="51"/>
      <c r="C487" s="56"/>
      <c r="D487" s="51"/>
      <c r="E487" s="51"/>
      <c r="F487" s="51"/>
      <c r="G487" s="51" t="str">
        <f>IFERROR(__xludf.DUMMYFUNCTION("""COMPUTED_VALUE"""),"#VALUE!")</f>
        <v>#VALUE!</v>
      </c>
      <c r="H487" s="51" t="str">
        <f>IFERROR(__xludf.DUMMYFUNCTION("""COMPUTED_VALUE"""),"")</f>
        <v/>
      </c>
      <c r="I487" s="51" t="str">
        <f>IFERROR(__xludf.DUMMYFUNCTION("""COMPUTED_VALUE"""),"#VALUE!")</f>
        <v>#VALUE!</v>
      </c>
      <c r="J487" s="51" t="str">
        <f>IFERROR(__xludf.DUMMYFUNCTION("""COMPUTED_VALUE"""),"")</f>
        <v/>
      </c>
      <c r="K487" s="51"/>
      <c r="L487" s="51" t="s">
        <v>257</v>
      </c>
      <c r="M487" s="51"/>
      <c r="N487" s="51"/>
      <c r="O487" s="51"/>
      <c r="P487" s="51"/>
      <c r="Q487" s="51"/>
      <c r="R487" s="51"/>
      <c r="S487" s="51"/>
      <c r="T487" s="51"/>
    </row>
    <row r="488">
      <c r="A488" s="51"/>
      <c r="B488" s="51"/>
      <c r="C488" s="56"/>
      <c r="D488" s="51"/>
      <c r="E488" s="51"/>
      <c r="F488" s="51"/>
      <c r="G488" s="51" t="str">
        <f>IFERROR(__xludf.DUMMYFUNCTION("""COMPUTED_VALUE"""),"#VALUE!")</f>
        <v>#VALUE!</v>
      </c>
      <c r="H488" s="51" t="str">
        <f>IFERROR(__xludf.DUMMYFUNCTION("""COMPUTED_VALUE"""),"")</f>
        <v/>
      </c>
      <c r="I488" s="51" t="str">
        <f>IFERROR(__xludf.DUMMYFUNCTION("""COMPUTED_VALUE"""),"#VALUE!")</f>
        <v>#VALUE!</v>
      </c>
      <c r="J488" s="51" t="str">
        <f>IFERROR(__xludf.DUMMYFUNCTION("""COMPUTED_VALUE"""),"")</f>
        <v/>
      </c>
      <c r="K488" s="51"/>
      <c r="L488" s="51" t="s">
        <v>257</v>
      </c>
      <c r="M488" s="51"/>
      <c r="N488" s="51"/>
      <c r="O488" s="51"/>
      <c r="P488" s="51"/>
      <c r="Q488" s="51"/>
      <c r="R488" s="51"/>
      <c r="S488" s="51"/>
      <c r="T488" s="51"/>
    </row>
    <row r="489">
      <c r="A489" s="51"/>
      <c r="B489" s="51"/>
      <c r="C489" s="56"/>
      <c r="D489" s="51"/>
      <c r="E489" s="51"/>
      <c r="F489" s="51"/>
      <c r="G489" s="51" t="str">
        <f>IFERROR(__xludf.DUMMYFUNCTION("""COMPUTED_VALUE"""),"#VALUE!")</f>
        <v>#VALUE!</v>
      </c>
      <c r="H489" s="51" t="str">
        <f>IFERROR(__xludf.DUMMYFUNCTION("""COMPUTED_VALUE"""),"")</f>
        <v/>
      </c>
      <c r="I489" s="51" t="str">
        <f>IFERROR(__xludf.DUMMYFUNCTION("""COMPUTED_VALUE"""),"#VALUE!")</f>
        <v>#VALUE!</v>
      </c>
      <c r="J489" s="51" t="str">
        <f>IFERROR(__xludf.DUMMYFUNCTION("""COMPUTED_VALUE"""),"")</f>
        <v/>
      </c>
      <c r="K489" s="51"/>
      <c r="L489" s="51" t="s">
        <v>257</v>
      </c>
      <c r="M489" s="51"/>
      <c r="N489" s="51"/>
      <c r="O489" s="51"/>
      <c r="P489" s="51"/>
      <c r="Q489" s="51"/>
      <c r="R489" s="51"/>
      <c r="S489" s="51"/>
      <c r="T489" s="51"/>
    </row>
    <row r="490">
      <c r="A490" s="51"/>
      <c r="B490" s="51"/>
      <c r="C490" s="56"/>
      <c r="D490" s="51"/>
      <c r="E490" s="51"/>
      <c r="F490" s="51"/>
      <c r="G490" s="51" t="str">
        <f>IFERROR(__xludf.DUMMYFUNCTION("""COMPUTED_VALUE"""),"#VALUE!")</f>
        <v>#VALUE!</v>
      </c>
      <c r="H490" s="51" t="str">
        <f>IFERROR(__xludf.DUMMYFUNCTION("""COMPUTED_VALUE"""),"")</f>
        <v/>
      </c>
      <c r="I490" s="51" t="str">
        <f>IFERROR(__xludf.DUMMYFUNCTION("""COMPUTED_VALUE"""),"#VALUE!")</f>
        <v>#VALUE!</v>
      </c>
      <c r="J490" s="51" t="str">
        <f>IFERROR(__xludf.DUMMYFUNCTION("""COMPUTED_VALUE"""),"")</f>
        <v/>
      </c>
      <c r="K490" s="51"/>
      <c r="L490" s="51" t="s">
        <v>257</v>
      </c>
      <c r="M490" s="51"/>
      <c r="N490" s="51"/>
      <c r="O490" s="51"/>
      <c r="P490" s="51"/>
      <c r="Q490" s="51"/>
      <c r="R490" s="51"/>
      <c r="S490" s="51"/>
      <c r="T490" s="51"/>
    </row>
    <row r="491">
      <c r="A491" s="51"/>
      <c r="B491" s="51"/>
      <c r="C491" s="56"/>
      <c r="D491" s="51"/>
      <c r="E491" s="51"/>
      <c r="F491" s="51"/>
      <c r="G491" s="51" t="str">
        <f>IFERROR(__xludf.DUMMYFUNCTION("""COMPUTED_VALUE"""),"#VALUE!")</f>
        <v>#VALUE!</v>
      </c>
      <c r="H491" s="51" t="str">
        <f>IFERROR(__xludf.DUMMYFUNCTION("""COMPUTED_VALUE"""),"")</f>
        <v/>
      </c>
      <c r="I491" s="51" t="str">
        <f>IFERROR(__xludf.DUMMYFUNCTION("""COMPUTED_VALUE"""),"#VALUE!")</f>
        <v>#VALUE!</v>
      </c>
      <c r="J491" s="51" t="str">
        <f>IFERROR(__xludf.DUMMYFUNCTION("""COMPUTED_VALUE"""),"")</f>
        <v/>
      </c>
      <c r="K491" s="51"/>
      <c r="L491" s="51" t="s">
        <v>257</v>
      </c>
      <c r="M491" s="51"/>
      <c r="N491" s="51"/>
      <c r="O491" s="51"/>
      <c r="P491" s="51"/>
      <c r="Q491" s="51"/>
      <c r="R491" s="51"/>
      <c r="S491" s="51"/>
      <c r="T491" s="51"/>
    </row>
    <row r="492">
      <c r="A492" s="51"/>
      <c r="B492" s="51"/>
      <c r="C492" s="56"/>
      <c r="D492" s="51"/>
      <c r="E492" s="51"/>
      <c r="F492" s="51"/>
      <c r="G492" s="51" t="str">
        <f>IFERROR(__xludf.DUMMYFUNCTION("""COMPUTED_VALUE"""),"#VALUE!")</f>
        <v>#VALUE!</v>
      </c>
      <c r="H492" s="51" t="str">
        <f>IFERROR(__xludf.DUMMYFUNCTION("""COMPUTED_VALUE"""),"")</f>
        <v/>
      </c>
      <c r="I492" s="51" t="str">
        <f>IFERROR(__xludf.DUMMYFUNCTION("""COMPUTED_VALUE"""),"#VALUE!")</f>
        <v>#VALUE!</v>
      </c>
      <c r="J492" s="51" t="str">
        <f>IFERROR(__xludf.DUMMYFUNCTION("""COMPUTED_VALUE"""),"")</f>
        <v/>
      </c>
      <c r="K492" s="51"/>
      <c r="L492" s="51" t="s">
        <v>257</v>
      </c>
      <c r="M492" s="51"/>
      <c r="N492" s="51"/>
      <c r="O492" s="51"/>
      <c r="P492" s="51"/>
      <c r="Q492" s="51"/>
      <c r="R492" s="51"/>
      <c r="S492" s="51"/>
      <c r="T492" s="51"/>
    </row>
    <row r="493">
      <c r="A493" s="51"/>
      <c r="B493" s="51"/>
      <c r="C493" s="56"/>
      <c r="D493" s="51"/>
      <c r="E493" s="51"/>
      <c r="F493" s="51"/>
      <c r="G493" s="51" t="str">
        <f>IFERROR(__xludf.DUMMYFUNCTION("""COMPUTED_VALUE"""),"#VALUE!")</f>
        <v>#VALUE!</v>
      </c>
      <c r="H493" s="51" t="str">
        <f>IFERROR(__xludf.DUMMYFUNCTION("""COMPUTED_VALUE"""),"")</f>
        <v/>
      </c>
      <c r="I493" s="51" t="str">
        <f>IFERROR(__xludf.DUMMYFUNCTION("""COMPUTED_VALUE"""),"#VALUE!")</f>
        <v>#VALUE!</v>
      </c>
      <c r="J493" s="51" t="str">
        <f>IFERROR(__xludf.DUMMYFUNCTION("""COMPUTED_VALUE"""),"")</f>
        <v/>
      </c>
      <c r="K493" s="51"/>
      <c r="L493" s="51" t="s">
        <v>257</v>
      </c>
      <c r="M493" s="51"/>
      <c r="N493" s="51"/>
      <c r="O493" s="51"/>
      <c r="P493" s="51"/>
      <c r="Q493" s="51"/>
      <c r="R493" s="51"/>
      <c r="S493" s="51"/>
      <c r="T493" s="51"/>
    </row>
    <row r="494">
      <c r="A494" s="51"/>
      <c r="B494" s="51"/>
      <c r="C494" s="56"/>
      <c r="D494" s="51"/>
      <c r="E494" s="51"/>
      <c r="F494" s="51"/>
      <c r="G494" s="51" t="str">
        <f>IFERROR(__xludf.DUMMYFUNCTION("""COMPUTED_VALUE"""),"#VALUE!")</f>
        <v>#VALUE!</v>
      </c>
      <c r="H494" s="51" t="str">
        <f>IFERROR(__xludf.DUMMYFUNCTION("""COMPUTED_VALUE"""),"")</f>
        <v/>
      </c>
      <c r="I494" s="51" t="str">
        <f>IFERROR(__xludf.DUMMYFUNCTION("""COMPUTED_VALUE"""),"#VALUE!")</f>
        <v>#VALUE!</v>
      </c>
      <c r="J494" s="51" t="str">
        <f>IFERROR(__xludf.DUMMYFUNCTION("""COMPUTED_VALUE"""),"")</f>
        <v/>
      </c>
      <c r="K494" s="51"/>
      <c r="L494" s="51" t="s">
        <v>257</v>
      </c>
      <c r="M494" s="51"/>
      <c r="N494" s="51"/>
      <c r="O494" s="51"/>
      <c r="P494" s="51"/>
      <c r="Q494" s="51"/>
      <c r="R494" s="51"/>
      <c r="S494" s="51"/>
      <c r="T494" s="51"/>
    </row>
    <row r="495">
      <c r="A495" s="51"/>
      <c r="B495" s="51"/>
      <c r="C495" s="56"/>
      <c r="D495" s="51"/>
      <c r="E495" s="51"/>
      <c r="F495" s="51"/>
      <c r="G495" s="51" t="str">
        <f>IFERROR(__xludf.DUMMYFUNCTION("""COMPUTED_VALUE"""),"#VALUE!")</f>
        <v>#VALUE!</v>
      </c>
      <c r="H495" s="51" t="str">
        <f>IFERROR(__xludf.DUMMYFUNCTION("""COMPUTED_VALUE"""),"")</f>
        <v/>
      </c>
      <c r="I495" s="51" t="str">
        <f>IFERROR(__xludf.DUMMYFUNCTION("""COMPUTED_VALUE"""),"#VALUE!")</f>
        <v>#VALUE!</v>
      </c>
      <c r="J495" s="51" t="str">
        <f>IFERROR(__xludf.DUMMYFUNCTION("""COMPUTED_VALUE"""),"")</f>
        <v/>
      </c>
      <c r="K495" s="51"/>
      <c r="L495" s="51" t="s">
        <v>257</v>
      </c>
      <c r="M495" s="51"/>
      <c r="N495" s="51"/>
      <c r="O495" s="51"/>
      <c r="P495" s="51"/>
      <c r="Q495" s="51"/>
      <c r="R495" s="51"/>
      <c r="S495" s="51"/>
      <c r="T495" s="51"/>
    </row>
    <row r="496">
      <c r="A496" s="51"/>
      <c r="B496" s="51"/>
      <c r="C496" s="56"/>
      <c r="D496" s="51"/>
      <c r="E496" s="51"/>
      <c r="F496" s="51"/>
      <c r="G496" s="51" t="str">
        <f>IFERROR(__xludf.DUMMYFUNCTION("""COMPUTED_VALUE"""),"#VALUE!")</f>
        <v>#VALUE!</v>
      </c>
      <c r="H496" s="51" t="str">
        <f>IFERROR(__xludf.DUMMYFUNCTION("""COMPUTED_VALUE"""),"")</f>
        <v/>
      </c>
      <c r="I496" s="51" t="str">
        <f>IFERROR(__xludf.DUMMYFUNCTION("""COMPUTED_VALUE"""),"#VALUE!")</f>
        <v>#VALUE!</v>
      </c>
      <c r="J496" s="51" t="str">
        <f>IFERROR(__xludf.DUMMYFUNCTION("""COMPUTED_VALUE"""),"")</f>
        <v/>
      </c>
      <c r="K496" s="51"/>
      <c r="L496" s="51" t="s">
        <v>257</v>
      </c>
      <c r="M496" s="51"/>
      <c r="N496" s="51"/>
      <c r="O496" s="51"/>
      <c r="P496" s="51"/>
      <c r="Q496" s="51"/>
      <c r="R496" s="51"/>
      <c r="S496" s="51"/>
      <c r="T496" s="51"/>
    </row>
    <row r="497">
      <c r="A497" s="51"/>
      <c r="B497" s="51"/>
      <c r="C497" s="56"/>
      <c r="D497" s="51"/>
      <c r="E497" s="51"/>
      <c r="F497" s="51"/>
      <c r="G497" s="51" t="str">
        <f>IFERROR(__xludf.DUMMYFUNCTION("""COMPUTED_VALUE"""),"#VALUE!")</f>
        <v>#VALUE!</v>
      </c>
      <c r="H497" s="51" t="str">
        <f>IFERROR(__xludf.DUMMYFUNCTION("""COMPUTED_VALUE"""),"")</f>
        <v/>
      </c>
      <c r="I497" s="51" t="str">
        <f>IFERROR(__xludf.DUMMYFUNCTION("""COMPUTED_VALUE"""),"#VALUE!")</f>
        <v>#VALUE!</v>
      </c>
      <c r="J497" s="51" t="str">
        <f>IFERROR(__xludf.DUMMYFUNCTION("""COMPUTED_VALUE"""),"")</f>
        <v/>
      </c>
      <c r="K497" s="51"/>
      <c r="L497" s="51" t="s">
        <v>257</v>
      </c>
      <c r="M497" s="51"/>
      <c r="N497" s="51"/>
      <c r="O497" s="51"/>
      <c r="P497" s="51"/>
      <c r="Q497" s="51"/>
      <c r="R497" s="51"/>
      <c r="S497" s="51"/>
      <c r="T497" s="51"/>
    </row>
    <row r="498">
      <c r="A498" s="51"/>
      <c r="B498" s="51"/>
      <c r="C498" s="56"/>
      <c r="D498" s="51"/>
      <c r="E498" s="51"/>
      <c r="F498" s="51"/>
      <c r="G498" s="51" t="str">
        <f>IFERROR(__xludf.DUMMYFUNCTION("""COMPUTED_VALUE"""),"#VALUE!")</f>
        <v>#VALUE!</v>
      </c>
      <c r="H498" s="51" t="str">
        <f>IFERROR(__xludf.DUMMYFUNCTION("""COMPUTED_VALUE"""),"")</f>
        <v/>
      </c>
      <c r="I498" s="51" t="str">
        <f>IFERROR(__xludf.DUMMYFUNCTION("""COMPUTED_VALUE"""),"#VALUE!")</f>
        <v>#VALUE!</v>
      </c>
      <c r="J498" s="51" t="str">
        <f>IFERROR(__xludf.DUMMYFUNCTION("""COMPUTED_VALUE"""),"")</f>
        <v/>
      </c>
      <c r="K498" s="51"/>
      <c r="L498" s="51" t="s">
        <v>257</v>
      </c>
      <c r="M498" s="51"/>
      <c r="N498" s="51"/>
      <c r="O498" s="51"/>
      <c r="P498" s="51"/>
      <c r="Q498" s="51"/>
      <c r="R498" s="51"/>
      <c r="S498" s="51"/>
      <c r="T498" s="51"/>
    </row>
    <row r="499">
      <c r="A499" s="51"/>
      <c r="B499" s="51"/>
      <c r="C499" s="56"/>
      <c r="D499" s="51"/>
      <c r="E499" s="51"/>
      <c r="F499" s="51"/>
      <c r="G499" s="51" t="str">
        <f>IFERROR(__xludf.DUMMYFUNCTION("""COMPUTED_VALUE"""),"#VALUE!")</f>
        <v>#VALUE!</v>
      </c>
      <c r="H499" s="51" t="str">
        <f>IFERROR(__xludf.DUMMYFUNCTION("""COMPUTED_VALUE"""),"")</f>
        <v/>
      </c>
      <c r="I499" s="51" t="str">
        <f>IFERROR(__xludf.DUMMYFUNCTION("""COMPUTED_VALUE"""),"#VALUE!")</f>
        <v>#VALUE!</v>
      </c>
      <c r="J499" s="51" t="str">
        <f>IFERROR(__xludf.DUMMYFUNCTION("""COMPUTED_VALUE"""),"")</f>
        <v/>
      </c>
      <c r="K499" s="51"/>
      <c r="L499" s="51" t="s">
        <v>257</v>
      </c>
      <c r="M499" s="51"/>
      <c r="N499" s="51"/>
      <c r="O499" s="51"/>
      <c r="P499" s="51"/>
      <c r="Q499" s="51"/>
      <c r="R499" s="51"/>
      <c r="S499" s="51"/>
      <c r="T499" s="51"/>
    </row>
    <row r="500">
      <c r="A500" s="51"/>
      <c r="B500" s="51"/>
      <c r="C500" s="56"/>
      <c r="D500" s="51"/>
      <c r="E500" s="51"/>
      <c r="F500" s="51"/>
      <c r="G500" s="51" t="str">
        <f>IFERROR(__xludf.DUMMYFUNCTION("""COMPUTED_VALUE"""),"#VALUE!")</f>
        <v>#VALUE!</v>
      </c>
      <c r="H500" s="51" t="str">
        <f>IFERROR(__xludf.DUMMYFUNCTION("""COMPUTED_VALUE"""),"")</f>
        <v/>
      </c>
      <c r="I500" s="51" t="str">
        <f>IFERROR(__xludf.DUMMYFUNCTION("""COMPUTED_VALUE"""),"#VALUE!")</f>
        <v>#VALUE!</v>
      </c>
      <c r="J500" s="51" t="str">
        <f>IFERROR(__xludf.DUMMYFUNCTION("""COMPUTED_VALUE"""),"")</f>
        <v/>
      </c>
      <c r="K500" s="51"/>
      <c r="L500" s="51" t="s">
        <v>257</v>
      </c>
      <c r="M500" s="51"/>
      <c r="N500" s="51"/>
      <c r="O500" s="51"/>
      <c r="P500" s="51"/>
      <c r="Q500" s="51"/>
      <c r="R500" s="51"/>
      <c r="S500" s="51"/>
      <c r="T500" s="51"/>
    </row>
    <row r="501">
      <c r="A501" s="51"/>
      <c r="B501" s="51"/>
      <c r="C501" s="56"/>
      <c r="D501" s="51"/>
      <c r="E501" s="51"/>
      <c r="F501" s="51"/>
      <c r="G501" s="51" t="str">
        <f>IFERROR(__xludf.DUMMYFUNCTION("""COMPUTED_VALUE"""),"#VALUE!")</f>
        <v>#VALUE!</v>
      </c>
      <c r="H501" s="51" t="str">
        <f>IFERROR(__xludf.DUMMYFUNCTION("""COMPUTED_VALUE"""),"")</f>
        <v/>
      </c>
      <c r="I501" s="51" t="str">
        <f>IFERROR(__xludf.DUMMYFUNCTION("""COMPUTED_VALUE"""),"#VALUE!")</f>
        <v>#VALUE!</v>
      </c>
      <c r="J501" s="51" t="str">
        <f>IFERROR(__xludf.DUMMYFUNCTION("""COMPUTED_VALUE"""),"")</f>
        <v/>
      </c>
      <c r="K501" s="51"/>
      <c r="L501" s="51" t="s">
        <v>257</v>
      </c>
      <c r="M501" s="51"/>
      <c r="N501" s="51"/>
      <c r="O501" s="51"/>
      <c r="P501" s="51"/>
      <c r="Q501" s="51"/>
      <c r="R501" s="51"/>
      <c r="S501" s="51"/>
      <c r="T501" s="51"/>
    </row>
    <row r="502">
      <c r="A502" s="51"/>
      <c r="B502" s="51"/>
      <c r="C502" s="56"/>
      <c r="D502" s="51"/>
      <c r="E502" s="51"/>
      <c r="F502" s="51"/>
      <c r="G502" s="51" t="str">
        <f>IFERROR(__xludf.DUMMYFUNCTION("""COMPUTED_VALUE"""),"#VALUE!")</f>
        <v>#VALUE!</v>
      </c>
      <c r="H502" s="51" t="str">
        <f>IFERROR(__xludf.DUMMYFUNCTION("""COMPUTED_VALUE"""),"")</f>
        <v/>
      </c>
      <c r="I502" s="51" t="str">
        <f>IFERROR(__xludf.DUMMYFUNCTION("""COMPUTED_VALUE"""),"#VALUE!")</f>
        <v>#VALUE!</v>
      </c>
      <c r="J502" s="51" t="str">
        <f>IFERROR(__xludf.DUMMYFUNCTION("""COMPUTED_VALUE"""),"")</f>
        <v/>
      </c>
      <c r="K502" s="51"/>
      <c r="L502" s="51" t="s">
        <v>257</v>
      </c>
      <c r="M502" s="51"/>
      <c r="N502" s="51"/>
      <c r="O502" s="51"/>
      <c r="P502" s="51"/>
      <c r="Q502" s="51"/>
      <c r="R502" s="51"/>
      <c r="S502" s="51"/>
      <c r="T502" s="51"/>
    </row>
    <row r="503">
      <c r="A503" s="51"/>
      <c r="B503" s="51"/>
      <c r="C503" s="56"/>
      <c r="D503" s="51"/>
      <c r="E503" s="51"/>
      <c r="F503" s="51"/>
      <c r="G503" s="51" t="str">
        <f>IFERROR(__xludf.DUMMYFUNCTION("""COMPUTED_VALUE"""),"#VALUE!")</f>
        <v>#VALUE!</v>
      </c>
      <c r="H503" s="51" t="str">
        <f>IFERROR(__xludf.DUMMYFUNCTION("""COMPUTED_VALUE"""),"")</f>
        <v/>
      </c>
      <c r="I503" s="51" t="str">
        <f>IFERROR(__xludf.DUMMYFUNCTION("""COMPUTED_VALUE"""),"#VALUE!")</f>
        <v>#VALUE!</v>
      </c>
      <c r="J503" s="51" t="str">
        <f>IFERROR(__xludf.DUMMYFUNCTION("""COMPUTED_VALUE"""),"")</f>
        <v/>
      </c>
      <c r="K503" s="51"/>
      <c r="L503" s="51" t="s">
        <v>257</v>
      </c>
      <c r="M503" s="51"/>
      <c r="N503" s="51"/>
      <c r="O503" s="51"/>
      <c r="P503" s="51"/>
      <c r="Q503" s="51"/>
      <c r="R503" s="51"/>
      <c r="S503" s="51"/>
      <c r="T503" s="51"/>
    </row>
    <row r="504">
      <c r="A504" s="51"/>
      <c r="B504" s="51"/>
      <c r="C504" s="56"/>
      <c r="D504" s="51"/>
      <c r="E504" s="51"/>
      <c r="F504" s="51"/>
      <c r="G504" s="51" t="str">
        <f>IFERROR(__xludf.DUMMYFUNCTION("""COMPUTED_VALUE"""),"#VALUE!")</f>
        <v>#VALUE!</v>
      </c>
      <c r="H504" s="51" t="str">
        <f>IFERROR(__xludf.DUMMYFUNCTION("""COMPUTED_VALUE"""),"")</f>
        <v/>
      </c>
      <c r="I504" s="51" t="str">
        <f>IFERROR(__xludf.DUMMYFUNCTION("""COMPUTED_VALUE"""),"#VALUE!")</f>
        <v>#VALUE!</v>
      </c>
      <c r="J504" s="51" t="str">
        <f>IFERROR(__xludf.DUMMYFUNCTION("""COMPUTED_VALUE"""),"")</f>
        <v/>
      </c>
      <c r="K504" s="51"/>
      <c r="L504" s="51" t="s">
        <v>257</v>
      </c>
      <c r="M504" s="51"/>
      <c r="N504" s="51"/>
      <c r="O504" s="51"/>
      <c r="P504" s="51"/>
      <c r="Q504" s="51"/>
      <c r="R504" s="51"/>
      <c r="S504" s="51"/>
      <c r="T504" s="51"/>
    </row>
    <row r="505">
      <c r="A505" s="51"/>
      <c r="B505" s="51"/>
      <c r="C505" s="56"/>
      <c r="D505" s="51"/>
      <c r="E505" s="51"/>
      <c r="F505" s="51"/>
      <c r="G505" s="51" t="str">
        <f>IFERROR(__xludf.DUMMYFUNCTION("""COMPUTED_VALUE"""),"#VALUE!")</f>
        <v>#VALUE!</v>
      </c>
      <c r="H505" s="51" t="str">
        <f>IFERROR(__xludf.DUMMYFUNCTION("""COMPUTED_VALUE"""),"")</f>
        <v/>
      </c>
      <c r="I505" s="51" t="str">
        <f>IFERROR(__xludf.DUMMYFUNCTION("""COMPUTED_VALUE"""),"#VALUE!")</f>
        <v>#VALUE!</v>
      </c>
      <c r="J505" s="51" t="str">
        <f>IFERROR(__xludf.DUMMYFUNCTION("""COMPUTED_VALUE"""),"")</f>
        <v/>
      </c>
      <c r="K505" s="51"/>
      <c r="L505" s="51" t="s">
        <v>257</v>
      </c>
      <c r="M505" s="51"/>
      <c r="N505" s="51"/>
      <c r="O505" s="51"/>
      <c r="P505" s="51"/>
      <c r="Q505" s="51"/>
      <c r="R505" s="51"/>
      <c r="S505" s="51"/>
      <c r="T505" s="51"/>
    </row>
    <row r="506">
      <c r="A506" s="51"/>
      <c r="B506" s="51"/>
      <c r="C506" s="56"/>
      <c r="D506" s="51"/>
      <c r="E506" s="51"/>
      <c r="F506" s="51"/>
      <c r="G506" s="51" t="str">
        <f>IFERROR(__xludf.DUMMYFUNCTION("""COMPUTED_VALUE"""),"#VALUE!")</f>
        <v>#VALUE!</v>
      </c>
      <c r="H506" s="51" t="str">
        <f>IFERROR(__xludf.DUMMYFUNCTION("""COMPUTED_VALUE"""),"")</f>
        <v/>
      </c>
      <c r="I506" s="51" t="str">
        <f>IFERROR(__xludf.DUMMYFUNCTION("""COMPUTED_VALUE"""),"#VALUE!")</f>
        <v>#VALUE!</v>
      </c>
      <c r="J506" s="51" t="str">
        <f>IFERROR(__xludf.DUMMYFUNCTION("""COMPUTED_VALUE"""),"")</f>
        <v/>
      </c>
      <c r="K506" s="51"/>
      <c r="L506" s="51" t="s">
        <v>257</v>
      </c>
      <c r="M506" s="51"/>
      <c r="N506" s="51"/>
      <c r="O506" s="51"/>
      <c r="P506" s="51"/>
      <c r="Q506" s="51"/>
      <c r="R506" s="51"/>
      <c r="S506" s="51"/>
      <c r="T506" s="51"/>
    </row>
    <row r="507">
      <c r="A507" s="51"/>
      <c r="B507" s="51"/>
      <c r="C507" s="56"/>
      <c r="D507" s="51"/>
      <c r="E507" s="51"/>
      <c r="F507" s="51"/>
      <c r="G507" s="51" t="str">
        <f>IFERROR(__xludf.DUMMYFUNCTION("""COMPUTED_VALUE"""),"#VALUE!")</f>
        <v>#VALUE!</v>
      </c>
      <c r="H507" s="51" t="str">
        <f>IFERROR(__xludf.DUMMYFUNCTION("""COMPUTED_VALUE"""),"")</f>
        <v/>
      </c>
      <c r="I507" s="51" t="str">
        <f>IFERROR(__xludf.DUMMYFUNCTION("""COMPUTED_VALUE"""),"#VALUE!")</f>
        <v>#VALUE!</v>
      </c>
      <c r="J507" s="51" t="str">
        <f>IFERROR(__xludf.DUMMYFUNCTION("""COMPUTED_VALUE"""),"")</f>
        <v/>
      </c>
      <c r="K507" s="51"/>
      <c r="L507" s="51" t="s">
        <v>257</v>
      </c>
      <c r="M507" s="51"/>
      <c r="N507" s="51"/>
      <c r="O507" s="51"/>
      <c r="P507" s="51"/>
      <c r="Q507" s="51"/>
      <c r="R507" s="51"/>
      <c r="S507" s="51"/>
      <c r="T507" s="51"/>
    </row>
    <row r="508">
      <c r="A508" s="51"/>
      <c r="B508" s="51"/>
      <c r="C508" s="56"/>
      <c r="D508" s="51"/>
      <c r="E508" s="51"/>
      <c r="F508" s="51"/>
      <c r="G508" s="51" t="str">
        <f>IFERROR(__xludf.DUMMYFUNCTION("""COMPUTED_VALUE"""),"#VALUE!")</f>
        <v>#VALUE!</v>
      </c>
      <c r="H508" s="51" t="str">
        <f>IFERROR(__xludf.DUMMYFUNCTION("""COMPUTED_VALUE"""),"")</f>
        <v/>
      </c>
      <c r="I508" s="51" t="str">
        <f>IFERROR(__xludf.DUMMYFUNCTION("""COMPUTED_VALUE"""),"#VALUE!")</f>
        <v>#VALUE!</v>
      </c>
      <c r="J508" s="51" t="str">
        <f>IFERROR(__xludf.DUMMYFUNCTION("""COMPUTED_VALUE"""),"")</f>
        <v/>
      </c>
      <c r="K508" s="51"/>
      <c r="L508" s="51" t="s">
        <v>257</v>
      </c>
      <c r="M508" s="51"/>
      <c r="N508" s="51"/>
      <c r="O508" s="51"/>
      <c r="P508" s="51"/>
      <c r="Q508" s="51"/>
      <c r="R508" s="51"/>
      <c r="S508" s="51"/>
      <c r="T508" s="51"/>
    </row>
    <row r="509">
      <c r="A509" s="51"/>
      <c r="B509" s="51"/>
      <c r="C509" s="56"/>
      <c r="D509" s="51"/>
      <c r="E509" s="51"/>
      <c r="F509" s="51"/>
      <c r="G509" s="51" t="str">
        <f>IFERROR(__xludf.DUMMYFUNCTION("""COMPUTED_VALUE"""),"#VALUE!")</f>
        <v>#VALUE!</v>
      </c>
      <c r="H509" s="51" t="str">
        <f>IFERROR(__xludf.DUMMYFUNCTION("""COMPUTED_VALUE"""),"")</f>
        <v/>
      </c>
      <c r="I509" s="51" t="str">
        <f>IFERROR(__xludf.DUMMYFUNCTION("""COMPUTED_VALUE"""),"#VALUE!")</f>
        <v>#VALUE!</v>
      </c>
      <c r="J509" s="51" t="str">
        <f>IFERROR(__xludf.DUMMYFUNCTION("""COMPUTED_VALUE"""),"")</f>
        <v/>
      </c>
      <c r="K509" s="51"/>
      <c r="L509" s="51" t="s">
        <v>257</v>
      </c>
      <c r="M509" s="51"/>
      <c r="N509" s="51"/>
      <c r="O509" s="51"/>
      <c r="P509" s="51"/>
      <c r="Q509" s="51"/>
      <c r="R509" s="51"/>
      <c r="S509" s="51"/>
      <c r="T509" s="51"/>
    </row>
    <row r="510">
      <c r="A510" s="51"/>
      <c r="B510" s="51"/>
      <c r="C510" s="56"/>
      <c r="D510" s="51"/>
      <c r="E510" s="51"/>
      <c r="F510" s="51"/>
      <c r="G510" s="51" t="str">
        <f>IFERROR(__xludf.DUMMYFUNCTION("""COMPUTED_VALUE"""),"#VALUE!")</f>
        <v>#VALUE!</v>
      </c>
      <c r="H510" s="51" t="str">
        <f>IFERROR(__xludf.DUMMYFUNCTION("""COMPUTED_VALUE"""),"")</f>
        <v/>
      </c>
      <c r="I510" s="51" t="str">
        <f>IFERROR(__xludf.DUMMYFUNCTION("""COMPUTED_VALUE"""),"#VALUE!")</f>
        <v>#VALUE!</v>
      </c>
      <c r="J510" s="51" t="str">
        <f>IFERROR(__xludf.DUMMYFUNCTION("""COMPUTED_VALUE"""),"")</f>
        <v/>
      </c>
      <c r="K510" s="51"/>
      <c r="L510" s="51" t="s">
        <v>257</v>
      </c>
      <c r="M510" s="51"/>
      <c r="N510" s="51"/>
      <c r="O510" s="51"/>
      <c r="P510" s="51"/>
      <c r="Q510" s="51"/>
      <c r="R510" s="51"/>
      <c r="S510" s="51"/>
      <c r="T510" s="51"/>
    </row>
    <row r="511">
      <c r="A511" s="51"/>
      <c r="B511" s="51"/>
      <c r="C511" s="56"/>
      <c r="D511" s="51"/>
      <c r="E511" s="51"/>
      <c r="F511" s="51"/>
      <c r="G511" s="51" t="str">
        <f>IFERROR(__xludf.DUMMYFUNCTION("""COMPUTED_VALUE"""),"#VALUE!")</f>
        <v>#VALUE!</v>
      </c>
      <c r="H511" s="51" t="str">
        <f>IFERROR(__xludf.DUMMYFUNCTION("""COMPUTED_VALUE"""),"")</f>
        <v/>
      </c>
      <c r="I511" s="51" t="str">
        <f>IFERROR(__xludf.DUMMYFUNCTION("""COMPUTED_VALUE"""),"#VALUE!")</f>
        <v>#VALUE!</v>
      </c>
      <c r="J511" s="51" t="str">
        <f>IFERROR(__xludf.DUMMYFUNCTION("""COMPUTED_VALUE"""),"")</f>
        <v/>
      </c>
      <c r="K511" s="51"/>
      <c r="L511" s="51" t="s">
        <v>257</v>
      </c>
      <c r="M511" s="51"/>
      <c r="N511" s="51"/>
      <c r="O511" s="51"/>
      <c r="P511" s="51"/>
      <c r="Q511" s="51"/>
      <c r="R511" s="51"/>
      <c r="S511" s="51"/>
      <c r="T511" s="51"/>
    </row>
    <row r="512">
      <c r="A512" s="51"/>
      <c r="B512" s="51"/>
      <c r="C512" s="56"/>
      <c r="D512" s="51"/>
      <c r="E512" s="51"/>
      <c r="F512" s="51"/>
      <c r="G512" s="51" t="str">
        <f>IFERROR(__xludf.DUMMYFUNCTION("""COMPUTED_VALUE"""),"#VALUE!")</f>
        <v>#VALUE!</v>
      </c>
      <c r="H512" s="51" t="str">
        <f>IFERROR(__xludf.DUMMYFUNCTION("""COMPUTED_VALUE"""),"")</f>
        <v/>
      </c>
      <c r="I512" s="51" t="str">
        <f>IFERROR(__xludf.DUMMYFUNCTION("""COMPUTED_VALUE"""),"#VALUE!")</f>
        <v>#VALUE!</v>
      </c>
      <c r="J512" s="51" t="str">
        <f>IFERROR(__xludf.DUMMYFUNCTION("""COMPUTED_VALUE"""),"")</f>
        <v/>
      </c>
      <c r="K512" s="51"/>
      <c r="L512" s="51" t="s">
        <v>257</v>
      </c>
      <c r="M512" s="51"/>
      <c r="N512" s="51"/>
      <c r="O512" s="51"/>
      <c r="P512" s="51"/>
      <c r="Q512" s="51"/>
      <c r="R512" s="51"/>
      <c r="S512" s="51"/>
      <c r="T512" s="51"/>
    </row>
    <row r="513">
      <c r="A513" s="51"/>
      <c r="B513" s="51"/>
      <c r="C513" s="56"/>
      <c r="D513" s="51"/>
      <c r="E513" s="51"/>
      <c r="F513" s="51"/>
      <c r="G513" s="51" t="str">
        <f>IFERROR(__xludf.DUMMYFUNCTION("""COMPUTED_VALUE"""),"#VALUE!")</f>
        <v>#VALUE!</v>
      </c>
      <c r="H513" s="51" t="str">
        <f>IFERROR(__xludf.DUMMYFUNCTION("""COMPUTED_VALUE"""),"")</f>
        <v/>
      </c>
      <c r="I513" s="51" t="str">
        <f>IFERROR(__xludf.DUMMYFUNCTION("""COMPUTED_VALUE"""),"#VALUE!")</f>
        <v>#VALUE!</v>
      </c>
      <c r="J513" s="51" t="str">
        <f>IFERROR(__xludf.DUMMYFUNCTION("""COMPUTED_VALUE"""),"")</f>
        <v/>
      </c>
      <c r="K513" s="51"/>
      <c r="L513" s="51" t="s">
        <v>257</v>
      </c>
      <c r="M513" s="51"/>
      <c r="N513" s="51"/>
      <c r="O513" s="51"/>
      <c r="P513" s="51"/>
      <c r="Q513" s="51"/>
      <c r="R513" s="51"/>
      <c r="S513" s="51"/>
      <c r="T513" s="51"/>
    </row>
    <row r="514">
      <c r="A514" s="51"/>
      <c r="B514" s="51"/>
      <c r="C514" s="56"/>
      <c r="D514" s="51"/>
      <c r="E514" s="51"/>
      <c r="F514" s="51"/>
      <c r="G514" s="51" t="str">
        <f>IFERROR(__xludf.DUMMYFUNCTION("""COMPUTED_VALUE"""),"#VALUE!")</f>
        <v>#VALUE!</v>
      </c>
      <c r="H514" s="51" t="str">
        <f>IFERROR(__xludf.DUMMYFUNCTION("""COMPUTED_VALUE"""),"")</f>
        <v/>
      </c>
      <c r="I514" s="51" t="str">
        <f>IFERROR(__xludf.DUMMYFUNCTION("""COMPUTED_VALUE"""),"#VALUE!")</f>
        <v>#VALUE!</v>
      </c>
      <c r="J514" s="51" t="str">
        <f>IFERROR(__xludf.DUMMYFUNCTION("""COMPUTED_VALUE"""),"")</f>
        <v/>
      </c>
      <c r="K514" s="51"/>
      <c r="L514" s="51" t="s">
        <v>257</v>
      </c>
      <c r="M514" s="51"/>
      <c r="N514" s="51"/>
      <c r="O514" s="51"/>
      <c r="P514" s="51"/>
      <c r="Q514" s="51"/>
      <c r="R514" s="51"/>
      <c r="S514" s="51"/>
      <c r="T514" s="51"/>
    </row>
    <row r="515">
      <c r="A515" s="51"/>
      <c r="B515" s="51"/>
      <c r="C515" s="56"/>
      <c r="D515" s="51"/>
      <c r="E515" s="51"/>
      <c r="F515" s="51"/>
      <c r="G515" s="51" t="str">
        <f>IFERROR(__xludf.DUMMYFUNCTION("""COMPUTED_VALUE"""),"#VALUE!")</f>
        <v>#VALUE!</v>
      </c>
      <c r="H515" s="51" t="str">
        <f>IFERROR(__xludf.DUMMYFUNCTION("""COMPUTED_VALUE"""),"")</f>
        <v/>
      </c>
      <c r="I515" s="51" t="str">
        <f>IFERROR(__xludf.DUMMYFUNCTION("""COMPUTED_VALUE"""),"#VALUE!")</f>
        <v>#VALUE!</v>
      </c>
      <c r="J515" s="51" t="str">
        <f>IFERROR(__xludf.DUMMYFUNCTION("""COMPUTED_VALUE"""),"")</f>
        <v/>
      </c>
      <c r="K515" s="51"/>
      <c r="L515" s="51" t="s">
        <v>257</v>
      </c>
      <c r="M515" s="51"/>
      <c r="N515" s="51"/>
      <c r="O515" s="51"/>
      <c r="P515" s="51"/>
      <c r="Q515" s="51"/>
      <c r="R515" s="51"/>
      <c r="S515" s="51"/>
      <c r="T515" s="51"/>
    </row>
    <row r="516">
      <c r="A516" s="51"/>
      <c r="B516" s="51"/>
      <c r="C516" s="56"/>
      <c r="D516" s="51"/>
      <c r="E516" s="51"/>
      <c r="F516" s="51"/>
      <c r="G516" s="51" t="str">
        <f>IFERROR(__xludf.DUMMYFUNCTION("""COMPUTED_VALUE"""),"#VALUE!")</f>
        <v>#VALUE!</v>
      </c>
      <c r="H516" s="51" t="str">
        <f>IFERROR(__xludf.DUMMYFUNCTION("""COMPUTED_VALUE"""),"")</f>
        <v/>
      </c>
      <c r="I516" s="51" t="str">
        <f>IFERROR(__xludf.DUMMYFUNCTION("""COMPUTED_VALUE"""),"#VALUE!")</f>
        <v>#VALUE!</v>
      </c>
      <c r="J516" s="51" t="str">
        <f>IFERROR(__xludf.DUMMYFUNCTION("""COMPUTED_VALUE"""),"")</f>
        <v/>
      </c>
      <c r="K516" s="51"/>
      <c r="L516" s="51" t="s">
        <v>257</v>
      </c>
      <c r="M516" s="51"/>
      <c r="N516" s="51"/>
      <c r="O516" s="51"/>
      <c r="P516" s="51"/>
      <c r="Q516" s="51"/>
      <c r="R516" s="51"/>
      <c r="S516" s="51"/>
      <c r="T516" s="51"/>
    </row>
    <row r="517">
      <c r="A517" s="51"/>
      <c r="B517" s="51"/>
      <c r="C517" s="56"/>
      <c r="D517" s="51"/>
      <c r="E517" s="51"/>
      <c r="F517" s="51"/>
      <c r="G517" s="51" t="str">
        <f>IFERROR(__xludf.DUMMYFUNCTION("""COMPUTED_VALUE"""),"#VALUE!")</f>
        <v>#VALUE!</v>
      </c>
      <c r="H517" s="51" t="str">
        <f>IFERROR(__xludf.DUMMYFUNCTION("""COMPUTED_VALUE"""),"")</f>
        <v/>
      </c>
      <c r="I517" s="51" t="str">
        <f>IFERROR(__xludf.DUMMYFUNCTION("""COMPUTED_VALUE"""),"#VALUE!")</f>
        <v>#VALUE!</v>
      </c>
      <c r="J517" s="51" t="str">
        <f>IFERROR(__xludf.DUMMYFUNCTION("""COMPUTED_VALUE"""),"")</f>
        <v/>
      </c>
      <c r="K517" s="51"/>
      <c r="L517" s="51" t="s">
        <v>257</v>
      </c>
      <c r="M517" s="51"/>
      <c r="N517" s="51"/>
      <c r="O517" s="51"/>
      <c r="P517" s="51"/>
      <c r="Q517" s="51"/>
      <c r="R517" s="51"/>
      <c r="S517" s="51"/>
      <c r="T517" s="51"/>
    </row>
  </sheetData>
  <conditionalFormatting sqref="O2:O14">
    <cfRule type="containsText" dxfId="4" priority="1" operator="containsText" text="YES">
      <formula>NOT(ISERROR(SEARCH(("YES"),(O2))))</formula>
    </cfRule>
  </conditionalFormatting>
  <conditionalFormatting sqref="O2:O14">
    <cfRule type="cellIs" dxfId="5" priority="2" operator="equal">
      <formula>"NO"</formula>
    </cfRule>
  </conditionalFormatting>
  <conditionalFormatting sqref="P2:P14">
    <cfRule type="cellIs" dxfId="4" priority="3" operator="equal">
      <formula>"AVAILABLE"</formula>
    </cfRule>
  </conditionalFormatting>
  <conditionalFormatting sqref="P2:P14">
    <cfRule type="cellIs" dxfId="5" priority="4" operator="equal">
      <formula>"NOT AVAILABLE"</formula>
    </cfRule>
  </conditionalFormatting>
  <conditionalFormatting sqref="Q2:Q14">
    <cfRule type="cellIs" dxfId="4" priority="5" operator="equal">
      <formula>"AVAILABLE"</formula>
    </cfRule>
  </conditionalFormatting>
  <conditionalFormatting sqref="Q2:Q14">
    <cfRule type="cellIs" dxfId="6" priority="6" operator="equal">
      <formula>"UPLOADING"</formula>
    </cfRule>
  </conditionalFormatting>
  <conditionalFormatting sqref="Q2:Q14">
    <cfRule type="cellIs" dxfId="5" priority="7" operator="equal">
      <formula>"NOT AVAILABLE"</formula>
    </cfRule>
  </conditionalFormatting>
  <dataValidations>
    <dataValidation type="list" allowBlank="1" sqref="O2:O14">
      <formula1>"YES,NO"</formula1>
    </dataValidation>
    <dataValidation type="list" allowBlank="1" sqref="P2:P14">
      <formula1>"AVAILABLE,NOT AVAILABLE"</formula1>
    </dataValidation>
    <dataValidation type="list" allowBlank="1" sqref="Q2:Q14">
      <formula1>"AVAILABLE,UPLOADING,NOT AVAILABLE"</formula1>
    </dataValidation>
  </dataValidation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s>
  <drawing r:id="rId14"/>
  <tableParts count="1">
    <tablePart r:id="rId16"/>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2.71"/>
    <col customWidth="1" min="3" max="3" width="30.14"/>
    <col hidden="1" min="4" max="5" width="14.43"/>
    <col customWidth="1" min="6" max="6" width="35.71"/>
    <col hidden="1" min="9" max="9" width="14.43"/>
  </cols>
  <sheetData>
    <row r="1">
      <c r="A1" s="46" t="s">
        <v>79</v>
      </c>
      <c r="B1" s="46" t="s">
        <v>80</v>
      </c>
      <c r="C1" s="48" t="s">
        <v>81</v>
      </c>
      <c r="D1" s="46" t="s">
        <v>82</v>
      </c>
      <c r="E1" s="46" t="s">
        <v>83</v>
      </c>
      <c r="F1" s="46" t="s">
        <v>84</v>
      </c>
      <c r="G1" s="46" t="s">
        <v>85</v>
      </c>
      <c r="H1" s="46" t="s">
        <v>86</v>
      </c>
      <c r="I1" s="46" t="s">
        <v>87</v>
      </c>
      <c r="J1" s="46" t="s">
        <v>88</v>
      </c>
      <c r="K1" s="46" t="s">
        <v>89</v>
      </c>
      <c r="L1" s="46" t="s">
        <v>90</v>
      </c>
      <c r="M1" s="46" t="s">
        <v>91</v>
      </c>
      <c r="N1" s="46" t="s">
        <v>92</v>
      </c>
      <c r="O1" s="50" t="s">
        <v>93</v>
      </c>
      <c r="P1" s="50" t="s">
        <v>94</v>
      </c>
      <c r="Q1" s="50" t="s">
        <v>95</v>
      </c>
      <c r="R1" s="51"/>
      <c r="S1" s="51"/>
      <c r="T1" s="51"/>
    </row>
    <row r="2">
      <c r="A2" s="54" t="str">
        <f>IFERROR(__xludf.DUMMYFUNCTION("QUERY(Master!A:H,""SELECT A,C,D,F,G,H where C = 'FullSTK' ORDER BY F"")"),"Opening remarks")</f>
        <v>Opening remarks</v>
      </c>
      <c r="B2" s="51" t="str">
        <f>IFERROR(__xludf.DUMMYFUNCTION("""COMPUTED_VALUE"""),"FullSTK")</f>
        <v>FullSTK</v>
      </c>
      <c r="C2" s="56" t="str">
        <f>IFERROR(__xludf.DUMMYFUNCTION("""COMPUTED_VALUE"""),"Bas Wouterse")</f>
        <v>Bas Wouterse</v>
      </c>
      <c r="D2" s="51" t="str">
        <f>IFERROR(__xludf.DUMMYFUNCTION("""COMPUTED_VALUE"""),"2019/11/07 11:00:00")</f>
        <v>2019/11/07 11:00:00</v>
      </c>
      <c r="E2" s="51" t="str">
        <f>IFERROR(__xludf.DUMMYFUNCTION("""COMPUTED_VALUE"""),"2019/11/07 11:15:00")</f>
        <v>2019/11/07 11:15:00</v>
      </c>
      <c r="F2" s="51" t="str">
        <f>IFERROR(__xludf.DUMMYFUNCTION("""COMPUTED_VALUE"""),"0139e1ca-73b2-48c4-8c1a-10e9559eac8c")</f>
        <v>0139e1ca-73b2-48c4-8c1a-10e9559eac8c</v>
      </c>
      <c r="G2" s="61">
        <f>IFERROR(__xludf.DUMMYFUNCTION("ARRAYFORMULA(SPLIT(D2:D17,"" ""))"),43776.0)</f>
        <v>43776</v>
      </c>
      <c r="H2" s="60">
        <f>IFERROR(__xludf.DUMMYFUNCTION("""COMPUTED_VALUE"""),0.4583333333333333)</f>
        <v>0.4583333333</v>
      </c>
      <c r="I2" s="61">
        <f>IFERROR(__xludf.DUMMYFUNCTION("ARRAYFORMULA(SPLIT(E2:E17,"" ""))"),43776.0)</f>
        <v>43776</v>
      </c>
      <c r="J2" s="60">
        <f>IFERROR(__xludf.DUMMYFUNCTION("""COMPUTED_VALUE"""),0.46875)</f>
        <v>0.46875</v>
      </c>
      <c r="K2" s="60">
        <f t="shared" ref="K2:K17" si="1">J2-H2</f>
        <v>0.01041666667</v>
      </c>
      <c r="L2" s="54" t="str">
        <f t="array" ref="L2:L17">TEXT(K2:K17,"hhmmss")</f>
        <v>001500</v>
      </c>
      <c r="M2" s="62" t="s">
        <v>366</v>
      </c>
      <c r="N2" s="75" t="str">
        <f t="shared" ref="N2:N16" si="2">CONCATENATE(M2,"_",F2,"_","000000_000000.mp4")</f>
        <v>FK_4_1_0139e1ca-73b2-48c4-8c1a-10e9559eac8c_000000_000000.mp4</v>
      </c>
      <c r="O2" s="50"/>
      <c r="P2" s="50"/>
      <c r="Q2" s="63"/>
      <c r="R2" s="51"/>
      <c r="S2" s="51"/>
      <c r="T2" s="51"/>
    </row>
    <row r="3">
      <c r="A3" s="51" t="str">
        <f>IFERROR(__xludf.DUMMYFUNCTION("""COMPUTED_VALUE"""),"Chasing clouds: An immigrant story")</f>
        <v>Chasing clouds: An immigrant story</v>
      </c>
      <c r="B3" s="51" t="str">
        <f>IFERROR(__xludf.DUMMYFUNCTION("""COMPUTED_VALUE"""),"FullSTK")</f>
        <v>FullSTK</v>
      </c>
      <c r="C3" s="56" t="str">
        <f>IFERROR(__xludf.DUMMYFUNCTION("""COMPUTED_VALUE"""),"Ben Uretsky, Moisey Uretskey and Andrei Brasoveanu")</f>
        <v>Ben Uretsky, Moisey Uretskey and Andrei Brasoveanu</v>
      </c>
      <c r="D3" s="51" t="str">
        <f>IFERROR(__xludf.DUMMYFUNCTION("""COMPUTED_VALUE"""),"2019/11/07 11:15:00")</f>
        <v>2019/11/07 11:15:00</v>
      </c>
      <c r="E3" s="51" t="str">
        <f>IFERROR(__xludf.DUMMYFUNCTION("""COMPUTED_VALUE"""),"2019/11/07 11:35:00")</f>
        <v>2019/11/07 11:35:00</v>
      </c>
      <c r="F3" s="51" t="str">
        <f>IFERROR(__xludf.DUMMYFUNCTION("""COMPUTED_VALUE"""),"0fc71f65-2642-45ac-9106-20a2f5d16075")</f>
        <v>0fc71f65-2642-45ac-9106-20a2f5d16075</v>
      </c>
      <c r="G3" s="58">
        <f>IFERROR(__xludf.DUMMYFUNCTION("""COMPUTED_VALUE"""),43776.0)</f>
        <v>43776</v>
      </c>
      <c r="H3" s="60">
        <f>IFERROR(__xludf.DUMMYFUNCTION("""COMPUTED_VALUE"""),0.46875)</f>
        <v>0.46875</v>
      </c>
      <c r="I3" s="58">
        <f>IFERROR(__xludf.DUMMYFUNCTION("""COMPUTED_VALUE"""),43776.0)</f>
        <v>43776</v>
      </c>
      <c r="J3" s="60">
        <f>IFERROR(__xludf.DUMMYFUNCTION("""COMPUTED_VALUE"""),0.4826388888888889)</f>
        <v>0.4826388889</v>
      </c>
      <c r="K3" s="60">
        <f t="shared" si="1"/>
        <v>0.01388888889</v>
      </c>
      <c r="L3" s="51" t="s">
        <v>111</v>
      </c>
      <c r="M3" s="62" t="s">
        <v>367</v>
      </c>
      <c r="N3" s="75" t="str">
        <f t="shared" si="2"/>
        <v>FK_4_2_0fc71f65-2642-45ac-9106-20a2f5d16075_000000_000000.mp4</v>
      </c>
      <c r="O3" s="50"/>
      <c r="P3" s="50"/>
      <c r="Q3" s="63"/>
      <c r="R3" s="51"/>
      <c r="S3" s="51"/>
      <c r="T3" s="51"/>
    </row>
    <row r="4">
      <c r="A4" s="51" t="str">
        <f>IFERROR(__xludf.DUMMYFUNCTION("""COMPUTED_VALUE"""),"The future of privacy-by-default")</f>
        <v>The future of privacy-by-default</v>
      </c>
      <c r="B4" s="51" t="str">
        <f>IFERROR(__xludf.DUMMYFUNCTION("""COMPUTED_VALUE"""),"FullSTK")</f>
        <v>FullSTK</v>
      </c>
      <c r="C4" s="56" t="str">
        <f>IFERROR(__xludf.DUMMYFUNCTION("""COMPUTED_VALUE"""),"Brendan Eich")</f>
        <v>Brendan Eich</v>
      </c>
      <c r="D4" s="51" t="str">
        <f>IFERROR(__xludf.DUMMYFUNCTION("""COMPUTED_VALUE"""),"2019/11/07 11:35:00")</f>
        <v>2019/11/07 11:35:00</v>
      </c>
      <c r="E4" s="51" t="str">
        <f>IFERROR(__xludf.DUMMYFUNCTION("""COMPUTED_VALUE"""),"2019/11/07 11:55:00")</f>
        <v>2019/11/07 11:55:00</v>
      </c>
      <c r="F4" s="51" t="str">
        <f>IFERROR(__xludf.DUMMYFUNCTION("""COMPUTED_VALUE"""),"571f2c12-2d3a-4cb9-bb18-40eb0151c52e")</f>
        <v>571f2c12-2d3a-4cb9-bb18-40eb0151c52e</v>
      </c>
      <c r="G4" s="58">
        <f>IFERROR(__xludf.DUMMYFUNCTION("""COMPUTED_VALUE"""),43776.0)</f>
        <v>43776</v>
      </c>
      <c r="H4" s="60">
        <f>IFERROR(__xludf.DUMMYFUNCTION("""COMPUTED_VALUE"""),0.4826388888888889)</f>
        <v>0.4826388889</v>
      </c>
      <c r="I4" s="58">
        <f>IFERROR(__xludf.DUMMYFUNCTION("""COMPUTED_VALUE"""),43776.0)</f>
        <v>43776</v>
      </c>
      <c r="J4" s="60">
        <f>IFERROR(__xludf.DUMMYFUNCTION("""COMPUTED_VALUE"""),0.4965277777777778)</f>
        <v>0.4965277778</v>
      </c>
      <c r="K4" s="60">
        <f t="shared" si="1"/>
        <v>0.01388888889</v>
      </c>
      <c r="L4" s="51" t="s">
        <v>111</v>
      </c>
      <c r="M4" s="62" t="s">
        <v>368</v>
      </c>
      <c r="N4" s="75" t="str">
        <f t="shared" si="2"/>
        <v>FK_4_3_571f2c12-2d3a-4cb9-bb18-40eb0151c52e_000000_000000.mp4</v>
      </c>
      <c r="O4" s="50"/>
      <c r="P4" s="50"/>
      <c r="Q4" s="63"/>
      <c r="R4" s="51"/>
      <c r="S4" s="51"/>
      <c r="T4" s="51"/>
    </row>
    <row r="5">
      <c r="A5" s="51" t="str">
        <f>IFERROR(__xludf.DUMMYFUNCTION("""COMPUTED_VALUE"""),"How to win over a developer")</f>
        <v>How to win over a developer</v>
      </c>
      <c r="B5" s="51" t="str">
        <f>IFERROR(__xludf.DUMMYFUNCTION("""COMPUTED_VALUE"""),"FullSTK")</f>
        <v>FullSTK</v>
      </c>
      <c r="C5" s="56" t="str">
        <f>IFERROR(__xludf.DUMMYFUNCTION("""COMPUTED_VALUE"""),"Christina Sass and Rob Pegoraro")</f>
        <v>Christina Sass and Rob Pegoraro</v>
      </c>
      <c r="D5" s="51" t="str">
        <f>IFERROR(__xludf.DUMMYFUNCTION("""COMPUTED_VALUE"""),"2019/11/07 11:55:00")</f>
        <v>2019/11/07 11:55:00</v>
      </c>
      <c r="E5" s="51" t="str">
        <f>IFERROR(__xludf.DUMMYFUNCTION("""COMPUTED_VALUE"""),"2019/11/07 12:15:00")</f>
        <v>2019/11/07 12:15:00</v>
      </c>
      <c r="F5" s="51" t="str">
        <f>IFERROR(__xludf.DUMMYFUNCTION("""COMPUTED_VALUE"""),"45c790df-7ce6-4e8e-b4cf-65dab2f74bac")</f>
        <v>45c790df-7ce6-4e8e-b4cf-65dab2f74bac</v>
      </c>
      <c r="G5" s="58">
        <f>IFERROR(__xludf.DUMMYFUNCTION("""COMPUTED_VALUE"""),43776.0)</f>
        <v>43776</v>
      </c>
      <c r="H5" s="60">
        <f>IFERROR(__xludf.DUMMYFUNCTION("""COMPUTED_VALUE"""),0.4965277777777778)</f>
        <v>0.4965277778</v>
      </c>
      <c r="I5" s="58">
        <f>IFERROR(__xludf.DUMMYFUNCTION("""COMPUTED_VALUE"""),43776.0)</f>
        <v>43776</v>
      </c>
      <c r="J5" s="60">
        <f>IFERROR(__xludf.DUMMYFUNCTION("""COMPUTED_VALUE"""),0.5104166666666666)</f>
        <v>0.5104166667</v>
      </c>
      <c r="K5" s="60">
        <f t="shared" si="1"/>
        <v>0.01388888889</v>
      </c>
      <c r="L5" s="51" t="s">
        <v>111</v>
      </c>
      <c r="M5" s="62" t="s">
        <v>369</v>
      </c>
      <c r="N5" s="75" t="str">
        <f t="shared" si="2"/>
        <v>FK_4_4_45c790df-7ce6-4e8e-b4cf-65dab2f74bac_000000_000000.mp4</v>
      </c>
      <c r="O5" s="50"/>
      <c r="P5" s="50"/>
      <c r="Q5" s="63"/>
      <c r="R5" s="51"/>
      <c r="S5" s="51"/>
      <c r="T5" s="51"/>
    </row>
    <row r="6">
      <c r="A6" s="51" t="str">
        <f>IFERROR(__xludf.DUMMYFUNCTION("""COMPUTED_VALUE"""),"Keeping open source open")</f>
        <v>Keeping open source open</v>
      </c>
      <c r="B6" s="51" t="str">
        <f>IFERROR(__xludf.DUMMYFUNCTION("""COMPUTED_VALUE"""),"FullSTK")</f>
        <v>FullSTK</v>
      </c>
      <c r="C6" s="56" t="str">
        <f>IFERROR(__xludf.DUMMYFUNCTION("""COMPUTED_VALUE"""),"Katharina Borchert, Rashmi Gopinath and John Rampton")</f>
        <v>Katharina Borchert, Rashmi Gopinath and John Rampton</v>
      </c>
      <c r="D6" s="51" t="str">
        <f>IFERROR(__xludf.DUMMYFUNCTION("""COMPUTED_VALUE"""),"2019/11/07 12:15:00")</f>
        <v>2019/11/07 12:15:00</v>
      </c>
      <c r="E6" s="51" t="str">
        <f>IFERROR(__xludf.DUMMYFUNCTION("""COMPUTED_VALUE"""),"2019/11/07 12:35:00")</f>
        <v>2019/11/07 12:35:00</v>
      </c>
      <c r="F6" s="51" t="str">
        <f>IFERROR(__xludf.DUMMYFUNCTION("""COMPUTED_VALUE"""),"2e5449ec-46ea-4bff-aabe-76c77c5da660")</f>
        <v>2e5449ec-46ea-4bff-aabe-76c77c5da660</v>
      </c>
      <c r="G6" s="58">
        <f>IFERROR(__xludf.DUMMYFUNCTION("""COMPUTED_VALUE"""),43776.0)</f>
        <v>43776</v>
      </c>
      <c r="H6" s="60">
        <f>IFERROR(__xludf.DUMMYFUNCTION("""COMPUTED_VALUE"""),0.5104166666666666)</f>
        <v>0.5104166667</v>
      </c>
      <c r="I6" s="58">
        <f>IFERROR(__xludf.DUMMYFUNCTION("""COMPUTED_VALUE"""),43776.0)</f>
        <v>43776</v>
      </c>
      <c r="J6" s="60">
        <f>IFERROR(__xludf.DUMMYFUNCTION("""COMPUTED_VALUE"""),0.5243055555555556)</f>
        <v>0.5243055556</v>
      </c>
      <c r="K6" s="60">
        <f t="shared" si="1"/>
        <v>0.01388888889</v>
      </c>
      <c r="L6" s="51" t="s">
        <v>111</v>
      </c>
      <c r="M6" s="62" t="s">
        <v>370</v>
      </c>
      <c r="N6" s="75" t="str">
        <f t="shared" si="2"/>
        <v>FK_4_5_2e5449ec-46ea-4bff-aabe-76c77c5da660_000000_000000.mp4</v>
      </c>
      <c r="O6" s="50"/>
      <c r="P6" s="50"/>
      <c r="Q6" s="63"/>
      <c r="R6" s="51"/>
      <c r="S6" s="51"/>
      <c r="T6" s="51"/>
    </row>
    <row r="7">
      <c r="A7" s="51" t="str">
        <f>IFERROR(__xludf.DUMMYFUNCTION("""COMPUTED_VALUE"""),"How to build and scale products for and with users")</f>
        <v>How to build and scale products for and with users</v>
      </c>
      <c r="B7" s="51" t="str">
        <f>IFERROR(__xludf.DUMMYFUNCTION("""COMPUTED_VALUE"""),"FullSTK")</f>
        <v>FullSTK</v>
      </c>
      <c r="C7" s="56" t="str">
        <f>IFERROR(__xludf.DUMMYFUNCTION("""COMPUTED_VALUE"""),"Chris Slowe")</f>
        <v>Chris Slowe</v>
      </c>
      <c r="D7" s="51" t="str">
        <f>IFERROR(__xludf.DUMMYFUNCTION("""COMPUTED_VALUE"""),"2019/11/07 12:35:00")</f>
        <v>2019/11/07 12:35:00</v>
      </c>
      <c r="E7" s="51" t="str">
        <f>IFERROR(__xludf.DUMMYFUNCTION("""COMPUTED_VALUE"""),"2019/11/07 12:55:00")</f>
        <v>2019/11/07 12:55:00</v>
      </c>
      <c r="F7" s="51" t="str">
        <f>IFERROR(__xludf.DUMMYFUNCTION("""COMPUTED_VALUE"""),"8e629f04-926e-4248-8bc8-b9b92ff863b4")</f>
        <v>8e629f04-926e-4248-8bc8-b9b92ff863b4</v>
      </c>
      <c r="G7" s="58">
        <f>IFERROR(__xludf.DUMMYFUNCTION("""COMPUTED_VALUE"""),43776.0)</f>
        <v>43776</v>
      </c>
      <c r="H7" s="60">
        <f>IFERROR(__xludf.DUMMYFUNCTION("""COMPUTED_VALUE"""),0.5243055555555556)</f>
        <v>0.5243055556</v>
      </c>
      <c r="I7" s="58">
        <f>IFERROR(__xludf.DUMMYFUNCTION("""COMPUTED_VALUE"""),43776.0)</f>
        <v>43776</v>
      </c>
      <c r="J7" s="60">
        <f>IFERROR(__xludf.DUMMYFUNCTION("""COMPUTED_VALUE"""),0.5381944444444444)</f>
        <v>0.5381944444</v>
      </c>
      <c r="K7" s="60">
        <f t="shared" si="1"/>
        <v>0.01388888889</v>
      </c>
      <c r="L7" s="51" t="s">
        <v>111</v>
      </c>
      <c r="M7" s="62" t="s">
        <v>371</v>
      </c>
      <c r="N7" s="75" t="str">
        <f t="shared" si="2"/>
        <v>FK_4_6_8e629f04-926e-4248-8bc8-b9b92ff863b4_000000_000000.mp4</v>
      </c>
      <c r="O7" s="50"/>
      <c r="P7" s="50"/>
      <c r="Q7" s="63"/>
      <c r="R7" s="51"/>
      <c r="S7" s="51"/>
      <c r="T7" s="51"/>
    </row>
    <row r="8">
      <c r="A8" s="51" t="str">
        <f>IFERROR(__xludf.DUMMYFUNCTION("""COMPUTED_VALUE"""),"Evolutionary architecture and governance: What's the future like?")</f>
        <v>Evolutionary architecture and governance: What's the future like?</v>
      </c>
      <c r="B8" s="51" t="str">
        <f>IFERROR(__xludf.DUMMYFUNCTION("""COMPUTED_VALUE"""),"FullSTK")</f>
        <v>FullSTK</v>
      </c>
      <c r="C8" s="56" t="str">
        <f>IFERROR(__xludf.DUMMYFUNCTION("""COMPUTED_VALUE"""),"Rebecca Parsons")</f>
        <v>Rebecca Parsons</v>
      </c>
      <c r="D8" s="51" t="str">
        <f>IFERROR(__xludf.DUMMYFUNCTION("""COMPUTED_VALUE"""),"2019/11/07 12:55:00")</f>
        <v>2019/11/07 12:55:00</v>
      </c>
      <c r="E8" s="51" t="str">
        <f>IFERROR(__xludf.DUMMYFUNCTION("""COMPUTED_VALUE"""),"2019/11/07 13:15:00")</f>
        <v>2019/11/07 13:15:00</v>
      </c>
      <c r="F8" s="51" t="str">
        <f>IFERROR(__xludf.DUMMYFUNCTION("""COMPUTED_VALUE"""),"fd8dbcea-df13-4f56-9109-c883af6536ad")</f>
        <v>fd8dbcea-df13-4f56-9109-c883af6536ad</v>
      </c>
      <c r="G8" s="58">
        <f>IFERROR(__xludf.DUMMYFUNCTION("""COMPUTED_VALUE"""),43776.0)</f>
        <v>43776</v>
      </c>
      <c r="H8" s="60">
        <f>IFERROR(__xludf.DUMMYFUNCTION("""COMPUTED_VALUE"""),0.5381944444444444)</f>
        <v>0.5381944444</v>
      </c>
      <c r="I8" s="58">
        <f>IFERROR(__xludf.DUMMYFUNCTION("""COMPUTED_VALUE"""),43776.0)</f>
        <v>43776</v>
      </c>
      <c r="J8" s="60">
        <f>IFERROR(__xludf.DUMMYFUNCTION("""COMPUTED_VALUE"""),0.5520833333333334)</f>
        <v>0.5520833333</v>
      </c>
      <c r="K8" s="60">
        <f t="shared" si="1"/>
        <v>0.01388888889</v>
      </c>
      <c r="L8" s="51" t="s">
        <v>111</v>
      </c>
      <c r="M8" s="62" t="s">
        <v>372</v>
      </c>
      <c r="N8" s="75" t="str">
        <f t="shared" si="2"/>
        <v>FK_4_7_fd8dbcea-df13-4f56-9109-c883af6536ad_000000_000000.mp4</v>
      </c>
      <c r="O8" s="50"/>
      <c r="P8" s="50"/>
      <c r="Q8" s="63"/>
      <c r="R8" s="51"/>
      <c r="S8" s="51"/>
      <c r="T8" s="51"/>
    </row>
    <row r="9">
      <c r="A9" s="51" t="str">
        <f>IFERROR(__xludf.DUMMYFUNCTION("""COMPUTED_VALUE"""),"Advancing privacy for users at Google and across the industry")</f>
        <v>Advancing privacy for users at Google and across the industry</v>
      </c>
      <c r="B9" s="51" t="str">
        <f>IFERROR(__xludf.DUMMYFUNCTION("""COMPUTED_VALUE"""),"FullSTK")</f>
        <v>FullSTK</v>
      </c>
      <c r="C9" s="56" t="str">
        <f>IFERROR(__xludf.DUMMYFUNCTION("""COMPUTED_VALUE"""),"Stephan Micklitz")</f>
        <v>Stephan Micklitz</v>
      </c>
      <c r="D9" s="51" t="str">
        <f>IFERROR(__xludf.DUMMYFUNCTION("""COMPUTED_VALUE"""),"2019/11/07 13:15:00")</f>
        <v>2019/11/07 13:15:00</v>
      </c>
      <c r="E9" s="51" t="str">
        <f>IFERROR(__xludf.DUMMYFUNCTION("""COMPUTED_VALUE"""),"2019/11/07 13:35:00")</f>
        <v>2019/11/07 13:35:00</v>
      </c>
      <c r="F9" s="51" t="str">
        <f>IFERROR(__xludf.DUMMYFUNCTION("""COMPUTED_VALUE"""),"e528c4a9-0d87-4472-b5c2-3de9c887a823")</f>
        <v>e528c4a9-0d87-4472-b5c2-3de9c887a823</v>
      </c>
      <c r="G9" s="58">
        <f>IFERROR(__xludf.DUMMYFUNCTION("""COMPUTED_VALUE"""),43776.0)</f>
        <v>43776</v>
      </c>
      <c r="H9" s="60">
        <f>IFERROR(__xludf.DUMMYFUNCTION("""COMPUTED_VALUE"""),0.5520833333333334)</f>
        <v>0.5520833333</v>
      </c>
      <c r="I9" s="58">
        <f>IFERROR(__xludf.DUMMYFUNCTION("""COMPUTED_VALUE"""),43776.0)</f>
        <v>43776</v>
      </c>
      <c r="J9" s="60">
        <f>IFERROR(__xludf.DUMMYFUNCTION("""COMPUTED_VALUE"""),0.5659722222222222)</f>
        <v>0.5659722222</v>
      </c>
      <c r="K9" s="60">
        <f t="shared" si="1"/>
        <v>0.01388888889</v>
      </c>
      <c r="L9" s="51" t="s">
        <v>111</v>
      </c>
      <c r="M9" s="62" t="s">
        <v>373</v>
      </c>
      <c r="N9" s="75" t="str">
        <f t="shared" si="2"/>
        <v>FK_4_8_e528c4a9-0d87-4472-b5c2-3de9c887a823_000000_000000.mp4</v>
      </c>
      <c r="O9" s="50"/>
      <c r="P9" s="50"/>
      <c r="Q9" s="63"/>
      <c r="R9" s="51"/>
      <c r="S9" s="51"/>
      <c r="T9" s="51"/>
    </row>
    <row r="10">
      <c r="A10" s="51" t="str">
        <f>IFERROR(__xludf.DUMMYFUNCTION("""COMPUTED_VALUE"""),"Lunch break")</f>
        <v>Lunch break</v>
      </c>
      <c r="B10" s="51" t="str">
        <f>IFERROR(__xludf.DUMMYFUNCTION("""COMPUTED_VALUE"""),"FullSTK")</f>
        <v>FullSTK</v>
      </c>
      <c r="C10" s="56" t="str">
        <f>IFERROR(__xludf.DUMMYFUNCTION("""COMPUTED_VALUE"""),"")</f>
        <v/>
      </c>
      <c r="D10" s="51" t="str">
        <f>IFERROR(__xludf.DUMMYFUNCTION("""COMPUTED_VALUE"""),"2019/11/07 13:35:00")</f>
        <v>2019/11/07 13:35:00</v>
      </c>
      <c r="E10" s="51" t="str">
        <f>IFERROR(__xludf.DUMMYFUNCTION("""COMPUTED_VALUE"""),"2019/11/07 14:10:00")</f>
        <v>2019/11/07 14:10:00</v>
      </c>
      <c r="F10" s="51" t="str">
        <f>IFERROR(__xludf.DUMMYFUNCTION("""COMPUTED_VALUE"""),"d426f130-7278-4386-b397-d10322a138b8")</f>
        <v>d426f130-7278-4386-b397-d10322a138b8</v>
      </c>
      <c r="G10" s="58">
        <f>IFERROR(__xludf.DUMMYFUNCTION("""COMPUTED_VALUE"""),43776.0)</f>
        <v>43776</v>
      </c>
      <c r="H10" s="60">
        <f>IFERROR(__xludf.DUMMYFUNCTION("""COMPUTED_VALUE"""),0.5659722222222222)</f>
        <v>0.5659722222</v>
      </c>
      <c r="I10" s="58">
        <f>IFERROR(__xludf.DUMMYFUNCTION("""COMPUTED_VALUE"""),43776.0)</f>
        <v>43776</v>
      </c>
      <c r="J10" s="60">
        <f>IFERROR(__xludf.DUMMYFUNCTION("""COMPUTED_VALUE"""),0.5902777777777778)</f>
        <v>0.5902777778</v>
      </c>
      <c r="K10" s="60">
        <f t="shared" si="1"/>
        <v>0.02430555556</v>
      </c>
      <c r="L10" s="51" t="s">
        <v>147</v>
      </c>
      <c r="M10" s="51"/>
      <c r="N10" s="75" t="str">
        <f t="shared" si="2"/>
        <v>_d426f130-7278-4386-b397-d10322a138b8_000000_000000.mp4</v>
      </c>
      <c r="O10" s="50"/>
      <c r="P10" s="50"/>
      <c r="Q10" s="63"/>
      <c r="R10" s="51"/>
      <c r="S10" s="51"/>
      <c r="T10" s="51"/>
    </row>
    <row r="11">
      <c r="A11" s="51" t="str">
        <f>IFERROR(__xludf.DUMMYFUNCTION("""COMPUTED_VALUE"""),"Opening remarks")</f>
        <v>Opening remarks</v>
      </c>
      <c r="B11" s="51" t="str">
        <f>IFERROR(__xludf.DUMMYFUNCTION("""COMPUTED_VALUE"""),"FullSTK")</f>
        <v>FullSTK</v>
      </c>
      <c r="C11" s="56" t="str">
        <f>IFERROR(__xludf.DUMMYFUNCTION("""COMPUTED_VALUE"""),"Yamilette Cano")</f>
        <v>Yamilette Cano</v>
      </c>
      <c r="D11" s="51" t="str">
        <f>IFERROR(__xludf.DUMMYFUNCTION("""COMPUTED_VALUE"""),"2019/11/07 14:10:00")</f>
        <v>2019/11/07 14:10:00</v>
      </c>
      <c r="E11" s="51" t="str">
        <f>IFERROR(__xludf.DUMMYFUNCTION("""COMPUTED_VALUE"""),"2019/11/07 14:15:00")</f>
        <v>2019/11/07 14:15:00</v>
      </c>
      <c r="F11" s="51" t="str">
        <f>IFERROR(__xludf.DUMMYFUNCTION("""COMPUTED_VALUE"""),"d518dd8a-9c20-4f6f-822d-9e4126cee693")</f>
        <v>d518dd8a-9c20-4f6f-822d-9e4126cee693</v>
      </c>
      <c r="G11" s="58">
        <f>IFERROR(__xludf.DUMMYFUNCTION("""COMPUTED_VALUE"""),43776.0)</f>
        <v>43776</v>
      </c>
      <c r="H11" s="60">
        <f>IFERROR(__xludf.DUMMYFUNCTION("""COMPUTED_VALUE"""),0.5902777777777778)</f>
        <v>0.5902777778</v>
      </c>
      <c r="I11" s="58">
        <f>IFERROR(__xludf.DUMMYFUNCTION("""COMPUTED_VALUE"""),43776.0)</f>
        <v>43776</v>
      </c>
      <c r="J11" s="60">
        <f>IFERROR(__xludf.DUMMYFUNCTION("""COMPUTED_VALUE"""),0.59375)</f>
        <v>0.59375</v>
      </c>
      <c r="K11" s="60">
        <f t="shared" si="1"/>
        <v>0.003472222222</v>
      </c>
      <c r="L11" s="51" t="s">
        <v>234</v>
      </c>
      <c r="M11" s="62" t="s">
        <v>374</v>
      </c>
      <c r="N11" s="75" t="str">
        <f t="shared" si="2"/>
        <v>FK_4_9_d518dd8a-9c20-4f6f-822d-9e4126cee693_000000_000000.mp4</v>
      </c>
      <c r="O11" s="50"/>
      <c r="P11" s="50"/>
      <c r="Q11" s="63"/>
      <c r="R11" s="51"/>
      <c r="S11" s="51"/>
      <c r="T11" s="51"/>
    </row>
    <row r="12">
      <c r="A12" s="51" t="str">
        <f>IFERROR(__xludf.DUMMYFUNCTION("""COMPUTED_VALUE"""),"Riding a quantum computing wave ")</f>
        <v>Riding a quantum computing wave </v>
      </c>
      <c r="B12" s="51" t="str">
        <f>IFERROR(__xludf.DUMMYFUNCTION("""COMPUTED_VALUE"""),"FullSTK")</f>
        <v>FullSTK</v>
      </c>
      <c r="C12" s="56" t="str">
        <f>IFERROR(__xludf.DUMMYFUNCTION("""COMPUTED_VALUE"""),"Vern Brownell")</f>
        <v>Vern Brownell</v>
      </c>
      <c r="D12" s="51" t="str">
        <f>IFERROR(__xludf.DUMMYFUNCTION("""COMPUTED_VALUE"""),"2019/11/07 14:15:00")</f>
        <v>2019/11/07 14:15:00</v>
      </c>
      <c r="E12" s="51" t="str">
        <f>IFERROR(__xludf.DUMMYFUNCTION("""COMPUTED_VALUE"""),"2019/11/07 14:35:00")</f>
        <v>2019/11/07 14:35:00</v>
      </c>
      <c r="F12" s="51" t="str">
        <f>IFERROR(__xludf.DUMMYFUNCTION("""COMPUTED_VALUE"""),"24efa3bb-38f7-4748-9be0-4c8bc3ac0fe2")</f>
        <v>24efa3bb-38f7-4748-9be0-4c8bc3ac0fe2</v>
      </c>
      <c r="G12" s="58">
        <f>IFERROR(__xludf.DUMMYFUNCTION("""COMPUTED_VALUE"""),43776.0)</f>
        <v>43776</v>
      </c>
      <c r="H12" s="60">
        <f>IFERROR(__xludf.DUMMYFUNCTION("""COMPUTED_VALUE"""),0.59375)</f>
        <v>0.59375</v>
      </c>
      <c r="I12" s="58">
        <f>IFERROR(__xludf.DUMMYFUNCTION("""COMPUTED_VALUE"""),43776.0)</f>
        <v>43776</v>
      </c>
      <c r="J12" s="60">
        <f>IFERROR(__xludf.DUMMYFUNCTION("""COMPUTED_VALUE"""),0.6076388888888888)</f>
        <v>0.6076388889</v>
      </c>
      <c r="K12" s="60">
        <f t="shared" si="1"/>
        <v>0.01388888889</v>
      </c>
      <c r="L12" s="51" t="s">
        <v>111</v>
      </c>
      <c r="M12" s="62" t="s">
        <v>375</v>
      </c>
      <c r="N12" s="75" t="str">
        <f t="shared" si="2"/>
        <v>FK_4_10_24efa3bb-38f7-4748-9be0-4c8bc3ac0fe2_000000_000000.mp4</v>
      </c>
      <c r="O12" s="50"/>
      <c r="P12" s="50"/>
      <c r="Q12" s="63"/>
      <c r="R12" s="51"/>
      <c r="S12" s="51"/>
      <c r="T12" s="51"/>
    </row>
    <row r="13">
      <c r="A13" s="51" t="str">
        <f>IFERROR(__xludf.DUMMYFUNCTION("""COMPUTED_VALUE"""),"Living on the edge: The future of edge computing")</f>
        <v>Living on the edge: The future of edge computing</v>
      </c>
      <c r="B13" s="51" t="str">
        <f>IFERROR(__xludf.DUMMYFUNCTION("""COMPUTED_VALUE"""),"FullSTK")</f>
        <v>FullSTK</v>
      </c>
      <c r="C13" s="56" t="str">
        <f>IFERROR(__xludf.DUMMYFUNCTION("""COMPUTED_VALUE"""),"Tyler McMullen")</f>
        <v>Tyler McMullen</v>
      </c>
      <c r="D13" s="51" t="str">
        <f>IFERROR(__xludf.DUMMYFUNCTION("""COMPUTED_VALUE"""),"2019/11/07 14:35:00")</f>
        <v>2019/11/07 14:35:00</v>
      </c>
      <c r="E13" s="51" t="str">
        <f>IFERROR(__xludf.DUMMYFUNCTION("""COMPUTED_VALUE"""),"2019/11/07 14:55:00")</f>
        <v>2019/11/07 14:55:00</v>
      </c>
      <c r="F13" s="51" t="str">
        <f>IFERROR(__xludf.DUMMYFUNCTION("""COMPUTED_VALUE"""),"cc0447cd-c4ca-437d-bfa3-7c2eddc63cd7")</f>
        <v>cc0447cd-c4ca-437d-bfa3-7c2eddc63cd7</v>
      </c>
      <c r="G13" s="58">
        <f>IFERROR(__xludf.DUMMYFUNCTION("""COMPUTED_VALUE"""),43776.0)</f>
        <v>43776</v>
      </c>
      <c r="H13" s="60">
        <f>IFERROR(__xludf.DUMMYFUNCTION("""COMPUTED_VALUE"""),0.6076388888888888)</f>
        <v>0.6076388889</v>
      </c>
      <c r="I13" s="58">
        <f>IFERROR(__xludf.DUMMYFUNCTION("""COMPUTED_VALUE"""),43776.0)</f>
        <v>43776</v>
      </c>
      <c r="J13" s="60">
        <f>IFERROR(__xludf.DUMMYFUNCTION("""COMPUTED_VALUE"""),0.6215277777777778)</f>
        <v>0.6215277778</v>
      </c>
      <c r="K13" s="60">
        <f t="shared" si="1"/>
        <v>0.01388888889</v>
      </c>
      <c r="L13" s="51" t="s">
        <v>111</v>
      </c>
      <c r="M13" s="62" t="s">
        <v>376</v>
      </c>
      <c r="N13" s="75" t="str">
        <f t="shared" si="2"/>
        <v>FK_4_11_cc0447cd-c4ca-437d-bfa3-7c2eddc63cd7_000000_000000.mp4</v>
      </c>
      <c r="O13" s="50"/>
      <c r="P13" s="50"/>
      <c r="Q13" s="63"/>
      <c r="R13" s="51"/>
      <c r="S13" s="51"/>
      <c r="T13" s="51"/>
    </row>
    <row r="14">
      <c r="A14" s="51" t="str">
        <f>IFERROR(__xludf.DUMMYFUNCTION("""COMPUTED_VALUE"""),"The life and times of a modern CTO")</f>
        <v>The life and times of a modern CTO</v>
      </c>
      <c r="B14" s="51" t="str">
        <f>IFERROR(__xludf.DUMMYFUNCTION("""COMPUTED_VALUE"""),"FullSTK")</f>
        <v>FullSTK</v>
      </c>
      <c r="C14" s="56" t="str">
        <f>IFERROR(__xludf.DUMMYFUNCTION("""COMPUTED_VALUE"""),"Ilan Twig, Alan Boehme, Christine Spang, Calvin French-Owen and Julie Bort")</f>
        <v>Ilan Twig, Alan Boehme, Christine Spang, Calvin French-Owen and Julie Bort</v>
      </c>
      <c r="D14" s="51" t="str">
        <f>IFERROR(__xludf.DUMMYFUNCTION("""COMPUTED_VALUE"""),"2019/11/07 14:55:00")</f>
        <v>2019/11/07 14:55:00</v>
      </c>
      <c r="E14" s="51" t="str">
        <f>IFERROR(__xludf.DUMMYFUNCTION("""COMPUTED_VALUE"""),"2019/11/07 15:20:00")</f>
        <v>2019/11/07 15:20:00</v>
      </c>
      <c r="F14" s="51" t="str">
        <f>IFERROR(__xludf.DUMMYFUNCTION("""COMPUTED_VALUE"""),"e1646f75-7c16-472d-a930-3b956b842308")</f>
        <v>e1646f75-7c16-472d-a930-3b956b842308</v>
      </c>
      <c r="G14" s="58">
        <f>IFERROR(__xludf.DUMMYFUNCTION("""COMPUTED_VALUE"""),43776.0)</f>
        <v>43776</v>
      </c>
      <c r="H14" s="60">
        <f>IFERROR(__xludf.DUMMYFUNCTION("""COMPUTED_VALUE"""),0.6215277777777778)</f>
        <v>0.6215277778</v>
      </c>
      <c r="I14" s="58">
        <f>IFERROR(__xludf.DUMMYFUNCTION("""COMPUTED_VALUE"""),43776.0)</f>
        <v>43776</v>
      </c>
      <c r="J14" s="60">
        <f>IFERROR(__xludf.DUMMYFUNCTION("""COMPUTED_VALUE"""),0.6388888888888888)</f>
        <v>0.6388888889</v>
      </c>
      <c r="K14" s="60">
        <f t="shared" si="1"/>
        <v>0.01736111111</v>
      </c>
      <c r="L14" s="51" t="s">
        <v>107</v>
      </c>
      <c r="M14" s="62" t="s">
        <v>377</v>
      </c>
      <c r="N14" s="75" t="str">
        <f t="shared" si="2"/>
        <v>FK_4_12_e1646f75-7c16-472d-a930-3b956b842308_000000_000000.mp4</v>
      </c>
      <c r="O14" s="50"/>
      <c r="P14" s="50"/>
      <c r="Q14" s="63"/>
      <c r="R14" s="51"/>
      <c r="S14" s="51"/>
      <c r="T14" s="51"/>
    </row>
    <row r="15">
      <c r="A15" s="51" t="str">
        <f>IFERROR(__xludf.DUMMYFUNCTION("""COMPUTED_VALUE"""),"Is DevOps still relevant in a cloud-native world? ")</f>
        <v>Is DevOps still relevant in a cloud-native world? </v>
      </c>
      <c r="B15" s="51" t="str">
        <f>IFERROR(__xludf.DUMMYFUNCTION("""COMPUTED_VALUE"""),"FullSTK")</f>
        <v>FullSTK</v>
      </c>
      <c r="C15" s="56" t="str">
        <f>IFERROR(__xludf.DUMMYFUNCTION("""COMPUTED_VALUE"""),"Andi Mann, Rebecca Parsons and Paul Dolan")</f>
        <v>Andi Mann, Rebecca Parsons and Paul Dolan</v>
      </c>
      <c r="D15" s="51" t="str">
        <f>IFERROR(__xludf.DUMMYFUNCTION("""COMPUTED_VALUE"""),"2019/11/07 15:20:00")</f>
        <v>2019/11/07 15:20:00</v>
      </c>
      <c r="E15" s="51" t="str">
        <f>IFERROR(__xludf.DUMMYFUNCTION("""COMPUTED_VALUE"""),"2019/11/07 15:40:00")</f>
        <v>2019/11/07 15:40:00</v>
      </c>
      <c r="F15" s="51" t="str">
        <f>IFERROR(__xludf.DUMMYFUNCTION("""COMPUTED_VALUE"""),"4042891e-6fb6-410c-bf2f-62bcbcf561a1")</f>
        <v>4042891e-6fb6-410c-bf2f-62bcbcf561a1</v>
      </c>
      <c r="G15" s="58">
        <f>IFERROR(__xludf.DUMMYFUNCTION("""COMPUTED_VALUE"""),43776.0)</f>
        <v>43776</v>
      </c>
      <c r="H15" s="60">
        <f>IFERROR(__xludf.DUMMYFUNCTION("""COMPUTED_VALUE"""),0.6388888888888888)</f>
        <v>0.6388888889</v>
      </c>
      <c r="I15" s="58">
        <f>IFERROR(__xludf.DUMMYFUNCTION("""COMPUTED_VALUE"""),43776.0)</f>
        <v>43776</v>
      </c>
      <c r="J15" s="60">
        <f>IFERROR(__xludf.DUMMYFUNCTION("""COMPUTED_VALUE"""),0.6527777777777778)</f>
        <v>0.6527777778</v>
      </c>
      <c r="K15" s="60">
        <f t="shared" si="1"/>
        <v>0.01388888889</v>
      </c>
      <c r="L15" s="51" t="s">
        <v>111</v>
      </c>
      <c r="M15" s="62" t="s">
        <v>378</v>
      </c>
      <c r="N15" s="75" t="str">
        <f t="shared" si="2"/>
        <v>FK_4_13_4042891e-6fb6-410c-bf2f-62bcbcf561a1_000000_000000.mp4</v>
      </c>
      <c r="O15" s="50"/>
      <c r="P15" s="50"/>
      <c r="Q15" s="63"/>
      <c r="R15" s="51"/>
      <c r="S15" s="51"/>
      <c r="T15" s="51"/>
    </row>
    <row r="16">
      <c r="A16" s="51" t="str">
        <f>IFERROR(__xludf.DUMMYFUNCTION("""COMPUTED_VALUE"""),"The internet computer: Reinvent the internet using superpowered software")</f>
        <v>The internet computer: Reinvent the internet using superpowered software</v>
      </c>
      <c r="B16" s="51" t="str">
        <f>IFERROR(__xludf.DUMMYFUNCTION("""COMPUTED_VALUE"""),"FullSTK")</f>
        <v>FullSTK</v>
      </c>
      <c r="C16" s="56" t="str">
        <f>IFERROR(__xludf.DUMMYFUNCTION("""COMPUTED_VALUE"""),"Dominic Williams")</f>
        <v>Dominic Williams</v>
      </c>
      <c r="D16" s="51" t="str">
        <f>IFERROR(__xludf.DUMMYFUNCTION("""COMPUTED_VALUE"""),"2019/11/07 15:40:00")</f>
        <v>2019/11/07 15:40:00</v>
      </c>
      <c r="E16" s="51" t="str">
        <f>IFERROR(__xludf.DUMMYFUNCTION("""COMPUTED_VALUE"""),"2019/11/07 16:00:00")</f>
        <v>2019/11/07 16:00:00</v>
      </c>
      <c r="F16" s="51" t="str">
        <f>IFERROR(__xludf.DUMMYFUNCTION("""COMPUTED_VALUE"""),"9eb19daa-07f8-4c88-a5e9-38dda5e8b53d")</f>
        <v>9eb19daa-07f8-4c88-a5e9-38dda5e8b53d</v>
      </c>
      <c r="G16" s="58">
        <f>IFERROR(__xludf.DUMMYFUNCTION("""COMPUTED_VALUE"""),43776.0)</f>
        <v>43776</v>
      </c>
      <c r="H16" s="60">
        <f>IFERROR(__xludf.DUMMYFUNCTION("""COMPUTED_VALUE"""),0.6527777777777778)</f>
        <v>0.6527777778</v>
      </c>
      <c r="I16" s="58">
        <f>IFERROR(__xludf.DUMMYFUNCTION("""COMPUTED_VALUE"""),43776.0)</f>
        <v>43776</v>
      </c>
      <c r="J16" s="60">
        <f>IFERROR(__xludf.DUMMYFUNCTION("""COMPUTED_VALUE"""),0.6666666666666666)</f>
        <v>0.6666666667</v>
      </c>
      <c r="K16" s="60">
        <f t="shared" si="1"/>
        <v>0.01388888889</v>
      </c>
      <c r="L16" s="51" t="s">
        <v>111</v>
      </c>
      <c r="M16" s="62" t="s">
        <v>379</v>
      </c>
      <c r="N16" s="75" t="str">
        <f t="shared" si="2"/>
        <v>FK_4_14_9eb19daa-07f8-4c88-a5e9-38dda5e8b53d_000000_000000.mp4</v>
      </c>
      <c r="O16" s="50"/>
      <c r="P16" s="50"/>
      <c r="Q16" s="63"/>
      <c r="R16" s="51"/>
      <c r="S16" s="51"/>
      <c r="T16" s="51"/>
    </row>
    <row r="17">
      <c r="A17" s="51"/>
      <c r="B17" s="51"/>
      <c r="C17" s="56"/>
      <c r="D17" s="51"/>
      <c r="E17" s="51"/>
      <c r="F17" s="51"/>
      <c r="G17" s="51" t="str">
        <f>IFERROR(__xludf.DUMMYFUNCTION("""COMPUTED_VALUE"""),"#VALUE!")</f>
        <v>#VALUE!</v>
      </c>
      <c r="H17" s="51" t="str">
        <f>IFERROR(__xludf.DUMMYFUNCTION("""COMPUTED_VALUE"""),"")</f>
        <v/>
      </c>
      <c r="I17" s="51" t="str">
        <f>IFERROR(__xludf.DUMMYFUNCTION("""COMPUTED_VALUE"""),"#VALUE!")</f>
        <v>#VALUE!</v>
      </c>
      <c r="J17" s="51" t="str">
        <f>IFERROR(__xludf.DUMMYFUNCTION("""COMPUTED_VALUE"""),"")</f>
        <v/>
      </c>
      <c r="K17" s="51">
        <f t="shared" si="1"/>
        <v>0</v>
      </c>
      <c r="L17" s="51" t="s">
        <v>257</v>
      </c>
      <c r="M17" s="51"/>
      <c r="N17" s="51"/>
      <c r="O17" s="50"/>
      <c r="P17" s="50"/>
      <c r="Q17" s="63"/>
      <c r="R17" s="51"/>
      <c r="S17" s="51"/>
      <c r="T17" s="51"/>
    </row>
  </sheetData>
  <conditionalFormatting sqref="O2:O17">
    <cfRule type="containsText" dxfId="4" priority="1" operator="containsText" text="YES">
      <formula>NOT(ISERROR(SEARCH(("YES"),(O2))))</formula>
    </cfRule>
  </conditionalFormatting>
  <conditionalFormatting sqref="O2:O17">
    <cfRule type="cellIs" dxfId="5" priority="2" operator="equal">
      <formula>"NO"</formula>
    </cfRule>
  </conditionalFormatting>
  <conditionalFormatting sqref="P2:P17">
    <cfRule type="cellIs" dxfId="4" priority="3" operator="equal">
      <formula>"AVAILABLE"</formula>
    </cfRule>
  </conditionalFormatting>
  <conditionalFormatting sqref="P2:P17">
    <cfRule type="cellIs" dxfId="5" priority="4" operator="equal">
      <formula>"NOT AVAILABLE"</formula>
    </cfRule>
  </conditionalFormatting>
  <conditionalFormatting sqref="Q2:Q17">
    <cfRule type="cellIs" dxfId="4" priority="5" operator="equal">
      <formula>"AVAILABLE"</formula>
    </cfRule>
  </conditionalFormatting>
  <conditionalFormatting sqref="Q2:Q17">
    <cfRule type="cellIs" dxfId="6" priority="6" operator="equal">
      <formula>"UPLOADING"</formula>
    </cfRule>
  </conditionalFormatting>
  <conditionalFormatting sqref="Q2:Q17">
    <cfRule type="cellIs" dxfId="5" priority="7" operator="equal">
      <formula>"NOT AVAILABLE"</formula>
    </cfRule>
  </conditionalFormatting>
  <dataValidations>
    <dataValidation type="list" allowBlank="1" sqref="O2:O17">
      <formula1>"YES,NO"</formula1>
    </dataValidation>
    <dataValidation type="list" allowBlank="1" sqref="P2:P17">
      <formula1>"AVAILABLE,NOT AVAILABLE"</formula1>
    </dataValidation>
    <dataValidation type="list" allowBlank="1" sqref="Q2:Q17">
      <formula1>"AVAILABLE,UPLOADING,NOT AVAILABLE"</formula1>
    </dataValidation>
  </dataValidations>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3.86"/>
    <col customWidth="1" min="3" max="3" width="19.29"/>
    <col hidden="1" min="4" max="5" width="14.43"/>
    <col customWidth="1" min="6" max="6" width="39.86"/>
    <col hidden="1" min="9" max="9" width="14.43"/>
  </cols>
  <sheetData>
    <row r="1">
      <c r="A1" s="46" t="s">
        <v>79</v>
      </c>
      <c r="B1" s="46" t="s">
        <v>80</v>
      </c>
      <c r="C1" s="48" t="s">
        <v>81</v>
      </c>
      <c r="D1" s="46" t="s">
        <v>82</v>
      </c>
      <c r="E1" s="46" t="s">
        <v>83</v>
      </c>
      <c r="F1" s="46" t="s">
        <v>84</v>
      </c>
      <c r="G1" s="46" t="s">
        <v>85</v>
      </c>
      <c r="H1" s="46" t="s">
        <v>86</v>
      </c>
      <c r="I1" s="46" t="s">
        <v>87</v>
      </c>
      <c r="J1" s="46" t="s">
        <v>88</v>
      </c>
      <c r="K1" s="46" t="s">
        <v>89</v>
      </c>
      <c r="L1" s="46" t="s">
        <v>90</v>
      </c>
      <c r="M1" s="46" t="s">
        <v>91</v>
      </c>
      <c r="N1" s="46" t="s">
        <v>92</v>
      </c>
      <c r="O1" s="50" t="s">
        <v>93</v>
      </c>
      <c r="P1" s="50" t="s">
        <v>94</v>
      </c>
      <c r="Q1" s="50" t="s">
        <v>95</v>
      </c>
      <c r="R1" s="51"/>
      <c r="S1" s="51"/>
      <c r="T1" s="51"/>
    </row>
    <row r="2">
      <c r="A2" s="54" t="str">
        <f>IFERROR(__xludf.DUMMYFUNCTION("QUERY(Master!A:H,""SELECT A,C,D,F,G,H where C = 'Future Societies' ORDER BY F"")"),"Opening remarks")</f>
        <v>Opening remarks</v>
      </c>
      <c r="B2" s="51" t="str">
        <f>IFERROR(__xludf.DUMMYFUNCTION("""COMPUTED_VALUE"""),"Future Societies")</f>
        <v>Future Societies</v>
      </c>
      <c r="C2" s="56" t="str">
        <f>IFERROR(__xludf.DUMMYFUNCTION("""COMPUTED_VALUE"""),"Casper Klynge")</f>
        <v>Casper Klynge</v>
      </c>
      <c r="D2" s="51" t="str">
        <f>IFERROR(__xludf.DUMMYFUNCTION("""COMPUTED_VALUE"""),"2019/11/05 10:10:00")</f>
        <v>2019/11/05 10:10:00</v>
      </c>
      <c r="E2" s="51" t="str">
        <f>IFERROR(__xludf.DUMMYFUNCTION("""COMPUTED_VALUE"""),"2019/11/05 10:20:00")</f>
        <v>2019/11/05 10:20:00</v>
      </c>
      <c r="F2" s="51" t="str">
        <f>IFERROR(__xludf.DUMMYFUNCTION("""COMPUTED_VALUE"""),"812f199f-9fc9-4214-9191-5e4a8a78d4df")</f>
        <v>812f199f-9fc9-4214-9191-5e4a8a78d4df</v>
      </c>
      <c r="G2" s="61">
        <f>IFERROR(__xludf.DUMMYFUNCTION("ARRAYFORMULA(SPLIT(D2:D569,"" ""))"),43774.0)</f>
        <v>43774</v>
      </c>
      <c r="H2" s="60">
        <f>IFERROR(__xludf.DUMMYFUNCTION("""COMPUTED_VALUE"""),0.4236111111111111)</f>
        <v>0.4236111111</v>
      </c>
      <c r="I2" s="61">
        <f>IFERROR(__xludf.DUMMYFUNCTION("ARRAYFORMULA(SPLIT(E2:E569,"" ""))"),43774.0)</f>
        <v>43774</v>
      </c>
      <c r="J2" s="60">
        <f>IFERROR(__xludf.DUMMYFUNCTION("""COMPUTED_VALUE"""),0.4305555555555556)</f>
        <v>0.4305555556</v>
      </c>
      <c r="K2" s="60">
        <f t="shared" ref="K2:K68" si="1">J2-H2</f>
        <v>0.006944444444</v>
      </c>
      <c r="L2" s="54" t="str">
        <f t="array" ref="L2:L569">TEXT(K2:K569,"hhmmss")</f>
        <v>001000</v>
      </c>
      <c r="M2" s="62" t="s">
        <v>380</v>
      </c>
      <c r="N2" s="75" t="str">
        <f t="shared" ref="N2:N52" si="2">CONCATENATE(M2,"_",F2,"_","000000_000000.mp4")</f>
        <v>FS_5_1_812f199f-9fc9-4214-9191-5e4a8a78d4df_000000_000000.mp4</v>
      </c>
      <c r="O2" s="50"/>
      <c r="P2" s="50"/>
      <c r="Q2" s="63"/>
      <c r="R2" s="51"/>
      <c r="S2" s="51"/>
      <c r="T2" s="51"/>
    </row>
    <row r="3">
      <c r="A3" s="51" t="str">
        <f>IFERROR(__xludf.DUMMYFUNCTION("""COMPUTED_VALUE"""),"The future of human existence: Proximity, productivity and the pursuit of happiness")</f>
        <v>The future of human existence: Proximity, productivity and the pursuit of happiness</v>
      </c>
      <c r="B3" s="51" t="str">
        <f>IFERROR(__xludf.DUMMYFUNCTION("""COMPUTED_VALUE"""),"Future Societies")</f>
        <v>Future Societies</v>
      </c>
      <c r="C3" s="56" t="str">
        <f>IFERROR(__xludf.DUMMYFUNCTION("""COMPUTED_VALUE"""),"Marcus Weldon")</f>
        <v>Marcus Weldon</v>
      </c>
      <c r="D3" s="51" t="str">
        <f>IFERROR(__xludf.DUMMYFUNCTION("""COMPUTED_VALUE"""),"2019/11/05 10:20:00")</f>
        <v>2019/11/05 10:20:00</v>
      </c>
      <c r="E3" s="51" t="str">
        <f>IFERROR(__xludf.DUMMYFUNCTION("""COMPUTED_VALUE"""),"2019/11/05 10:45:00")</f>
        <v>2019/11/05 10:45:00</v>
      </c>
      <c r="F3" s="51" t="str">
        <f>IFERROR(__xludf.DUMMYFUNCTION("""COMPUTED_VALUE"""),"9c19b48a-35b6-4a36-967d-67127fe4da6c")</f>
        <v>9c19b48a-35b6-4a36-967d-67127fe4da6c</v>
      </c>
      <c r="G3" s="58">
        <f>IFERROR(__xludf.DUMMYFUNCTION("""COMPUTED_VALUE"""),43774.0)</f>
        <v>43774</v>
      </c>
      <c r="H3" s="60">
        <f>IFERROR(__xludf.DUMMYFUNCTION("""COMPUTED_VALUE"""),0.4305555555555556)</f>
        <v>0.4305555556</v>
      </c>
      <c r="I3" s="58">
        <f>IFERROR(__xludf.DUMMYFUNCTION("""COMPUTED_VALUE"""),43774.0)</f>
        <v>43774</v>
      </c>
      <c r="J3" s="60">
        <f>IFERROR(__xludf.DUMMYFUNCTION("""COMPUTED_VALUE"""),0.4479166666666667)</f>
        <v>0.4479166667</v>
      </c>
      <c r="K3" s="60">
        <f t="shared" si="1"/>
        <v>0.01736111111</v>
      </c>
      <c r="L3" s="51" t="s">
        <v>107</v>
      </c>
      <c r="M3" s="62" t="s">
        <v>381</v>
      </c>
      <c r="N3" s="75" t="str">
        <f t="shared" si="2"/>
        <v>FS_5_2_9c19b48a-35b6-4a36-967d-67127fe4da6c_000000_000000.mp4</v>
      </c>
      <c r="O3" s="50"/>
      <c r="P3" s="50"/>
      <c r="Q3" s="63"/>
      <c r="R3" s="51"/>
      <c r="S3" s="51"/>
      <c r="T3" s="51"/>
    </row>
    <row r="4">
      <c r="A4" s="51" t="str">
        <f>IFERROR(__xludf.DUMMYFUNCTION("""COMPUTED_VALUE"""),"Is Britain better out of Europe?")</f>
        <v>Is Britain better out of Europe?</v>
      </c>
      <c r="B4" s="51" t="str">
        <f>IFERROR(__xludf.DUMMYFUNCTION("""COMPUTED_VALUE"""),"Future Societies")</f>
        <v>Future Societies</v>
      </c>
      <c r="C4" s="56" t="str">
        <f>IFERROR(__xludf.DUMMYFUNCTION("""COMPUTED_VALUE"""),"Alex Deane, James Ball and Donie O'Sullivan")</f>
        <v>Alex Deane, James Ball and Donie O'Sullivan</v>
      </c>
      <c r="D4" s="51" t="str">
        <f>IFERROR(__xludf.DUMMYFUNCTION("""COMPUTED_VALUE"""),"2019/11/05 10:45:00")</f>
        <v>2019/11/05 10:45:00</v>
      </c>
      <c r="E4" s="51" t="str">
        <f>IFERROR(__xludf.DUMMYFUNCTION("""COMPUTED_VALUE"""),"2019/11/05 11:10:00")</f>
        <v>2019/11/05 11:10:00</v>
      </c>
      <c r="F4" s="51" t="str">
        <f>IFERROR(__xludf.DUMMYFUNCTION("""COMPUTED_VALUE"""),"bb0a318b-4e65-4f17-b2b5-06c616776ad9")</f>
        <v>bb0a318b-4e65-4f17-b2b5-06c616776ad9</v>
      </c>
      <c r="G4" s="58">
        <f>IFERROR(__xludf.DUMMYFUNCTION("""COMPUTED_VALUE"""),43774.0)</f>
        <v>43774</v>
      </c>
      <c r="H4" s="60">
        <f>IFERROR(__xludf.DUMMYFUNCTION("""COMPUTED_VALUE"""),0.4479166666666667)</f>
        <v>0.4479166667</v>
      </c>
      <c r="I4" s="58">
        <f>IFERROR(__xludf.DUMMYFUNCTION("""COMPUTED_VALUE"""),43774.0)</f>
        <v>43774</v>
      </c>
      <c r="J4" s="60">
        <f>IFERROR(__xludf.DUMMYFUNCTION("""COMPUTED_VALUE"""),0.4652777777777778)</f>
        <v>0.4652777778</v>
      </c>
      <c r="K4" s="60">
        <f t="shared" si="1"/>
        <v>0.01736111111</v>
      </c>
      <c r="L4" s="51" t="s">
        <v>107</v>
      </c>
      <c r="M4" s="62" t="s">
        <v>382</v>
      </c>
      <c r="N4" s="75" t="str">
        <f t="shared" si="2"/>
        <v>FS_5_3_bb0a318b-4e65-4f17-b2b5-06c616776ad9_000000_000000.mp4</v>
      </c>
      <c r="O4" s="50"/>
      <c r="P4" s="50"/>
      <c r="Q4" s="63"/>
      <c r="R4" s="51"/>
      <c r="S4" s="51"/>
      <c r="T4" s="51"/>
    </row>
    <row r="5">
      <c r="A5" s="51" t="str">
        <f>IFERROR(__xludf.DUMMYFUNCTION("""COMPUTED_VALUE"""),"The next digital dawn: Scenarios for a new world")</f>
        <v>The next digital dawn: Scenarios for a new world</v>
      </c>
      <c r="B5" s="51" t="str">
        <f>IFERROR(__xludf.DUMMYFUNCTION("""COMPUTED_VALUE"""),"Future Societies")</f>
        <v>Future Societies</v>
      </c>
      <c r="C5" s="56" t="str">
        <f>IFERROR(__xludf.DUMMYFUNCTION("""COMPUTED_VALUE"""),"Ed Daniels and Neanda Salvaterra")</f>
        <v>Ed Daniels and Neanda Salvaterra</v>
      </c>
      <c r="D5" s="51" t="str">
        <f>IFERROR(__xludf.DUMMYFUNCTION("""COMPUTED_VALUE"""),"2019/11/05 11:10:00")</f>
        <v>2019/11/05 11:10:00</v>
      </c>
      <c r="E5" s="51" t="str">
        <f>IFERROR(__xludf.DUMMYFUNCTION("""COMPUTED_VALUE"""),"2019/11/05 11:30:00")</f>
        <v>2019/11/05 11:30:00</v>
      </c>
      <c r="F5" s="51" t="str">
        <f>IFERROR(__xludf.DUMMYFUNCTION("""COMPUTED_VALUE"""),"5d79c066-d2c8-4526-b253-e8c2310d3027")</f>
        <v>5d79c066-d2c8-4526-b253-e8c2310d3027</v>
      </c>
      <c r="G5" s="58">
        <f>IFERROR(__xludf.DUMMYFUNCTION("""COMPUTED_VALUE"""),43774.0)</f>
        <v>43774</v>
      </c>
      <c r="H5" s="60">
        <f>IFERROR(__xludf.DUMMYFUNCTION("""COMPUTED_VALUE"""),0.4652777777777778)</f>
        <v>0.4652777778</v>
      </c>
      <c r="I5" s="58">
        <f>IFERROR(__xludf.DUMMYFUNCTION("""COMPUTED_VALUE"""),43774.0)</f>
        <v>43774</v>
      </c>
      <c r="J5" s="60">
        <f>IFERROR(__xludf.DUMMYFUNCTION("""COMPUTED_VALUE"""),0.4791666666666667)</f>
        <v>0.4791666667</v>
      </c>
      <c r="K5" s="60">
        <f t="shared" si="1"/>
        <v>0.01388888889</v>
      </c>
      <c r="L5" s="51" t="s">
        <v>111</v>
      </c>
      <c r="M5" s="62" t="s">
        <v>383</v>
      </c>
      <c r="N5" s="75" t="str">
        <f t="shared" si="2"/>
        <v>FS_5_4_5d79c066-d2c8-4526-b253-e8c2310d3027_000000_000000.mp4</v>
      </c>
      <c r="O5" s="50"/>
      <c r="P5" s="50"/>
      <c r="Q5" s="63"/>
      <c r="R5" s="51"/>
      <c r="S5" s="51"/>
      <c r="T5" s="51"/>
    </row>
    <row r="6">
      <c r="A6" s="51" t="str">
        <f>IFERROR(__xludf.DUMMYFUNCTION("""COMPUTED_VALUE"""),"Looking back to go forward: 50 years of the internet")</f>
        <v>Looking back to go forward: 50 years of the internet</v>
      </c>
      <c r="B6" s="51" t="str">
        <f>IFERROR(__xludf.DUMMYFUNCTION("""COMPUTED_VALUE"""),"Future Societies")</f>
        <v>Future Societies</v>
      </c>
      <c r="C6" s="56" t="str">
        <f>IFERROR(__xludf.DUMMYFUNCTION("""COMPUTED_VALUE"""),"Lee Rainie, Mitchell Baker and Mark Scott")</f>
        <v>Lee Rainie, Mitchell Baker and Mark Scott</v>
      </c>
      <c r="D6" s="51" t="str">
        <f>IFERROR(__xludf.DUMMYFUNCTION("""COMPUTED_VALUE"""),"2019/11/05 11:30:00")</f>
        <v>2019/11/05 11:30:00</v>
      </c>
      <c r="E6" s="51" t="str">
        <f>IFERROR(__xludf.DUMMYFUNCTION("""COMPUTED_VALUE"""),"2019/11/05 11:50:00")</f>
        <v>2019/11/05 11:50:00</v>
      </c>
      <c r="F6" s="51" t="str">
        <f>IFERROR(__xludf.DUMMYFUNCTION("""COMPUTED_VALUE"""),"e8c5df7f-2c89-4bf5-b1ac-e15cb188926e")</f>
        <v>e8c5df7f-2c89-4bf5-b1ac-e15cb188926e</v>
      </c>
      <c r="G6" s="58">
        <f>IFERROR(__xludf.DUMMYFUNCTION("""COMPUTED_VALUE"""),43774.0)</f>
        <v>43774</v>
      </c>
      <c r="H6" s="60">
        <f>IFERROR(__xludf.DUMMYFUNCTION("""COMPUTED_VALUE"""),0.4791666666666667)</f>
        <v>0.4791666667</v>
      </c>
      <c r="I6" s="58">
        <f>IFERROR(__xludf.DUMMYFUNCTION("""COMPUTED_VALUE"""),43774.0)</f>
        <v>43774</v>
      </c>
      <c r="J6" s="60">
        <f>IFERROR(__xludf.DUMMYFUNCTION("""COMPUTED_VALUE"""),0.4930555555555556)</f>
        <v>0.4930555556</v>
      </c>
      <c r="K6" s="60">
        <f t="shared" si="1"/>
        <v>0.01388888889</v>
      </c>
      <c r="L6" s="51" t="s">
        <v>111</v>
      </c>
      <c r="M6" s="62" t="s">
        <v>384</v>
      </c>
      <c r="N6" s="75" t="str">
        <f t="shared" si="2"/>
        <v>FS_5_5_e8c5df7f-2c89-4bf5-b1ac-e15cb188926e_000000_000000.mp4</v>
      </c>
      <c r="O6" s="50"/>
      <c r="P6" s="50"/>
      <c r="Q6" s="63"/>
      <c r="R6" s="51"/>
      <c r="S6" s="51"/>
      <c r="T6" s="51"/>
    </row>
    <row r="7">
      <c r="A7" s="51" t="str">
        <f>IFERROR(__xludf.DUMMYFUNCTION("""COMPUTED_VALUE"""),"Protecting the vulnerable: How tech can help refugees")</f>
        <v>Protecting the vulnerable: How tech can help refugees</v>
      </c>
      <c r="B7" s="51" t="str">
        <f>IFERROR(__xludf.DUMMYFUNCTION("""COMPUTED_VALUE"""),"Future Societies")</f>
        <v>Future Societies</v>
      </c>
      <c r="C7" s="56" t="str">
        <f>IFERROR(__xludf.DUMMYFUNCTION("""COMPUTED_VALUE"""),"Mike Walton, George Papandreou and Steve Clemons")</f>
        <v>Mike Walton, George Papandreou and Steve Clemons</v>
      </c>
      <c r="D7" s="51" t="str">
        <f>IFERROR(__xludf.DUMMYFUNCTION("""COMPUTED_VALUE"""),"2019/11/05 11:50:00")</f>
        <v>2019/11/05 11:50:00</v>
      </c>
      <c r="E7" s="51" t="str">
        <f>IFERROR(__xludf.DUMMYFUNCTION("""COMPUTED_VALUE"""),"2019/11/05 12:10:00")</f>
        <v>2019/11/05 12:10:00</v>
      </c>
      <c r="F7" s="51" t="str">
        <f>IFERROR(__xludf.DUMMYFUNCTION("""COMPUTED_VALUE"""),"53af7779-7471-4023-8ef0-15334065bf62")</f>
        <v>53af7779-7471-4023-8ef0-15334065bf62</v>
      </c>
      <c r="G7" s="58">
        <f>IFERROR(__xludf.DUMMYFUNCTION("""COMPUTED_VALUE"""),43774.0)</f>
        <v>43774</v>
      </c>
      <c r="H7" s="60">
        <f>IFERROR(__xludf.DUMMYFUNCTION("""COMPUTED_VALUE"""),0.4930555555555556)</f>
        <v>0.4930555556</v>
      </c>
      <c r="I7" s="58">
        <f>IFERROR(__xludf.DUMMYFUNCTION("""COMPUTED_VALUE"""),43774.0)</f>
        <v>43774</v>
      </c>
      <c r="J7" s="60">
        <f>IFERROR(__xludf.DUMMYFUNCTION("""COMPUTED_VALUE"""),0.5069444444444444)</f>
        <v>0.5069444444</v>
      </c>
      <c r="K7" s="60">
        <f t="shared" si="1"/>
        <v>0.01388888889</v>
      </c>
      <c r="L7" s="51" t="s">
        <v>111</v>
      </c>
      <c r="M7" s="62" t="s">
        <v>385</v>
      </c>
      <c r="N7" s="75" t="str">
        <f t="shared" si="2"/>
        <v>FS_5_6_53af7779-7471-4023-8ef0-15334065bf62_000000_000000.mp4</v>
      </c>
      <c r="O7" s="50"/>
      <c r="P7" s="50"/>
      <c r="Q7" s="63"/>
      <c r="R7" s="51"/>
      <c r="S7" s="51"/>
      <c r="T7" s="51"/>
    </row>
    <row r="8">
      <c r="A8" s="51" t="str">
        <f>IFERROR(__xludf.DUMMYFUNCTION("""COMPUTED_VALUE"""),"Lunch break")</f>
        <v>Lunch break</v>
      </c>
      <c r="B8" s="51" t="str">
        <f>IFERROR(__xludf.DUMMYFUNCTION("""COMPUTED_VALUE"""),"Future Societies")</f>
        <v>Future Societies</v>
      </c>
      <c r="C8" s="56" t="str">
        <f>IFERROR(__xludf.DUMMYFUNCTION("""COMPUTED_VALUE"""),"")</f>
        <v/>
      </c>
      <c r="D8" s="51" t="str">
        <f>IFERROR(__xludf.DUMMYFUNCTION("""COMPUTED_VALUE"""),"2019/11/05 12:10:00")</f>
        <v>2019/11/05 12:10:00</v>
      </c>
      <c r="E8" s="51" t="str">
        <f>IFERROR(__xludf.DUMMYFUNCTION("""COMPUTED_VALUE"""),"2019/11/05 12:53:00")</f>
        <v>2019/11/05 12:53:00</v>
      </c>
      <c r="F8" s="51" t="str">
        <f>IFERROR(__xludf.DUMMYFUNCTION("""COMPUTED_VALUE"""),"aa326a5b-0ebc-41e4-ac88-b468893a93c1")</f>
        <v>aa326a5b-0ebc-41e4-ac88-b468893a93c1</v>
      </c>
      <c r="G8" s="58">
        <f>IFERROR(__xludf.DUMMYFUNCTION("""COMPUTED_VALUE"""),43774.0)</f>
        <v>43774</v>
      </c>
      <c r="H8" s="60">
        <f>IFERROR(__xludf.DUMMYFUNCTION("""COMPUTED_VALUE"""),0.5069444444444444)</f>
        <v>0.5069444444</v>
      </c>
      <c r="I8" s="58">
        <f>IFERROR(__xludf.DUMMYFUNCTION("""COMPUTED_VALUE"""),43774.0)</f>
        <v>43774</v>
      </c>
      <c r="J8" s="60">
        <f>IFERROR(__xludf.DUMMYFUNCTION("""COMPUTED_VALUE"""),0.5368055555555555)</f>
        <v>0.5368055556</v>
      </c>
      <c r="K8" s="60">
        <f t="shared" si="1"/>
        <v>0.02986111111</v>
      </c>
      <c r="L8" s="51" t="s">
        <v>386</v>
      </c>
      <c r="M8" s="62"/>
      <c r="N8" s="75" t="str">
        <f t="shared" si="2"/>
        <v>_aa326a5b-0ebc-41e4-ac88-b468893a93c1_000000_000000.mp4</v>
      </c>
      <c r="O8" s="50"/>
      <c r="P8" s="50"/>
      <c r="Q8" s="63"/>
      <c r="R8" s="51"/>
      <c r="S8" s="51"/>
      <c r="T8" s="51"/>
    </row>
    <row r="9">
      <c r="A9" s="51" t="str">
        <f>IFERROR(__xludf.DUMMYFUNCTION("""COMPUTED_VALUE"""),"Opening remarks")</f>
        <v>Opening remarks</v>
      </c>
      <c r="B9" s="51" t="str">
        <f>IFERROR(__xludf.DUMMYFUNCTION("""COMPUTED_VALUE"""),"Future Societies")</f>
        <v>Future Societies</v>
      </c>
      <c r="C9" s="56" t="str">
        <f>IFERROR(__xludf.DUMMYFUNCTION("""COMPUTED_VALUE"""),"Khalid Machchate")</f>
        <v>Khalid Machchate</v>
      </c>
      <c r="D9" s="51" t="str">
        <f>IFERROR(__xludf.DUMMYFUNCTION("""COMPUTED_VALUE"""),"2019/11/05 12:53:00")</f>
        <v>2019/11/05 12:53:00</v>
      </c>
      <c r="E9" s="51" t="str">
        <f>IFERROR(__xludf.DUMMYFUNCTION("""COMPUTED_VALUE"""),"2019/11/05 13:03:00")</f>
        <v>2019/11/05 13:03:00</v>
      </c>
      <c r="F9" s="51" t="str">
        <f>IFERROR(__xludf.DUMMYFUNCTION("""COMPUTED_VALUE"""),"ea893807-3848-4738-aa69-d1cc9b73e190")</f>
        <v>ea893807-3848-4738-aa69-d1cc9b73e190</v>
      </c>
      <c r="G9" s="58">
        <f>IFERROR(__xludf.DUMMYFUNCTION("""COMPUTED_VALUE"""),43774.0)</f>
        <v>43774</v>
      </c>
      <c r="H9" s="60">
        <f>IFERROR(__xludf.DUMMYFUNCTION("""COMPUTED_VALUE"""),0.5368055555555555)</f>
        <v>0.5368055556</v>
      </c>
      <c r="I9" s="58">
        <f>IFERROR(__xludf.DUMMYFUNCTION("""COMPUTED_VALUE"""),43774.0)</f>
        <v>43774</v>
      </c>
      <c r="J9" s="60">
        <f>IFERROR(__xludf.DUMMYFUNCTION("""COMPUTED_VALUE"""),0.54375)</f>
        <v>0.54375</v>
      </c>
      <c r="K9" s="60">
        <f t="shared" si="1"/>
        <v>0.006944444444</v>
      </c>
      <c r="L9" s="51" t="s">
        <v>124</v>
      </c>
      <c r="M9" s="62" t="s">
        <v>387</v>
      </c>
      <c r="N9" s="75" t="str">
        <f t="shared" si="2"/>
        <v>FS_5_7_ea893807-3848-4738-aa69-d1cc9b73e190_000000_000000.mp4</v>
      </c>
      <c r="O9" s="50"/>
      <c r="P9" s="50"/>
      <c r="Q9" s="63"/>
      <c r="R9" s="51"/>
      <c r="S9" s="51"/>
      <c r="T9" s="51"/>
    </row>
    <row r="10">
      <c r="A10" s="51" t="str">
        <f>IFERROR(__xludf.DUMMYFUNCTION("""COMPUTED_VALUE"""),"Building an innovative community: Imperial College London's White City Campus")</f>
        <v>Building an innovative community: Imperial College London's White City Campus</v>
      </c>
      <c r="B10" s="51" t="str">
        <f>IFERROR(__xludf.DUMMYFUNCTION("""COMPUTED_VALUE"""),"Future Societies")</f>
        <v>Future Societies</v>
      </c>
      <c r="C10" s="56" t="str">
        <f>IFERROR(__xludf.DUMMYFUNCTION("""COMPUTED_VALUE"""),"Maggie Dallman")</f>
        <v>Maggie Dallman</v>
      </c>
      <c r="D10" s="51" t="str">
        <f>IFERROR(__xludf.DUMMYFUNCTION("""COMPUTED_VALUE"""),"2019/11/05 13:03:00")</f>
        <v>2019/11/05 13:03:00</v>
      </c>
      <c r="E10" s="51" t="str">
        <f>IFERROR(__xludf.DUMMYFUNCTION("""COMPUTED_VALUE"""),"2019/11/05 13:15:00")</f>
        <v>2019/11/05 13:15:00</v>
      </c>
      <c r="F10" s="51" t="str">
        <f>IFERROR(__xludf.DUMMYFUNCTION("""COMPUTED_VALUE"""),"e2ff5f2b-4b7a-41d3-94a8-b5247b28191c")</f>
        <v>e2ff5f2b-4b7a-41d3-94a8-b5247b28191c</v>
      </c>
      <c r="G10" s="58">
        <f>IFERROR(__xludf.DUMMYFUNCTION("""COMPUTED_VALUE"""),43774.0)</f>
        <v>43774</v>
      </c>
      <c r="H10" s="60">
        <f>IFERROR(__xludf.DUMMYFUNCTION("""COMPUTED_VALUE"""),0.54375)</f>
        <v>0.54375</v>
      </c>
      <c r="I10" s="58">
        <f>IFERROR(__xludf.DUMMYFUNCTION("""COMPUTED_VALUE"""),43774.0)</f>
        <v>43774</v>
      </c>
      <c r="J10" s="60">
        <f>IFERROR(__xludf.DUMMYFUNCTION("""COMPUTED_VALUE"""),0.5520833333333334)</f>
        <v>0.5520833333</v>
      </c>
      <c r="K10" s="60">
        <f t="shared" si="1"/>
        <v>0.008333333333</v>
      </c>
      <c r="L10" s="51" t="s">
        <v>388</v>
      </c>
      <c r="M10" s="62" t="s">
        <v>389</v>
      </c>
      <c r="N10" s="75" t="str">
        <f t="shared" si="2"/>
        <v>FS_5_8_e2ff5f2b-4b7a-41d3-94a8-b5247b28191c_000000_000000.mp4</v>
      </c>
      <c r="O10" s="50"/>
      <c r="P10" s="50"/>
      <c r="Q10" s="63"/>
      <c r="R10" s="51"/>
      <c r="S10" s="51"/>
      <c r="T10" s="51"/>
    </row>
    <row r="11">
      <c r="A11" s="51" t="str">
        <f>IFERROR(__xludf.DUMMYFUNCTION("""COMPUTED_VALUE"""),"The whole human thing. Can marketing save our species?")</f>
        <v>The whole human thing. Can marketing save our species?</v>
      </c>
      <c r="B11" s="51" t="str">
        <f>IFERROR(__xludf.DUMMYFUNCTION("""COMPUTED_VALUE"""),"Future Societies")</f>
        <v>Future Societies</v>
      </c>
      <c r="C11" s="56" t="str">
        <f>IFERROR(__xludf.DUMMYFUNCTION("""COMPUTED_VALUE"""),"Gail Heimann")</f>
        <v>Gail Heimann</v>
      </c>
      <c r="D11" s="51" t="str">
        <f>IFERROR(__xludf.DUMMYFUNCTION("""COMPUTED_VALUE"""),"2019/11/05 13:15:00")</f>
        <v>2019/11/05 13:15:00</v>
      </c>
      <c r="E11" s="51" t="str">
        <f>IFERROR(__xludf.DUMMYFUNCTION("""COMPUTED_VALUE"""),"2019/11/05 13:35:00")</f>
        <v>2019/11/05 13:35:00</v>
      </c>
      <c r="F11" s="51" t="str">
        <f>IFERROR(__xludf.DUMMYFUNCTION("""COMPUTED_VALUE"""),"c7953718-e8c4-441a-9d36-2d73b31d527e")</f>
        <v>c7953718-e8c4-441a-9d36-2d73b31d527e</v>
      </c>
      <c r="G11" s="58">
        <f>IFERROR(__xludf.DUMMYFUNCTION("""COMPUTED_VALUE"""),43774.0)</f>
        <v>43774</v>
      </c>
      <c r="H11" s="60">
        <f>IFERROR(__xludf.DUMMYFUNCTION("""COMPUTED_VALUE"""),0.5520833333333334)</f>
        <v>0.5520833333</v>
      </c>
      <c r="I11" s="58">
        <f>IFERROR(__xludf.DUMMYFUNCTION("""COMPUTED_VALUE"""),43774.0)</f>
        <v>43774</v>
      </c>
      <c r="J11" s="60">
        <f>IFERROR(__xludf.DUMMYFUNCTION("""COMPUTED_VALUE"""),0.5659722222222222)</f>
        <v>0.5659722222</v>
      </c>
      <c r="K11" s="60">
        <f t="shared" si="1"/>
        <v>0.01388888889</v>
      </c>
      <c r="L11" s="51" t="s">
        <v>111</v>
      </c>
      <c r="M11" s="62" t="s">
        <v>390</v>
      </c>
      <c r="N11" s="75" t="str">
        <f t="shared" si="2"/>
        <v>FS_5_9_c7953718-e8c4-441a-9d36-2d73b31d527e_000000_000000.mp4</v>
      </c>
      <c r="O11" s="50"/>
      <c r="P11" s="50"/>
      <c r="Q11" s="63"/>
      <c r="R11" s="51"/>
      <c r="S11" s="51"/>
      <c r="T11" s="51"/>
    </row>
    <row r="12">
      <c r="A12" s="51" t="str">
        <f>IFERROR(__xludf.DUMMYFUNCTION("""COMPUTED_VALUE"""),"Debunking the unbanked: Bringing payments to the masses")</f>
        <v>Debunking the unbanked: Bringing payments to the masses</v>
      </c>
      <c r="B12" s="51" t="str">
        <f>IFERROR(__xludf.DUMMYFUNCTION("""COMPUTED_VALUE"""),"Future Societies")</f>
        <v>Future Societies</v>
      </c>
      <c r="C12" s="56" t="str">
        <f>IFERROR(__xludf.DUMMYFUNCTION("""COMPUTED_VALUE"""),"Mark Roden, Tunde Kehinde, Christopher Leacock and Joon Ian Wong")</f>
        <v>Mark Roden, Tunde Kehinde, Christopher Leacock and Joon Ian Wong</v>
      </c>
      <c r="D12" s="51" t="str">
        <f>IFERROR(__xludf.DUMMYFUNCTION("""COMPUTED_VALUE"""),"2019/11/05 13:35:00")</f>
        <v>2019/11/05 13:35:00</v>
      </c>
      <c r="E12" s="51" t="str">
        <f>IFERROR(__xludf.DUMMYFUNCTION("""COMPUTED_VALUE"""),"2019/11/05 14:00:00")</f>
        <v>2019/11/05 14:00:00</v>
      </c>
      <c r="F12" s="51" t="str">
        <f>IFERROR(__xludf.DUMMYFUNCTION("""COMPUTED_VALUE"""),"dcdbf7a5-6d59-413c-9f18-c6313c1a0694")</f>
        <v>dcdbf7a5-6d59-413c-9f18-c6313c1a0694</v>
      </c>
      <c r="G12" s="58">
        <f>IFERROR(__xludf.DUMMYFUNCTION("""COMPUTED_VALUE"""),43774.0)</f>
        <v>43774</v>
      </c>
      <c r="H12" s="60">
        <f>IFERROR(__xludf.DUMMYFUNCTION("""COMPUTED_VALUE"""),0.5659722222222222)</f>
        <v>0.5659722222</v>
      </c>
      <c r="I12" s="58">
        <f>IFERROR(__xludf.DUMMYFUNCTION("""COMPUTED_VALUE"""),43774.0)</f>
        <v>43774</v>
      </c>
      <c r="J12" s="60">
        <f>IFERROR(__xludf.DUMMYFUNCTION("""COMPUTED_VALUE"""),0.5833333333333334)</f>
        <v>0.5833333333</v>
      </c>
      <c r="K12" s="60">
        <f t="shared" si="1"/>
        <v>0.01736111111</v>
      </c>
      <c r="L12" s="51" t="s">
        <v>107</v>
      </c>
      <c r="M12" s="62" t="s">
        <v>391</v>
      </c>
      <c r="N12" s="75" t="str">
        <f t="shared" si="2"/>
        <v>FS_5_10_dcdbf7a5-6d59-413c-9f18-c6313c1a0694_000000_000000.mp4</v>
      </c>
      <c r="O12" s="50"/>
      <c r="P12" s="50"/>
      <c r="Q12" s="63"/>
      <c r="R12" s="51"/>
      <c r="S12" s="51"/>
      <c r="T12" s="51"/>
    </row>
    <row r="13">
      <c r="A13" s="51" t="str">
        <f>IFERROR(__xludf.DUMMYFUNCTION("""COMPUTED_VALUE"""),"Has technology replaced religion?")</f>
        <v>Has technology replaced religion?</v>
      </c>
      <c r="B13" s="51" t="str">
        <f>IFERROR(__xludf.DUMMYFUNCTION("""COMPUTED_VALUE"""),"Future Societies")</f>
        <v>Future Societies</v>
      </c>
      <c r="C13" s="56" t="str">
        <f>IFERROR(__xludf.DUMMYFUNCTION("""COMPUTED_VALUE"""),"Tony Campolo, Steve Petersen and Steve Clemons")</f>
        <v>Tony Campolo, Steve Petersen and Steve Clemons</v>
      </c>
      <c r="D13" s="51" t="str">
        <f>IFERROR(__xludf.DUMMYFUNCTION("""COMPUTED_VALUE"""),"2019/11/05 14:00:00")</f>
        <v>2019/11/05 14:00:00</v>
      </c>
      <c r="E13" s="51" t="str">
        <f>IFERROR(__xludf.DUMMYFUNCTION("""COMPUTED_VALUE"""),"2019/11/05 14:25:00")</f>
        <v>2019/11/05 14:25:00</v>
      </c>
      <c r="F13" s="51" t="str">
        <f>IFERROR(__xludf.DUMMYFUNCTION("""COMPUTED_VALUE"""),"8a633e90-7b95-455f-a099-73eacee56700")</f>
        <v>8a633e90-7b95-455f-a099-73eacee56700</v>
      </c>
      <c r="G13" s="58">
        <f>IFERROR(__xludf.DUMMYFUNCTION("""COMPUTED_VALUE"""),43774.0)</f>
        <v>43774</v>
      </c>
      <c r="H13" s="60">
        <f>IFERROR(__xludf.DUMMYFUNCTION("""COMPUTED_VALUE"""),0.5833333333333334)</f>
        <v>0.5833333333</v>
      </c>
      <c r="I13" s="58">
        <f>IFERROR(__xludf.DUMMYFUNCTION("""COMPUTED_VALUE"""),43774.0)</f>
        <v>43774</v>
      </c>
      <c r="J13" s="60">
        <f>IFERROR(__xludf.DUMMYFUNCTION("""COMPUTED_VALUE"""),0.6006944444444444)</f>
        <v>0.6006944444</v>
      </c>
      <c r="K13" s="60">
        <f t="shared" si="1"/>
        <v>0.01736111111</v>
      </c>
      <c r="L13" s="51" t="s">
        <v>107</v>
      </c>
      <c r="M13" s="62" t="s">
        <v>392</v>
      </c>
      <c r="N13" s="75" t="str">
        <f t="shared" si="2"/>
        <v>FS_5_11_8a633e90-7b95-455f-a099-73eacee56700_000000_000000.mp4</v>
      </c>
      <c r="O13" s="50"/>
      <c r="P13" s="50"/>
      <c r="Q13" s="63"/>
      <c r="R13" s="51"/>
      <c r="S13" s="51"/>
      <c r="T13" s="51"/>
    </row>
    <row r="14">
      <c r="A14" s="51" t="str">
        <f>IFERROR(__xludf.DUMMYFUNCTION("""COMPUTED_VALUE"""),"Education beyond the classroom")</f>
        <v>Education beyond the classroom</v>
      </c>
      <c r="B14" s="51" t="str">
        <f>IFERROR(__xludf.DUMMYFUNCTION("""COMPUTED_VALUE"""),"Future Societies")</f>
        <v>Future Societies</v>
      </c>
      <c r="C14" s="56" t="str">
        <f>IFERROR(__xludf.DUMMYFUNCTION("""COMPUTED_VALUE"""),"Corinne Vigreux, Thomas Holl, Mmantsetsa Marope and Tom Finn")</f>
        <v>Corinne Vigreux, Thomas Holl, Mmantsetsa Marope and Tom Finn</v>
      </c>
      <c r="D14" s="51" t="str">
        <f>IFERROR(__xludf.DUMMYFUNCTION("""COMPUTED_VALUE"""),"2019/11/05 14:25:00")</f>
        <v>2019/11/05 14:25:00</v>
      </c>
      <c r="E14" s="51" t="str">
        <f>IFERROR(__xludf.DUMMYFUNCTION("""COMPUTED_VALUE"""),"2019/11/05 14:50:00")</f>
        <v>2019/11/05 14:50:00</v>
      </c>
      <c r="F14" s="51" t="str">
        <f>IFERROR(__xludf.DUMMYFUNCTION("""COMPUTED_VALUE"""),"354d2d40-ce91-41cc-9af8-5370a39daa64")</f>
        <v>354d2d40-ce91-41cc-9af8-5370a39daa64</v>
      </c>
      <c r="G14" s="58">
        <f>IFERROR(__xludf.DUMMYFUNCTION("""COMPUTED_VALUE"""),43774.0)</f>
        <v>43774</v>
      </c>
      <c r="H14" s="60">
        <f>IFERROR(__xludf.DUMMYFUNCTION("""COMPUTED_VALUE"""),0.6006944444444444)</f>
        <v>0.6006944444</v>
      </c>
      <c r="I14" s="58">
        <f>IFERROR(__xludf.DUMMYFUNCTION("""COMPUTED_VALUE"""),43774.0)</f>
        <v>43774</v>
      </c>
      <c r="J14" s="60">
        <f>IFERROR(__xludf.DUMMYFUNCTION("""COMPUTED_VALUE"""),0.6180555555555556)</f>
        <v>0.6180555556</v>
      </c>
      <c r="K14" s="60">
        <f t="shared" si="1"/>
        <v>0.01736111111</v>
      </c>
      <c r="L14" s="51" t="s">
        <v>107</v>
      </c>
      <c r="M14" s="62" t="s">
        <v>393</v>
      </c>
      <c r="N14" s="75" t="str">
        <f t="shared" si="2"/>
        <v>FS_5_12_354d2d40-ce91-41cc-9af8-5370a39daa64_000000_000000.mp4</v>
      </c>
      <c r="O14" s="50"/>
      <c r="P14" s="50"/>
      <c r="Q14" s="63"/>
      <c r="R14" s="51"/>
      <c r="S14" s="51"/>
      <c r="T14" s="51"/>
    </row>
    <row r="15">
      <c r="A15" s="51" t="str">
        <f>IFERROR(__xludf.DUMMYFUNCTION("""COMPUTED_VALUE"""),"Sex and sexuality in the 21st century")</f>
        <v>Sex and sexuality in the 21st century</v>
      </c>
      <c r="B15" s="51" t="str">
        <f>IFERROR(__xludf.DUMMYFUNCTION("""COMPUTED_VALUE"""),"Future Societies")</f>
        <v>Future Societies</v>
      </c>
      <c r="C15" s="56" t="str">
        <f>IFERROR(__xludf.DUMMYFUNCTION("""COMPUTED_VALUE"""),"Peter Tatchell, Stephanie Alys and Steve Clemons")</f>
        <v>Peter Tatchell, Stephanie Alys and Steve Clemons</v>
      </c>
      <c r="D15" s="51" t="str">
        <f>IFERROR(__xludf.DUMMYFUNCTION("""COMPUTED_VALUE"""),"2019/11/05 14:50:00")</f>
        <v>2019/11/05 14:50:00</v>
      </c>
      <c r="E15" s="51" t="str">
        <f>IFERROR(__xludf.DUMMYFUNCTION("""COMPUTED_VALUE"""),"2019/11/05 15:15:00")</f>
        <v>2019/11/05 15:15:00</v>
      </c>
      <c r="F15" s="51" t="str">
        <f>IFERROR(__xludf.DUMMYFUNCTION("""COMPUTED_VALUE"""),"837020dd-af3e-43fe-af61-3f16d61ac5bd")</f>
        <v>837020dd-af3e-43fe-af61-3f16d61ac5bd</v>
      </c>
      <c r="G15" s="58">
        <f>IFERROR(__xludf.DUMMYFUNCTION("""COMPUTED_VALUE"""),43774.0)</f>
        <v>43774</v>
      </c>
      <c r="H15" s="60">
        <f>IFERROR(__xludf.DUMMYFUNCTION("""COMPUTED_VALUE"""),0.6180555555555556)</f>
        <v>0.6180555556</v>
      </c>
      <c r="I15" s="58">
        <f>IFERROR(__xludf.DUMMYFUNCTION("""COMPUTED_VALUE"""),43774.0)</f>
        <v>43774</v>
      </c>
      <c r="J15" s="60">
        <f>IFERROR(__xludf.DUMMYFUNCTION("""COMPUTED_VALUE"""),0.6354166666666666)</f>
        <v>0.6354166667</v>
      </c>
      <c r="K15" s="60">
        <f t="shared" si="1"/>
        <v>0.01736111111</v>
      </c>
      <c r="L15" s="51" t="s">
        <v>107</v>
      </c>
      <c r="M15" s="62" t="s">
        <v>394</v>
      </c>
      <c r="N15" s="75" t="str">
        <f t="shared" si="2"/>
        <v>FS_5_13_837020dd-af3e-43fe-af61-3f16d61ac5bd_000000_000000.mp4</v>
      </c>
      <c r="O15" s="50"/>
      <c r="P15" s="50"/>
      <c r="Q15" s="63"/>
      <c r="R15" s="51"/>
      <c r="S15" s="51"/>
      <c r="T15" s="51"/>
    </row>
    <row r="16">
      <c r="A16" s="51" t="str">
        <f>IFERROR(__xludf.DUMMYFUNCTION("""COMPUTED_VALUE"""),"Donald Trump has been a successful president")</f>
        <v>Donald Trump has been a successful president</v>
      </c>
      <c r="B16" s="51" t="str">
        <f>IFERROR(__xludf.DUMMYFUNCTION("""COMPUTED_VALUE"""),"Future Societies")</f>
        <v>Future Societies</v>
      </c>
      <c r="C16" s="56" t="str">
        <f>IFERROR(__xludf.DUMMYFUNCTION("""COMPUTED_VALUE"""),"Joe Pounder, Neal Katyal and Dafna Linzer")</f>
        <v>Joe Pounder, Neal Katyal and Dafna Linzer</v>
      </c>
      <c r="D16" s="51" t="str">
        <f>IFERROR(__xludf.DUMMYFUNCTION("""COMPUTED_VALUE"""),"2019/11/05 15:15:00")</f>
        <v>2019/11/05 15:15:00</v>
      </c>
      <c r="E16" s="51" t="str">
        <f>IFERROR(__xludf.DUMMYFUNCTION("""COMPUTED_VALUE"""),"2019/11/05 15:40:00")</f>
        <v>2019/11/05 15:40:00</v>
      </c>
      <c r="F16" s="51" t="str">
        <f>IFERROR(__xludf.DUMMYFUNCTION("""COMPUTED_VALUE"""),"2931777b-0bbb-4d0e-8446-470eed9a7a67")</f>
        <v>2931777b-0bbb-4d0e-8446-470eed9a7a67</v>
      </c>
      <c r="G16" s="58">
        <f>IFERROR(__xludf.DUMMYFUNCTION("""COMPUTED_VALUE"""),43774.0)</f>
        <v>43774</v>
      </c>
      <c r="H16" s="60">
        <f>IFERROR(__xludf.DUMMYFUNCTION("""COMPUTED_VALUE"""),0.6354166666666666)</f>
        <v>0.6354166667</v>
      </c>
      <c r="I16" s="58">
        <f>IFERROR(__xludf.DUMMYFUNCTION("""COMPUTED_VALUE"""),43774.0)</f>
        <v>43774</v>
      </c>
      <c r="J16" s="60">
        <f>IFERROR(__xludf.DUMMYFUNCTION("""COMPUTED_VALUE"""),0.6527777777777778)</f>
        <v>0.6527777778</v>
      </c>
      <c r="K16" s="60">
        <f t="shared" si="1"/>
        <v>0.01736111111</v>
      </c>
      <c r="L16" s="51" t="s">
        <v>107</v>
      </c>
      <c r="M16" s="62" t="s">
        <v>395</v>
      </c>
      <c r="N16" s="75" t="str">
        <f t="shared" si="2"/>
        <v>FS_5_14_2931777b-0bbb-4d0e-8446-470eed9a7a67_000000_000000.mp4</v>
      </c>
      <c r="O16" s="50"/>
      <c r="P16" s="50"/>
      <c r="Q16" s="63"/>
      <c r="R16" s="51"/>
      <c r="S16" s="51"/>
      <c r="T16" s="51"/>
    </row>
    <row r="17">
      <c r="A17" s="51" t="str">
        <f>IFERROR(__xludf.DUMMYFUNCTION("""COMPUTED_VALUE"""),"Brexit: The never ending story")</f>
        <v>Brexit: The never ending story</v>
      </c>
      <c r="B17" s="51" t="str">
        <f>IFERROR(__xludf.DUMMYFUNCTION("""COMPUTED_VALUE"""),"Future Societies")</f>
        <v>Future Societies</v>
      </c>
      <c r="C17" s="56" t="str">
        <f>IFERROR(__xludf.DUMMYFUNCTION("""COMPUTED_VALUE"""),"Tony Blair and Phil Collins")</f>
        <v>Tony Blair and Phil Collins</v>
      </c>
      <c r="D17" s="51" t="str">
        <f>IFERROR(__xludf.DUMMYFUNCTION("""COMPUTED_VALUE"""),"2019/11/05 15:40:00")</f>
        <v>2019/11/05 15:40:00</v>
      </c>
      <c r="E17" s="51" t="str">
        <f>IFERROR(__xludf.DUMMYFUNCTION("""COMPUTED_VALUE"""),"2019/11/05 16:10:00")</f>
        <v>2019/11/05 16:10:00</v>
      </c>
      <c r="F17" s="51" t="str">
        <f>IFERROR(__xludf.DUMMYFUNCTION("""COMPUTED_VALUE"""),"00a4eb61-aa08-43ea-af0d-736daf670850")</f>
        <v>00a4eb61-aa08-43ea-af0d-736daf670850</v>
      </c>
      <c r="G17" s="58">
        <f>IFERROR(__xludf.DUMMYFUNCTION("""COMPUTED_VALUE"""),43774.0)</f>
        <v>43774</v>
      </c>
      <c r="H17" s="60">
        <f>IFERROR(__xludf.DUMMYFUNCTION("""COMPUTED_VALUE"""),0.6527777777777778)</f>
        <v>0.6527777778</v>
      </c>
      <c r="I17" s="58">
        <f>IFERROR(__xludf.DUMMYFUNCTION("""COMPUTED_VALUE"""),43774.0)</f>
        <v>43774</v>
      </c>
      <c r="J17" s="60">
        <f>IFERROR(__xludf.DUMMYFUNCTION("""COMPUTED_VALUE"""),0.6736111111111112)</f>
        <v>0.6736111111</v>
      </c>
      <c r="K17" s="60">
        <f t="shared" si="1"/>
        <v>0.02083333333</v>
      </c>
      <c r="L17" s="51" t="s">
        <v>105</v>
      </c>
      <c r="M17" s="62" t="s">
        <v>396</v>
      </c>
      <c r="N17" s="75" t="str">
        <f t="shared" si="2"/>
        <v>FS_5_15_00a4eb61-aa08-43ea-af0d-736daf670850_000000_000000.mp4</v>
      </c>
      <c r="O17" s="50"/>
      <c r="P17" s="50"/>
      <c r="Q17" s="63"/>
      <c r="R17" s="51"/>
      <c r="S17" s="51"/>
      <c r="T17" s="51"/>
    </row>
    <row r="18">
      <c r="A18" s="51" t="str">
        <f>IFERROR(__xludf.DUMMYFUNCTION("""COMPUTED_VALUE"""),"Opening remarks")</f>
        <v>Opening remarks</v>
      </c>
      <c r="B18" s="51" t="str">
        <f>IFERROR(__xludf.DUMMYFUNCTION("""COMPUTED_VALUE"""),"Future Societies")</f>
        <v>Future Societies</v>
      </c>
      <c r="C18" s="56" t="str">
        <f>IFERROR(__xludf.DUMMYFUNCTION("""COMPUTED_VALUE"""),"Armand Arton")</f>
        <v>Armand Arton</v>
      </c>
      <c r="D18" s="51" t="str">
        <f>IFERROR(__xludf.DUMMYFUNCTION("""COMPUTED_VALUE"""),"2019/11/06 09:55:00")</f>
        <v>2019/11/06 09:55:00</v>
      </c>
      <c r="E18" s="51" t="str">
        <f>IFERROR(__xludf.DUMMYFUNCTION("""COMPUTED_VALUE"""),"2019/11/06 10:10:00")</f>
        <v>2019/11/06 10:10:00</v>
      </c>
      <c r="F18" s="51" t="str">
        <f>IFERROR(__xludf.DUMMYFUNCTION("""COMPUTED_VALUE"""),"ed708ac7-e837-47f1-bb25-7bc45a81e4ad")</f>
        <v>ed708ac7-e837-47f1-bb25-7bc45a81e4ad</v>
      </c>
      <c r="G18" s="58">
        <f>IFERROR(__xludf.DUMMYFUNCTION("""COMPUTED_VALUE"""),43775.0)</f>
        <v>43775</v>
      </c>
      <c r="H18" s="60">
        <f>IFERROR(__xludf.DUMMYFUNCTION("""COMPUTED_VALUE"""),0.4131944444444444)</f>
        <v>0.4131944444</v>
      </c>
      <c r="I18" s="58">
        <f>IFERROR(__xludf.DUMMYFUNCTION("""COMPUTED_VALUE"""),43775.0)</f>
        <v>43775</v>
      </c>
      <c r="J18" s="60">
        <f>IFERROR(__xludf.DUMMYFUNCTION("""COMPUTED_VALUE"""),0.4236111111111111)</f>
        <v>0.4236111111</v>
      </c>
      <c r="K18" s="60">
        <f t="shared" si="1"/>
        <v>0.01041666667</v>
      </c>
      <c r="L18" s="51" t="s">
        <v>116</v>
      </c>
      <c r="M18" s="62" t="s">
        <v>397</v>
      </c>
      <c r="N18" s="75" t="str">
        <f t="shared" si="2"/>
        <v>FS_6_1_ed708ac7-e837-47f1-bb25-7bc45a81e4ad_000000_000000.mp4</v>
      </c>
      <c r="O18" s="50"/>
      <c r="P18" s="50"/>
      <c r="Q18" s="63"/>
      <c r="R18" s="51"/>
      <c r="S18" s="51"/>
      <c r="T18" s="51"/>
    </row>
    <row r="19">
      <c r="A19" s="51" t="str">
        <f>IFERROR(__xludf.DUMMYFUNCTION("""COMPUTED_VALUE"""),"Can anything be private anymore?")</f>
        <v>Can anything be private anymore?</v>
      </c>
      <c r="B19" s="51" t="str">
        <f>IFERROR(__xludf.DUMMYFUNCTION("""COMPUTED_VALUE"""),"Future Societies")</f>
        <v>Future Societies</v>
      </c>
      <c r="C19" s="56" t="str">
        <f>IFERROR(__xludf.DUMMYFUNCTION("""COMPUTED_VALUE"""),"Brittany Kaiser, David Chaum and Joseph Menn")</f>
        <v>Brittany Kaiser, David Chaum and Joseph Menn</v>
      </c>
      <c r="D19" s="51" t="str">
        <f>IFERROR(__xludf.DUMMYFUNCTION("""COMPUTED_VALUE"""),"2019/11/06 10:10:00")</f>
        <v>2019/11/06 10:10:00</v>
      </c>
      <c r="E19" s="51" t="str">
        <f>IFERROR(__xludf.DUMMYFUNCTION("""COMPUTED_VALUE"""),"2019/11/06 10:30:00")</f>
        <v>2019/11/06 10:30:00</v>
      </c>
      <c r="F19" s="51" t="str">
        <f>IFERROR(__xludf.DUMMYFUNCTION("""COMPUTED_VALUE"""),"e0a8ca5d-d716-4542-b6bf-e80bd6cd1304")</f>
        <v>e0a8ca5d-d716-4542-b6bf-e80bd6cd1304</v>
      </c>
      <c r="G19" s="58">
        <f>IFERROR(__xludf.DUMMYFUNCTION("""COMPUTED_VALUE"""),43775.0)</f>
        <v>43775</v>
      </c>
      <c r="H19" s="60">
        <f>IFERROR(__xludf.DUMMYFUNCTION("""COMPUTED_VALUE"""),0.4236111111111111)</f>
        <v>0.4236111111</v>
      </c>
      <c r="I19" s="58">
        <f>IFERROR(__xludf.DUMMYFUNCTION("""COMPUTED_VALUE"""),43775.0)</f>
        <v>43775</v>
      </c>
      <c r="J19" s="60">
        <f>IFERROR(__xludf.DUMMYFUNCTION("""COMPUTED_VALUE"""),0.4375)</f>
        <v>0.4375</v>
      </c>
      <c r="K19" s="60">
        <f t="shared" si="1"/>
        <v>0.01388888889</v>
      </c>
      <c r="L19" s="51" t="s">
        <v>111</v>
      </c>
      <c r="M19" s="62" t="s">
        <v>398</v>
      </c>
      <c r="N19" s="75" t="str">
        <f t="shared" si="2"/>
        <v>FS_6_2_e0a8ca5d-d716-4542-b6bf-e80bd6cd1304_000000_000000.mp4</v>
      </c>
      <c r="O19" s="50"/>
      <c r="P19" s="50"/>
      <c r="Q19" s="63"/>
      <c r="R19" s="51"/>
      <c r="S19" s="51"/>
      <c r="T19" s="51"/>
    </row>
    <row r="20">
      <c r="A20" s="51" t="str">
        <f>IFERROR(__xludf.DUMMYFUNCTION("""COMPUTED_VALUE"""),"How do we overcome the gender gap?")</f>
        <v>How do we overcome the gender gap?</v>
      </c>
      <c r="B20" s="51" t="str">
        <f>IFERROR(__xludf.DUMMYFUNCTION("""COMPUTED_VALUE"""),"Future Societies")</f>
        <v>Future Societies</v>
      </c>
      <c r="C20" s="56" t="str">
        <f>IFERROR(__xludf.DUMMYFUNCTION("""COMPUTED_VALUE"""),"Sue Allchurch, Paige VanZant, Michelle Fang and Dima Khatib")</f>
        <v>Sue Allchurch, Paige VanZant, Michelle Fang and Dima Khatib</v>
      </c>
      <c r="D20" s="51" t="str">
        <f>IFERROR(__xludf.DUMMYFUNCTION("""COMPUTED_VALUE"""),"2019/11/06 10:30:00")</f>
        <v>2019/11/06 10:30:00</v>
      </c>
      <c r="E20" s="51" t="str">
        <f>IFERROR(__xludf.DUMMYFUNCTION("""COMPUTED_VALUE"""),"2019/11/06 10:50:00")</f>
        <v>2019/11/06 10:50:00</v>
      </c>
      <c r="F20" s="51" t="str">
        <f>IFERROR(__xludf.DUMMYFUNCTION("""COMPUTED_VALUE"""),"2a62e204-02e7-446f-9c76-73cb7961cb2b")</f>
        <v>2a62e204-02e7-446f-9c76-73cb7961cb2b</v>
      </c>
      <c r="G20" s="58">
        <f>IFERROR(__xludf.DUMMYFUNCTION("""COMPUTED_VALUE"""),43775.0)</f>
        <v>43775</v>
      </c>
      <c r="H20" s="60">
        <f>IFERROR(__xludf.DUMMYFUNCTION("""COMPUTED_VALUE"""),0.4375)</f>
        <v>0.4375</v>
      </c>
      <c r="I20" s="58">
        <f>IFERROR(__xludf.DUMMYFUNCTION("""COMPUTED_VALUE"""),43775.0)</f>
        <v>43775</v>
      </c>
      <c r="J20" s="60">
        <f>IFERROR(__xludf.DUMMYFUNCTION("""COMPUTED_VALUE"""),0.4513888888888889)</f>
        <v>0.4513888889</v>
      </c>
      <c r="K20" s="60">
        <f t="shared" si="1"/>
        <v>0.01388888889</v>
      </c>
      <c r="L20" s="51" t="s">
        <v>111</v>
      </c>
      <c r="M20" s="62" t="s">
        <v>399</v>
      </c>
      <c r="N20" s="75" t="str">
        <f t="shared" si="2"/>
        <v>FS_6_3_2a62e204-02e7-446f-9c76-73cb7961cb2b_000000_000000.mp4</v>
      </c>
      <c r="O20" s="50"/>
      <c r="P20" s="50"/>
      <c r="Q20" s="63"/>
      <c r="R20" s="51"/>
      <c r="S20" s="51"/>
      <c r="T20" s="51"/>
    </row>
    <row r="21">
      <c r="A21" s="51" t="str">
        <f>IFERROR(__xludf.DUMMYFUNCTION("""COMPUTED_VALUE"""),"The long walk to peace")</f>
        <v>The long walk to peace</v>
      </c>
      <c r="B21" s="51" t="str">
        <f>IFERROR(__xludf.DUMMYFUNCTION("""COMPUTED_VALUE"""),"Future Societies")</f>
        <v>Future Societies</v>
      </c>
      <c r="C21" s="56" t="str">
        <f>IFERROR(__xludf.DUMMYFUNCTION("""COMPUTED_VALUE"""),"Siyabulela Mandela, Peter Tatchell, John Jaeger and Tom Finn")</f>
        <v>Siyabulela Mandela, Peter Tatchell, John Jaeger and Tom Finn</v>
      </c>
      <c r="D21" s="51" t="str">
        <f>IFERROR(__xludf.DUMMYFUNCTION("""COMPUTED_VALUE"""),"2019/11/06 10:50:00")</f>
        <v>2019/11/06 10:50:00</v>
      </c>
      <c r="E21" s="51" t="str">
        <f>IFERROR(__xludf.DUMMYFUNCTION("""COMPUTED_VALUE"""),"2019/11/06 11:10:00")</f>
        <v>2019/11/06 11:10:00</v>
      </c>
      <c r="F21" s="51" t="str">
        <f>IFERROR(__xludf.DUMMYFUNCTION("""COMPUTED_VALUE"""),"0481dbc5-00f8-4433-ae3e-9e59c676bb60")</f>
        <v>0481dbc5-00f8-4433-ae3e-9e59c676bb60</v>
      </c>
      <c r="G21" s="58">
        <f>IFERROR(__xludf.DUMMYFUNCTION("""COMPUTED_VALUE"""),43775.0)</f>
        <v>43775</v>
      </c>
      <c r="H21" s="60">
        <f>IFERROR(__xludf.DUMMYFUNCTION("""COMPUTED_VALUE"""),0.4513888888888889)</f>
        <v>0.4513888889</v>
      </c>
      <c r="I21" s="58">
        <f>IFERROR(__xludf.DUMMYFUNCTION("""COMPUTED_VALUE"""),43775.0)</f>
        <v>43775</v>
      </c>
      <c r="J21" s="60">
        <f>IFERROR(__xludf.DUMMYFUNCTION("""COMPUTED_VALUE"""),0.4652777777777778)</f>
        <v>0.4652777778</v>
      </c>
      <c r="K21" s="60">
        <f t="shared" si="1"/>
        <v>0.01388888889</v>
      </c>
      <c r="L21" s="51" t="s">
        <v>111</v>
      </c>
      <c r="M21" s="62" t="s">
        <v>400</v>
      </c>
      <c r="N21" s="75" t="str">
        <f t="shared" si="2"/>
        <v>FS_6_4_0481dbc5-00f8-4433-ae3e-9e59c676bb60_000000_000000.mp4</v>
      </c>
      <c r="O21" s="50"/>
      <c r="P21" s="50"/>
      <c r="Q21" s="63"/>
      <c r="R21" s="51"/>
      <c r="S21" s="51"/>
      <c r="T21" s="51"/>
    </row>
    <row r="22">
      <c r="A22" s="51" t="str">
        <f>IFERROR(__xludf.DUMMYFUNCTION("""COMPUTED_VALUE"""),"Society and shareholders: Finding the right balance")</f>
        <v>Society and shareholders: Finding the right balance</v>
      </c>
      <c r="B22" s="51" t="str">
        <f>IFERROR(__xludf.DUMMYFUNCTION("""COMPUTED_VALUE"""),"Future Societies")</f>
        <v>Future Societies</v>
      </c>
      <c r="C22" s="56" t="str">
        <f>IFERROR(__xludf.DUMMYFUNCTION("""COMPUTED_VALUE"""),"Franz Heukamp, Natasha Good, Alicia Tillman, Peter Mühlmann and Anie Akpe")</f>
        <v>Franz Heukamp, Natasha Good, Alicia Tillman, Peter Mühlmann and Anie Akpe</v>
      </c>
      <c r="D22" s="51" t="str">
        <f>IFERROR(__xludf.DUMMYFUNCTION("""COMPUTED_VALUE"""),"2019/11/06 11:10:00")</f>
        <v>2019/11/06 11:10:00</v>
      </c>
      <c r="E22" s="51" t="str">
        <f>IFERROR(__xludf.DUMMYFUNCTION("""COMPUTED_VALUE"""),"2019/11/06 11:30:00")</f>
        <v>2019/11/06 11:30:00</v>
      </c>
      <c r="F22" s="51" t="str">
        <f>IFERROR(__xludf.DUMMYFUNCTION("""COMPUTED_VALUE"""),"1b62a93c-63ff-48b0-a029-413e0398df72")</f>
        <v>1b62a93c-63ff-48b0-a029-413e0398df72</v>
      </c>
      <c r="G22" s="58">
        <f>IFERROR(__xludf.DUMMYFUNCTION("""COMPUTED_VALUE"""),43775.0)</f>
        <v>43775</v>
      </c>
      <c r="H22" s="60">
        <f>IFERROR(__xludf.DUMMYFUNCTION("""COMPUTED_VALUE"""),0.4652777777777778)</f>
        <v>0.4652777778</v>
      </c>
      <c r="I22" s="58">
        <f>IFERROR(__xludf.DUMMYFUNCTION("""COMPUTED_VALUE"""),43775.0)</f>
        <v>43775</v>
      </c>
      <c r="J22" s="60">
        <f>IFERROR(__xludf.DUMMYFUNCTION("""COMPUTED_VALUE"""),0.4791666666666667)</f>
        <v>0.4791666667</v>
      </c>
      <c r="K22" s="60">
        <f t="shared" si="1"/>
        <v>0.01388888889</v>
      </c>
      <c r="L22" s="51" t="s">
        <v>111</v>
      </c>
      <c r="M22" s="62" t="s">
        <v>401</v>
      </c>
      <c r="N22" s="75" t="str">
        <f t="shared" si="2"/>
        <v>FS_6_5_1b62a93c-63ff-48b0-a029-413e0398df72_000000_000000.mp4</v>
      </c>
      <c r="O22" s="50"/>
      <c r="P22" s="50"/>
      <c r="Q22" s="63"/>
      <c r="R22" s="51"/>
      <c r="S22" s="51"/>
      <c r="T22" s="51"/>
    </row>
    <row r="23">
      <c r="A23" s="51" t="str">
        <f>IFERROR(__xludf.DUMMYFUNCTION("""COMPUTED_VALUE"""),"The right way to blow the whistle")</f>
        <v>The right way to blow the whistle</v>
      </c>
      <c r="B23" s="51" t="str">
        <f>IFERROR(__xludf.DUMMYFUNCTION("""COMPUTED_VALUE"""),"Future Societies")</f>
        <v>Future Societies</v>
      </c>
      <c r="C23" s="56" t="str">
        <f>IFERROR(__xludf.DUMMYFUNCTION("""COMPUTED_VALUE"""),"John Tye and Ryan Broderick")</f>
        <v>John Tye and Ryan Broderick</v>
      </c>
      <c r="D23" s="51" t="str">
        <f>IFERROR(__xludf.DUMMYFUNCTION("""COMPUTED_VALUE"""),"2019/11/06 11:30:00")</f>
        <v>2019/11/06 11:30:00</v>
      </c>
      <c r="E23" s="51" t="str">
        <f>IFERROR(__xludf.DUMMYFUNCTION("""COMPUTED_VALUE"""),"2019/11/06 11:50:00")</f>
        <v>2019/11/06 11:50:00</v>
      </c>
      <c r="F23" s="51" t="str">
        <f>IFERROR(__xludf.DUMMYFUNCTION("""COMPUTED_VALUE"""),"f9a27453-a1e9-457d-a961-25a01d9b579c")</f>
        <v>f9a27453-a1e9-457d-a961-25a01d9b579c</v>
      </c>
      <c r="G23" s="58">
        <f>IFERROR(__xludf.DUMMYFUNCTION("""COMPUTED_VALUE"""),43775.0)</f>
        <v>43775</v>
      </c>
      <c r="H23" s="60">
        <f>IFERROR(__xludf.DUMMYFUNCTION("""COMPUTED_VALUE"""),0.4791666666666667)</f>
        <v>0.4791666667</v>
      </c>
      <c r="I23" s="58">
        <f>IFERROR(__xludf.DUMMYFUNCTION("""COMPUTED_VALUE"""),43775.0)</f>
        <v>43775</v>
      </c>
      <c r="J23" s="60">
        <f>IFERROR(__xludf.DUMMYFUNCTION("""COMPUTED_VALUE"""),0.4930555555555556)</f>
        <v>0.4930555556</v>
      </c>
      <c r="K23" s="60">
        <f t="shared" si="1"/>
        <v>0.01388888889</v>
      </c>
      <c r="L23" s="51" t="s">
        <v>111</v>
      </c>
      <c r="M23" s="62" t="s">
        <v>402</v>
      </c>
      <c r="N23" s="75" t="str">
        <f t="shared" si="2"/>
        <v>FS_6_6_f9a27453-a1e9-457d-a961-25a01d9b579c_000000_000000.mp4</v>
      </c>
      <c r="O23" s="50"/>
      <c r="P23" s="50"/>
      <c r="Q23" s="63"/>
      <c r="R23" s="51"/>
      <c r="S23" s="51"/>
      <c r="T23" s="51"/>
    </row>
    <row r="24">
      <c r="A24" s="51" t="str">
        <f>IFERROR(__xludf.DUMMYFUNCTION("""COMPUTED_VALUE"""),"Rebuilding trust in tech")</f>
        <v>Rebuilding trust in tech</v>
      </c>
      <c r="B24" s="51" t="str">
        <f>IFERROR(__xludf.DUMMYFUNCTION("""COMPUTED_VALUE"""),"Future Societies")</f>
        <v>Future Societies</v>
      </c>
      <c r="C24" s="56" t="str">
        <f>IFERROR(__xludf.DUMMYFUNCTION("""COMPUTED_VALUE"""),"Ro Khanna, Brad Smith and Karen Tso")</f>
        <v>Ro Khanna, Brad Smith and Karen Tso</v>
      </c>
      <c r="D24" s="51" t="str">
        <f>IFERROR(__xludf.DUMMYFUNCTION("""COMPUTED_VALUE"""),"2019/11/06 11:50:00")</f>
        <v>2019/11/06 11:50:00</v>
      </c>
      <c r="E24" s="51" t="str">
        <f>IFERROR(__xludf.DUMMYFUNCTION("""COMPUTED_VALUE"""),"2019/11/06 12:10:00")</f>
        <v>2019/11/06 12:10:00</v>
      </c>
      <c r="F24" s="51" t="str">
        <f>IFERROR(__xludf.DUMMYFUNCTION("""COMPUTED_VALUE"""),"6dfde786-edc6-48ff-a522-d3b8f15b8ae8")</f>
        <v>6dfde786-edc6-48ff-a522-d3b8f15b8ae8</v>
      </c>
      <c r="G24" s="58">
        <f>IFERROR(__xludf.DUMMYFUNCTION("""COMPUTED_VALUE"""),43775.0)</f>
        <v>43775</v>
      </c>
      <c r="H24" s="60">
        <f>IFERROR(__xludf.DUMMYFUNCTION("""COMPUTED_VALUE"""),0.4930555555555556)</f>
        <v>0.4930555556</v>
      </c>
      <c r="I24" s="58">
        <f>IFERROR(__xludf.DUMMYFUNCTION("""COMPUTED_VALUE"""),43775.0)</f>
        <v>43775</v>
      </c>
      <c r="J24" s="60">
        <f>IFERROR(__xludf.DUMMYFUNCTION("""COMPUTED_VALUE"""),0.5069444444444444)</f>
        <v>0.5069444444</v>
      </c>
      <c r="K24" s="60">
        <f t="shared" si="1"/>
        <v>0.01388888889</v>
      </c>
      <c r="L24" s="51" t="s">
        <v>111</v>
      </c>
      <c r="M24" s="62" t="s">
        <v>403</v>
      </c>
      <c r="N24" s="75" t="str">
        <f t="shared" si="2"/>
        <v>FS_6_7_6dfde786-edc6-48ff-a522-d3b8f15b8ae8_000000_000000.mp4</v>
      </c>
      <c r="O24" s="50"/>
      <c r="P24" s="50"/>
      <c r="Q24" s="63"/>
      <c r="R24" s="51"/>
      <c r="S24" s="51"/>
      <c r="T24" s="51"/>
    </row>
    <row r="25">
      <c r="A25" s="51" t="str">
        <f>IFERROR(__xludf.DUMMYFUNCTION("""COMPUTED_VALUE"""),"Political journalism in a post-truth era")</f>
        <v>Political journalism in a post-truth era</v>
      </c>
      <c r="B25" s="51" t="str">
        <f>IFERROR(__xludf.DUMMYFUNCTION("""COMPUTED_VALUE"""),"Future Societies")</f>
        <v>Future Societies</v>
      </c>
      <c r="C25" s="56" t="str">
        <f>IFERROR(__xludf.DUMMYFUNCTION("""COMPUTED_VALUE"""),"Dafna Linzer, Tim Alberta, James Ball and Steve Clemons")</f>
        <v>Dafna Linzer, Tim Alberta, James Ball and Steve Clemons</v>
      </c>
      <c r="D25" s="51" t="str">
        <f>IFERROR(__xludf.DUMMYFUNCTION("""COMPUTED_VALUE"""),"2019/11/06 12:10:00")</f>
        <v>2019/11/06 12:10:00</v>
      </c>
      <c r="E25" s="51" t="str">
        <f>IFERROR(__xludf.DUMMYFUNCTION("""COMPUTED_VALUE"""),"2019/11/06 12:30:00")</f>
        <v>2019/11/06 12:30:00</v>
      </c>
      <c r="F25" s="51" t="str">
        <f>IFERROR(__xludf.DUMMYFUNCTION("""COMPUTED_VALUE"""),"03687978-304d-4121-82e5-dca94850e527")</f>
        <v>03687978-304d-4121-82e5-dca94850e527</v>
      </c>
      <c r="G25" s="58">
        <f>IFERROR(__xludf.DUMMYFUNCTION("""COMPUTED_VALUE"""),43775.0)</f>
        <v>43775</v>
      </c>
      <c r="H25" s="60">
        <f>IFERROR(__xludf.DUMMYFUNCTION("""COMPUTED_VALUE"""),0.5069444444444444)</f>
        <v>0.5069444444</v>
      </c>
      <c r="I25" s="58">
        <f>IFERROR(__xludf.DUMMYFUNCTION("""COMPUTED_VALUE"""),43775.0)</f>
        <v>43775</v>
      </c>
      <c r="J25" s="60">
        <f>IFERROR(__xludf.DUMMYFUNCTION("""COMPUTED_VALUE"""),0.5208333333333334)</f>
        <v>0.5208333333</v>
      </c>
      <c r="K25" s="60">
        <f t="shared" si="1"/>
        <v>0.01388888889</v>
      </c>
      <c r="L25" s="51" t="s">
        <v>111</v>
      </c>
      <c r="M25" s="62" t="s">
        <v>404</v>
      </c>
      <c r="N25" s="75" t="str">
        <f t="shared" si="2"/>
        <v>FS_6_8_03687978-304d-4121-82e5-dca94850e527_000000_000000.mp4</v>
      </c>
      <c r="O25" s="50"/>
      <c r="P25" s="50"/>
      <c r="Q25" s="63"/>
      <c r="R25" s="51"/>
      <c r="S25" s="51"/>
      <c r="T25" s="51"/>
    </row>
    <row r="26">
      <c r="A26" s="51" t="str">
        <f>IFERROR(__xludf.DUMMYFUNCTION("""COMPUTED_VALUE"""),"Going digital: It's childsplay")</f>
        <v>Going digital: It's childsplay</v>
      </c>
      <c r="B26" s="51" t="str">
        <f>IFERROR(__xludf.DUMMYFUNCTION("""COMPUTED_VALUE"""),"Future Societies")</f>
        <v>Future Societies</v>
      </c>
      <c r="C26" s="56" t="str">
        <f>IFERROR(__xludf.DUMMYFUNCTION("""COMPUTED_VALUE"""),"Craig Donato and Katie Collins")</f>
        <v>Craig Donato and Katie Collins</v>
      </c>
      <c r="D26" s="51" t="str">
        <f>IFERROR(__xludf.DUMMYFUNCTION("""COMPUTED_VALUE"""),"2019/11/06 12:30:00")</f>
        <v>2019/11/06 12:30:00</v>
      </c>
      <c r="E26" s="51" t="str">
        <f>IFERROR(__xludf.DUMMYFUNCTION("""COMPUTED_VALUE"""),"2019/11/06 12:50:00")</f>
        <v>2019/11/06 12:50:00</v>
      </c>
      <c r="F26" s="51" t="str">
        <f>IFERROR(__xludf.DUMMYFUNCTION("""COMPUTED_VALUE"""),"2cae1dae-caed-44cd-90b7-9f38a5c4087b")</f>
        <v>2cae1dae-caed-44cd-90b7-9f38a5c4087b</v>
      </c>
      <c r="G26" s="58">
        <f>IFERROR(__xludf.DUMMYFUNCTION("""COMPUTED_VALUE"""),43775.0)</f>
        <v>43775</v>
      </c>
      <c r="H26" s="60">
        <f>IFERROR(__xludf.DUMMYFUNCTION("""COMPUTED_VALUE"""),0.5208333333333334)</f>
        <v>0.5208333333</v>
      </c>
      <c r="I26" s="58">
        <f>IFERROR(__xludf.DUMMYFUNCTION("""COMPUTED_VALUE"""),43775.0)</f>
        <v>43775</v>
      </c>
      <c r="J26" s="60">
        <f>IFERROR(__xludf.DUMMYFUNCTION("""COMPUTED_VALUE"""),0.5347222222222222)</f>
        <v>0.5347222222</v>
      </c>
      <c r="K26" s="60">
        <f t="shared" si="1"/>
        <v>0.01388888889</v>
      </c>
      <c r="L26" s="51" t="s">
        <v>111</v>
      </c>
      <c r="M26" s="62" t="s">
        <v>405</v>
      </c>
      <c r="N26" s="75" t="str">
        <f t="shared" si="2"/>
        <v>FS_6_9_2cae1dae-caed-44cd-90b7-9f38a5c4087b_000000_000000.mp4</v>
      </c>
      <c r="O26" s="50"/>
      <c r="P26" s="50"/>
      <c r="Q26" s="63"/>
      <c r="R26" s="51"/>
      <c r="S26" s="51"/>
      <c r="T26" s="51"/>
    </row>
    <row r="27">
      <c r="A27" s="51" t="str">
        <f>IFERROR(__xludf.DUMMYFUNCTION("""COMPUTED_VALUE"""),"Lunch break")</f>
        <v>Lunch break</v>
      </c>
      <c r="B27" s="51" t="str">
        <f>IFERROR(__xludf.DUMMYFUNCTION("""COMPUTED_VALUE"""),"Future Societies")</f>
        <v>Future Societies</v>
      </c>
      <c r="C27" s="56" t="str">
        <f>IFERROR(__xludf.DUMMYFUNCTION("""COMPUTED_VALUE"""),"")</f>
        <v/>
      </c>
      <c r="D27" s="51" t="str">
        <f>IFERROR(__xludf.DUMMYFUNCTION("""COMPUTED_VALUE"""),"2019/11/06 12:50:00")</f>
        <v>2019/11/06 12:50:00</v>
      </c>
      <c r="E27" s="51" t="str">
        <f>IFERROR(__xludf.DUMMYFUNCTION("""COMPUTED_VALUE"""),"2019/11/06 13:25:00")</f>
        <v>2019/11/06 13:25:00</v>
      </c>
      <c r="F27" s="51" t="str">
        <f>IFERROR(__xludf.DUMMYFUNCTION("""COMPUTED_VALUE"""),"468ffbce-ee73-433d-bb5f-5373baa2cfc3")</f>
        <v>468ffbce-ee73-433d-bb5f-5373baa2cfc3</v>
      </c>
      <c r="G27" s="58">
        <f>IFERROR(__xludf.DUMMYFUNCTION("""COMPUTED_VALUE"""),43775.0)</f>
        <v>43775</v>
      </c>
      <c r="H27" s="60">
        <f>IFERROR(__xludf.DUMMYFUNCTION("""COMPUTED_VALUE"""),0.5347222222222222)</f>
        <v>0.5347222222</v>
      </c>
      <c r="I27" s="58">
        <f>IFERROR(__xludf.DUMMYFUNCTION("""COMPUTED_VALUE"""),43775.0)</f>
        <v>43775</v>
      </c>
      <c r="J27" s="60">
        <f>IFERROR(__xludf.DUMMYFUNCTION("""COMPUTED_VALUE"""),0.5590277777777778)</f>
        <v>0.5590277778</v>
      </c>
      <c r="K27" s="60">
        <f t="shared" si="1"/>
        <v>0.02430555556</v>
      </c>
      <c r="L27" s="51" t="s">
        <v>147</v>
      </c>
      <c r="M27" s="51"/>
      <c r="N27" s="75" t="str">
        <f t="shared" si="2"/>
        <v>_468ffbce-ee73-433d-bb5f-5373baa2cfc3_000000_000000.mp4</v>
      </c>
      <c r="O27" s="50"/>
      <c r="P27" s="50"/>
      <c r="Q27" s="63"/>
      <c r="R27" s="51"/>
      <c r="S27" s="51"/>
      <c r="T27" s="51"/>
    </row>
    <row r="28">
      <c r="A28" s="51" t="str">
        <f>IFERROR(__xludf.DUMMYFUNCTION("""COMPUTED_VALUE"""),"Opening remarks")</f>
        <v>Opening remarks</v>
      </c>
      <c r="B28" s="51" t="str">
        <f>IFERROR(__xludf.DUMMYFUNCTION("""COMPUTED_VALUE"""),"Future Societies")</f>
        <v>Future Societies</v>
      </c>
      <c r="C28" s="56" t="str">
        <f>IFERROR(__xludf.DUMMYFUNCTION("""COMPUTED_VALUE"""),"Chris Yiu")</f>
        <v>Chris Yiu</v>
      </c>
      <c r="D28" s="51" t="str">
        <f>IFERROR(__xludf.DUMMYFUNCTION("""COMPUTED_VALUE"""),"2019/11/06 13:25:00")</f>
        <v>2019/11/06 13:25:00</v>
      </c>
      <c r="E28" s="51" t="str">
        <f>IFERROR(__xludf.DUMMYFUNCTION("""COMPUTED_VALUE"""),"2019/11/06 13:35:00")</f>
        <v>2019/11/06 13:35:00</v>
      </c>
      <c r="F28" s="51" t="str">
        <f>IFERROR(__xludf.DUMMYFUNCTION("""COMPUTED_VALUE"""),"0219bff6-577b-4392-9faa-63a93b2a024b")</f>
        <v>0219bff6-577b-4392-9faa-63a93b2a024b</v>
      </c>
      <c r="G28" s="58">
        <f>IFERROR(__xludf.DUMMYFUNCTION("""COMPUTED_VALUE"""),43775.0)</f>
        <v>43775</v>
      </c>
      <c r="H28" s="60">
        <f>IFERROR(__xludf.DUMMYFUNCTION("""COMPUTED_VALUE"""),0.5590277777777778)</f>
        <v>0.5590277778</v>
      </c>
      <c r="I28" s="58">
        <f>IFERROR(__xludf.DUMMYFUNCTION("""COMPUTED_VALUE"""),43775.0)</f>
        <v>43775</v>
      </c>
      <c r="J28" s="60">
        <f>IFERROR(__xludf.DUMMYFUNCTION("""COMPUTED_VALUE"""),0.5659722222222222)</f>
        <v>0.5659722222</v>
      </c>
      <c r="K28" s="60">
        <f t="shared" si="1"/>
        <v>0.006944444444</v>
      </c>
      <c r="L28" s="51" t="s">
        <v>124</v>
      </c>
      <c r="M28" s="62" t="s">
        <v>406</v>
      </c>
      <c r="N28" s="75" t="str">
        <f t="shared" si="2"/>
        <v>FS_6_10_0219bff6-577b-4392-9faa-63a93b2a024b_000000_000000.mp4</v>
      </c>
      <c r="O28" s="50"/>
      <c r="P28" s="50"/>
      <c r="Q28" s="63"/>
      <c r="R28" s="51"/>
      <c r="S28" s="51"/>
      <c r="T28" s="51"/>
    </row>
    <row r="29">
      <c r="A29" s="51" t="str">
        <f>IFERROR(__xludf.DUMMYFUNCTION("""COMPUTED_VALUE"""),"Conscious design: making wellbeing the default")</f>
        <v>Conscious design: making wellbeing the default</v>
      </c>
      <c r="B29" s="51" t="str">
        <f>IFERROR(__xludf.DUMMYFUNCTION("""COMPUTED_VALUE"""),"Future Societies")</f>
        <v>Future Societies</v>
      </c>
      <c r="C29" s="56" t="str">
        <f>IFERROR(__xludf.DUMMYFUNCTION("""COMPUTED_VALUE"""),"Maggie Stanphill and Jeremy Wilks")</f>
        <v>Maggie Stanphill and Jeremy Wilks</v>
      </c>
      <c r="D29" s="51" t="str">
        <f>IFERROR(__xludf.DUMMYFUNCTION("""COMPUTED_VALUE"""),"2019/11/06 13:35:00")</f>
        <v>2019/11/06 13:35:00</v>
      </c>
      <c r="E29" s="51" t="str">
        <f>IFERROR(__xludf.DUMMYFUNCTION("""COMPUTED_VALUE"""),"2019/11/06 13:55:00")</f>
        <v>2019/11/06 13:55:00</v>
      </c>
      <c r="F29" s="51" t="str">
        <f>IFERROR(__xludf.DUMMYFUNCTION("""COMPUTED_VALUE"""),"f953328c-b802-4b28-95ba-8ce1d81ab7f6")</f>
        <v>f953328c-b802-4b28-95ba-8ce1d81ab7f6</v>
      </c>
      <c r="G29" s="58">
        <f>IFERROR(__xludf.DUMMYFUNCTION("""COMPUTED_VALUE"""),43775.0)</f>
        <v>43775</v>
      </c>
      <c r="H29" s="60">
        <f>IFERROR(__xludf.DUMMYFUNCTION("""COMPUTED_VALUE"""),0.5659722222222222)</f>
        <v>0.5659722222</v>
      </c>
      <c r="I29" s="58">
        <f>IFERROR(__xludf.DUMMYFUNCTION("""COMPUTED_VALUE"""),43775.0)</f>
        <v>43775</v>
      </c>
      <c r="J29" s="60">
        <f>IFERROR(__xludf.DUMMYFUNCTION("""COMPUTED_VALUE"""),0.5798611111111112)</f>
        <v>0.5798611111</v>
      </c>
      <c r="K29" s="60">
        <f t="shared" si="1"/>
        <v>0.01388888889</v>
      </c>
      <c r="L29" s="51" t="s">
        <v>111</v>
      </c>
      <c r="M29" s="62" t="s">
        <v>407</v>
      </c>
      <c r="N29" s="75" t="str">
        <f t="shared" si="2"/>
        <v>FS_6_11_f953328c-b802-4b28-95ba-8ce1d81ab7f6_000000_000000.mp4</v>
      </c>
      <c r="O29" s="50"/>
      <c r="P29" s="50"/>
      <c r="Q29" s="63"/>
      <c r="R29" s="51"/>
      <c r="S29" s="51"/>
      <c r="T29" s="51"/>
    </row>
    <row r="30">
      <c r="A30" s="51" t="str">
        <f>IFERROR(__xludf.DUMMYFUNCTION("""COMPUTED_VALUE"""),"Digital values: The European approach to promote prosperity")</f>
        <v>Digital values: The European approach to promote prosperity</v>
      </c>
      <c r="B30" s="51" t="str">
        <f>IFERROR(__xludf.DUMMYFUNCTION("""COMPUTED_VALUE"""),"Future Societies")</f>
        <v>Future Societies</v>
      </c>
      <c r="C30" s="56" t="str">
        <f>IFERROR(__xludf.DUMMYFUNCTION("""COMPUTED_VALUE"""),"Dorothee Bär, George Papandreou and Hadas Gold")</f>
        <v>Dorothee Bär, George Papandreou and Hadas Gold</v>
      </c>
      <c r="D30" s="51" t="str">
        <f>IFERROR(__xludf.DUMMYFUNCTION("""COMPUTED_VALUE"""),"2019/11/06 13:55:00")</f>
        <v>2019/11/06 13:55:00</v>
      </c>
      <c r="E30" s="51" t="str">
        <f>IFERROR(__xludf.DUMMYFUNCTION("""COMPUTED_VALUE"""),"2019/11/06 14:15:00")</f>
        <v>2019/11/06 14:15:00</v>
      </c>
      <c r="F30" s="51" t="str">
        <f>IFERROR(__xludf.DUMMYFUNCTION("""COMPUTED_VALUE"""),"8dc45218-8b4a-43c8-9e70-87f83930f8f8")</f>
        <v>8dc45218-8b4a-43c8-9e70-87f83930f8f8</v>
      </c>
      <c r="G30" s="58">
        <f>IFERROR(__xludf.DUMMYFUNCTION("""COMPUTED_VALUE"""),43775.0)</f>
        <v>43775</v>
      </c>
      <c r="H30" s="60">
        <f>IFERROR(__xludf.DUMMYFUNCTION("""COMPUTED_VALUE"""),0.5798611111111112)</f>
        <v>0.5798611111</v>
      </c>
      <c r="I30" s="58">
        <f>IFERROR(__xludf.DUMMYFUNCTION("""COMPUTED_VALUE"""),43775.0)</f>
        <v>43775</v>
      </c>
      <c r="J30" s="60">
        <f>IFERROR(__xludf.DUMMYFUNCTION("""COMPUTED_VALUE"""),0.59375)</f>
        <v>0.59375</v>
      </c>
      <c r="K30" s="60">
        <f t="shared" si="1"/>
        <v>0.01388888889</v>
      </c>
      <c r="L30" s="51" t="s">
        <v>111</v>
      </c>
      <c r="M30" s="62" t="s">
        <v>408</v>
      </c>
      <c r="N30" s="75" t="str">
        <f t="shared" si="2"/>
        <v>FS_6_12_8dc45218-8b4a-43c8-9e70-87f83930f8f8_000000_000000.mp4</v>
      </c>
      <c r="O30" s="50"/>
      <c r="P30" s="50"/>
      <c r="Q30" s="63"/>
      <c r="R30" s="51"/>
      <c r="S30" s="51"/>
      <c r="T30" s="51"/>
    </row>
    <row r="31">
      <c r="A31" s="51" t="str">
        <f>IFERROR(__xludf.DUMMYFUNCTION("""COMPUTED_VALUE"""),"How to spend money and save people")</f>
        <v>How to spend money and save people</v>
      </c>
      <c r="B31" s="51" t="str">
        <f>IFERROR(__xludf.DUMMYFUNCTION("""COMPUTED_VALUE"""),"Future Societies")</f>
        <v>Future Societies</v>
      </c>
      <c r="C31" s="56" t="str">
        <f>IFERROR(__xludf.DUMMYFUNCTION("""COMPUTED_VALUE"""),"Natalie Cargill, Liv Boeree, Danielle Gram and Joon Ian Wong")</f>
        <v>Natalie Cargill, Liv Boeree, Danielle Gram and Joon Ian Wong</v>
      </c>
      <c r="D31" s="51" t="str">
        <f>IFERROR(__xludf.DUMMYFUNCTION("""COMPUTED_VALUE"""),"2019/11/06 14:15:00")</f>
        <v>2019/11/06 14:15:00</v>
      </c>
      <c r="E31" s="51" t="str">
        <f>IFERROR(__xludf.DUMMYFUNCTION("""COMPUTED_VALUE"""),"2019/11/06 14:35:00")</f>
        <v>2019/11/06 14:35:00</v>
      </c>
      <c r="F31" s="51" t="str">
        <f>IFERROR(__xludf.DUMMYFUNCTION("""COMPUTED_VALUE"""),"1aadbb27-922d-4b4a-87b9-ae65a8abc066")</f>
        <v>1aadbb27-922d-4b4a-87b9-ae65a8abc066</v>
      </c>
      <c r="G31" s="58">
        <f>IFERROR(__xludf.DUMMYFUNCTION("""COMPUTED_VALUE"""),43775.0)</f>
        <v>43775</v>
      </c>
      <c r="H31" s="60">
        <f>IFERROR(__xludf.DUMMYFUNCTION("""COMPUTED_VALUE"""),0.59375)</f>
        <v>0.59375</v>
      </c>
      <c r="I31" s="58">
        <f>IFERROR(__xludf.DUMMYFUNCTION("""COMPUTED_VALUE"""),43775.0)</f>
        <v>43775</v>
      </c>
      <c r="J31" s="60">
        <f>IFERROR(__xludf.DUMMYFUNCTION("""COMPUTED_VALUE"""),0.6076388888888888)</f>
        <v>0.6076388889</v>
      </c>
      <c r="K31" s="60">
        <f t="shared" si="1"/>
        <v>0.01388888889</v>
      </c>
      <c r="L31" s="51" t="s">
        <v>111</v>
      </c>
      <c r="M31" s="62" t="s">
        <v>409</v>
      </c>
      <c r="N31" s="75" t="str">
        <f t="shared" si="2"/>
        <v>FS_6_13_1aadbb27-922d-4b4a-87b9-ae65a8abc066_000000_000000.mp4</v>
      </c>
      <c r="O31" s="50"/>
      <c r="P31" s="50"/>
      <c r="Q31" s="63"/>
      <c r="R31" s="51"/>
      <c r="S31" s="51"/>
      <c r="T31" s="51"/>
    </row>
    <row r="32">
      <c r="A32" s="51" t="str">
        <f>IFERROR(__xludf.DUMMYFUNCTION("""COMPUTED_VALUE"""),"What next for democracy?")</f>
        <v>What next for democracy?</v>
      </c>
      <c r="B32" s="51" t="str">
        <f>IFERROR(__xludf.DUMMYFUNCTION("""COMPUTED_VALUE"""),"Future Societies")</f>
        <v>Future Societies</v>
      </c>
      <c r="C32" s="56" t="str">
        <f>IFERROR(__xludf.DUMMYFUNCTION("""COMPUTED_VALUE"""),"Mamuka Bakhtadze, George Arison, Joe Pounder and Joseph Menn")</f>
        <v>Mamuka Bakhtadze, George Arison, Joe Pounder and Joseph Menn</v>
      </c>
      <c r="D32" s="51" t="str">
        <f>IFERROR(__xludf.DUMMYFUNCTION("""COMPUTED_VALUE"""),"2019/11/06 14:35:00")</f>
        <v>2019/11/06 14:35:00</v>
      </c>
      <c r="E32" s="51" t="str">
        <f>IFERROR(__xludf.DUMMYFUNCTION("""COMPUTED_VALUE"""),"2019/11/06 14:55:00")</f>
        <v>2019/11/06 14:55:00</v>
      </c>
      <c r="F32" s="51" t="str">
        <f>IFERROR(__xludf.DUMMYFUNCTION("""COMPUTED_VALUE"""),"3958cdb2-e15c-4ab1-b618-5da933127751")</f>
        <v>3958cdb2-e15c-4ab1-b618-5da933127751</v>
      </c>
      <c r="G32" s="58">
        <f>IFERROR(__xludf.DUMMYFUNCTION("""COMPUTED_VALUE"""),43775.0)</f>
        <v>43775</v>
      </c>
      <c r="H32" s="60">
        <f>IFERROR(__xludf.DUMMYFUNCTION("""COMPUTED_VALUE"""),0.6076388888888888)</f>
        <v>0.6076388889</v>
      </c>
      <c r="I32" s="58">
        <f>IFERROR(__xludf.DUMMYFUNCTION("""COMPUTED_VALUE"""),43775.0)</f>
        <v>43775</v>
      </c>
      <c r="J32" s="60">
        <f>IFERROR(__xludf.DUMMYFUNCTION("""COMPUTED_VALUE"""),0.6215277777777778)</f>
        <v>0.6215277778</v>
      </c>
      <c r="K32" s="60">
        <f t="shared" si="1"/>
        <v>0.01388888889</v>
      </c>
      <c r="L32" s="51" t="s">
        <v>111</v>
      </c>
      <c r="M32" s="62" t="s">
        <v>410</v>
      </c>
      <c r="N32" s="75" t="str">
        <f t="shared" si="2"/>
        <v>FS_6_14_3958cdb2-e15c-4ab1-b618-5da933127751_000000_000000.mp4</v>
      </c>
      <c r="O32" s="50"/>
      <c r="P32" s="50"/>
      <c r="Q32" s="63"/>
      <c r="R32" s="51"/>
      <c r="S32" s="51"/>
      <c r="T32" s="51"/>
    </row>
    <row r="33">
      <c r="A33" s="51" t="str">
        <f>IFERROR(__xludf.DUMMYFUNCTION("""COMPUTED_VALUE"""),"Let's talk about tax, baby")</f>
        <v>Let's talk about tax, baby</v>
      </c>
      <c r="B33" s="51" t="str">
        <f>IFERROR(__xludf.DUMMYFUNCTION("""COMPUTED_VALUE"""),"Future Societies")</f>
        <v>Future Societies</v>
      </c>
      <c r="C33" s="56" t="str">
        <f>IFERROR(__xludf.DUMMYFUNCTION("""COMPUTED_VALUE"""),"Niels Johannesen and Alex Deane")</f>
        <v>Niels Johannesen and Alex Deane</v>
      </c>
      <c r="D33" s="51" t="str">
        <f>IFERROR(__xludf.DUMMYFUNCTION("""COMPUTED_VALUE"""),"2019/11/06 14:55:00")</f>
        <v>2019/11/06 14:55:00</v>
      </c>
      <c r="E33" s="51" t="str">
        <f>IFERROR(__xludf.DUMMYFUNCTION("""COMPUTED_VALUE"""),"2019/11/06 15:15:00")</f>
        <v>2019/11/06 15:15:00</v>
      </c>
      <c r="F33" s="51" t="str">
        <f>IFERROR(__xludf.DUMMYFUNCTION("""COMPUTED_VALUE"""),"8e73389d-c94e-40ce-8734-9db98d6c116f")</f>
        <v>8e73389d-c94e-40ce-8734-9db98d6c116f</v>
      </c>
      <c r="G33" s="58">
        <f>IFERROR(__xludf.DUMMYFUNCTION("""COMPUTED_VALUE"""),43775.0)</f>
        <v>43775</v>
      </c>
      <c r="H33" s="60">
        <f>IFERROR(__xludf.DUMMYFUNCTION("""COMPUTED_VALUE"""),0.6215277777777778)</f>
        <v>0.6215277778</v>
      </c>
      <c r="I33" s="58">
        <f>IFERROR(__xludf.DUMMYFUNCTION("""COMPUTED_VALUE"""),43775.0)</f>
        <v>43775</v>
      </c>
      <c r="J33" s="60">
        <f>IFERROR(__xludf.DUMMYFUNCTION("""COMPUTED_VALUE"""),0.6354166666666666)</f>
        <v>0.6354166667</v>
      </c>
      <c r="K33" s="60">
        <f t="shared" si="1"/>
        <v>0.01388888889</v>
      </c>
      <c r="L33" s="51" t="s">
        <v>111</v>
      </c>
      <c r="M33" s="62" t="s">
        <v>411</v>
      </c>
      <c r="N33" s="75" t="str">
        <f t="shared" si="2"/>
        <v>FS_6_15_8e73389d-c94e-40ce-8734-9db98d6c116f_000000_000000.mp4</v>
      </c>
      <c r="O33" s="50"/>
      <c r="P33" s="50"/>
      <c r="Q33" s="63"/>
      <c r="R33" s="51"/>
      <c r="S33" s="51"/>
      <c r="T33" s="51"/>
    </row>
    <row r="34">
      <c r="A34" s="51" t="str">
        <f>IFERROR(__xludf.DUMMYFUNCTION("""COMPUTED_VALUE"""),"What's next for the open web?")</f>
        <v>What's next for the open web?</v>
      </c>
      <c r="B34" s="51" t="str">
        <f>IFERROR(__xludf.DUMMYFUNCTION("""COMPUTED_VALUE"""),"Future Societies")</f>
        <v>Future Societies</v>
      </c>
      <c r="C34" s="56" t="str">
        <f>IFERROR(__xludf.DUMMYFUNCTION("""COMPUTED_VALUE"""),"Rafael Laguna, Katharina Borchert and Donie O'Sullivan")</f>
        <v>Rafael Laguna, Katharina Borchert and Donie O'Sullivan</v>
      </c>
      <c r="D34" s="51" t="str">
        <f>IFERROR(__xludf.DUMMYFUNCTION("""COMPUTED_VALUE"""),"2019/11/06 15:15:00")</f>
        <v>2019/11/06 15:15:00</v>
      </c>
      <c r="E34" s="51" t="str">
        <f>IFERROR(__xludf.DUMMYFUNCTION("""COMPUTED_VALUE"""),"2019/11/06 15:35:00")</f>
        <v>2019/11/06 15:35:00</v>
      </c>
      <c r="F34" s="51" t="str">
        <f>IFERROR(__xludf.DUMMYFUNCTION("""COMPUTED_VALUE"""),"8f7f2451-fb86-4d31-89d6-9b600a8d5941")</f>
        <v>8f7f2451-fb86-4d31-89d6-9b600a8d5941</v>
      </c>
      <c r="G34" s="58">
        <f>IFERROR(__xludf.DUMMYFUNCTION("""COMPUTED_VALUE"""),43775.0)</f>
        <v>43775</v>
      </c>
      <c r="H34" s="60">
        <f>IFERROR(__xludf.DUMMYFUNCTION("""COMPUTED_VALUE"""),0.6354166666666666)</f>
        <v>0.6354166667</v>
      </c>
      <c r="I34" s="58">
        <f>IFERROR(__xludf.DUMMYFUNCTION("""COMPUTED_VALUE"""),43775.0)</f>
        <v>43775</v>
      </c>
      <c r="J34" s="60">
        <f>IFERROR(__xludf.DUMMYFUNCTION("""COMPUTED_VALUE"""),0.6493055555555556)</f>
        <v>0.6493055556</v>
      </c>
      <c r="K34" s="60">
        <f t="shared" si="1"/>
        <v>0.01388888889</v>
      </c>
      <c r="L34" s="51" t="s">
        <v>111</v>
      </c>
      <c r="M34" s="62" t="s">
        <v>412</v>
      </c>
      <c r="N34" s="75" t="str">
        <f t="shared" si="2"/>
        <v>FS_6_16_8f7f2451-fb86-4d31-89d6-9b600a8d5941_000000_000000.mp4</v>
      </c>
      <c r="O34" s="50"/>
      <c r="P34" s="50"/>
      <c r="Q34" s="63"/>
      <c r="R34" s="51"/>
      <c r="S34" s="51"/>
      <c r="T34" s="51"/>
    </row>
    <row r="35">
      <c r="A35" s="51" t="str">
        <f>IFERROR(__xludf.DUMMYFUNCTION("""COMPUTED_VALUE"""),"Patenting the future: The next big invention")</f>
        <v>Patenting the future: The next big invention</v>
      </c>
      <c r="B35" s="51" t="str">
        <f>IFERROR(__xludf.DUMMYFUNCTION("""COMPUTED_VALUE"""),"Future Societies")</f>
        <v>Future Societies</v>
      </c>
      <c r="C35" s="56" t="str">
        <f>IFERROR(__xludf.DUMMYFUNCTION("""COMPUTED_VALUE"""),"António Campinos, Kaigham Gabriel, Carmela Troncoso and Marcel Rosenbach")</f>
        <v>António Campinos, Kaigham Gabriel, Carmela Troncoso and Marcel Rosenbach</v>
      </c>
      <c r="D35" s="51" t="str">
        <f>IFERROR(__xludf.DUMMYFUNCTION("""COMPUTED_VALUE"""),"2019/11/06 15:35:00")</f>
        <v>2019/11/06 15:35:00</v>
      </c>
      <c r="E35" s="51" t="str">
        <f>IFERROR(__xludf.DUMMYFUNCTION("""COMPUTED_VALUE"""),"2019/11/06 15:55:00")</f>
        <v>2019/11/06 15:55:00</v>
      </c>
      <c r="F35" s="51" t="str">
        <f>IFERROR(__xludf.DUMMYFUNCTION("""COMPUTED_VALUE"""),"85facd9a-36f2-4b32-99d3-c78ef52d6680")</f>
        <v>85facd9a-36f2-4b32-99d3-c78ef52d6680</v>
      </c>
      <c r="G35" s="58">
        <f>IFERROR(__xludf.DUMMYFUNCTION("""COMPUTED_VALUE"""),43775.0)</f>
        <v>43775</v>
      </c>
      <c r="H35" s="60">
        <f>IFERROR(__xludf.DUMMYFUNCTION("""COMPUTED_VALUE"""),0.6493055555555556)</f>
        <v>0.6493055556</v>
      </c>
      <c r="I35" s="58">
        <f>IFERROR(__xludf.DUMMYFUNCTION("""COMPUTED_VALUE"""),43775.0)</f>
        <v>43775</v>
      </c>
      <c r="J35" s="60">
        <f>IFERROR(__xludf.DUMMYFUNCTION("""COMPUTED_VALUE"""),0.6631944444444444)</f>
        <v>0.6631944444</v>
      </c>
      <c r="K35" s="60">
        <f t="shared" si="1"/>
        <v>0.01388888889</v>
      </c>
      <c r="L35" s="51" t="s">
        <v>111</v>
      </c>
      <c r="M35" s="62" t="s">
        <v>413</v>
      </c>
      <c r="N35" s="75" t="str">
        <f t="shared" si="2"/>
        <v>FS_6_17_85facd9a-36f2-4b32-99d3-c78ef52d6680_000000_000000.mp4</v>
      </c>
      <c r="O35" s="50"/>
      <c r="P35" s="50"/>
      <c r="Q35" s="63"/>
      <c r="R35" s="51"/>
      <c r="S35" s="51"/>
      <c r="T35" s="51"/>
    </row>
    <row r="36">
      <c r="A36" s="51" t="str">
        <f>IFERROR(__xludf.DUMMYFUNCTION("""COMPUTED_VALUE"""),"How to build a truly global movement")</f>
        <v>How to build a truly global movement</v>
      </c>
      <c r="B36" s="51" t="str">
        <f>IFERROR(__xludf.DUMMYFUNCTION("""COMPUTED_VALUE"""),"Future Societies")</f>
        <v>Future Societies</v>
      </c>
      <c r="C36" s="56" t="str">
        <f>IFERROR(__xludf.DUMMYFUNCTION("""COMPUTED_VALUE"""),"Katherine Maher, Ahmad Alhendawi and Ryan Broderick")</f>
        <v>Katherine Maher, Ahmad Alhendawi and Ryan Broderick</v>
      </c>
      <c r="D36" s="51" t="str">
        <f>IFERROR(__xludf.DUMMYFUNCTION("""COMPUTED_VALUE"""),"2019/11/06 15:55:00")</f>
        <v>2019/11/06 15:55:00</v>
      </c>
      <c r="E36" s="51" t="str">
        <f>IFERROR(__xludf.DUMMYFUNCTION("""COMPUTED_VALUE"""),"2019/11/06 16:15:00")</f>
        <v>2019/11/06 16:15:00</v>
      </c>
      <c r="F36" s="51" t="str">
        <f>IFERROR(__xludf.DUMMYFUNCTION("""COMPUTED_VALUE"""),"6b741b2b-9b22-4ec9-9efa-a69050d2b3d5")</f>
        <v>6b741b2b-9b22-4ec9-9efa-a69050d2b3d5</v>
      </c>
      <c r="G36" s="58">
        <f>IFERROR(__xludf.DUMMYFUNCTION("""COMPUTED_VALUE"""),43775.0)</f>
        <v>43775</v>
      </c>
      <c r="H36" s="60">
        <f>IFERROR(__xludf.DUMMYFUNCTION("""COMPUTED_VALUE"""),0.6631944444444444)</f>
        <v>0.6631944444</v>
      </c>
      <c r="I36" s="58">
        <f>IFERROR(__xludf.DUMMYFUNCTION("""COMPUTED_VALUE"""),43775.0)</f>
        <v>43775</v>
      </c>
      <c r="J36" s="60">
        <f>IFERROR(__xludf.DUMMYFUNCTION("""COMPUTED_VALUE"""),0.6770833333333334)</f>
        <v>0.6770833333</v>
      </c>
      <c r="K36" s="60">
        <f t="shared" si="1"/>
        <v>0.01388888889</v>
      </c>
      <c r="L36" s="51" t="s">
        <v>111</v>
      </c>
      <c r="M36" s="62" t="s">
        <v>414</v>
      </c>
      <c r="N36" s="75" t="str">
        <f t="shared" si="2"/>
        <v>FS_6_18_6b741b2b-9b22-4ec9-9efa-a69050d2b3d5_000000_000000.mp4</v>
      </c>
      <c r="O36" s="50"/>
      <c r="P36" s="50"/>
      <c r="Q36" s="63"/>
      <c r="R36" s="51"/>
      <c r="S36" s="51"/>
      <c r="T36" s="51"/>
    </row>
    <row r="37">
      <c r="A37" s="51" t="str">
        <f>IFERROR(__xludf.DUMMYFUNCTION("""COMPUTED_VALUE"""),"Opening remarks")</f>
        <v>Opening remarks</v>
      </c>
      <c r="B37" s="51" t="str">
        <f>IFERROR(__xludf.DUMMYFUNCTION("""COMPUTED_VALUE"""),"Future Societies")</f>
        <v>Future Societies</v>
      </c>
      <c r="C37" s="56" t="str">
        <f>IFERROR(__xludf.DUMMYFUNCTION("""COMPUTED_VALUE"""),"Andrew Chakhoyan")</f>
        <v>Andrew Chakhoyan</v>
      </c>
      <c r="D37" s="51" t="str">
        <f>IFERROR(__xludf.DUMMYFUNCTION("""COMPUTED_VALUE"""),"2019/11/07 10:15:00")</f>
        <v>2019/11/07 10:15:00</v>
      </c>
      <c r="E37" s="51" t="str">
        <f>IFERROR(__xludf.DUMMYFUNCTION("""COMPUTED_VALUE"""),"2019/11/07 10:30:00")</f>
        <v>2019/11/07 10:30:00</v>
      </c>
      <c r="F37" s="51" t="str">
        <f>IFERROR(__xludf.DUMMYFUNCTION("""COMPUTED_VALUE"""),"d2baa87c-23eb-4849-8534-ee749c8e0952")</f>
        <v>d2baa87c-23eb-4849-8534-ee749c8e0952</v>
      </c>
      <c r="G37" s="58">
        <f>IFERROR(__xludf.DUMMYFUNCTION("""COMPUTED_VALUE"""),43776.0)</f>
        <v>43776</v>
      </c>
      <c r="H37" s="60">
        <f>IFERROR(__xludf.DUMMYFUNCTION("""COMPUTED_VALUE"""),0.4270833333333333)</f>
        <v>0.4270833333</v>
      </c>
      <c r="I37" s="58">
        <f>IFERROR(__xludf.DUMMYFUNCTION("""COMPUTED_VALUE"""),43776.0)</f>
        <v>43776</v>
      </c>
      <c r="J37" s="60">
        <f>IFERROR(__xludf.DUMMYFUNCTION("""COMPUTED_VALUE"""),0.4375)</f>
        <v>0.4375</v>
      </c>
      <c r="K37" s="60">
        <f t="shared" si="1"/>
        <v>0.01041666667</v>
      </c>
      <c r="L37" s="51" t="s">
        <v>116</v>
      </c>
      <c r="M37" s="62" t="s">
        <v>415</v>
      </c>
      <c r="N37" s="75" t="str">
        <f t="shared" si="2"/>
        <v>FS_7_1_d2baa87c-23eb-4849-8534-ee749c8e0952_000000_000000.mp4</v>
      </c>
      <c r="O37" s="50"/>
      <c r="P37" s="50"/>
      <c r="Q37" s="63"/>
      <c r="R37" s="51"/>
      <c r="S37" s="51"/>
      <c r="T37" s="51"/>
    </row>
    <row r="38">
      <c r="A38" s="51" t="str">
        <f>IFERROR(__xludf.DUMMYFUNCTION("""COMPUTED_VALUE"""),"Ending corruption by exposing the truth")</f>
        <v>Ending corruption by exposing the truth</v>
      </c>
      <c r="B38" s="51" t="str">
        <f>IFERROR(__xludf.DUMMYFUNCTION("""COMPUTED_VALUE"""),"Future Societies")</f>
        <v>Future Societies</v>
      </c>
      <c r="C38" s="56" t="str">
        <f>IFERROR(__xludf.DUMMYFUNCTION("""COMPUTED_VALUE"""),"Juan Branco and Ryan Broderick")</f>
        <v>Juan Branco and Ryan Broderick</v>
      </c>
      <c r="D38" s="51" t="str">
        <f>IFERROR(__xludf.DUMMYFUNCTION("""COMPUTED_VALUE"""),"2019/11/07 10:30:00")</f>
        <v>2019/11/07 10:30:00</v>
      </c>
      <c r="E38" s="51" t="str">
        <f>IFERROR(__xludf.DUMMYFUNCTION("""COMPUTED_VALUE"""),"2019/11/07 10:50:00")</f>
        <v>2019/11/07 10:50:00</v>
      </c>
      <c r="F38" s="51" t="str">
        <f>IFERROR(__xludf.DUMMYFUNCTION("""COMPUTED_VALUE"""),"96f8e7fb-488e-4068-a7ea-0bae14301daa")</f>
        <v>96f8e7fb-488e-4068-a7ea-0bae14301daa</v>
      </c>
      <c r="G38" s="58">
        <f>IFERROR(__xludf.DUMMYFUNCTION("""COMPUTED_VALUE"""),43776.0)</f>
        <v>43776</v>
      </c>
      <c r="H38" s="60">
        <f>IFERROR(__xludf.DUMMYFUNCTION("""COMPUTED_VALUE"""),0.4375)</f>
        <v>0.4375</v>
      </c>
      <c r="I38" s="58">
        <f>IFERROR(__xludf.DUMMYFUNCTION("""COMPUTED_VALUE"""),43776.0)</f>
        <v>43776</v>
      </c>
      <c r="J38" s="60">
        <f>IFERROR(__xludf.DUMMYFUNCTION("""COMPUTED_VALUE"""),0.4513888888888889)</f>
        <v>0.4513888889</v>
      </c>
      <c r="K38" s="60">
        <f t="shared" si="1"/>
        <v>0.01388888889</v>
      </c>
      <c r="L38" s="51" t="s">
        <v>111</v>
      </c>
      <c r="M38" s="62" t="s">
        <v>416</v>
      </c>
      <c r="N38" s="75" t="str">
        <f t="shared" si="2"/>
        <v>FS_7_2_96f8e7fb-488e-4068-a7ea-0bae14301daa_000000_000000.mp4</v>
      </c>
      <c r="O38" s="50"/>
      <c r="P38" s="50"/>
      <c r="Q38" s="63"/>
      <c r="R38" s="51"/>
      <c r="S38" s="51"/>
      <c r="T38" s="51"/>
    </row>
    <row r="39">
      <c r="A39" s="51" t="str">
        <f>IFERROR(__xludf.DUMMYFUNCTION("""COMPUTED_VALUE"""),"Financing the future of philanthropy")</f>
        <v>Financing the future of philanthropy</v>
      </c>
      <c r="B39" s="51" t="str">
        <f>IFERROR(__xludf.DUMMYFUNCTION("""COMPUTED_VALUE"""),"Future Societies")</f>
        <v>Future Societies</v>
      </c>
      <c r="C39" s="56" t="str">
        <f>IFERROR(__xludf.DUMMYFUNCTION("""COMPUTED_VALUE"""),"Phyllis Costanza, Aditya Natraj and Felix Salmon")</f>
        <v>Phyllis Costanza, Aditya Natraj and Felix Salmon</v>
      </c>
      <c r="D39" s="51" t="str">
        <f>IFERROR(__xludf.DUMMYFUNCTION("""COMPUTED_VALUE"""),"2019/11/07 10:50:00")</f>
        <v>2019/11/07 10:50:00</v>
      </c>
      <c r="E39" s="51" t="str">
        <f>IFERROR(__xludf.DUMMYFUNCTION("""COMPUTED_VALUE"""),"2019/11/07 11:10:00")</f>
        <v>2019/11/07 11:10:00</v>
      </c>
      <c r="F39" s="51" t="str">
        <f>IFERROR(__xludf.DUMMYFUNCTION("""COMPUTED_VALUE"""),"6ed1ee3e-56bc-4fc7-9971-f8b83d597a02")</f>
        <v>6ed1ee3e-56bc-4fc7-9971-f8b83d597a02</v>
      </c>
      <c r="G39" s="58">
        <f>IFERROR(__xludf.DUMMYFUNCTION("""COMPUTED_VALUE"""),43776.0)</f>
        <v>43776</v>
      </c>
      <c r="H39" s="60">
        <f>IFERROR(__xludf.DUMMYFUNCTION("""COMPUTED_VALUE"""),0.4513888888888889)</f>
        <v>0.4513888889</v>
      </c>
      <c r="I39" s="58">
        <f>IFERROR(__xludf.DUMMYFUNCTION("""COMPUTED_VALUE"""),43776.0)</f>
        <v>43776</v>
      </c>
      <c r="J39" s="60">
        <f>IFERROR(__xludf.DUMMYFUNCTION("""COMPUTED_VALUE"""),0.4652777777777778)</f>
        <v>0.4652777778</v>
      </c>
      <c r="K39" s="60">
        <f t="shared" si="1"/>
        <v>0.01388888889</v>
      </c>
      <c r="L39" s="51" t="s">
        <v>111</v>
      </c>
      <c r="M39" s="62" t="s">
        <v>417</v>
      </c>
      <c r="N39" s="75" t="str">
        <f t="shared" si="2"/>
        <v>FS_7_3_6ed1ee3e-56bc-4fc7-9971-f8b83d597a02_000000_000000.mp4</v>
      </c>
      <c r="O39" s="50"/>
      <c r="P39" s="50"/>
      <c r="Q39" s="63"/>
      <c r="R39" s="51"/>
      <c r="S39" s="51"/>
      <c r="T39" s="51"/>
    </row>
    <row r="40">
      <c r="A40" s="51" t="str">
        <f>IFERROR(__xludf.DUMMYFUNCTION("""COMPUTED_VALUE"""),"How much tax is just right?")</f>
        <v>How much tax is just right?</v>
      </c>
      <c r="B40" s="51" t="str">
        <f>IFERROR(__xludf.DUMMYFUNCTION("""COMPUTED_VALUE"""),"Future Societies")</f>
        <v>Future Societies</v>
      </c>
      <c r="C40" s="56" t="str">
        <f>IFERROR(__xludf.DUMMYFUNCTION("""COMPUTED_VALUE"""),"Pascal Saint-Amans, Jane McCormick and Ryan Broderick")</f>
        <v>Pascal Saint-Amans, Jane McCormick and Ryan Broderick</v>
      </c>
      <c r="D40" s="51" t="str">
        <f>IFERROR(__xludf.DUMMYFUNCTION("""COMPUTED_VALUE"""),"2019/11/07 11:10:00")</f>
        <v>2019/11/07 11:10:00</v>
      </c>
      <c r="E40" s="51" t="str">
        <f>IFERROR(__xludf.DUMMYFUNCTION("""COMPUTED_VALUE"""),"2019/11/07 11:30:00")</f>
        <v>2019/11/07 11:30:00</v>
      </c>
      <c r="F40" s="51" t="str">
        <f>IFERROR(__xludf.DUMMYFUNCTION("""COMPUTED_VALUE"""),"57afb291-b87d-4915-ba24-1416b7084be1")</f>
        <v>57afb291-b87d-4915-ba24-1416b7084be1</v>
      </c>
      <c r="G40" s="58">
        <f>IFERROR(__xludf.DUMMYFUNCTION("""COMPUTED_VALUE"""),43776.0)</f>
        <v>43776</v>
      </c>
      <c r="H40" s="60">
        <f>IFERROR(__xludf.DUMMYFUNCTION("""COMPUTED_VALUE"""),0.4652777777777778)</f>
        <v>0.4652777778</v>
      </c>
      <c r="I40" s="58">
        <f>IFERROR(__xludf.DUMMYFUNCTION("""COMPUTED_VALUE"""),43776.0)</f>
        <v>43776</v>
      </c>
      <c r="J40" s="60">
        <f>IFERROR(__xludf.DUMMYFUNCTION("""COMPUTED_VALUE"""),0.4791666666666667)</f>
        <v>0.4791666667</v>
      </c>
      <c r="K40" s="60">
        <f t="shared" si="1"/>
        <v>0.01388888889</v>
      </c>
      <c r="L40" s="51" t="s">
        <v>111</v>
      </c>
      <c r="M40" s="62" t="s">
        <v>418</v>
      </c>
      <c r="N40" s="75" t="str">
        <f t="shared" si="2"/>
        <v>FS_7_4_57afb291-b87d-4915-ba24-1416b7084be1_000000_000000.mp4</v>
      </c>
      <c r="O40" s="50"/>
      <c r="P40" s="50"/>
      <c r="Q40" s="63"/>
      <c r="R40" s="51"/>
      <c r="S40" s="51"/>
      <c r="T40" s="51"/>
    </row>
    <row r="41">
      <c r="A41" s="51" t="str">
        <f>IFERROR(__xludf.DUMMYFUNCTION("""COMPUTED_VALUE"""),"Is there a future for work?")</f>
        <v>Is there a future for work?</v>
      </c>
      <c r="B41" s="51" t="str">
        <f>IFERROR(__xludf.DUMMYFUNCTION("""COMPUTED_VALUE"""),"Future Societies")</f>
        <v>Future Societies</v>
      </c>
      <c r="C41" s="56" t="str">
        <f>IFERROR(__xludf.DUMMYFUNCTION("""COMPUTED_VALUE"""),"Daniel Yanisse, Oisin Hanrahan, Chelsea Rustrum and Kimberly Weisul")</f>
        <v>Daniel Yanisse, Oisin Hanrahan, Chelsea Rustrum and Kimberly Weisul</v>
      </c>
      <c r="D41" s="51" t="str">
        <f>IFERROR(__xludf.DUMMYFUNCTION("""COMPUTED_VALUE"""),"2019/11/07 11:30:00")</f>
        <v>2019/11/07 11:30:00</v>
      </c>
      <c r="E41" s="51" t="str">
        <f>IFERROR(__xludf.DUMMYFUNCTION("""COMPUTED_VALUE"""),"2019/11/07 11:50:00")</f>
        <v>2019/11/07 11:50:00</v>
      </c>
      <c r="F41" s="51" t="str">
        <f>IFERROR(__xludf.DUMMYFUNCTION("""COMPUTED_VALUE"""),"a40cfdb9-6260-40a4-95a4-3adbe11f124b")</f>
        <v>a40cfdb9-6260-40a4-95a4-3adbe11f124b</v>
      </c>
      <c r="G41" s="58">
        <f>IFERROR(__xludf.DUMMYFUNCTION("""COMPUTED_VALUE"""),43776.0)</f>
        <v>43776</v>
      </c>
      <c r="H41" s="60">
        <f>IFERROR(__xludf.DUMMYFUNCTION("""COMPUTED_VALUE"""),0.4791666666666667)</f>
        <v>0.4791666667</v>
      </c>
      <c r="I41" s="58">
        <f>IFERROR(__xludf.DUMMYFUNCTION("""COMPUTED_VALUE"""),43776.0)</f>
        <v>43776</v>
      </c>
      <c r="J41" s="60">
        <f>IFERROR(__xludf.DUMMYFUNCTION("""COMPUTED_VALUE"""),0.4930555555555556)</f>
        <v>0.4930555556</v>
      </c>
      <c r="K41" s="60">
        <f t="shared" si="1"/>
        <v>0.01388888889</v>
      </c>
      <c r="L41" s="51" t="s">
        <v>111</v>
      </c>
      <c r="M41" s="62" t="s">
        <v>419</v>
      </c>
      <c r="N41" s="75" t="str">
        <f t="shared" si="2"/>
        <v>FS_7_5_a40cfdb9-6260-40a4-95a4-3adbe11f124b_000000_000000.mp4</v>
      </c>
      <c r="O41" s="50"/>
      <c r="P41" s="50"/>
      <c r="Q41" s="63"/>
      <c r="R41" s="51"/>
      <c r="S41" s="51"/>
      <c r="T41" s="51"/>
    </row>
    <row r="42">
      <c r="A42" s="51" t="str">
        <f>IFERROR(__xludf.DUMMYFUNCTION("""COMPUTED_VALUE"""),"The future of science is already here")</f>
        <v>The future of science is already here</v>
      </c>
      <c r="B42" s="51" t="str">
        <f>IFERROR(__xludf.DUMMYFUNCTION("""COMPUTED_VALUE"""),"Future Societies")</f>
        <v>Future Societies</v>
      </c>
      <c r="C42" s="56" t="str">
        <f>IFERROR(__xludf.DUMMYFUNCTION("""COMPUTED_VALUE"""),"Liam Hinzman, Isabella Grandic and Brianna Gopaul")</f>
        <v>Liam Hinzman, Isabella Grandic and Brianna Gopaul</v>
      </c>
      <c r="D42" s="51" t="str">
        <f>IFERROR(__xludf.DUMMYFUNCTION("""COMPUTED_VALUE"""),"2019/11/07 11:50:00")</f>
        <v>2019/11/07 11:50:00</v>
      </c>
      <c r="E42" s="51" t="str">
        <f>IFERROR(__xludf.DUMMYFUNCTION("""COMPUTED_VALUE"""),"2019/11/07 12:15:00")</f>
        <v>2019/11/07 12:15:00</v>
      </c>
      <c r="F42" s="51" t="str">
        <f>IFERROR(__xludf.DUMMYFUNCTION("""COMPUTED_VALUE"""),"19f472b6-aa6c-4206-affa-d42b55878dad")</f>
        <v>19f472b6-aa6c-4206-affa-d42b55878dad</v>
      </c>
      <c r="G42" s="58">
        <f>IFERROR(__xludf.DUMMYFUNCTION("""COMPUTED_VALUE"""),43776.0)</f>
        <v>43776</v>
      </c>
      <c r="H42" s="60">
        <f>IFERROR(__xludf.DUMMYFUNCTION("""COMPUTED_VALUE"""),0.4930555555555556)</f>
        <v>0.4930555556</v>
      </c>
      <c r="I42" s="58">
        <f>IFERROR(__xludf.DUMMYFUNCTION("""COMPUTED_VALUE"""),43776.0)</f>
        <v>43776</v>
      </c>
      <c r="J42" s="60">
        <f>IFERROR(__xludf.DUMMYFUNCTION("""COMPUTED_VALUE"""),0.5104166666666666)</f>
        <v>0.5104166667</v>
      </c>
      <c r="K42" s="60">
        <f t="shared" si="1"/>
        <v>0.01736111111</v>
      </c>
      <c r="L42" s="51" t="s">
        <v>107</v>
      </c>
      <c r="M42" s="62" t="s">
        <v>420</v>
      </c>
      <c r="N42" s="75" t="str">
        <f t="shared" si="2"/>
        <v>FS_7_6_19f472b6-aa6c-4206-affa-d42b55878dad_000000_000000.mp4</v>
      </c>
      <c r="O42" s="50"/>
      <c r="P42" s="50"/>
      <c r="Q42" s="63"/>
      <c r="R42" s="51"/>
      <c r="S42" s="51"/>
      <c r="T42" s="51"/>
    </row>
    <row r="43">
      <c r="A43" s="51" t="str">
        <f>IFERROR(__xludf.DUMMYFUNCTION("""COMPUTED_VALUE"""),"Lunch break")</f>
        <v>Lunch break</v>
      </c>
      <c r="B43" s="51" t="str">
        <f>IFERROR(__xludf.DUMMYFUNCTION("""COMPUTED_VALUE"""),"Future Societies")</f>
        <v>Future Societies</v>
      </c>
      <c r="C43" s="56" t="str">
        <f>IFERROR(__xludf.DUMMYFUNCTION("""COMPUTED_VALUE"""),"")</f>
        <v/>
      </c>
      <c r="D43" s="51" t="str">
        <f>IFERROR(__xludf.DUMMYFUNCTION("""COMPUTED_VALUE"""),"2019/11/07 12:15:00")</f>
        <v>2019/11/07 12:15:00</v>
      </c>
      <c r="E43" s="51" t="str">
        <f>IFERROR(__xludf.DUMMYFUNCTION("""COMPUTED_VALUE"""),"2019/11/07 12:50:00")</f>
        <v>2019/11/07 12:50:00</v>
      </c>
      <c r="F43" s="51" t="str">
        <f>IFERROR(__xludf.DUMMYFUNCTION("""COMPUTED_VALUE"""),"f6a4f5ec-55db-4467-886b-472ef4efe759")</f>
        <v>f6a4f5ec-55db-4467-886b-472ef4efe759</v>
      </c>
      <c r="G43" s="58">
        <f>IFERROR(__xludf.DUMMYFUNCTION("""COMPUTED_VALUE"""),43776.0)</f>
        <v>43776</v>
      </c>
      <c r="H43" s="60">
        <f>IFERROR(__xludf.DUMMYFUNCTION("""COMPUTED_VALUE"""),0.5104166666666666)</f>
        <v>0.5104166667</v>
      </c>
      <c r="I43" s="58">
        <f>IFERROR(__xludf.DUMMYFUNCTION("""COMPUTED_VALUE"""),43776.0)</f>
        <v>43776</v>
      </c>
      <c r="J43" s="60">
        <f>IFERROR(__xludf.DUMMYFUNCTION("""COMPUTED_VALUE"""),0.5347222222222222)</f>
        <v>0.5347222222</v>
      </c>
      <c r="K43" s="60">
        <f t="shared" si="1"/>
        <v>0.02430555556</v>
      </c>
      <c r="L43" s="51" t="s">
        <v>147</v>
      </c>
      <c r="M43" s="51"/>
      <c r="N43" s="75" t="str">
        <f t="shared" si="2"/>
        <v>_f6a4f5ec-55db-4467-886b-472ef4efe759_000000_000000.mp4</v>
      </c>
      <c r="O43" s="50"/>
      <c r="P43" s="50"/>
      <c r="Q43" s="63"/>
      <c r="R43" s="51"/>
      <c r="S43" s="51"/>
      <c r="T43" s="51"/>
    </row>
    <row r="44">
      <c r="A44" s="51" t="str">
        <f>IFERROR(__xludf.DUMMYFUNCTION("""COMPUTED_VALUE"""),"Opening remarks")</f>
        <v>Opening remarks</v>
      </c>
      <c r="B44" s="51" t="str">
        <f>IFERROR(__xludf.DUMMYFUNCTION("""COMPUTED_VALUE"""),"Future Societies")</f>
        <v>Future Societies</v>
      </c>
      <c r="C44" s="56" t="str">
        <f>IFERROR(__xludf.DUMMYFUNCTION("""COMPUTED_VALUE"""),"Orla Canavan")</f>
        <v>Orla Canavan</v>
      </c>
      <c r="D44" s="51" t="str">
        <f>IFERROR(__xludf.DUMMYFUNCTION("""COMPUTED_VALUE"""),"2019/11/07 12:50:00")</f>
        <v>2019/11/07 12:50:00</v>
      </c>
      <c r="E44" s="51" t="str">
        <f>IFERROR(__xludf.DUMMYFUNCTION("""COMPUTED_VALUE"""),"2019/11/07 13:00:00")</f>
        <v>2019/11/07 13:00:00</v>
      </c>
      <c r="F44" s="51" t="str">
        <f>IFERROR(__xludf.DUMMYFUNCTION("""COMPUTED_VALUE"""),"2261562b-dac4-486b-97b0-6e973c0a384d")</f>
        <v>2261562b-dac4-486b-97b0-6e973c0a384d</v>
      </c>
      <c r="G44" s="58">
        <f>IFERROR(__xludf.DUMMYFUNCTION("""COMPUTED_VALUE"""),43776.0)</f>
        <v>43776</v>
      </c>
      <c r="H44" s="60">
        <f>IFERROR(__xludf.DUMMYFUNCTION("""COMPUTED_VALUE"""),0.5347222222222222)</f>
        <v>0.5347222222</v>
      </c>
      <c r="I44" s="58">
        <f>IFERROR(__xludf.DUMMYFUNCTION("""COMPUTED_VALUE"""),43776.0)</f>
        <v>43776</v>
      </c>
      <c r="J44" s="60">
        <f>IFERROR(__xludf.DUMMYFUNCTION("""COMPUTED_VALUE"""),0.5416666666666666)</f>
        <v>0.5416666667</v>
      </c>
      <c r="K44" s="60">
        <f t="shared" si="1"/>
        <v>0.006944444444</v>
      </c>
      <c r="L44" s="51" t="s">
        <v>124</v>
      </c>
      <c r="M44" s="62" t="s">
        <v>421</v>
      </c>
      <c r="N44" s="75" t="str">
        <f t="shared" si="2"/>
        <v>FS_7_7_2261562b-dac4-486b-97b0-6e973c0a384d_000000_000000.mp4</v>
      </c>
      <c r="O44" s="50"/>
      <c r="P44" s="50"/>
      <c r="Q44" s="63"/>
      <c r="R44" s="51"/>
      <c r="S44" s="51"/>
      <c r="T44" s="51"/>
    </row>
    <row r="45">
      <c r="A45" s="51" t="str">
        <f>IFERROR(__xludf.DUMMYFUNCTION("""COMPUTED_VALUE"""),"From the ballot box to blockchain")</f>
        <v>From the ballot box to blockchain</v>
      </c>
      <c r="B45" s="51" t="str">
        <f>IFERROR(__xludf.DUMMYFUNCTION("""COMPUTED_VALUE"""),"Future Societies")</f>
        <v>Future Societies</v>
      </c>
      <c r="C45" s="56" t="str">
        <f>IFERROR(__xludf.DUMMYFUNCTION("""COMPUTED_VALUE"""),"Sheila Nix, Andre Mcgregor, Silvia Caparros and Donie O'Sullivan")</f>
        <v>Sheila Nix, Andre Mcgregor, Silvia Caparros and Donie O'Sullivan</v>
      </c>
      <c r="D45" s="51" t="str">
        <f>IFERROR(__xludf.DUMMYFUNCTION("""COMPUTED_VALUE"""),"2019/11/07 13:00:00")</f>
        <v>2019/11/07 13:00:00</v>
      </c>
      <c r="E45" s="51" t="str">
        <f>IFERROR(__xludf.DUMMYFUNCTION("""COMPUTED_VALUE"""),"2019/11/07 13:20:00")</f>
        <v>2019/11/07 13:20:00</v>
      </c>
      <c r="F45" s="51" t="str">
        <f>IFERROR(__xludf.DUMMYFUNCTION("""COMPUTED_VALUE"""),"35695412-e8d7-48cb-8a32-c0d6a556eb36")</f>
        <v>35695412-e8d7-48cb-8a32-c0d6a556eb36</v>
      </c>
      <c r="G45" s="58">
        <f>IFERROR(__xludf.DUMMYFUNCTION("""COMPUTED_VALUE"""),43776.0)</f>
        <v>43776</v>
      </c>
      <c r="H45" s="60">
        <f>IFERROR(__xludf.DUMMYFUNCTION("""COMPUTED_VALUE"""),0.5416666666666666)</f>
        <v>0.5416666667</v>
      </c>
      <c r="I45" s="58">
        <f>IFERROR(__xludf.DUMMYFUNCTION("""COMPUTED_VALUE"""),43776.0)</f>
        <v>43776</v>
      </c>
      <c r="J45" s="60">
        <f>IFERROR(__xludf.DUMMYFUNCTION("""COMPUTED_VALUE"""),0.5555555555555556)</f>
        <v>0.5555555556</v>
      </c>
      <c r="K45" s="60">
        <f t="shared" si="1"/>
        <v>0.01388888889</v>
      </c>
      <c r="L45" s="51" t="s">
        <v>111</v>
      </c>
      <c r="M45" s="62" t="s">
        <v>422</v>
      </c>
      <c r="N45" s="75" t="str">
        <f t="shared" si="2"/>
        <v>FS_7_8_35695412-e8d7-48cb-8a32-c0d6a556eb36_000000_000000.mp4</v>
      </c>
      <c r="O45" s="50"/>
      <c r="P45" s="50"/>
      <c r="Q45" s="63"/>
      <c r="R45" s="51"/>
      <c r="S45" s="51"/>
      <c r="T45" s="51"/>
    </row>
    <row r="46">
      <c r="A46" s="51" t="str">
        <f>IFERROR(__xludf.DUMMYFUNCTION("""COMPUTED_VALUE"""),"Battling for the better angels of our nature")</f>
        <v>Battling for the better angels of our nature</v>
      </c>
      <c r="B46" s="51" t="str">
        <f>IFERROR(__xludf.DUMMYFUNCTION("""COMPUTED_VALUE"""),"Future Societies")</f>
        <v>Future Societies</v>
      </c>
      <c r="C46" s="56" t="str">
        <f>IFERROR(__xludf.DUMMYFUNCTION("""COMPUTED_VALUE"""),"Kumi Naidoo and Tshepo Mokoena")</f>
        <v>Kumi Naidoo and Tshepo Mokoena</v>
      </c>
      <c r="D46" s="51" t="str">
        <f>IFERROR(__xludf.DUMMYFUNCTION("""COMPUTED_VALUE"""),"2019/11/07 13:20:00")</f>
        <v>2019/11/07 13:20:00</v>
      </c>
      <c r="E46" s="51" t="str">
        <f>IFERROR(__xludf.DUMMYFUNCTION("""COMPUTED_VALUE"""),"2019/11/07 13:40:00")</f>
        <v>2019/11/07 13:40:00</v>
      </c>
      <c r="F46" s="51" t="str">
        <f>IFERROR(__xludf.DUMMYFUNCTION("""COMPUTED_VALUE"""),"0d908ad4-fa35-4fbf-850c-a91619cad298")</f>
        <v>0d908ad4-fa35-4fbf-850c-a91619cad298</v>
      </c>
      <c r="G46" s="58">
        <f>IFERROR(__xludf.DUMMYFUNCTION("""COMPUTED_VALUE"""),43776.0)</f>
        <v>43776</v>
      </c>
      <c r="H46" s="60">
        <f>IFERROR(__xludf.DUMMYFUNCTION("""COMPUTED_VALUE"""),0.5555555555555556)</f>
        <v>0.5555555556</v>
      </c>
      <c r="I46" s="58">
        <f>IFERROR(__xludf.DUMMYFUNCTION("""COMPUTED_VALUE"""),43776.0)</f>
        <v>43776</v>
      </c>
      <c r="J46" s="60">
        <f>IFERROR(__xludf.DUMMYFUNCTION("""COMPUTED_VALUE"""),0.5694444444444444)</f>
        <v>0.5694444444</v>
      </c>
      <c r="K46" s="60">
        <f t="shared" si="1"/>
        <v>0.01388888889</v>
      </c>
      <c r="L46" s="51" t="s">
        <v>111</v>
      </c>
      <c r="M46" s="62" t="s">
        <v>423</v>
      </c>
      <c r="N46" s="75" t="str">
        <f t="shared" si="2"/>
        <v>FS_7_9_0d908ad4-fa35-4fbf-850c-a91619cad298_000000_000000.mp4</v>
      </c>
      <c r="O46" s="50"/>
      <c r="P46" s="50"/>
      <c r="Q46" s="63"/>
      <c r="R46" s="51"/>
      <c r="S46" s="51"/>
      <c r="T46" s="51"/>
    </row>
    <row r="47">
      <c r="A47" s="51" t="str">
        <f>IFERROR(__xludf.DUMMYFUNCTION("""COMPUTED_VALUE"""),"Are data rights human rights?")</f>
        <v>Are data rights human rights?</v>
      </c>
      <c r="B47" s="51" t="str">
        <f>IFERROR(__xludf.DUMMYFUNCTION("""COMPUTED_VALUE"""),"Future Societies")</f>
        <v>Future Societies</v>
      </c>
      <c r="C47" s="56" t="str">
        <f>IFERROR(__xludf.DUMMYFUNCTION("""COMPUTED_VALUE"""),"Regan Ralph, Michael O'Flaherty, Arthur Hu and Rani Molla")</f>
        <v>Regan Ralph, Michael O'Flaherty, Arthur Hu and Rani Molla</v>
      </c>
      <c r="D47" s="51" t="str">
        <f>IFERROR(__xludf.DUMMYFUNCTION("""COMPUTED_VALUE"""),"2019/11/07 13:40:00")</f>
        <v>2019/11/07 13:40:00</v>
      </c>
      <c r="E47" s="51" t="str">
        <f>IFERROR(__xludf.DUMMYFUNCTION("""COMPUTED_VALUE"""),"2019/11/07 14:00:00")</f>
        <v>2019/11/07 14:00:00</v>
      </c>
      <c r="F47" s="51" t="str">
        <f>IFERROR(__xludf.DUMMYFUNCTION("""COMPUTED_VALUE"""),"1ce1a88d-c78a-4f9d-9276-85a0d8e1d3c7")</f>
        <v>1ce1a88d-c78a-4f9d-9276-85a0d8e1d3c7</v>
      </c>
      <c r="G47" s="58">
        <f>IFERROR(__xludf.DUMMYFUNCTION("""COMPUTED_VALUE"""),43776.0)</f>
        <v>43776</v>
      </c>
      <c r="H47" s="60">
        <f>IFERROR(__xludf.DUMMYFUNCTION("""COMPUTED_VALUE"""),0.5694444444444444)</f>
        <v>0.5694444444</v>
      </c>
      <c r="I47" s="58">
        <f>IFERROR(__xludf.DUMMYFUNCTION("""COMPUTED_VALUE"""),43776.0)</f>
        <v>43776</v>
      </c>
      <c r="J47" s="60">
        <f>IFERROR(__xludf.DUMMYFUNCTION("""COMPUTED_VALUE"""),0.5833333333333334)</f>
        <v>0.5833333333</v>
      </c>
      <c r="K47" s="60">
        <f t="shared" si="1"/>
        <v>0.01388888889</v>
      </c>
      <c r="L47" s="51" t="s">
        <v>111</v>
      </c>
      <c r="M47" s="62" t="s">
        <v>424</v>
      </c>
      <c r="N47" s="75" t="str">
        <f t="shared" si="2"/>
        <v>FS_7_10_1ce1a88d-c78a-4f9d-9276-85a0d8e1d3c7_000000_000000.mp4</v>
      </c>
      <c r="O47" s="50"/>
      <c r="P47" s="50"/>
      <c r="Q47" s="63"/>
      <c r="R47" s="51"/>
      <c r="S47" s="51"/>
      <c r="T47" s="51"/>
    </row>
    <row r="48">
      <c r="A48" s="51" t="str">
        <f>IFERROR(__xludf.DUMMYFUNCTION("""COMPUTED_VALUE"""),"Can technology revitalise democracy?")</f>
        <v>Can technology revitalise democracy?</v>
      </c>
      <c r="B48" s="51" t="str">
        <f>IFERROR(__xludf.DUMMYFUNCTION("""COMPUTED_VALUE"""),"Future Societies")</f>
        <v>Future Societies</v>
      </c>
      <c r="C48" s="56" t="str">
        <f>IFERROR(__xludf.DUMMYFUNCTION("""COMPUTED_VALUE"""),"Sheila Nix, Ayman Hariri, Carlos Moedas and Hans Kundnani")</f>
        <v>Sheila Nix, Ayman Hariri, Carlos Moedas and Hans Kundnani</v>
      </c>
      <c r="D48" s="51" t="str">
        <f>IFERROR(__xludf.DUMMYFUNCTION("""COMPUTED_VALUE"""),"2019/11/07 14:00:00")</f>
        <v>2019/11/07 14:00:00</v>
      </c>
      <c r="E48" s="51" t="str">
        <f>IFERROR(__xludf.DUMMYFUNCTION("""COMPUTED_VALUE"""),"2019/11/07 14:20:00")</f>
        <v>2019/11/07 14:20:00</v>
      </c>
      <c r="F48" s="51" t="str">
        <f>IFERROR(__xludf.DUMMYFUNCTION("""COMPUTED_VALUE"""),"5278877b-bb2b-411a-ab6a-1134cbe228a4")</f>
        <v>5278877b-bb2b-411a-ab6a-1134cbe228a4</v>
      </c>
      <c r="G48" s="58">
        <f>IFERROR(__xludf.DUMMYFUNCTION("""COMPUTED_VALUE"""),43776.0)</f>
        <v>43776</v>
      </c>
      <c r="H48" s="60">
        <f>IFERROR(__xludf.DUMMYFUNCTION("""COMPUTED_VALUE"""),0.5833333333333334)</f>
        <v>0.5833333333</v>
      </c>
      <c r="I48" s="58">
        <f>IFERROR(__xludf.DUMMYFUNCTION("""COMPUTED_VALUE"""),43776.0)</f>
        <v>43776</v>
      </c>
      <c r="J48" s="60">
        <f>IFERROR(__xludf.DUMMYFUNCTION("""COMPUTED_VALUE"""),0.5972222222222222)</f>
        <v>0.5972222222</v>
      </c>
      <c r="K48" s="60">
        <f t="shared" si="1"/>
        <v>0.01388888889</v>
      </c>
      <c r="L48" s="51" t="s">
        <v>111</v>
      </c>
      <c r="M48" s="62" t="s">
        <v>425</v>
      </c>
      <c r="N48" s="75" t="str">
        <f t="shared" si="2"/>
        <v>FS_7_11_5278877b-bb2b-411a-ab6a-1134cbe228a4_000000_000000.mp4</v>
      </c>
      <c r="O48" s="50"/>
      <c r="P48" s="50"/>
      <c r="Q48" s="63"/>
      <c r="R48" s="51"/>
      <c r="S48" s="51"/>
      <c r="T48" s="51"/>
    </row>
    <row r="49">
      <c r="A49" s="51" t="str">
        <f>IFERROR(__xludf.DUMMYFUNCTION("""COMPUTED_VALUE"""),"Closing the digital divide: the power of tech to drive change in the world ")</f>
        <v>Closing the digital divide: the power of tech to drive change in the world </v>
      </c>
      <c r="B49" s="51" t="str">
        <f>IFERROR(__xludf.DUMMYFUNCTION("""COMPUTED_VALUE"""),"Future Societies")</f>
        <v>Future Societies</v>
      </c>
      <c r="C49" s="56" t="str">
        <f>IFERROR(__xludf.DUMMYFUNCTION("""COMPUTED_VALUE"""),"Maya Horgan Famodu, Jonathan McKay, Sebastien Codeville and Philip Crowther")</f>
        <v>Maya Horgan Famodu, Jonathan McKay, Sebastien Codeville and Philip Crowther</v>
      </c>
      <c r="D49" s="51" t="str">
        <f>IFERROR(__xludf.DUMMYFUNCTION("""COMPUTED_VALUE"""),"2019/11/07 14:20:00")</f>
        <v>2019/11/07 14:20:00</v>
      </c>
      <c r="E49" s="51" t="str">
        <f>IFERROR(__xludf.DUMMYFUNCTION("""COMPUTED_VALUE"""),"2019/11/07 14:40:00")</f>
        <v>2019/11/07 14:40:00</v>
      </c>
      <c r="F49" s="51" t="str">
        <f>IFERROR(__xludf.DUMMYFUNCTION("""COMPUTED_VALUE"""),"bcb5c8d9-14d9-42ad-b67c-7a92cee4d4d3")</f>
        <v>bcb5c8d9-14d9-42ad-b67c-7a92cee4d4d3</v>
      </c>
      <c r="G49" s="58">
        <f>IFERROR(__xludf.DUMMYFUNCTION("""COMPUTED_VALUE"""),43776.0)</f>
        <v>43776</v>
      </c>
      <c r="H49" s="60">
        <f>IFERROR(__xludf.DUMMYFUNCTION("""COMPUTED_VALUE"""),0.5972222222222222)</f>
        <v>0.5972222222</v>
      </c>
      <c r="I49" s="58">
        <f>IFERROR(__xludf.DUMMYFUNCTION("""COMPUTED_VALUE"""),43776.0)</f>
        <v>43776</v>
      </c>
      <c r="J49" s="60">
        <f>IFERROR(__xludf.DUMMYFUNCTION("""COMPUTED_VALUE"""),0.6111111111111112)</f>
        <v>0.6111111111</v>
      </c>
      <c r="K49" s="60">
        <f t="shared" si="1"/>
        <v>0.01388888889</v>
      </c>
      <c r="L49" s="51" t="s">
        <v>111</v>
      </c>
      <c r="M49" s="62" t="s">
        <v>426</v>
      </c>
      <c r="N49" s="75" t="str">
        <f t="shared" si="2"/>
        <v>FS_7_12_bcb5c8d9-14d9-42ad-b67c-7a92cee4d4d3_000000_000000.mp4</v>
      </c>
      <c r="O49" s="50"/>
      <c r="P49" s="50"/>
      <c r="Q49" s="63"/>
      <c r="R49" s="51"/>
      <c r="S49" s="51"/>
      <c r="T49" s="51"/>
    </row>
    <row r="50">
      <c r="A50" s="51" t="str">
        <f>IFERROR(__xludf.DUMMYFUNCTION("""COMPUTED_VALUE"""),"Putting the ""justice"" in criminal justice reform")</f>
        <v>Putting the "justice" in criminal justice reform</v>
      </c>
      <c r="B50" s="51" t="str">
        <f>IFERROR(__xludf.DUMMYFUNCTION("""COMPUTED_VALUE"""),"Future Societies")</f>
        <v>Future Societies</v>
      </c>
      <c r="C50" s="56" t="str">
        <f>IFERROR(__xludf.DUMMYFUNCTION("""COMPUTED_VALUE"""),"Daniel Yanisse, Julia Salasky and James Ball")</f>
        <v>Daniel Yanisse, Julia Salasky and James Ball</v>
      </c>
      <c r="D50" s="51" t="str">
        <f>IFERROR(__xludf.DUMMYFUNCTION("""COMPUTED_VALUE"""),"2019/11/07 14:40:00")</f>
        <v>2019/11/07 14:40:00</v>
      </c>
      <c r="E50" s="51" t="str">
        <f>IFERROR(__xludf.DUMMYFUNCTION("""COMPUTED_VALUE"""),"2019/11/07 15:00:00")</f>
        <v>2019/11/07 15:00:00</v>
      </c>
      <c r="F50" s="51" t="str">
        <f>IFERROR(__xludf.DUMMYFUNCTION("""COMPUTED_VALUE"""),"55919ada-7139-47a7-8c18-1b580f1fcd81")</f>
        <v>55919ada-7139-47a7-8c18-1b580f1fcd81</v>
      </c>
      <c r="G50" s="58">
        <f>IFERROR(__xludf.DUMMYFUNCTION("""COMPUTED_VALUE"""),43776.0)</f>
        <v>43776</v>
      </c>
      <c r="H50" s="60">
        <f>IFERROR(__xludf.DUMMYFUNCTION("""COMPUTED_VALUE"""),0.6111111111111112)</f>
        <v>0.6111111111</v>
      </c>
      <c r="I50" s="58">
        <f>IFERROR(__xludf.DUMMYFUNCTION("""COMPUTED_VALUE"""),43776.0)</f>
        <v>43776</v>
      </c>
      <c r="J50" s="60">
        <f>IFERROR(__xludf.DUMMYFUNCTION("""COMPUTED_VALUE"""),0.625)</f>
        <v>0.625</v>
      </c>
      <c r="K50" s="60">
        <f t="shared" si="1"/>
        <v>0.01388888889</v>
      </c>
      <c r="L50" s="51" t="s">
        <v>111</v>
      </c>
      <c r="M50" s="62" t="s">
        <v>427</v>
      </c>
      <c r="N50" s="75" t="str">
        <f t="shared" si="2"/>
        <v>FS_7_13_55919ada-7139-47a7-8c18-1b580f1fcd81_000000_000000.mp4</v>
      </c>
      <c r="O50" s="50"/>
      <c r="P50" s="50"/>
      <c r="Q50" s="63"/>
      <c r="R50" s="51"/>
      <c r="S50" s="51"/>
      <c r="T50" s="51"/>
    </row>
    <row r="51">
      <c r="A51" s="51" t="str">
        <f>IFERROR(__xludf.DUMMYFUNCTION("""COMPUTED_VALUE"""),"Can you manufacture dissent?")</f>
        <v>Can you manufacture dissent?</v>
      </c>
      <c r="B51" s="51" t="str">
        <f>IFERROR(__xludf.DUMMYFUNCTION("""COMPUTED_VALUE"""),"Future Societies")</f>
        <v>Future Societies</v>
      </c>
      <c r="C51" s="56" t="str">
        <f>IFERROR(__xludf.DUMMYFUNCTION("""COMPUTED_VALUE"""),"Michael Pillsbury and Ryan Broderick")</f>
        <v>Michael Pillsbury and Ryan Broderick</v>
      </c>
      <c r="D51" s="51" t="str">
        <f>IFERROR(__xludf.DUMMYFUNCTION("""COMPUTED_VALUE"""),"2019/11/07 15:00:00")</f>
        <v>2019/11/07 15:00:00</v>
      </c>
      <c r="E51" s="51" t="str">
        <f>IFERROR(__xludf.DUMMYFUNCTION("""COMPUTED_VALUE"""),"2019/11/07 15:25:00")</f>
        <v>2019/11/07 15:25:00</v>
      </c>
      <c r="F51" s="51" t="str">
        <f>IFERROR(__xludf.DUMMYFUNCTION("""COMPUTED_VALUE"""),"6bcbad01-b938-4ba6-9fa9-0680d90c6015")</f>
        <v>6bcbad01-b938-4ba6-9fa9-0680d90c6015</v>
      </c>
      <c r="G51" s="58">
        <f>IFERROR(__xludf.DUMMYFUNCTION("""COMPUTED_VALUE"""),43776.0)</f>
        <v>43776</v>
      </c>
      <c r="H51" s="60">
        <f>IFERROR(__xludf.DUMMYFUNCTION("""COMPUTED_VALUE"""),0.625)</f>
        <v>0.625</v>
      </c>
      <c r="I51" s="58">
        <f>IFERROR(__xludf.DUMMYFUNCTION("""COMPUTED_VALUE"""),43776.0)</f>
        <v>43776</v>
      </c>
      <c r="J51" s="60">
        <f>IFERROR(__xludf.DUMMYFUNCTION("""COMPUTED_VALUE"""),0.6423611111111112)</f>
        <v>0.6423611111</v>
      </c>
      <c r="K51" s="60">
        <f t="shared" si="1"/>
        <v>0.01736111111</v>
      </c>
      <c r="L51" s="51" t="s">
        <v>107</v>
      </c>
      <c r="M51" s="62" t="s">
        <v>428</v>
      </c>
      <c r="N51" s="75" t="str">
        <f t="shared" si="2"/>
        <v>FS_7_14_6bcbad01-b938-4ba6-9fa9-0680d90c6015_000000_000000.mp4</v>
      </c>
      <c r="O51" s="50"/>
      <c r="P51" s="50"/>
      <c r="Q51" s="63"/>
      <c r="R51" s="51"/>
      <c r="S51" s="51"/>
      <c r="T51" s="51"/>
    </row>
    <row r="52">
      <c r="A52" s="51" t="str">
        <f>IFERROR(__xludf.DUMMYFUNCTION("""COMPUTED_VALUE"""),"Promoting democratic values online")</f>
        <v>Promoting democratic values online</v>
      </c>
      <c r="B52" s="51" t="str">
        <f>IFERROR(__xludf.DUMMYFUNCTION("""COMPUTED_VALUE"""),"Future Societies")</f>
        <v>Future Societies</v>
      </c>
      <c r="C52" s="56" t="str">
        <f>IFERROR(__xludf.DUMMYFUNCTION("""COMPUTED_VALUE"""),"Věra Jourová and Sam Schechner")</f>
        <v>Věra Jourová and Sam Schechner</v>
      </c>
      <c r="D52" s="51" t="str">
        <f>IFERROR(__xludf.DUMMYFUNCTION("""COMPUTED_VALUE"""),"2019/11/07 15:25:00")</f>
        <v>2019/11/07 15:25:00</v>
      </c>
      <c r="E52" s="51" t="str">
        <f>IFERROR(__xludf.DUMMYFUNCTION("""COMPUTED_VALUE"""),"2019/11/07 15:45:00")</f>
        <v>2019/11/07 15:45:00</v>
      </c>
      <c r="F52" s="51" t="str">
        <f>IFERROR(__xludf.DUMMYFUNCTION("""COMPUTED_VALUE"""),"69aae012-f16e-4c57-878c-f87bedf64023")</f>
        <v>69aae012-f16e-4c57-878c-f87bedf64023</v>
      </c>
      <c r="G52" s="58">
        <f>IFERROR(__xludf.DUMMYFUNCTION("""COMPUTED_VALUE"""),43776.0)</f>
        <v>43776</v>
      </c>
      <c r="H52" s="60">
        <f>IFERROR(__xludf.DUMMYFUNCTION("""COMPUTED_VALUE"""),0.6423611111111112)</f>
        <v>0.6423611111</v>
      </c>
      <c r="I52" s="58">
        <f>IFERROR(__xludf.DUMMYFUNCTION("""COMPUTED_VALUE"""),43776.0)</f>
        <v>43776</v>
      </c>
      <c r="J52" s="60">
        <f>IFERROR(__xludf.DUMMYFUNCTION("""COMPUTED_VALUE"""),0.65625)</f>
        <v>0.65625</v>
      </c>
      <c r="K52" s="60">
        <f t="shared" si="1"/>
        <v>0.01388888889</v>
      </c>
      <c r="L52" s="51" t="s">
        <v>111</v>
      </c>
      <c r="M52" s="62" t="s">
        <v>429</v>
      </c>
      <c r="N52" s="75" t="str">
        <f t="shared" si="2"/>
        <v>FS_7_15_69aae012-f16e-4c57-878c-f87bedf64023_000000_000000.mp4</v>
      </c>
      <c r="O52" s="50"/>
      <c r="P52" s="50"/>
      <c r="Q52" s="63"/>
      <c r="R52" s="51"/>
      <c r="S52" s="51"/>
      <c r="T52" s="51"/>
    </row>
    <row r="53">
      <c r="A53" s="51"/>
      <c r="B53" s="51"/>
      <c r="C53" s="56"/>
      <c r="D53" s="51"/>
      <c r="E53" s="51"/>
      <c r="F53" s="51"/>
      <c r="G53" s="51" t="str">
        <f>IFERROR(__xludf.DUMMYFUNCTION("""COMPUTED_VALUE"""),"#VALUE!")</f>
        <v>#VALUE!</v>
      </c>
      <c r="H53" s="51" t="str">
        <f>IFERROR(__xludf.DUMMYFUNCTION("""COMPUTED_VALUE"""),"")</f>
        <v/>
      </c>
      <c r="I53" s="51" t="str">
        <f>IFERROR(__xludf.DUMMYFUNCTION("""COMPUTED_VALUE"""),"#VALUE!")</f>
        <v>#VALUE!</v>
      </c>
      <c r="J53" s="51" t="str">
        <f>IFERROR(__xludf.DUMMYFUNCTION("""COMPUTED_VALUE"""),"")</f>
        <v/>
      </c>
      <c r="K53" s="51">
        <f t="shared" si="1"/>
        <v>0</v>
      </c>
      <c r="L53" s="51" t="s">
        <v>257</v>
      </c>
      <c r="M53" s="51"/>
      <c r="N53" s="51"/>
      <c r="O53" s="51"/>
      <c r="P53" s="51"/>
      <c r="Q53" s="51"/>
      <c r="R53" s="51"/>
      <c r="S53" s="51"/>
      <c r="T53" s="51"/>
    </row>
    <row r="54">
      <c r="A54" s="51"/>
      <c r="B54" s="51"/>
      <c r="C54" s="56"/>
      <c r="D54" s="51"/>
      <c r="E54" s="51"/>
      <c r="F54" s="51"/>
      <c r="G54" s="51" t="str">
        <f>IFERROR(__xludf.DUMMYFUNCTION("""COMPUTED_VALUE"""),"#VALUE!")</f>
        <v>#VALUE!</v>
      </c>
      <c r="H54" s="51" t="str">
        <f>IFERROR(__xludf.DUMMYFUNCTION("""COMPUTED_VALUE"""),"")</f>
        <v/>
      </c>
      <c r="I54" s="51" t="str">
        <f>IFERROR(__xludf.DUMMYFUNCTION("""COMPUTED_VALUE"""),"#VALUE!")</f>
        <v>#VALUE!</v>
      </c>
      <c r="J54" s="51" t="str">
        <f>IFERROR(__xludf.DUMMYFUNCTION("""COMPUTED_VALUE"""),"")</f>
        <v/>
      </c>
      <c r="K54" s="51">
        <f t="shared" si="1"/>
        <v>0</v>
      </c>
      <c r="L54" s="51" t="s">
        <v>257</v>
      </c>
      <c r="M54" s="51"/>
      <c r="N54" s="51"/>
      <c r="O54" s="51"/>
      <c r="P54" s="51"/>
      <c r="Q54" s="51"/>
      <c r="R54" s="51"/>
      <c r="S54" s="51"/>
      <c r="T54" s="51"/>
    </row>
    <row r="55">
      <c r="A55" s="51"/>
      <c r="B55" s="51"/>
      <c r="C55" s="56"/>
      <c r="D55" s="51"/>
      <c r="E55" s="51"/>
      <c r="F55" s="51"/>
      <c r="G55" s="51" t="str">
        <f>IFERROR(__xludf.DUMMYFUNCTION("""COMPUTED_VALUE"""),"#VALUE!")</f>
        <v>#VALUE!</v>
      </c>
      <c r="H55" s="51" t="str">
        <f>IFERROR(__xludf.DUMMYFUNCTION("""COMPUTED_VALUE"""),"")</f>
        <v/>
      </c>
      <c r="I55" s="51" t="str">
        <f>IFERROR(__xludf.DUMMYFUNCTION("""COMPUTED_VALUE"""),"#VALUE!")</f>
        <v>#VALUE!</v>
      </c>
      <c r="J55" s="51" t="str">
        <f>IFERROR(__xludf.DUMMYFUNCTION("""COMPUTED_VALUE"""),"")</f>
        <v/>
      </c>
      <c r="K55" s="51">
        <f t="shared" si="1"/>
        <v>0</v>
      </c>
      <c r="L55" s="51" t="s">
        <v>257</v>
      </c>
      <c r="M55" s="51"/>
      <c r="N55" s="51"/>
      <c r="O55" s="51"/>
      <c r="P55" s="51"/>
      <c r="Q55" s="51"/>
      <c r="R55" s="51"/>
      <c r="S55" s="51"/>
      <c r="T55" s="51"/>
    </row>
    <row r="56">
      <c r="A56" s="51"/>
      <c r="B56" s="51"/>
      <c r="C56" s="56"/>
      <c r="D56" s="51"/>
      <c r="E56" s="51"/>
      <c r="F56" s="51"/>
      <c r="G56" s="51" t="str">
        <f>IFERROR(__xludf.DUMMYFUNCTION("""COMPUTED_VALUE"""),"#VALUE!")</f>
        <v>#VALUE!</v>
      </c>
      <c r="H56" s="51" t="str">
        <f>IFERROR(__xludf.DUMMYFUNCTION("""COMPUTED_VALUE"""),"")</f>
        <v/>
      </c>
      <c r="I56" s="51" t="str">
        <f>IFERROR(__xludf.DUMMYFUNCTION("""COMPUTED_VALUE"""),"#VALUE!")</f>
        <v>#VALUE!</v>
      </c>
      <c r="J56" s="51" t="str">
        <f>IFERROR(__xludf.DUMMYFUNCTION("""COMPUTED_VALUE"""),"")</f>
        <v/>
      </c>
      <c r="K56" s="51">
        <f t="shared" si="1"/>
        <v>0</v>
      </c>
      <c r="L56" s="51" t="s">
        <v>257</v>
      </c>
      <c r="M56" s="51"/>
      <c r="N56" s="51"/>
      <c r="O56" s="51"/>
      <c r="P56" s="51"/>
      <c r="Q56" s="51"/>
      <c r="R56" s="51"/>
      <c r="S56" s="51"/>
      <c r="T56" s="51"/>
    </row>
    <row r="57">
      <c r="A57" s="51"/>
      <c r="B57" s="51"/>
      <c r="C57" s="56"/>
      <c r="D57" s="51"/>
      <c r="E57" s="51"/>
      <c r="F57" s="51"/>
      <c r="G57" s="51" t="str">
        <f>IFERROR(__xludf.DUMMYFUNCTION("""COMPUTED_VALUE"""),"#VALUE!")</f>
        <v>#VALUE!</v>
      </c>
      <c r="H57" s="51" t="str">
        <f>IFERROR(__xludf.DUMMYFUNCTION("""COMPUTED_VALUE"""),"")</f>
        <v/>
      </c>
      <c r="I57" s="51" t="str">
        <f>IFERROR(__xludf.DUMMYFUNCTION("""COMPUTED_VALUE"""),"#VALUE!")</f>
        <v>#VALUE!</v>
      </c>
      <c r="J57" s="51" t="str">
        <f>IFERROR(__xludf.DUMMYFUNCTION("""COMPUTED_VALUE"""),"")</f>
        <v/>
      </c>
      <c r="K57" s="51">
        <f t="shared" si="1"/>
        <v>0</v>
      </c>
      <c r="L57" s="51" t="s">
        <v>257</v>
      </c>
      <c r="M57" s="51"/>
      <c r="N57" s="51"/>
      <c r="O57" s="51"/>
      <c r="P57" s="51"/>
      <c r="Q57" s="51"/>
      <c r="R57" s="51"/>
      <c r="S57" s="51"/>
      <c r="T57" s="51"/>
    </row>
    <row r="58">
      <c r="A58" s="51"/>
      <c r="B58" s="51"/>
      <c r="C58" s="56"/>
      <c r="D58" s="51"/>
      <c r="E58" s="51"/>
      <c r="F58" s="51"/>
      <c r="G58" s="51" t="str">
        <f>IFERROR(__xludf.DUMMYFUNCTION("""COMPUTED_VALUE"""),"#VALUE!")</f>
        <v>#VALUE!</v>
      </c>
      <c r="H58" s="51" t="str">
        <f>IFERROR(__xludf.DUMMYFUNCTION("""COMPUTED_VALUE"""),"")</f>
        <v/>
      </c>
      <c r="I58" s="51" t="str">
        <f>IFERROR(__xludf.DUMMYFUNCTION("""COMPUTED_VALUE"""),"#VALUE!")</f>
        <v>#VALUE!</v>
      </c>
      <c r="J58" s="51" t="str">
        <f>IFERROR(__xludf.DUMMYFUNCTION("""COMPUTED_VALUE"""),"")</f>
        <v/>
      </c>
      <c r="K58" s="51">
        <f t="shared" si="1"/>
        <v>0</v>
      </c>
      <c r="L58" s="51" t="s">
        <v>257</v>
      </c>
      <c r="M58" s="51"/>
      <c r="N58" s="51"/>
      <c r="O58" s="51"/>
      <c r="P58" s="51"/>
      <c r="Q58" s="51"/>
      <c r="R58" s="51"/>
      <c r="S58" s="51"/>
      <c r="T58" s="51"/>
    </row>
    <row r="59">
      <c r="A59" s="51"/>
      <c r="B59" s="51"/>
      <c r="C59" s="56"/>
      <c r="D59" s="51"/>
      <c r="E59" s="51"/>
      <c r="F59" s="51"/>
      <c r="G59" s="51" t="str">
        <f>IFERROR(__xludf.DUMMYFUNCTION("""COMPUTED_VALUE"""),"#VALUE!")</f>
        <v>#VALUE!</v>
      </c>
      <c r="H59" s="51" t="str">
        <f>IFERROR(__xludf.DUMMYFUNCTION("""COMPUTED_VALUE"""),"")</f>
        <v/>
      </c>
      <c r="I59" s="51" t="str">
        <f>IFERROR(__xludf.DUMMYFUNCTION("""COMPUTED_VALUE"""),"#VALUE!")</f>
        <v>#VALUE!</v>
      </c>
      <c r="J59" s="51" t="str">
        <f>IFERROR(__xludf.DUMMYFUNCTION("""COMPUTED_VALUE"""),"")</f>
        <v/>
      </c>
      <c r="K59" s="51">
        <f t="shared" si="1"/>
        <v>0</v>
      </c>
      <c r="L59" s="51" t="s">
        <v>257</v>
      </c>
      <c r="M59" s="51"/>
      <c r="N59" s="51"/>
      <c r="O59" s="51"/>
      <c r="P59" s="51"/>
      <c r="Q59" s="51"/>
      <c r="R59" s="51"/>
      <c r="S59" s="51"/>
      <c r="T59" s="51"/>
    </row>
    <row r="60">
      <c r="A60" s="51"/>
      <c r="B60" s="51"/>
      <c r="C60" s="56"/>
      <c r="D60" s="51"/>
      <c r="E60" s="51"/>
      <c r="F60" s="51"/>
      <c r="G60" s="51" t="str">
        <f>IFERROR(__xludf.DUMMYFUNCTION("""COMPUTED_VALUE"""),"#VALUE!")</f>
        <v>#VALUE!</v>
      </c>
      <c r="H60" s="51" t="str">
        <f>IFERROR(__xludf.DUMMYFUNCTION("""COMPUTED_VALUE"""),"")</f>
        <v/>
      </c>
      <c r="I60" s="51" t="str">
        <f>IFERROR(__xludf.DUMMYFUNCTION("""COMPUTED_VALUE"""),"#VALUE!")</f>
        <v>#VALUE!</v>
      </c>
      <c r="J60" s="51" t="str">
        <f>IFERROR(__xludf.DUMMYFUNCTION("""COMPUTED_VALUE"""),"")</f>
        <v/>
      </c>
      <c r="K60" s="51">
        <f t="shared" si="1"/>
        <v>0</v>
      </c>
      <c r="L60" s="51" t="s">
        <v>257</v>
      </c>
      <c r="M60" s="51"/>
      <c r="N60" s="51"/>
      <c r="O60" s="51"/>
      <c r="P60" s="51"/>
      <c r="Q60" s="51"/>
      <c r="R60" s="51"/>
      <c r="S60" s="51"/>
      <c r="T60" s="51"/>
    </row>
    <row r="61">
      <c r="A61" s="51"/>
      <c r="B61" s="51"/>
      <c r="C61" s="56"/>
      <c r="D61" s="51"/>
      <c r="E61" s="51"/>
      <c r="F61" s="51"/>
      <c r="G61" s="51" t="str">
        <f>IFERROR(__xludf.DUMMYFUNCTION("""COMPUTED_VALUE"""),"#VALUE!")</f>
        <v>#VALUE!</v>
      </c>
      <c r="H61" s="51" t="str">
        <f>IFERROR(__xludf.DUMMYFUNCTION("""COMPUTED_VALUE"""),"")</f>
        <v/>
      </c>
      <c r="I61" s="51" t="str">
        <f>IFERROR(__xludf.DUMMYFUNCTION("""COMPUTED_VALUE"""),"#VALUE!")</f>
        <v>#VALUE!</v>
      </c>
      <c r="J61" s="51" t="str">
        <f>IFERROR(__xludf.DUMMYFUNCTION("""COMPUTED_VALUE"""),"")</f>
        <v/>
      </c>
      <c r="K61" s="51">
        <f t="shared" si="1"/>
        <v>0</v>
      </c>
      <c r="L61" s="51" t="s">
        <v>257</v>
      </c>
      <c r="M61" s="51"/>
      <c r="N61" s="51"/>
      <c r="O61" s="51"/>
      <c r="P61" s="51"/>
      <c r="Q61" s="51"/>
      <c r="R61" s="51"/>
      <c r="S61" s="51"/>
      <c r="T61" s="51"/>
    </row>
    <row r="62">
      <c r="A62" s="51"/>
      <c r="B62" s="51"/>
      <c r="C62" s="56"/>
      <c r="D62" s="51"/>
      <c r="E62" s="51"/>
      <c r="F62" s="51"/>
      <c r="G62" s="51" t="str">
        <f>IFERROR(__xludf.DUMMYFUNCTION("""COMPUTED_VALUE"""),"#VALUE!")</f>
        <v>#VALUE!</v>
      </c>
      <c r="H62" s="51" t="str">
        <f>IFERROR(__xludf.DUMMYFUNCTION("""COMPUTED_VALUE"""),"")</f>
        <v/>
      </c>
      <c r="I62" s="51" t="str">
        <f>IFERROR(__xludf.DUMMYFUNCTION("""COMPUTED_VALUE"""),"#VALUE!")</f>
        <v>#VALUE!</v>
      </c>
      <c r="J62" s="51" t="str">
        <f>IFERROR(__xludf.DUMMYFUNCTION("""COMPUTED_VALUE"""),"")</f>
        <v/>
      </c>
      <c r="K62" s="51">
        <f t="shared" si="1"/>
        <v>0</v>
      </c>
      <c r="L62" s="51" t="s">
        <v>257</v>
      </c>
      <c r="M62" s="51"/>
      <c r="N62" s="51"/>
      <c r="O62" s="51"/>
      <c r="P62" s="51"/>
      <c r="Q62" s="51"/>
      <c r="R62" s="51"/>
      <c r="S62" s="51"/>
      <c r="T62" s="51"/>
    </row>
    <row r="63">
      <c r="A63" s="51"/>
      <c r="B63" s="51"/>
      <c r="C63" s="56"/>
      <c r="D63" s="51"/>
      <c r="E63" s="51"/>
      <c r="F63" s="51"/>
      <c r="G63" s="51" t="str">
        <f>IFERROR(__xludf.DUMMYFUNCTION("""COMPUTED_VALUE"""),"#VALUE!")</f>
        <v>#VALUE!</v>
      </c>
      <c r="H63" s="51" t="str">
        <f>IFERROR(__xludf.DUMMYFUNCTION("""COMPUTED_VALUE"""),"")</f>
        <v/>
      </c>
      <c r="I63" s="51" t="str">
        <f>IFERROR(__xludf.DUMMYFUNCTION("""COMPUTED_VALUE"""),"#VALUE!")</f>
        <v>#VALUE!</v>
      </c>
      <c r="J63" s="51" t="str">
        <f>IFERROR(__xludf.DUMMYFUNCTION("""COMPUTED_VALUE"""),"")</f>
        <v/>
      </c>
      <c r="K63" s="51">
        <f t="shared" si="1"/>
        <v>0</v>
      </c>
      <c r="L63" s="51" t="s">
        <v>257</v>
      </c>
      <c r="M63" s="51"/>
      <c r="N63" s="51"/>
      <c r="O63" s="51"/>
      <c r="P63" s="51"/>
      <c r="Q63" s="51"/>
      <c r="R63" s="51"/>
      <c r="S63" s="51"/>
      <c r="T63" s="51"/>
    </row>
    <row r="64">
      <c r="A64" s="51"/>
      <c r="B64" s="51"/>
      <c r="C64" s="56"/>
      <c r="D64" s="51"/>
      <c r="E64" s="51"/>
      <c r="F64" s="51"/>
      <c r="G64" s="51" t="str">
        <f>IFERROR(__xludf.DUMMYFUNCTION("""COMPUTED_VALUE"""),"#VALUE!")</f>
        <v>#VALUE!</v>
      </c>
      <c r="H64" s="51" t="str">
        <f>IFERROR(__xludf.DUMMYFUNCTION("""COMPUTED_VALUE"""),"")</f>
        <v/>
      </c>
      <c r="I64" s="51" t="str">
        <f>IFERROR(__xludf.DUMMYFUNCTION("""COMPUTED_VALUE"""),"#VALUE!")</f>
        <v>#VALUE!</v>
      </c>
      <c r="J64" s="51" t="str">
        <f>IFERROR(__xludf.DUMMYFUNCTION("""COMPUTED_VALUE"""),"")</f>
        <v/>
      </c>
      <c r="K64" s="51">
        <f t="shared" si="1"/>
        <v>0</v>
      </c>
      <c r="L64" s="51" t="s">
        <v>257</v>
      </c>
      <c r="M64" s="51"/>
      <c r="N64" s="51"/>
      <c r="O64" s="51"/>
      <c r="P64" s="51"/>
      <c r="Q64" s="51"/>
      <c r="R64" s="51"/>
      <c r="S64" s="51"/>
      <c r="T64" s="51"/>
    </row>
    <row r="65">
      <c r="A65" s="51"/>
      <c r="B65" s="51"/>
      <c r="C65" s="56"/>
      <c r="D65" s="51"/>
      <c r="E65" s="51"/>
      <c r="F65" s="51"/>
      <c r="G65" s="51" t="str">
        <f>IFERROR(__xludf.DUMMYFUNCTION("""COMPUTED_VALUE"""),"#VALUE!")</f>
        <v>#VALUE!</v>
      </c>
      <c r="H65" s="51" t="str">
        <f>IFERROR(__xludf.DUMMYFUNCTION("""COMPUTED_VALUE"""),"")</f>
        <v/>
      </c>
      <c r="I65" s="51" t="str">
        <f>IFERROR(__xludf.DUMMYFUNCTION("""COMPUTED_VALUE"""),"#VALUE!")</f>
        <v>#VALUE!</v>
      </c>
      <c r="J65" s="51" t="str">
        <f>IFERROR(__xludf.DUMMYFUNCTION("""COMPUTED_VALUE"""),"")</f>
        <v/>
      </c>
      <c r="K65" s="51">
        <f t="shared" si="1"/>
        <v>0</v>
      </c>
      <c r="L65" s="51" t="s">
        <v>257</v>
      </c>
      <c r="M65" s="51"/>
      <c r="N65" s="51"/>
      <c r="O65" s="51"/>
      <c r="P65" s="51"/>
      <c r="Q65" s="51"/>
      <c r="R65" s="51"/>
      <c r="S65" s="51"/>
      <c r="T65" s="51"/>
    </row>
    <row r="66">
      <c r="A66" s="51"/>
      <c r="B66" s="51"/>
      <c r="C66" s="56"/>
      <c r="D66" s="51"/>
      <c r="E66" s="51"/>
      <c r="F66" s="51"/>
      <c r="G66" s="51" t="str">
        <f>IFERROR(__xludf.DUMMYFUNCTION("""COMPUTED_VALUE"""),"#VALUE!")</f>
        <v>#VALUE!</v>
      </c>
      <c r="H66" s="51" t="str">
        <f>IFERROR(__xludf.DUMMYFUNCTION("""COMPUTED_VALUE"""),"")</f>
        <v/>
      </c>
      <c r="I66" s="51" t="str">
        <f>IFERROR(__xludf.DUMMYFUNCTION("""COMPUTED_VALUE"""),"#VALUE!")</f>
        <v>#VALUE!</v>
      </c>
      <c r="J66" s="51" t="str">
        <f>IFERROR(__xludf.DUMMYFUNCTION("""COMPUTED_VALUE"""),"")</f>
        <v/>
      </c>
      <c r="K66" s="51">
        <f t="shared" si="1"/>
        <v>0</v>
      </c>
      <c r="L66" s="51" t="s">
        <v>257</v>
      </c>
      <c r="M66" s="51"/>
      <c r="N66" s="51"/>
      <c r="O66" s="51"/>
      <c r="P66" s="51"/>
      <c r="Q66" s="51"/>
      <c r="R66" s="51"/>
      <c r="S66" s="51"/>
      <c r="T66" s="51"/>
    </row>
    <row r="67">
      <c r="A67" s="51"/>
      <c r="B67" s="51"/>
      <c r="C67" s="56"/>
      <c r="D67" s="51"/>
      <c r="E67" s="51"/>
      <c r="F67" s="51"/>
      <c r="G67" s="51" t="str">
        <f>IFERROR(__xludf.DUMMYFUNCTION("""COMPUTED_VALUE"""),"#VALUE!")</f>
        <v>#VALUE!</v>
      </c>
      <c r="H67" s="51" t="str">
        <f>IFERROR(__xludf.DUMMYFUNCTION("""COMPUTED_VALUE"""),"")</f>
        <v/>
      </c>
      <c r="I67" s="51" t="str">
        <f>IFERROR(__xludf.DUMMYFUNCTION("""COMPUTED_VALUE"""),"#VALUE!")</f>
        <v>#VALUE!</v>
      </c>
      <c r="J67" s="51" t="str">
        <f>IFERROR(__xludf.DUMMYFUNCTION("""COMPUTED_VALUE"""),"")</f>
        <v/>
      </c>
      <c r="K67" s="51">
        <f t="shared" si="1"/>
        <v>0</v>
      </c>
      <c r="L67" s="51" t="s">
        <v>257</v>
      </c>
      <c r="M67" s="51"/>
      <c r="N67" s="51"/>
      <c r="O67" s="51"/>
      <c r="P67" s="51"/>
      <c r="Q67" s="51"/>
      <c r="R67" s="51"/>
      <c r="S67" s="51"/>
      <c r="T67" s="51"/>
    </row>
    <row r="68">
      <c r="A68" s="51"/>
      <c r="B68" s="51"/>
      <c r="C68" s="56"/>
      <c r="D68" s="51"/>
      <c r="E68" s="51"/>
      <c r="F68" s="51"/>
      <c r="G68" s="51" t="str">
        <f>IFERROR(__xludf.DUMMYFUNCTION("""COMPUTED_VALUE"""),"#VALUE!")</f>
        <v>#VALUE!</v>
      </c>
      <c r="H68" s="51" t="str">
        <f>IFERROR(__xludf.DUMMYFUNCTION("""COMPUTED_VALUE"""),"")</f>
        <v/>
      </c>
      <c r="I68" s="51" t="str">
        <f>IFERROR(__xludf.DUMMYFUNCTION("""COMPUTED_VALUE"""),"#VALUE!")</f>
        <v>#VALUE!</v>
      </c>
      <c r="J68" s="51" t="str">
        <f>IFERROR(__xludf.DUMMYFUNCTION("""COMPUTED_VALUE"""),"")</f>
        <v/>
      </c>
      <c r="K68" s="51">
        <f t="shared" si="1"/>
        <v>0</v>
      </c>
      <c r="L68" s="51" t="s">
        <v>257</v>
      </c>
      <c r="M68" s="51"/>
      <c r="N68" s="51"/>
      <c r="O68" s="51"/>
      <c r="P68" s="51"/>
      <c r="Q68" s="51"/>
      <c r="R68" s="51"/>
      <c r="S68" s="51"/>
      <c r="T68" s="51"/>
    </row>
    <row r="69">
      <c r="A69" s="51"/>
      <c r="B69" s="51"/>
      <c r="C69" s="56"/>
      <c r="D69" s="51"/>
      <c r="E69" s="51"/>
      <c r="F69" s="51"/>
      <c r="G69" s="51" t="str">
        <f>IFERROR(__xludf.DUMMYFUNCTION("""COMPUTED_VALUE"""),"#VALUE!")</f>
        <v>#VALUE!</v>
      </c>
      <c r="H69" s="51" t="str">
        <f>IFERROR(__xludf.DUMMYFUNCTION("""COMPUTED_VALUE"""),"")</f>
        <v/>
      </c>
      <c r="I69" s="51" t="str">
        <f>IFERROR(__xludf.DUMMYFUNCTION("""COMPUTED_VALUE"""),"#VALUE!")</f>
        <v>#VALUE!</v>
      </c>
      <c r="J69" s="51" t="str">
        <f>IFERROR(__xludf.DUMMYFUNCTION("""COMPUTED_VALUE"""),"")</f>
        <v/>
      </c>
      <c r="K69" s="51"/>
      <c r="L69" s="51" t="s">
        <v>257</v>
      </c>
      <c r="M69" s="51"/>
      <c r="N69" s="51"/>
      <c r="O69" s="51"/>
      <c r="P69" s="51"/>
      <c r="Q69" s="51"/>
      <c r="R69" s="51"/>
      <c r="S69" s="51"/>
      <c r="T69" s="51"/>
    </row>
    <row r="70">
      <c r="A70" s="51"/>
      <c r="B70" s="51"/>
      <c r="C70" s="56"/>
      <c r="D70" s="51"/>
      <c r="E70" s="51"/>
      <c r="F70" s="51"/>
      <c r="G70" s="51" t="str">
        <f>IFERROR(__xludf.DUMMYFUNCTION("""COMPUTED_VALUE"""),"#VALUE!")</f>
        <v>#VALUE!</v>
      </c>
      <c r="H70" s="51" t="str">
        <f>IFERROR(__xludf.DUMMYFUNCTION("""COMPUTED_VALUE"""),"")</f>
        <v/>
      </c>
      <c r="I70" s="51" t="str">
        <f>IFERROR(__xludf.DUMMYFUNCTION("""COMPUTED_VALUE"""),"#VALUE!")</f>
        <v>#VALUE!</v>
      </c>
      <c r="J70" s="51" t="str">
        <f>IFERROR(__xludf.DUMMYFUNCTION("""COMPUTED_VALUE"""),"")</f>
        <v/>
      </c>
      <c r="K70" s="51"/>
      <c r="L70" s="51" t="s">
        <v>257</v>
      </c>
      <c r="M70" s="51"/>
      <c r="N70" s="51"/>
      <c r="O70" s="51"/>
      <c r="P70" s="51"/>
      <c r="Q70" s="51"/>
      <c r="R70" s="51"/>
      <c r="S70" s="51"/>
      <c r="T70" s="51"/>
    </row>
    <row r="71">
      <c r="A71" s="51"/>
      <c r="B71" s="51"/>
      <c r="C71" s="56"/>
      <c r="D71" s="51"/>
      <c r="E71" s="51"/>
      <c r="F71" s="51"/>
      <c r="G71" s="51" t="str">
        <f>IFERROR(__xludf.DUMMYFUNCTION("""COMPUTED_VALUE"""),"#VALUE!")</f>
        <v>#VALUE!</v>
      </c>
      <c r="H71" s="51" t="str">
        <f>IFERROR(__xludf.DUMMYFUNCTION("""COMPUTED_VALUE"""),"")</f>
        <v/>
      </c>
      <c r="I71" s="51" t="str">
        <f>IFERROR(__xludf.DUMMYFUNCTION("""COMPUTED_VALUE"""),"#VALUE!")</f>
        <v>#VALUE!</v>
      </c>
      <c r="J71" s="51" t="str">
        <f>IFERROR(__xludf.DUMMYFUNCTION("""COMPUTED_VALUE"""),"")</f>
        <v/>
      </c>
      <c r="K71" s="51"/>
      <c r="L71" s="51" t="s">
        <v>257</v>
      </c>
      <c r="M71" s="51"/>
      <c r="N71" s="51"/>
      <c r="O71" s="51"/>
      <c r="P71" s="51"/>
      <c r="Q71" s="51"/>
      <c r="R71" s="51"/>
      <c r="S71" s="51"/>
      <c r="T71" s="51"/>
    </row>
    <row r="72">
      <c r="A72" s="51"/>
      <c r="B72" s="51"/>
      <c r="C72" s="56"/>
      <c r="D72" s="51"/>
      <c r="E72" s="51"/>
      <c r="F72" s="51"/>
      <c r="G72" s="51" t="str">
        <f>IFERROR(__xludf.DUMMYFUNCTION("""COMPUTED_VALUE"""),"#VALUE!")</f>
        <v>#VALUE!</v>
      </c>
      <c r="H72" s="51" t="str">
        <f>IFERROR(__xludf.DUMMYFUNCTION("""COMPUTED_VALUE"""),"")</f>
        <v/>
      </c>
      <c r="I72" s="51" t="str">
        <f>IFERROR(__xludf.DUMMYFUNCTION("""COMPUTED_VALUE"""),"#VALUE!")</f>
        <v>#VALUE!</v>
      </c>
      <c r="J72" s="51" t="str">
        <f>IFERROR(__xludf.DUMMYFUNCTION("""COMPUTED_VALUE"""),"")</f>
        <v/>
      </c>
      <c r="K72" s="51"/>
      <c r="L72" s="51" t="s">
        <v>257</v>
      </c>
      <c r="M72" s="51"/>
      <c r="N72" s="51"/>
      <c r="O72" s="51"/>
      <c r="P72" s="51"/>
      <c r="Q72" s="51"/>
      <c r="R72" s="51"/>
      <c r="S72" s="51"/>
      <c r="T72" s="51"/>
    </row>
    <row r="73">
      <c r="A73" s="51"/>
      <c r="B73" s="51"/>
      <c r="C73" s="56"/>
      <c r="D73" s="51"/>
      <c r="E73" s="51"/>
      <c r="F73" s="51"/>
      <c r="G73" s="51" t="str">
        <f>IFERROR(__xludf.DUMMYFUNCTION("""COMPUTED_VALUE"""),"#VALUE!")</f>
        <v>#VALUE!</v>
      </c>
      <c r="H73" s="51" t="str">
        <f>IFERROR(__xludf.DUMMYFUNCTION("""COMPUTED_VALUE"""),"")</f>
        <v/>
      </c>
      <c r="I73" s="51" t="str">
        <f>IFERROR(__xludf.DUMMYFUNCTION("""COMPUTED_VALUE"""),"#VALUE!")</f>
        <v>#VALUE!</v>
      </c>
      <c r="J73" s="51" t="str">
        <f>IFERROR(__xludf.DUMMYFUNCTION("""COMPUTED_VALUE"""),"")</f>
        <v/>
      </c>
      <c r="K73" s="51"/>
      <c r="L73" s="51" t="s">
        <v>257</v>
      </c>
      <c r="M73" s="51"/>
      <c r="N73" s="51"/>
      <c r="O73" s="51"/>
      <c r="P73" s="51"/>
      <c r="Q73" s="51"/>
      <c r="R73" s="51"/>
      <c r="S73" s="51"/>
      <c r="T73" s="51"/>
    </row>
    <row r="74">
      <c r="A74" s="51"/>
      <c r="B74" s="51"/>
      <c r="C74" s="56"/>
      <c r="D74" s="51"/>
      <c r="E74" s="51"/>
      <c r="F74" s="51"/>
      <c r="G74" s="51" t="str">
        <f>IFERROR(__xludf.DUMMYFUNCTION("""COMPUTED_VALUE"""),"#VALUE!")</f>
        <v>#VALUE!</v>
      </c>
      <c r="H74" s="51" t="str">
        <f>IFERROR(__xludf.DUMMYFUNCTION("""COMPUTED_VALUE"""),"")</f>
        <v/>
      </c>
      <c r="I74" s="51" t="str">
        <f>IFERROR(__xludf.DUMMYFUNCTION("""COMPUTED_VALUE"""),"#VALUE!")</f>
        <v>#VALUE!</v>
      </c>
      <c r="J74" s="51" t="str">
        <f>IFERROR(__xludf.DUMMYFUNCTION("""COMPUTED_VALUE"""),"")</f>
        <v/>
      </c>
      <c r="K74" s="51"/>
      <c r="L74" s="51" t="s">
        <v>257</v>
      </c>
      <c r="M74" s="51"/>
      <c r="N74" s="51"/>
      <c r="O74" s="51"/>
      <c r="P74" s="51"/>
      <c r="Q74" s="51"/>
      <c r="R74" s="51"/>
      <c r="S74" s="51"/>
      <c r="T74" s="51"/>
    </row>
    <row r="75">
      <c r="A75" s="51"/>
      <c r="B75" s="51"/>
      <c r="C75" s="56"/>
      <c r="D75" s="51"/>
      <c r="E75" s="51"/>
      <c r="F75" s="51"/>
      <c r="G75" s="51" t="str">
        <f>IFERROR(__xludf.DUMMYFUNCTION("""COMPUTED_VALUE"""),"#VALUE!")</f>
        <v>#VALUE!</v>
      </c>
      <c r="H75" s="51" t="str">
        <f>IFERROR(__xludf.DUMMYFUNCTION("""COMPUTED_VALUE"""),"")</f>
        <v/>
      </c>
      <c r="I75" s="51" t="str">
        <f>IFERROR(__xludf.DUMMYFUNCTION("""COMPUTED_VALUE"""),"#VALUE!")</f>
        <v>#VALUE!</v>
      </c>
      <c r="J75" s="51" t="str">
        <f>IFERROR(__xludf.DUMMYFUNCTION("""COMPUTED_VALUE"""),"")</f>
        <v/>
      </c>
      <c r="K75" s="51"/>
      <c r="L75" s="51" t="s">
        <v>257</v>
      </c>
      <c r="M75" s="51"/>
      <c r="N75" s="51"/>
      <c r="O75" s="51"/>
      <c r="P75" s="51"/>
      <c r="Q75" s="51"/>
      <c r="R75" s="51"/>
      <c r="S75" s="51"/>
      <c r="T75" s="51"/>
    </row>
    <row r="76">
      <c r="A76" s="51"/>
      <c r="B76" s="51"/>
      <c r="C76" s="56"/>
      <c r="D76" s="51"/>
      <c r="E76" s="51"/>
      <c r="F76" s="51"/>
      <c r="G76" s="51" t="str">
        <f>IFERROR(__xludf.DUMMYFUNCTION("""COMPUTED_VALUE"""),"#VALUE!")</f>
        <v>#VALUE!</v>
      </c>
      <c r="H76" s="51" t="str">
        <f>IFERROR(__xludf.DUMMYFUNCTION("""COMPUTED_VALUE"""),"")</f>
        <v/>
      </c>
      <c r="I76" s="51" t="str">
        <f>IFERROR(__xludf.DUMMYFUNCTION("""COMPUTED_VALUE"""),"#VALUE!")</f>
        <v>#VALUE!</v>
      </c>
      <c r="J76" s="51" t="str">
        <f>IFERROR(__xludf.DUMMYFUNCTION("""COMPUTED_VALUE"""),"")</f>
        <v/>
      </c>
      <c r="K76" s="51"/>
      <c r="L76" s="51" t="s">
        <v>257</v>
      </c>
      <c r="M76" s="51"/>
      <c r="N76" s="51"/>
      <c r="O76" s="51"/>
      <c r="P76" s="51"/>
      <c r="Q76" s="51"/>
      <c r="R76" s="51"/>
      <c r="S76" s="51"/>
      <c r="T76" s="51"/>
    </row>
    <row r="77">
      <c r="A77" s="51"/>
      <c r="B77" s="51"/>
      <c r="C77" s="56"/>
      <c r="D77" s="51"/>
      <c r="E77" s="51"/>
      <c r="F77" s="51"/>
      <c r="G77" s="51" t="str">
        <f>IFERROR(__xludf.DUMMYFUNCTION("""COMPUTED_VALUE"""),"#VALUE!")</f>
        <v>#VALUE!</v>
      </c>
      <c r="H77" s="51" t="str">
        <f>IFERROR(__xludf.DUMMYFUNCTION("""COMPUTED_VALUE"""),"")</f>
        <v/>
      </c>
      <c r="I77" s="51" t="str">
        <f>IFERROR(__xludf.DUMMYFUNCTION("""COMPUTED_VALUE"""),"#VALUE!")</f>
        <v>#VALUE!</v>
      </c>
      <c r="J77" s="51" t="str">
        <f>IFERROR(__xludf.DUMMYFUNCTION("""COMPUTED_VALUE"""),"")</f>
        <v/>
      </c>
      <c r="K77" s="51"/>
      <c r="L77" s="51" t="s">
        <v>257</v>
      </c>
      <c r="M77" s="51"/>
      <c r="N77" s="51"/>
      <c r="O77" s="51"/>
      <c r="P77" s="51"/>
      <c r="Q77" s="51"/>
      <c r="R77" s="51"/>
      <c r="S77" s="51"/>
      <c r="T77" s="51"/>
    </row>
    <row r="78">
      <c r="A78" s="51"/>
      <c r="B78" s="51"/>
      <c r="C78" s="56"/>
      <c r="D78" s="51"/>
      <c r="E78" s="51"/>
      <c r="F78" s="51"/>
      <c r="G78" s="51" t="str">
        <f>IFERROR(__xludf.DUMMYFUNCTION("""COMPUTED_VALUE"""),"#VALUE!")</f>
        <v>#VALUE!</v>
      </c>
      <c r="H78" s="51" t="str">
        <f>IFERROR(__xludf.DUMMYFUNCTION("""COMPUTED_VALUE"""),"")</f>
        <v/>
      </c>
      <c r="I78" s="51" t="str">
        <f>IFERROR(__xludf.DUMMYFUNCTION("""COMPUTED_VALUE"""),"#VALUE!")</f>
        <v>#VALUE!</v>
      </c>
      <c r="J78" s="51" t="str">
        <f>IFERROR(__xludf.DUMMYFUNCTION("""COMPUTED_VALUE"""),"")</f>
        <v/>
      </c>
      <c r="K78" s="51"/>
      <c r="L78" s="51" t="s">
        <v>257</v>
      </c>
      <c r="M78" s="51"/>
      <c r="N78" s="51"/>
      <c r="O78" s="51"/>
      <c r="P78" s="51"/>
      <c r="Q78" s="51"/>
      <c r="R78" s="51"/>
      <c r="S78" s="51"/>
      <c r="T78" s="51"/>
    </row>
    <row r="79">
      <c r="A79" s="51"/>
      <c r="B79" s="51"/>
      <c r="C79" s="56"/>
      <c r="D79" s="51"/>
      <c r="E79" s="51"/>
      <c r="F79" s="51"/>
      <c r="G79" s="51" t="str">
        <f>IFERROR(__xludf.DUMMYFUNCTION("""COMPUTED_VALUE"""),"#VALUE!")</f>
        <v>#VALUE!</v>
      </c>
      <c r="H79" s="51" t="str">
        <f>IFERROR(__xludf.DUMMYFUNCTION("""COMPUTED_VALUE"""),"")</f>
        <v/>
      </c>
      <c r="I79" s="51" t="str">
        <f>IFERROR(__xludf.DUMMYFUNCTION("""COMPUTED_VALUE"""),"#VALUE!")</f>
        <v>#VALUE!</v>
      </c>
      <c r="J79" s="51" t="str">
        <f>IFERROR(__xludf.DUMMYFUNCTION("""COMPUTED_VALUE"""),"")</f>
        <v/>
      </c>
      <c r="K79" s="51"/>
      <c r="L79" s="51" t="s">
        <v>257</v>
      </c>
      <c r="M79" s="51"/>
      <c r="N79" s="51"/>
      <c r="O79" s="51"/>
      <c r="P79" s="51"/>
      <c r="Q79" s="51"/>
      <c r="R79" s="51"/>
      <c r="S79" s="51"/>
      <c r="T79" s="51"/>
    </row>
    <row r="80">
      <c r="A80" s="51"/>
      <c r="B80" s="51"/>
      <c r="C80" s="56"/>
      <c r="D80" s="51"/>
      <c r="E80" s="51"/>
      <c r="F80" s="51"/>
      <c r="G80" s="51" t="str">
        <f>IFERROR(__xludf.DUMMYFUNCTION("""COMPUTED_VALUE"""),"#VALUE!")</f>
        <v>#VALUE!</v>
      </c>
      <c r="H80" s="51" t="str">
        <f>IFERROR(__xludf.DUMMYFUNCTION("""COMPUTED_VALUE"""),"")</f>
        <v/>
      </c>
      <c r="I80" s="51" t="str">
        <f>IFERROR(__xludf.DUMMYFUNCTION("""COMPUTED_VALUE"""),"#VALUE!")</f>
        <v>#VALUE!</v>
      </c>
      <c r="J80" s="51" t="str">
        <f>IFERROR(__xludf.DUMMYFUNCTION("""COMPUTED_VALUE"""),"")</f>
        <v/>
      </c>
      <c r="K80" s="51"/>
      <c r="L80" s="51" t="s">
        <v>257</v>
      </c>
      <c r="M80" s="51"/>
      <c r="N80" s="51"/>
      <c r="O80" s="51"/>
      <c r="P80" s="51"/>
      <c r="Q80" s="51"/>
      <c r="R80" s="51"/>
      <c r="S80" s="51"/>
      <c r="T80" s="51"/>
    </row>
    <row r="81">
      <c r="A81" s="51"/>
      <c r="B81" s="51"/>
      <c r="C81" s="56"/>
      <c r="D81" s="51"/>
      <c r="E81" s="51"/>
      <c r="F81" s="51"/>
      <c r="G81" s="51" t="str">
        <f>IFERROR(__xludf.DUMMYFUNCTION("""COMPUTED_VALUE"""),"#VALUE!")</f>
        <v>#VALUE!</v>
      </c>
      <c r="H81" s="51" t="str">
        <f>IFERROR(__xludf.DUMMYFUNCTION("""COMPUTED_VALUE"""),"")</f>
        <v/>
      </c>
      <c r="I81" s="51" t="str">
        <f>IFERROR(__xludf.DUMMYFUNCTION("""COMPUTED_VALUE"""),"#VALUE!")</f>
        <v>#VALUE!</v>
      </c>
      <c r="J81" s="51" t="str">
        <f>IFERROR(__xludf.DUMMYFUNCTION("""COMPUTED_VALUE"""),"")</f>
        <v/>
      </c>
      <c r="K81" s="51"/>
      <c r="L81" s="51" t="s">
        <v>257</v>
      </c>
      <c r="M81" s="51"/>
      <c r="N81" s="51"/>
      <c r="O81" s="51"/>
      <c r="P81" s="51"/>
      <c r="Q81" s="51"/>
      <c r="R81" s="51"/>
      <c r="S81" s="51"/>
      <c r="T81" s="51"/>
    </row>
    <row r="82">
      <c r="A82" s="51"/>
      <c r="B82" s="51"/>
      <c r="C82" s="56"/>
      <c r="D82" s="51"/>
      <c r="E82" s="51"/>
      <c r="F82" s="51"/>
      <c r="G82" s="51" t="str">
        <f>IFERROR(__xludf.DUMMYFUNCTION("""COMPUTED_VALUE"""),"#VALUE!")</f>
        <v>#VALUE!</v>
      </c>
      <c r="H82" s="51" t="str">
        <f>IFERROR(__xludf.DUMMYFUNCTION("""COMPUTED_VALUE"""),"")</f>
        <v/>
      </c>
      <c r="I82" s="51" t="str">
        <f>IFERROR(__xludf.DUMMYFUNCTION("""COMPUTED_VALUE"""),"#VALUE!")</f>
        <v>#VALUE!</v>
      </c>
      <c r="J82" s="51" t="str">
        <f>IFERROR(__xludf.DUMMYFUNCTION("""COMPUTED_VALUE"""),"")</f>
        <v/>
      </c>
      <c r="K82" s="51"/>
      <c r="L82" s="51" t="s">
        <v>257</v>
      </c>
      <c r="M82" s="51"/>
      <c r="N82" s="51"/>
      <c r="O82" s="51"/>
      <c r="P82" s="51"/>
      <c r="Q82" s="51"/>
      <c r="R82" s="51"/>
      <c r="S82" s="51"/>
      <c r="T82" s="51"/>
    </row>
    <row r="83">
      <c r="A83" s="51"/>
      <c r="B83" s="51"/>
      <c r="C83" s="56"/>
      <c r="D83" s="51"/>
      <c r="E83" s="51"/>
      <c r="F83" s="51"/>
      <c r="G83" s="51" t="str">
        <f>IFERROR(__xludf.DUMMYFUNCTION("""COMPUTED_VALUE"""),"#VALUE!")</f>
        <v>#VALUE!</v>
      </c>
      <c r="H83" s="51" t="str">
        <f>IFERROR(__xludf.DUMMYFUNCTION("""COMPUTED_VALUE"""),"")</f>
        <v/>
      </c>
      <c r="I83" s="51" t="str">
        <f>IFERROR(__xludf.DUMMYFUNCTION("""COMPUTED_VALUE"""),"#VALUE!")</f>
        <v>#VALUE!</v>
      </c>
      <c r="J83" s="51" t="str">
        <f>IFERROR(__xludf.DUMMYFUNCTION("""COMPUTED_VALUE"""),"")</f>
        <v/>
      </c>
      <c r="K83" s="51"/>
      <c r="L83" s="51" t="s">
        <v>257</v>
      </c>
      <c r="M83" s="51"/>
      <c r="N83" s="51"/>
      <c r="O83" s="51"/>
      <c r="P83" s="51"/>
      <c r="Q83" s="51"/>
      <c r="R83" s="51"/>
      <c r="S83" s="51"/>
      <c r="T83" s="51"/>
    </row>
    <row r="84">
      <c r="A84" s="51"/>
      <c r="B84" s="51"/>
      <c r="C84" s="56"/>
      <c r="D84" s="51"/>
      <c r="E84" s="51"/>
      <c r="F84" s="51"/>
      <c r="G84" s="51" t="str">
        <f>IFERROR(__xludf.DUMMYFUNCTION("""COMPUTED_VALUE"""),"#VALUE!")</f>
        <v>#VALUE!</v>
      </c>
      <c r="H84" s="51" t="str">
        <f>IFERROR(__xludf.DUMMYFUNCTION("""COMPUTED_VALUE"""),"")</f>
        <v/>
      </c>
      <c r="I84" s="51" t="str">
        <f>IFERROR(__xludf.DUMMYFUNCTION("""COMPUTED_VALUE"""),"#VALUE!")</f>
        <v>#VALUE!</v>
      </c>
      <c r="J84" s="51" t="str">
        <f>IFERROR(__xludf.DUMMYFUNCTION("""COMPUTED_VALUE"""),"")</f>
        <v/>
      </c>
      <c r="K84" s="51"/>
      <c r="L84" s="51" t="s">
        <v>257</v>
      </c>
      <c r="M84" s="51"/>
      <c r="N84" s="51"/>
      <c r="O84" s="51"/>
      <c r="P84" s="51"/>
      <c r="Q84" s="51"/>
      <c r="R84" s="51"/>
      <c r="S84" s="51"/>
      <c r="T84" s="51"/>
    </row>
    <row r="85">
      <c r="A85" s="51"/>
      <c r="B85" s="51"/>
      <c r="C85" s="56"/>
      <c r="D85" s="51"/>
      <c r="E85" s="51"/>
      <c r="F85" s="51"/>
      <c r="G85" s="51" t="str">
        <f>IFERROR(__xludf.DUMMYFUNCTION("""COMPUTED_VALUE"""),"#VALUE!")</f>
        <v>#VALUE!</v>
      </c>
      <c r="H85" s="51" t="str">
        <f>IFERROR(__xludf.DUMMYFUNCTION("""COMPUTED_VALUE"""),"")</f>
        <v/>
      </c>
      <c r="I85" s="51" t="str">
        <f>IFERROR(__xludf.DUMMYFUNCTION("""COMPUTED_VALUE"""),"#VALUE!")</f>
        <v>#VALUE!</v>
      </c>
      <c r="J85" s="51" t="str">
        <f>IFERROR(__xludf.DUMMYFUNCTION("""COMPUTED_VALUE"""),"")</f>
        <v/>
      </c>
      <c r="K85" s="51"/>
      <c r="L85" s="51" t="s">
        <v>257</v>
      </c>
      <c r="M85" s="51"/>
      <c r="N85" s="51"/>
      <c r="O85" s="51"/>
      <c r="P85" s="51"/>
      <c r="Q85" s="51"/>
      <c r="R85" s="51"/>
      <c r="S85" s="51"/>
      <c r="T85" s="51"/>
    </row>
    <row r="86">
      <c r="A86" s="51"/>
      <c r="B86" s="51"/>
      <c r="C86" s="56"/>
      <c r="D86" s="51"/>
      <c r="E86" s="51"/>
      <c r="F86" s="51"/>
      <c r="G86" s="51" t="str">
        <f>IFERROR(__xludf.DUMMYFUNCTION("""COMPUTED_VALUE"""),"#VALUE!")</f>
        <v>#VALUE!</v>
      </c>
      <c r="H86" s="51" t="str">
        <f>IFERROR(__xludf.DUMMYFUNCTION("""COMPUTED_VALUE"""),"")</f>
        <v/>
      </c>
      <c r="I86" s="51" t="str">
        <f>IFERROR(__xludf.DUMMYFUNCTION("""COMPUTED_VALUE"""),"#VALUE!")</f>
        <v>#VALUE!</v>
      </c>
      <c r="J86" s="51" t="str">
        <f>IFERROR(__xludf.DUMMYFUNCTION("""COMPUTED_VALUE"""),"")</f>
        <v/>
      </c>
      <c r="K86" s="51"/>
      <c r="L86" s="51" t="s">
        <v>257</v>
      </c>
      <c r="M86" s="51"/>
      <c r="N86" s="51"/>
      <c r="O86" s="51"/>
      <c r="P86" s="51"/>
      <c r="Q86" s="51"/>
      <c r="R86" s="51"/>
      <c r="S86" s="51"/>
      <c r="T86" s="51"/>
    </row>
    <row r="87">
      <c r="A87" s="51"/>
      <c r="B87" s="51"/>
      <c r="C87" s="56"/>
      <c r="D87" s="51"/>
      <c r="E87" s="51"/>
      <c r="F87" s="51"/>
      <c r="G87" s="51" t="str">
        <f>IFERROR(__xludf.DUMMYFUNCTION("""COMPUTED_VALUE"""),"#VALUE!")</f>
        <v>#VALUE!</v>
      </c>
      <c r="H87" s="51" t="str">
        <f>IFERROR(__xludf.DUMMYFUNCTION("""COMPUTED_VALUE"""),"")</f>
        <v/>
      </c>
      <c r="I87" s="51" t="str">
        <f>IFERROR(__xludf.DUMMYFUNCTION("""COMPUTED_VALUE"""),"#VALUE!")</f>
        <v>#VALUE!</v>
      </c>
      <c r="J87" s="51" t="str">
        <f>IFERROR(__xludf.DUMMYFUNCTION("""COMPUTED_VALUE"""),"")</f>
        <v/>
      </c>
      <c r="K87" s="51"/>
      <c r="L87" s="51" t="s">
        <v>257</v>
      </c>
      <c r="M87" s="51"/>
      <c r="N87" s="51"/>
      <c r="O87" s="51"/>
      <c r="P87" s="51"/>
      <c r="Q87" s="51"/>
      <c r="R87" s="51"/>
      <c r="S87" s="51"/>
      <c r="T87" s="51"/>
    </row>
    <row r="88">
      <c r="A88" s="51"/>
      <c r="B88" s="51"/>
      <c r="C88" s="56"/>
      <c r="D88" s="51"/>
      <c r="E88" s="51"/>
      <c r="F88" s="51"/>
      <c r="G88" s="51" t="str">
        <f>IFERROR(__xludf.DUMMYFUNCTION("""COMPUTED_VALUE"""),"#VALUE!")</f>
        <v>#VALUE!</v>
      </c>
      <c r="H88" s="51" t="str">
        <f>IFERROR(__xludf.DUMMYFUNCTION("""COMPUTED_VALUE"""),"")</f>
        <v/>
      </c>
      <c r="I88" s="51" t="str">
        <f>IFERROR(__xludf.DUMMYFUNCTION("""COMPUTED_VALUE"""),"#VALUE!")</f>
        <v>#VALUE!</v>
      </c>
      <c r="J88" s="51" t="str">
        <f>IFERROR(__xludf.DUMMYFUNCTION("""COMPUTED_VALUE"""),"")</f>
        <v/>
      </c>
      <c r="K88" s="51"/>
      <c r="L88" s="51" t="s">
        <v>257</v>
      </c>
      <c r="M88" s="51"/>
      <c r="N88" s="51"/>
      <c r="O88" s="51"/>
      <c r="P88" s="51"/>
      <c r="Q88" s="51"/>
      <c r="R88" s="51"/>
      <c r="S88" s="51"/>
      <c r="T88" s="51"/>
    </row>
    <row r="89">
      <c r="A89" s="51"/>
      <c r="B89" s="51"/>
      <c r="C89" s="56"/>
      <c r="D89" s="51"/>
      <c r="E89" s="51"/>
      <c r="F89" s="51"/>
      <c r="G89" s="51" t="str">
        <f>IFERROR(__xludf.DUMMYFUNCTION("""COMPUTED_VALUE"""),"#VALUE!")</f>
        <v>#VALUE!</v>
      </c>
      <c r="H89" s="51" t="str">
        <f>IFERROR(__xludf.DUMMYFUNCTION("""COMPUTED_VALUE"""),"")</f>
        <v/>
      </c>
      <c r="I89" s="51" t="str">
        <f>IFERROR(__xludf.DUMMYFUNCTION("""COMPUTED_VALUE"""),"#VALUE!")</f>
        <v>#VALUE!</v>
      </c>
      <c r="J89" s="51" t="str">
        <f>IFERROR(__xludf.DUMMYFUNCTION("""COMPUTED_VALUE"""),"")</f>
        <v/>
      </c>
      <c r="K89" s="51"/>
      <c r="L89" s="51" t="s">
        <v>257</v>
      </c>
      <c r="M89" s="51"/>
      <c r="N89" s="51"/>
      <c r="O89" s="51"/>
      <c r="P89" s="51"/>
      <c r="Q89" s="51"/>
      <c r="R89" s="51"/>
      <c r="S89" s="51"/>
      <c r="T89" s="51"/>
    </row>
    <row r="90">
      <c r="A90" s="51"/>
      <c r="B90" s="51"/>
      <c r="C90" s="56"/>
      <c r="D90" s="51"/>
      <c r="E90" s="51"/>
      <c r="F90" s="51"/>
      <c r="G90" s="51" t="str">
        <f>IFERROR(__xludf.DUMMYFUNCTION("""COMPUTED_VALUE"""),"#VALUE!")</f>
        <v>#VALUE!</v>
      </c>
      <c r="H90" s="51" t="str">
        <f>IFERROR(__xludf.DUMMYFUNCTION("""COMPUTED_VALUE"""),"")</f>
        <v/>
      </c>
      <c r="I90" s="51" t="str">
        <f>IFERROR(__xludf.DUMMYFUNCTION("""COMPUTED_VALUE"""),"#VALUE!")</f>
        <v>#VALUE!</v>
      </c>
      <c r="J90" s="51" t="str">
        <f>IFERROR(__xludf.DUMMYFUNCTION("""COMPUTED_VALUE"""),"")</f>
        <v/>
      </c>
      <c r="K90" s="51"/>
      <c r="L90" s="51" t="s">
        <v>257</v>
      </c>
      <c r="M90" s="51"/>
      <c r="N90" s="51"/>
      <c r="O90" s="51"/>
      <c r="P90" s="51"/>
      <c r="Q90" s="51"/>
      <c r="R90" s="51"/>
      <c r="S90" s="51"/>
      <c r="T90" s="51"/>
    </row>
    <row r="91">
      <c r="A91" s="51"/>
      <c r="B91" s="51"/>
      <c r="C91" s="56"/>
      <c r="D91" s="51"/>
      <c r="E91" s="51"/>
      <c r="F91" s="51"/>
      <c r="G91" s="51" t="str">
        <f>IFERROR(__xludf.DUMMYFUNCTION("""COMPUTED_VALUE"""),"#VALUE!")</f>
        <v>#VALUE!</v>
      </c>
      <c r="H91" s="51" t="str">
        <f>IFERROR(__xludf.DUMMYFUNCTION("""COMPUTED_VALUE"""),"")</f>
        <v/>
      </c>
      <c r="I91" s="51" t="str">
        <f>IFERROR(__xludf.DUMMYFUNCTION("""COMPUTED_VALUE"""),"#VALUE!")</f>
        <v>#VALUE!</v>
      </c>
      <c r="J91" s="51" t="str">
        <f>IFERROR(__xludf.DUMMYFUNCTION("""COMPUTED_VALUE"""),"")</f>
        <v/>
      </c>
      <c r="K91" s="51"/>
      <c r="L91" s="51" t="s">
        <v>257</v>
      </c>
      <c r="M91" s="51"/>
      <c r="N91" s="51"/>
      <c r="O91" s="51"/>
      <c r="P91" s="51"/>
      <c r="Q91" s="51"/>
      <c r="R91" s="51"/>
      <c r="S91" s="51"/>
      <c r="T91" s="51"/>
    </row>
    <row r="92">
      <c r="A92" s="51"/>
      <c r="B92" s="51"/>
      <c r="C92" s="56"/>
      <c r="D92" s="51"/>
      <c r="E92" s="51"/>
      <c r="F92" s="51"/>
      <c r="G92" s="51" t="str">
        <f>IFERROR(__xludf.DUMMYFUNCTION("""COMPUTED_VALUE"""),"#VALUE!")</f>
        <v>#VALUE!</v>
      </c>
      <c r="H92" s="51" t="str">
        <f>IFERROR(__xludf.DUMMYFUNCTION("""COMPUTED_VALUE"""),"")</f>
        <v/>
      </c>
      <c r="I92" s="51" t="str">
        <f>IFERROR(__xludf.DUMMYFUNCTION("""COMPUTED_VALUE"""),"#VALUE!")</f>
        <v>#VALUE!</v>
      </c>
      <c r="J92" s="51" t="str">
        <f>IFERROR(__xludf.DUMMYFUNCTION("""COMPUTED_VALUE"""),"")</f>
        <v/>
      </c>
      <c r="K92" s="51"/>
      <c r="L92" s="51" t="s">
        <v>257</v>
      </c>
      <c r="M92" s="51"/>
      <c r="N92" s="51"/>
      <c r="O92" s="51"/>
      <c r="P92" s="51"/>
      <c r="Q92" s="51"/>
      <c r="R92" s="51"/>
      <c r="S92" s="51"/>
      <c r="T92" s="51"/>
    </row>
    <row r="93">
      <c r="A93" s="51"/>
      <c r="B93" s="51"/>
      <c r="C93" s="56"/>
      <c r="D93" s="51"/>
      <c r="E93" s="51"/>
      <c r="F93" s="51"/>
      <c r="G93" s="51" t="str">
        <f>IFERROR(__xludf.DUMMYFUNCTION("""COMPUTED_VALUE"""),"#VALUE!")</f>
        <v>#VALUE!</v>
      </c>
      <c r="H93" s="51" t="str">
        <f>IFERROR(__xludf.DUMMYFUNCTION("""COMPUTED_VALUE"""),"")</f>
        <v/>
      </c>
      <c r="I93" s="51" t="str">
        <f>IFERROR(__xludf.DUMMYFUNCTION("""COMPUTED_VALUE"""),"#VALUE!")</f>
        <v>#VALUE!</v>
      </c>
      <c r="J93" s="51" t="str">
        <f>IFERROR(__xludf.DUMMYFUNCTION("""COMPUTED_VALUE"""),"")</f>
        <v/>
      </c>
      <c r="K93" s="51"/>
      <c r="L93" s="51" t="s">
        <v>257</v>
      </c>
      <c r="M93" s="51"/>
      <c r="N93" s="51"/>
      <c r="O93" s="51"/>
      <c r="P93" s="51"/>
      <c r="Q93" s="51"/>
      <c r="R93" s="51"/>
      <c r="S93" s="51"/>
      <c r="T93" s="51"/>
    </row>
    <row r="94">
      <c r="A94" s="51"/>
      <c r="B94" s="51"/>
      <c r="C94" s="56"/>
      <c r="D94" s="51"/>
      <c r="E94" s="51"/>
      <c r="F94" s="51"/>
      <c r="G94" s="51" t="str">
        <f>IFERROR(__xludf.DUMMYFUNCTION("""COMPUTED_VALUE"""),"#VALUE!")</f>
        <v>#VALUE!</v>
      </c>
      <c r="H94" s="51" t="str">
        <f>IFERROR(__xludf.DUMMYFUNCTION("""COMPUTED_VALUE"""),"")</f>
        <v/>
      </c>
      <c r="I94" s="51" t="str">
        <f>IFERROR(__xludf.DUMMYFUNCTION("""COMPUTED_VALUE"""),"#VALUE!")</f>
        <v>#VALUE!</v>
      </c>
      <c r="J94" s="51" t="str">
        <f>IFERROR(__xludf.DUMMYFUNCTION("""COMPUTED_VALUE"""),"")</f>
        <v/>
      </c>
      <c r="K94" s="51"/>
      <c r="L94" s="51" t="s">
        <v>257</v>
      </c>
      <c r="M94" s="51"/>
      <c r="N94" s="51"/>
      <c r="O94" s="51"/>
      <c r="P94" s="51"/>
      <c r="Q94" s="51"/>
      <c r="R94" s="51"/>
      <c r="S94" s="51"/>
      <c r="T94" s="51"/>
    </row>
    <row r="95">
      <c r="A95" s="51"/>
      <c r="B95" s="51"/>
      <c r="C95" s="56"/>
      <c r="D95" s="51"/>
      <c r="E95" s="51"/>
      <c r="F95" s="51"/>
      <c r="G95" s="51" t="str">
        <f>IFERROR(__xludf.DUMMYFUNCTION("""COMPUTED_VALUE"""),"#VALUE!")</f>
        <v>#VALUE!</v>
      </c>
      <c r="H95" s="51" t="str">
        <f>IFERROR(__xludf.DUMMYFUNCTION("""COMPUTED_VALUE"""),"")</f>
        <v/>
      </c>
      <c r="I95" s="51" t="str">
        <f>IFERROR(__xludf.DUMMYFUNCTION("""COMPUTED_VALUE"""),"#VALUE!")</f>
        <v>#VALUE!</v>
      </c>
      <c r="J95" s="51" t="str">
        <f>IFERROR(__xludf.DUMMYFUNCTION("""COMPUTED_VALUE"""),"")</f>
        <v/>
      </c>
      <c r="K95" s="51"/>
      <c r="L95" s="51" t="s">
        <v>257</v>
      </c>
      <c r="M95" s="51"/>
      <c r="N95" s="51"/>
      <c r="O95" s="51"/>
      <c r="P95" s="51"/>
      <c r="Q95" s="51"/>
      <c r="R95" s="51"/>
      <c r="S95" s="51"/>
      <c r="T95" s="51"/>
    </row>
    <row r="96">
      <c r="A96" s="51"/>
      <c r="B96" s="51"/>
      <c r="C96" s="56"/>
      <c r="D96" s="51"/>
      <c r="E96" s="51"/>
      <c r="F96" s="51"/>
      <c r="G96" s="51" t="str">
        <f>IFERROR(__xludf.DUMMYFUNCTION("""COMPUTED_VALUE"""),"#VALUE!")</f>
        <v>#VALUE!</v>
      </c>
      <c r="H96" s="51" t="str">
        <f>IFERROR(__xludf.DUMMYFUNCTION("""COMPUTED_VALUE"""),"")</f>
        <v/>
      </c>
      <c r="I96" s="51" t="str">
        <f>IFERROR(__xludf.DUMMYFUNCTION("""COMPUTED_VALUE"""),"#VALUE!")</f>
        <v>#VALUE!</v>
      </c>
      <c r="J96" s="51" t="str">
        <f>IFERROR(__xludf.DUMMYFUNCTION("""COMPUTED_VALUE"""),"")</f>
        <v/>
      </c>
      <c r="K96" s="51"/>
      <c r="L96" s="51" t="s">
        <v>257</v>
      </c>
      <c r="M96" s="51"/>
      <c r="N96" s="51"/>
      <c r="O96" s="51"/>
      <c r="P96" s="51"/>
      <c r="Q96" s="51"/>
      <c r="R96" s="51"/>
      <c r="S96" s="51"/>
      <c r="T96" s="51"/>
    </row>
    <row r="97">
      <c r="A97" s="51"/>
      <c r="B97" s="51"/>
      <c r="C97" s="56"/>
      <c r="D97" s="51"/>
      <c r="E97" s="51"/>
      <c r="F97" s="51"/>
      <c r="G97" s="51" t="str">
        <f>IFERROR(__xludf.DUMMYFUNCTION("""COMPUTED_VALUE"""),"#VALUE!")</f>
        <v>#VALUE!</v>
      </c>
      <c r="H97" s="51" t="str">
        <f>IFERROR(__xludf.DUMMYFUNCTION("""COMPUTED_VALUE"""),"")</f>
        <v/>
      </c>
      <c r="I97" s="51" t="str">
        <f>IFERROR(__xludf.DUMMYFUNCTION("""COMPUTED_VALUE"""),"#VALUE!")</f>
        <v>#VALUE!</v>
      </c>
      <c r="J97" s="51" t="str">
        <f>IFERROR(__xludf.DUMMYFUNCTION("""COMPUTED_VALUE"""),"")</f>
        <v/>
      </c>
      <c r="K97" s="51"/>
      <c r="L97" s="51" t="s">
        <v>257</v>
      </c>
      <c r="M97" s="51"/>
      <c r="N97" s="51"/>
      <c r="O97" s="51"/>
      <c r="P97" s="51"/>
      <c r="Q97" s="51"/>
      <c r="R97" s="51"/>
      <c r="S97" s="51"/>
      <c r="T97" s="51"/>
    </row>
    <row r="98">
      <c r="A98" s="51"/>
      <c r="B98" s="51"/>
      <c r="C98" s="56"/>
      <c r="D98" s="51"/>
      <c r="E98" s="51"/>
      <c r="F98" s="51"/>
      <c r="G98" s="51" t="str">
        <f>IFERROR(__xludf.DUMMYFUNCTION("""COMPUTED_VALUE"""),"#VALUE!")</f>
        <v>#VALUE!</v>
      </c>
      <c r="H98" s="51" t="str">
        <f>IFERROR(__xludf.DUMMYFUNCTION("""COMPUTED_VALUE"""),"")</f>
        <v/>
      </c>
      <c r="I98" s="51" t="str">
        <f>IFERROR(__xludf.DUMMYFUNCTION("""COMPUTED_VALUE"""),"#VALUE!")</f>
        <v>#VALUE!</v>
      </c>
      <c r="J98" s="51" t="str">
        <f>IFERROR(__xludf.DUMMYFUNCTION("""COMPUTED_VALUE"""),"")</f>
        <v/>
      </c>
      <c r="K98" s="51"/>
      <c r="L98" s="51" t="s">
        <v>257</v>
      </c>
      <c r="M98" s="51"/>
      <c r="N98" s="51"/>
      <c r="O98" s="51"/>
      <c r="P98" s="51"/>
      <c r="Q98" s="51"/>
      <c r="R98" s="51"/>
      <c r="S98" s="51"/>
      <c r="T98" s="51"/>
    </row>
    <row r="99">
      <c r="A99" s="51"/>
      <c r="B99" s="51"/>
      <c r="C99" s="56"/>
      <c r="D99" s="51"/>
      <c r="E99" s="51"/>
      <c r="F99" s="51"/>
      <c r="G99" s="51" t="str">
        <f>IFERROR(__xludf.DUMMYFUNCTION("""COMPUTED_VALUE"""),"#VALUE!")</f>
        <v>#VALUE!</v>
      </c>
      <c r="H99" s="51" t="str">
        <f>IFERROR(__xludf.DUMMYFUNCTION("""COMPUTED_VALUE"""),"")</f>
        <v/>
      </c>
      <c r="I99" s="51" t="str">
        <f>IFERROR(__xludf.DUMMYFUNCTION("""COMPUTED_VALUE"""),"#VALUE!")</f>
        <v>#VALUE!</v>
      </c>
      <c r="J99" s="51" t="str">
        <f>IFERROR(__xludf.DUMMYFUNCTION("""COMPUTED_VALUE"""),"")</f>
        <v/>
      </c>
      <c r="K99" s="51"/>
      <c r="L99" s="51" t="s">
        <v>257</v>
      </c>
      <c r="M99" s="51"/>
      <c r="N99" s="51"/>
      <c r="O99" s="51"/>
      <c r="P99" s="51"/>
      <c r="Q99" s="51"/>
      <c r="R99" s="51"/>
      <c r="S99" s="51"/>
      <c r="T99" s="51"/>
    </row>
    <row r="100">
      <c r="A100" s="51"/>
      <c r="B100" s="51"/>
      <c r="C100" s="56"/>
      <c r="D100" s="51"/>
      <c r="E100" s="51"/>
      <c r="F100" s="51"/>
      <c r="G100" s="51" t="str">
        <f>IFERROR(__xludf.DUMMYFUNCTION("""COMPUTED_VALUE"""),"#VALUE!")</f>
        <v>#VALUE!</v>
      </c>
      <c r="H100" s="51" t="str">
        <f>IFERROR(__xludf.DUMMYFUNCTION("""COMPUTED_VALUE"""),"")</f>
        <v/>
      </c>
      <c r="I100" s="51" t="str">
        <f>IFERROR(__xludf.DUMMYFUNCTION("""COMPUTED_VALUE"""),"#VALUE!")</f>
        <v>#VALUE!</v>
      </c>
      <c r="J100" s="51" t="str">
        <f>IFERROR(__xludf.DUMMYFUNCTION("""COMPUTED_VALUE"""),"")</f>
        <v/>
      </c>
      <c r="K100" s="51"/>
      <c r="L100" s="51" t="s">
        <v>257</v>
      </c>
      <c r="M100" s="51"/>
      <c r="N100" s="51"/>
      <c r="O100" s="51"/>
      <c r="P100" s="51"/>
      <c r="Q100" s="51"/>
      <c r="R100" s="51"/>
      <c r="S100" s="51"/>
      <c r="T100" s="51"/>
    </row>
    <row r="101">
      <c r="A101" s="51"/>
      <c r="B101" s="51"/>
      <c r="C101" s="56"/>
      <c r="D101" s="51"/>
      <c r="E101" s="51"/>
      <c r="F101" s="51"/>
      <c r="G101" s="51" t="str">
        <f>IFERROR(__xludf.DUMMYFUNCTION("""COMPUTED_VALUE"""),"#VALUE!")</f>
        <v>#VALUE!</v>
      </c>
      <c r="H101" s="51" t="str">
        <f>IFERROR(__xludf.DUMMYFUNCTION("""COMPUTED_VALUE"""),"")</f>
        <v/>
      </c>
      <c r="I101" s="51" t="str">
        <f>IFERROR(__xludf.DUMMYFUNCTION("""COMPUTED_VALUE"""),"#VALUE!")</f>
        <v>#VALUE!</v>
      </c>
      <c r="J101" s="51" t="str">
        <f>IFERROR(__xludf.DUMMYFUNCTION("""COMPUTED_VALUE"""),"")</f>
        <v/>
      </c>
      <c r="K101" s="51"/>
      <c r="L101" s="51" t="s">
        <v>257</v>
      </c>
      <c r="M101" s="51"/>
      <c r="N101" s="51"/>
      <c r="O101" s="51"/>
      <c r="P101" s="51"/>
      <c r="Q101" s="51"/>
      <c r="R101" s="51"/>
      <c r="S101" s="51"/>
      <c r="T101" s="51"/>
    </row>
    <row r="102">
      <c r="A102" s="51"/>
      <c r="B102" s="51"/>
      <c r="C102" s="56"/>
      <c r="D102" s="51"/>
      <c r="E102" s="51"/>
      <c r="F102" s="51"/>
      <c r="G102" s="51" t="str">
        <f>IFERROR(__xludf.DUMMYFUNCTION("""COMPUTED_VALUE"""),"#VALUE!")</f>
        <v>#VALUE!</v>
      </c>
      <c r="H102" s="51" t="str">
        <f>IFERROR(__xludf.DUMMYFUNCTION("""COMPUTED_VALUE"""),"")</f>
        <v/>
      </c>
      <c r="I102" s="51" t="str">
        <f>IFERROR(__xludf.DUMMYFUNCTION("""COMPUTED_VALUE"""),"#VALUE!")</f>
        <v>#VALUE!</v>
      </c>
      <c r="J102" s="51" t="str">
        <f>IFERROR(__xludf.DUMMYFUNCTION("""COMPUTED_VALUE"""),"")</f>
        <v/>
      </c>
      <c r="K102" s="51"/>
      <c r="L102" s="51" t="s">
        <v>257</v>
      </c>
      <c r="M102" s="51"/>
      <c r="N102" s="51"/>
      <c r="O102" s="51"/>
      <c r="P102" s="51"/>
      <c r="Q102" s="51"/>
      <c r="R102" s="51"/>
      <c r="S102" s="51"/>
      <c r="T102" s="51"/>
    </row>
    <row r="103">
      <c r="A103" s="51"/>
      <c r="B103" s="51"/>
      <c r="C103" s="56"/>
      <c r="D103" s="51"/>
      <c r="E103" s="51"/>
      <c r="F103" s="51"/>
      <c r="G103" s="51" t="str">
        <f>IFERROR(__xludf.DUMMYFUNCTION("""COMPUTED_VALUE"""),"#VALUE!")</f>
        <v>#VALUE!</v>
      </c>
      <c r="H103" s="51" t="str">
        <f>IFERROR(__xludf.DUMMYFUNCTION("""COMPUTED_VALUE"""),"")</f>
        <v/>
      </c>
      <c r="I103" s="51" t="str">
        <f>IFERROR(__xludf.DUMMYFUNCTION("""COMPUTED_VALUE"""),"#VALUE!")</f>
        <v>#VALUE!</v>
      </c>
      <c r="J103" s="51" t="str">
        <f>IFERROR(__xludf.DUMMYFUNCTION("""COMPUTED_VALUE"""),"")</f>
        <v/>
      </c>
      <c r="K103" s="51"/>
      <c r="L103" s="51" t="s">
        <v>257</v>
      </c>
      <c r="M103" s="51"/>
      <c r="N103" s="51"/>
      <c r="O103" s="51"/>
      <c r="P103" s="51"/>
      <c r="Q103" s="51"/>
      <c r="R103" s="51"/>
      <c r="S103" s="51"/>
      <c r="T103" s="51"/>
    </row>
    <row r="104">
      <c r="A104" s="51"/>
      <c r="B104" s="51"/>
      <c r="C104" s="56"/>
      <c r="D104" s="51"/>
      <c r="E104" s="51"/>
      <c r="F104" s="51"/>
      <c r="G104" s="51" t="str">
        <f>IFERROR(__xludf.DUMMYFUNCTION("""COMPUTED_VALUE"""),"#VALUE!")</f>
        <v>#VALUE!</v>
      </c>
      <c r="H104" s="51" t="str">
        <f>IFERROR(__xludf.DUMMYFUNCTION("""COMPUTED_VALUE"""),"")</f>
        <v/>
      </c>
      <c r="I104" s="51" t="str">
        <f>IFERROR(__xludf.DUMMYFUNCTION("""COMPUTED_VALUE"""),"#VALUE!")</f>
        <v>#VALUE!</v>
      </c>
      <c r="J104" s="51" t="str">
        <f>IFERROR(__xludf.DUMMYFUNCTION("""COMPUTED_VALUE"""),"")</f>
        <v/>
      </c>
      <c r="K104" s="51"/>
      <c r="L104" s="51" t="s">
        <v>257</v>
      </c>
      <c r="M104" s="51"/>
      <c r="N104" s="51"/>
      <c r="O104" s="51"/>
      <c r="P104" s="51"/>
      <c r="Q104" s="51"/>
      <c r="R104" s="51"/>
      <c r="S104" s="51"/>
      <c r="T104" s="51"/>
    </row>
    <row r="105">
      <c r="A105" s="51"/>
      <c r="B105" s="51"/>
      <c r="C105" s="56"/>
      <c r="D105" s="51"/>
      <c r="E105" s="51"/>
      <c r="F105" s="51"/>
      <c r="G105" s="51" t="str">
        <f>IFERROR(__xludf.DUMMYFUNCTION("""COMPUTED_VALUE"""),"#VALUE!")</f>
        <v>#VALUE!</v>
      </c>
      <c r="H105" s="51" t="str">
        <f>IFERROR(__xludf.DUMMYFUNCTION("""COMPUTED_VALUE"""),"")</f>
        <v/>
      </c>
      <c r="I105" s="51" t="str">
        <f>IFERROR(__xludf.DUMMYFUNCTION("""COMPUTED_VALUE"""),"#VALUE!")</f>
        <v>#VALUE!</v>
      </c>
      <c r="J105" s="51" t="str">
        <f>IFERROR(__xludf.DUMMYFUNCTION("""COMPUTED_VALUE"""),"")</f>
        <v/>
      </c>
      <c r="K105" s="51"/>
      <c r="L105" s="51" t="s">
        <v>257</v>
      </c>
      <c r="M105" s="51"/>
      <c r="N105" s="51"/>
      <c r="O105" s="51"/>
      <c r="P105" s="51"/>
      <c r="Q105" s="51"/>
      <c r="R105" s="51"/>
      <c r="S105" s="51"/>
      <c r="T105" s="51"/>
    </row>
    <row r="106">
      <c r="A106" s="51"/>
      <c r="B106" s="51"/>
      <c r="C106" s="56"/>
      <c r="D106" s="51"/>
      <c r="E106" s="51"/>
      <c r="F106" s="51"/>
      <c r="G106" s="51" t="str">
        <f>IFERROR(__xludf.DUMMYFUNCTION("""COMPUTED_VALUE"""),"#VALUE!")</f>
        <v>#VALUE!</v>
      </c>
      <c r="H106" s="51" t="str">
        <f>IFERROR(__xludf.DUMMYFUNCTION("""COMPUTED_VALUE"""),"")</f>
        <v/>
      </c>
      <c r="I106" s="51" t="str">
        <f>IFERROR(__xludf.DUMMYFUNCTION("""COMPUTED_VALUE"""),"#VALUE!")</f>
        <v>#VALUE!</v>
      </c>
      <c r="J106" s="51" t="str">
        <f>IFERROR(__xludf.DUMMYFUNCTION("""COMPUTED_VALUE"""),"")</f>
        <v/>
      </c>
      <c r="K106" s="51"/>
      <c r="L106" s="51" t="s">
        <v>257</v>
      </c>
      <c r="M106" s="51"/>
      <c r="N106" s="51"/>
      <c r="O106" s="51"/>
      <c r="P106" s="51"/>
      <c r="Q106" s="51"/>
      <c r="R106" s="51"/>
      <c r="S106" s="51"/>
      <c r="T106" s="51"/>
    </row>
    <row r="107">
      <c r="A107" s="51"/>
      <c r="B107" s="51"/>
      <c r="C107" s="56"/>
      <c r="D107" s="51"/>
      <c r="E107" s="51"/>
      <c r="F107" s="51"/>
      <c r="G107" s="51" t="str">
        <f>IFERROR(__xludf.DUMMYFUNCTION("""COMPUTED_VALUE"""),"#VALUE!")</f>
        <v>#VALUE!</v>
      </c>
      <c r="H107" s="51" t="str">
        <f>IFERROR(__xludf.DUMMYFUNCTION("""COMPUTED_VALUE"""),"")</f>
        <v/>
      </c>
      <c r="I107" s="51" t="str">
        <f>IFERROR(__xludf.DUMMYFUNCTION("""COMPUTED_VALUE"""),"#VALUE!")</f>
        <v>#VALUE!</v>
      </c>
      <c r="J107" s="51" t="str">
        <f>IFERROR(__xludf.DUMMYFUNCTION("""COMPUTED_VALUE"""),"")</f>
        <v/>
      </c>
      <c r="K107" s="51"/>
      <c r="L107" s="51" t="s">
        <v>257</v>
      </c>
      <c r="M107" s="51"/>
      <c r="N107" s="51"/>
      <c r="O107" s="51"/>
      <c r="P107" s="51"/>
      <c r="Q107" s="51"/>
      <c r="R107" s="51"/>
      <c r="S107" s="51"/>
      <c r="T107" s="51"/>
    </row>
    <row r="108">
      <c r="A108" s="51"/>
      <c r="B108" s="51"/>
      <c r="C108" s="56"/>
      <c r="D108" s="51"/>
      <c r="E108" s="51"/>
      <c r="F108" s="51"/>
      <c r="G108" s="51" t="str">
        <f>IFERROR(__xludf.DUMMYFUNCTION("""COMPUTED_VALUE"""),"#VALUE!")</f>
        <v>#VALUE!</v>
      </c>
      <c r="H108" s="51" t="str">
        <f>IFERROR(__xludf.DUMMYFUNCTION("""COMPUTED_VALUE"""),"")</f>
        <v/>
      </c>
      <c r="I108" s="51" t="str">
        <f>IFERROR(__xludf.DUMMYFUNCTION("""COMPUTED_VALUE"""),"#VALUE!")</f>
        <v>#VALUE!</v>
      </c>
      <c r="J108" s="51" t="str">
        <f>IFERROR(__xludf.DUMMYFUNCTION("""COMPUTED_VALUE"""),"")</f>
        <v/>
      </c>
      <c r="K108" s="51"/>
      <c r="L108" s="51" t="s">
        <v>257</v>
      </c>
      <c r="M108" s="51"/>
      <c r="N108" s="51"/>
      <c r="O108" s="51"/>
      <c r="P108" s="51"/>
      <c r="Q108" s="51"/>
      <c r="R108" s="51"/>
      <c r="S108" s="51"/>
      <c r="T108" s="51"/>
    </row>
    <row r="109">
      <c r="A109" s="51"/>
      <c r="B109" s="51"/>
      <c r="C109" s="56"/>
      <c r="D109" s="51"/>
      <c r="E109" s="51"/>
      <c r="F109" s="51"/>
      <c r="G109" s="51" t="str">
        <f>IFERROR(__xludf.DUMMYFUNCTION("""COMPUTED_VALUE"""),"#VALUE!")</f>
        <v>#VALUE!</v>
      </c>
      <c r="H109" s="51" t="str">
        <f>IFERROR(__xludf.DUMMYFUNCTION("""COMPUTED_VALUE"""),"")</f>
        <v/>
      </c>
      <c r="I109" s="51" t="str">
        <f>IFERROR(__xludf.DUMMYFUNCTION("""COMPUTED_VALUE"""),"#VALUE!")</f>
        <v>#VALUE!</v>
      </c>
      <c r="J109" s="51" t="str">
        <f>IFERROR(__xludf.DUMMYFUNCTION("""COMPUTED_VALUE"""),"")</f>
        <v/>
      </c>
      <c r="K109" s="51"/>
      <c r="L109" s="51" t="s">
        <v>257</v>
      </c>
      <c r="M109" s="51"/>
      <c r="N109" s="51"/>
      <c r="O109" s="51"/>
      <c r="P109" s="51"/>
      <c r="Q109" s="51"/>
      <c r="R109" s="51"/>
      <c r="S109" s="51"/>
      <c r="T109" s="51"/>
    </row>
    <row r="110">
      <c r="A110" s="51"/>
      <c r="B110" s="51"/>
      <c r="C110" s="56"/>
      <c r="D110" s="51"/>
      <c r="E110" s="51"/>
      <c r="F110" s="51"/>
      <c r="G110" s="51" t="str">
        <f>IFERROR(__xludf.DUMMYFUNCTION("""COMPUTED_VALUE"""),"#VALUE!")</f>
        <v>#VALUE!</v>
      </c>
      <c r="H110" s="51" t="str">
        <f>IFERROR(__xludf.DUMMYFUNCTION("""COMPUTED_VALUE"""),"")</f>
        <v/>
      </c>
      <c r="I110" s="51" t="str">
        <f>IFERROR(__xludf.DUMMYFUNCTION("""COMPUTED_VALUE"""),"#VALUE!")</f>
        <v>#VALUE!</v>
      </c>
      <c r="J110" s="51" t="str">
        <f>IFERROR(__xludf.DUMMYFUNCTION("""COMPUTED_VALUE"""),"")</f>
        <v/>
      </c>
      <c r="K110" s="51"/>
      <c r="L110" s="51" t="s">
        <v>257</v>
      </c>
      <c r="M110" s="51"/>
      <c r="N110" s="51"/>
      <c r="O110" s="51"/>
      <c r="P110" s="51"/>
      <c r="Q110" s="51"/>
      <c r="R110" s="51"/>
      <c r="S110" s="51"/>
      <c r="T110" s="51"/>
    </row>
    <row r="111">
      <c r="A111" s="51"/>
      <c r="B111" s="51"/>
      <c r="C111" s="56"/>
      <c r="D111" s="51"/>
      <c r="E111" s="51"/>
      <c r="F111" s="51"/>
      <c r="G111" s="51" t="str">
        <f>IFERROR(__xludf.DUMMYFUNCTION("""COMPUTED_VALUE"""),"#VALUE!")</f>
        <v>#VALUE!</v>
      </c>
      <c r="H111" s="51" t="str">
        <f>IFERROR(__xludf.DUMMYFUNCTION("""COMPUTED_VALUE"""),"")</f>
        <v/>
      </c>
      <c r="I111" s="51" t="str">
        <f>IFERROR(__xludf.DUMMYFUNCTION("""COMPUTED_VALUE"""),"#VALUE!")</f>
        <v>#VALUE!</v>
      </c>
      <c r="J111" s="51" t="str">
        <f>IFERROR(__xludf.DUMMYFUNCTION("""COMPUTED_VALUE"""),"")</f>
        <v/>
      </c>
      <c r="K111" s="51"/>
      <c r="L111" s="51" t="s">
        <v>257</v>
      </c>
      <c r="M111" s="51"/>
      <c r="N111" s="51"/>
      <c r="O111" s="51"/>
      <c r="P111" s="51"/>
      <c r="Q111" s="51"/>
      <c r="R111" s="51"/>
      <c r="S111" s="51"/>
      <c r="T111" s="51"/>
    </row>
    <row r="112">
      <c r="A112" s="51"/>
      <c r="B112" s="51"/>
      <c r="C112" s="56"/>
      <c r="D112" s="51"/>
      <c r="E112" s="51"/>
      <c r="F112" s="51"/>
      <c r="G112" s="51" t="str">
        <f>IFERROR(__xludf.DUMMYFUNCTION("""COMPUTED_VALUE"""),"#VALUE!")</f>
        <v>#VALUE!</v>
      </c>
      <c r="H112" s="51" t="str">
        <f>IFERROR(__xludf.DUMMYFUNCTION("""COMPUTED_VALUE"""),"")</f>
        <v/>
      </c>
      <c r="I112" s="51" t="str">
        <f>IFERROR(__xludf.DUMMYFUNCTION("""COMPUTED_VALUE"""),"#VALUE!")</f>
        <v>#VALUE!</v>
      </c>
      <c r="J112" s="51" t="str">
        <f>IFERROR(__xludf.DUMMYFUNCTION("""COMPUTED_VALUE"""),"")</f>
        <v/>
      </c>
      <c r="K112" s="51"/>
      <c r="L112" s="51" t="s">
        <v>257</v>
      </c>
      <c r="M112" s="51"/>
      <c r="N112" s="51"/>
      <c r="O112" s="51"/>
      <c r="P112" s="51"/>
      <c r="Q112" s="51"/>
      <c r="R112" s="51"/>
      <c r="S112" s="51"/>
      <c r="T112" s="51"/>
    </row>
    <row r="113">
      <c r="A113" s="51"/>
      <c r="B113" s="51"/>
      <c r="C113" s="56"/>
      <c r="D113" s="51"/>
      <c r="E113" s="51"/>
      <c r="F113" s="51"/>
      <c r="G113" s="51" t="str">
        <f>IFERROR(__xludf.DUMMYFUNCTION("""COMPUTED_VALUE"""),"#VALUE!")</f>
        <v>#VALUE!</v>
      </c>
      <c r="H113" s="51" t="str">
        <f>IFERROR(__xludf.DUMMYFUNCTION("""COMPUTED_VALUE"""),"")</f>
        <v/>
      </c>
      <c r="I113" s="51" t="str">
        <f>IFERROR(__xludf.DUMMYFUNCTION("""COMPUTED_VALUE"""),"#VALUE!")</f>
        <v>#VALUE!</v>
      </c>
      <c r="J113" s="51" t="str">
        <f>IFERROR(__xludf.DUMMYFUNCTION("""COMPUTED_VALUE"""),"")</f>
        <v/>
      </c>
      <c r="K113" s="51"/>
      <c r="L113" s="51" t="s">
        <v>257</v>
      </c>
      <c r="M113" s="51"/>
      <c r="N113" s="51"/>
      <c r="O113" s="51"/>
      <c r="P113" s="51"/>
      <c r="Q113" s="51"/>
      <c r="R113" s="51"/>
      <c r="S113" s="51"/>
      <c r="T113" s="51"/>
    </row>
    <row r="114">
      <c r="A114" s="51"/>
      <c r="B114" s="51"/>
      <c r="C114" s="56"/>
      <c r="D114" s="51"/>
      <c r="E114" s="51"/>
      <c r="F114" s="51"/>
      <c r="G114" s="51" t="str">
        <f>IFERROR(__xludf.DUMMYFUNCTION("""COMPUTED_VALUE"""),"#VALUE!")</f>
        <v>#VALUE!</v>
      </c>
      <c r="H114" s="51" t="str">
        <f>IFERROR(__xludf.DUMMYFUNCTION("""COMPUTED_VALUE"""),"")</f>
        <v/>
      </c>
      <c r="I114" s="51" t="str">
        <f>IFERROR(__xludf.DUMMYFUNCTION("""COMPUTED_VALUE"""),"#VALUE!")</f>
        <v>#VALUE!</v>
      </c>
      <c r="J114" s="51" t="str">
        <f>IFERROR(__xludf.DUMMYFUNCTION("""COMPUTED_VALUE"""),"")</f>
        <v/>
      </c>
      <c r="K114" s="51"/>
      <c r="L114" s="51" t="s">
        <v>257</v>
      </c>
      <c r="M114" s="51"/>
      <c r="N114" s="51"/>
      <c r="O114" s="51"/>
      <c r="P114" s="51"/>
      <c r="Q114" s="51"/>
      <c r="R114" s="51"/>
      <c r="S114" s="51"/>
      <c r="T114" s="51"/>
    </row>
    <row r="115">
      <c r="A115" s="51"/>
      <c r="B115" s="51"/>
      <c r="C115" s="56"/>
      <c r="D115" s="51"/>
      <c r="E115" s="51"/>
      <c r="F115" s="51"/>
      <c r="G115" s="51" t="str">
        <f>IFERROR(__xludf.DUMMYFUNCTION("""COMPUTED_VALUE"""),"#VALUE!")</f>
        <v>#VALUE!</v>
      </c>
      <c r="H115" s="51" t="str">
        <f>IFERROR(__xludf.DUMMYFUNCTION("""COMPUTED_VALUE"""),"")</f>
        <v/>
      </c>
      <c r="I115" s="51" t="str">
        <f>IFERROR(__xludf.DUMMYFUNCTION("""COMPUTED_VALUE"""),"#VALUE!")</f>
        <v>#VALUE!</v>
      </c>
      <c r="J115" s="51" t="str">
        <f>IFERROR(__xludf.DUMMYFUNCTION("""COMPUTED_VALUE"""),"")</f>
        <v/>
      </c>
      <c r="K115" s="51"/>
      <c r="L115" s="51" t="s">
        <v>257</v>
      </c>
      <c r="M115" s="51"/>
      <c r="N115" s="51"/>
      <c r="O115" s="51"/>
      <c r="P115" s="51"/>
      <c r="Q115" s="51"/>
      <c r="R115" s="51"/>
      <c r="S115" s="51"/>
      <c r="T115" s="51"/>
    </row>
    <row r="116">
      <c r="A116" s="51"/>
      <c r="B116" s="51"/>
      <c r="C116" s="56"/>
      <c r="D116" s="51"/>
      <c r="E116" s="51"/>
      <c r="F116" s="51"/>
      <c r="G116" s="51" t="str">
        <f>IFERROR(__xludf.DUMMYFUNCTION("""COMPUTED_VALUE"""),"#VALUE!")</f>
        <v>#VALUE!</v>
      </c>
      <c r="H116" s="51" t="str">
        <f>IFERROR(__xludf.DUMMYFUNCTION("""COMPUTED_VALUE"""),"")</f>
        <v/>
      </c>
      <c r="I116" s="51" t="str">
        <f>IFERROR(__xludf.DUMMYFUNCTION("""COMPUTED_VALUE"""),"#VALUE!")</f>
        <v>#VALUE!</v>
      </c>
      <c r="J116" s="51" t="str">
        <f>IFERROR(__xludf.DUMMYFUNCTION("""COMPUTED_VALUE"""),"")</f>
        <v/>
      </c>
      <c r="K116" s="51"/>
      <c r="L116" s="51" t="s">
        <v>257</v>
      </c>
      <c r="M116" s="51"/>
      <c r="N116" s="51"/>
      <c r="O116" s="51"/>
      <c r="P116" s="51"/>
      <c r="Q116" s="51"/>
      <c r="R116" s="51"/>
      <c r="S116" s="51"/>
      <c r="T116" s="51"/>
    </row>
    <row r="117">
      <c r="A117" s="51"/>
      <c r="B117" s="51"/>
      <c r="C117" s="56"/>
      <c r="D117" s="51"/>
      <c r="E117" s="51"/>
      <c r="F117" s="51"/>
      <c r="G117" s="51" t="str">
        <f>IFERROR(__xludf.DUMMYFUNCTION("""COMPUTED_VALUE"""),"#VALUE!")</f>
        <v>#VALUE!</v>
      </c>
      <c r="H117" s="51" t="str">
        <f>IFERROR(__xludf.DUMMYFUNCTION("""COMPUTED_VALUE"""),"")</f>
        <v/>
      </c>
      <c r="I117" s="51" t="str">
        <f>IFERROR(__xludf.DUMMYFUNCTION("""COMPUTED_VALUE"""),"#VALUE!")</f>
        <v>#VALUE!</v>
      </c>
      <c r="J117" s="51" t="str">
        <f>IFERROR(__xludf.DUMMYFUNCTION("""COMPUTED_VALUE"""),"")</f>
        <v/>
      </c>
      <c r="K117" s="51"/>
      <c r="L117" s="51" t="s">
        <v>257</v>
      </c>
      <c r="M117" s="51"/>
      <c r="N117" s="51"/>
      <c r="O117" s="51"/>
      <c r="P117" s="51"/>
      <c r="Q117" s="51"/>
      <c r="R117" s="51"/>
      <c r="S117" s="51"/>
      <c r="T117" s="51"/>
    </row>
    <row r="118">
      <c r="A118" s="51"/>
      <c r="B118" s="51"/>
      <c r="C118" s="56"/>
      <c r="D118" s="51"/>
      <c r="E118" s="51"/>
      <c r="F118" s="51"/>
      <c r="G118" s="51" t="str">
        <f>IFERROR(__xludf.DUMMYFUNCTION("""COMPUTED_VALUE"""),"#VALUE!")</f>
        <v>#VALUE!</v>
      </c>
      <c r="H118" s="51" t="str">
        <f>IFERROR(__xludf.DUMMYFUNCTION("""COMPUTED_VALUE"""),"")</f>
        <v/>
      </c>
      <c r="I118" s="51" t="str">
        <f>IFERROR(__xludf.DUMMYFUNCTION("""COMPUTED_VALUE"""),"#VALUE!")</f>
        <v>#VALUE!</v>
      </c>
      <c r="J118" s="51" t="str">
        <f>IFERROR(__xludf.DUMMYFUNCTION("""COMPUTED_VALUE"""),"")</f>
        <v/>
      </c>
      <c r="K118" s="51"/>
      <c r="L118" s="51" t="s">
        <v>257</v>
      </c>
      <c r="M118" s="51"/>
      <c r="N118" s="51"/>
      <c r="O118" s="51"/>
      <c r="P118" s="51"/>
      <c r="Q118" s="51"/>
      <c r="R118" s="51"/>
      <c r="S118" s="51"/>
      <c r="T118" s="51"/>
    </row>
    <row r="119">
      <c r="A119" s="51"/>
      <c r="B119" s="51"/>
      <c r="C119" s="56"/>
      <c r="D119" s="51"/>
      <c r="E119" s="51"/>
      <c r="F119" s="51"/>
      <c r="G119" s="51" t="str">
        <f>IFERROR(__xludf.DUMMYFUNCTION("""COMPUTED_VALUE"""),"#VALUE!")</f>
        <v>#VALUE!</v>
      </c>
      <c r="H119" s="51" t="str">
        <f>IFERROR(__xludf.DUMMYFUNCTION("""COMPUTED_VALUE"""),"")</f>
        <v/>
      </c>
      <c r="I119" s="51" t="str">
        <f>IFERROR(__xludf.DUMMYFUNCTION("""COMPUTED_VALUE"""),"#VALUE!")</f>
        <v>#VALUE!</v>
      </c>
      <c r="J119" s="51" t="str">
        <f>IFERROR(__xludf.DUMMYFUNCTION("""COMPUTED_VALUE"""),"")</f>
        <v/>
      </c>
      <c r="K119" s="51"/>
      <c r="L119" s="51" t="s">
        <v>257</v>
      </c>
      <c r="M119" s="51"/>
      <c r="N119" s="51"/>
      <c r="O119" s="51"/>
      <c r="P119" s="51"/>
      <c r="Q119" s="51"/>
      <c r="R119" s="51"/>
      <c r="S119" s="51"/>
      <c r="T119" s="51"/>
    </row>
    <row r="120">
      <c r="A120" s="51"/>
      <c r="B120" s="51"/>
      <c r="C120" s="56"/>
      <c r="D120" s="51"/>
      <c r="E120" s="51"/>
      <c r="F120" s="51"/>
      <c r="G120" s="51" t="str">
        <f>IFERROR(__xludf.DUMMYFUNCTION("""COMPUTED_VALUE"""),"#VALUE!")</f>
        <v>#VALUE!</v>
      </c>
      <c r="H120" s="51" t="str">
        <f>IFERROR(__xludf.DUMMYFUNCTION("""COMPUTED_VALUE"""),"")</f>
        <v/>
      </c>
      <c r="I120" s="51" t="str">
        <f>IFERROR(__xludf.DUMMYFUNCTION("""COMPUTED_VALUE"""),"#VALUE!")</f>
        <v>#VALUE!</v>
      </c>
      <c r="J120" s="51" t="str">
        <f>IFERROR(__xludf.DUMMYFUNCTION("""COMPUTED_VALUE"""),"")</f>
        <v/>
      </c>
      <c r="K120" s="51"/>
      <c r="L120" s="51" t="s">
        <v>257</v>
      </c>
      <c r="M120" s="51"/>
      <c r="N120" s="51"/>
      <c r="O120" s="51"/>
      <c r="P120" s="51"/>
      <c r="Q120" s="51"/>
      <c r="R120" s="51"/>
      <c r="S120" s="51"/>
      <c r="T120" s="51"/>
    </row>
    <row r="121">
      <c r="A121" s="51"/>
      <c r="B121" s="51"/>
      <c r="C121" s="56"/>
      <c r="D121" s="51"/>
      <c r="E121" s="51"/>
      <c r="F121" s="51"/>
      <c r="G121" s="51" t="str">
        <f>IFERROR(__xludf.DUMMYFUNCTION("""COMPUTED_VALUE"""),"#VALUE!")</f>
        <v>#VALUE!</v>
      </c>
      <c r="H121" s="51" t="str">
        <f>IFERROR(__xludf.DUMMYFUNCTION("""COMPUTED_VALUE"""),"")</f>
        <v/>
      </c>
      <c r="I121" s="51" t="str">
        <f>IFERROR(__xludf.DUMMYFUNCTION("""COMPUTED_VALUE"""),"#VALUE!")</f>
        <v>#VALUE!</v>
      </c>
      <c r="J121" s="51" t="str">
        <f>IFERROR(__xludf.DUMMYFUNCTION("""COMPUTED_VALUE"""),"")</f>
        <v/>
      </c>
      <c r="K121" s="51"/>
      <c r="L121" s="51" t="s">
        <v>257</v>
      </c>
      <c r="M121" s="51"/>
      <c r="N121" s="51"/>
      <c r="O121" s="51"/>
      <c r="P121" s="51"/>
      <c r="Q121" s="51"/>
      <c r="R121" s="51"/>
      <c r="S121" s="51"/>
      <c r="T121" s="51"/>
    </row>
    <row r="122">
      <c r="A122" s="51"/>
      <c r="B122" s="51"/>
      <c r="C122" s="56"/>
      <c r="D122" s="51"/>
      <c r="E122" s="51"/>
      <c r="F122" s="51"/>
      <c r="G122" s="51" t="str">
        <f>IFERROR(__xludf.DUMMYFUNCTION("""COMPUTED_VALUE"""),"#VALUE!")</f>
        <v>#VALUE!</v>
      </c>
      <c r="H122" s="51" t="str">
        <f>IFERROR(__xludf.DUMMYFUNCTION("""COMPUTED_VALUE"""),"")</f>
        <v/>
      </c>
      <c r="I122" s="51" t="str">
        <f>IFERROR(__xludf.DUMMYFUNCTION("""COMPUTED_VALUE"""),"#VALUE!")</f>
        <v>#VALUE!</v>
      </c>
      <c r="J122" s="51" t="str">
        <f>IFERROR(__xludf.DUMMYFUNCTION("""COMPUTED_VALUE"""),"")</f>
        <v/>
      </c>
      <c r="K122" s="51"/>
      <c r="L122" s="51" t="s">
        <v>257</v>
      </c>
      <c r="M122" s="51"/>
      <c r="N122" s="51"/>
      <c r="O122" s="51"/>
      <c r="P122" s="51"/>
      <c r="Q122" s="51"/>
      <c r="R122" s="51"/>
      <c r="S122" s="51"/>
      <c r="T122" s="51"/>
    </row>
    <row r="123">
      <c r="A123" s="51"/>
      <c r="B123" s="51"/>
      <c r="C123" s="56"/>
      <c r="D123" s="51"/>
      <c r="E123" s="51"/>
      <c r="F123" s="51"/>
      <c r="G123" s="51" t="str">
        <f>IFERROR(__xludf.DUMMYFUNCTION("""COMPUTED_VALUE"""),"#VALUE!")</f>
        <v>#VALUE!</v>
      </c>
      <c r="H123" s="51" t="str">
        <f>IFERROR(__xludf.DUMMYFUNCTION("""COMPUTED_VALUE"""),"")</f>
        <v/>
      </c>
      <c r="I123" s="51" t="str">
        <f>IFERROR(__xludf.DUMMYFUNCTION("""COMPUTED_VALUE"""),"#VALUE!")</f>
        <v>#VALUE!</v>
      </c>
      <c r="J123" s="51" t="str">
        <f>IFERROR(__xludf.DUMMYFUNCTION("""COMPUTED_VALUE"""),"")</f>
        <v/>
      </c>
      <c r="K123" s="51"/>
      <c r="L123" s="51" t="s">
        <v>257</v>
      </c>
      <c r="M123" s="51"/>
      <c r="N123" s="51"/>
      <c r="O123" s="51"/>
      <c r="P123" s="51"/>
      <c r="Q123" s="51"/>
      <c r="R123" s="51"/>
      <c r="S123" s="51"/>
      <c r="T123" s="51"/>
    </row>
    <row r="124">
      <c r="A124" s="51"/>
      <c r="B124" s="51"/>
      <c r="C124" s="56"/>
      <c r="D124" s="51"/>
      <c r="E124" s="51"/>
      <c r="F124" s="51"/>
      <c r="G124" s="51" t="str">
        <f>IFERROR(__xludf.DUMMYFUNCTION("""COMPUTED_VALUE"""),"#VALUE!")</f>
        <v>#VALUE!</v>
      </c>
      <c r="H124" s="51" t="str">
        <f>IFERROR(__xludf.DUMMYFUNCTION("""COMPUTED_VALUE"""),"")</f>
        <v/>
      </c>
      <c r="I124" s="51" t="str">
        <f>IFERROR(__xludf.DUMMYFUNCTION("""COMPUTED_VALUE"""),"#VALUE!")</f>
        <v>#VALUE!</v>
      </c>
      <c r="J124" s="51" t="str">
        <f>IFERROR(__xludf.DUMMYFUNCTION("""COMPUTED_VALUE"""),"")</f>
        <v/>
      </c>
      <c r="K124" s="51"/>
      <c r="L124" s="51" t="s">
        <v>257</v>
      </c>
      <c r="M124" s="51"/>
      <c r="N124" s="51"/>
      <c r="O124" s="51"/>
      <c r="P124" s="51"/>
      <c r="Q124" s="51"/>
      <c r="R124" s="51"/>
      <c r="S124" s="51"/>
      <c r="T124" s="51"/>
    </row>
    <row r="125">
      <c r="A125" s="51"/>
      <c r="B125" s="51"/>
      <c r="C125" s="56"/>
      <c r="D125" s="51"/>
      <c r="E125" s="51"/>
      <c r="F125" s="51"/>
      <c r="G125" s="51" t="str">
        <f>IFERROR(__xludf.DUMMYFUNCTION("""COMPUTED_VALUE"""),"#VALUE!")</f>
        <v>#VALUE!</v>
      </c>
      <c r="H125" s="51" t="str">
        <f>IFERROR(__xludf.DUMMYFUNCTION("""COMPUTED_VALUE"""),"")</f>
        <v/>
      </c>
      <c r="I125" s="51" t="str">
        <f>IFERROR(__xludf.DUMMYFUNCTION("""COMPUTED_VALUE"""),"#VALUE!")</f>
        <v>#VALUE!</v>
      </c>
      <c r="J125" s="51" t="str">
        <f>IFERROR(__xludf.DUMMYFUNCTION("""COMPUTED_VALUE"""),"")</f>
        <v/>
      </c>
      <c r="K125" s="51"/>
      <c r="L125" s="51" t="s">
        <v>257</v>
      </c>
      <c r="M125" s="51"/>
      <c r="N125" s="51"/>
      <c r="O125" s="51"/>
      <c r="P125" s="51"/>
      <c r="Q125" s="51"/>
      <c r="R125" s="51"/>
      <c r="S125" s="51"/>
      <c r="T125" s="51"/>
    </row>
    <row r="126">
      <c r="A126" s="51"/>
      <c r="B126" s="51"/>
      <c r="C126" s="56"/>
      <c r="D126" s="51"/>
      <c r="E126" s="51"/>
      <c r="F126" s="51"/>
      <c r="G126" s="51" t="str">
        <f>IFERROR(__xludf.DUMMYFUNCTION("""COMPUTED_VALUE"""),"#VALUE!")</f>
        <v>#VALUE!</v>
      </c>
      <c r="H126" s="51" t="str">
        <f>IFERROR(__xludf.DUMMYFUNCTION("""COMPUTED_VALUE"""),"")</f>
        <v/>
      </c>
      <c r="I126" s="51" t="str">
        <f>IFERROR(__xludf.DUMMYFUNCTION("""COMPUTED_VALUE"""),"#VALUE!")</f>
        <v>#VALUE!</v>
      </c>
      <c r="J126" s="51" t="str">
        <f>IFERROR(__xludf.DUMMYFUNCTION("""COMPUTED_VALUE"""),"")</f>
        <v/>
      </c>
      <c r="K126" s="51"/>
      <c r="L126" s="51" t="s">
        <v>257</v>
      </c>
      <c r="M126" s="51"/>
      <c r="N126" s="51"/>
      <c r="O126" s="51"/>
      <c r="P126" s="51"/>
      <c r="Q126" s="51"/>
      <c r="R126" s="51"/>
      <c r="S126" s="51"/>
      <c r="T126" s="51"/>
    </row>
    <row r="127">
      <c r="A127" s="51"/>
      <c r="B127" s="51"/>
      <c r="C127" s="56"/>
      <c r="D127" s="51"/>
      <c r="E127" s="51"/>
      <c r="F127" s="51"/>
      <c r="G127" s="51" t="str">
        <f>IFERROR(__xludf.DUMMYFUNCTION("""COMPUTED_VALUE"""),"#VALUE!")</f>
        <v>#VALUE!</v>
      </c>
      <c r="H127" s="51" t="str">
        <f>IFERROR(__xludf.DUMMYFUNCTION("""COMPUTED_VALUE"""),"")</f>
        <v/>
      </c>
      <c r="I127" s="51" t="str">
        <f>IFERROR(__xludf.DUMMYFUNCTION("""COMPUTED_VALUE"""),"#VALUE!")</f>
        <v>#VALUE!</v>
      </c>
      <c r="J127" s="51" t="str">
        <f>IFERROR(__xludf.DUMMYFUNCTION("""COMPUTED_VALUE"""),"")</f>
        <v/>
      </c>
      <c r="K127" s="51"/>
      <c r="L127" s="51" t="s">
        <v>257</v>
      </c>
      <c r="M127" s="51"/>
      <c r="N127" s="51"/>
      <c r="O127" s="51"/>
      <c r="P127" s="51"/>
      <c r="Q127" s="51"/>
      <c r="R127" s="51"/>
      <c r="S127" s="51"/>
      <c r="T127" s="51"/>
    </row>
    <row r="128">
      <c r="A128" s="51"/>
      <c r="B128" s="51"/>
      <c r="C128" s="56"/>
      <c r="D128" s="51"/>
      <c r="E128" s="51"/>
      <c r="F128" s="51"/>
      <c r="G128" s="51" t="str">
        <f>IFERROR(__xludf.DUMMYFUNCTION("""COMPUTED_VALUE"""),"#VALUE!")</f>
        <v>#VALUE!</v>
      </c>
      <c r="H128" s="51" t="str">
        <f>IFERROR(__xludf.DUMMYFUNCTION("""COMPUTED_VALUE"""),"")</f>
        <v/>
      </c>
      <c r="I128" s="51" t="str">
        <f>IFERROR(__xludf.DUMMYFUNCTION("""COMPUTED_VALUE"""),"#VALUE!")</f>
        <v>#VALUE!</v>
      </c>
      <c r="J128" s="51" t="str">
        <f>IFERROR(__xludf.DUMMYFUNCTION("""COMPUTED_VALUE"""),"")</f>
        <v/>
      </c>
      <c r="K128" s="51"/>
      <c r="L128" s="51" t="s">
        <v>257</v>
      </c>
      <c r="M128" s="51"/>
      <c r="N128" s="51"/>
      <c r="O128" s="51"/>
      <c r="P128" s="51"/>
      <c r="Q128" s="51"/>
      <c r="R128" s="51"/>
      <c r="S128" s="51"/>
      <c r="T128" s="51"/>
    </row>
    <row r="129">
      <c r="A129" s="51"/>
      <c r="B129" s="51"/>
      <c r="C129" s="56"/>
      <c r="D129" s="51"/>
      <c r="E129" s="51"/>
      <c r="F129" s="51"/>
      <c r="G129" s="51" t="str">
        <f>IFERROR(__xludf.DUMMYFUNCTION("""COMPUTED_VALUE"""),"#VALUE!")</f>
        <v>#VALUE!</v>
      </c>
      <c r="H129" s="51" t="str">
        <f>IFERROR(__xludf.DUMMYFUNCTION("""COMPUTED_VALUE"""),"")</f>
        <v/>
      </c>
      <c r="I129" s="51" t="str">
        <f>IFERROR(__xludf.DUMMYFUNCTION("""COMPUTED_VALUE"""),"#VALUE!")</f>
        <v>#VALUE!</v>
      </c>
      <c r="J129" s="51" t="str">
        <f>IFERROR(__xludf.DUMMYFUNCTION("""COMPUTED_VALUE"""),"")</f>
        <v/>
      </c>
      <c r="K129" s="51"/>
      <c r="L129" s="51" t="s">
        <v>257</v>
      </c>
      <c r="M129" s="51"/>
      <c r="N129" s="51"/>
      <c r="O129" s="51"/>
      <c r="P129" s="51"/>
      <c r="Q129" s="51"/>
      <c r="R129" s="51"/>
      <c r="S129" s="51"/>
      <c r="T129" s="51"/>
    </row>
    <row r="130">
      <c r="A130" s="51"/>
      <c r="B130" s="51"/>
      <c r="C130" s="56"/>
      <c r="D130" s="51"/>
      <c r="E130" s="51"/>
      <c r="F130" s="51"/>
      <c r="G130" s="51" t="str">
        <f>IFERROR(__xludf.DUMMYFUNCTION("""COMPUTED_VALUE"""),"#VALUE!")</f>
        <v>#VALUE!</v>
      </c>
      <c r="H130" s="51" t="str">
        <f>IFERROR(__xludf.DUMMYFUNCTION("""COMPUTED_VALUE"""),"")</f>
        <v/>
      </c>
      <c r="I130" s="51" t="str">
        <f>IFERROR(__xludf.DUMMYFUNCTION("""COMPUTED_VALUE"""),"#VALUE!")</f>
        <v>#VALUE!</v>
      </c>
      <c r="J130" s="51" t="str">
        <f>IFERROR(__xludf.DUMMYFUNCTION("""COMPUTED_VALUE"""),"")</f>
        <v/>
      </c>
      <c r="K130" s="51"/>
      <c r="L130" s="51" t="s">
        <v>257</v>
      </c>
      <c r="M130" s="51"/>
      <c r="N130" s="51"/>
      <c r="O130" s="51"/>
      <c r="P130" s="51"/>
      <c r="Q130" s="51"/>
      <c r="R130" s="51"/>
      <c r="S130" s="51"/>
      <c r="T130" s="51"/>
    </row>
    <row r="131">
      <c r="A131" s="51"/>
      <c r="B131" s="51"/>
      <c r="C131" s="56"/>
      <c r="D131" s="51"/>
      <c r="E131" s="51"/>
      <c r="F131" s="51"/>
      <c r="G131" s="51" t="str">
        <f>IFERROR(__xludf.DUMMYFUNCTION("""COMPUTED_VALUE"""),"#VALUE!")</f>
        <v>#VALUE!</v>
      </c>
      <c r="H131" s="51" t="str">
        <f>IFERROR(__xludf.DUMMYFUNCTION("""COMPUTED_VALUE"""),"")</f>
        <v/>
      </c>
      <c r="I131" s="51" t="str">
        <f>IFERROR(__xludf.DUMMYFUNCTION("""COMPUTED_VALUE"""),"#VALUE!")</f>
        <v>#VALUE!</v>
      </c>
      <c r="J131" s="51" t="str">
        <f>IFERROR(__xludf.DUMMYFUNCTION("""COMPUTED_VALUE"""),"")</f>
        <v/>
      </c>
      <c r="K131" s="51"/>
      <c r="L131" s="51" t="s">
        <v>257</v>
      </c>
      <c r="M131" s="51"/>
      <c r="N131" s="51"/>
      <c r="O131" s="51"/>
      <c r="P131" s="51"/>
      <c r="Q131" s="51"/>
      <c r="R131" s="51"/>
      <c r="S131" s="51"/>
      <c r="T131" s="51"/>
    </row>
    <row r="132">
      <c r="A132" s="51"/>
      <c r="B132" s="51"/>
      <c r="C132" s="56"/>
      <c r="D132" s="51"/>
      <c r="E132" s="51"/>
      <c r="F132" s="51"/>
      <c r="G132" s="51" t="str">
        <f>IFERROR(__xludf.DUMMYFUNCTION("""COMPUTED_VALUE"""),"#VALUE!")</f>
        <v>#VALUE!</v>
      </c>
      <c r="H132" s="51" t="str">
        <f>IFERROR(__xludf.DUMMYFUNCTION("""COMPUTED_VALUE"""),"")</f>
        <v/>
      </c>
      <c r="I132" s="51" t="str">
        <f>IFERROR(__xludf.DUMMYFUNCTION("""COMPUTED_VALUE"""),"#VALUE!")</f>
        <v>#VALUE!</v>
      </c>
      <c r="J132" s="51" t="str">
        <f>IFERROR(__xludf.DUMMYFUNCTION("""COMPUTED_VALUE"""),"")</f>
        <v/>
      </c>
      <c r="K132" s="51"/>
      <c r="L132" s="51" t="s">
        <v>257</v>
      </c>
      <c r="M132" s="51"/>
      <c r="N132" s="51"/>
      <c r="O132" s="51"/>
      <c r="P132" s="51"/>
      <c r="Q132" s="51"/>
      <c r="R132" s="51"/>
      <c r="S132" s="51"/>
      <c r="T132" s="51"/>
    </row>
    <row r="133">
      <c r="A133" s="51"/>
      <c r="B133" s="51"/>
      <c r="C133" s="56"/>
      <c r="D133" s="51"/>
      <c r="E133" s="51"/>
      <c r="F133" s="51"/>
      <c r="G133" s="51" t="str">
        <f>IFERROR(__xludf.DUMMYFUNCTION("""COMPUTED_VALUE"""),"#VALUE!")</f>
        <v>#VALUE!</v>
      </c>
      <c r="H133" s="51" t="str">
        <f>IFERROR(__xludf.DUMMYFUNCTION("""COMPUTED_VALUE"""),"")</f>
        <v/>
      </c>
      <c r="I133" s="51" t="str">
        <f>IFERROR(__xludf.DUMMYFUNCTION("""COMPUTED_VALUE"""),"#VALUE!")</f>
        <v>#VALUE!</v>
      </c>
      <c r="J133" s="51" t="str">
        <f>IFERROR(__xludf.DUMMYFUNCTION("""COMPUTED_VALUE"""),"")</f>
        <v/>
      </c>
      <c r="K133" s="51"/>
      <c r="L133" s="51" t="s">
        <v>257</v>
      </c>
      <c r="M133" s="51"/>
      <c r="N133" s="51"/>
      <c r="O133" s="51"/>
      <c r="P133" s="51"/>
      <c r="Q133" s="51"/>
      <c r="R133" s="51"/>
      <c r="S133" s="51"/>
      <c r="T133" s="51"/>
    </row>
    <row r="134">
      <c r="A134" s="51"/>
      <c r="B134" s="51"/>
      <c r="C134" s="56"/>
      <c r="D134" s="51"/>
      <c r="E134" s="51"/>
      <c r="F134" s="51"/>
      <c r="G134" s="51" t="str">
        <f>IFERROR(__xludf.DUMMYFUNCTION("""COMPUTED_VALUE"""),"#VALUE!")</f>
        <v>#VALUE!</v>
      </c>
      <c r="H134" s="51" t="str">
        <f>IFERROR(__xludf.DUMMYFUNCTION("""COMPUTED_VALUE"""),"")</f>
        <v/>
      </c>
      <c r="I134" s="51" t="str">
        <f>IFERROR(__xludf.DUMMYFUNCTION("""COMPUTED_VALUE"""),"#VALUE!")</f>
        <v>#VALUE!</v>
      </c>
      <c r="J134" s="51" t="str">
        <f>IFERROR(__xludf.DUMMYFUNCTION("""COMPUTED_VALUE"""),"")</f>
        <v/>
      </c>
      <c r="K134" s="51"/>
      <c r="L134" s="51" t="s">
        <v>257</v>
      </c>
      <c r="M134" s="51"/>
      <c r="N134" s="51"/>
      <c r="O134" s="51"/>
      <c r="P134" s="51"/>
      <c r="Q134" s="51"/>
      <c r="R134" s="51"/>
      <c r="S134" s="51"/>
      <c r="T134" s="51"/>
    </row>
    <row r="135">
      <c r="A135" s="51"/>
      <c r="B135" s="51"/>
      <c r="C135" s="56"/>
      <c r="D135" s="51"/>
      <c r="E135" s="51"/>
      <c r="F135" s="51"/>
      <c r="G135" s="51" t="str">
        <f>IFERROR(__xludf.DUMMYFUNCTION("""COMPUTED_VALUE"""),"#VALUE!")</f>
        <v>#VALUE!</v>
      </c>
      <c r="H135" s="51" t="str">
        <f>IFERROR(__xludf.DUMMYFUNCTION("""COMPUTED_VALUE"""),"")</f>
        <v/>
      </c>
      <c r="I135" s="51" t="str">
        <f>IFERROR(__xludf.DUMMYFUNCTION("""COMPUTED_VALUE"""),"#VALUE!")</f>
        <v>#VALUE!</v>
      </c>
      <c r="J135" s="51" t="str">
        <f>IFERROR(__xludf.DUMMYFUNCTION("""COMPUTED_VALUE"""),"")</f>
        <v/>
      </c>
      <c r="K135" s="51"/>
      <c r="L135" s="51" t="s">
        <v>257</v>
      </c>
      <c r="M135" s="51"/>
      <c r="N135" s="51"/>
      <c r="O135" s="51"/>
      <c r="P135" s="51"/>
      <c r="Q135" s="51"/>
      <c r="R135" s="51"/>
      <c r="S135" s="51"/>
      <c r="T135" s="51"/>
    </row>
    <row r="136">
      <c r="A136" s="51"/>
      <c r="B136" s="51"/>
      <c r="C136" s="56"/>
      <c r="D136" s="51"/>
      <c r="E136" s="51"/>
      <c r="F136" s="51"/>
      <c r="G136" s="51" t="str">
        <f>IFERROR(__xludf.DUMMYFUNCTION("""COMPUTED_VALUE"""),"#VALUE!")</f>
        <v>#VALUE!</v>
      </c>
      <c r="H136" s="51" t="str">
        <f>IFERROR(__xludf.DUMMYFUNCTION("""COMPUTED_VALUE"""),"")</f>
        <v/>
      </c>
      <c r="I136" s="51" t="str">
        <f>IFERROR(__xludf.DUMMYFUNCTION("""COMPUTED_VALUE"""),"#VALUE!")</f>
        <v>#VALUE!</v>
      </c>
      <c r="J136" s="51" t="str">
        <f>IFERROR(__xludf.DUMMYFUNCTION("""COMPUTED_VALUE"""),"")</f>
        <v/>
      </c>
      <c r="K136" s="51"/>
      <c r="L136" s="51" t="s">
        <v>257</v>
      </c>
      <c r="M136" s="51"/>
      <c r="N136" s="51"/>
      <c r="O136" s="51"/>
      <c r="P136" s="51"/>
      <c r="Q136" s="51"/>
      <c r="R136" s="51"/>
      <c r="S136" s="51"/>
      <c r="T136" s="51"/>
    </row>
    <row r="137">
      <c r="A137" s="51"/>
      <c r="B137" s="51"/>
      <c r="C137" s="56"/>
      <c r="D137" s="51"/>
      <c r="E137" s="51"/>
      <c r="F137" s="51"/>
      <c r="G137" s="51" t="str">
        <f>IFERROR(__xludf.DUMMYFUNCTION("""COMPUTED_VALUE"""),"#VALUE!")</f>
        <v>#VALUE!</v>
      </c>
      <c r="H137" s="51" t="str">
        <f>IFERROR(__xludf.DUMMYFUNCTION("""COMPUTED_VALUE"""),"")</f>
        <v/>
      </c>
      <c r="I137" s="51" t="str">
        <f>IFERROR(__xludf.DUMMYFUNCTION("""COMPUTED_VALUE"""),"#VALUE!")</f>
        <v>#VALUE!</v>
      </c>
      <c r="J137" s="51" t="str">
        <f>IFERROR(__xludf.DUMMYFUNCTION("""COMPUTED_VALUE"""),"")</f>
        <v/>
      </c>
      <c r="K137" s="51"/>
      <c r="L137" s="51" t="s">
        <v>257</v>
      </c>
      <c r="M137" s="51"/>
      <c r="N137" s="51"/>
      <c r="O137" s="51"/>
      <c r="P137" s="51"/>
      <c r="Q137" s="51"/>
      <c r="R137" s="51"/>
      <c r="S137" s="51"/>
      <c r="T137" s="51"/>
    </row>
    <row r="138">
      <c r="A138" s="51"/>
      <c r="B138" s="51"/>
      <c r="C138" s="56"/>
      <c r="D138" s="51"/>
      <c r="E138" s="51"/>
      <c r="F138" s="51"/>
      <c r="G138" s="51" t="str">
        <f>IFERROR(__xludf.DUMMYFUNCTION("""COMPUTED_VALUE"""),"#VALUE!")</f>
        <v>#VALUE!</v>
      </c>
      <c r="H138" s="51" t="str">
        <f>IFERROR(__xludf.DUMMYFUNCTION("""COMPUTED_VALUE"""),"")</f>
        <v/>
      </c>
      <c r="I138" s="51" t="str">
        <f>IFERROR(__xludf.DUMMYFUNCTION("""COMPUTED_VALUE"""),"#VALUE!")</f>
        <v>#VALUE!</v>
      </c>
      <c r="J138" s="51" t="str">
        <f>IFERROR(__xludf.DUMMYFUNCTION("""COMPUTED_VALUE"""),"")</f>
        <v/>
      </c>
      <c r="K138" s="51"/>
      <c r="L138" s="51" t="s">
        <v>257</v>
      </c>
      <c r="M138" s="51"/>
      <c r="N138" s="51"/>
      <c r="O138" s="51"/>
      <c r="P138" s="51"/>
      <c r="Q138" s="51"/>
      <c r="R138" s="51"/>
      <c r="S138" s="51"/>
      <c r="T138" s="51"/>
    </row>
    <row r="139">
      <c r="A139" s="51"/>
      <c r="B139" s="51"/>
      <c r="C139" s="56"/>
      <c r="D139" s="51"/>
      <c r="E139" s="51"/>
      <c r="F139" s="51"/>
      <c r="G139" s="51" t="str">
        <f>IFERROR(__xludf.DUMMYFUNCTION("""COMPUTED_VALUE"""),"#VALUE!")</f>
        <v>#VALUE!</v>
      </c>
      <c r="H139" s="51" t="str">
        <f>IFERROR(__xludf.DUMMYFUNCTION("""COMPUTED_VALUE"""),"")</f>
        <v/>
      </c>
      <c r="I139" s="51" t="str">
        <f>IFERROR(__xludf.DUMMYFUNCTION("""COMPUTED_VALUE"""),"#VALUE!")</f>
        <v>#VALUE!</v>
      </c>
      <c r="J139" s="51" t="str">
        <f>IFERROR(__xludf.DUMMYFUNCTION("""COMPUTED_VALUE"""),"")</f>
        <v/>
      </c>
      <c r="K139" s="51"/>
      <c r="L139" s="51" t="s">
        <v>257</v>
      </c>
      <c r="M139" s="51"/>
      <c r="N139" s="51"/>
      <c r="O139" s="51"/>
      <c r="P139" s="51"/>
      <c r="Q139" s="51"/>
      <c r="R139" s="51"/>
      <c r="S139" s="51"/>
      <c r="T139" s="51"/>
    </row>
    <row r="140">
      <c r="A140" s="51"/>
      <c r="B140" s="51"/>
      <c r="C140" s="56"/>
      <c r="D140" s="51"/>
      <c r="E140" s="51"/>
      <c r="F140" s="51"/>
      <c r="G140" s="51" t="str">
        <f>IFERROR(__xludf.DUMMYFUNCTION("""COMPUTED_VALUE"""),"#VALUE!")</f>
        <v>#VALUE!</v>
      </c>
      <c r="H140" s="51" t="str">
        <f>IFERROR(__xludf.DUMMYFUNCTION("""COMPUTED_VALUE"""),"")</f>
        <v/>
      </c>
      <c r="I140" s="51" t="str">
        <f>IFERROR(__xludf.DUMMYFUNCTION("""COMPUTED_VALUE"""),"#VALUE!")</f>
        <v>#VALUE!</v>
      </c>
      <c r="J140" s="51" t="str">
        <f>IFERROR(__xludf.DUMMYFUNCTION("""COMPUTED_VALUE"""),"")</f>
        <v/>
      </c>
      <c r="K140" s="51"/>
      <c r="L140" s="51" t="s">
        <v>257</v>
      </c>
      <c r="M140" s="51"/>
      <c r="N140" s="51"/>
      <c r="O140" s="51"/>
      <c r="P140" s="51"/>
      <c r="Q140" s="51"/>
      <c r="R140" s="51"/>
      <c r="S140" s="51"/>
      <c r="T140" s="51"/>
    </row>
    <row r="141">
      <c r="A141" s="51"/>
      <c r="B141" s="51"/>
      <c r="C141" s="56"/>
      <c r="D141" s="51"/>
      <c r="E141" s="51"/>
      <c r="F141" s="51"/>
      <c r="G141" s="51" t="str">
        <f>IFERROR(__xludf.DUMMYFUNCTION("""COMPUTED_VALUE"""),"#VALUE!")</f>
        <v>#VALUE!</v>
      </c>
      <c r="H141" s="51" t="str">
        <f>IFERROR(__xludf.DUMMYFUNCTION("""COMPUTED_VALUE"""),"")</f>
        <v/>
      </c>
      <c r="I141" s="51" t="str">
        <f>IFERROR(__xludf.DUMMYFUNCTION("""COMPUTED_VALUE"""),"#VALUE!")</f>
        <v>#VALUE!</v>
      </c>
      <c r="J141" s="51" t="str">
        <f>IFERROR(__xludf.DUMMYFUNCTION("""COMPUTED_VALUE"""),"")</f>
        <v/>
      </c>
      <c r="K141" s="51"/>
      <c r="L141" s="51" t="s">
        <v>257</v>
      </c>
      <c r="M141" s="51"/>
      <c r="N141" s="51"/>
      <c r="O141" s="51"/>
      <c r="P141" s="51"/>
      <c r="Q141" s="51"/>
      <c r="R141" s="51"/>
      <c r="S141" s="51"/>
      <c r="T141" s="51"/>
    </row>
    <row r="142">
      <c r="A142" s="51"/>
      <c r="B142" s="51"/>
      <c r="C142" s="56"/>
      <c r="D142" s="51"/>
      <c r="E142" s="51"/>
      <c r="F142" s="51"/>
      <c r="G142" s="51" t="str">
        <f>IFERROR(__xludf.DUMMYFUNCTION("""COMPUTED_VALUE"""),"#VALUE!")</f>
        <v>#VALUE!</v>
      </c>
      <c r="H142" s="51" t="str">
        <f>IFERROR(__xludf.DUMMYFUNCTION("""COMPUTED_VALUE"""),"")</f>
        <v/>
      </c>
      <c r="I142" s="51" t="str">
        <f>IFERROR(__xludf.DUMMYFUNCTION("""COMPUTED_VALUE"""),"#VALUE!")</f>
        <v>#VALUE!</v>
      </c>
      <c r="J142" s="51" t="str">
        <f>IFERROR(__xludf.DUMMYFUNCTION("""COMPUTED_VALUE"""),"")</f>
        <v/>
      </c>
      <c r="K142" s="51"/>
      <c r="L142" s="51" t="s">
        <v>257</v>
      </c>
      <c r="M142" s="51"/>
      <c r="N142" s="51"/>
      <c r="O142" s="51"/>
      <c r="P142" s="51"/>
      <c r="Q142" s="51"/>
      <c r="R142" s="51"/>
      <c r="S142" s="51"/>
      <c r="T142" s="51"/>
    </row>
    <row r="143">
      <c r="A143" s="51"/>
      <c r="B143" s="51"/>
      <c r="C143" s="56"/>
      <c r="D143" s="51"/>
      <c r="E143" s="51"/>
      <c r="F143" s="51"/>
      <c r="G143" s="51" t="str">
        <f>IFERROR(__xludf.DUMMYFUNCTION("""COMPUTED_VALUE"""),"#VALUE!")</f>
        <v>#VALUE!</v>
      </c>
      <c r="H143" s="51" t="str">
        <f>IFERROR(__xludf.DUMMYFUNCTION("""COMPUTED_VALUE"""),"")</f>
        <v/>
      </c>
      <c r="I143" s="51" t="str">
        <f>IFERROR(__xludf.DUMMYFUNCTION("""COMPUTED_VALUE"""),"#VALUE!")</f>
        <v>#VALUE!</v>
      </c>
      <c r="J143" s="51" t="str">
        <f>IFERROR(__xludf.DUMMYFUNCTION("""COMPUTED_VALUE"""),"")</f>
        <v/>
      </c>
      <c r="K143" s="51"/>
      <c r="L143" s="51" t="s">
        <v>257</v>
      </c>
      <c r="M143" s="51"/>
      <c r="N143" s="51"/>
      <c r="O143" s="51"/>
      <c r="P143" s="51"/>
      <c r="Q143" s="51"/>
      <c r="R143" s="51"/>
      <c r="S143" s="51"/>
      <c r="T143" s="51"/>
    </row>
    <row r="144">
      <c r="A144" s="51"/>
      <c r="B144" s="51"/>
      <c r="C144" s="56"/>
      <c r="D144" s="51"/>
      <c r="E144" s="51"/>
      <c r="F144" s="51"/>
      <c r="G144" s="51" t="str">
        <f>IFERROR(__xludf.DUMMYFUNCTION("""COMPUTED_VALUE"""),"#VALUE!")</f>
        <v>#VALUE!</v>
      </c>
      <c r="H144" s="51" t="str">
        <f>IFERROR(__xludf.DUMMYFUNCTION("""COMPUTED_VALUE"""),"")</f>
        <v/>
      </c>
      <c r="I144" s="51" t="str">
        <f>IFERROR(__xludf.DUMMYFUNCTION("""COMPUTED_VALUE"""),"#VALUE!")</f>
        <v>#VALUE!</v>
      </c>
      <c r="J144" s="51" t="str">
        <f>IFERROR(__xludf.DUMMYFUNCTION("""COMPUTED_VALUE"""),"")</f>
        <v/>
      </c>
      <c r="K144" s="51"/>
      <c r="L144" s="51" t="s">
        <v>257</v>
      </c>
      <c r="M144" s="51"/>
      <c r="N144" s="51"/>
      <c r="O144" s="51"/>
      <c r="P144" s="51"/>
      <c r="Q144" s="51"/>
      <c r="R144" s="51"/>
      <c r="S144" s="51"/>
      <c r="T144" s="51"/>
    </row>
    <row r="145">
      <c r="A145" s="51"/>
      <c r="B145" s="51"/>
      <c r="C145" s="56"/>
      <c r="D145" s="51"/>
      <c r="E145" s="51"/>
      <c r="F145" s="51"/>
      <c r="G145" s="51" t="str">
        <f>IFERROR(__xludf.DUMMYFUNCTION("""COMPUTED_VALUE"""),"#VALUE!")</f>
        <v>#VALUE!</v>
      </c>
      <c r="H145" s="51" t="str">
        <f>IFERROR(__xludf.DUMMYFUNCTION("""COMPUTED_VALUE"""),"")</f>
        <v/>
      </c>
      <c r="I145" s="51" t="str">
        <f>IFERROR(__xludf.DUMMYFUNCTION("""COMPUTED_VALUE"""),"#VALUE!")</f>
        <v>#VALUE!</v>
      </c>
      <c r="J145" s="51" t="str">
        <f>IFERROR(__xludf.DUMMYFUNCTION("""COMPUTED_VALUE"""),"")</f>
        <v/>
      </c>
      <c r="K145" s="51"/>
      <c r="L145" s="51" t="s">
        <v>257</v>
      </c>
      <c r="M145" s="51"/>
      <c r="N145" s="51"/>
      <c r="O145" s="51"/>
      <c r="P145" s="51"/>
      <c r="Q145" s="51"/>
      <c r="R145" s="51"/>
      <c r="S145" s="51"/>
      <c r="T145" s="51"/>
    </row>
    <row r="146">
      <c r="A146" s="51"/>
      <c r="B146" s="51"/>
      <c r="C146" s="56"/>
      <c r="D146" s="51"/>
      <c r="E146" s="51"/>
      <c r="F146" s="51"/>
      <c r="G146" s="51" t="str">
        <f>IFERROR(__xludf.DUMMYFUNCTION("""COMPUTED_VALUE"""),"#VALUE!")</f>
        <v>#VALUE!</v>
      </c>
      <c r="H146" s="51" t="str">
        <f>IFERROR(__xludf.DUMMYFUNCTION("""COMPUTED_VALUE"""),"")</f>
        <v/>
      </c>
      <c r="I146" s="51" t="str">
        <f>IFERROR(__xludf.DUMMYFUNCTION("""COMPUTED_VALUE"""),"#VALUE!")</f>
        <v>#VALUE!</v>
      </c>
      <c r="J146" s="51" t="str">
        <f>IFERROR(__xludf.DUMMYFUNCTION("""COMPUTED_VALUE"""),"")</f>
        <v/>
      </c>
      <c r="K146" s="51"/>
      <c r="L146" s="51" t="s">
        <v>257</v>
      </c>
      <c r="M146" s="51"/>
      <c r="N146" s="51"/>
      <c r="O146" s="51"/>
      <c r="P146" s="51"/>
      <c r="Q146" s="51"/>
      <c r="R146" s="51"/>
      <c r="S146" s="51"/>
      <c r="T146" s="51"/>
    </row>
    <row r="147">
      <c r="A147" s="51"/>
      <c r="B147" s="51"/>
      <c r="C147" s="56"/>
      <c r="D147" s="51"/>
      <c r="E147" s="51"/>
      <c r="F147" s="51"/>
      <c r="G147" s="51" t="str">
        <f>IFERROR(__xludf.DUMMYFUNCTION("""COMPUTED_VALUE"""),"#VALUE!")</f>
        <v>#VALUE!</v>
      </c>
      <c r="H147" s="51" t="str">
        <f>IFERROR(__xludf.DUMMYFUNCTION("""COMPUTED_VALUE"""),"")</f>
        <v/>
      </c>
      <c r="I147" s="51" t="str">
        <f>IFERROR(__xludf.DUMMYFUNCTION("""COMPUTED_VALUE"""),"#VALUE!")</f>
        <v>#VALUE!</v>
      </c>
      <c r="J147" s="51" t="str">
        <f>IFERROR(__xludf.DUMMYFUNCTION("""COMPUTED_VALUE"""),"")</f>
        <v/>
      </c>
      <c r="K147" s="51"/>
      <c r="L147" s="51" t="s">
        <v>257</v>
      </c>
      <c r="M147" s="51"/>
      <c r="N147" s="51"/>
      <c r="O147" s="51"/>
      <c r="P147" s="51"/>
      <c r="Q147" s="51"/>
      <c r="R147" s="51"/>
      <c r="S147" s="51"/>
      <c r="T147" s="51"/>
    </row>
    <row r="148">
      <c r="A148" s="51"/>
      <c r="B148" s="51"/>
      <c r="C148" s="56"/>
      <c r="D148" s="51"/>
      <c r="E148" s="51"/>
      <c r="F148" s="51"/>
      <c r="G148" s="51" t="str">
        <f>IFERROR(__xludf.DUMMYFUNCTION("""COMPUTED_VALUE"""),"#VALUE!")</f>
        <v>#VALUE!</v>
      </c>
      <c r="H148" s="51" t="str">
        <f>IFERROR(__xludf.DUMMYFUNCTION("""COMPUTED_VALUE"""),"")</f>
        <v/>
      </c>
      <c r="I148" s="51" t="str">
        <f>IFERROR(__xludf.DUMMYFUNCTION("""COMPUTED_VALUE"""),"#VALUE!")</f>
        <v>#VALUE!</v>
      </c>
      <c r="J148" s="51" t="str">
        <f>IFERROR(__xludf.DUMMYFUNCTION("""COMPUTED_VALUE"""),"")</f>
        <v/>
      </c>
      <c r="K148" s="51"/>
      <c r="L148" s="51" t="s">
        <v>257</v>
      </c>
      <c r="M148" s="51"/>
      <c r="N148" s="51"/>
      <c r="O148" s="51"/>
      <c r="P148" s="51"/>
      <c r="Q148" s="51"/>
      <c r="R148" s="51"/>
      <c r="S148" s="51"/>
      <c r="T148" s="51"/>
    </row>
    <row r="149">
      <c r="A149" s="51"/>
      <c r="B149" s="51"/>
      <c r="C149" s="56"/>
      <c r="D149" s="51"/>
      <c r="E149" s="51"/>
      <c r="F149" s="51"/>
      <c r="G149" s="51" t="str">
        <f>IFERROR(__xludf.DUMMYFUNCTION("""COMPUTED_VALUE"""),"#VALUE!")</f>
        <v>#VALUE!</v>
      </c>
      <c r="H149" s="51" t="str">
        <f>IFERROR(__xludf.DUMMYFUNCTION("""COMPUTED_VALUE"""),"")</f>
        <v/>
      </c>
      <c r="I149" s="51" t="str">
        <f>IFERROR(__xludf.DUMMYFUNCTION("""COMPUTED_VALUE"""),"#VALUE!")</f>
        <v>#VALUE!</v>
      </c>
      <c r="J149" s="51" t="str">
        <f>IFERROR(__xludf.DUMMYFUNCTION("""COMPUTED_VALUE"""),"")</f>
        <v/>
      </c>
      <c r="K149" s="51"/>
      <c r="L149" s="51" t="s">
        <v>257</v>
      </c>
      <c r="M149" s="51"/>
      <c r="N149" s="51"/>
      <c r="O149" s="51"/>
      <c r="P149" s="51"/>
      <c r="Q149" s="51"/>
      <c r="R149" s="51"/>
      <c r="S149" s="51"/>
      <c r="T149" s="51"/>
    </row>
    <row r="150">
      <c r="A150" s="51"/>
      <c r="B150" s="51"/>
      <c r="C150" s="56"/>
      <c r="D150" s="51"/>
      <c r="E150" s="51"/>
      <c r="F150" s="51"/>
      <c r="G150" s="51" t="str">
        <f>IFERROR(__xludf.DUMMYFUNCTION("""COMPUTED_VALUE"""),"#VALUE!")</f>
        <v>#VALUE!</v>
      </c>
      <c r="H150" s="51" t="str">
        <f>IFERROR(__xludf.DUMMYFUNCTION("""COMPUTED_VALUE"""),"")</f>
        <v/>
      </c>
      <c r="I150" s="51" t="str">
        <f>IFERROR(__xludf.DUMMYFUNCTION("""COMPUTED_VALUE"""),"#VALUE!")</f>
        <v>#VALUE!</v>
      </c>
      <c r="J150" s="51" t="str">
        <f>IFERROR(__xludf.DUMMYFUNCTION("""COMPUTED_VALUE"""),"")</f>
        <v/>
      </c>
      <c r="K150" s="51"/>
      <c r="L150" s="51" t="s">
        <v>257</v>
      </c>
      <c r="M150" s="51"/>
      <c r="N150" s="51"/>
      <c r="O150" s="51"/>
      <c r="P150" s="51"/>
      <c r="Q150" s="51"/>
      <c r="R150" s="51"/>
      <c r="S150" s="51"/>
      <c r="T150" s="51"/>
    </row>
    <row r="151">
      <c r="A151" s="51"/>
      <c r="B151" s="51"/>
      <c r="C151" s="56"/>
      <c r="D151" s="51"/>
      <c r="E151" s="51"/>
      <c r="F151" s="51"/>
      <c r="G151" s="51" t="str">
        <f>IFERROR(__xludf.DUMMYFUNCTION("""COMPUTED_VALUE"""),"#VALUE!")</f>
        <v>#VALUE!</v>
      </c>
      <c r="H151" s="51" t="str">
        <f>IFERROR(__xludf.DUMMYFUNCTION("""COMPUTED_VALUE"""),"")</f>
        <v/>
      </c>
      <c r="I151" s="51" t="str">
        <f>IFERROR(__xludf.DUMMYFUNCTION("""COMPUTED_VALUE"""),"#VALUE!")</f>
        <v>#VALUE!</v>
      </c>
      <c r="J151" s="51" t="str">
        <f>IFERROR(__xludf.DUMMYFUNCTION("""COMPUTED_VALUE"""),"")</f>
        <v/>
      </c>
      <c r="K151" s="51"/>
      <c r="L151" s="51" t="s">
        <v>257</v>
      </c>
      <c r="M151" s="51"/>
      <c r="N151" s="51"/>
      <c r="O151" s="51"/>
      <c r="P151" s="51"/>
      <c r="Q151" s="51"/>
      <c r="R151" s="51"/>
      <c r="S151" s="51"/>
      <c r="T151" s="51"/>
    </row>
    <row r="152">
      <c r="A152" s="51"/>
      <c r="B152" s="51"/>
      <c r="C152" s="56"/>
      <c r="D152" s="51"/>
      <c r="E152" s="51"/>
      <c r="F152" s="51"/>
      <c r="G152" s="51" t="str">
        <f>IFERROR(__xludf.DUMMYFUNCTION("""COMPUTED_VALUE"""),"#VALUE!")</f>
        <v>#VALUE!</v>
      </c>
      <c r="H152" s="51" t="str">
        <f>IFERROR(__xludf.DUMMYFUNCTION("""COMPUTED_VALUE"""),"")</f>
        <v/>
      </c>
      <c r="I152" s="51" t="str">
        <f>IFERROR(__xludf.DUMMYFUNCTION("""COMPUTED_VALUE"""),"#VALUE!")</f>
        <v>#VALUE!</v>
      </c>
      <c r="J152" s="51" t="str">
        <f>IFERROR(__xludf.DUMMYFUNCTION("""COMPUTED_VALUE"""),"")</f>
        <v/>
      </c>
      <c r="K152" s="51"/>
      <c r="L152" s="51" t="s">
        <v>257</v>
      </c>
      <c r="M152" s="51"/>
      <c r="N152" s="51"/>
      <c r="O152" s="51"/>
      <c r="P152" s="51"/>
      <c r="Q152" s="51"/>
      <c r="R152" s="51"/>
      <c r="S152" s="51"/>
      <c r="T152" s="51"/>
    </row>
    <row r="153">
      <c r="A153" s="51"/>
      <c r="B153" s="51"/>
      <c r="C153" s="56"/>
      <c r="D153" s="51"/>
      <c r="E153" s="51"/>
      <c r="F153" s="51"/>
      <c r="G153" s="51" t="str">
        <f>IFERROR(__xludf.DUMMYFUNCTION("""COMPUTED_VALUE"""),"#VALUE!")</f>
        <v>#VALUE!</v>
      </c>
      <c r="H153" s="51" t="str">
        <f>IFERROR(__xludf.DUMMYFUNCTION("""COMPUTED_VALUE"""),"")</f>
        <v/>
      </c>
      <c r="I153" s="51" t="str">
        <f>IFERROR(__xludf.DUMMYFUNCTION("""COMPUTED_VALUE"""),"#VALUE!")</f>
        <v>#VALUE!</v>
      </c>
      <c r="J153" s="51" t="str">
        <f>IFERROR(__xludf.DUMMYFUNCTION("""COMPUTED_VALUE"""),"")</f>
        <v/>
      </c>
      <c r="K153" s="51"/>
      <c r="L153" s="51" t="s">
        <v>257</v>
      </c>
      <c r="M153" s="51"/>
      <c r="N153" s="51"/>
      <c r="O153" s="51"/>
      <c r="P153" s="51"/>
      <c r="Q153" s="51"/>
      <c r="R153" s="51"/>
      <c r="S153" s="51"/>
      <c r="T153" s="51"/>
    </row>
    <row r="154">
      <c r="A154" s="51"/>
      <c r="B154" s="51"/>
      <c r="C154" s="56"/>
      <c r="D154" s="51"/>
      <c r="E154" s="51"/>
      <c r="F154" s="51"/>
      <c r="G154" s="51" t="str">
        <f>IFERROR(__xludf.DUMMYFUNCTION("""COMPUTED_VALUE"""),"#VALUE!")</f>
        <v>#VALUE!</v>
      </c>
      <c r="H154" s="51" t="str">
        <f>IFERROR(__xludf.DUMMYFUNCTION("""COMPUTED_VALUE"""),"")</f>
        <v/>
      </c>
      <c r="I154" s="51" t="str">
        <f>IFERROR(__xludf.DUMMYFUNCTION("""COMPUTED_VALUE"""),"#VALUE!")</f>
        <v>#VALUE!</v>
      </c>
      <c r="J154" s="51" t="str">
        <f>IFERROR(__xludf.DUMMYFUNCTION("""COMPUTED_VALUE"""),"")</f>
        <v/>
      </c>
      <c r="K154" s="51"/>
      <c r="L154" s="51" t="s">
        <v>257</v>
      </c>
      <c r="M154" s="51"/>
      <c r="N154" s="51"/>
      <c r="O154" s="51"/>
      <c r="P154" s="51"/>
      <c r="Q154" s="51"/>
      <c r="R154" s="51"/>
      <c r="S154" s="51"/>
      <c r="T154" s="51"/>
    </row>
    <row r="155">
      <c r="A155" s="51"/>
      <c r="B155" s="51"/>
      <c r="C155" s="56"/>
      <c r="D155" s="51"/>
      <c r="E155" s="51"/>
      <c r="F155" s="51"/>
      <c r="G155" s="51" t="str">
        <f>IFERROR(__xludf.DUMMYFUNCTION("""COMPUTED_VALUE"""),"#VALUE!")</f>
        <v>#VALUE!</v>
      </c>
      <c r="H155" s="51" t="str">
        <f>IFERROR(__xludf.DUMMYFUNCTION("""COMPUTED_VALUE"""),"")</f>
        <v/>
      </c>
      <c r="I155" s="51" t="str">
        <f>IFERROR(__xludf.DUMMYFUNCTION("""COMPUTED_VALUE"""),"#VALUE!")</f>
        <v>#VALUE!</v>
      </c>
      <c r="J155" s="51" t="str">
        <f>IFERROR(__xludf.DUMMYFUNCTION("""COMPUTED_VALUE"""),"")</f>
        <v/>
      </c>
      <c r="K155" s="51"/>
      <c r="L155" s="51" t="s">
        <v>257</v>
      </c>
      <c r="M155" s="51"/>
      <c r="N155" s="51"/>
      <c r="O155" s="51"/>
      <c r="P155" s="51"/>
      <c r="Q155" s="51"/>
      <c r="R155" s="51"/>
      <c r="S155" s="51"/>
      <c r="T155" s="51"/>
    </row>
    <row r="156">
      <c r="A156" s="51"/>
      <c r="B156" s="51"/>
      <c r="C156" s="56"/>
      <c r="D156" s="51"/>
      <c r="E156" s="51"/>
      <c r="F156" s="51"/>
      <c r="G156" s="51" t="str">
        <f>IFERROR(__xludf.DUMMYFUNCTION("""COMPUTED_VALUE"""),"#VALUE!")</f>
        <v>#VALUE!</v>
      </c>
      <c r="H156" s="51" t="str">
        <f>IFERROR(__xludf.DUMMYFUNCTION("""COMPUTED_VALUE"""),"")</f>
        <v/>
      </c>
      <c r="I156" s="51" t="str">
        <f>IFERROR(__xludf.DUMMYFUNCTION("""COMPUTED_VALUE"""),"#VALUE!")</f>
        <v>#VALUE!</v>
      </c>
      <c r="J156" s="51" t="str">
        <f>IFERROR(__xludf.DUMMYFUNCTION("""COMPUTED_VALUE"""),"")</f>
        <v/>
      </c>
      <c r="K156" s="51"/>
      <c r="L156" s="51" t="s">
        <v>257</v>
      </c>
      <c r="M156" s="51"/>
      <c r="N156" s="51"/>
      <c r="O156" s="51"/>
      <c r="P156" s="51"/>
      <c r="Q156" s="51"/>
      <c r="R156" s="51"/>
      <c r="S156" s="51"/>
      <c r="T156" s="51"/>
    </row>
    <row r="157">
      <c r="A157" s="51"/>
      <c r="B157" s="51"/>
      <c r="C157" s="56"/>
      <c r="D157" s="51"/>
      <c r="E157" s="51"/>
      <c r="F157" s="51"/>
      <c r="G157" s="51" t="str">
        <f>IFERROR(__xludf.DUMMYFUNCTION("""COMPUTED_VALUE"""),"#VALUE!")</f>
        <v>#VALUE!</v>
      </c>
      <c r="H157" s="51" t="str">
        <f>IFERROR(__xludf.DUMMYFUNCTION("""COMPUTED_VALUE"""),"")</f>
        <v/>
      </c>
      <c r="I157" s="51" t="str">
        <f>IFERROR(__xludf.DUMMYFUNCTION("""COMPUTED_VALUE"""),"#VALUE!")</f>
        <v>#VALUE!</v>
      </c>
      <c r="J157" s="51" t="str">
        <f>IFERROR(__xludf.DUMMYFUNCTION("""COMPUTED_VALUE"""),"")</f>
        <v/>
      </c>
      <c r="K157" s="51"/>
      <c r="L157" s="51" t="s">
        <v>257</v>
      </c>
      <c r="M157" s="51"/>
      <c r="N157" s="51"/>
      <c r="O157" s="51"/>
      <c r="P157" s="51"/>
      <c r="Q157" s="51"/>
      <c r="R157" s="51"/>
      <c r="S157" s="51"/>
      <c r="T157" s="51"/>
    </row>
    <row r="158">
      <c r="A158" s="51"/>
      <c r="B158" s="51"/>
      <c r="C158" s="56"/>
      <c r="D158" s="51"/>
      <c r="E158" s="51"/>
      <c r="F158" s="51"/>
      <c r="G158" s="51" t="str">
        <f>IFERROR(__xludf.DUMMYFUNCTION("""COMPUTED_VALUE"""),"#VALUE!")</f>
        <v>#VALUE!</v>
      </c>
      <c r="H158" s="51" t="str">
        <f>IFERROR(__xludf.DUMMYFUNCTION("""COMPUTED_VALUE"""),"")</f>
        <v/>
      </c>
      <c r="I158" s="51" t="str">
        <f>IFERROR(__xludf.DUMMYFUNCTION("""COMPUTED_VALUE"""),"#VALUE!")</f>
        <v>#VALUE!</v>
      </c>
      <c r="J158" s="51" t="str">
        <f>IFERROR(__xludf.DUMMYFUNCTION("""COMPUTED_VALUE"""),"")</f>
        <v/>
      </c>
      <c r="K158" s="51"/>
      <c r="L158" s="51" t="s">
        <v>257</v>
      </c>
      <c r="M158" s="51"/>
      <c r="N158" s="51"/>
      <c r="O158" s="51"/>
      <c r="P158" s="51"/>
      <c r="Q158" s="51"/>
      <c r="R158" s="51"/>
      <c r="S158" s="51"/>
      <c r="T158" s="51"/>
    </row>
    <row r="159">
      <c r="A159" s="51"/>
      <c r="B159" s="51"/>
      <c r="C159" s="56"/>
      <c r="D159" s="51"/>
      <c r="E159" s="51"/>
      <c r="F159" s="51"/>
      <c r="G159" s="51" t="str">
        <f>IFERROR(__xludf.DUMMYFUNCTION("""COMPUTED_VALUE"""),"#VALUE!")</f>
        <v>#VALUE!</v>
      </c>
      <c r="H159" s="51" t="str">
        <f>IFERROR(__xludf.DUMMYFUNCTION("""COMPUTED_VALUE"""),"")</f>
        <v/>
      </c>
      <c r="I159" s="51" t="str">
        <f>IFERROR(__xludf.DUMMYFUNCTION("""COMPUTED_VALUE"""),"#VALUE!")</f>
        <v>#VALUE!</v>
      </c>
      <c r="J159" s="51" t="str">
        <f>IFERROR(__xludf.DUMMYFUNCTION("""COMPUTED_VALUE"""),"")</f>
        <v/>
      </c>
      <c r="K159" s="51"/>
      <c r="L159" s="51" t="s">
        <v>257</v>
      </c>
      <c r="M159" s="51"/>
      <c r="N159" s="51"/>
      <c r="O159" s="51"/>
      <c r="P159" s="51"/>
      <c r="Q159" s="51"/>
      <c r="R159" s="51"/>
      <c r="S159" s="51"/>
      <c r="T159" s="51"/>
    </row>
    <row r="160">
      <c r="A160" s="51"/>
      <c r="B160" s="51"/>
      <c r="C160" s="56"/>
      <c r="D160" s="51"/>
      <c r="E160" s="51"/>
      <c r="F160" s="51"/>
      <c r="G160" s="51" t="str">
        <f>IFERROR(__xludf.DUMMYFUNCTION("""COMPUTED_VALUE"""),"#VALUE!")</f>
        <v>#VALUE!</v>
      </c>
      <c r="H160" s="51" t="str">
        <f>IFERROR(__xludf.DUMMYFUNCTION("""COMPUTED_VALUE"""),"")</f>
        <v/>
      </c>
      <c r="I160" s="51" t="str">
        <f>IFERROR(__xludf.DUMMYFUNCTION("""COMPUTED_VALUE"""),"#VALUE!")</f>
        <v>#VALUE!</v>
      </c>
      <c r="J160" s="51" t="str">
        <f>IFERROR(__xludf.DUMMYFUNCTION("""COMPUTED_VALUE"""),"")</f>
        <v/>
      </c>
      <c r="K160" s="51"/>
      <c r="L160" s="51" t="s">
        <v>257</v>
      </c>
      <c r="M160" s="51"/>
      <c r="N160" s="51"/>
      <c r="O160" s="51"/>
      <c r="P160" s="51"/>
      <c r="Q160" s="51"/>
      <c r="R160" s="51"/>
      <c r="S160" s="51"/>
      <c r="T160" s="51"/>
    </row>
    <row r="161">
      <c r="A161" s="51"/>
      <c r="B161" s="51"/>
      <c r="C161" s="56"/>
      <c r="D161" s="51"/>
      <c r="E161" s="51"/>
      <c r="F161" s="51"/>
      <c r="G161" s="51" t="str">
        <f>IFERROR(__xludf.DUMMYFUNCTION("""COMPUTED_VALUE"""),"#VALUE!")</f>
        <v>#VALUE!</v>
      </c>
      <c r="H161" s="51" t="str">
        <f>IFERROR(__xludf.DUMMYFUNCTION("""COMPUTED_VALUE"""),"")</f>
        <v/>
      </c>
      <c r="I161" s="51" t="str">
        <f>IFERROR(__xludf.DUMMYFUNCTION("""COMPUTED_VALUE"""),"#VALUE!")</f>
        <v>#VALUE!</v>
      </c>
      <c r="J161" s="51" t="str">
        <f>IFERROR(__xludf.DUMMYFUNCTION("""COMPUTED_VALUE"""),"")</f>
        <v/>
      </c>
      <c r="K161" s="51"/>
      <c r="L161" s="51" t="s">
        <v>257</v>
      </c>
      <c r="M161" s="51"/>
      <c r="N161" s="51"/>
      <c r="O161" s="51"/>
      <c r="P161" s="51"/>
      <c r="Q161" s="51"/>
      <c r="R161" s="51"/>
      <c r="S161" s="51"/>
      <c r="T161" s="51"/>
    </row>
    <row r="162">
      <c r="A162" s="51"/>
      <c r="B162" s="51"/>
      <c r="C162" s="56"/>
      <c r="D162" s="51"/>
      <c r="E162" s="51"/>
      <c r="F162" s="51"/>
      <c r="G162" s="51" t="str">
        <f>IFERROR(__xludf.DUMMYFUNCTION("""COMPUTED_VALUE"""),"#VALUE!")</f>
        <v>#VALUE!</v>
      </c>
      <c r="H162" s="51" t="str">
        <f>IFERROR(__xludf.DUMMYFUNCTION("""COMPUTED_VALUE"""),"")</f>
        <v/>
      </c>
      <c r="I162" s="51" t="str">
        <f>IFERROR(__xludf.DUMMYFUNCTION("""COMPUTED_VALUE"""),"#VALUE!")</f>
        <v>#VALUE!</v>
      </c>
      <c r="J162" s="51" t="str">
        <f>IFERROR(__xludf.DUMMYFUNCTION("""COMPUTED_VALUE"""),"")</f>
        <v/>
      </c>
      <c r="K162" s="51"/>
      <c r="L162" s="51" t="s">
        <v>257</v>
      </c>
      <c r="M162" s="51"/>
      <c r="N162" s="51"/>
      <c r="O162" s="51"/>
      <c r="P162" s="51"/>
      <c r="Q162" s="51"/>
      <c r="R162" s="51"/>
      <c r="S162" s="51"/>
      <c r="T162" s="51"/>
    </row>
    <row r="163">
      <c r="A163" s="51"/>
      <c r="B163" s="51"/>
      <c r="C163" s="56"/>
      <c r="D163" s="51"/>
      <c r="E163" s="51"/>
      <c r="F163" s="51"/>
      <c r="G163" s="51" t="str">
        <f>IFERROR(__xludf.DUMMYFUNCTION("""COMPUTED_VALUE"""),"#VALUE!")</f>
        <v>#VALUE!</v>
      </c>
      <c r="H163" s="51" t="str">
        <f>IFERROR(__xludf.DUMMYFUNCTION("""COMPUTED_VALUE"""),"")</f>
        <v/>
      </c>
      <c r="I163" s="51" t="str">
        <f>IFERROR(__xludf.DUMMYFUNCTION("""COMPUTED_VALUE"""),"#VALUE!")</f>
        <v>#VALUE!</v>
      </c>
      <c r="J163" s="51" t="str">
        <f>IFERROR(__xludf.DUMMYFUNCTION("""COMPUTED_VALUE"""),"")</f>
        <v/>
      </c>
      <c r="K163" s="51"/>
      <c r="L163" s="51" t="s">
        <v>257</v>
      </c>
      <c r="M163" s="51"/>
      <c r="N163" s="51"/>
      <c r="O163" s="51"/>
      <c r="P163" s="51"/>
      <c r="Q163" s="51"/>
      <c r="R163" s="51"/>
      <c r="S163" s="51"/>
      <c r="T163" s="51"/>
    </row>
    <row r="164">
      <c r="A164" s="51"/>
      <c r="B164" s="51"/>
      <c r="C164" s="56"/>
      <c r="D164" s="51"/>
      <c r="E164" s="51"/>
      <c r="F164" s="51"/>
      <c r="G164" s="51" t="str">
        <f>IFERROR(__xludf.DUMMYFUNCTION("""COMPUTED_VALUE"""),"#VALUE!")</f>
        <v>#VALUE!</v>
      </c>
      <c r="H164" s="51" t="str">
        <f>IFERROR(__xludf.DUMMYFUNCTION("""COMPUTED_VALUE"""),"")</f>
        <v/>
      </c>
      <c r="I164" s="51" t="str">
        <f>IFERROR(__xludf.DUMMYFUNCTION("""COMPUTED_VALUE"""),"#VALUE!")</f>
        <v>#VALUE!</v>
      </c>
      <c r="J164" s="51" t="str">
        <f>IFERROR(__xludf.DUMMYFUNCTION("""COMPUTED_VALUE"""),"")</f>
        <v/>
      </c>
      <c r="K164" s="51"/>
      <c r="L164" s="51" t="s">
        <v>257</v>
      </c>
      <c r="M164" s="51"/>
      <c r="N164" s="51"/>
      <c r="O164" s="51"/>
      <c r="P164" s="51"/>
      <c r="Q164" s="51"/>
      <c r="R164" s="51"/>
      <c r="S164" s="51"/>
      <c r="T164" s="51"/>
    </row>
    <row r="165">
      <c r="A165" s="51"/>
      <c r="B165" s="51"/>
      <c r="C165" s="56"/>
      <c r="D165" s="51"/>
      <c r="E165" s="51"/>
      <c r="F165" s="51"/>
      <c r="G165" s="51" t="str">
        <f>IFERROR(__xludf.DUMMYFUNCTION("""COMPUTED_VALUE"""),"#VALUE!")</f>
        <v>#VALUE!</v>
      </c>
      <c r="H165" s="51" t="str">
        <f>IFERROR(__xludf.DUMMYFUNCTION("""COMPUTED_VALUE"""),"")</f>
        <v/>
      </c>
      <c r="I165" s="51" t="str">
        <f>IFERROR(__xludf.DUMMYFUNCTION("""COMPUTED_VALUE"""),"#VALUE!")</f>
        <v>#VALUE!</v>
      </c>
      <c r="J165" s="51" t="str">
        <f>IFERROR(__xludf.DUMMYFUNCTION("""COMPUTED_VALUE"""),"")</f>
        <v/>
      </c>
      <c r="K165" s="51"/>
      <c r="L165" s="51" t="s">
        <v>257</v>
      </c>
      <c r="M165" s="51"/>
      <c r="N165" s="51"/>
      <c r="O165" s="51"/>
      <c r="P165" s="51"/>
      <c r="Q165" s="51"/>
      <c r="R165" s="51"/>
      <c r="S165" s="51"/>
      <c r="T165" s="51"/>
    </row>
    <row r="166">
      <c r="A166" s="51"/>
      <c r="B166" s="51"/>
      <c r="C166" s="56"/>
      <c r="D166" s="51"/>
      <c r="E166" s="51"/>
      <c r="F166" s="51"/>
      <c r="G166" s="51" t="str">
        <f>IFERROR(__xludf.DUMMYFUNCTION("""COMPUTED_VALUE"""),"#VALUE!")</f>
        <v>#VALUE!</v>
      </c>
      <c r="H166" s="51" t="str">
        <f>IFERROR(__xludf.DUMMYFUNCTION("""COMPUTED_VALUE"""),"")</f>
        <v/>
      </c>
      <c r="I166" s="51" t="str">
        <f>IFERROR(__xludf.DUMMYFUNCTION("""COMPUTED_VALUE"""),"#VALUE!")</f>
        <v>#VALUE!</v>
      </c>
      <c r="J166" s="51" t="str">
        <f>IFERROR(__xludf.DUMMYFUNCTION("""COMPUTED_VALUE"""),"")</f>
        <v/>
      </c>
      <c r="K166" s="51"/>
      <c r="L166" s="51" t="s">
        <v>257</v>
      </c>
      <c r="M166" s="51"/>
      <c r="N166" s="51"/>
      <c r="O166" s="51"/>
      <c r="P166" s="51"/>
      <c r="Q166" s="51"/>
      <c r="R166" s="51"/>
      <c r="S166" s="51"/>
      <c r="T166" s="51"/>
    </row>
    <row r="167">
      <c r="A167" s="51"/>
      <c r="B167" s="51"/>
      <c r="C167" s="56"/>
      <c r="D167" s="51"/>
      <c r="E167" s="51"/>
      <c r="F167" s="51"/>
      <c r="G167" s="51" t="str">
        <f>IFERROR(__xludf.DUMMYFUNCTION("""COMPUTED_VALUE"""),"#VALUE!")</f>
        <v>#VALUE!</v>
      </c>
      <c r="H167" s="51" t="str">
        <f>IFERROR(__xludf.DUMMYFUNCTION("""COMPUTED_VALUE"""),"")</f>
        <v/>
      </c>
      <c r="I167" s="51" t="str">
        <f>IFERROR(__xludf.DUMMYFUNCTION("""COMPUTED_VALUE"""),"#VALUE!")</f>
        <v>#VALUE!</v>
      </c>
      <c r="J167" s="51" t="str">
        <f>IFERROR(__xludf.DUMMYFUNCTION("""COMPUTED_VALUE"""),"")</f>
        <v/>
      </c>
      <c r="K167" s="51"/>
      <c r="L167" s="51" t="s">
        <v>257</v>
      </c>
      <c r="M167" s="51"/>
      <c r="N167" s="51"/>
      <c r="O167" s="51"/>
      <c r="P167" s="51"/>
      <c r="Q167" s="51"/>
      <c r="R167" s="51"/>
      <c r="S167" s="51"/>
      <c r="T167" s="51"/>
    </row>
    <row r="168">
      <c r="A168" s="51"/>
      <c r="B168" s="51"/>
      <c r="C168" s="56"/>
      <c r="D168" s="51"/>
      <c r="E168" s="51"/>
      <c r="F168" s="51"/>
      <c r="G168" s="51" t="str">
        <f>IFERROR(__xludf.DUMMYFUNCTION("""COMPUTED_VALUE"""),"#VALUE!")</f>
        <v>#VALUE!</v>
      </c>
      <c r="H168" s="51" t="str">
        <f>IFERROR(__xludf.DUMMYFUNCTION("""COMPUTED_VALUE"""),"")</f>
        <v/>
      </c>
      <c r="I168" s="51" t="str">
        <f>IFERROR(__xludf.DUMMYFUNCTION("""COMPUTED_VALUE"""),"#VALUE!")</f>
        <v>#VALUE!</v>
      </c>
      <c r="J168" s="51" t="str">
        <f>IFERROR(__xludf.DUMMYFUNCTION("""COMPUTED_VALUE"""),"")</f>
        <v/>
      </c>
      <c r="K168" s="51"/>
      <c r="L168" s="51" t="s">
        <v>257</v>
      </c>
      <c r="M168" s="51"/>
      <c r="N168" s="51"/>
      <c r="O168" s="51"/>
      <c r="P168" s="51"/>
      <c r="Q168" s="51"/>
      <c r="R168" s="51"/>
      <c r="S168" s="51"/>
      <c r="T168" s="51"/>
    </row>
    <row r="169">
      <c r="A169" s="51"/>
      <c r="B169" s="51"/>
      <c r="C169" s="56"/>
      <c r="D169" s="51"/>
      <c r="E169" s="51"/>
      <c r="F169" s="51"/>
      <c r="G169" s="51" t="str">
        <f>IFERROR(__xludf.DUMMYFUNCTION("""COMPUTED_VALUE"""),"#VALUE!")</f>
        <v>#VALUE!</v>
      </c>
      <c r="H169" s="51" t="str">
        <f>IFERROR(__xludf.DUMMYFUNCTION("""COMPUTED_VALUE"""),"")</f>
        <v/>
      </c>
      <c r="I169" s="51" t="str">
        <f>IFERROR(__xludf.DUMMYFUNCTION("""COMPUTED_VALUE"""),"#VALUE!")</f>
        <v>#VALUE!</v>
      </c>
      <c r="J169" s="51" t="str">
        <f>IFERROR(__xludf.DUMMYFUNCTION("""COMPUTED_VALUE"""),"")</f>
        <v/>
      </c>
      <c r="K169" s="51"/>
      <c r="L169" s="51" t="s">
        <v>257</v>
      </c>
      <c r="M169" s="51"/>
      <c r="N169" s="51"/>
      <c r="O169" s="51"/>
      <c r="P169" s="51"/>
      <c r="Q169" s="51"/>
      <c r="R169" s="51"/>
      <c r="S169" s="51"/>
      <c r="T169" s="51"/>
    </row>
    <row r="170">
      <c r="A170" s="51"/>
      <c r="B170" s="51"/>
      <c r="C170" s="56"/>
      <c r="D170" s="51"/>
      <c r="E170" s="51"/>
      <c r="F170" s="51"/>
      <c r="G170" s="51" t="str">
        <f>IFERROR(__xludf.DUMMYFUNCTION("""COMPUTED_VALUE"""),"#VALUE!")</f>
        <v>#VALUE!</v>
      </c>
      <c r="H170" s="51" t="str">
        <f>IFERROR(__xludf.DUMMYFUNCTION("""COMPUTED_VALUE"""),"")</f>
        <v/>
      </c>
      <c r="I170" s="51" t="str">
        <f>IFERROR(__xludf.DUMMYFUNCTION("""COMPUTED_VALUE"""),"#VALUE!")</f>
        <v>#VALUE!</v>
      </c>
      <c r="J170" s="51" t="str">
        <f>IFERROR(__xludf.DUMMYFUNCTION("""COMPUTED_VALUE"""),"")</f>
        <v/>
      </c>
      <c r="K170" s="51"/>
      <c r="L170" s="51" t="s">
        <v>257</v>
      </c>
      <c r="M170" s="51"/>
      <c r="N170" s="51"/>
      <c r="O170" s="51"/>
      <c r="P170" s="51"/>
      <c r="Q170" s="51"/>
      <c r="R170" s="51"/>
      <c r="S170" s="51"/>
      <c r="T170" s="51"/>
    </row>
    <row r="171">
      <c r="A171" s="51"/>
      <c r="B171" s="51"/>
      <c r="C171" s="56"/>
      <c r="D171" s="51"/>
      <c r="E171" s="51"/>
      <c r="F171" s="51"/>
      <c r="G171" s="51" t="str">
        <f>IFERROR(__xludf.DUMMYFUNCTION("""COMPUTED_VALUE"""),"#VALUE!")</f>
        <v>#VALUE!</v>
      </c>
      <c r="H171" s="51" t="str">
        <f>IFERROR(__xludf.DUMMYFUNCTION("""COMPUTED_VALUE"""),"")</f>
        <v/>
      </c>
      <c r="I171" s="51" t="str">
        <f>IFERROR(__xludf.DUMMYFUNCTION("""COMPUTED_VALUE"""),"#VALUE!")</f>
        <v>#VALUE!</v>
      </c>
      <c r="J171" s="51" t="str">
        <f>IFERROR(__xludf.DUMMYFUNCTION("""COMPUTED_VALUE"""),"")</f>
        <v/>
      </c>
      <c r="K171" s="51"/>
      <c r="L171" s="51" t="s">
        <v>257</v>
      </c>
      <c r="M171" s="51"/>
      <c r="N171" s="51"/>
      <c r="O171" s="51"/>
      <c r="P171" s="51"/>
      <c r="Q171" s="51"/>
      <c r="R171" s="51"/>
      <c r="S171" s="51"/>
      <c r="T171" s="51"/>
    </row>
    <row r="172">
      <c r="A172" s="51"/>
      <c r="B172" s="51"/>
      <c r="C172" s="56"/>
      <c r="D172" s="51"/>
      <c r="E172" s="51"/>
      <c r="F172" s="51"/>
      <c r="G172" s="51" t="str">
        <f>IFERROR(__xludf.DUMMYFUNCTION("""COMPUTED_VALUE"""),"#VALUE!")</f>
        <v>#VALUE!</v>
      </c>
      <c r="H172" s="51" t="str">
        <f>IFERROR(__xludf.DUMMYFUNCTION("""COMPUTED_VALUE"""),"")</f>
        <v/>
      </c>
      <c r="I172" s="51" t="str">
        <f>IFERROR(__xludf.DUMMYFUNCTION("""COMPUTED_VALUE"""),"#VALUE!")</f>
        <v>#VALUE!</v>
      </c>
      <c r="J172" s="51" t="str">
        <f>IFERROR(__xludf.DUMMYFUNCTION("""COMPUTED_VALUE"""),"")</f>
        <v/>
      </c>
      <c r="K172" s="51"/>
      <c r="L172" s="51" t="s">
        <v>257</v>
      </c>
      <c r="M172" s="51"/>
      <c r="N172" s="51"/>
      <c r="O172" s="51"/>
      <c r="P172" s="51"/>
      <c r="Q172" s="51"/>
      <c r="R172" s="51"/>
      <c r="S172" s="51"/>
      <c r="T172" s="51"/>
    </row>
    <row r="173">
      <c r="A173" s="51"/>
      <c r="B173" s="51"/>
      <c r="C173" s="56"/>
      <c r="D173" s="51"/>
      <c r="E173" s="51"/>
      <c r="F173" s="51"/>
      <c r="G173" s="51" t="str">
        <f>IFERROR(__xludf.DUMMYFUNCTION("""COMPUTED_VALUE"""),"#VALUE!")</f>
        <v>#VALUE!</v>
      </c>
      <c r="H173" s="51" t="str">
        <f>IFERROR(__xludf.DUMMYFUNCTION("""COMPUTED_VALUE"""),"")</f>
        <v/>
      </c>
      <c r="I173" s="51" t="str">
        <f>IFERROR(__xludf.DUMMYFUNCTION("""COMPUTED_VALUE"""),"#VALUE!")</f>
        <v>#VALUE!</v>
      </c>
      <c r="J173" s="51" t="str">
        <f>IFERROR(__xludf.DUMMYFUNCTION("""COMPUTED_VALUE"""),"")</f>
        <v/>
      </c>
      <c r="K173" s="51"/>
      <c r="L173" s="51" t="s">
        <v>257</v>
      </c>
      <c r="M173" s="51"/>
      <c r="N173" s="51"/>
      <c r="O173" s="51"/>
      <c r="P173" s="51"/>
      <c r="Q173" s="51"/>
      <c r="R173" s="51"/>
      <c r="S173" s="51"/>
      <c r="T173" s="51"/>
    </row>
    <row r="174">
      <c r="A174" s="51"/>
      <c r="B174" s="51"/>
      <c r="C174" s="56"/>
      <c r="D174" s="51"/>
      <c r="E174" s="51"/>
      <c r="F174" s="51"/>
      <c r="G174" s="51" t="str">
        <f>IFERROR(__xludf.DUMMYFUNCTION("""COMPUTED_VALUE"""),"#VALUE!")</f>
        <v>#VALUE!</v>
      </c>
      <c r="H174" s="51" t="str">
        <f>IFERROR(__xludf.DUMMYFUNCTION("""COMPUTED_VALUE"""),"")</f>
        <v/>
      </c>
      <c r="I174" s="51" t="str">
        <f>IFERROR(__xludf.DUMMYFUNCTION("""COMPUTED_VALUE"""),"#VALUE!")</f>
        <v>#VALUE!</v>
      </c>
      <c r="J174" s="51" t="str">
        <f>IFERROR(__xludf.DUMMYFUNCTION("""COMPUTED_VALUE"""),"")</f>
        <v/>
      </c>
      <c r="K174" s="51"/>
      <c r="L174" s="51" t="s">
        <v>257</v>
      </c>
      <c r="M174" s="51"/>
      <c r="N174" s="51"/>
      <c r="O174" s="51"/>
      <c r="P174" s="51"/>
      <c r="Q174" s="51"/>
      <c r="R174" s="51"/>
      <c r="S174" s="51"/>
      <c r="T174" s="51"/>
    </row>
    <row r="175">
      <c r="A175" s="51"/>
      <c r="B175" s="51"/>
      <c r="C175" s="56"/>
      <c r="D175" s="51"/>
      <c r="E175" s="51"/>
      <c r="F175" s="51"/>
      <c r="G175" s="51" t="str">
        <f>IFERROR(__xludf.DUMMYFUNCTION("""COMPUTED_VALUE"""),"#VALUE!")</f>
        <v>#VALUE!</v>
      </c>
      <c r="H175" s="51" t="str">
        <f>IFERROR(__xludf.DUMMYFUNCTION("""COMPUTED_VALUE"""),"")</f>
        <v/>
      </c>
      <c r="I175" s="51" t="str">
        <f>IFERROR(__xludf.DUMMYFUNCTION("""COMPUTED_VALUE"""),"#VALUE!")</f>
        <v>#VALUE!</v>
      </c>
      <c r="J175" s="51" t="str">
        <f>IFERROR(__xludf.DUMMYFUNCTION("""COMPUTED_VALUE"""),"")</f>
        <v/>
      </c>
      <c r="K175" s="51"/>
      <c r="L175" s="51" t="s">
        <v>257</v>
      </c>
      <c r="M175" s="51"/>
      <c r="N175" s="51"/>
      <c r="O175" s="51"/>
      <c r="P175" s="51"/>
      <c r="Q175" s="51"/>
      <c r="R175" s="51"/>
      <c r="S175" s="51"/>
      <c r="T175" s="51"/>
    </row>
    <row r="176">
      <c r="A176" s="51"/>
      <c r="B176" s="51"/>
      <c r="C176" s="56"/>
      <c r="D176" s="51"/>
      <c r="E176" s="51"/>
      <c r="F176" s="51"/>
      <c r="G176" s="51" t="str">
        <f>IFERROR(__xludf.DUMMYFUNCTION("""COMPUTED_VALUE"""),"#VALUE!")</f>
        <v>#VALUE!</v>
      </c>
      <c r="H176" s="51" t="str">
        <f>IFERROR(__xludf.DUMMYFUNCTION("""COMPUTED_VALUE"""),"")</f>
        <v/>
      </c>
      <c r="I176" s="51" t="str">
        <f>IFERROR(__xludf.DUMMYFUNCTION("""COMPUTED_VALUE"""),"#VALUE!")</f>
        <v>#VALUE!</v>
      </c>
      <c r="J176" s="51" t="str">
        <f>IFERROR(__xludf.DUMMYFUNCTION("""COMPUTED_VALUE"""),"")</f>
        <v/>
      </c>
      <c r="K176" s="51"/>
      <c r="L176" s="51" t="s">
        <v>257</v>
      </c>
      <c r="M176" s="51"/>
      <c r="N176" s="51"/>
      <c r="O176" s="51"/>
      <c r="P176" s="51"/>
      <c r="Q176" s="51"/>
      <c r="R176" s="51"/>
      <c r="S176" s="51"/>
      <c r="T176" s="51"/>
    </row>
    <row r="177">
      <c r="A177" s="51"/>
      <c r="B177" s="51"/>
      <c r="C177" s="56"/>
      <c r="D177" s="51"/>
      <c r="E177" s="51"/>
      <c r="F177" s="51"/>
      <c r="G177" s="51" t="str">
        <f>IFERROR(__xludf.DUMMYFUNCTION("""COMPUTED_VALUE"""),"#VALUE!")</f>
        <v>#VALUE!</v>
      </c>
      <c r="H177" s="51" t="str">
        <f>IFERROR(__xludf.DUMMYFUNCTION("""COMPUTED_VALUE"""),"")</f>
        <v/>
      </c>
      <c r="I177" s="51" t="str">
        <f>IFERROR(__xludf.DUMMYFUNCTION("""COMPUTED_VALUE"""),"#VALUE!")</f>
        <v>#VALUE!</v>
      </c>
      <c r="J177" s="51" t="str">
        <f>IFERROR(__xludf.DUMMYFUNCTION("""COMPUTED_VALUE"""),"")</f>
        <v/>
      </c>
      <c r="K177" s="51"/>
      <c r="L177" s="51" t="s">
        <v>257</v>
      </c>
      <c r="M177" s="51"/>
      <c r="N177" s="51"/>
      <c r="O177" s="51"/>
      <c r="P177" s="51"/>
      <c r="Q177" s="51"/>
      <c r="R177" s="51"/>
      <c r="S177" s="51"/>
      <c r="T177" s="51"/>
    </row>
    <row r="178">
      <c r="A178" s="51"/>
      <c r="B178" s="51"/>
      <c r="C178" s="56"/>
      <c r="D178" s="51"/>
      <c r="E178" s="51"/>
      <c r="F178" s="51"/>
      <c r="G178" s="51" t="str">
        <f>IFERROR(__xludf.DUMMYFUNCTION("""COMPUTED_VALUE"""),"#VALUE!")</f>
        <v>#VALUE!</v>
      </c>
      <c r="H178" s="51" t="str">
        <f>IFERROR(__xludf.DUMMYFUNCTION("""COMPUTED_VALUE"""),"")</f>
        <v/>
      </c>
      <c r="I178" s="51" t="str">
        <f>IFERROR(__xludf.DUMMYFUNCTION("""COMPUTED_VALUE"""),"#VALUE!")</f>
        <v>#VALUE!</v>
      </c>
      <c r="J178" s="51" t="str">
        <f>IFERROR(__xludf.DUMMYFUNCTION("""COMPUTED_VALUE"""),"")</f>
        <v/>
      </c>
      <c r="K178" s="51"/>
      <c r="L178" s="51" t="s">
        <v>257</v>
      </c>
      <c r="M178" s="51"/>
      <c r="N178" s="51"/>
      <c r="O178" s="51"/>
      <c r="P178" s="51"/>
      <c r="Q178" s="51"/>
      <c r="R178" s="51"/>
      <c r="S178" s="51"/>
      <c r="T178" s="51"/>
    </row>
    <row r="179">
      <c r="A179" s="51"/>
      <c r="B179" s="51"/>
      <c r="C179" s="56"/>
      <c r="D179" s="51"/>
      <c r="E179" s="51"/>
      <c r="F179" s="51"/>
      <c r="G179" s="51" t="str">
        <f>IFERROR(__xludf.DUMMYFUNCTION("""COMPUTED_VALUE"""),"#VALUE!")</f>
        <v>#VALUE!</v>
      </c>
      <c r="H179" s="51" t="str">
        <f>IFERROR(__xludf.DUMMYFUNCTION("""COMPUTED_VALUE"""),"")</f>
        <v/>
      </c>
      <c r="I179" s="51" t="str">
        <f>IFERROR(__xludf.DUMMYFUNCTION("""COMPUTED_VALUE"""),"#VALUE!")</f>
        <v>#VALUE!</v>
      </c>
      <c r="J179" s="51" t="str">
        <f>IFERROR(__xludf.DUMMYFUNCTION("""COMPUTED_VALUE"""),"")</f>
        <v/>
      </c>
      <c r="K179" s="51"/>
      <c r="L179" s="51" t="s">
        <v>257</v>
      </c>
      <c r="M179" s="51"/>
      <c r="N179" s="51"/>
      <c r="O179" s="51"/>
      <c r="P179" s="51"/>
      <c r="Q179" s="51"/>
      <c r="R179" s="51"/>
      <c r="S179" s="51"/>
      <c r="T179" s="51"/>
    </row>
    <row r="180">
      <c r="A180" s="51"/>
      <c r="B180" s="51"/>
      <c r="C180" s="56"/>
      <c r="D180" s="51"/>
      <c r="E180" s="51"/>
      <c r="F180" s="51"/>
      <c r="G180" s="51" t="str">
        <f>IFERROR(__xludf.DUMMYFUNCTION("""COMPUTED_VALUE"""),"#VALUE!")</f>
        <v>#VALUE!</v>
      </c>
      <c r="H180" s="51" t="str">
        <f>IFERROR(__xludf.DUMMYFUNCTION("""COMPUTED_VALUE"""),"")</f>
        <v/>
      </c>
      <c r="I180" s="51" t="str">
        <f>IFERROR(__xludf.DUMMYFUNCTION("""COMPUTED_VALUE"""),"#VALUE!")</f>
        <v>#VALUE!</v>
      </c>
      <c r="J180" s="51" t="str">
        <f>IFERROR(__xludf.DUMMYFUNCTION("""COMPUTED_VALUE"""),"")</f>
        <v/>
      </c>
      <c r="K180" s="51"/>
      <c r="L180" s="51" t="s">
        <v>257</v>
      </c>
      <c r="M180" s="51"/>
      <c r="N180" s="51"/>
      <c r="O180" s="51"/>
      <c r="P180" s="51"/>
      <c r="Q180" s="51"/>
      <c r="R180" s="51"/>
      <c r="S180" s="51"/>
      <c r="T180" s="51"/>
    </row>
    <row r="181">
      <c r="A181" s="51"/>
      <c r="B181" s="51"/>
      <c r="C181" s="56"/>
      <c r="D181" s="51"/>
      <c r="E181" s="51"/>
      <c r="F181" s="51"/>
      <c r="G181" s="51" t="str">
        <f>IFERROR(__xludf.DUMMYFUNCTION("""COMPUTED_VALUE"""),"#VALUE!")</f>
        <v>#VALUE!</v>
      </c>
      <c r="H181" s="51" t="str">
        <f>IFERROR(__xludf.DUMMYFUNCTION("""COMPUTED_VALUE"""),"")</f>
        <v/>
      </c>
      <c r="I181" s="51" t="str">
        <f>IFERROR(__xludf.DUMMYFUNCTION("""COMPUTED_VALUE"""),"#VALUE!")</f>
        <v>#VALUE!</v>
      </c>
      <c r="J181" s="51" t="str">
        <f>IFERROR(__xludf.DUMMYFUNCTION("""COMPUTED_VALUE"""),"")</f>
        <v/>
      </c>
      <c r="K181" s="51"/>
      <c r="L181" s="51" t="s">
        <v>257</v>
      </c>
      <c r="M181" s="51"/>
      <c r="N181" s="51"/>
      <c r="O181" s="51"/>
      <c r="P181" s="51"/>
      <c r="Q181" s="51"/>
      <c r="R181" s="51"/>
      <c r="S181" s="51"/>
      <c r="T181" s="51"/>
    </row>
    <row r="182">
      <c r="A182" s="51"/>
      <c r="B182" s="51"/>
      <c r="C182" s="56"/>
      <c r="D182" s="51"/>
      <c r="E182" s="51"/>
      <c r="F182" s="51"/>
      <c r="G182" s="51" t="str">
        <f>IFERROR(__xludf.DUMMYFUNCTION("""COMPUTED_VALUE"""),"#VALUE!")</f>
        <v>#VALUE!</v>
      </c>
      <c r="H182" s="51" t="str">
        <f>IFERROR(__xludf.DUMMYFUNCTION("""COMPUTED_VALUE"""),"")</f>
        <v/>
      </c>
      <c r="I182" s="51" t="str">
        <f>IFERROR(__xludf.DUMMYFUNCTION("""COMPUTED_VALUE"""),"#VALUE!")</f>
        <v>#VALUE!</v>
      </c>
      <c r="J182" s="51" t="str">
        <f>IFERROR(__xludf.DUMMYFUNCTION("""COMPUTED_VALUE"""),"")</f>
        <v/>
      </c>
      <c r="K182" s="51"/>
      <c r="L182" s="51" t="s">
        <v>257</v>
      </c>
      <c r="M182" s="51"/>
      <c r="N182" s="51"/>
      <c r="O182" s="51"/>
      <c r="P182" s="51"/>
      <c r="Q182" s="51"/>
      <c r="R182" s="51"/>
      <c r="S182" s="51"/>
      <c r="T182" s="51"/>
    </row>
    <row r="183">
      <c r="A183" s="51"/>
      <c r="B183" s="51"/>
      <c r="C183" s="56"/>
      <c r="D183" s="51"/>
      <c r="E183" s="51"/>
      <c r="F183" s="51"/>
      <c r="G183" s="51" t="str">
        <f>IFERROR(__xludf.DUMMYFUNCTION("""COMPUTED_VALUE"""),"#VALUE!")</f>
        <v>#VALUE!</v>
      </c>
      <c r="H183" s="51" t="str">
        <f>IFERROR(__xludf.DUMMYFUNCTION("""COMPUTED_VALUE"""),"")</f>
        <v/>
      </c>
      <c r="I183" s="51" t="str">
        <f>IFERROR(__xludf.DUMMYFUNCTION("""COMPUTED_VALUE"""),"#VALUE!")</f>
        <v>#VALUE!</v>
      </c>
      <c r="J183" s="51" t="str">
        <f>IFERROR(__xludf.DUMMYFUNCTION("""COMPUTED_VALUE"""),"")</f>
        <v/>
      </c>
      <c r="K183" s="51"/>
      <c r="L183" s="51" t="s">
        <v>257</v>
      </c>
      <c r="M183" s="51"/>
      <c r="N183" s="51"/>
      <c r="O183" s="51"/>
      <c r="P183" s="51"/>
      <c r="Q183" s="51"/>
      <c r="R183" s="51"/>
      <c r="S183" s="51"/>
      <c r="T183" s="51"/>
    </row>
    <row r="184">
      <c r="A184" s="51"/>
      <c r="B184" s="51"/>
      <c r="C184" s="56"/>
      <c r="D184" s="51"/>
      <c r="E184" s="51"/>
      <c r="F184" s="51"/>
      <c r="G184" s="51" t="str">
        <f>IFERROR(__xludf.DUMMYFUNCTION("""COMPUTED_VALUE"""),"#VALUE!")</f>
        <v>#VALUE!</v>
      </c>
      <c r="H184" s="51" t="str">
        <f>IFERROR(__xludf.DUMMYFUNCTION("""COMPUTED_VALUE"""),"")</f>
        <v/>
      </c>
      <c r="I184" s="51" t="str">
        <f>IFERROR(__xludf.DUMMYFUNCTION("""COMPUTED_VALUE"""),"#VALUE!")</f>
        <v>#VALUE!</v>
      </c>
      <c r="J184" s="51" t="str">
        <f>IFERROR(__xludf.DUMMYFUNCTION("""COMPUTED_VALUE"""),"")</f>
        <v/>
      </c>
      <c r="K184" s="51"/>
      <c r="L184" s="51" t="s">
        <v>257</v>
      </c>
      <c r="M184" s="51"/>
      <c r="N184" s="51"/>
      <c r="O184" s="51"/>
      <c r="P184" s="51"/>
      <c r="Q184" s="51"/>
      <c r="R184" s="51"/>
      <c r="S184" s="51"/>
      <c r="T184" s="51"/>
    </row>
    <row r="185">
      <c r="A185" s="51"/>
      <c r="B185" s="51"/>
      <c r="C185" s="56"/>
      <c r="D185" s="51"/>
      <c r="E185" s="51"/>
      <c r="F185" s="51"/>
      <c r="G185" s="51" t="str">
        <f>IFERROR(__xludf.DUMMYFUNCTION("""COMPUTED_VALUE"""),"#VALUE!")</f>
        <v>#VALUE!</v>
      </c>
      <c r="H185" s="51" t="str">
        <f>IFERROR(__xludf.DUMMYFUNCTION("""COMPUTED_VALUE"""),"")</f>
        <v/>
      </c>
      <c r="I185" s="51" t="str">
        <f>IFERROR(__xludf.DUMMYFUNCTION("""COMPUTED_VALUE"""),"#VALUE!")</f>
        <v>#VALUE!</v>
      </c>
      <c r="J185" s="51" t="str">
        <f>IFERROR(__xludf.DUMMYFUNCTION("""COMPUTED_VALUE"""),"")</f>
        <v/>
      </c>
      <c r="K185" s="51"/>
      <c r="L185" s="51" t="s">
        <v>257</v>
      </c>
      <c r="M185" s="51"/>
      <c r="N185" s="51"/>
      <c r="O185" s="51"/>
      <c r="P185" s="51"/>
      <c r="Q185" s="51"/>
      <c r="R185" s="51"/>
      <c r="S185" s="51"/>
      <c r="T185" s="51"/>
    </row>
    <row r="186">
      <c r="A186" s="51"/>
      <c r="B186" s="51"/>
      <c r="C186" s="56"/>
      <c r="D186" s="51"/>
      <c r="E186" s="51"/>
      <c r="F186" s="51"/>
      <c r="G186" s="51" t="str">
        <f>IFERROR(__xludf.DUMMYFUNCTION("""COMPUTED_VALUE"""),"#VALUE!")</f>
        <v>#VALUE!</v>
      </c>
      <c r="H186" s="51" t="str">
        <f>IFERROR(__xludf.DUMMYFUNCTION("""COMPUTED_VALUE"""),"")</f>
        <v/>
      </c>
      <c r="I186" s="51" t="str">
        <f>IFERROR(__xludf.DUMMYFUNCTION("""COMPUTED_VALUE"""),"#VALUE!")</f>
        <v>#VALUE!</v>
      </c>
      <c r="J186" s="51" t="str">
        <f>IFERROR(__xludf.DUMMYFUNCTION("""COMPUTED_VALUE"""),"")</f>
        <v/>
      </c>
      <c r="K186" s="51"/>
      <c r="L186" s="51" t="s">
        <v>257</v>
      </c>
      <c r="M186" s="51"/>
      <c r="N186" s="51"/>
      <c r="O186" s="51"/>
      <c r="P186" s="51"/>
      <c r="Q186" s="51"/>
      <c r="R186" s="51"/>
      <c r="S186" s="51"/>
      <c r="T186" s="51"/>
    </row>
    <row r="187">
      <c r="A187" s="51"/>
      <c r="B187" s="51"/>
      <c r="C187" s="56"/>
      <c r="D187" s="51"/>
      <c r="E187" s="51"/>
      <c r="F187" s="51"/>
      <c r="G187" s="51" t="str">
        <f>IFERROR(__xludf.DUMMYFUNCTION("""COMPUTED_VALUE"""),"#VALUE!")</f>
        <v>#VALUE!</v>
      </c>
      <c r="H187" s="51" t="str">
        <f>IFERROR(__xludf.DUMMYFUNCTION("""COMPUTED_VALUE"""),"")</f>
        <v/>
      </c>
      <c r="I187" s="51" t="str">
        <f>IFERROR(__xludf.DUMMYFUNCTION("""COMPUTED_VALUE"""),"#VALUE!")</f>
        <v>#VALUE!</v>
      </c>
      <c r="J187" s="51" t="str">
        <f>IFERROR(__xludf.DUMMYFUNCTION("""COMPUTED_VALUE"""),"")</f>
        <v/>
      </c>
      <c r="K187" s="51"/>
      <c r="L187" s="51" t="s">
        <v>257</v>
      </c>
      <c r="M187" s="51"/>
      <c r="N187" s="51"/>
      <c r="O187" s="51"/>
      <c r="P187" s="51"/>
      <c r="Q187" s="51"/>
      <c r="R187" s="51"/>
      <c r="S187" s="51"/>
      <c r="T187" s="51"/>
    </row>
    <row r="188">
      <c r="A188" s="51"/>
      <c r="B188" s="51"/>
      <c r="C188" s="56"/>
      <c r="D188" s="51"/>
      <c r="E188" s="51"/>
      <c r="F188" s="51"/>
      <c r="G188" s="51" t="str">
        <f>IFERROR(__xludf.DUMMYFUNCTION("""COMPUTED_VALUE"""),"#VALUE!")</f>
        <v>#VALUE!</v>
      </c>
      <c r="H188" s="51" t="str">
        <f>IFERROR(__xludf.DUMMYFUNCTION("""COMPUTED_VALUE"""),"")</f>
        <v/>
      </c>
      <c r="I188" s="51" t="str">
        <f>IFERROR(__xludf.DUMMYFUNCTION("""COMPUTED_VALUE"""),"#VALUE!")</f>
        <v>#VALUE!</v>
      </c>
      <c r="J188" s="51" t="str">
        <f>IFERROR(__xludf.DUMMYFUNCTION("""COMPUTED_VALUE"""),"")</f>
        <v/>
      </c>
      <c r="K188" s="51"/>
      <c r="L188" s="51" t="s">
        <v>257</v>
      </c>
      <c r="M188" s="51"/>
      <c r="N188" s="51"/>
      <c r="O188" s="51"/>
      <c r="P188" s="51"/>
      <c r="Q188" s="51"/>
      <c r="R188" s="51"/>
      <c r="S188" s="51"/>
      <c r="T188" s="51"/>
    </row>
    <row r="189">
      <c r="A189" s="51"/>
      <c r="B189" s="51"/>
      <c r="C189" s="56"/>
      <c r="D189" s="51"/>
      <c r="E189" s="51"/>
      <c r="F189" s="51"/>
      <c r="G189" s="51" t="str">
        <f>IFERROR(__xludf.DUMMYFUNCTION("""COMPUTED_VALUE"""),"#VALUE!")</f>
        <v>#VALUE!</v>
      </c>
      <c r="H189" s="51" t="str">
        <f>IFERROR(__xludf.DUMMYFUNCTION("""COMPUTED_VALUE"""),"")</f>
        <v/>
      </c>
      <c r="I189" s="51" t="str">
        <f>IFERROR(__xludf.DUMMYFUNCTION("""COMPUTED_VALUE"""),"#VALUE!")</f>
        <v>#VALUE!</v>
      </c>
      <c r="J189" s="51" t="str">
        <f>IFERROR(__xludf.DUMMYFUNCTION("""COMPUTED_VALUE"""),"")</f>
        <v/>
      </c>
      <c r="K189" s="51"/>
      <c r="L189" s="51" t="s">
        <v>257</v>
      </c>
      <c r="M189" s="51"/>
      <c r="N189" s="51"/>
      <c r="O189" s="51"/>
      <c r="P189" s="51"/>
      <c r="Q189" s="51"/>
      <c r="R189" s="51"/>
      <c r="S189" s="51"/>
      <c r="T189" s="51"/>
    </row>
    <row r="190">
      <c r="A190" s="51"/>
      <c r="B190" s="51"/>
      <c r="C190" s="56"/>
      <c r="D190" s="51"/>
      <c r="E190" s="51"/>
      <c r="F190" s="51"/>
      <c r="G190" s="51" t="str">
        <f>IFERROR(__xludf.DUMMYFUNCTION("""COMPUTED_VALUE"""),"#VALUE!")</f>
        <v>#VALUE!</v>
      </c>
      <c r="H190" s="51" t="str">
        <f>IFERROR(__xludf.DUMMYFUNCTION("""COMPUTED_VALUE"""),"")</f>
        <v/>
      </c>
      <c r="I190" s="51" t="str">
        <f>IFERROR(__xludf.DUMMYFUNCTION("""COMPUTED_VALUE"""),"#VALUE!")</f>
        <v>#VALUE!</v>
      </c>
      <c r="J190" s="51" t="str">
        <f>IFERROR(__xludf.DUMMYFUNCTION("""COMPUTED_VALUE"""),"")</f>
        <v/>
      </c>
      <c r="K190" s="51"/>
      <c r="L190" s="51" t="s">
        <v>257</v>
      </c>
      <c r="M190" s="51"/>
      <c r="N190" s="51"/>
      <c r="O190" s="51"/>
      <c r="P190" s="51"/>
      <c r="Q190" s="51"/>
      <c r="R190" s="51"/>
      <c r="S190" s="51"/>
      <c r="T190" s="51"/>
    </row>
    <row r="191">
      <c r="A191" s="51"/>
      <c r="B191" s="51"/>
      <c r="C191" s="56"/>
      <c r="D191" s="51"/>
      <c r="E191" s="51"/>
      <c r="F191" s="51"/>
      <c r="G191" s="51" t="str">
        <f>IFERROR(__xludf.DUMMYFUNCTION("""COMPUTED_VALUE"""),"#VALUE!")</f>
        <v>#VALUE!</v>
      </c>
      <c r="H191" s="51" t="str">
        <f>IFERROR(__xludf.DUMMYFUNCTION("""COMPUTED_VALUE"""),"")</f>
        <v/>
      </c>
      <c r="I191" s="51" t="str">
        <f>IFERROR(__xludf.DUMMYFUNCTION("""COMPUTED_VALUE"""),"#VALUE!")</f>
        <v>#VALUE!</v>
      </c>
      <c r="J191" s="51" t="str">
        <f>IFERROR(__xludf.DUMMYFUNCTION("""COMPUTED_VALUE"""),"")</f>
        <v/>
      </c>
      <c r="K191" s="51"/>
      <c r="L191" s="51" t="s">
        <v>257</v>
      </c>
      <c r="M191" s="51"/>
      <c r="N191" s="51"/>
      <c r="O191" s="51"/>
      <c r="P191" s="51"/>
      <c r="Q191" s="51"/>
      <c r="R191" s="51"/>
      <c r="S191" s="51"/>
      <c r="T191" s="51"/>
    </row>
    <row r="192">
      <c r="A192" s="51"/>
      <c r="B192" s="51"/>
      <c r="C192" s="56"/>
      <c r="D192" s="51"/>
      <c r="E192" s="51"/>
      <c r="F192" s="51"/>
      <c r="G192" s="51" t="str">
        <f>IFERROR(__xludf.DUMMYFUNCTION("""COMPUTED_VALUE"""),"#VALUE!")</f>
        <v>#VALUE!</v>
      </c>
      <c r="H192" s="51" t="str">
        <f>IFERROR(__xludf.DUMMYFUNCTION("""COMPUTED_VALUE"""),"")</f>
        <v/>
      </c>
      <c r="I192" s="51" t="str">
        <f>IFERROR(__xludf.DUMMYFUNCTION("""COMPUTED_VALUE"""),"#VALUE!")</f>
        <v>#VALUE!</v>
      </c>
      <c r="J192" s="51" t="str">
        <f>IFERROR(__xludf.DUMMYFUNCTION("""COMPUTED_VALUE"""),"")</f>
        <v/>
      </c>
      <c r="K192" s="51"/>
      <c r="L192" s="51" t="s">
        <v>257</v>
      </c>
      <c r="M192" s="51"/>
      <c r="N192" s="51"/>
      <c r="O192" s="51"/>
      <c r="P192" s="51"/>
      <c r="Q192" s="51"/>
      <c r="R192" s="51"/>
      <c r="S192" s="51"/>
      <c r="T192" s="51"/>
    </row>
    <row r="193">
      <c r="A193" s="51"/>
      <c r="B193" s="51"/>
      <c r="C193" s="56"/>
      <c r="D193" s="51"/>
      <c r="E193" s="51"/>
      <c r="F193" s="51"/>
      <c r="G193" s="51" t="str">
        <f>IFERROR(__xludf.DUMMYFUNCTION("""COMPUTED_VALUE"""),"#VALUE!")</f>
        <v>#VALUE!</v>
      </c>
      <c r="H193" s="51" t="str">
        <f>IFERROR(__xludf.DUMMYFUNCTION("""COMPUTED_VALUE"""),"")</f>
        <v/>
      </c>
      <c r="I193" s="51" t="str">
        <f>IFERROR(__xludf.DUMMYFUNCTION("""COMPUTED_VALUE"""),"#VALUE!")</f>
        <v>#VALUE!</v>
      </c>
      <c r="J193" s="51" t="str">
        <f>IFERROR(__xludf.DUMMYFUNCTION("""COMPUTED_VALUE"""),"")</f>
        <v/>
      </c>
      <c r="K193" s="51"/>
      <c r="L193" s="51" t="s">
        <v>257</v>
      </c>
      <c r="M193" s="51"/>
      <c r="N193" s="51"/>
      <c r="O193" s="51"/>
      <c r="P193" s="51"/>
      <c r="Q193" s="51"/>
      <c r="R193" s="51"/>
      <c r="S193" s="51"/>
      <c r="T193" s="51"/>
    </row>
    <row r="194">
      <c r="A194" s="51"/>
      <c r="B194" s="51"/>
      <c r="C194" s="56"/>
      <c r="D194" s="51"/>
      <c r="E194" s="51"/>
      <c r="F194" s="51"/>
      <c r="G194" s="51" t="str">
        <f>IFERROR(__xludf.DUMMYFUNCTION("""COMPUTED_VALUE"""),"#VALUE!")</f>
        <v>#VALUE!</v>
      </c>
      <c r="H194" s="51" t="str">
        <f>IFERROR(__xludf.DUMMYFUNCTION("""COMPUTED_VALUE"""),"")</f>
        <v/>
      </c>
      <c r="I194" s="51" t="str">
        <f>IFERROR(__xludf.DUMMYFUNCTION("""COMPUTED_VALUE"""),"#VALUE!")</f>
        <v>#VALUE!</v>
      </c>
      <c r="J194" s="51" t="str">
        <f>IFERROR(__xludf.DUMMYFUNCTION("""COMPUTED_VALUE"""),"")</f>
        <v/>
      </c>
      <c r="K194" s="51"/>
      <c r="L194" s="51" t="s">
        <v>257</v>
      </c>
      <c r="M194" s="51"/>
      <c r="N194" s="51"/>
      <c r="O194" s="51"/>
      <c r="P194" s="51"/>
      <c r="Q194" s="51"/>
      <c r="R194" s="51"/>
      <c r="S194" s="51"/>
      <c r="T194" s="51"/>
    </row>
    <row r="195">
      <c r="A195" s="51"/>
      <c r="B195" s="51"/>
      <c r="C195" s="56"/>
      <c r="D195" s="51"/>
      <c r="E195" s="51"/>
      <c r="F195" s="51"/>
      <c r="G195" s="51" t="str">
        <f>IFERROR(__xludf.DUMMYFUNCTION("""COMPUTED_VALUE"""),"#VALUE!")</f>
        <v>#VALUE!</v>
      </c>
      <c r="H195" s="51" t="str">
        <f>IFERROR(__xludf.DUMMYFUNCTION("""COMPUTED_VALUE"""),"")</f>
        <v/>
      </c>
      <c r="I195" s="51" t="str">
        <f>IFERROR(__xludf.DUMMYFUNCTION("""COMPUTED_VALUE"""),"#VALUE!")</f>
        <v>#VALUE!</v>
      </c>
      <c r="J195" s="51" t="str">
        <f>IFERROR(__xludf.DUMMYFUNCTION("""COMPUTED_VALUE"""),"")</f>
        <v/>
      </c>
      <c r="K195" s="51"/>
      <c r="L195" s="51" t="s">
        <v>257</v>
      </c>
      <c r="M195" s="51"/>
      <c r="N195" s="51"/>
      <c r="O195" s="51"/>
      <c r="P195" s="51"/>
      <c r="Q195" s="51"/>
      <c r="R195" s="51"/>
      <c r="S195" s="51"/>
      <c r="T195" s="51"/>
    </row>
    <row r="196">
      <c r="A196" s="51"/>
      <c r="B196" s="51"/>
      <c r="C196" s="56"/>
      <c r="D196" s="51"/>
      <c r="E196" s="51"/>
      <c r="F196" s="51"/>
      <c r="G196" s="51" t="str">
        <f>IFERROR(__xludf.DUMMYFUNCTION("""COMPUTED_VALUE"""),"#VALUE!")</f>
        <v>#VALUE!</v>
      </c>
      <c r="H196" s="51" t="str">
        <f>IFERROR(__xludf.DUMMYFUNCTION("""COMPUTED_VALUE"""),"")</f>
        <v/>
      </c>
      <c r="I196" s="51" t="str">
        <f>IFERROR(__xludf.DUMMYFUNCTION("""COMPUTED_VALUE"""),"#VALUE!")</f>
        <v>#VALUE!</v>
      </c>
      <c r="J196" s="51" t="str">
        <f>IFERROR(__xludf.DUMMYFUNCTION("""COMPUTED_VALUE"""),"")</f>
        <v/>
      </c>
      <c r="K196" s="51"/>
      <c r="L196" s="51" t="s">
        <v>257</v>
      </c>
      <c r="M196" s="51"/>
      <c r="N196" s="51"/>
      <c r="O196" s="51"/>
      <c r="P196" s="51"/>
      <c r="Q196" s="51"/>
      <c r="R196" s="51"/>
      <c r="S196" s="51"/>
      <c r="T196" s="51"/>
    </row>
    <row r="197">
      <c r="A197" s="51"/>
      <c r="B197" s="51"/>
      <c r="C197" s="56"/>
      <c r="D197" s="51"/>
      <c r="E197" s="51"/>
      <c r="F197" s="51"/>
      <c r="G197" s="51" t="str">
        <f>IFERROR(__xludf.DUMMYFUNCTION("""COMPUTED_VALUE"""),"#VALUE!")</f>
        <v>#VALUE!</v>
      </c>
      <c r="H197" s="51" t="str">
        <f>IFERROR(__xludf.DUMMYFUNCTION("""COMPUTED_VALUE"""),"")</f>
        <v/>
      </c>
      <c r="I197" s="51" t="str">
        <f>IFERROR(__xludf.DUMMYFUNCTION("""COMPUTED_VALUE"""),"#VALUE!")</f>
        <v>#VALUE!</v>
      </c>
      <c r="J197" s="51" t="str">
        <f>IFERROR(__xludf.DUMMYFUNCTION("""COMPUTED_VALUE"""),"")</f>
        <v/>
      </c>
      <c r="K197" s="51"/>
      <c r="L197" s="51" t="s">
        <v>257</v>
      </c>
      <c r="M197" s="51"/>
      <c r="N197" s="51"/>
      <c r="O197" s="51"/>
      <c r="P197" s="51"/>
      <c r="Q197" s="51"/>
      <c r="R197" s="51"/>
      <c r="S197" s="51"/>
      <c r="T197" s="51"/>
    </row>
    <row r="198">
      <c r="A198" s="51"/>
      <c r="B198" s="51"/>
      <c r="C198" s="56"/>
      <c r="D198" s="51"/>
      <c r="E198" s="51"/>
      <c r="F198" s="51"/>
      <c r="G198" s="51" t="str">
        <f>IFERROR(__xludf.DUMMYFUNCTION("""COMPUTED_VALUE"""),"#VALUE!")</f>
        <v>#VALUE!</v>
      </c>
      <c r="H198" s="51" t="str">
        <f>IFERROR(__xludf.DUMMYFUNCTION("""COMPUTED_VALUE"""),"")</f>
        <v/>
      </c>
      <c r="I198" s="51" t="str">
        <f>IFERROR(__xludf.DUMMYFUNCTION("""COMPUTED_VALUE"""),"#VALUE!")</f>
        <v>#VALUE!</v>
      </c>
      <c r="J198" s="51" t="str">
        <f>IFERROR(__xludf.DUMMYFUNCTION("""COMPUTED_VALUE"""),"")</f>
        <v/>
      </c>
      <c r="K198" s="51"/>
      <c r="L198" s="51" t="s">
        <v>257</v>
      </c>
      <c r="M198" s="51"/>
      <c r="N198" s="51"/>
      <c r="O198" s="51"/>
      <c r="P198" s="51"/>
      <c r="Q198" s="51"/>
      <c r="R198" s="51"/>
      <c r="S198" s="51"/>
      <c r="T198" s="51"/>
    </row>
    <row r="199">
      <c r="A199" s="51"/>
      <c r="B199" s="51"/>
      <c r="C199" s="56"/>
      <c r="D199" s="51"/>
      <c r="E199" s="51"/>
      <c r="F199" s="51"/>
      <c r="G199" s="51" t="str">
        <f>IFERROR(__xludf.DUMMYFUNCTION("""COMPUTED_VALUE"""),"#VALUE!")</f>
        <v>#VALUE!</v>
      </c>
      <c r="H199" s="51" t="str">
        <f>IFERROR(__xludf.DUMMYFUNCTION("""COMPUTED_VALUE"""),"")</f>
        <v/>
      </c>
      <c r="I199" s="51" t="str">
        <f>IFERROR(__xludf.DUMMYFUNCTION("""COMPUTED_VALUE"""),"#VALUE!")</f>
        <v>#VALUE!</v>
      </c>
      <c r="J199" s="51" t="str">
        <f>IFERROR(__xludf.DUMMYFUNCTION("""COMPUTED_VALUE"""),"")</f>
        <v/>
      </c>
      <c r="K199" s="51"/>
      <c r="L199" s="51" t="s">
        <v>257</v>
      </c>
      <c r="M199" s="51"/>
      <c r="N199" s="51"/>
      <c r="O199" s="51"/>
      <c r="P199" s="51"/>
      <c r="Q199" s="51"/>
      <c r="R199" s="51"/>
      <c r="S199" s="51"/>
      <c r="T199" s="51"/>
    </row>
    <row r="200">
      <c r="A200" s="51"/>
      <c r="B200" s="51"/>
      <c r="C200" s="56"/>
      <c r="D200" s="51"/>
      <c r="E200" s="51"/>
      <c r="F200" s="51"/>
      <c r="G200" s="51" t="str">
        <f>IFERROR(__xludf.DUMMYFUNCTION("""COMPUTED_VALUE"""),"#VALUE!")</f>
        <v>#VALUE!</v>
      </c>
      <c r="H200" s="51" t="str">
        <f>IFERROR(__xludf.DUMMYFUNCTION("""COMPUTED_VALUE"""),"")</f>
        <v/>
      </c>
      <c r="I200" s="51" t="str">
        <f>IFERROR(__xludf.DUMMYFUNCTION("""COMPUTED_VALUE"""),"#VALUE!")</f>
        <v>#VALUE!</v>
      </c>
      <c r="J200" s="51" t="str">
        <f>IFERROR(__xludf.DUMMYFUNCTION("""COMPUTED_VALUE"""),"")</f>
        <v/>
      </c>
      <c r="K200" s="51"/>
      <c r="L200" s="51" t="s">
        <v>257</v>
      </c>
      <c r="M200" s="51"/>
      <c r="N200" s="51"/>
      <c r="O200" s="51"/>
      <c r="P200" s="51"/>
      <c r="Q200" s="51"/>
      <c r="R200" s="51"/>
      <c r="S200" s="51"/>
      <c r="T200" s="51"/>
    </row>
    <row r="201">
      <c r="A201" s="51"/>
      <c r="B201" s="51"/>
      <c r="C201" s="56"/>
      <c r="D201" s="51"/>
      <c r="E201" s="51"/>
      <c r="F201" s="51"/>
      <c r="G201" s="51" t="str">
        <f>IFERROR(__xludf.DUMMYFUNCTION("""COMPUTED_VALUE"""),"#VALUE!")</f>
        <v>#VALUE!</v>
      </c>
      <c r="H201" s="51" t="str">
        <f>IFERROR(__xludf.DUMMYFUNCTION("""COMPUTED_VALUE"""),"")</f>
        <v/>
      </c>
      <c r="I201" s="51" t="str">
        <f>IFERROR(__xludf.DUMMYFUNCTION("""COMPUTED_VALUE"""),"#VALUE!")</f>
        <v>#VALUE!</v>
      </c>
      <c r="J201" s="51" t="str">
        <f>IFERROR(__xludf.DUMMYFUNCTION("""COMPUTED_VALUE"""),"")</f>
        <v/>
      </c>
      <c r="K201" s="51"/>
      <c r="L201" s="51" t="s">
        <v>257</v>
      </c>
      <c r="M201" s="51"/>
      <c r="N201" s="51"/>
      <c r="O201" s="51"/>
      <c r="P201" s="51"/>
      <c r="Q201" s="51"/>
      <c r="R201" s="51"/>
      <c r="S201" s="51"/>
      <c r="T201" s="51"/>
    </row>
    <row r="202">
      <c r="A202" s="51"/>
      <c r="B202" s="51"/>
      <c r="C202" s="56"/>
      <c r="D202" s="51"/>
      <c r="E202" s="51"/>
      <c r="F202" s="51"/>
      <c r="G202" s="51" t="str">
        <f>IFERROR(__xludf.DUMMYFUNCTION("""COMPUTED_VALUE"""),"#VALUE!")</f>
        <v>#VALUE!</v>
      </c>
      <c r="H202" s="51" t="str">
        <f>IFERROR(__xludf.DUMMYFUNCTION("""COMPUTED_VALUE"""),"")</f>
        <v/>
      </c>
      <c r="I202" s="51" t="str">
        <f>IFERROR(__xludf.DUMMYFUNCTION("""COMPUTED_VALUE"""),"#VALUE!")</f>
        <v>#VALUE!</v>
      </c>
      <c r="J202" s="51" t="str">
        <f>IFERROR(__xludf.DUMMYFUNCTION("""COMPUTED_VALUE"""),"")</f>
        <v/>
      </c>
      <c r="K202" s="51"/>
      <c r="L202" s="51" t="s">
        <v>257</v>
      </c>
      <c r="M202" s="51"/>
      <c r="N202" s="51"/>
      <c r="O202" s="51"/>
      <c r="P202" s="51"/>
      <c r="Q202" s="51"/>
      <c r="R202" s="51"/>
      <c r="S202" s="51"/>
      <c r="T202" s="51"/>
    </row>
    <row r="203">
      <c r="A203" s="51"/>
      <c r="B203" s="51"/>
      <c r="C203" s="56"/>
      <c r="D203" s="51"/>
      <c r="E203" s="51"/>
      <c r="F203" s="51"/>
      <c r="G203" s="51" t="str">
        <f>IFERROR(__xludf.DUMMYFUNCTION("""COMPUTED_VALUE"""),"#VALUE!")</f>
        <v>#VALUE!</v>
      </c>
      <c r="H203" s="51" t="str">
        <f>IFERROR(__xludf.DUMMYFUNCTION("""COMPUTED_VALUE"""),"")</f>
        <v/>
      </c>
      <c r="I203" s="51" t="str">
        <f>IFERROR(__xludf.DUMMYFUNCTION("""COMPUTED_VALUE"""),"#VALUE!")</f>
        <v>#VALUE!</v>
      </c>
      <c r="J203" s="51" t="str">
        <f>IFERROR(__xludf.DUMMYFUNCTION("""COMPUTED_VALUE"""),"")</f>
        <v/>
      </c>
      <c r="K203" s="51"/>
      <c r="L203" s="51" t="s">
        <v>257</v>
      </c>
      <c r="M203" s="51"/>
      <c r="N203" s="51"/>
      <c r="O203" s="51"/>
      <c r="P203" s="51"/>
      <c r="Q203" s="51"/>
      <c r="R203" s="51"/>
      <c r="S203" s="51"/>
      <c r="T203" s="51"/>
    </row>
    <row r="204">
      <c r="A204" s="51"/>
      <c r="B204" s="51"/>
      <c r="C204" s="56"/>
      <c r="D204" s="51"/>
      <c r="E204" s="51"/>
      <c r="F204" s="51"/>
      <c r="G204" s="51" t="str">
        <f>IFERROR(__xludf.DUMMYFUNCTION("""COMPUTED_VALUE"""),"#VALUE!")</f>
        <v>#VALUE!</v>
      </c>
      <c r="H204" s="51" t="str">
        <f>IFERROR(__xludf.DUMMYFUNCTION("""COMPUTED_VALUE"""),"")</f>
        <v/>
      </c>
      <c r="I204" s="51" t="str">
        <f>IFERROR(__xludf.DUMMYFUNCTION("""COMPUTED_VALUE"""),"#VALUE!")</f>
        <v>#VALUE!</v>
      </c>
      <c r="J204" s="51" t="str">
        <f>IFERROR(__xludf.DUMMYFUNCTION("""COMPUTED_VALUE"""),"")</f>
        <v/>
      </c>
      <c r="K204" s="51"/>
      <c r="L204" s="51" t="s">
        <v>257</v>
      </c>
      <c r="M204" s="51"/>
      <c r="N204" s="51"/>
      <c r="O204" s="51"/>
      <c r="P204" s="51"/>
      <c r="Q204" s="51"/>
      <c r="R204" s="51"/>
      <c r="S204" s="51"/>
      <c r="T204" s="51"/>
    </row>
    <row r="205">
      <c r="A205" s="51"/>
      <c r="B205" s="51"/>
      <c r="C205" s="56"/>
      <c r="D205" s="51"/>
      <c r="E205" s="51"/>
      <c r="F205" s="51"/>
      <c r="G205" s="51" t="str">
        <f>IFERROR(__xludf.DUMMYFUNCTION("""COMPUTED_VALUE"""),"#VALUE!")</f>
        <v>#VALUE!</v>
      </c>
      <c r="H205" s="51" t="str">
        <f>IFERROR(__xludf.DUMMYFUNCTION("""COMPUTED_VALUE"""),"")</f>
        <v/>
      </c>
      <c r="I205" s="51" t="str">
        <f>IFERROR(__xludf.DUMMYFUNCTION("""COMPUTED_VALUE"""),"#VALUE!")</f>
        <v>#VALUE!</v>
      </c>
      <c r="J205" s="51" t="str">
        <f>IFERROR(__xludf.DUMMYFUNCTION("""COMPUTED_VALUE"""),"")</f>
        <v/>
      </c>
      <c r="K205" s="51"/>
      <c r="L205" s="51" t="s">
        <v>257</v>
      </c>
      <c r="M205" s="51"/>
      <c r="N205" s="51"/>
      <c r="O205" s="51"/>
      <c r="P205" s="51"/>
      <c r="Q205" s="51"/>
      <c r="R205" s="51"/>
      <c r="S205" s="51"/>
      <c r="T205" s="51"/>
    </row>
    <row r="206">
      <c r="A206" s="51"/>
      <c r="B206" s="51"/>
      <c r="C206" s="56"/>
      <c r="D206" s="51"/>
      <c r="E206" s="51"/>
      <c r="F206" s="51"/>
      <c r="G206" s="51" t="str">
        <f>IFERROR(__xludf.DUMMYFUNCTION("""COMPUTED_VALUE"""),"#VALUE!")</f>
        <v>#VALUE!</v>
      </c>
      <c r="H206" s="51" t="str">
        <f>IFERROR(__xludf.DUMMYFUNCTION("""COMPUTED_VALUE"""),"")</f>
        <v/>
      </c>
      <c r="I206" s="51" t="str">
        <f>IFERROR(__xludf.DUMMYFUNCTION("""COMPUTED_VALUE"""),"#VALUE!")</f>
        <v>#VALUE!</v>
      </c>
      <c r="J206" s="51" t="str">
        <f>IFERROR(__xludf.DUMMYFUNCTION("""COMPUTED_VALUE"""),"")</f>
        <v/>
      </c>
      <c r="K206" s="51"/>
      <c r="L206" s="51" t="s">
        <v>257</v>
      </c>
      <c r="M206" s="51"/>
      <c r="N206" s="51"/>
      <c r="O206" s="51"/>
      <c r="P206" s="51"/>
      <c r="Q206" s="51"/>
      <c r="R206" s="51"/>
      <c r="S206" s="51"/>
      <c r="T206" s="51"/>
    </row>
    <row r="207">
      <c r="A207" s="51"/>
      <c r="B207" s="51"/>
      <c r="C207" s="56"/>
      <c r="D207" s="51"/>
      <c r="E207" s="51"/>
      <c r="F207" s="51"/>
      <c r="G207" s="51" t="str">
        <f>IFERROR(__xludf.DUMMYFUNCTION("""COMPUTED_VALUE"""),"#VALUE!")</f>
        <v>#VALUE!</v>
      </c>
      <c r="H207" s="51" t="str">
        <f>IFERROR(__xludf.DUMMYFUNCTION("""COMPUTED_VALUE"""),"")</f>
        <v/>
      </c>
      <c r="I207" s="51" t="str">
        <f>IFERROR(__xludf.DUMMYFUNCTION("""COMPUTED_VALUE"""),"#VALUE!")</f>
        <v>#VALUE!</v>
      </c>
      <c r="J207" s="51" t="str">
        <f>IFERROR(__xludf.DUMMYFUNCTION("""COMPUTED_VALUE"""),"")</f>
        <v/>
      </c>
      <c r="K207" s="51"/>
      <c r="L207" s="51" t="s">
        <v>257</v>
      </c>
      <c r="M207" s="51"/>
      <c r="N207" s="51"/>
      <c r="O207" s="51"/>
      <c r="P207" s="51"/>
      <c r="Q207" s="51"/>
      <c r="R207" s="51"/>
      <c r="S207" s="51"/>
      <c r="T207" s="51"/>
    </row>
    <row r="208">
      <c r="A208" s="51"/>
      <c r="B208" s="51"/>
      <c r="C208" s="56"/>
      <c r="D208" s="51"/>
      <c r="E208" s="51"/>
      <c r="F208" s="51"/>
      <c r="G208" s="51" t="str">
        <f>IFERROR(__xludf.DUMMYFUNCTION("""COMPUTED_VALUE"""),"#VALUE!")</f>
        <v>#VALUE!</v>
      </c>
      <c r="H208" s="51" t="str">
        <f>IFERROR(__xludf.DUMMYFUNCTION("""COMPUTED_VALUE"""),"")</f>
        <v/>
      </c>
      <c r="I208" s="51" t="str">
        <f>IFERROR(__xludf.DUMMYFUNCTION("""COMPUTED_VALUE"""),"#VALUE!")</f>
        <v>#VALUE!</v>
      </c>
      <c r="J208" s="51" t="str">
        <f>IFERROR(__xludf.DUMMYFUNCTION("""COMPUTED_VALUE"""),"")</f>
        <v/>
      </c>
      <c r="K208" s="51"/>
      <c r="L208" s="51" t="s">
        <v>257</v>
      </c>
      <c r="M208" s="51"/>
      <c r="N208" s="51"/>
      <c r="O208" s="51"/>
      <c r="P208" s="51"/>
      <c r="Q208" s="51"/>
      <c r="R208" s="51"/>
      <c r="S208" s="51"/>
      <c r="T208" s="51"/>
    </row>
    <row r="209">
      <c r="A209" s="51"/>
      <c r="B209" s="51"/>
      <c r="C209" s="56"/>
      <c r="D209" s="51"/>
      <c r="E209" s="51"/>
      <c r="F209" s="51"/>
      <c r="G209" s="51" t="str">
        <f>IFERROR(__xludf.DUMMYFUNCTION("""COMPUTED_VALUE"""),"#VALUE!")</f>
        <v>#VALUE!</v>
      </c>
      <c r="H209" s="51" t="str">
        <f>IFERROR(__xludf.DUMMYFUNCTION("""COMPUTED_VALUE"""),"")</f>
        <v/>
      </c>
      <c r="I209" s="51" t="str">
        <f>IFERROR(__xludf.DUMMYFUNCTION("""COMPUTED_VALUE"""),"#VALUE!")</f>
        <v>#VALUE!</v>
      </c>
      <c r="J209" s="51" t="str">
        <f>IFERROR(__xludf.DUMMYFUNCTION("""COMPUTED_VALUE"""),"")</f>
        <v/>
      </c>
      <c r="K209" s="51"/>
      <c r="L209" s="51" t="s">
        <v>257</v>
      </c>
      <c r="M209" s="51"/>
      <c r="N209" s="51"/>
      <c r="O209" s="51"/>
      <c r="P209" s="51"/>
      <c r="Q209" s="51"/>
      <c r="R209" s="51"/>
      <c r="S209" s="51"/>
      <c r="T209" s="51"/>
    </row>
    <row r="210">
      <c r="A210" s="51"/>
      <c r="B210" s="51"/>
      <c r="C210" s="56"/>
      <c r="D210" s="51"/>
      <c r="E210" s="51"/>
      <c r="F210" s="51"/>
      <c r="G210" s="51" t="str">
        <f>IFERROR(__xludf.DUMMYFUNCTION("""COMPUTED_VALUE"""),"#VALUE!")</f>
        <v>#VALUE!</v>
      </c>
      <c r="H210" s="51" t="str">
        <f>IFERROR(__xludf.DUMMYFUNCTION("""COMPUTED_VALUE"""),"")</f>
        <v/>
      </c>
      <c r="I210" s="51" t="str">
        <f>IFERROR(__xludf.DUMMYFUNCTION("""COMPUTED_VALUE"""),"#VALUE!")</f>
        <v>#VALUE!</v>
      </c>
      <c r="J210" s="51" t="str">
        <f>IFERROR(__xludf.DUMMYFUNCTION("""COMPUTED_VALUE"""),"")</f>
        <v/>
      </c>
      <c r="K210" s="51"/>
      <c r="L210" s="51" t="s">
        <v>257</v>
      </c>
      <c r="M210" s="51"/>
      <c r="N210" s="51"/>
      <c r="O210" s="51"/>
      <c r="P210" s="51"/>
      <c r="Q210" s="51"/>
      <c r="R210" s="51"/>
      <c r="S210" s="51"/>
      <c r="T210" s="51"/>
    </row>
    <row r="211">
      <c r="A211" s="51"/>
      <c r="B211" s="51"/>
      <c r="C211" s="56"/>
      <c r="D211" s="51"/>
      <c r="E211" s="51"/>
      <c r="F211" s="51"/>
      <c r="G211" s="51" t="str">
        <f>IFERROR(__xludf.DUMMYFUNCTION("""COMPUTED_VALUE"""),"#VALUE!")</f>
        <v>#VALUE!</v>
      </c>
      <c r="H211" s="51" t="str">
        <f>IFERROR(__xludf.DUMMYFUNCTION("""COMPUTED_VALUE"""),"")</f>
        <v/>
      </c>
      <c r="I211" s="51" t="str">
        <f>IFERROR(__xludf.DUMMYFUNCTION("""COMPUTED_VALUE"""),"#VALUE!")</f>
        <v>#VALUE!</v>
      </c>
      <c r="J211" s="51" t="str">
        <f>IFERROR(__xludf.DUMMYFUNCTION("""COMPUTED_VALUE"""),"")</f>
        <v/>
      </c>
      <c r="K211" s="51"/>
      <c r="L211" s="51" t="s">
        <v>257</v>
      </c>
      <c r="M211" s="51"/>
      <c r="N211" s="51"/>
      <c r="O211" s="51"/>
      <c r="P211" s="51"/>
      <c r="Q211" s="51"/>
      <c r="R211" s="51"/>
      <c r="S211" s="51"/>
      <c r="T211" s="51"/>
    </row>
    <row r="212">
      <c r="A212" s="51"/>
      <c r="B212" s="51"/>
      <c r="C212" s="56"/>
      <c r="D212" s="51"/>
      <c r="E212" s="51"/>
      <c r="F212" s="51"/>
      <c r="G212" s="51" t="str">
        <f>IFERROR(__xludf.DUMMYFUNCTION("""COMPUTED_VALUE"""),"#VALUE!")</f>
        <v>#VALUE!</v>
      </c>
      <c r="H212" s="51" t="str">
        <f>IFERROR(__xludf.DUMMYFUNCTION("""COMPUTED_VALUE"""),"")</f>
        <v/>
      </c>
      <c r="I212" s="51" t="str">
        <f>IFERROR(__xludf.DUMMYFUNCTION("""COMPUTED_VALUE"""),"#VALUE!")</f>
        <v>#VALUE!</v>
      </c>
      <c r="J212" s="51" t="str">
        <f>IFERROR(__xludf.DUMMYFUNCTION("""COMPUTED_VALUE"""),"")</f>
        <v/>
      </c>
      <c r="K212" s="51"/>
      <c r="L212" s="51" t="s">
        <v>257</v>
      </c>
      <c r="M212" s="51"/>
      <c r="N212" s="51"/>
      <c r="O212" s="51"/>
      <c r="P212" s="51"/>
      <c r="Q212" s="51"/>
      <c r="R212" s="51"/>
      <c r="S212" s="51"/>
      <c r="T212" s="51"/>
    </row>
    <row r="213">
      <c r="A213" s="51"/>
      <c r="B213" s="51"/>
      <c r="C213" s="56"/>
      <c r="D213" s="51"/>
      <c r="E213" s="51"/>
      <c r="F213" s="51"/>
      <c r="G213" s="51" t="str">
        <f>IFERROR(__xludf.DUMMYFUNCTION("""COMPUTED_VALUE"""),"#VALUE!")</f>
        <v>#VALUE!</v>
      </c>
      <c r="H213" s="51" t="str">
        <f>IFERROR(__xludf.DUMMYFUNCTION("""COMPUTED_VALUE"""),"")</f>
        <v/>
      </c>
      <c r="I213" s="51" t="str">
        <f>IFERROR(__xludf.DUMMYFUNCTION("""COMPUTED_VALUE"""),"#VALUE!")</f>
        <v>#VALUE!</v>
      </c>
      <c r="J213" s="51" t="str">
        <f>IFERROR(__xludf.DUMMYFUNCTION("""COMPUTED_VALUE"""),"")</f>
        <v/>
      </c>
      <c r="K213" s="51"/>
      <c r="L213" s="51" t="s">
        <v>257</v>
      </c>
      <c r="M213" s="51"/>
      <c r="N213" s="51"/>
      <c r="O213" s="51"/>
      <c r="P213" s="51"/>
      <c r="Q213" s="51"/>
      <c r="R213" s="51"/>
      <c r="S213" s="51"/>
      <c r="T213" s="51"/>
    </row>
    <row r="214">
      <c r="A214" s="51"/>
      <c r="B214" s="51"/>
      <c r="C214" s="56"/>
      <c r="D214" s="51"/>
      <c r="E214" s="51"/>
      <c r="F214" s="51"/>
      <c r="G214" s="51" t="str">
        <f>IFERROR(__xludf.DUMMYFUNCTION("""COMPUTED_VALUE"""),"#VALUE!")</f>
        <v>#VALUE!</v>
      </c>
      <c r="H214" s="51" t="str">
        <f>IFERROR(__xludf.DUMMYFUNCTION("""COMPUTED_VALUE"""),"")</f>
        <v/>
      </c>
      <c r="I214" s="51" t="str">
        <f>IFERROR(__xludf.DUMMYFUNCTION("""COMPUTED_VALUE"""),"#VALUE!")</f>
        <v>#VALUE!</v>
      </c>
      <c r="J214" s="51" t="str">
        <f>IFERROR(__xludf.DUMMYFUNCTION("""COMPUTED_VALUE"""),"")</f>
        <v/>
      </c>
      <c r="K214" s="51"/>
      <c r="L214" s="51" t="s">
        <v>257</v>
      </c>
      <c r="M214" s="51"/>
      <c r="N214" s="51"/>
      <c r="O214" s="51"/>
      <c r="P214" s="51"/>
      <c r="Q214" s="51"/>
      <c r="R214" s="51"/>
      <c r="S214" s="51"/>
      <c r="T214" s="51"/>
    </row>
    <row r="215">
      <c r="A215" s="51"/>
      <c r="B215" s="51"/>
      <c r="C215" s="56"/>
      <c r="D215" s="51"/>
      <c r="E215" s="51"/>
      <c r="F215" s="51"/>
      <c r="G215" s="51" t="str">
        <f>IFERROR(__xludf.DUMMYFUNCTION("""COMPUTED_VALUE"""),"#VALUE!")</f>
        <v>#VALUE!</v>
      </c>
      <c r="H215" s="51" t="str">
        <f>IFERROR(__xludf.DUMMYFUNCTION("""COMPUTED_VALUE"""),"")</f>
        <v/>
      </c>
      <c r="I215" s="51" t="str">
        <f>IFERROR(__xludf.DUMMYFUNCTION("""COMPUTED_VALUE"""),"#VALUE!")</f>
        <v>#VALUE!</v>
      </c>
      <c r="J215" s="51" t="str">
        <f>IFERROR(__xludf.DUMMYFUNCTION("""COMPUTED_VALUE"""),"")</f>
        <v/>
      </c>
      <c r="K215" s="51"/>
      <c r="L215" s="51" t="s">
        <v>257</v>
      </c>
      <c r="M215" s="51"/>
      <c r="N215" s="51"/>
      <c r="O215" s="51"/>
      <c r="P215" s="51"/>
      <c r="Q215" s="51"/>
      <c r="R215" s="51"/>
      <c r="S215" s="51"/>
      <c r="T215" s="51"/>
    </row>
    <row r="216">
      <c r="A216" s="51"/>
      <c r="B216" s="51"/>
      <c r="C216" s="56"/>
      <c r="D216" s="51"/>
      <c r="E216" s="51"/>
      <c r="F216" s="51"/>
      <c r="G216" s="51" t="str">
        <f>IFERROR(__xludf.DUMMYFUNCTION("""COMPUTED_VALUE"""),"#VALUE!")</f>
        <v>#VALUE!</v>
      </c>
      <c r="H216" s="51" t="str">
        <f>IFERROR(__xludf.DUMMYFUNCTION("""COMPUTED_VALUE"""),"")</f>
        <v/>
      </c>
      <c r="I216" s="51" t="str">
        <f>IFERROR(__xludf.DUMMYFUNCTION("""COMPUTED_VALUE"""),"#VALUE!")</f>
        <v>#VALUE!</v>
      </c>
      <c r="J216" s="51" t="str">
        <f>IFERROR(__xludf.DUMMYFUNCTION("""COMPUTED_VALUE"""),"")</f>
        <v/>
      </c>
      <c r="K216" s="51"/>
      <c r="L216" s="51" t="s">
        <v>257</v>
      </c>
      <c r="M216" s="51"/>
      <c r="N216" s="51"/>
      <c r="O216" s="51"/>
      <c r="P216" s="51"/>
      <c r="Q216" s="51"/>
      <c r="R216" s="51"/>
      <c r="S216" s="51"/>
      <c r="T216" s="51"/>
    </row>
    <row r="217">
      <c r="A217" s="51"/>
      <c r="B217" s="51"/>
      <c r="C217" s="56"/>
      <c r="D217" s="51"/>
      <c r="E217" s="51"/>
      <c r="F217" s="51"/>
      <c r="G217" s="51" t="str">
        <f>IFERROR(__xludf.DUMMYFUNCTION("""COMPUTED_VALUE"""),"#VALUE!")</f>
        <v>#VALUE!</v>
      </c>
      <c r="H217" s="51" t="str">
        <f>IFERROR(__xludf.DUMMYFUNCTION("""COMPUTED_VALUE"""),"")</f>
        <v/>
      </c>
      <c r="I217" s="51" t="str">
        <f>IFERROR(__xludf.DUMMYFUNCTION("""COMPUTED_VALUE"""),"#VALUE!")</f>
        <v>#VALUE!</v>
      </c>
      <c r="J217" s="51" t="str">
        <f>IFERROR(__xludf.DUMMYFUNCTION("""COMPUTED_VALUE"""),"")</f>
        <v/>
      </c>
      <c r="K217" s="51"/>
      <c r="L217" s="51" t="s">
        <v>257</v>
      </c>
      <c r="M217" s="51"/>
      <c r="N217" s="51"/>
      <c r="O217" s="51"/>
      <c r="P217" s="51"/>
      <c r="Q217" s="51"/>
      <c r="R217" s="51"/>
      <c r="S217" s="51"/>
      <c r="T217" s="51"/>
    </row>
    <row r="218">
      <c r="A218" s="51"/>
      <c r="B218" s="51"/>
      <c r="C218" s="56"/>
      <c r="D218" s="51"/>
      <c r="E218" s="51"/>
      <c r="F218" s="51"/>
      <c r="G218" s="51" t="str">
        <f>IFERROR(__xludf.DUMMYFUNCTION("""COMPUTED_VALUE"""),"#VALUE!")</f>
        <v>#VALUE!</v>
      </c>
      <c r="H218" s="51" t="str">
        <f>IFERROR(__xludf.DUMMYFUNCTION("""COMPUTED_VALUE"""),"")</f>
        <v/>
      </c>
      <c r="I218" s="51" t="str">
        <f>IFERROR(__xludf.DUMMYFUNCTION("""COMPUTED_VALUE"""),"#VALUE!")</f>
        <v>#VALUE!</v>
      </c>
      <c r="J218" s="51" t="str">
        <f>IFERROR(__xludf.DUMMYFUNCTION("""COMPUTED_VALUE"""),"")</f>
        <v/>
      </c>
      <c r="K218" s="51"/>
      <c r="L218" s="51" t="s">
        <v>257</v>
      </c>
      <c r="M218" s="51"/>
      <c r="N218" s="51"/>
      <c r="O218" s="51"/>
      <c r="P218" s="51"/>
      <c r="Q218" s="51"/>
      <c r="R218" s="51"/>
      <c r="S218" s="51"/>
      <c r="T218" s="51"/>
    </row>
    <row r="219">
      <c r="A219" s="51"/>
      <c r="B219" s="51"/>
      <c r="C219" s="56"/>
      <c r="D219" s="51"/>
      <c r="E219" s="51"/>
      <c r="F219" s="51"/>
      <c r="G219" s="51" t="str">
        <f>IFERROR(__xludf.DUMMYFUNCTION("""COMPUTED_VALUE"""),"#VALUE!")</f>
        <v>#VALUE!</v>
      </c>
      <c r="H219" s="51" t="str">
        <f>IFERROR(__xludf.DUMMYFUNCTION("""COMPUTED_VALUE"""),"")</f>
        <v/>
      </c>
      <c r="I219" s="51" t="str">
        <f>IFERROR(__xludf.DUMMYFUNCTION("""COMPUTED_VALUE"""),"#VALUE!")</f>
        <v>#VALUE!</v>
      </c>
      <c r="J219" s="51" t="str">
        <f>IFERROR(__xludf.DUMMYFUNCTION("""COMPUTED_VALUE"""),"")</f>
        <v/>
      </c>
      <c r="K219" s="51"/>
      <c r="L219" s="51" t="s">
        <v>257</v>
      </c>
      <c r="M219" s="51"/>
      <c r="N219" s="51"/>
      <c r="O219" s="51"/>
      <c r="P219" s="51"/>
      <c r="Q219" s="51"/>
      <c r="R219" s="51"/>
      <c r="S219" s="51"/>
      <c r="T219" s="51"/>
    </row>
    <row r="220">
      <c r="A220" s="51"/>
      <c r="B220" s="51"/>
      <c r="C220" s="56"/>
      <c r="D220" s="51"/>
      <c r="E220" s="51"/>
      <c r="F220" s="51"/>
      <c r="G220" s="51" t="str">
        <f>IFERROR(__xludf.DUMMYFUNCTION("""COMPUTED_VALUE"""),"#VALUE!")</f>
        <v>#VALUE!</v>
      </c>
      <c r="H220" s="51" t="str">
        <f>IFERROR(__xludf.DUMMYFUNCTION("""COMPUTED_VALUE"""),"")</f>
        <v/>
      </c>
      <c r="I220" s="51" t="str">
        <f>IFERROR(__xludf.DUMMYFUNCTION("""COMPUTED_VALUE"""),"#VALUE!")</f>
        <v>#VALUE!</v>
      </c>
      <c r="J220" s="51" t="str">
        <f>IFERROR(__xludf.DUMMYFUNCTION("""COMPUTED_VALUE"""),"")</f>
        <v/>
      </c>
      <c r="K220" s="51"/>
      <c r="L220" s="51" t="s">
        <v>257</v>
      </c>
      <c r="M220" s="51"/>
      <c r="N220" s="51"/>
      <c r="O220" s="51"/>
      <c r="P220" s="51"/>
      <c r="Q220" s="51"/>
      <c r="R220" s="51"/>
      <c r="S220" s="51"/>
      <c r="T220" s="51"/>
    </row>
    <row r="221">
      <c r="A221" s="51"/>
      <c r="B221" s="51"/>
      <c r="C221" s="56"/>
      <c r="D221" s="51"/>
      <c r="E221" s="51"/>
      <c r="F221" s="51"/>
      <c r="G221" s="51" t="str">
        <f>IFERROR(__xludf.DUMMYFUNCTION("""COMPUTED_VALUE"""),"#VALUE!")</f>
        <v>#VALUE!</v>
      </c>
      <c r="H221" s="51" t="str">
        <f>IFERROR(__xludf.DUMMYFUNCTION("""COMPUTED_VALUE"""),"")</f>
        <v/>
      </c>
      <c r="I221" s="51" t="str">
        <f>IFERROR(__xludf.DUMMYFUNCTION("""COMPUTED_VALUE"""),"#VALUE!")</f>
        <v>#VALUE!</v>
      </c>
      <c r="J221" s="51" t="str">
        <f>IFERROR(__xludf.DUMMYFUNCTION("""COMPUTED_VALUE"""),"")</f>
        <v/>
      </c>
      <c r="K221" s="51"/>
      <c r="L221" s="51" t="s">
        <v>257</v>
      </c>
      <c r="M221" s="51"/>
      <c r="N221" s="51"/>
      <c r="O221" s="51"/>
      <c r="P221" s="51"/>
      <c r="Q221" s="51"/>
      <c r="R221" s="51"/>
      <c r="S221" s="51"/>
      <c r="T221" s="51"/>
    </row>
    <row r="222">
      <c r="A222" s="51"/>
      <c r="B222" s="51"/>
      <c r="C222" s="56"/>
      <c r="D222" s="51"/>
      <c r="E222" s="51"/>
      <c r="F222" s="51"/>
      <c r="G222" s="51" t="str">
        <f>IFERROR(__xludf.DUMMYFUNCTION("""COMPUTED_VALUE"""),"#VALUE!")</f>
        <v>#VALUE!</v>
      </c>
      <c r="H222" s="51" t="str">
        <f>IFERROR(__xludf.DUMMYFUNCTION("""COMPUTED_VALUE"""),"")</f>
        <v/>
      </c>
      <c r="I222" s="51" t="str">
        <f>IFERROR(__xludf.DUMMYFUNCTION("""COMPUTED_VALUE"""),"#VALUE!")</f>
        <v>#VALUE!</v>
      </c>
      <c r="J222" s="51" t="str">
        <f>IFERROR(__xludf.DUMMYFUNCTION("""COMPUTED_VALUE"""),"")</f>
        <v/>
      </c>
      <c r="K222" s="51"/>
      <c r="L222" s="51" t="s">
        <v>257</v>
      </c>
      <c r="M222" s="51"/>
      <c r="N222" s="51"/>
      <c r="O222" s="51"/>
      <c r="P222" s="51"/>
      <c r="Q222" s="51"/>
      <c r="R222" s="51"/>
      <c r="S222" s="51"/>
      <c r="T222" s="51"/>
    </row>
    <row r="223">
      <c r="A223" s="51"/>
      <c r="B223" s="51"/>
      <c r="C223" s="56"/>
      <c r="D223" s="51"/>
      <c r="E223" s="51"/>
      <c r="F223" s="51"/>
      <c r="G223" s="51" t="str">
        <f>IFERROR(__xludf.DUMMYFUNCTION("""COMPUTED_VALUE"""),"#VALUE!")</f>
        <v>#VALUE!</v>
      </c>
      <c r="H223" s="51" t="str">
        <f>IFERROR(__xludf.DUMMYFUNCTION("""COMPUTED_VALUE"""),"")</f>
        <v/>
      </c>
      <c r="I223" s="51" t="str">
        <f>IFERROR(__xludf.DUMMYFUNCTION("""COMPUTED_VALUE"""),"#VALUE!")</f>
        <v>#VALUE!</v>
      </c>
      <c r="J223" s="51" t="str">
        <f>IFERROR(__xludf.DUMMYFUNCTION("""COMPUTED_VALUE"""),"")</f>
        <v/>
      </c>
      <c r="K223" s="51"/>
      <c r="L223" s="51" t="s">
        <v>257</v>
      </c>
      <c r="M223" s="51"/>
      <c r="N223" s="51"/>
      <c r="O223" s="51"/>
      <c r="P223" s="51"/>
      <c r="Q223" s="51"/>
      <c r="R223" s="51"/>
      <c r="S223" s="51"/>
      <c r="T223" s="51"/>
    </row>
    <row r="224">
      <c r="A224" s="51"/>
      <c r="B224" s="51"/>
      <c r="C224" s="56"/>
      <c r="D224" s="51"/>
      <c r="E224" s="51"/>
      <c r="F224" s="51"/>
      <c r="G224" s="51" t="str">
        <f>IFERROR(__xludf.DUMMYFUNCTION("""COMPUTED_VALUE"""),"#VALUE!")</f>
        <v>#VALUE!</v>
      </c>
      <c r="H224" s="51" t="str">
        <f>IFERROR(__xludf.DUMMYFUNCTION("""COMPUTED_VALUE"""),"")</f>
        <v/>
      </c>
      <c r="I224" s="51" t="str">
        <f>IFERROR(__xludf.DUMMYFUNCTION("""COMPUTED_VALUE"""),"#VALUE!")</f>
        <v>#VALUE!</v>
      </c>
      <c r="J224" s="51" t="str">
        <f>IFERROR(__xludf.DUMMYFUNCTION("""COMPUTED_VALUE"""),"")</f>
        <v/>
      </c>
      <c r="K224" s="51"/>
      <c r="L224" s="51" t="s">
        <v>257</v>
      </c>
      <c r="M224" s="51"/>
      <c r="N224" s="51"/>
      <c r="O224" s="51"/>
      <c r="P224" s="51"/>
      <c r="Q224" s="51"/>
      <c r="R224" s="51"/>
      <c r="S224" s="51"/>
      <c r="T224" s="51"/>
    </row>
    <row r="225">
      <c r="A225" s="51"/>
      <c r="B225" s="51"/>
      <c r="C225" s="56"/>
      <c r="D225" s="51"/>
      <c r="E225" s="51"/>
      <c r="F225" s="51"/>
      <c r="G225" s="51" t="str">
        <f>IFERROR(__xludf.DUMMYFUNCTION("""COMPUTED_VALUE"""),"#VALUE!")</f>
        <v>#VALUE!</v>
      </c>
      <c r="H225" s="51" t="str">
        <f>IFERROR(__xludf.DUMMYFUNCTION("""COMPUTED_VALUE"""),"")</f>
        <v/>
      </c>
      <c r="I225" s="51" t="str">
        <f>IFERROR(__xludf.DUMMYFUNCTION("""COMPUTED_VALUE"""),"#VALUE!")</f>
        <v>#VALUE!</v>
      </c>
      <c r="J225" s="51" t="str">
        <f>IFERROR(__xludf.DUMMYFUNCTION("""COMPUTED_VALUE"""),"")</f>
        <v/>
      </c>
      <c r="K225" s="51"/>
      <c r="L225" s="51" t="s">
        <v>257</v>
      </c>
      <c r="M225" s="51"/>
      <c r="N225" s="51"/>
      <c r="O225" s="51"/>
      <c r="P225" s="51"/>
      <c r="Q225" s="51"/>
      <c r="R225" s="51"/>
      <c r="S225" s="51"/>
      <c r="T225" s="51"/>
    </row>
    <row r="226">
      <c r="A226" s="51"/>
      <c r="B226" s="51"/>
      <c r="C226" s="56"/>
      <c r="D226" s="51"/>
      <c r="E226" s="51"/>
      <c r="F226" s="51"/>
      <c r="G226" s="51" t="str">
        <f>IFERROR(__xludf.DUMMYFUNCTION("""COMPUTED_VALUE"""),"#VALUE!")</f>
        <v>#VALUE!</v>
      </c>
      <c r="H226" s="51" t="str">
        <f>IFERROR(__xludf.DUMMYFUNCTION("""COMPUTED_VALUE"""),"")</f>
        <v/>
      </c>
      <c r="I226" s="51" t="str">
        <f>IFERROR(__xludf.DUMMYFUNCTION("""COMPUTED_VALUE"""),"#VALUE!")</f>
        <v>#VALUE!</v>
      </c>
      <c r="J226" s="51" t="str">
        <f>IFERROR(__xludf.DUMMYFUNCTION("""COMPUTED_VALUE"""),"")</f>
        <v/>
      </c>
      <c r="K226" s="51"/>
      <c r="L226" s="51" t="s">
        <v>257</v>
      </c>
      <c r="M226" s="51"/>
      <c r="N226" s="51"/>
      <c r="O226" s="51"/>
      <c r="P226" s="51"/>
      <c r="Q226" s="51"/>
      <c r="R226" s="51"/>
      <c r="S226" s="51"/>
      <c r="T226" s="51"/>
    </row>
    <row r="227">
      <c r="A227" s="51"/>
      <c r="B227" s="51"/>
      <c r="C227" s="56"/>
      <c r="D227" s="51"/>
      <c r="E227" s="51"/>
      <c r="F227" s="51"/>
      <c r="G227" s="51" t="str">
        <f>IFERROR(__xludf.DUMMYFUNCTION("""COMPUTED_VALUE"""),"#VALUE!")</f>
        <v>#VALUE!</v>
      </c>
      <c r="H227" s="51" t="str">
        <f>IFERROR(__xludf.DUMMYFUNCTION("""COMPUTED_VALUE"""),"")</f>
        <v/>
      </c>
      <c r="I227" s="51" t="str">
        <f>IFERROR(__xludf.DUMMYFUNCTION("""COMPUTED_VALUE"""),"#VALUE!")</f>
        <v>#VALUE!</v>
      </c>
      <c r="J227" s="51" t="str">
        <f>IFERROR(__xludf.DUMMYFUNCTION("""COMPUTED_VALUE"""),"")</f>
        <v/>
      </c>
      <c r="K227" s="51"/>
      <c r="L227" s="51" t="s">
        <v>257</v>
      </c>
      <c r="M227" s="51"/>
      <c r="N227" s="51"/>
      <c r="O227" s="51"/>
      <c r="P227" s="51"/>
      <c r="Q227" s="51"/>
      <c r="R227" s="51"/>
      <c r="S227" s="51"/>
      <c r="T227" s="51"/>
    </row>
    <row r="228">
      <c r="A228" s="51"/>
      <c r="B228" s="51"/>
      <c r="C228" s="56"/>
      <c r="D228" s="51"/>
      <c r="E228" s="51"/>
      <c r="F228" s="51"/>
      <c r="G228" s="51" t="str">
        <f>IFERROR(__xludf.DUMMYFUNCTION("""COMPUTED_VALUE"""),"#VALUE!")</f>
        <v>#VALUE!</v>
      </c>
      <c r="H228" s="51" t="str">
        <f>IFERROR(__xludf.DUMMYFUNCTION("""COMPUTED_VALUE"""),"")</f>
        <v/>
      </c>
      <c r="I228" s="51" t="str">
        <f>IFERROR(__xludf.DUMMYFUNCTION("""COMPUTED_VALUE"""),"#VALUE!")</f>
        <v>#VALUE!</v>
      </c>
      <c r="J228" s="51" t="str">
        <f>IFERROR(__xludf.DUMMYFUNCTION("""COMPUTED_VALUE"""),"")</f>
        <v/>
      </c>
      <c r="K228" s="51"/>
      <c r="L228" s="51" t="s">
        <v>257</v>
      </c>
      <c r="M228" s="51"/>
      <c r="N228" s="51"/>
      <c r="O228" s="51"/>
      <c r="P228" s="51"/>
      <c r="Q228" s="51"/>
      <c r="R228" s="51"/>
      <c r="S228" s="51"/>
      <c r="T228" s="51"/>
    </row>
    <row r="229">
      <c r="A229" s="51"/>
      <c r="B229" s="51"/>
      <c r="C229" s="56"/>
      <c r="D229" s="51"/>
      <c r="E229" s="51"/>
      <c r="F229" s="51"/>
      <c r="G229" s="51" t="str">
        <f>IFERROR(__xludf.DUMMYFUNCTION("""COMPUTED_VALUE"""),"#VALUE!")</f>
        <v>#VALUE!</v>
      </c>
      <c r="H229" s="51" t="str">
        <f>IFERROR(__xludf.DUMMYFUNCTION("""COMPUTED_VALUE"""),"")</f>
        <v/>
      </c>
      <c r="I229" s="51" t="str">
        <f>IFERROR(__xludf.DUMMYFUNCTION("""COMPUTED_VALUE"""),"#VALUE!")</f>
        <v>#VALUE!</v>
      </c>
      <c r="J229" s="51" t="str">
        <f>IFERROR(__xludf.DUMMYFUNCTION("""COMPUTED_VALUE"""),"")</f>
        <v/>
      </c>
      <c r="K229" s="51"/>
      <c r="L229" s="51" t="s">
        <v>257</v>
      </c>
      <c r="M229" s="51"/>
      <c r="N229" s="51"/>
      <c r="O229" s="51"/>
      <c r="P229" s="51"/>
      <c r="Q229" s="51"/>
      <c r="R229" s="51"/>
      <c r="S229" s="51"/>
      <c r="T229" s="51"/>
    </row>
    <row r="230">
      <c r="A230" s="51"/>
      <c r="B230" s="51"/>
      <c r="C230" s="56"/>
      <c r="D230" s="51"/>
      <c r="E230" s="51"/>
      <c r="F230" s="51"/>
      <c r="G230" s="51" t="str">
        <f>IFERROR(__xludf.DUMMYFUNCTION("""COMPUTED_VALUE"""),"#VALUE!")</f>
        <v>#VALUE!</v>
      </c>
      <c r="H230" s="51" t="str">
        <f>IFERROR(__xludf.DUMMYFUNCTION("""COMPUTED_VALUE"""),"")</f>
        <v/>
      </c>
      <c r="I230" s="51" t="str">
        <f>IFERROR(__xludf.DUMMYFUNCTION("""COMPUTED_VALUE"""),"#VALUE!")</f>
        <v>#VALUE!</v>
      </c>
      <c r="J230" s="51" t="str">
        <f>IFERROR(__xludf.DUMMYFUNCTION("""COMPUTED_VALUE"""),"")</f>
        <v/>
      </c>
      <c r="K230" s="51"/>
      <c r="L230" s="51" t="s">
        <v>257</v>
      </c>
      <c r="M230" s="51"/>
      <c r="N230" s="51"/>
      <c r="O230" s="51"/>
      <c r="P230" s="51"/>
      <c r="Q230" s="51"/>
      <c r="R230" s="51"/>
      <c r="S230" s="51"/>
      <c r="T230" s="51"/>
    </row>
    <row r="231">
      <c r="A231" s="51"/>
      <c r="B231" s="51"/>
      <c r="C231" s="56"/>
      <c r="D231" s="51"/>
      <c r="E231" s="51"/>
      <c r="F231" s="51"/>
      <c r="G231" s="51" t="str">
        <f>IFERROR(__xludf.DUMMYFUNCTION("""COMPUTED_VALUE"""),"#VALUE!")</f>
        <v>#VALUE!</v>
      </c>
      <c r="H231" s="51" t="str">
        <f>IFERROR(__xludf.DUMMYFUNCTION("""COMPUTED_VALUE"""),"")</f>
        <v/>
      </c>
      <c r="I231" s="51" t="str">
        <f>IFERROR(__xludf.DUMMYFUNCTION("""COMPUTED_VALUE"""),"#VALUE!")</f>
        <v>#VALUE!</v>
      </c>
      <c r="J231" s="51" t="str">
        <f>IFERROR(__xludf.DUMMYFUNCTION("""COMPUTED_VALUE"""),"")</f>
        <v/>
      </c>
      <c r="K231" s="51"/>
      <c r="L231" s="51" t="s">
        <v>257</v>
      </c>
      <c r="M231" s="51"/>
      <c r="N231" s="51"/>
      <c r="O231" s="51"/>
      <c r="P231" s="51"/>
      <c r="Q231" s="51"/>
      <c r="R231" s="51"/>
      <c r="S231" s="51"/>
      <c r="T231" s="51"/>
    </row>
    <row r="232">
      <c r="A232" s="51"/>
      <c r="B232" s="51"/>
      <c r="C232" s="56"/>
      <c r="D232" s="51"/>
      <c r="E232" s="51"/>
      <c r="F232" s="51"/>
      <c r="G232" s="51" t="str">
        <f>IFERROR(__xludf.DUMMYFUNCTION("""COMPUTED_VALUE"""),"#VALUE!")</f>
        <v>#VALUE!</v>
      </c>
      <c r="H232" s="51" t="str">
        <f>IFERROR(__xludf.DUMMYFUNCTION("""COMPUTED_VALUE"""),"")</f>
        <v/>
      </c>
      <c r="I232" s="51" t="str">
        <f>IFERROR(__xludf.DUMMYFUNCTION("""COMPUTED_VALUE"""),"#VALUE!")</f>
        <v>#VALUE!</v>
      </c>
      <c r="J232" s="51" t="str">
        <f>IFERROR(__xludf.DUMMYFUNCTION("""COMPUTED_VALUE"""),"")</f>
        <v/>
      </c>
      <c r="K232" s="51"/>
      <c r="L232" s="51" t="s">
        <v>257</v>
      </c>
      <c r="M232" s="51"/>
      <c r="N232" s="51"/>
      <c r="O232" s="51"/>
      <c r="P232" s="51"/>
      <c r="Q232" s="51"/>
      <c r="R232" s="51"/>
      <c r="S232" s="51"/>
      <c r="T232" s="51"/>
    </row>
    <row r="233">
      <c r="A233" s="51"/>
      <c r="B233" s="51"/>
      <c r="C233" s="56"/>
      <c r="D233" s="51"/>
      <c r="E233" s="51"/>
      <c r="F233" s="51"/>
      <c r="G233" s="51" t="str">
        <f>IFERROR(__xludf.DUMMYFUNCTION("""COMPUTED_VALUE"""),"#VALUE!")</f>
        <v>#VALUE!</v>
      </c>
      <c r="H233" s="51" t="str">
        <f>IFERROR(__xludf.DUMMYFUNCTION("""COMPUTED_VALUE"""),"")</f>
        <v/>
      </c>
      <c r="I233" s="51" t="str">
        <f>IFERROR(__xludf.DUMMYFUNCTION("""COMPUTED_VALUE"""),"#VALUE!")</f>
        <v>#VALUE!</v>
      </c>
      <c r="J233" s="51" t="str">
        <f>IFERROR(__xludf.DUMMYFUNCTION("""COMPUTED_VALUE"""),"")</f>
        <v/>
      </c>
      <c r="K233" s="51"/>
      <c r="L233" s="51" t="s">
        <v>257</v>
      </c>
      <c r="M233" s="51"/>
      <c r="N233" s="51"/>
      <c r="O233" s="51"/>
      <c r="P233" s="51"/>
      <c r="Q233" s="51"/>
      <c r="R233" s="51"/>
      <c r="S233" s="51"/>
      <c r="T233" s="51"/>
    </row>
    <row r="234">
      <c r="A234" s="51"/>
      <c r="B234" s="51"/>
      <c r="C234" s="56"/>
      <c r="D234" s="51"/>
      <c r="E234" s="51"/>
      <c r="F234" s="51"/>
      <c r="G234" s="51" t="str">
        <f>IFERROR(__xludf.DUMMYFUNCTION("""COMPUTED_VALUE"""),"#VALUE!")</f>
        <v>#VALUE!</v>
      </c>
      <c r="H234" s="51" t="str">
        <f>IFERROR(__xludf.DUMMYFUNCTION("""COMPUTED_VALUE"""),"")</f>
        <v/>
      </c>
      <c r="I234" s="51" t="str">
        <f>IFERROR(__xludf.DUMMYFUNCTION("""COMPUTED_VALUE"""),"#VALUE!")</f>
        <v>#VALUE!</v>
      </c>
      <c r="J234" s="51" t="str">
        <f>IFERROR(__xludf.DUMMYFUNCTION("""COMPUTED_VALUE"""),"")</f>
        <v/>
      </c>
      <c r="K234" s="51"/>
      <c r="L234" s="51" t="s">
        <v>257</v>
      </c>
      <c r="M234" s="51"/>
      <c r="N234" s="51"/>
      <c r="O234" s="51"/>
      <c r="P234" s="51"/>
      <c r="Q234" s="51"/>
      <c r="R234" s="51"/>
      <c r="S234" s="51"/>
      <c r="T234" s="51"/>
    </row>
    <row r="235">
      <c r="A235" s="51"/>
      <c r="B235" s="51"/>
      <c r="C235" s="56"/>
      <c r="D235" s="51"/>
      <c r="E235" s="51"/>
      <c r="F235" s="51"/>
      <c r="G235" s="51" t="str">
        <f>IFERROR(__xludf.DUMMYFUNCTION("""COMPUTED_VALUE"""),"#VALUE!")</f>
        <v>#VALUE!</v>
      </c>
      <c r="H235" s="51" t="str">
        <f>IFERROR(__xludf.DUMMYFUNCTION("""COMPUTED_VALUE"""),"")</f>
        <v/>
      </c>
      <c r="I235" s="51" t="str">
        <f>IFERROR(__xludf.DUMMYFUNCTION("""COMPUTED_VALUE"""),"#VALUE!")</f>
        <v>#VALUE!</v>
      </c>
      <c r="J235" s="51" t="str">
        <f>IFERROR(__xludf.DUMMYFUNCTION("""COMPUTED_VALUE"""),"")</f>
        <v/>
      </c>
      <c r="K235" s="51"/>
      <c r="L235" s="51" t="s">
        <v>257</v>
      </c>
      <c r="M235" s="51"/>
      <c r="N235" s="51"/>
      <c r="O235" s="51"/>
      <c r="P235" s="51"/>
      <c r="Q235" s="51"/>
      <c r="R235" s="51"/>
      <c r="S235" s="51"/>
      <c r="T235" s="51"/>
    </row>
    <row r="236">
      <c r="A236" s="51"/>
      <c r="B236" s="51"/>
      <c r="C236" s="56"/>
      <c r="D236" s="51"/>
      <c r="E236" s="51"/>
      <c r="F236" s="51"/>
      <c r="G236" s="51" t="str">
        <f>IFERROR(__xludf.DUMMYFUNCTION("""COMPUTED_VALUE"""),"#VALUE!")</f>
        <v>#VALUE!</v>
      </c>
      <c r="H236" s="51" t="str">
        <f>IFERROR(__xludf.DUMMYFUNCTION("""COMPUTED_VALUE"""),"")</f>
        <v/>
      </c>
      <c r="I236" s="51" t="str">
        <f>IFERROR(__xludf.DUMMYFUNCTION("""COMPUTED_VALUE"""),"#VALUE!")</f>
        <v>#VALUE!</v>
      </c>
      <c r="J236" s="51" t="str">
        <f>IFERROR(__xludf.DUMMYFUNCTION("""COMPUTED_VALUE"""),"")</f>
        <v/>
      </c>
      <c r="K236" s="51"/>
      <c r="L236" s="51" t="s">
        <v>257</v>
      </c>
      <c r="M236" s="51"/>
      <c r="N236" s="51"/>
      <c r="O236" s="51"/>
      <c r="P236" s="51"/>
      <c r="Q236" s="51"/>
      <c r="R236" s="51"/>
      <c r="S236" s="51"/>
      <c r="T236" s="51"/>
    </row>
    <row r="237">
      <c r="A237" s="51"/>
      <c r="B237" s="51"/>
      <c r="C237" s="56"/>
      <c r="D237" s="51"/>
      <c r="E237" s="51"/>
      <c r="F237" s="51"/>
      <c r="G237" s="51" t="str">
        <f>IFERROR(__xludf.DUMMYFUNCTION("""COMPUTED_VALUE"""),"#VALUE!")</f>
        <v>#VALUE!</v>
      </c>
      <c r="H237" s="51" t="str">
        <f>IFERROR(__xludf.DUMMYFUNCTION("""COMPUTED_VALUE"""),"")</f>
        <v/>
      </c>
      <c r="I237" s="51" t="str">
        <f>IFERROR(__xludf.DUMMYFUNCTION("""COMPUTED_VALUE"""),"#VALUE!")</f>
        <v>#VALUE!</v>
      </c>
      <c r="J237" s="51" t="str">
        <f>IFERROR(__xludf.DUMMYFUNCTION("""COMPUTED_VALUE"""),"")</f>
        <v/>
      </c>
      <c r="K237" s="51"/>
      <c r="L237" s="51" t="s">
        <v>257</v>
      </c>
      <c r="M237" s="51"/>
      <c r="N237" s="51"/>
      <c r="O237" s="51"/>
      <c r="P237" s="51"/>
      <c r="Q237" s="51"/>
      <c r="R237" s="51"/>
      <c r="S237" s="51"/>
      <c r="T237" s="51"/>
    </row>
    <row r="238">
      <c r="A238" s="51"/>
      <c r="B238" s="51"/>
      <c r="C238" s="56"/>
      <c r="D238" s="51"/>
      <c r="E238" s="51"/>
      <c r="F238" s="51"/>
      <c r="G238" s="51" t="str">
        <f>IFERROR(__xludf.DUMMYFUNCTION("""COMPUTED_VALUE"""),"#VALUE!")</f>
        <v>#VALUE!</v>
      </c>
      <c r="H238" s="51" t="str">
        <f>IFERROR(__xludf.DUMMYFUNCTION("""COMPUTED_VALUE"""),"")</f>
        <v/>
      </c>
      <c r="I238" s="51" t="str">
        <f>IFERROR(__xludf.DUMMYFUNCTION("""COMPUTED_VALUE"""),"#VALUE!")</f>
        <v>#VALUE!</v>
      </c>
      <c r="J238" s="51" t="str">
        <f>IFERROR(__xludf.DUMMYFUNCTION("""COMPUTED_VALUE"""),"")</f>
        <v/>
      </c>
      <c r="K238" s="51"/>
      <c r="L238" s="51" t="s">
        <v>257</v>
      </c>
      <c r="M238" s="51"/>
      <c r="N238" s="51"/>
      <c r="O238" s="51"/>
      <c r="P238" s="51"/>
      <c r="Q238" s="51"/>
      <c r="R238" s="51"/>
      <c r="S238" s="51"/>
      <c r="T238" s="51"/>
    </row>
    <row r="239">
      <c r="A239" s="51"/>
      <c r="B239" s="51"/>
      <c r="C239" s="56"/>
      <c r="D239" s="51"/>
      <c r="E239" s="51"/>
      <c r="F239" s="51"/>
      <c r="G239" s="51" t="str">
        <f>IFERROR(__xludf.DUMMYFUNCTION("""COMPUTED_VALUE"""),"#VALUE!")</f>
        <v>#VALUE!</v>
      </c>
      <c r="H239" s="51" t="str">
        <f>IFERROR(__xludf.DUMMYFUNCTION("""COMPUTED_VALUE"""),"")</f>
        <v/>
      </c>
      <c r="I239" s="51" t="str">
        <f>IFERROR(__xludf.DUMMYFUNCTION("""COMPUTED_VALUE"""),"#VALUE!")</f>
        <v>#VALUE!</v>
      </c>
      <c r="J239" s="51" t="str">
        <f>IFERROR(__xludf.DUMMYFUNCTION("""COMPUTED_VALUE"""),"")</f>
        <v/>
      </c>
      <c r="K239" s="51"/>
      <c r="L239" s="51" t="s">
        <v>257</v>
      </c>
      <c r="M239" s="51"/>
      <c r="N239" s="51"/>
      <c r="O239" s="51"/>
      <c r="P239" s="51"/>
      <c r="Q239" s="51"/>
      <c r="R239" s="51"/>
      <c r="S239" s="51"/>
      <c r="T239" s="51"/>
    </row>
    <row r="240">
      <c r="A240" s="51"/>
      <c r="B240" s="51"/>
      <c r="C240" s="56"/>
      <c r="D240" s="51"/>
      <c r="E240" s="51"/>
      <c r="F240" s="51"/>
      <c r="G240" s="51" t="str">
        <f>IFERROR(__xludf.DUMMYFUNCTION("""COMPUTED_VALUE"""),"#VALUE!")</f>
        <v>#VALUE!</v>
      </c>
      <c r="H240" s="51" t="str">
        <f>IFERROR(__xludf.DUMMYFUNCTION("""COMPUTED_VALUE"""),"")</f>
        <v/>
      </c>
      <c r="I240" s="51" t="str">
        <f>IFERROR(__xludf.DUMMYFUNCTION("""COMPUTED_VALUE"""),"#VALUE!")</f>
        <v>#VALUE!</v>
      </c>
      <c r="J240" s="51" t="str">
        <f>IFERROR(__xludf.DUMMYFUNCTION("""COMPUTED_VALUE"""),"")</f>
        <v/>
      </c>
      <c r="K240" s="51"/>
      <c r="L240" s="51" t="s">
        <v>257</v>
      </c>
      <c r="M240" s="51"/>
      <c r="N240" s="51"/>
      <c r="O240" s="51"/>
      <c r="P240" s="51"/>
      <c r="Q240" s="51"/>
      <c r="R240" s="51"/>
      <c r="S240" s="51"/>
      <c r="T240" s="51"/>
    </row>
    <row r="241">
      <c r="A241" s="51"/>
      <c r="B241" s="51"/>
      <c r="C241" s="56"/>
      <c r="D241" s="51"/>
      <c r="E241" s="51"/>
      <c r="F241" s="51"/>
      <c r="G241" s="51" t="str">
        <f>IFERROR(__xludf.DUMMYFUNCTION("""COMPUTED_VALUE"""),"#VALUE!")</f>
        <v>#VALUE!</v>
      </c>
      <c r="H241" s="51" t="str">
        <f>IFERROR(__xludf.DUMMYFUNCTION("""COMPUTED_VALUE"""),"")</f>
        <v/>
      </c>
      <c r="I241" s="51" t="str">
        <f>IFERROR(__xludf.DUMMYFUNCTION("""COMPUTED_VALUE"""),"#VALUE!")</f>
        <v>#VALUE!</v>
      </c>
      <c r="J241" s="51" t="str">
        <f>IFERROR(__xludf.DUMMYFUNCTION("""COMPUTED_VALUE"""),"")</f>
        <v/>
      </c>
      <c r="K241" s="51"/>
      <c r="L241" s="51" t="s">
        <v>257</v>
      </c>
      <c r="M241" s="51"/>
      <c r="N241" s="51"/>
      <c r="O241" s="51"/>
      <c r="P241" s="51"/>
      <c r="Q241" s="51"/>
      <c r="R241" s="51"/>
      <c r="S241" s="51"/>
      <c r="T241" s="51"/>
    </row>
    <row r="242">
      <c r="A242" s="51"/>
      <c r="B242" s="51"/>
      <c r="C242" s="56"/>
      <c r="D242" s="51"/>
      <c r="E242" s="51"/>
      <c r="F242" s="51"/>
      <c r="G242" s="51" t="str">
        <f>IFERROR(__xludf.DUMMYFUNCTION("""COMPUTED_VALUE"""),"#VALUE!")</f>
        <v>#VALUE!</v>
      </c>
      <c r="H242" s="51" t="str">
        <f>IFERROR(__xludf.DUMMYFUNCTION("""COMPUTED_VALUE"""),"")</f>
        <v/>
      </c>
      <c r="I242" s="51" t="str">
        <f>IFERROR(__xludf.DUMMYFUNCTION("""COMPUTED_VALUE"""),"#VALUE!")</f>
        <v>#VALUE!</v>
      </c>
      <c r="J242" s="51" t="str">
        <f>IFERROR(__xludf.DUMMYFUNCTION("""COMPUTED_VALUE"""),"")</f>
        <v/>
      </c>
      <c r="K242" s="51"/>
      <c r="L242" s="51" t="s">
        <v>257</v>
      </c>
      <c r="M242" s="51"/>
      <c r="N242" s="51"/>
      <c r="O242" s="51"/>
      <c r="P242" s="51"/>
      <c r="Q242" s="51"/>
      <c r="R242" s="51"/>
      <c r="S242" s="51"/>
      <c r="T242" s="51"/>
    </row>
    <row r="243">
      <c r="A243" s="51"/>
      <c r="B243" s="51"/>
      <c r="C243" s="56"/>
      <c r="D243" s="51"/>
      <c r="E243" s="51"/>
      <c r="F243" s="51"/>
      <c r="G243" s="51" t="str">
        <f>IFERROR(__xludf.DUMMYFUNCTION("""COMPUTED_VALUE"""),"#VALUE!")</f>
        <v>#VALUE!</v>
      </c>
      <c r="H243" s="51" t="str">
        <f>IFERROR(__xludf.DUMMYFUNCTION("""COMPUTED_VALUE"""),"")</f>
        <v/>
      </c>
      <c r="I243" s="51" t="str">
        <f>IFERROR(__xludf.DUMMYFUNCTION("""COMPUTED_VALUE"""),"#VALUE!")</f>
        <v>#VALUE!</v>
      </c>
      <c r="J243" s="51" t="str">
        <f>IFERROR(__xludf.DUMMYFUNCTION("""COMPUTED_VALUE"""),"")</f>
        <v/>
      </c>
      <c r="K243" s="51"/>
      <c r="L243" s="51" t="s">
        <v>257</v>
      </c>
      <c r="M243" s="51"/>
      <c r="N243" s="51"/>
      <c r="O243" s="51"/>
      <c r="P243" s="51"/>
      <c r="Q243" s="51"/>
      <c r="R243" s="51"/>
      <c r="S243" s="51"/>
      <c r="T243" s="51"/>
    </row>
    <row r="244">
      <c r="A244" s="51"/>
      <c r="B244" s="51"/>
      <c r="C244" s="56"/>
      <c r="D244" s="51"/>
      <c r="E244" s="51"/>
      <c r="F244" s="51"/>
      <c r="G244" s="51" t="str">
        <f>IFERROR(__xludf.DUMMYFUNCTION("""COMPUTED_VALUE"""),"#VALUE!")</f>
        <v>#VALUE!</v>
      </c>
      <c r="H244" s="51" t="str">
        <f>IFERROR(__xludf.DUMMYFUNCTION("""COMPUTED_VALUE"""),"")</f>
        <v/>
      </c>
      <c r="I244" s="51" t="str">
        <f>IFERROR(__xludf.DUMMYFUNCTION("""COMPUTED_VALUE"""),"#VALUE!")</f>
        <v>#VALUE!</v>
      </c>
      <c r="J244" s="51" t="str">
        <f>IFERROR(__xludf.DUMMYFUNCTION("""COMPUTED_VALUE"""),"")</f>
        <v/>
      </c>
      <c r="K244" s="51"/>
      <c r="L244" s="51" t="s">
        <v>257</v>
      </c>
      <c r="M244" s="51"/>
      <c r="N244" s="51"/>
      <c r="O244" s="51"/>
      <c r="P244" s="51"/>
      <c r="Q244" s="51"/>
      <c r="R244" s="51"/>
      <c r="S244" s="51"/>
      <c r="T244" s="51"/>
    </row>
    <row r="245">
      <c r="A245" s="51"/>
      <c r="B245" s="51"/>
      <c r="C245" s="56"/>
      <c r="D245" s="51"/>
      <c r="E245" s="51"/>
      <c r="F245" s="51"/>
      <c r="G245" s="51" t="str">
        <f>IFERROR(__xludf.DUMMYFUNCTION("""COMPUTED_VALUE"""),"#VALUE!")</f>
        <v>#VALUE!</v>
      </c>
      <c r="H245" s="51" t="str">
        <f>IFERROR(__xludf.DUMMYFUNCTION("""COMPUTED_VALUE"""),"")</f>
        <v/>
      </c>
      <c r="I245" s="51" t="str">
        <f>IFERROR(__xludf.DUMMYFUNCTION("""COMPUTED_VALUE"""),"#VALUE!")</f>
        <v>#VALUE!</v>
      </c>
      <c r="J245" s="51" t="str">
        <f>IFERROR(__xludf.DUMMYFUNCTION("""COMPUTED_VALUE"""),"")</f>
        <v/>
      </c>
      <c r="K245" s="51"/>
      <c r="L245" s="51" t="s">
        <v>257</v>
      </c>
      <c r="M245" s="51"/>
      <c r="N245" s="51"/>
      <c r="O245" s="51"/>
      <c r="P245" s="51"/>
      <c r="Q245" s="51"/>
      <c r="R245" s="51"/>
      <c r="S245" s="51"/>
      <c r="T245" s="51"/>
    </row>
    <row r="246">
      <c r="A246" s="51"/>
      <c r="B246" s="51"/>
      <c r="C246" s="56"/>
      <c r="D246" s="51"/>
      <c r="E246" s="51"/>
      <c r="F246" s="51"/>
      <c r="G246" s="51" t="str">
        <f>IFERROR(__xludf.DUMMYFUNCTION("""COMPUTED_VALUE"""),"#VALUE!")</f>
        <v>#VALUE!</v>
      </c>
      <c r="H246" s="51" t="str">
        <f>IFERROR(__xludf.DUMMYFUNCTION("""COMPUTED_VALUE"""),"")</f>
        <v/>
      </c>
      <c r="I246" s="51" t="str">
        <f>IFERROR(__xludf.DUMMYFUNCTION("""COMPUTED_VALUE"""),"#VALUE!")</f>
        <v>#VALUE!</v>
      </c>
      <c r="J246" s="51" t="str">
        <f>IFERROR(__xludf.DUMMYFUNCTION("""COMPUTED_VALUE"""),"")</f>
        <v/>
      </c>
      <c r="K246" s="51"/>
      <c r="L246" s="51" t="s">
        <v>257</v>
      </c>
      <c r="M246" s="51"/>
      <c r="N246" s="51"/>
      <c r="O246" s="51"/>
      <c r="P246" s="51"/>
      <c r="Q246" s="51"/>
      <c r="R246" s="51"/>
      <c r="S246" s="51"/>
      <c r="T246" s="51"/>
    </row>
    <row r="247">
      <c r="A247" s="51"/>
      <c r="B247" s="51"/>
      <c r="C247" s="56"/>
      <c r="D247" s="51"/>
      <c r="E247" s="51"/>
      <c r="F247" s="51"/>
      <c r="G247" s="51" t="str">
        <f>IFERROR(__xludf.DUMMYFUNCTION("""COMPUTED_VALUE"""),"#VALUE!")</f>
        <v>#VALUE!</v>
      </c>
      <c r="H247" s="51" t="str">
        <f>IFERROR(__xludf.DUMMYFUNCTION("""COMPUTED_VALUE"""),"")</f>
        <v/>
      </c>
      <c r="I247" s="51" t="str">
        <f>IFERROR(__xludf.DUMMYFUNCTION("""COMPUTED_VALUE"""),"#VALUE!")</f>
        <v>#VALUE!</v>
      </c>
      <c r="J247" s="51" t="str">
        <f>IFERROR(__xludf.DUMMYFUNCTION("""COMPUTED_VALUE"""),"")</f>
        <v/>
      </c>
      <c r="K247" s="51"/>
      <c r="L247" s="51" t="s">
        <v>257</v>
      </c>
      <c r="M247" s="51"/>
      <c r="N247" s="51"/>
      <c r="O247" s="51"/>
      <c r="P247" s="51"/>
      <c r="Q247" s="51"/>
      <c r="R247" s="51"/>
      <c r="S247" s="51"/>
      <c r="T247" s="51"/>
    </row>
    <row r="248">
      <c r="A248" s="51"/>
      <c r="B248" s="51"/>
      <c r="C248" s="56"/>
      <c r="D248" s="51"/>
      <c r="E248" s="51"/>
      <c r="F248" s="51"/>
      <c r="G248" s="51" t="str">
        <f>IFERROR(__xludf.DUMMYFUNCTION("""COMPUTED_VALUE"""),"#VALUE!")</f>
        <v>#VALUE!</v>
      </c>
      <c r="H248" s="51" t="str">
        <f>IFERROR(__xludf.DUMMYFUNCTION("""COMPUTED_VALUE"""),"")</f>
        <v/>
      </c>
      <c r="I248" s="51" t="str">
        <f>IFERROR(__xludf.DUMMYFUNCTION("""COMPUTED_VALUE"""),"#VALUE!")</f>
        <v>#VALUE!</v>
      </c>
      <c r="J248" s="51" t="str">
        <f>IFERROR(__xludf.DUMMYFUNCTION("""COMPUTED_VALUE"""),"")</f>
        <v/>
      </c>
      <c r="K248" s="51"/>
      <c r="L248" s="51" t="s">
        <v>257</v>
      </c>
      <c r="M248" s="51"/>
      <c r="N248" s="51"/>
      <c r="O248" s="51"/>
      <c r="P248" s="51"/>
      <c r="Q248" s="51"/>
      <c r="R248" s="51"/>
      <c r="S248" s="51"/>
      <c r="T248" s="51"/>
    </row>
    <row r="249">
      <c r="A249" s="51"/>
      <c r="B249" s="51"/>
      <c r="C249" s="56"/>
      <c r="D249" s="51"/>
      <c r="E249" s="51"/>
      <c r="F249" s="51"/>
      <c r="G249" s="51" t="str">
        <f>IFERROR(__xludf.DUMMYFUNCTION("""COMPUTED_VALUE"""),"#VALUE!")</f>
        <v>#VALUE!</v>
      </c>
      <c r="H249" s="51" t="str">
        <f>IFERROR(__xludf.DUMMYFUNCTION("""COMPUTED_VALUE"""),"")</f>
        <v/>
      </c>
      <c r="I249" s="51" t="str">
        <f>IFERROR(__xludf.DUMMYFUNCTION("""COMPUTED_VALUE"""),"#VALUE!")</f>
        <v>#VALUE!</v>
      </c>
      <c r="J249" s="51" t="str">
        <f>IFERROR(__xludf.DUMMYFUNCTION("""COMPUTED_VALUE"""),"")</f>
        <v/>
      </c>
      <c r="K249" s="51"/>
      <c r="L249" s="51" t="s">
        <v>257</v>
      </c>
      <c r="M249" s="51"/>
      <c r="N249" s="51"/>
      <c r="O249" s="51"/>
      <c r="P249" s="51"/>
      <c r="Q249" s="51"/>
      <c r="R249" s="51"/>
      <c r="S249" s="51"/>
      <c r="T249" s="51"/>
    </row>
    <row r="250">
      <c r="A250" s="51"/>
      <c r="B250" s="51"/>
      <c r="C250" s="56"/>
      <c r="D250" s="51"/>
      <c r="E250" s="51"/>
      <c r="F250" s="51"/>
      <c r="G250" s="51" t="str">
        <f>IFERROR(__xludf.DUMMYFUNCTION("""COMPUTED_VALUE"""),"#VALUE!")</f>
        <v>#VALUE!</v>
      </c>
      <c r="H250" s="51" t="str">
        <f>IFERROR(__xludf.DUMMYFUNCTION("""COMPUTED_VALUE"""),"")</f>
        <v/>
      </c>
      <c r="I250" s="51" t="str">
        <f>IFERROR(__xludf.DUMMYFUNCTION("""COMPUTED_VALUE"""),"#VALUE!")</f>
        <v>#VALUE!</v>
      </c>
      <c r="J250" s="51" t="str">
        <f>IFERROR(__xludf.DUMMYFUNCTION("""COMPUTED_VALUE"""),"")</f>
        <v/>
      </c>
      <c r="K250" s="51"/>
      <c r="L250" s="51" t="s">
        <v>257</v>
      </c>
      <c r="M250" s="51"/>
      <c r="N250" s="51"/>
      <c r="O250" s="51"/>
      <c r="P250" s="51"/>
      <c r="Q250" s="51"/>
      <c r="R250" s="51"/>
      <c r="S250" s="51"/>
      <c r="T250" s="51"/>
    </row>
    <row r="251">
      <c r="A251" s="51"/>
      <c r="B251" s="51"/>
      <c r="C251" s="56"/>
      <c r="D251" s="51"/>
      <c r="E251" s="51"/>
      <c r="F251" s="51"/>
      <c r="G251" s="51" t="str">
        <f>IFERROR(__xludf.DUMMYFUNCTION("""COMPUTED_VALUE"""),"#VALUE!")</f>
        <v>#VALUE!</v>
      </c>
      <c r="H251" s="51" t="str">
        <f>IFERROR(__xludf.DUMMYFUNCTION("""COMPUTED_VALUE"""),"")</f>
        <v/>
      </c>
      <c r="I251" s="51" t="str">
        <f>IFERROR(__xludf.DUMMYFUNCTION("""COMPUTED_VALUE"""),"#VALUE!")</f>
        <v>#VALUE!</v>
      </c>
      <c r="J251" s="51" t="str">
        <f>IFERROR(__xludf.DUMMYFUNCTION("""COMPUTED_VALUE"""),"")</f>
        <v/>
      </c>
      <c r="K251" s="51"/>
      <c r="L251" s="51" t="s">
        <v>257</v>
      </c>
      <c r="M251" s="51"/>
      <c r="N251" s="51"/>
      <c r="O251" s="51"/>
      <c r="P251" s="51"/>
      <c r="Q251" s="51"/>
      <c r="R251" s="51"/>
      <c r="S251" s="51"/>
      <c r="T251" s="51"/>
    </row>
    <row r="252">
      <c r="A252" s="51"/>
      <c r="B252" s="51"/>
      <c r="C252" s="56"/>
      <c r="D252" s="51"/>
      <c r="E252" s="51"/>
      <c r="F252" s="51"/>
      <c r="G252" s="51" t="str">
        <f>IFERROR(__xludf.DUMMYFUNCTION("""COMPUTED_VALUE"""),"#VALUE!")</f>
        <v>#VALUE!</v>
      </c>
      <c r="H252" s="51" t="str">
        <f>IFERROR(__xludf.DUMMYFUNCTION("""COMPUTED_VALUE"""),"")</f>
        <v/>
      </c>
      <c r="I252" s="51" t="str">
        <f>IFERROR(__xludf.DUMMYFUNCTION("""COMPUTED_VALUE"""),"#VALUE!")</f>
        <v>#VALUE!</v>
      </c>
      <c r="J252" s="51" t="str">
        <f>IFERROR(__xludf.DUMMYFUNCTION("""COMPUTED_VALUE"""),"")</f>
        <v/>
      </c>
      <c r="K252" s="51"/>
      <c r="L252" s="51" t="s">
        <v>257</v>
      </c>
      <c r="M252" s="51"/>
      <c r="N252" s="51"/>
      <c r="O252" s="51"/>
      <c r="P252" s="51"/>
      <c r="Q252" s="51"/>
      <c r="R252" s="51"/>
      <c r="S252" s="51"/>
      <c r="T252" s="51"/>
    </row>
    <row r="253">
      <c r="A253" s="51"/>
      <c r="B253" s="51"/>
      <c r="C253" s="56"/>
      <c r="D253" s="51"/>
      <c r="E253" s="51"/>
      <c r="F253" s="51"/>
      <c r="G253" s="51" t="str">
        <f>IFERROR(__xludf.DUMMYFUNCTION("""COMPUTED_VALUE"""),"#VALUE!")</f>
        <v>#VALUE!</v>
      </c>
      <c r="H253" s="51" t="str">
        <f>IFERROR(__xludf.DUMMYFUNCTION("""COMPUTED_VALUE"""),"")</f>
        <v/>
      </c>
      <c r="I253" s="51" t="str">
        <f>IFERROR(__xludf.DUMMYFUNCTION("""COMPUTED_VALUE"""),"#VALUE!")</f>
        <v>#VALUE!</v>
      </c>
      <c r="J253" s="51" t="str">
        <f>IFERROR(__xludf.DUMMYFUNCTION("""COMPUTED_VALUE"""),"")</f>
        <v/>
      </c>
      <c r="K253" s="51"/>
      <c r="L253" s="51" t="s">
        <v>257</v>
      </c>
      <c r="M253" s="51"/>
      <c r="N253" s="51"/>
      <c r="O253" s="51"/>
      <c r="P253" s="51"/>
      <c r="Q253" s="51"/>
      <c r="R253" s="51"/>
      <c r="S253" s="51"/>
      <c r="T253" s="51"/>
    </row>
    <row r="254">
      <c r="A254" s="51"/>
      <c r="B254" s="51"/>
      <c r="C254" s="56"/>
      <c r="D254" s="51"/>
      <c r="E254" s="51"/>
      <c r="F254" s="51"/>
      <c r="G254" s="51" t="str">
        <f>IFERROR(__xludf.DUMMYFUNCTION("""COMPUTED_VALUE"""),"#VALUE!")</f>
        <v>#VALUE!</v>
      </c>
      <c r="H254" s="51" t="str">
        <f>IFERROR(__xludf.DUMMYFUNCTION("""COMPUTED_VALUE"""),"")</f>
        <v/>
      </c>
      <c r="I254" s="51" t="str">
        <f>IFERROR(__xludf.DUMMYFUNCTION("""COMPUTED_VALUE"""),"#VALUE!")</f>
        <v>#VALUE!</v>
      </c>
      <c r="J254" s="51" t="str">
        <f>IFERROR(__xludf.DUMMYFUNCTION("""COMPUTED_VALUE"""),"")</f>
        <v/>
      </c>
      <c r="K254" s="51"/>
      <c r="L254" s="51" t="s">
        <v>257</v>
      </c>
      <c r="M254" s="51"/>
      <c r="N254" s="51"/>
      <c r="O254" s="51"/>
      <c r="P254" s="51"/>
      <c r="Q254" s="51"/>
      <c r="R254" s="51"/>
      <c r="S254" s="51"/>
      <c r="T254" s="51"/>
    </row>
    <row r="255">
      <c r="A255" s="51"/>
      <c r="B255" s="51"/>
      <c r="C255" s="56"/>
      <c r="D255" s="51"/>
      <c r="E255" s="51"/>
      <c r="F255" s="51"/>
      <c r="G255" s="51" t="str">
        <f>IFERROR(__xludf.DUMMYFUNCTION("""COMPUTED_VALUE"""),"#VALUE!")</f>
        <v>#VALUE!</v>
      </c>
      <c r="H255" s="51" t="str">
        <f>IFERROR(__xludf.DUMMYFUNCTION("""COMPUTED_VALUE"""),"")</f>
        <v/>
      </c>
      <c r="I255" s="51" t="str">
        <f>IFERROR(__xludf.DUMMYFUNCTION("""COMPUTED_VALUE"""),"#VALUE!")</f>
        <v>#VALUE!</v>
      </c>
      <c r="J255" s="51" t="str">
        <f>IFERROR(__xludf.DUMMYFUNCTION("""COMPUTED_VALUE"""),"")</f>
        <v/>
      </c>
      <c r="K255" s="51"/>
      <c r="L255" s="51" t="s">
        <v>257</v>
      </c>
      <c r="M255" s="51"/>
      <c r="N255" s="51"/>
      <c r="O255" s="51"/>
      <c r="P255" s="51"/>
      <c r="Q255" s="51"/>
      <c r="R255" s="51"/>
      <c r="S255" s="51"/>
      <c r="T255" s="51"/>
    </row>
    <row r="256">
      <c r="A256" s="51"/>
      <c r="B256" s="51"/>
      <c r="C256" s="56"/>
      <c r="D256" s="51"/>
      <c r="E256" s="51"/>
      <c r="F256" s="51"/>
      <c r="G256" s="51" t="str">
        <f>IFERROR(__xludf.DUMMYFUNCTION("""COMPUTED_VALUE"""),"#VALUE!")</f>
        <v>#VALUE!</v>
      </c>
      <c r="H256" s="51" t="str">
        <f>IFERROR(__xludf.DUMMYFUNCTION("""COMPUTED_VALUE"""),"")</f>
        <v/>
      </c>
      <c r="I256" s="51" t="str">
        <f>IFERROR(__xludf.DUMMYFUNCTION("""COMPUTED_VALUE"""),"#VALUE!")</f>
        <v>#VALUE!</v>
      </c>
      <c r="J256" s="51" t="str">
        <f>IFERROR(__xludf.DUMMYFUNCTION("""COMPUTED_VALUE"""),"")</f>
        <v/>
      </c>
      <c r="K256" s="51"/>
      <c r="L256" s="51" t="s">
        <v>257</v>
      </c>
      <c r="M256" s="51"/>
      <c r="N256" s="51"/>
      <c r="O256" s="51"/>
      <c r="P256" s="51"/>
      <c r="Q256" s="51"/>
      <c r="R256" s="51"/>
      <c r="S256" s="51"/>
      <c r="T256" s="51"/>
    </row>
    <row r="257">
      <c r="A257" s="51"/>
      <c r="B257" s="51"/>
      <c r="C257" s="56"/>
      <c r="D257" s="51"/>
      <c r="E257" s="51"/>
      <c r="F257" s="51"/>
      <c r="G257" s="51" t="str">
        <f>IFERROR(__xludf.DUMMYFUNCTION("""COMPUTED_VALUE"""),"#VALUE!")</f>
        <v>#VALUE!</v>
      </c>
      <c r="H257" s="51" t="str">
        <f>IFERROR(__xludf.DUMMYFUNCTION("""COMPUTED_VALUE"""),"")</f>
        <v/>
      </c>
      <c r="I257" s="51" t="str">
        <f>IFERROR(__xludf.DUMMYFUNCTION("""COMPUTED_VALUE"""),"#VALUE!")</f>
        <v>#VALUE!</v>
      </c>
      <c r="J257" s="51" t="str">
        <f>IFERROR(__xludf.DUMMYFUNCTION("""COMPUTED_VALUE"""),"")</f>
        <v/>
      </c>
      <c r="K257" s="51"/>
      <c r="L257" s="51" t="s">
        <v>257</v>
      </c>
      <c r="M257" s="51"/>
      <c r="N257" s="51"/>
      <c r="O257" s="51"/>
      <c r="P257" s="51"/>
      <c r="Q257" s="51"/>
      <c r="R257" s="51"/>
      <c r="S257" s="51"/>
      <c r="T257" s="51"/>
    </row>
    <row r="258">
      <c r="A258" s="51"/>
      <c r="B258" s="51"/>
      <c r="C258" s="56"/>
      <c r="D258" s="51"/>
      <c r="E258" s="51"/>
      <c r="F258" s="51"/>
      <c r="G258" s="51" t="str">
        <f>IFERROR(__xludf.DUMMYFUNCTION("""COMPUTED_VALUE"""),"#VALUE!")</f>
        <v>#VALUE!</v>
      </c>
      <c r="H258" s="51" t="str">
        <f>IFERROR(__xludf.DUMMYFUNCTION("""COMPUTED_VALUE"""),"")</f>
        <v/>
      </c>
      <c r="I258" s="51" t="str">
        <f>IFERROR(__xludf.DUMMYFUNCTION("""COMPUTED_VALUE"""),"#VALUE!")</f>
        <v>#VALUE!</v>
      </c>
      <c r="J258" s="51" t="str">
        <f>IFERROR(__xludf.DUMMYFUNCTION("""COMPUTED_VALUE"""),"")</f>
        <v/>
      </c>
      <c r="K258" s="51"/>
      <c r="L258" s="51" t="s">
        <v>257</v>
      </c>
      <c r="M258" s="51"/>
      <c r="N258" s="51"/>
      <c r="O258" s="51"/>
      <c r="P258" s="51"/>
      <c r="Q258" s="51"/>
      <c r="R258" s="51"/>
      <c r="S258" s="51"/>
      <c r="T258" s="51"/>
    </row>
    <row r="259">
      <c r="A259" s="51"/>
      <c r="B259" s="51"/>
      <c r="C259" s="56"/>
      <c r="D259" s="51"/>
      <c r="E259" s="51"/>
      <c r="F259" s="51"/>
      <c r="G259" s="51" t="str">
        <f>IFERROR(__xludf.DUMMYFUNCTION("""COMPUTED_VALUE"""),"#VALUE!")</f>
        <v>#VALUE!</v>
      </c>
      <c r="H259" s="51" t="str">
        <f>IFERROR(__xludf.DUMMYFUNCTION("""COMPUTED_VALUE"""),"")</f>
        <v/>
      </c>
      <c r="I259" s="51" t="str">
        <f>IFERROR(__xludf.DUMMYFUNCTION("""COMPUTED_VALUE"""),"#VALUE!")</f>
        <v>#VALUE!</v>
      </c>
      <c r="J259" s="51" t="str">
        <f>IFERROR(__xludf.DUMMYFUNCTION("""COMPUTED_VALUE"""),"")</f>
        <v/>
      </c>
      <c r="K259" s="51"/>
      <c r="L259" s="51" t="s">
        <v>257</v>
      </c>
      <c r="M259" s="51"/>
      <c r="N259" s="51"/>
      <c r="O259" s="51"/>
      <c r="P259" s="51"/>
      <c r="Q259" s="51"/>
      <c r="R259" s="51"/>
      <c r="S259" s="51"/>
      <c r="T259" s="51"/>
    </row>
    <row r="260">
      <c r="A260" s="51"/>
      <c r="B260" s="51"/>
      <c r="C260" s="56"/>
      <c r="D260" s="51"/>
      <c r="E260" s="51"/>
      <c r="F260" s="51"/>
      <c r="G260" s="51" t="str">
        <f>IFERROR(__xludf.DUMMYFUNCTION("""COMPUTED_VALUE"""),"#VALUE!")</f>
        <v>#VALUE!</v>
      </c>
      <c r="H260" s="51" t="str">
        <f>IFERROR(__xludf.DUMMYFUNCTION("""COMPUTED_VALUE"""),"")</f>
        <v/>
      </c>
      <c r="I260" s="51" t="str">
        <f>IFERROR(__xludf.DUMMYFUNCTION("""COMPUTED_VALUE"""),"#VALUE!")</f>
        <v>#VALUE!</v>
      </c>
      <c r="J260" s="51" t="str">
        <f>IFERROR(__xludf.DUMMYFUNCTION("""COMPUTED_VALUE"""),"")</f>
        <v/>
      </c>
      <c r="K260" s="51"/>
      <c r="L260" s="51" t="s">
        <v>257</v>
      </c>
      <c r="M260" s="51"/>
      <c r="N260" s="51"/>
      <c r="O260" s="51"/>
      <c r="P260" s="51"/>
      <c r="Q260" s="51"/>
      <c r="R260" s="51"/>
      <c r="S260" s="51"/>
      <c r="T260" s="51"/>
    </row>
    <row r="261">
      <c r="A261" s="51"/>
      <c r="B261" s="51"/>
      <c r="C261" s="56"/>
      <c r="D261" s="51"/>
      <c r="E261" s="51"/>
      <c r="F261" s="51"/>
      <c r="G261" s="51" t="str">
        <f>IFERROR(__xludf.DUMMYFUNCTION("""COMPUTED_VALUE"""),"#VALUE!")</f>
        <v>#VALUE!</v>
      </c>
      <c r="H261" s="51" t="str">
        <f>IFERROR(__xludf.DUMMYFUNCTION("""COMPUTED_VALUE"""),"")</f>
        <v/>
      </c>
      <c r="I261" s="51" t="str">
        <f>IFERROR(__xludf.DUMMYFUNCTION("""COMPUTED_VALUE"""),"#VALUE!")</f>
        <v>#VALUE!</v>
      </c>
      <c r="J261" s="51" t="str">
        <f>IFERROR(__xludf.DUMMYFUNCTION("""COMPUTED_VALUE"""),"")</f>
        <v/>
      </c>
      <c r="K261" s="51"/>
      <c r="L261" s="51" t="s">
        <v>257</v>
      </c>
      <c r="M261" s="51"/>
      <c r="N261" s="51"/>
      <c r="O261" s="51"/>
      <c r="P261" s="51"/>
      <c r="Q261" s="51"/>
      <c r="R261" s="51"/>
      <c r="S261" s="51"/>
      <c r="T261" s="51"/>
    </row>
    <row r="262">
      <c r="A262" s="51"/>
      <c r="B262" s="51"/>
      <c r="C262" s="56"/>
      <c r="D262" s="51"/>
      <c r="E262" s="51"/>
      <c r="F262" s="51"/>
      <c r="G262" s="51" t="str">
        <f>IFERROR(__xludf.DUMMYFUNCTION("""COMPUTED_VALUE"""),"#VALUE!")</f>
        <v>#VALUE!</v>
      </c>
      <c r="H262" s="51" t="str">
        <f>IFERROR(__xludf.DUMMYFUNCTION("""COMPUTED_VALUE"""),"")</f>
        <v/>
      </c>
      <c r="I262" s="51" t="str">
        <f>IFERROR(__xludf.DUMMYFUNCTION("""COMPUTED_VALUE"""),"#VALUE!")</f>
        <v>#VALUE!</v>
      </c>
      <c r="J262" s="51" t="str">
        <f>IFERROR(__xludf.DUMMYFUNCTION("""COMPUTED_VALUE"""),"")</f>
        <v/>
      </c>
      <c r="K262" s="51"/>
      <c r="L262" s="51" t="s">
        <v>257</v>
      </c>
      <c r="M262" s="51"/>
      <c r="N262" s="51"/>
      <c r="O262" s="51"/>
      <c r="P262" s="51"/>
      <c r="Q262" s="51"/>
      <c r="R262" s="51"/>
      <c r="S262" s="51"/>
      <c r="T262" s="51"/>
    </row>
    <row r="263">
      <c r="A263" s="51"/>
      <c r="B263" s="51"/>
      <c r="C263" s="56"/>
      <c r="D263" s="51"/>
      <c r="E263" s="51"/>
      <c r="F263" s="51"/>
      <c r="G263" s="51" t="str">
        <f>IFERROR(__xludf.DUMMYFUNCTION("""COMPUTED_VALUE"""),"#VALUE!")</f>
        <v>#VALUE!</v>
      </c>
      <c r="H263" s="51" t="str">
        <f>IFERROR(__xludf.DUMMYFUNCTION("""COMPUTED_VALUE"""),"")</f>
        <v/>
      </c>
      <c r="I263" s="51" t="str">
        <f>IFERROR(__xludf.DUMMYFUNCTION("""COMPUTED_VALUE"""),"#VALUE!")</f>
        <v>#VALUE!</v>
      </c>
      <c r="J263" s="51" t="str">
        <f>IFERROR(__xludf.DUMMYFUNCTION("""COMPUTED_VALUE"""),"")</f>
        <v/>
      </c>
      <c r="K263" s="51"/>
      <c r="L263" s="51" t="s">
        <v>257</v>
      </c>
      <c r="M263" s="51"/>
      <c r="N263" s="51"/>
      <c r="O263" s="51"/>
      <c r="P263" s="51"/>
      <c r="Q263" s="51"/>
      <c r="R263" s="51"/>
      <c r="S263" s="51"/>
      <c r="T263" s="51"/>
    </row>
    <row r="264">
      <c r="A264" s="51"/>
      <c r="B264" s="51"/>
      <c r="C264" s="56"/>
      <c r="D264" s="51"/>
      <c r="E264" s="51"/>
      <c r="F264" s="51"/>
      <c r="G264" s="51" t="str">
        <f>IFERROR(__xludf.DUMMYFUNCTION("""COMPUTED_VALUE"""),"#VALUE!")</f>
        <v>#VALUE!</v>
      </c>
      <c r="H264" s="51" t="str">
        <f>IFERROR(__xludf.DUMMYFUNCTION("""COMPUTED_VALUE"""),"")</f>
        <v/>
      </c>
      <c r="I264" s="51" t="str">
        <f>IFERROR(__xludf.DUMMYFUNCTION("""COMPUTED_VALUE"""),"#VALUE!")</f>
        <v>#VALUE!</v>
      </c>
      <c r="J264" s="51" t="str">
        <f>IFERROR(__xludf.DUMMYFUNCTION("""COMPUTED_VALUE"""),"")</f>
        <v/>
      </c>
      <c r="K264" s="51"/>
      <c r="L264" s="51" t="s">
        <v>257</v>
      </c>
      <c r="M264" s="51"/>
      <c r="N264" s="51"/>
      <c r="O264" s="51"/>
      <c r="P264" s="51"/>
      <c r="Q264" s="51"/>
      <c r="R264" s="51"/>
      <c r="S264" s="51"/>
      <c r="T264" s="51"/>
    </row>
    <row r="265">
      <c r="A265" s="51"/>
      <c r="B265" s="51"/>
      <c r="C265" s="56"/>
      <c r="D265" s="51"/>
      <c r="E265" s="51"/>
      <c r="F265" s="51"/>
      <c r="G265" s="51" t="str">
        <f>IFERROR(__xludf.DUMMYFUNCTION("""COMPUTED_VALUE"""),"#VALUE!")</f>
        <v>#VALUE!</v>
      </c>
      <c r="H265" s="51" t="str">
        <f>IFERROR(__xludf.DUMMYFUNCTION("""COMPUTED_VALUE"""),"")</f>
        <v/>
      </c>
      <c r="I265" s="51" t="str">
        <f>IFERROR(__xludf.DUMMYFUNCTION("""COMPUTED_VALUE"""),"#VALUE!")</f>
        <v>#VALUE!</v>
      </c>
      <c r="J265" s="51" t="str">
        <f>IFERROR(__xludf.DUMMYFUNCTION("""COMPUTED_VALUE"""),"")</f>
        <v/>
      </c>
      <c r="K265" s="51"/>
      <c r="L265" s="51" t="s">
        <v>257</v>
      </c>
      <c r="M265" s="51"/>
      <c r="N265" s="51"/>
      <c r="O265" s="51"/>
      <c r="P265" s="51"/>
      <c r="Q265" s="51"/>
      <c r="R265" s="51"/>
      <c r="S265" s="51"/>
      <c r="T265" s="51"/>
    </row>
    <row r="266">
      <c r="A266" s="51"/>
      <c r="B266" s="51"/>
      <c r="C266" s="56"/>
      <c r="D266" s="51"/>
      <c r="E266" s="51"/>
      <c r="F266" s="51"/>
      <c r="G266" s="51" t="str">
        <f>IFERROR(__xludf.DUMMYFUNCTION("""COMPUTED_VALUE"""),"#VALUE!")</f>
        <v>#VALUE!</v>
      </c>
      <c r="H266" s="51" t="str">
        <f>IFERROR(__xludf.DUMMYFUNCTION("""COMPUTED_VALUE"""),"")</f>
        <v/>
      </c>
      <c r="I266" s="51" t="str">
        <f>IFERROR(__xludf.DUMMYFUNCTION("""COMPUTED_VALUE"""),"#VALUE!")</f>
        <v>#VALUE!</v>
      </c>
      <c r="J266" s="51" t="str">
        <f>IFERROR(__xludf.DUMMYFUNCTION("""COMPUTED_VALUE"""),"")</f>
        <v/>
      </c>
      <c r="K266" s="51"/>
      <c r="L266" s="51" t="s">
        <v>257</v>
      </c>
      <c r="M266" s="51"/>
      <c r="N266" s="51"/>
      <c r="O266" s="51"/>
      <c r="P266" s="51"/>
      <c r="Q266" s="51"/>
      <c r="R266" s="51"/>
      <c r="S266" s="51"/>
      <c r="T266" s="51"/>
    </row>
    <row r="267">
      <c r="A267" s="51"/>
      <c r="B267" s="51"/>
      <c r="C267" s="56"/>
      <c r="D267" s="51"/>
      <c r="E267" s="51"/>
      <c r="F267" s="51"/>
      <c r="G267" s="51" t="str">
        <f>IFERROR(__xludf.DUMMYFUNCTION("""COMPUTED_VALUE"""),"#VALUE!")</f>
        <v>#VALUE!</v>
      </c>
      <c r="H267" s="51" t="str">
        <f>IFERROR(__xludf.DUMMYFUNCTION("""COMPUTED_VALUE"""),"")</f>
        <v/>
      </c>
      <c r="I267" s="51" t="str">
        <f>IFERROR(__xludf.DUMMYFUNCTION("""COMPUTED_VALUE"""),"#VALUE!")</f>
        <v>#VALUE!</v>
      </c>
      <c r="J267" s="51" t="str">
        <f>IFERROR(__xludf.DUMMYFUNCTION("""COMPUTED_VALUE"""),"")</f>
        <v/>
      </c>
      <c r="K267" s="51"/>
      <c r="L267" s="51" t="s">
        <v>257</v>
      </c>
      <c r="M267" s="51"/>
      <c r="N267" s="51"/>
      <c r="O267" s="51"/>
      <c r="P267" s="51"/>
      <c r="Q267" s="51"/>
      <c r="R267" s="51"/>
      <c r="S267" s="51"/>
      <c r="T267" s="51"/>
    </row>
    <row r="268">
      <c r="A268" s="51"/>
      <c r="B268" s="51"/>
      <c r="C268" s="56"/>
      <c r="D268" s="51"/>
      <c r="E268" s="51"/>
      <c r="F268" s="51"/>
      <c r="G268" s="51" t="str">
        <f>IFERROR(__xludf.DUMMYFUNCTION("""COMPUTED_VALUE"""),"#VALUE!")</f>
        <v>#VALUE!</v>
      </c>
      <c r="H268" s="51" t="str">
        <f>IFERROR(__xludf.DUMMYFUNCTION("""COMPUTED_VALUE"""),"")</f>
        <v/>
      </c>
      <c r="I268" s="51" t="str">
        <f>IFERROR(__xludf.DUMMYFUNCTION("""COMPUTED_VALUE"""),"#VALUE!")</f>
        <v>#VALUE!</v>
      </c>
      <c r="J268" s="51" t="str">
        <f>IFERROR(__xludf.DUMMYFUNCTION("""COMPUTED_VALUE"""),"")</f>
        <v/>
      </c>
      <c r="K268" s="51"/>
      <c r="L268" s="51" t="s">
        <v>257</v>
      </c>
      <c r="M268" s="51"/>
      <c r="N268" s="51"/>
      <c r="O268" s="51"/>
      <c r="P268" s="51"/>
      <c r="Q268" s="51"/>
      <c r="R268" s="51"/>
      <c r="S268" s="51"/>
      <c r="T268" s="51"/>
    </row>
    <row r="269">
      <c r="A269" s="51"/>
      <c r="B269" s="51"/>
      <c r="C269" s="56"/>
      <c r="D269" s="51"/>
      <c r="E269" s="51"/>
      <c r="F269" s="51"/>
      <c r="G269" s="51" t="str">
        <f>IFERROR(__xludf.DUMMYFUNCTION("""COMPUTED_VALUE"""),"#VALUE!")</f>
        <v>#VALUE!</v>
      </c>
      <c r="H269" s="51" t="str">
        <f>IFERROR(__xludf.DUMMYFUNCTION("""COMPUTED_VALUE"""),"")</f>
        <v/>
      </c>
      <c r="I269" s="51" t="str">
        <f>IFERROR(__xludf.DUMMYFUNCTION("""COMPUTED_VALUE"""),"#VALUE!")</f>
        <v>#VALUE!</v>
      </c>
      <c r="J269" s="51" t="str">
        <f>IFERROR(__xludf.DUMMYFUNCTION("""COMPUTED_VALUE"""),"")</f>
        <v/>
      </c>
      <c r="K269" s="51"/>
      <c r="L269" s="51" t="s">
        <v>257</v>
      </c>
      <c r="M269" s="51"/>
      <c r="N269" s="51"/>
      <c r="O269" s="51"/>
      <c r="P269" s="51"/>
      <c r="Q269" s="51"/>
      <c r="R269" s="51"/>
      <c r="S269" s="51"/>
      <c r="T269" s="51"/>
    </row>
    <row r="270">
      <c r="A270" s="51"/>
      <c r="B270" s="51"/>
      <c r="C270" s="56"/>
      <c r="D270" s="51"/>
      <c r="E270" s="51"/>
      <c r="F270" s="51"/>
      <c r="G270" s="51" t="str">
        <f>IFERROR(__xludf.DUMMYFUNCTION("""COMPUTED_VALUE"""),"#VALUE!")</f>
        <v>#VALUE!</v>
      </c>
      <c r="H270" s="51" t="str">
        <f>IFERROR(__xludf.DUMMYFUNCTION("""COMPUTED_VALUE"""),"")</f>
        <v/>
      </c>
      <c r="I270" s="51" t="str">
        <f>IFERROR(__xludf.DUMMYFUNCTION("""COMPUTED_VALUE"""),"#VALUE!")</f>
        <v>#VALUE!</v>
      </c>
      <c r="J270" s="51" t="str">
        <f>IFERROR(__xludf.DUMMYFUNCTION("""COMPUTED_VALUE"""),"")</f>
        <v/>
      </c>
      <c r="K270" s="51"/>
      <c r="L270" s="51" t="s">
        <v>257</v>
      </c>
      <c r="M270" s="51"/>
      <c r="N270" s="51"/>
      <c r="O270" s="51"/>
      <c r="P270" s="51"/>
      <c r="Q270" s="51"/>
      <c r="R270" s="51"/>
      <c r="S270" s="51"/>
      <c r="T270" s="51"/>
    </row>
    <row r="271">
      <c r="A271" s="51"/>
      <c r="B271" s="51"/>
      <c r="C271" s="56"/>
      <c r="D271" s="51"/>
      <c r="E271" s="51"/>
      <c r="F271" s="51"/>
      <c r="G271" s="51" t="str">
        <f>IFERROR(__xludf.DUMMYFUNCTION("""COMPUTED_VALUE"""),"#VALUE!")</f>
        <v>#VALUE!</v>
      </c>
      <c r="H271" s="51" t="str">
        <f>IFERROR(__xludf.DUMMYFUNCTION("""COMPUTED_VALUE"""),"")</f>
        <v/>
      </c>
      <c r="I271" s="51" t="str">
        <f>IFERROR(__xludf.DUMMYFUNCTION("""COMPUTED_VALUE"""),"#VALUE!")</f>
        <v>#VALUE!</v>
      </c>
      <c r="J271" s="51" t="str">
        <f>IFERROR(__xludf.DUMMYFUNCTION("""COMPUTED_VALUE"""),"")</f>
        <v/>
      </c>
      <c r="K271" s="51"/>
      <c r="L271" s="51" t="s">
        <v>257</v>
      </c>
      <c r="M271" s="51"/>
      <c r="N271" s="51"/>
      <c r="O271" s="51"/>
      <c r="P271" s="51"/>
      <c r="Q271" s="51"/>
      <c r="R271" s="51"/>
      <c r="S271" s="51"/>
      <c r="T271" s="51"/>
    </row>
    <row r="272">
      <c r="A272" s="51"/>
      <c r="B272" s="51"/>
      <c r="C272" s="56"/>
      <c r="D272" s="51"/>
      <c r="E272" s="51"/>
      <c r="F272" s="51"/>
      <c r="G272" s="51" t="str">
        <f>IFERROR(__xludf.DUMMYFUNCTION("""COMPUTED_VALUE"""),"#VALUE!")</f>
        <v>#VALUE!</v>
      </c>
      <c r="H272" s="51" t="str">
        <f>IFERROR(__xludf.DUMMYFUNCTION("""COMPUTED_VALUE"""),"")</f>
        <v/>
      </c>
      <c r="I272" s="51" t="str">
        <f>IFERROR(__xludf.DUMMYFUNCTION("""COMPUTED_VALUE"""),"#VALUE!")</f>
        <v>#VALUE!</v>
      </c>
      <c r="J272" s="51" t="str">
        <f>IFERROR(__xludf.DUMMYFUNCTION("""COMPUTED_VALUE"""),"")</f>
        <v/>
      </c>
      <c r="K272" s="51"/>
      <c r="L272" s="51" t="s">
        <v>257</v>
      </c>
      <c r="M272" s="51"/>
      <c r="N272" s="51"/>
      <c r="O272" s="51"/>
      <c r="P272" s="51"/>
      <c r="Q272" s="51"/>
      <c r="R272" s="51"/>
      <c r="S272" s="51"/>
      <c r="T272" s="51"/>
    </row>
    <row r="273">
      <c r="A273" s="51"/>
      <c r="B273" s="51"/>
      <c r="C273" s="56"/>
      <c r="D273" s="51"/>
      <c r="E273" s="51"/>
      <c r="F273" s="51"/>
      <c r="G273" s="51" t="str">
        <f>IFERROR(__xludf.DUMMYFUNCTION("""COMPUTED_VALUE"""),"#VALUE!")</f>
        <v>#VALUE!</v>
      </c>
      <c r="H273" s="51" t="str">
        <f>IFERROR(__xludf.DUMMYFUNCTION("""COMPUTED_VALUE"""),"")</f>
        <v/>
      </c>
      <c r="I273" s="51" t="str">
        <f>IFERROR(__xludf.DUMMYFUNCTION("""COMPUTED_VALUE"""),"#VALUE!")</f>
        <v>#VALUE!</v>
      </c>
      <c r="J273" s="51" t="str">
        <f>IFERROR(__xludf.DUMMYFUNCTION("""COMPUTED_VALUE"""),"")</f>
        <v/>
      </c>
      <c r="K273" s="51"/>
      <c r="L273" s="51" t="s">
        <v>257</v>
      </c>
      <c r="M273" s="51"/>
      <c r="N273" s="51"/>
      <c r="O273" s="51"/>
      <c r="P273" s="51"/>
      <c r="Q273" s="51"/>
      <c r="R273" s="51"/>
      <c r="S273" s="51"/>
      <c r="T273" s="51"/>
    </row>
    <row r="274">
      <c r="A274" s="51"/>
      <c r="B274" s="51"/>
      <c r="C274" s="56"/>
      <c r="D274" s="51"/>
      <c r="E274" s="51"/>
      <c r="F274" s="51"/>
      <c r="G274" s="51" t="str">
        <f>IFERROR(__xludf.DUMMYFUNCTION("""COMPUTED_VALUE"""),"#VALUE!")</f>
        <v>#VALUE!</v>
      </c>
      <c r="H274" s="51" t="str">
        <f>IFERROR(__xludf.DUMMYFUNCTION("""COMPUTED_VALUE"""),"")</f>
        <v/>
      </c>
      <c r="I274" s="51" t="str">
        <f>IFERROR(__xludf.DUMMYFUNCTION("""COMPUTED_VALUE"""),"#VALUE!")</f>
        <v>#VALUE!</v>
      </c>
      <c r="J274" s="51" t="str">
        <f>IFERROR(__xludf.DUMMYFUNCTION("""COMPUTED_VALUE"""),"")</f>
        <v/>
      </c>
      <c r="K274" s="51"/>
      <c r="L274" s="51" t="s">
        <v>257</v>
      </c>
      <c r="M274" s="51"/>
      <c r="N274" s="51"/>
      <c r="O274" s="51"/>
      <c r="P274" s="51"/>
      <c r="Q274" s="51"/>
      <c r="R274" s="51"/>
      <c r="S274" s="51"/>
      <c r="T274" s="51"/>
    </row>
    <row r="275">
      <c r="A275" s="51"/>
      <c r="B275" s="51"/>
      <c r="C275" s="56"/>
      <c r="D275" s="51"/>
      <c r="E275" s="51"/>
      <c r="F275" s="51"/>
      <c r="G275" s="51" t="str">
        <f>IFERROR(__xludf.DUMMYFUNCTION("""COMPUTED_VALUE"""),"#VALUE!")</f>
        <v>#VALUE!</v>
      </c>
      <c r="H275" s="51" t="str">
        <f>IFERROR(__xludf.DUMMYFUNCTION("""COMPUTED_VALUE"""),"")</f>
        <v/>
      </c>
      <c r="I275" s="51" t="str">
        <f>IFERROR(__xludf.DUMMYFUNCTION("""COMPUTED_VALUE"""),"#VALUE!")</f>
        <v>#VALUE!</v>
      </c>
      <c r="J275" s="51" t="str">
        <f>IFERROR(__xludf.DUMMYFUNCTION("""COMPUTED_VALUE"""),"")</f>
        <v/>
      </c>
      <c r="K275" s="51"/>
      <c r="L275" s="51" t="s">
        <v>257</v>
      </c>
      <c r="M275" s="51"/>
      <c r="N275" s="51"/>
      <c r="O275" s="51"/>
      <c r="P275" s="51"/>
      <c r="Q275" s="51"/>
      <c r="R275" s="51"/>
      <c r="S275" s="51"/>
      <c r="T275" s="51"/>
    </row>
    <row r="276">
      <c r="A276" s="51"/>
      <c r="B276" s="51"/>
      <c r="C276" s="56"/>
      <c r="D276" s="51"/>
      <c r="E276" s="51"/>
      <c r="F276" s="51"/>
      <c r="G276" s="51" t="str">
        <f>IFERROR(__xludf.DUMMYFUNCTION("""COMPUTED_VALUE"""),"#VALUE!")</f>
        <v>#VALUE!</v>
      </c>
      <c r="H276" s="51" t="str">
        <f>IFERROR(__xludf.DUMMYFUNCTION("""COMPUTED_VALUE"""),"")</f>
        <v/>
      </c>
      <c r="I276" s="51" t="str">
        <f>IFERROR(__xludf.DUMMYFUNCTION("""COMPUTED_VALUE"""),"#VALUE!")</f>
        <v>#VALUE!</v>
      </c>
      <c r="J276" s="51" t="str">
        <f>IFERROR(__xludf.DUMMYFUNCTION("""COMPUTED_VALUE"""),"")</f>
        <v/>
      </c>
      <c r="K276" s="51"/>
      <c r="L276" s="51" t="s">
        <v>257</v>
      </c>
      <c r="M276" s="51"/>
      <c r="N276" s="51"/>
      <c r="O276" s="51"/>
      <c r="P276" s="51"/>
      <c r="Q276" s="51"/>
      <c r="R276" s="51"/>
      <c r="S276" s="51"/>
      <c r="T276" s="51"/>
    </row>
    <row r="277">
      <c r="A277" s="51"/>
      <c r="B277" s="51"/>
      <c r="C277" s="56"/>
      <c r="D277" s="51"/>
      <c r="E277" s="51"/>
      <c r="F277" s="51"/>
      <c r="G277" s="51" t="str">
        <f>IFERROR(__xludf.DUMMYFUNCTION("""COMPUTED_VALUE"""),"#VALUE!")</f>
        <v>#VALUE!</v>
      </c>
      <c r="H277" s="51" t="str">
        <f>IFERROR(__xludf.DUMMYFUNCTION("""COMPUTED_VALUE"""),"")</f>
        <v/>
      </c>
      <c r="I277" s="51" t="str">
        <f>IFERROR(__xludf.DUMMYFUNCTION("""COMPUTED_VALUE"""),"#VALUE!")</f>
        <v>#VALUE!</v>
      </c>
      <c r="J277" s="51" t="str">
        <f>IFERROR(__xludf.DUMMYFUNCTION("""COMPUTED_VALUE"""),"")</f>
        <v/>
      </c>
      <c r="K277" s="51"/>
      <c r="L277" s="51" t="s">
        <v>257</v>
      </c>
      <c r="M277" s="51"/>
      <c r="N277" s="51"/>
      <c r="O277" s="51"/>
      <c r="P277" s="51"/>
      <c r="Q277" s="51"/>
      <c r="R277" s="51"/>
      <c r="S277" s="51"/>
      <c r="T277" s="51"/>
    </row>
    <row r="278">
      <c r="A278" s="51"/>
      <c r="B278" s="51"/>
      <c r="C278" s="56"/>
      <c r="D278" s="51"/>
      <c r="E278" s="51"/>
      <c r="F278" s="51"/>
      <c r="G278" s="51" t="str">
        <f>IFERROR(__xludf.DUMMYFUNCTION("""COMPUTED_VALUE"""),"#VALUE!")</f>
        <v>#VALUE!</v>
      </c>
      <c r="H278" s="51" t="str">
        <f>IFERROR(__xludf.DUMMYFUNCTION("""COMPUTED_VALUE"""),"")</f>
        <v/>
      </c>
      <c r="I278" s="51" t="str">
        <f>IFERROR(__xludf.DUMMYFUNCTION("""COMPUTED_VALUE"""),"#VALUE!")</f>
        <v>#VALUE!</v>
      </c>
      <c r="J278" s="51" t="str">
        <f>IFERROR(__xludf.DUMMYFUNCTION("""COMPUTED_VALUE"""),"")</f>
        <v/>
      </c>
      <c r="K278" s="51"/>
      <c r="L278" s="51" t="s">
        <v>257</v>
      </c>
      <c r="M278" s="51"/>
      <c r="N278" s="51"/>
      <c r="O278" s="51"/>
      <c r="P278" s="51"/>
      <c r="Q278" s="51"/>
      <c r="R278" s="51"/>
      <c r="S278" s="51"/>
      <c r="T278" s="51"/>
    </row>
    <row r="279">
      <c r="A279" s="51"/>
      <c r="B279" s="51"/>
      <c r="C279" s="56"/>
      <c r="D279" s="51"/>
      <c r="E279" s="51"/>
      <c r="F279" s="51"/>
      <c r="G279" s="51" t="str">
        <f>IFERROR(__xludf.DUMMYFUNCTION("""COMPUTED_VALUE"""),"#VALUE!")</f>
        <v>#VALUE!</v>
      </c>
      <c r="H279" s="51" t="str">
        <f>IFERROR(__xludf.DUMMYFUNCTION("""COMPUTED_VALUE"""),"")</f>
        <v/>
      </c>
      <c r="I279" s="51" t="str">
        <f>IFERROR(__xludf.DUMMYFUNCTION("""COMPUTED_VALUE"""),"#VALUE!")</f>
        <v>#VALUE!</v>
      </c>
      <c r="J279" s="51" t="str">
        <f>IFERROR(__xludf.DUMMYFUNCTION("""COMPUTED_VALUE"""),"")</f>
        <v/>
      </c>
      <c r="K279" s="51"/>
      <c r="L279" s="51" t="s">
        <v>257</v>
      </c>
      <c r="M279" s="51"/>
      <c r="N279" s="51"/>
      <c r="O279" s="51"/>
      <c r="P279" s="51"/>
      <c r="Q279" s="51"/>
      <c r="R279" s="51"/>
      <c r="S279" s="51"/>
      <c r="T279" s="51"/>
    </row>
    <row r="280">
      <c r="A280" s="51"/>
      <c r="B280" s="51"/>
      <c r="C280" s="56"/>
      <c r="D280" s="51"/>
      <c r="E280" s="51"/>
      <c r="F280" s="51"/>
      <c r="G280" s="51" t="str">
        <f>IFERROR(__xludf.DUMMYFUNCTION("""COMPUTED_VALUE"""),"#VALUE!")</f>
        <v>#VALUE!</v>
      </c>
      <c r="H280" s="51" t="str">
        <f>IFERROR(__xludf.DUMMYFUNCTION("""COMPUTED_VALUE"""),"")</f>
        <v/>
      </c>
      <c r="I280" s="51" t="str">
        <f>IFERROR(__xludf.DUMMYFUNCTION("""COMPUTED_VALUE"""),"#VALUE!")</f>
        <v>#VALUE!</v>
      </c>
      <c r="J280" s="51" t="str">
        <f>IFERROR(__xludf.DUMMYFUNCTION("""COMPUTED_VALUE"""),"")</f>
        <v/>
      </c>
      <c r="K280" s="51"/>
      <c r="L280" s="51" t="s">
        <v>257</v>
      </c>
      <c r="M280" s="51"/>
      <c r="N280" s="51"/>
      <c r="O280" s="51"/>
      <c r="P280" s="51"/>
      <c r="Q280" s="51"/>
      <c r="R280" s="51"/>
      <c r="S280" s="51"/>
      <c r="T280" s="51"/>
    </row>
    <row r="281">
      <c r="A281" s="51"/>
      <c r="B281" s="51"/>
      <c r="C281" s="56"/>
      <c r="D281" s="51"/>
      <c r="E281" s="51"/>
      <c r="F281" s="51"/>
      <c r="G281" s="51" t="str">
        <f>IFERROR(__xludf.DUMMYFUNCTION("""COMPUTED_VALUE"""),"#VALUE!")</f>
        <v>#VALUE!</v>
      </c>
      <c r="H281" s="51" t="str">
        <f>IFERROR(__xludf.DUMMYFUNCTION("""COMPUTED_VALUE"""),"")</f>
        <v/>
      </c>
      <c r="I281" s="51" t="str">
        <f>IFERROR(__xludf.DUMMYFUNCTION("""COMPUTED_VALUE"""),"#VALUE!")</f>
        <v>#VALUE!</v>
      </c>
      <c r="J281" s="51" t="str">
        <f>IFERROR(__xludf.DUMMYFUNCTION("""COMPUTED_VALUE"""),"")</f>
        <v/>
      </c>
      <c r="K281" s="51"/>
      <c r="L281" s="51" t="s">
        <v>257</v>
      </c>
      <c r="M281" s="51"/>
      <c r="N281" s="51"/>
      <c r="O281" s="51"/>
      <c r="P281" s="51"/>
      <c r="Q281" s="51"/>
      <c r="R281" s="51"/>
      <c r="S281" s="51"/>
      <c r="T281" s="51"/>
    </row>
    <row r="282">
      <c r="A282" s="51"/>
      <c r="B282" s="51"/>
      <c r="C282" s="56"/>
      <c r="D282" s="51"/>
      <c r="E282" s="51"/>
      <c r="F282" s="51"/>
      <c r="G282" s="51" t="str">
        <f>IFERROR(__xludf.DUMMYFUNCTION("""COMPUTED_VALUE"""),"#VALUE!")</f>
        <v>#VALUE!</v>
      </c>
      <c r="H282" s="51" t="str">
        <f>IFERROR(__xludf.DUMMYFUNCTION("""COMPUTED_VALUE"""),"")</f>
        <v/>
      </c>
      <c r="I282" s="51" t="str">
        <f>IFERROR(__xludf.DUMMYFUNCTION("""COMPUTED_VALUE"""),"#VALUE!")</f>
        <v>#VALUE!</v>
      </c>
      <c r="J282" s="51" t="str">
        <f>IFERROR(__xludf.DUMMYFUNCTION("""COMPUTED_VALUE"""),"")</f>
        <v/>
      </c>
      <c r="K282" s="51"/>
      <c r="L282" s="51" t="s">
        <v>257</v>
      </c>
      <c r="M282" s="51"/>
      <c r="N282" s="51"/>
      <c r="O282" s="51"/>
      <c r="P282" s="51"/>
      <c r="Q282" s="51"/>
      <c r="R282" s="51"/>
      <c r="S282" s="51"/>
      <c r="T282" s="51"/>
    </row>
    <row r="283">
      <c r="A283" s="51"/>
      <c r="B283" s="51"/>
      <c r="C283" s="56"/>
      <c r="D283" s="51"/>
      <c r="E283" s="51"/>
      <c r="F283" s="51"/>
      <c r="G283" s="51" t="str">
        <f>IFERROR(__xludf.DUMMYFUNCTION("""COMPUTED_VALUE"""),"#VALUE!")</f>
        <v>#VALUE!</v>
      </c>
      <c r="H283" s="51" t="str">
        <f>IFERROR(__xludf.DUMMYFUNCTION("""COMPUTED_VALUE"""),"")</f>
        <v/>
      </c>
      <c r="I283" s="51" t="str">
        <f>IFERROR(__xludf.DUMMYFUNCTION("""COMPUTED_VALUE"""),"#VALUE!")</f>
        <v>#VALUE!</v>
      </c>
      <c r="J283" s="51" t="str">
        <f>IFERROR(__xludf.DUMMYFUNCTION("""COMPUTED_VALUE"""),"")</f>
        <v/>
      </c>
      <c r="K283" s="51"/>
      <c r="L283" s="51" t="s">
        <v>257</v>
      </c>
      <c r="M283" s="51"/>
      <c r="N283" s="51"/>
      <c r="O283" s="51"/>
      <c r="P283" s="51"/>
      <c r="Q283" s="51"/>
      <c r="R283" s="51"/>
      <c r="S283" s="51"/>
      <c r="T283" s="51"/>
    </row>
    <row r="284">
      <c r="A284" s="51"/>
      <c r="B284" s="51"/>
      <c r="C284" s="56"/>
      <c r="D284" s="51"/>
      <c r="E284" s="51"/>
      <c r="F284" s="51"/>
      <c r="G284" s="51" t="str">
        <f>IFERROR(__xludf.DUMMYFUNCTION("""COMPUTED_VALUE"""),"#VALUE!")</f>
        <v>#VALUE!</v>
      </c>
      <c r="H284" s="51" t="str">
        <f>IFERROR(__xludf.DUMMYFUNCTION("""COMPUTED_VALUE"""),"")</f>
        <v/>
      </c>
      <c r="I284" s="51" t="str">
        <f>IFERROR(__xludf.DUMMYFUNCTION("""COMPUTED_VALUE"""),"#VALUE!")</f>
        <v>#VALUE!</v>
      </c>
      <c r="J284" s="51" t="str">
        <f>IFERROR(__xludf.DUMMYFUNCTION("""COMPUTED_VALUE"""),"")</f>
        <v/>
      </c>
      <c r="K284" s="51"/>
      <c r="L284" s="51" t="s">
        <v>257</v>
      </c>
      <c r="M284" s="51"/>
      <c r="N284" s="51"/>
      <c r="O284" s="51"/>
      <c r="P284" s="51"/>
      <c r="Q284" s="51"/>
      <c r="R284" s="51"/>
      <c r="S284" s="51"/>
      <c r="T284" s="51"/>
    </row>
    <row r="285">
      <c r="A285" s="51"/>
      <c r="B285" s="51"/>
      <c r="C285" s="56"/>
      <c r="D285" s="51"/>
      <c r="E285" s="51"/>
      <c r="F285" s="51"/>
      <c r="G285" s="51" t="str">
        <f>IFERROR(__xludf.DUMMYFUNCTION("""COMPUTED_VALUE"""),"#VALUE!")</f>
        <v>#VALUE!</v>
      </c>
      <c r="H285" s="51" t="str">
        <f>IFERROR(__xludf.DUMMYFUNCTION("""COMPUTED_VALUE"""),"")</f>
        <v/>
      </c>
      <c r="I285" s="51" t="str">
        <f>IFERROR(__xludf.DUMMYFUNCTION("""COMPUTED_VALUE"""),"#VALUE!")</f>
        <v>#VALUE!</v>
      </c>
      <c r="J285" s="51" t="str">
        <f>IFERROR(__xludf.DUMMYFUNCTION("""COMPUTED_VALUE"""),"")</f>
        <v/>
      </c>
      <c r="K285" s="51"/>
      <c r="L285" s="51" t="s">
        <v>257</v>
      </c>
      <c r="M285" s="51"/>
      <c r="N285" s="51"/>
      <c r="O285" s="51"/>
      <c r="P285" s="51"/>
      <c r="Q285" s="51"/>
      <c r="R285" s="51"/>
      <c r="S285" s="51"/>
      <c r="T285" s="51"/>
    </row>
    <row r="286">
      <c r="A286" s="51"/>
      <c r="B286" s="51"/>
      <c r="C286" s="56"/>
      <c r="D286" s="51"/>
      <c r="E286" s="51"/>
      <c r="F286" s="51"/>
      <c r="G286" s="51" t="str">
        <f>IFERROR(__xludf.DUMMYFUNCTION("""COMPUTED_VALUE"""),"#VALUE!")</f>
        <v>#VALUE!</v>
      </c>
      <c r="H286" s="51" t="str">
        <f>IFERROR(__xludf.DUMMYFUNCTION("""COMPUTED_VALUE"""),"")</f>
        <v/>
      </c>
      <c r="I286" s="51" t="str">
        <f>IFERROR(__xludf.DUMMYFUNCTION("""COMPUTED_VALUE"""),"#VALUE!")</f>
        <v>#VALUE!</v>
      </c>
      <c r="J286" s="51" t="str">
        <f>IFERROR(__xludf.DUMMYFUNCTION("""COMPUTED_VALUE"""),"")</f>
        <v/>
      </c>
      <c r="K286" s="51"/>
      <c r="L286" s="51" t="s">
        <v>257</v>
      </c>
      <c r="M286" s="51"/>
      <c r="N286" s="51"/>
      <c r="O286" s="51"/>
      <c r="P286" s="51"/>
      <c r="Q286" s="51"/>
      <c r="R286" s="51"/>
      <c r="S286" s="51"/>
      <c r="T286" s="51"/>
    </row>
    <row r="287">
      <c r="A287" s="51"/>
      <c r="B287" s="51"/>
      <c r="C287" s="56"/>
      <c r="D287" s="51"/>
      <c r="E287" s="51"/>
      <c r="F287" s="51"/>
      <c r="G287" s="51" t="str">
        <f>IFERROR(__xludf.DUMMYFUNCTION("""COMPUTED_VALUE"""),"#VALUE!")</f>
        <v>#VALUE!</v>
      </c>
      <c r="H287" s="51" t="str">
        <f>IFERROR(__xludf.DUMMYFUNCTION("""COMPUTED_VALUE"""),"")</f>
        <v/>
      </c>
      <c r="I287" s="51" t="str">
        <f>IFERROR(__xludf.DUMMYFUNCTION("""COMPUTED_VALUE"""),"#VALUE!")</f>
        <v>#VALUE!</v>
      </c>
      <c r="J287" s="51" t="str">
        <f>IFERROR(__xludf.DUMMYFUNCTION("""COMPUTED_VALUE"""),"")</f>
        <v/>
      </c>
      <c r="K287" s="51"/>
      <c r="L287" s="51" t="s">
        <v>257</v>
      </c>
      <c r="M287" s="51"/>
      <c r="N287" s="51"/>
      <c r="O287" s="51"/>
      <c r="P287" s="51"/>
      <c r="Q287" s="51"/>
      <c r="R287" s="51"/>
      <c r="S287" s="51"/>
      <c r="T287" s="51"/>
    </row>
    <row r="288">
      <c r="A288" s="51"/>
      <c r="B288" s="51"/>
      <c r="C288" s="56"/>
      <c r="D288" s="51"/>
      <c r="E288" s="51"/>
      <c r="F288" s="51"/>
      <c r="G288" s="51" t="str">
        <f>IFERROR(__xludf.DUMMYFUNCTION("""COMPUTED_VALUE"""),"#VALUE!")</f>
        <v>#VALUE!</v>
      </c>
      <c r="H288" s="51" t="str">
        <f>IFERROR(__xludf.DUMMYFUNCTION("""COMPUTED_VALUE"""),"")</f>
        <v/>
      </c>
      <c r="I288" s="51" t="str">
        <f>IFERROR(__xludf.DUMMYFUNCTION("""COMPUTED_VALUE"""),"#VALUE!")</f>
        <v>#VALUE!</v>
      </c>
      <c r="J288" s="51" t="str">
        <f>IFERROR(__xludf.DUMMYFUNCTION("""COMPUTED_VALUE"""),"")</f>
        <v/>
      </c>
      <c r="K288" s="51"/>
      <c r="L288" s="51" t="s">
        <v>257</v>
      </c>
      <c r="M288" s="51"/>
      <c r="N288" s="51"/>
      <c r="O288" s="51"/>
      <c r="P288" s="51"/>
      <c r="Q288" s="51"/>
      <c r="R288" s="51"/>
      <c r="S288" s="51"/>
      <c r="T288" s="51"/>
    </row>
    <row r="289">
      <c r="A289" s="51"/>
      <c r="B289" s="51"/>
      <c r="C289" s="56"/>
      <c r="D289" s="51"/>
      <c r="E289" s="51"/>
      <c r="F289" s="51"/>
      <c r="G289" s="51" t="str">
        <f>IFERROR(__xludf.DUMMYFUNCTION("""COMPUTED_VALUE"""),"#VALUE!")</f>
        <v>#VALUE!</v>
      </c>
      <c r="H289" s="51" t="str">
        <f>IFERROR(__xludf.DUMMYFUNCTION("""COMPUTED_VALUE"""),"")</f>
        <v/>
      </c>
      <c r="I289" s="51" t="str">
        <f>IFERROR(__xludf.DUMMYFUNCTION("""COMPUTED_VALUE"""),"#VALUE!")</f>
        <v>#VALUE!</v>
      </c>
      <c r="J289" s="51" t="str">
        <f>IFERROR(__xludf.DUMMYFUNCTION("""COMPUTED_VALUE"""),"")</f>
        <v/>
      </c>
      <c r="K289" s="51"/>
      <c r="L289" s="51" t="s">
        <v>257</v>
      </c>
      <c r="M289" s="51"/>
      <c r="N289" s="51"/>
      <c r="O289" s="51"/>
      <c r="P289" s="51"/>
      <c r="Q289" s="51"/>
      <c r="R289" s="51"/>
      <c r="S289" s="51"/>
      <c r="T289" s="51"/>
    </row>
    <row r="290">
      <c r="A290" s="51"/>
      <c r="B290" s="51"/>
      <c r="C290" s="56"/>
      <c r="D290" s="51"/>
      <c r="E290" s="51"/>
      <c r="F290" s="51"/>
      <c r="G290" s="51" t="str">
        <f>IFERROR(__xludf.DUMMYFUNCTION("""COMPUTED_VALUE"""),"#VALUE!")</f>
        <v>#VALUE!</v>
      </c>
      <c r="H290" s="51" t="str">
        <f>IFERROR(__xludf.DUMMYFUNCTION("""COMPUTED_VALUE"""),"")</f>
        <v/>
      </c>
      <c r="I290" s="51" t="str">
        <f>IFERROR(__xludf.DUMMYFUNCTION("""COMPUTED_VALUE"""),"#VALUE!")</f>
        <v>#VALUE!</v>
      </c>
      <c r="J290" s="51" t="str">
        <f>IFERROR(__xludf.DUMMYFUNCTION("""COMPUTED_VALUE"""),"")</f>
        <v/>
      </c>
      <c r="K290" s="51"/>
      <c r="L290" s="51" t="s">
        <v>257</v>
      </c>
      <c r="M290" s="51"/>
      <c r="N290" s="51"/>
      <c r="O290" s="51"/>
      <c r="P290" s="51"/>
      <c r="Q290" s="51"/>
      <c r="R290" s="51"/>
      <c r="S290" s="51"/>
      <c r="T290" s="51"/>
    </row>
    <row r="291">
      <c r="A291" s="51"/>
      <c r="B291" s="51"/>
      <c r="C291" s="56"/>
      <c r="D291" s="51"/>
      <c r="E291" s="51"/>
      <c r="F291" s="51"/>
      <c r="G291" s="51" t="str">
        <f>IFERROR(__xludf.DUMMYFUNCTION("""COMPUTED_VALUE"""),"#VALUE!")</f>
        <v>#VALUE!</v>
      </c>
      <c r="H291" s="51" t="str">
        <f>IFERROR(__xludf.DUMMYFUNCTION("""COMPUTED_VALUE"""),"")</f>
        <v/>
      </c>
      <c r="I291" s="51" t="str">
        <f>IFERROR(__xludf.DUMMYFUNCTION("""COMPUTED_VALUE"""),"#VALUE!")</f>
        <v>#VALUE!</v>
      </c>
      <c r="J291" s="51" t="str">
        <f>IFERROR(__xludf.DUMMYFUNCTION("""COMPUTED_VALUE"""),"")</f>
        <v/>
      </c>
      <c r="K291" s="51"/>
      <c r="L291" s="51" t="s">
        <v>257</v>
      </c>
      <c r="M291" s="51"/>
      <c r="N291" s="51"/>
      <c r="O291" s="51"/>
      <c r="P291" s="51"/>
      <c r="Q291" s="51"/>
      <c r="R291" s="51"/>
      <c r="S291" s="51"/>
      <c r="T291" s="51"/>
    </row>
    <row r="292">
      <c r="A292" s="51"/>
      <c r="B292" s="51"/>
      <c r="C292" s="56"/>
      <c r="D292" s="51"/>
      <c r="E292" s="51"/>
      <c r="F292" s="51"/>
      <c r="G292" s="51" t="str">
        <f>IFERROR(__xludf.DUMMYFUNCTION("""COMPUTED_VALUE"""),"#VALUE!")</f>
        <v>#VALUE!</v>
      </c>
      <c r="H292" s="51" t="str">
        <f>IFERROR(__xludf.DUMMYFUNCTION("""COMPUTED_VALUE"""),"")</f>
        <v/>
      </c>
      <c r="I292" s="51" t="str">
        <f>IFERROR(__xludf.DUMMYFUNCTION("""COMPUTED_VALUE"""),"#VALUE!")</f>
        <v>#VALUE!</v>
      </c>
      <c r="J292" s="51" t="str">
        <f>IFERROR(__xludf.DUMMYFUNCTION("""COMPUTED_VALUE"""),"")</f>
        <v/>
      </c>
      <c r="K292" s="51"/>
      <c r="L292" s="51" t="s">
        <v>257</v>
      </c>
      <c r="M292" s="51"/>
      <c r="N292" s="51"/>
      <c r="O292" s="51"/>
      <c r="P292" s="51"/>
      <c r="Q292" s="51"/>
      <c r="R292" s="51"/>
      <c r="S292" s="51"/>
      <c r="T292" s="51"/>
    </row>
    <row r="293">
      <c r="A293" s="51"/>
      <c r="B293" s="51"/>
      <c r="C293" s="56"/>
      <c r="D293" s="51"/>
      <c r="E293" s="51"/>
      <c r="F293" s="51"/>
      <c r="G293" s="51" t="str">
        <f>IFERROR(__xludf.DUMMYFUNCTION("""COMPUTED_VALUE"""),"#VALUE!")</f>
        <v>#VALUE!</v>
      </c>
      <c r="H293" s="51" t="str">
        <f>IFERROR(__xludf.DUMMYFUNCTION("""COMPUTED_VALUE"""),"")</f>
        <v/>
      </c>
      <c r="I293" s="51" t="str">
        <f>IFERROR(__xludf.DUMMYFUNCTION("""COMPUTED_VALUE"""),"#VALUE!")</f>
        <v>#VALUE!</v>
      </c>
      <c r="J293" s="51" t="str">
        <f>IFERROR(__xludf.DUMMYFUNCTION("""COMPUTED_VALUE"""),"")</f>
        <v/>
      </c>
      <c r="K293" s="51"/>
      <c r="L293" s="51" t="s">
        <v>257</v>
      </c>
      <c r="M293" s="51"/>
      <c r="N293" s="51"/>
      <c r="O293" s="51"/>
      <c r="P293" s="51"/>
      <c r="Q293" s="51"/>
      <c r="R293" s="51"/>
      <c r="S293" s="51"/>
      <c r="T293" s="51"/>
    </row>
    <row r="294">
      <c r="A294" s="51"/>
      <c r="B294" s="51"/>
      <c r="C294" s="56"/>
      <c r="D294" s="51"/>
      <c r="E294" s="51"/>
      <c r="F294" s="51"/>
      <c r="G294" s="51" t="str">
        <f>IFERROR(__xludf.DUMMYFUNCTION("""COMPUTED_VALUE"""),"#VALUE!")</f>
        <v>#VALUE!</v>
      </c>
      <c r="H294" s="51" t="str">
        <f>IFERROR(__xludf.DUMMYFUNCTION("""COMPUTED_VALUE"""),"")</f>
        <v/>
      </c>
      <c r="I294" s="51" t="str">
        <f>IFERROR(__xludf.DUMMYFUNCTION("""COMPUTED_VALUE"""),"#VALUE!")</f>
        <v>#VALUE!</v>
      </c>
      <c r="J294" s="51" t="str">
        <f>IFERROR(__xludf.DUMMYFUNCTION("""COMPUTED_VALUE"""),"")</f>
        <v/>
      </c>
      <c r="K294" s="51"/>
      <c r="L294" s="51" t="s">
        <v>257</v>
      </c>
      <c r="M294" s="51"/>
      <c r="N294" s="51"/>
      <c r="O294" s="51"/>
      <c r="P294" s="51"/>
      <c r="Q294" s="51"/>
      <c r="R294" s="51"/>
      <c r="S294" s="51"/>
      <c r="T294" s="51"/>
    </row>
    <row r="295">
      <c r="A295" s="51"/>
      <c r="B295" s="51"/>
      <c r="C295" s="56"/>
      <c r="D295" s="51"/>
      <c r="E295" s="51"/>
      <c r="F295" s="51"/>
      <c r="G295" s="51" t="str">
        <f>IFERROR(__xludf.DUMMYFUNCTION("""COMPUTED_VALUE"""),"#VALUE!")</f>
        <v>#VALUE!</v>
      </c>
      <c r="H295" s="51" t="str">
        <f>IFERROR(__xludf.DUMMYFUNCTION("""COMPUTED_VALUE"""),"")</f>
        <v/>
      </c>
      <c r="I295" s="51" t="str">
        <f>IFERROR(__xludf.DUMMYFUNCTION("""COMPUTED_VALUE"""),"#VALUE!")</f>
        <v>#VALUE!</v>
      </c>
      <c r="J295" s="51" t="str">
        <f>IFERROR(__xludf.DUMMYFUNCTION("""COMPUTED_VALUE"""),"")</f>
        <v/>
      </c>
      <c r="K295" s="51"/>
      <c r="L295" s="51" t="s">
        <v>257</v>
      </c>
      <c r="M295" s="51"/>
      <c r="N295" s="51"/>
      <c r="O295" s="51"/>
      <c r="P295" s="51"/>
      <c r="Q295" s="51"/>
      <c r="R295" s="51"/>
      <c r="S295" s="51"/>
      <c r="T295" s="51"/>
    </row>
    <row r="296">
      <c r="A296" s="51"/>
      <c r="B296" s="51"/>
      <c r="C296" s="56"/>
      <c r="D296" s="51"/>
      <c r="E296" s="51"/>
      <c r="F296" s="51"/>
      <c r="G296" s="51" t="str">
        <f>IFERROR(__xludf.DUMMYFUNCTION("""COMPUTED_VALUE"""),"#VALUE!")</f>
        <v>#VALUE!</v>
      </c>
      <c r="H296" s="51" t="str">
        <f>IFERROR(__xludf.DUMMYFUNCTION("""COMPUTED_VALUE"""),"")</f>
        <v/>
      </c>
      <c r="I296" s="51" t="str">
        <f>IFERROR(__xludf.DUMMYFUNCTION("""COMPUTED_VALUE"""),"#VALUE!")</f>
        <v>#VALUE!</v>
      </c>
      <c r="J296" s="51" t="str">
        <f>IFERROR(__xludf.DUMMYFUNCTION("""COMPUTED_VALUE"""),"")</f>
        <v/>
      </c>
      <c r="K296" s="51"/>
      <c r="L296" s="51" t="s">
        <v>257</v>
      </c>
      <c r="M296" s="51"/>
      <c r="N296" s="51"/>
      <c r="O296" s="51"/>
      <c r="P296" s="51"/>
      <c r="Q296" s="51"/>
      <c r="R296" s="51"/>
      <c r="S296" s="51"/>
      <c r="T296" s="51"/>
    </row>
    <row r="297">
      <c r="A297" s="51"/>
      <c r="B297" s="51"/>
      <c r="C297" s="56"/>
      <c r="D297" s="51"/>
      <c r="E297" s="51"/>
      <c r="F297" s="51"/>
      <c r="G297" s="51" t="str">
        <f>IFERROR(__xludf.DUMMYFUNCTION("""COMPUTED_VALUE"""),"#VALUE!")</f>
        <v>#VALUE!</v>
      </c>
      <c r="H297" s="51" t="str">
        <f>IFERROR(__xludf.DUMMYFUNCTION("""COMPUTED_VALUE"""),"")</f>
        <v/>
      </c>
      <c r="I297" s="51" t="str">
        <f>IFERROR(__xludf.DUMMYFUNCTION("""COMPUTED_VALUE"""),"#VALUE!")</f>
        <v>#VALUE!</v>
      </c>
      <c r="J297" s="51" t="str">
        <f>IFERROR(__xludf.DUMMYFUNCTION("""COMPUTED_VALUE"""),"")</f>
        <v/>
      </c>
      <c r="K297" s="51"/>
      <c r="L297" s="51" t="s">
        <v>257</v>
      </c>
      <c r="M297" s="51"/>
      <c r="N297" s="51"/>
      <c r="O297" s="51"/>
      <c r="P297" s="51"/>
      <c r="Q297" s="51"/>
      <c r="R297" s="51"/>
      <c r="S297" s="51"/>
      <c r="T297" s="51"/>
    </row>
    <row r="298">
      <c r="A298" s="51"/>
      <c r="B298" s="51"/>
      <c r="C298" s="56"/>
      <c r="D298" s="51"/>
      <c r="E298" s="51"/>
      <c r="F298" s="51"/>
      <c r="G298" s="51" t="str">
        <f>IFERROR(__xludf.DUMMYFUNCTION("""COMPUTED_VALUE"""),"#VALUE!")</f>
        <v>#VALUE!</v>
      </c>
      <c r="H298" s="51" t="str">
        <f>IFERROR(__xludf.DUMMYFUNCTION("""COMPUTED_VALUE"""),"")</f>
        <v/>
      </c>
      <c r="I298" s="51" t="str">
        <f>IFERROR(__xludf.DUMMYFUNCTION("""COMPUTED_VALUE"""),"#VALUE!")</f>
        <v>#VALUE!</v>
      </c>
      <c r="J298" s="51" t="str">
        <f>IFERROR(__xludf.DUMMYFUNCTION("""COMPUTED_VALUE"""),"")</f>
        <v/>
      </c>
      <c r="K298" s="51"/>
      <c r="L298" s="51" t="s">
        <v>257</v>
      </c>
      <c r="M298" s="51"/>
      <c r="N298" s="51"/>
      <c r="O298" s="51"/>
      <c r="P298" s="51"/>
      <c r="Q298" s="51"/>
      <c r="R298" s="51"/>
      <c r="S298" s="51"/>
      <c r="T298" s="51"/>
    </row>
    <row r="299">
      <c r="A299" s="51"/>
      <c r="B299" s="51"/>
      <c r="C299" s="56"/>
      <c r="D299" s="51"/>
      <c r="E299" s="51"/>
      <c r="F299" s="51"/>
      <c r="G299" s="51" t="str">
        <f>IFERROR(__xludf.DUMMYFUNCTION("""COMPUTED_VALUE"""),"#VALUE!")</f>
        <v>#VALUE!</v>
      </c>
      <c r="H299" s="51" t="str">
        <f>IFERROR(__xludf.DUMMYFUNCTION("""COMPUTED_VALUE"""),"")</f>
        <v/>
      </c>
      <c r="I299" s="51" t="str">
        <f>IFERROR(__xludf.DUMMYFUNCTION("""COMPUTED_VALUE"""),"#VALUE!")</f>
        <v>#VALUE!</v>
      </c>
      <c r="J299" s="51" t="str">
        <f>IFERROR(__xludf.DUMMYFUNCTION("""COMPUTED_VALUE"""),"")</f>
        <v/>
      </c>
      <c r="K299" s="51"/>
      <c r="L299" s="51" t="s">
        <v>257</v>
      </c>
      <c r="M299" s="51"/>
      <c r="N299" s="51"/>
      <c r="O299" s="51"/>
      <c r="P299" s="51"/>
      <c r="Q299" s="51"/>
      <c r="R299" s="51"/>
      <c r="S299" s="51"/>
      <c r="T299" s="51"/>
    </row>
    <row r="300">
      <c r="A300" s="51"/>
      <c r="B300" s="51"/>
      <c r="C300" s="56"/>
      <c r="D300" s="51"/>
      <c r="E300" s="51"/>
      <c r="F300" s="51"/>
      <c r="G300" s="51" t="str">
        <f>IFERROR(__xludf.DUMMYFUNCTION("""COMPUTED_VALUE"""),"#VALUE!")</f>
        <v>#VALUE!</v>
      </c>
      <c r="H300" s="51" t="str">
        <f>IFERROR(__xludf.DUMMYFUNCTION("""COMPUTED_VALUE"""),"")</f>
        <v/>
      </c>
      <c r="I300" s="51" t="str">
        <f>IFERROR(__xludf.DUMMYFUNCTION("""COMPUTED_VALUE"""),"#VALUE!")</f>
        <v>#VALUE!</v>
      </c>
      <c r="J300" s="51" t="str">
        <f>IFERROR(__xludf.DUMMYFUNCTION("""COMPUTED_VALUE"""),"")</f>
        <v/>
      </c>
      <c r="K300" s="51"/>
      <c r="L300" s="51" t="s">
        <v>257</v>
      </c>
      <c r="M300" s="51"/>
      <c r="N300" s="51"/>
      <c r="O300" s="51"/>
      <c r="P300" s="51"/>
      <c r="Q300" s="51"/>
      <c r="R300" s="51"/>
      <c r="S300" s="51"/>
      <c r="T300" s="51"/>
    </row>
    <row r="301">
      <c r="A301" s="51"/>
      <c r="B301" s="51"/>
      <c r="C301" s="56"/>
      <c r="D301" s="51"/>
      <c r="E301" s="51"/>
      <c r="F301" s="51"/>
      <c r="G301" s="51" t="str">
        <f>IFERROR(__xludf.DUMMYFUNCTION("""COMPUTED_VALUE"""),"#VALUE!")</f>
        <v>#VALUE!</v>
      </c>
      <c r="H301" s="51" t="str">
        <f>IFERROR(__xludf.DUMMYFUNCTION("""COMPUTED_VALUE"""),"")</f>
        <v/>
      </c>
      <c r="I301" s="51" t="str">
        <f>IFERROR(__xludf.DUMMYFUNCTION("""COMPUTED_VALUE"""),"#VALUE!")</f>
        <v>#VALUE!</v>
      </c>
      <c r="J301" s="51" t="str">
        <f>IFERROR(__xludf.DUMMYFUNCTION("""COMPUTED_VALUE"""),"")</f>
        <v/>
      </c>
      <c r="K301" s="51"/>
      <c r="L301" s="51" t="s">
        <v>257</v>
      </c>
      <c r="M301" s="51"/>
      <c r="N301" s="51"/>
      <c r="O301" s="51"/>
      <c r="P301" s="51"/>
      <c r="Q301" s="51"/>
      <c r="R301" s="51"/>
      <c r="S301" s="51"/>
      <c r="T301" s="51"/>
    </row>
    <row r="302">
      <c r="A302" s="51"/>
      <c r="B302" s="51"/>
      <c r="C302" s="56"/>
      <c r="D302" s="51"/>
      <c r="E302" s="51"/>
      <c r="F302" s="51"/>
      <c r="G302" s="51" t="str">
        <f>IFERROR(__xludf.DUMMYFUNCTION("""COMPUTED_VALUE"""),"#VALUE!")</f>
        <v>#VALUE!</v>
      </c>
      <c r="H302" s="51" t="str">
        <f>IFERROR(__xludf.DUMMYFUNCTION("""COMPUTED_VALUE"""),"")</f>
        <v/>
      </c>
      <c r="I302" s="51" t="str">
        <f>IFERROR(__xludf.DUMMYFUNCTION("""COMPUTED_VALUE"""),"#VALUE!")</f>
        <v>#VALUE!</v>
      </c>
      <c r="J302" s="51" t="str">
        <f>IFERROR(__xludf.DUMMYFUNCTION("""COMPUTED_VALUE"""),"")</f>
        <v/>
      </c>
      <c r="K302" s="51"/>
      <c r="L302" s="51" t="s">
        <v>257</v>
      </c>
      <c r="M302" s="51"/>
      <c r="N302" s="51"/>
      <c r="O302" s="51"/>
      <c r="P302" s="51"/>
      <c r="Q302" s="51"/>
      <c r="R302" s="51"/>
      <c r="S302" s="51"/>
      <c r="T302" s="51"/>
    </row>
    <row r="303">
      <c r="A303" s="51"/>
      <c r="B303" s="51"/>
      <c r="C303" s="56"/>
      <c r="D303" s="51"/>
      <c r="E303" s="51"/>
      <c r="F303" s="51"/>
      <c r="G303" s="51" t="str">
        <f>IFERROR(__xludf.DUMMYFUNCTION("""COMPUTED_VALUE"""),"#VALUE!")</f>
        <v>#VALUE!</v>
      </c>
      <c r="H303" s="51" t="str">
        <f>IFERROR(__xludf.DUMMYFUNCTION("""COMPUTED_VALUE"""),"")</f>
        <v/>
      </c>
      <c r="I303" s="51" t="str">
        <f>IFERROR(__xludf.DUMMYFUNCTION("""COMPUTED_VALUE"""),"#VALUE!")</f>
        <v>#VALUE!</v>
      </c>
      <c r="J303" s="51" t="str">
        <f>IFERROR(__xludf.DUMMYFUNCTION("""COMPUTED_VALUE"""),"")</f>
        <v/>
      </c>
      <c r="K303" s="51"/>
      <c r="L303" s="51" t="s">
        <v>257</v>
      </c>
      <c r="M303" s="51"/>
      <c r="N303" s="51"/>
      <c r="O303" s="51"/>
      <c r="P303" s="51"/>
      <c r="Q303" s="51"/>
      <c r="R303" s="51"/>
      <c r="S303" s="51"/>
      <c r="T303" s="51"/>
    </row>
    <row r="304">
      <c r="A304" s="51"/>
      <c r="B304" s="51"/>
      <c r="C304" s="56"/>
      <c r="D304" s="51"/>
      <c r="E304" s="51"/>
      <c r="F304" s="51"/>
      <c r="G304" s="51" t="str">
        <f>IFERROR(__xludf.DUMMYFUNCTION("""COMPUTED_VALUE"""),"#VALUE!")</f>
        <v>#VALUE!</v>
      </c>
      <c r="H304" s="51" t="str">
        <f>IFERROR(__xludf.DUMMYFUNCTION("""COMPUTED_VALUE"""),"")</f>
        <v/>
      </c>
      <c r="I304" s="51" t="str">
        <f>IFERROR(__xludf.DUMMYFUNCTION("""COMPUTED_VALUE"""),"#VALUE!")</f>
        <v>#VALUE!</v>
      </c>
      <c r="J304" s="51" t="str">
        <f>IFERROR(__xludf.DUMMYFUNCTION("""COMPUTED_VALUE"""),"")</f>
        <v/>
      </c>
      <c r="K304" s="51"/>
      <c r="L304" s="51" t="s">
        <v>257</v>
      </c>
      <c r="M304" s="51"/>
      <c r="N304" s="51"/>
      <c r="O304" s="51"/>
      <c r="P304" s="51"/>
      <c r="Q304" s="51"/>
      <c r="R304" s="51"/>
      <c r="S304" s="51"/>
      <c r="T304" s="51"/>
    </row>
    <row r="305">
      <c r="A305" s="51"/>
      <c r="B305" s="51"/>
      <c r="C305" s="56"/>
      <c r="D305" s="51"/>
      <c r="E305" s="51"/>
      <c r="F305" s="51"/>
      <c r="G305" s="51" t="str">
        <f>IFERROR(__xludf.DUMMYFUNCTION("""COMPUTED_VALUE"""),"#VALUE!")</f>
        <v>#VALUE!</v>
      </c>
      <c r="H305" s="51" t="str">
        <f>IFERROR(__xludf.DUMMYFUNCTION("""COMPUTED_VALUE"""),"")</f>
        <v/>
      </c>
      <c r="I305" s="51" t="str">
        <f>IFERROR(__xludf.DUMMYFUNCTION("""COMPUTED_VALUE"""),"#VALUE!")</f>
        <v>#VALUE!</v>
      </c>
      <c r="J305" s="51" t="str">
        <f>IFERROR(__xludf.DUMMYFUNCTION("""COMPUTED_VALUE"""),"")</f>
        <v/>
      </c>
      <c r="K305" s="51"/>
      <c r="L305" s="51" t="s">
        <v>257</v>
      </c>
      <c r="M305" s="51"/>
      <c r="N305" s="51"/>
      <c r="O305" s="51"/>
      <c r="P305" s="51"/>
      <c r="Q305" s="51"/>
      <c r="R305" s="51"/>
      <c r="S305" s="51"/>
      <c r="T305" s="51"/>
    </row>
    <row r="306">
      <c r="A306" s="51"/>
      <c r="B306" s="51"/>
      <c r="C306" s="56"/>
      <c r="D306" s="51"/>
      <c r="E306" s="51"/>
      <c r="F306" s="51"/>
      <c r="G306" s="51" t="str">
        <f>IFERROR(__xludf.DUMMYFUNCTION("""COMPUTED_VALUE"""),"#VALUE!")</f>
        <v>#VALUE!</v>
      </c>
      <c r="H306" s="51" t="str">
        <f>IFERROR(__xludf.DUMMYFUNCTION("""COMPUTED_VALUE"""),"")</f>
        <v/>
      </c>
      <c r="I306" s="51" t="str">
        <f>IFERROR(__xludf.DUMMYFUNCTION("""COMPUTED_VALUE"""),"#VALUE!")</f>
        <v>#VALUE!</v>
      </c>
      <c r="J306" s="51" t="str">
        <f>IFERROR(__xludf.DUMMYFUNCTION("""COMPUTED_VALUE"""),"")</f>
        <v/>
      </c>
      <c r="K306" s="51"/>
      <c r="L306" s="51" t="s">
        <v>257</v>
      </c>
      <c r="M306" s="51"/>
      <c r="N306" s="51"/>
      <c r="O306" s="51"/>
      <c r="P306" s="51"/>
      <c r="Q306" s="51"/>
      <c r="R306" s="51"/>
      <c r="S306" s="51"/>
      <c r="T306" s="51"/>
    </row>
    <row r="307">
      <c r="A307" s="51"/>
      <c r="B307" s="51"/>
      <c r="C307" s="56"/>
      <c r="D307" s="51"/>
      <c r="E307" s="51"/>
      <c r="F307" s="51"/>
      <c r="G307" s="51" t="str">
        <f>IFERROR(__xludf.DUMMYFUNCTION("""COMPUTED_VALUE"""),"#VALUE!")</f>
        <v>#VALUE!</v>
      </c>
      <c r="H307" s="51" t="str">
        <f>IFERROR(__xludf.DUMMYFUNCTION("""COMPUTED_VALUE"""),"")</f>
        <v/>
      </c>
      <c r="I307" s="51" t="str">
        <f>IFERROR(__xludf.DUMMYFUNCTION("""COMPUTED_VALUE"""),"#VALUE!")</f>
        <v>#VALUE!</v>
      </c>
      <c r="J307" s="51" t="str">
        <f>IFERROR(__xludf.DUMMYFUNCTION("""COMPUTED_VALUE"""),"")</f>
        <v/>
      </c>
      <c r="K307" s="51"/>
      <c r="L307" s="51" t="s">
        <v>257</v>
      </c>
      <c r="M307" s="51"/>
      <c r="N307" s="51"/>
      <c r="O307" s="51"/>
      <c r="P307" s="51"/>
      <c r="Q307" s="51"/>
      <c r="R307" s="51"/>
      <c r="S307" s="51"/>
      <c r="T307" s="51"/>
    </row>
    <row r="308">
      <c r="A308" s="51"/>
      <c r="B308" s="51"/>
      <c r="C308" s="56"/>
      <c r="D308" s="51"/>
      <c r="E308" s="51"/>
      <c r="F308" s="51"/>
      <c r="G308" s="51" t="str">
        <f>IFERROR(__xludf.DUMMYFUNCTION("""COMPUTED_VALUE"""),"#VALUE!")</f>
        <v>#VALUE!</v>
      </c>
      <c r="H308" s="51" t="str">
        <f>IFERROR(__xludf.DUMMYFUNCTION("""COMPUTED_VALUE"""),"")</f>
        <v/>
      </c>
      <c r="I308" s="51" t="str">
        <f>IFERROR(__xludf.DUMMYFUNCTION("""COMPUTED_VALUE"""),"#VALUE!")</f>
        <v>#VALUE!</v>
      </c>
      <c r="J308" s="51" t="str">
        <f>IFERROR(__xludf.DUMMYFUNCTION("""COMPUTED_VALUE"""),"")</f>
        <v/>
      </c>
      <c r="K308" s="51"/>
      <c r="L308" s="51" t="s">
        <v>257</v>
      </c>
      <c r="M308" s="51"/>
      <c r="N308" s="51"/>
      <c r="O308" s="51"/>
      <c r="P308" s="51"/>
      <c r="Q308" s="51"/>
      <c r="R308" s="51"/>
      <c r="S308" s="51"/>
      <c r="T308" s="51"/>
    </row>
    <row r="309">
      <c r="A309" s="51"/>
      <c r="B309" s="51"/>
      <c r="C309" s="56"/>
      <c r="D309" s="51"/>
      <c r="E309" s="51"/>
      <c r="F309" s="51"/>
      <c r="G309" s="51" t="str">
        <f>IFERROR(__xludf.DUMMYFUNCTION("""COMPUTED_VALUE"""),"#VALUE!")</f>
        <v>#VALUE!</v>
      </c>
      <c r="H309" s="51" t="str">
        <f>IFERROR(__xludf.DUMMYFUNCTION("""COMPUTED_VALUE"""),"")</f>
        <v/>
      </c>
      <c r="I309" s="51" t="str">
        <f>IFERROR(__xludf.DUMMYFUNCTION("""COMPUTED_VALUE"""),"#VALUE!")</f>
        <v>#VALUE!</v>
      </c>
      <c r="J309" s="51" t="str">
        <f>IFERROR(__xludf.DUMMYFUNCTION("""COMPUTED_VALUE"""),"")</f>
        <v/>
      </c>
      <c r="K309" s="51"/>
      <c r="L309" s="51" t="s">
        <v>257</v>
      </c>
      <c r="M309" s="51"/>
      <c r="N309" s="51"/>
      <c r="O309" s="51"/>
      <c r="P309" s="51"/>
      <c r="Q309" s="51"/>
      <c r="R309" s="51"/>
      <c r="S309" s="51"/>
      <c r="T309" s="51"/>
    </row>
    <row r="310">
      <c r="A310" s="51"/>
      <c r="B310" s="51"/>
      <c r="C310" s="56"/>
      <c r="D310" s="51"/>
      <c r="E310" s="51"/>
      <c r="F310" s="51"/>
      <c r="G310" s="51" t="str">
        <f>IFERROR(__xludf.DUMMYFUNCTION("""COMPUTED_VALUE"""),"#VALUE!")</f>
        <v>#VALUE!</v>
      </c>
      <c r="H310" s="51" t="str">
        <f>IFERROR(__xludf.DUMMYFUNCTION("""COMPUTED_VALUE"""),"")</f>
        <v/>
      </c>
      <c r="I310" s="51" t="str">
        <f>IFERROR(__xludf.DUMMYFUNCTION("""COMPUTED_VALUE"""),"#VALUE!")</f>
        <v>#VALUE!</v>
      </c>
      <c r="J310" s="51" t="str">
        <f>IFERROR(__xludf.DUMMYFUNCTION("""COMPUTED_VALUE"""),"")</f>
        <v/>
      </c>
      <c r="K310" s="51"/>
      <c r="L310" s="51" t="s">
        <v>257</v>
      </c>
      <c r="M310" s="51"/>
      <c r="N310" s="51"/>
      <c r="O310" s="51"/>
      <c r="P310" s="51"/>
      <c r="Q310" s="51"/>
      <c r="R310" s="51"/>
      <c r="S310" s="51"/>
      <c r="T310" s="51"/>
    </row>
    <row r="311">
      <c r="A311" s="51"/>
      <c r="B311" s="51"/>
      <c r="C311" s="56"/>
      <c r="D311" s="51"/>
      <c r="E311" s="51"/>
      <c r="F311" s="51"/>
      <c r="G311" s="51" t="str">
        <f>IFERROR(__xludf.DUMMYFUNCTION("""COMPUTED_VALUE"""),"#VALUE!")</f>
        <v>#VALUE!</v>
      </c>
      <c r="H311" s="51" t="str">
        <f>IFERROR(__xludf.DUMMYFUNCTION("""COMPUTED_VALUE"""),"")</f>
        <v/>
      </c>
      <c r="I311" s="51" t="str">
        <f>IFERROR(__xludf.DUMMYFUNCTION("""COMPUTED_VALUE"""),"#VALUE!")</f>
        <v>#VALUE!</v>
      </c>
      <c r="J311" s="51" t="str">
        <f>IFERROR(__xludf.DUMMYFUNCTION("""COMPUTED_VALUE"""),"")</f>
        <v/>
      </c>
      <c r="K311" s="51"/>
      <c r="L311" s="51" t="s">
        <v>257</v>
      </c>
      <c r="M311" s="51"/>
      <c r="N311" s="51"/>
      <c r="O311" s="51"/>
      <c r="P311" s="51"/>
      <c r="Q311" s="51"/>
      <c r="R311" s="51"/>
      <c r="S311" s="51"/>
      <c r="T311" s="51"/>
    </row>
    <row r="312">
      <c r="A312" s="51"/>
      <c r="B312" s="51"/>
      <c r="C312" s="56"/>
      <c r="D312" s="51"/>
      <c r="E312" s="51"/>
      <c r="F312" s="51"/>
      <c r="G312" s="51" t="str">
        <f>IFERROR(__xludf.DUMMYFUNCTION("""COMPUTED_VALUE"""),"#VALUE!")</f>
        <v>#VALUE!</v>
      </c>
      <c r="H312" s="51" t="str">
        <f>IFERROR(__xludf.DUMMYFUNCTION("""COMPUTED_VALUE"""),"")</f>
        <v/>
      </c>
      <c r="I312" s="51" t="str">
        <f>IFERROR(__xludf.DUMMYFUNCTION("""COMPUTED_VALUE"""),"#VALUE!")</f>
        <v>#VALUE!</v>
      </c>
      <c r="J312" s="51" t="str">
        <f>IFERROR(__xludf.DUMMYFUNCTION("""COMPUTED_VALUE"""),"")</f>
        <v/>
      </c>
      <c r="K312" s="51"/>
      <c r="L312" s="51" t="s">
        <v>257</v>
      </c>
      <c r="M312" s="51"/>
      <c r="N312" s="51"/>
      <c r="O312" s="51"/>
      <c r="P312" s="51"/>
      <c r="Q312" s="51"/>
      <c r="R312" s="51"/>
      <c r="S312" s="51"/>
      <c r="T312" s="51"/>
    </row>
    <row r="313">
      <c r="A313" s="51"/>
      <c r="B313" s="51"/>
      <c r="C313" s="56"/>
      <c r="D313" s="51"/>
      <c r="E313" s="51"/>
      <c r="F313" s="51"/>
      <c r="G313" s="51" t="str">
        <f>IFERROR(__xludf.DUMMYFUNCTION("""COMPUTED_VALUE"""),"#VALUE!")</f>
        <v>#VALUE!</v>
      </c>
      <c r="H313" s="51" t="str">
        <f>IFERROR(__xludf.DUMMYFUNCTION("""COMPUTED_VALUE"""),"")</f>
        <v/>
      </c>
      <c r="I313" s="51" t="str">
        <f>IFERROR(__xludf.DUMMYFUNCTION("""COMPUTED_VALUE"""),"#VALUE!")</f>
        <v>#VALUE!</v>
      </c>
      <c r="J313" s="51" t="str">
        <f>IFERROR(__xludf.DUMMYFUNCTION("""COMPUTED_VALUE"""),"")</f>
        <v/>
      </c>
      <c r="K313" s="51"/>
      <c r="L313" s="51" t="s">
        <v>257</v>
      </c>
      <c r="M313" s="51"/>
      <c r="N313" s="51"/>
      <c r="O313" s="51"/>
      <c r="P313" s="51"/>
      <c r="Q313" s="51"/>
      <c r="R313" s="51"/>
      <c r="S313" s="51"/>
      <c r="T313" s="51"/>
    </row>
    <row r="314">
      <c r="A314" s="51"/>
      <c r="B314" s="51"/>
      <c r="C314" s="56"/>
      <c r="D314" s="51"/>
      <c r="E314" s="51"/>
      <c r="F314" s="51"/>
      <c r="G314" s="51" t="str">
        <f>IFERROR(__xludf.DUMMYFUNCTION("""COMPUTED_VALUE"""),"#VALUE!")</f>
        <v>#VALUE!</v>
      </c>
      <c r="H314" s="51" t="str">
        <f>IFERROR(__xludf.DUMMYFUNCTION("""COMPUTED_VALUE"""),"")</f>
        <v/>
      </c>
      <c r="I314" s="51" t="str">
        <f>IFERROR(__xludf.DUMMYFUNCTION("""COMPUTED_VALUE"""),"#VALUE!")</f>
        <v>#VALUE!</v>
      </c>
      <c r="J314" s="51" t="str">
        <f>IFERROR(__xludf.DUMMYFUNCTION("""COMPUTED_VALUE"""),"")</f>
        <v/>
      </c>
      <c r="K314" s="51"/>
      <c r="L314" s="51" t="s">
        <v>257</v>
      </c>
      <c r="M314" s="51"/>
      <c r="N314" s="51"/>
      <c r="O314" s="51"/>
      <c r="P314" s="51"/>
      <c r="Q314" s="51"/>
      <c r="R314" s="51"/>
      <c r="S314" s="51"/>
      <c r="T314" s="51"/>
    </row>
    <row r="315">
      <c r="A315" s="51"/>
      <c r="B315" s="51"/>
      <c r="C315" s="56"/>
      <c r="D315" s="51"/>
      <c r="E315" s="51"/>
      <c r="F315" s="51"/>
      <c r="G315" s="51" t="str">
        <f>IFERROR(__xludf.DUMMYFUNCTION("""COMPUTED_VALUE"""),"#VALUE!")</f>
        <v>#VALUE!</v>
      </c>
      <c r="H315" s="51" t="str">
        <f>IFERROR(__xludf.DUMMYFUNCTION("""COMPUTED_VALUE"""),"")</f>
        <v/>
      </c>
      <c r="I315" s="51" t="str">
        <f>IFERROR(__xludf.DUMMYFUNCTION("""COMPUTED_VALUE"""),"#VALUE!")</f>
        <v>#VALUE!</v>
      </c>
      <c r="J315" s="51" t="str">
        <f>IFERROR(__xludf.DUMMYFUNCTION("""COMPUTED_VALUE"""),"")</f>
        <v/>
      </c>
      <c r="K315" s="51"/>
      <c r="L315" s="51" t="s">
        <v>257</v>
      </c>
      <c r="M315" s="51"/>
      <c r="N315" s="51"/>
      <c r="O315" s="51"/>
      <c r="P315" s="51"/>
      <c r="Q315" s="51"/>
      <c r="R315" s="51"/>
      <c r="S315" s="51"/>
      <c r="T315" s="51"/>
    </row>
    <row r="316">
      <c r="A316" s="51"/>
      <c r="B316" s="51"/>
      <c r="C316" s="56"/>
      <c r="D316" s="51"/>
      <c r="E316" s="51"/>
      <c r="F316" s="51"/>
      <c r="G316" s="51" t="str">
        <f>IFERROR(__xludf.DUMMYFUNCTION("""COMPUTED_VALUE"""),"#VALUE!")</f>
        <v>#VALUE!</v>
      </c>
      <c r="H316" s="51" t="str">
        <f>IFERROR(__xludf.DUMMYFUNCTION("""COMPUTED_VALUE"""),"")</f>
        <v/>
      </c>
      <c r="I316" s="51" t="str">
        <f>IFERROR(__xludf.DUMMYFUNCTION("""COMPUTED_VALUE"""),"#VALUE!")</f>
        <v>#VALUE!</v>
      </c>
      <c r="J316" s="51" t="str">
        <f>IFERROR(__xludf.DUMMYFUNCTION("""COMPUTED_VALUE"""),"")</f>
        <v/>
      </c>
      <c r="K316" s="51"/>
      <c r="L316" s="51" t="s">
        <v>257</v>
      </c>
      <c r="M316" s="51"/>
      <c r="N316" s="51"/>
      <c r="O316" s="51"/>
      <c r="P316" s="51"/>
      <c r="Q316" s="51"/>
      <c r="R316" s="51"/>
      <c r="S316" s="51"/>
      <c r="T316" s="51"/>
    </row>
    <row r="317">
      <c r="A317" s="51"/>
      <c r="B317" s="51"/>
      <c r="C317" s="56"/>
      <c r="D317" s="51"/>
      <c r="E317" s="51"/>
      <c r="F317" s="51"/>
      <c r="G317" s="51" t="str">
        <f>IFERROR(__xludf.DUMMYFUNCTION("""COMPUTED_VALUE"""),"#VALUE!")</f>
        <v>#VALUE!</v>
      </c>
      <c r="H317" s="51" t="str">
        <f>IFERROR(__xludf.DUMMYFUNCTION("""COMPUTED_VALUE"""),"")</f>
        <v/>
      </c>
      <c r="I317" s="51" t="str">
        <f>IFERROR(__xludf.DUMMYFUNCTION("""COMPUTED_VALUE"""),"#VALUE!")</f>
        <v>#VALUE!</v>
      </c>
      <c r="J317" s="51" t="str">
        <f>IFERROR(__xludf.DUMMYFUNCTION("""COMPUTED_VALUE"""),"")</f>
        <v/>
      </c>
      <c r="K317" s="51"/>
      <c r="L317" s="51" t="s">
        <v>257</v>
      </c>
      <c r="M317" s="51"/>
      <c r="N317" s="51"/>
      <c r="O317" s="51"/>
      <c r="P317" s="51"/>
      <c r="Q317" s="51"/>
      <c r="R317" s="51"/>
      <c r="S317" s="51"/>
      <c r="T317" s="51"/>
    </row>
    <row r="318">
      <c r="A318" s="51"/>
      <c r="B318" s="51"/>
      <c r="C318" s="56"/>
      <c r="D318" s="51"/>
      <c r="E318" s="51"/>
      <c r="F318" s="51"/>
      <c r="G318" s="51" t="str">
        <f>IFERROR(__xludf.DUMMYFUNCTION("""COMPUTED_VALUE"""),"#VALUE!")</f>
        <v>#VALUE!</v>
      </c>
      <c r="H318" s="51" t="str">
        <f>IFERROR(__xludf.DUMMYFUNCTION("""COMPUTED_VALUE"""),"")</f>
        <v/>
      </c>
      <c r="I318" s="51" t="str">
        <f>IFERROR(__xludf.DUMMYFUNCTION("""COMPUTED_VALUE"""),"#VALUE!")</f>
        <v>#VALUE!</v>
      </c>
      <c r="J318" s="51" t="str">
        <f>IFERROR(__xludf.DUMMYFUNCTION("""COMPUTED_VALUE"""),"")</f>
        <v/>
      </c>
      <c r="K318" s="51"/>
      <c r="L318" s="51" t="s">
        <v>257</v>
      </c>
      <c r="M318" s="51"/>
      <c r="N318" s="51"/>
      <c r="O318" s="51"/>
      <c r="P318" s="51"/>
      <c r="Q318" s="51"/>
      <c r="R318" s="51"/>
      <c r="S318" s="51"/>
      <c r="T318" s="51"/>
    </row>
    <row r="319">
      <c r="A319" s="51"/>
      <c r="B319" s="51"/>
      <c r="C319" s="56"/>
      <c r="D319" s="51"/>
      <c r="E319" s="51"/>
      <c r="F319" s="51"/>
      <c r="G319" s="51" t="str">
        <f>IFERROR(__xludf.DUMMYFUNCTION("""COMPUTED_VALUE"""),"#VALUE!")</f>
        <v>#VALUE!</v>
      </c>
      <c r="H319" s="51" t="str">
        <f>IFERROR(__xludf.DUMMYFUNCTION("""COMPUTED_VALUE"""),"")</f>
        <v/>
      </c>
      <c r="I319" s="51" t="str">
        <f>IFERROR(__xludf.DUMMYFUNCTION("""COMPUTED_VALUE"""),"#VALUE!")</f>
        <v>#VALUE!</v>
      </c>
      <c r="J319" s="51" t="str">
        <f>IFERROR(__xludf.DUMMYFUNCTION("""COMPUTED_VALUE"""),"")</f>
        <v/>
      </c>
      <c r="K319" s="51"/>
      <c r="L319" s="51" t="s">
        <v>257</v>
      </c>
      <c r="M319" s="51"/>
      <c r="N319" s="51"/>
      <c r="O319" s="51"/>
      <c r="P319" s="51"/>
      <c r="Q319" s="51"/>
      <c r="R319" s="51"/>
      <c r="S319" s="51"/>
      <c r="T319" s="51"/>
    </row>
    <row r="320">
      <c r="A320" s="51"/>
      <c r="B320" s="51"/>
      <c r="C320" s="56"/>
      <c r="D320" s="51"/>
      <c r="E320" s="51"/>
      <c r="F320" s="51"/>
      <c r="G320" s="51" t="str">
        <f>IFERROR(__xludf.DUMMYFUNCTION("""COMPUTED_VALUE"""),"#VALUE!")</f>
        <v>#VALUE!</v>
      </c>
      <c r="H320" s="51" t="str">
        <f>IFERROR(__xludf.DUMMYFUNCTION("""COMPUTED_VALUE"""),"")</f>
        <v/>
      </c>
      <c r="I320" s="51" t="str">
        <f>IFERROR(__xludf.DUMMYFUNCTION("""COMPUTED_VALUE"""),"#VALUE!")</f>
        <v>#VALUE!</v>
      </c>
      <c r="J320" s="51" t="str">
        <f>IFERROR(__xludf.DUMMYFUNCTION("""COMPUTED_VALUE"""),"")</f>
        <v/>
      </c>
      <c r="K320" s="51"/>
      <c r="L320" s="51" t="s">
        <v>257</v>
      </c>
      <c r="M320" s="51"/>
      <c r="N320" s="51"/>
      <c r="O320" s="51"/>
      <c r="P320" s="51"/>
      <c r="Q320" s="51"/>
      <c r="R320" s="51"/>
      <c r="S320" s="51"/>
      <c r="T320" s="51"/>
    </row>
    <row r="321">
      <c r="A321" s="51"/>
      <c r="B321" s="51"/>
      <c r="C321" s="56"/>
      <c r="D321" s="51"/>
      <c r="E321" s="51"/>
      <c r="F321" s="51"/>
      <c r="G321" s="51" t="str">
        <f>IFERROR(__xludf.DUMMYFUNCTION("""COMPUTED_VALUE"""),"#VALUE!")</f>
        <v>#VALUE!</v>
      </c>
      <c r="H321" s="51" t="str">
        <f>IFERROR(__xludf.DUMMYFUNCTION("""COMPUTED_VALUE"""),"")</f>
        <v/>
      </c>
      <c r="I321" s="51" t="str">
        <f>IFERROR(__xludf.DUMMYFUNCTION("""COMPUTED_VALUE"""),"#VALUE!")</f>
        <v>#VALUE!</v>
      </c>
      <c r="J321" s="51" t="str">
        <f>IFERROR(__xludf.DUMMYFUNCTION("""COMPUTED_VALUE"""),"")</f>
        <v/>
      </c>
      <c r="K321" s="51"/>
      <c r="L321" s="51" t="s">
        <v>257</v>
      </c>
      <c r="M321" s="51"/>
      <c r="N321" s="51"/>
      <c r="O321" s="51"/>
      <c r="P321" s="51"/>
      <c r="Q321" s="51"/>
      <c r="R321" s="51"/>
      <c r="S321" s="51"/>
      <c r="T321" s="51"/>
    </row>
    <row r="322">
      <c r="A322" s="51"/>
      <c r="B322" s="51"/>
      <c r="C322" s="56"/>
      <c r="D322" s="51"/>
      <c r="E322" s="51"/>
      <c r="F322" s="51"/>
      <c r="G322" s="51" t="str">
        <f>IFERROR(__xludf.DUMMYFUNCTION("""COMPUTED_VALUE"""),"#VALUE!")</f>
        <v>#VALUE!</v>
      </c>
      <c r="H322" s="51" t="str">
        <f>IFERROR(__xludf.DUMMYFUNCTION("""COMPUTED_VALUE"""),"")</f>
        <v/>
      </c>
      <c r="I322" s="51" t="str">
        <f>IFERROR(__xludf.DUMMYFUNCTION("""COMPUTED_VALUE"""),"#VALUE!")</f>
        <v>#VALUE!</v>
      </c>
      <c r="J322" s="51" t="str">
        <f>IFERROR(__xludf.DUMMYFUNCTION("""COMPUTED_VALUE"""),"")</f>
        <v/>
      </c>
      <c r="K322" s="51"/>
      <c r="L322" s="51" t="s">
        <v>257</v>
      </c>
      <c r="M322" s="51"/>
      <c r="N322" s="51"/>
      <c r="O322" s="51"/>
      <c r="P322" s="51"/>
      <c r="Q322" s="51"/>
      <c r="R322" s="51"/>
      <c r="S322" s="51"/>
      <c r="T322" s="51"/>
    </row>
    <row r="323">
      <c r="A323" s="51"/>
      <c r="B323" s="51"/>
      <c r="C323" s="56"/>
      <c r="D323" s="51"/>
      <c r="E323" s="51"/>
      <c r="F323" s="51"/>
      <c r="G323" s="51" t="str">
        <f>IFERROR(__xludf.DUMMYFUNCTION("""COMPUTED_VALUE"""),"#VALUE!")</f>
        <v>#VALUE!</v>
      </c>
      <c r="H323" s="51" t="str">
        <f>IFERROR(__xludf.DUMMYFUNCTION("""COMPUTED_VALUE"""),"")</f>
        <v/>
      </c>
      <c r="I323" s="51" t="str">
        <f>IFERROR(__xludf.DUMMYFUNCTION("""COMPUTED_VALUE"""),"#VALUE!")</f>
        <v>#VALUE!</v>
      </c>
      <c r="J323" s="51" t="str">
        <f>IFERROR(__xludf.DUMMYFUNCTION("""COMPUTED_VALUE"""),"")</f>
        <v/>
      </c>
      <c r="K323" s="51"/>
      <c r="L323" s="51" t="s">
        <v>257</v>
      </c>
      <c r="M323" s="51"/>
      <c r="N323" s="51"/>
      <c r="O323" s="51"/>
      <c r="P323" s="51"/>
      <c r="Q323" s="51"/>
      <c r="R323" s="51"/>
      <c r="S323" s="51"/>
      <c r="T323" s="51"/>
    </row>
    <row r="324">
      <c r="A324" s="51"/>
      <c r="B324" s="51"/>
      <c r="C324" s="56"/>
      <c r="D324" s="51"/>
      <c r="E324" s="51"/>
      <c r="F324" s="51"/>
      <c r="G324" s="51" t="str">
        <f>IFERROR(__xludf.DUMMYFUNCTION("""COMPUTED_VALUE"""),"#VALUE!")</f>
        <v>#VALUE!</v>
      </c>
      <c r="H324" s="51" t="str">
        <f>IFERROR(__xludf.DUMMYFUNCTION("""COMPUTED_VALUE"""),"")</f>
        <v/>
      </c>
      <c r="I324" s="51" t="str">
        <f>IFERROR(__xludf.DUMMYFUNCTION("""COMPUTED_VALUE"""),"#VALUE!")</f>
        <v>#VALUE!</v>
      </c>
      <c r="J324" s="51" t="str">
        <f>IFERROR(__xludf.DUMMYFUNCTION("""COMPUTED_VALUE"""),"")</f>
        <v/>
      </c>
      <c r="K324" s="51"/>
      <c r="L324" s="51" t="s">
        <v>257</v>
      </c>
      <c r="M324" s="51"/>
      <c r="N324" s="51"/>
      <c r="O324" s="51"/>
      <c r="P324" s="51"/>
      <c r="Q324" s="51"/>
      <c r="R324" s="51"/>
      <c r="S324" s="51"/>
      <c r="T324" s="51"/>
    </row>
    <row r="325">
      <c r="A325" s="51"/>
      <c r="B325" s="51"/>
      <c r="C325" s="56"/>
      <c r="D325" s="51"/>
      <c r="E325" s="51"/>
      <c r="F325" s="51"/>
      <c r="G325" s="51" t="str">
        <f>IFERROR(__xludf.DUMMYFUNCTION("""COMPUTED_VALUE"""),"#VALUE!")</f>
        <v>#VALUE!</v>
      </c>
      <c r="H325" s="51" t="str">
        <f>IFERROR(__xludf.DUMMYFUNCTION("""COMPUTED_VALUE"""),"")</f>
        <v/>
      </c>
      <c r="I325" s="51" t="str">
        <f>IFERROR(__xludf.DUMMYFUNCTION("""COMPUTED_VALUE"""),"#VALUE!")</f>
        <v>#VALUE!</v>
      </c>
      <c r="J325" s="51" t="str">
        <f>IFERROR(__xludf.DUMMYFUNCTION("""COMPUTED_VALUE"""),"")</f>
        <v/>
      </c>
      <c r="K325" s="51"/>
      <c r="L325" s="51" t="s">
        <v>257</v>
      </c>
      <c r="M325" s="51"/>
      <c r="N325" s="51"/>
      <c r="O325" s="51"/>
      <c r="P325" s="51"/>
      <c r="Q325" s="51"/>
      <c r="R325" s="51"/>
      <c r="S325" s="51"/>
      <c r="T325" s="51"/>
    </row>
    <row r="326">
      <c r="A326" s="51"/>
      <c r="B326" s="51"/>
      <c r="C326" s="56"/>
      <c r="D326" s="51"/>
      <c r="E326" s="51"/>
      <c r="F326" s="51"/>
      <c r="G326" s="51" t="str">
        <f>IFERROR(__xludf.DUMMYFUNCTION("""COMPUTED_VALUE"""),"#VALUE!")</f>
        <v>#VALUE!</v>
      </c>
      <c r="H326" s="51" t="str">
        <f>IFERROR(__xludf.DUMMYFUNCTION("""COMPUTED_VALUE"""),"")</f>
        <v/>
      </c>
      <c r="I326" s="51" t="str">
        <f>IFERROR(__xludf.DUMMYFUNCTION("""COMPUTED_VALUE"""),"#VALUE!")</f>
        <v>#VALUE!</v>
      </c>
      <c r="J326" s="51" t="str">
        <f>IFERROR(__xludf.DUMMYFUNCTION("""COMPUTED_VALUE"""),"")</f>
        <v/>
      </c>
      <c r="K326" s="51"/>
      <c r="L326" s="51" t="s">
        <v>257</v>
      </c>
      <c r="M326" s="51"/>
      <c r="N326" s="51"/>
      <c r="O326" s="51"/>
      <c r="P326" s="51"/>
      <c r="Q326" s="51"/>
      <c r="R326" s="51"/>
      <c r="S326" s="51"/>
      <c r="T326" s="51"/>
    </row>
    <row r="327">
      <c r="A327" s="51"/>
      <c r="B327" s="51"/>
      <c r="C327" s="56"/>
      <c r="D327" s="51"/>
      <c r="E327" s="51"/>
      <c r="F327" s="51"/>
      <c r="G327" s="51" t="str">
        <f>IFERROR(__xludf.DUMMYFUNCTION("""COMPUTED_VALUE"""),"#VALUE!")</f>
        <v>#VALUE!</v>
      </c>
      <c r="H327" s="51" t="str">
        <f>IFERROR(__xludf.DUMMYFUNCTION("""COMPUTED_VALUE"""),"")</f>
        <v/>
      </c>
      <c r="I327" s="51" t="str">
        <f>IFERROR(__xludf.DUMMYFUNCTION("""COMPUTED_VALUE"""),"#VALUE!")</f>
        <v>#VALUE!</v>
      </c>
      <c r="J327" s="51" t="str">
        <f>IFERROR(__xludf.DUMMYFUNCTION("""COMPUTED_VALUE"""),"")</f>
        <v/>
      </c>
      <c r="K327" s="51"/>
      <c r="L327" s="51" t="s">
        <v>257</v>
      </c>
      <c r="M327" s="51"/>
      <c r="N327" s="51"/>
      <c r="O327" s="51"/>
      <c r="P327" s="51"/>
      <c r="Q327" s="51"/>
      <c r="R327" s="51"/>
      <c r="S327" s="51"/>
      <c r="T327" s="51"/>
    </row>
    <row r="328">
      <c r="A328" s="51"/>
      <c r="B328" s="51"/>
      <c r="C328" s="56"/>
      <c r="D328" s="51"/>
      <c r="E328" s="51"/>
      <c r="F328" s="51"/>
      <c r="G328" s="51" t="str">
        <f>IFERROR(__xludf.DUMMYFUNCTION("""COMPUTED_VALUE"""),"#VALUE!")</f>
        <v>#VALUE!</v>
      </c>
      <c r="H328" s="51" t="str">
        <f>IFERROR(__xludf.DUMMYFUNCTION("""COMPUTED_VALUE"""),"")</f>
        <v/>
      </c>
      <c r="I328" s="51" t="str">
        <f>IFERROR(__xludf.DUMMYFUNCTION("""COMPUTED_VALUE"""),"#VALUE!")</f>
        <v>#VALUE!</v>
      </c>
      <c r="J328" s="51" t="str">
        <f>IFERROR(__xludf.DUMMYFUNCTION("""COMPUTED_VALUE"""),"")</f>
        <v/>
      </c>
      <c r="K328" s="51"/>
      <c r="L328" s="51" t="s">
        <v>257</v>
      </c>
      <c r="M328" s="51"/>
      <c r="N328" s="51"/>
      <c r="O328" s="51"/>
      <c r="P328" s="51"/>
      <c r="Q328" s="51"/>
      <c r="R328" s="51"/>
      <c r="S328" s="51"/>
      <c r="T328" s="51"/>
    </row>
    <row r="329">
      <c r="A329" s="51"/>
      <c r="B329" s="51"/>
      <c r="C329" s="56"/>
      <c r="D329" s="51"/>
      <c r="E329" s="51"/>
      <c r="F329" s="51"/>
      <c r="G329" s="51" t="str">
        <f>IFERROR(__xludf.DUMMYFUNCTION("""COMPUTED_VALUE"""),"#VALUE!")</f>
        <v>#VALUE!</v>
      </c>
      <c r="H329" s="51" t="str">
        <f>IFERROR(__xludf.DUMMYFUNCTION("""COMPUTED_VALUE"""),"")</f>
        <v/>
      </c>
      <c r="I329" s="51" t="str">
        <f>IFERROR(__xludf.DUMMYFUNCTION("""COMPUTED_VALUE"""),"#VALUE!")</f>
        <v>#VALUE!</v>
      </c>
      <c r="J329" s="51" t="str">
        <f>IFERROR(__xludf.DUMMYFUNCTION("""COMPUTED_VALUE"""),"")</f>
        <v/>
      </c>
      <c r="K329" s="51"/>
      <c r="L329" s="51" t="s">
        <v>257</v>
      </c>
      <c r="M329" s="51"/>
      <c r="N329" s="51"/>
      <c r="O329" s="51"/>
      <c r="P329" s="51"/>
      <c r="Q329" s="51"/>
      <c r="R329" s="51"/>
      <c r="S329" s="51"/>
      <c r="T329" s="51"/>
    </row>
    <row r="330">
      <c r="A330" s="51"/>
      <c r="B330" s="51"/>
      <c r="C330" s="56"/>
      <c r="D330" s="51"/>
      <c r="E330" s="51"/>
      <c r="F330" s="51"/>
      <c r="G330" s="51" t="str">
        <f>IFERROR(__xludf.DUMMYFUNCTION("""COMPUTED_VALUE"""),"#VALUE!")</f>
        <v>#VALUE!</v>
      </c>
      <c r="H330" s="51" t="str">
        <f>IFERROR(__xludf.DUMMYFUNCTION("""COMPUTED_VALUE"""),"")</f>
        <v/>
      </c>
      <c r="I330" s="51" t="str">
        <f>IFERROR(__xludf.DUMMYFUNCTION("""COMPUTED_VALUE"""),"#VALUE!")</f>
        <v>#VALUE!</v>
      </c>
      <c r="J330" s="51" t="str">
        <f>IFERROR(__xludf.DUMMYFUNCTION("""COMPUTED_VALUE"""),"")</f>
        <v/>
      </c>
      <c r="K330" s="51"/>
      <c r="L330" s="51" t="s">
        <v>257</v>
      </c>
      <c r="M330" s="51"/>
      <c r="N330" s="51"/>
      <c r="O330" s="51"/>
      <c r="P330" s="51"/>
      <c r="Q330" s="51"/>
      <c r="R330" s="51"/>
      <c r="S330" s="51"/>
      <c r="T330" s="51"/>
    </row>
    <row r="331">
      <c r="A331" s="51"/>
      <c r="B331" s="51"/>
      <c r="C331" s="56"/>
      <c r="D331" s="51"/>
      <c r="E331" s="51"/>
      <c r="F331" s="51"/>
      <c r="G331" s="51" t="str">
        <f>IFERROR(__xludf.DUMMYFUNCTION("""COMPUTED_VALUE"""),"#VALUE!")</f>
        <v>#VALUE!</v>
      </c>
      <c r="H331" s="51" t="str">
        <f>IFERROR(__xludf.DUMMYFUNCTION("""COMPUTED_VALUE"""),"")</f>
        <v/>
      </c>
      <c r="I331" s="51" t="str">
        <f>IFERROR(__xludf.DUMMYFUNCTION("""COMPUTED_VALUE"""),"#VALUE!")</f>
        <v>#VALUE!</v>
      </c>
      <c r="J331" s="51" t="str">
        <f>IFERROR(__xludf.DUMMYFUNCTION("""COMPUTED_VALUE"""),"")</f>
        <v/>
      </c>
      <c r="K331" s="51"/>
      <c r="L331" s="51" t="s">
        <v>257</v>
      </c>
      <c r="M331" s="51"/>
      <c r="N331" s="51"/>
      <c r="O331" s="51"/>
      <c r="P331" s="51"/>
      <c r="Q331" s="51"/>
      <c r="R331" s="51"/>
      <c r="S331" s="51"/>
      <c r="T331" s="51"/>
    </row>
    <row r="332">
      <c r="A332" s="51"/>
      <c r="B332" s="51"/>
      <c r="C332" s="56"/>
      <c r="D332" s="51"/>
      <c r="E332" s="51"/>
      <c r="F332" s="51"/>
      <c r="G332" s="51" t="str">
        <f>IFERROR(__xludf.DUMMYFUNCTION("""COMPUTED_VALUE"""),"#VALUE!")</f>
        <v>#VALUE!</v>
      </c>
      <c r="H332" s="51" t="str">
        <f>IFERROR(__xludf.DUMMYFUNCTION("""COMPUTED_VALUE"""),"")</f>
        <v/>
      </c>
      <c r="I332" s="51" t="str">
        <f>IFERROR(__xludf.DUMMYFUNCTION("""COMPUTED_VALUE"""),"#VALUE!")</f>
        <v>#VALUE!</v>
      </c>
      <c r="J332" s="51" t="str">
        <f>IFERROR(__xludf.DUMMYFUNCTION("""COMPUTED_VALUE"""),"")</f>
        <v/>
      </c>
      <c r="K332" s="51"/>
      <c r="L332" s="51" t="s">
        <v>257</v>
      </c>
      <c r="M332" s="51"/>
      <c r="N332" s="51"/>
      <c r="O332" s="51"/>
      <c r="P332" s="51"/>
      <c r="Q332" s="51"/>
      <c r="R332" s="51"/>
      <c r="S332" s="51"/>
      <c r="T332" s="51"/>
    </row>
    <row r="333">
      <c r="A333" s="51"/>
      <c r="B333" s="51"/>
      <c r="C333" s="56"/>
      <c r="D333" s="51"/>
      <c r="E333" s="51"/>
      <c r="F333" s="51"/>
      <c r="G333" s="51" t="str">
        <f>IFERROR(__xludf.DUMMYFUNCTION("""COMPUTED_VALUE"""),"#VALUE!")</f>
        <v>#VALUE!</v>
      </c>
      <c r="H333" s="51" t="str">
        <f>IFERROR(__xludf.DUMMYFUNCTION("""COMPUTED_VALUE"""),"")</f>
        <v/>
      </c>
      <c r="I333" s="51" t="str">
        <f>IFERROR(__xludf.DUMMYFUNCTION("""COMPUTED_VALUE"""),"#VALUE!")</f>
        <v>#VALUE!</v>
      </c>
      <c r="J333" s="51" t="str">
        <f>IFERROR(__xludf.DUMMYFUNCTION("""COMPUTED_VALUE"""),"")</f>
        <v/>
      </c>
      <c r="K333" s="51"/>
      <c r="L333" s="51" t="s">
        <v>257</v>
      </c>
      <c r="M333" s="51"/>
      <c r="N333" s="51"/>
      <c r="O333" s="51"/>
      <c r="P333" s="51"/>
      <c r="Q333" s="51"/>
      <c r="R333" s="51"/>
      <c r="S333" s="51"/>
      <c r="T333" s="51"/>
    </row>
    <row r="334">
      <c r="A334" s="51"/>
      <c r="B334" s="51"/>
      <c r="C334" s="56"/>
      <c r="D334" s="51"/>
      <c r="E334" s="51"/>
      <c r="F334" s="51"/>
      <c r="G334" s="51" t="str">
        <f>IFERROR(__xludf.DUMMYFUNCTION("""COMPUTED_VALUE"""),"#VALUE!")</f>
        <v>#VALUE!</v>
      </c>
      <c r="H334" s="51" t="str">
        <f>IFERROR(__xludf.DUMMYFUNCTION("""COMPUTED_VALUE"""),"")</f>
        <v/>
      </c>
      <c r="I334" s="51" t="str">
        <f>IFERROR(__xludf.DUMMYFUNCTION("""COMPUTED_VALUE"""),"#VALUE!")</f>
        <v>#VALUE!</v>
      </c>
      <c r="J334" s="51" t="str">
        <f>IFERROR(__xludf.DUMMYFUNCTION("""COMPUTED_VALUE"""),"")</f>
        <v/>
      </c>
      <c r="K334" s="51"/>
      <c r="L334" s="51" t="s">
        <v>257</v>
      </c>
      <c r="M334" s="51"/>
      <c r="N334" s="51"/>
      <c r="O334" s="51"/>
      <c r="P334" s="51"/>
      <c r="Q334" s="51"/>
      <c r="R334" s="51"/>
      <c r="S334" s="51"/>
      <c r="T334" s="51"/>
    </row>
    <row r="335">
      <c r="A335" s="51"/>
      <c r="B335" s="51"/>
      <c r="C335" s="56"/>
      <c r="D335" s="51"/>
      <c r="E335" s="51"/>
      <c r="F335" s="51"/>
      <c r="G335" s="51" t="str">
        <f>IFERROR(__xludf.DUMMYFUNCTION("""COMPUTED_VALUE"""),"#VALUE!")</f>
        <v>#VALUE!</v>
      </c>
      <c r="H335" s="51" t="str">
        <f>IFERROR(__xludf.DUMMYFUNCTION("""COMPUTED_VALUE"""),"")</f>
        <v/>
      </c>
      <c r="I335" s="51" t="str">
        <f>IFERROR(__xludf.DUMMYFUNCTION("""COMPUTED_VALUE"""),"#VALUE!")</f>
        <v>#VALUE!</v>
      </c>
      <c r="J335" s="51" t="str">
        <f>IFERROR(__xludf.DUMMYFUNCTION("""COMPUTED_VALUE"""),"")</f>
        <v/>
      </c>
      <c r="K335" s="51"/>
      <c r="L335" s="51" t="s">
        <v>257</v>
      </c>
      <c r="M335" s="51"/>
      <c r="N335" s="51"/>
      <c r="O335" s="51"/>
      <c r="P335" s="51"/>
      <c r="Q335" s="51"/>
      <c r="R335" s="51"/>
      <c r="S335" s="51"/>
      <c r="T335" s="51"/>
    </row>
    <row r="336">
      <c r="A336" s="51"/>
      <c r="B336" s="51"/>
      <c r="C336" s="56"/>
      <c r="D336" s="51"/>
      <c r="E336" s="51"/>
      <c r="F336" s="51"/>
      <c r="G336" s="51" t="str">
        <f>IFERROR(__xludf.DUMMYFUNCTION("""COMPUTED_VALUE"""),"#VALUE!")</f>
        <v>#VALUE!</v>
      </c>
      <c r="H336" s="51" t="str">
        <f>IFERROR(__xludf.DUMMYFUNCTION("""COMPUTED_VALUE"""),"")</f>
        <v/>
      </c>
      <c r="I336" s="51" t="str">
        <f>IFERROR(__xludf.DUMMYFUNCTION("""COMPUTED_VALUE"""),"#VALUE!")</f>
        <v>#VALUE!</v>
      </c>
      <c r="J336" s="51" t="str">
        <f>IFERROR(__xludf.DUMMYFUNCTION("""COMPUTED_VALUE"""),"")</f>
        <v/>
      </c>
      <c r="K336" s="51"/>
      <c r="L336" s="51" t="s">
        <v>257</v>
      </c>
      <c r="M336" s="51"/>
      <c r="N336" s="51"/>
      <c r="O336" s="51"/>
      <c r="P336" s="51"/>
      <c r="Q336" s="51"/>
      <c r="R336" s="51"/>
      <c r="S336" s="51"/>
      <c r="T336" s="51"/>
    </row>
    <row r="337">
      <c r="A337" s="51"/>
      <c r="B337" s="51"/>
      <c r="C337" s="56"/>
      <c r="D337" s="51"/>
      <c r="E337" s="51"/>
      <c r="F337" s="51"/>
      <c r="G337" s="51" t="str">
        <f>IFERROR(__xludf.DUMMYFUNCTION("""COMPUTED_VALUE"""),"#VALUE!")</f>
        <v>#VALUE!</v>
      </c>
      <c r="H337" s="51" t="str">
        <f>IFERROR(__xludf.DUMMYFUNCTION("""COMPUTED_VALUE"""),"")</f>
        <v/>
      </c>
      <c r="I337" s="51" t="str">
        <f>IFERROR(__xludf.DUMMYFUNCTION("""COMPUTED_VALUE"""),"#VALUE!")</f>
        <v>#VALUE!</v>
      </c>
      <c r="J337" s="51" t="str">
        <f>IFERROR(__xludf.DUMMYFUNCTION("""COMPUTED_VALUE"""),"")</f>
        <v/>
      </c>
      <c r="K337" s="51"/>
      <c r="L337" s="51" t="s">
        <v>257</v>
      </c>
      <c r="M337" s="51"/>
      <c r="N337" s="51"/>
      <c r="O337" s="51"/>
      <c r="P337" s="51"/>
      <c r="Q337" s="51"/>
      <c r="R337" s="51"/>
      <c r="S337" s="51"/>
      <c r="T337" s="51"/>
    </row>
    <row r="338">
      <c r="A338" s="51"/>
      <c r="B338" s="51"/>
      <c r="C338" s="56"/>
      <c r="D338" s="51"/>
      <c r="E338" s="51"/>
      <c r="F338" s="51"/>
      <c r="G338" s="51" t="str">
        <f>IFERROR(__xludf.DUMMYFUNCTION("""COMPUTED_VALUE"""),"#VALUE!")</f>
        <v>#VALUE!</v>
      </c>
      <c r="H338" s="51" t="str">
        <f>IFERROR(__xludf.DUMMYFUNCTION("""COMPUTED_VALUE"""),"")</f>
        <v/>
      </c>
      <c r="I338" s="51" t="str">
        <f>IFERROR(__xludf.DUMMYFUNCTION("""COMPUTED_VALUE"""),"#VALUE!")</f>
        <v>#VALUE!</v>
      </c>
      <c r="J338" s="51" t="str">
        <f>IFERROR(__xludf.DUMMYFUNCTION("""COMPUTED_VALUE"""),"")</f>
        <v/>
      </c>
      <c r="K338" s="51"/>
      <c r="L338" s="51" t="s">
        <v>257</v>
      </c>
      <c r="M338" s="51"/>
      <c r="N338" s="51"/>
      <c r="O338" s="51"/>
      <c r="P338" s="51"/>
      <c r="Q338" s="51"/>
      <c r="R338" s="51"/>
      <c r="S338" s="51"/>
      <c r="T338" s="51"/>
    </row>
    <row r="339">
      <c r="A339" s="51"/>
      <c r="B339" s="51"/>
      <c r="C339" s="56"/>
      <c r="D339" s="51"/>
      <c r="E339" s="51"/>
      <c r="F339" s="51"/>
      <c r="G339" s="51" t="str">
        <f>IFERROR(__xludf.DUMMYFUNCTION("""COMPUTED_VALUE"""),"#VALUE!")</f>
        <v>#VALUE!</v>
      </c>
      <c r="H339" s="51" t="str">
        <f>IFERROR(__xludf.DUMMYFUNCTION("""COMPUTED_VALUE"""),"")</f>
        <v/>
      </c>
      <c r="I339" s="51" t="str">
        <f>IFERROR(__xludf.DUMMYFUNCTION("""COMPUTED_VALUE"""),"#VALUE!")</f>
        <v>#VALUE!</v>
      </c>
      <c r="J339" s="51" t="str">
        <f>IFERROR(__xludf.DUMMYFUNCTION("""COMPUTED_VALUE"""),"")</f>
        <v/>
      </c>
      <c r="K339" s="51"/>
      <c r="L339" s="51" t="s">
        <v>257</v>
      </c>
      <c r="M339" s="51"/>
      <c r="N339" s="51"/>
      <c r="O339" s="51"/>
      <c r="P339" s="51"/>
      <c r="Q339" s="51"/>
      <c r="R339" s="51"/>
      <c r="S339" s="51"/>
      <c r="T339" s="51"/>
    </row>
    <row r="340">
      <c r="A340" s="51"/>
      <c r="B340" s="51"/>
      <c r="C340" s="56"/>
      <c r="D340" s="51"/>
      <c r="E340" s="51"/>
      <c r="F340" s="51"/>
      <c r="G340" s="51" t="str">
        <f>IFERROR(__xludf.DUMMYFUNCTION("""COMPUTED_VALUE"""),"#VALUE!")</f>
        <v>#VALUE!</v>
      </c>
      <c r="H340" s="51" t="str">
        <f>IFERROR(__xludf.DUMMYFUNCTION("""COMPUTED_VALUE"""),"")</f>
        <v/>
      </c>
      <c r="I340" s="51" t="str">
        <f>IFERROR(__xludf.DUMMYFUNCTION("""COMPUTED_VALUE"""),"#VALUE!")</f>
        <v>#VALUE!</v>
      </c>
      <c r="J340" s="51" t="str">
        <f>IFERROR(__xludf.DUMMYFUNCTION("""COMPUTED_VALUE"""),"")</f>
        <v/>
      </c>
      <c r="K340" s="51"/>
      <c r="L340" s="51" t="s">
        <v>257</v>
      </c>
      <c r="M340" s="51"/>
      <c r="N340" s="51"/>
      <c r="O340" s="51"/>
      <c r="P340" s="51"/>
      <c r="Q340" s="51"/>
      <c r="R340" s="51"/>
      <c r="S340" s="51"/>
      <c r="T340" s="51"/>
    </row>
    <row r="341">
      <c r="A341" s="51"/>
      <c r="B341" s="51"/>
      <c r="C341" s="56"/>
      <c r="D341" s="51"/>
      <c r="E341" s="51"/>
      <c r="F341" s="51"/>
      <c r="G341" s="51" t="str">
        <f>IFERROR(__xludf.DUMMYFUNCTION("""COMPUTED_VALUE"""),"#VALUE!")</f>
        <v>#VALUE!</v>
      </c>
      <c r="H341" s="51" t="str">
        <f>IFERROR(__xludf.DUMMYFUNCTION("""COMPUTED_VALUE"""),"")</f>
        <v/>
      </c>
      <c r="I341" s="51" t="str">
        <f>IFERROR(__xludf.DUMMYFUNCTION("""COMPUTED_VALUE"""),"#VALUE!")</f>
        <v>#VALUE!</v>
      </c>
      <c r="J341" s="51" t="str">
        <f>IFERROR(__xludf.DUMMYFUNCTION("""COMPUTED_VALUE"""),"")</f>
        <v/>
      </c>
      <c r="K341" s="51"/>
      <c r="L341" s="51" t="s">
        <v>257</v>
      </c>
      <c r="M341" s="51"/>
      <c r="N341" s="51"/>
      <c r="O341" s="51"/>
      <c r="P341" s="51"/>
      <c r="Q341" s="51"/>
      <c r="R341" s="51"/>
      <c r="S341" s="51"/>
      <c r="T341" s="51"/>
    </row>
    <row r="342">
      <c r="A342" s="51"/>
      <c r="B342" s="51"/>
      <c r="C342" s="56"/>
      <c r="D342" s="51"/>
      <c r="E342" s="51"/>
      <c r="F342" s="51"/>
      <c r="G342" s="51" t="str">
        <f>IFERROR(__xludf.DUMMYFUNCTION("""COMPUTED_VALUE"""),"#VALUE!")</f>
        <v>#VALUE!</v>
      </c>
      <c r="H342" s="51" t="str">
        <f>IFERROR(__xludf.DUMMYFUNCTION("""COMPUTED_VALUE"""),"")</f>
        <v/>
      </c>
      <c r="I342" s="51" t="str">
        <f>IFERROR(__xludf.DUMMYFUNCTION("""COMPUTED_VALUE"""),"#VALUE!")</f>
        <v>#VALUE!</v>
      </c>
      <c r="J342" s="51" t="str">
        <f>IFERROR(__xludf.DUMMYFUNCTION("""COMPUTED_VALUE"""),"")</f>
        <v/>
      </c>
      <c r="K342" s="51"/>
      <c r="L342" s="51" t="s">
        <v>257</v>
      </c>
      <c r="M342" s="51"/>
      <c r="N342" s="51"/>
      <c r="O342" s="51"/>
      <c r="P342" s="51"/>
      <c r="Q342" s="51"/>
      <c r="R342" s="51"/>
      <c r="S342" s="51"/>
      <c r="T342" s="51"/>
    </row>
    <row r="343">
      <c r="A343" s="51"/>
      <c r="B343" s="51"/>
      <c r="C343" s="56"/>
      <c r="D343" s="51"/>
      <c r="E343" s="51"/>
      <c r="F343" s="51"/>
      <c r="G343" s="51" t="str">
        <f>IFERROR(__xludf.DUMMYFUNCTION("""COMPUTED_VALUE"""),"#VALUE!")</f>
        <v>#VALUE!</v>
      </c>
      <c r="H343" s="51" t="str">
        <f>IFERROR(__xludf.DUMMYFUNCTION("""COMPUTED_VALUE"""),"")</f>
        <v/>
      </c>
      <c r="I343" s="51" t="str">
        <f>IFERROR(__xludf.DUMMYFUNCTION("""COMPUTED_VALUE"""),"#VALUE!")</f>
        <v>#VALUE!</v>
      </c>
      <c r="J343" s="51" t="str">
        <f>IFERROR(__xludf.DUMMYFUNCTION("""COMPUTED_VALUE"""),"")</f>
        <v/>
      </c>
      <c r="K343" s="51"/>
      <c r="L343" s="51" t="s">
        <v>257</v>
      </c>
      <c r="M343" s="51"/>
      <c r="N343" s="51"/>
      <c r="O343" s="51"/>
      <c r="P343" s="51"/>
      <c r="Q343" s="51"/>
      <c r="R343" s="51"/>
      <c r="S343" s="51"/>
      <c r="T343" s="51"/>
    </row>
    <row r="344">
      <c r="A344" s="51"/>
      <c r="B344" s="51"/>
      <c r="C344" s="56"/>
      <c r="D344" s="51"/>
      <c r="E344" s="51"/>
      <c r="F344" s="51"/>
      <c r="G344" s="51" t="str">
        <f>IFERROR(__xludf.DUMMYFUNCTION("""COMPUTED_VALUE"""),"#VALUE!")</f>
        <v>#VALUE!</v>
      </c>
      <c r="H344" s="51" t="str">
        <f>IFERROR(__xludf.DUMMYFUNCTION("""COMPUTED_VALUE"""),"")</f>
        <v/>
      </c>
      <c r="I344" s="51" t="str">
        <f>IFERROR(__xludf.DUMMYFUNCTION("""COMPUTED_VALUE"""),"#VALUE!")</f>
        <v>#VALUE!</v>
      </c>
      <c r="J344" s="51" t="str">
        <f>IFERROR(__xludf.DUMMYFUNCTION("""COMPUTED_VALUE"""),"")</f>
        <v/>
      </c>
      <c r="K344" s="51"/>
      <c r="L344" s="51" t="s">
        <v>257</v>
      </c>
      <c r="M344" s="51"/>
      <c r="N344" s="51"/>
      <c r="O344" s="51"/>
      <c r="P344" s="51"/>
      <c r="Q344" s="51"/>
      <c r="R344" s="51"/>
      <c r="S344" s="51"/>
      <c r="T344" s="51"/>
    </row>
    <row r="345">
      <c r="A345" s="51"/>
      <c r="B345" s="51"/>
      <c r="C345" s="56"/>
      <c r="D345" s="51"/>
      <c r="E345" s="51"/>
      <c r="F345" s="51"/>
      <c r="G345" s="51" t="str">
        <f>IFERROR(__xludf.DUMMYFUNCTION("""COMPUTED_VALUE"""),"#VALUE!")</f>
        <v>#VALUE!</v>
      </c>
      <c r="H345" s="51" t="str">
        <f>IFERROR(__xludf.DUMMYFUNCTION("""COMPUTED_VALUE"""),"")</f>
        <v/>
      </c>
      <c r="I345" s="51" t="str">
        <f>IFERROR(__xludf.DUMMYFUNCTION("""COMPUTED_VALUE"""),"#VALUE!")</f>
        <v>#VALUE!</v>
      </c>
      <c r="J345" s="51" t="str">
        <f>IFERROR(__xludf.DUMMYFUNCTION("""COMPUTED_VALUE"""),"")</f>
        <v/>
      </c>
      <c r="K345" s="51"/>
      <c r="L345" s="51" t="s">
        <v>257</v>
      </c>
      <c r="M345" s="51"/>
      <c r="N345" s="51"/>
      <c r="O345" s="51"/>
      <c r="P345" s="51"/>
      <c r="Q345" s="51"/>
      <c r="R345" s="51"/>
      <c r="S345" s="51"/>
      <c r="T345" s="51"/>
    </row>
    <row r="346">
      <c r="A346" s="51"/>
      <c r="B346" s="51"/>
      <c r="C346" s="56"/>
      <c r="D346" s="51"/>
      <c r="E346" s="51"/>
      <c r="F346" s="51"/>
      <c r="G346" s="51" t="str">
        <f>IFERROR(__xludf.DUMMYFUNCTION("""COMPUTED_VALUE"""),"#VALUE!")</f>
        <v>#VALUE!</v>
      </c>
      <c r="H346" s="51" t="str">
        <f>IFERROR(__xludf.DUMMYFUNCTION("""COMPUTED_VALUE"""),"")</f>
        <v/>
      </c>
      <c r="I346" s="51" t="str">
        <f>IFERROR(__xludf.DUMMYFUNCTION("""COMPUTED_VALUE"""),"#VALUE!")</f>
        <v>#VALUE!</v>
      </c>
      <c r="J346" s="51" t="str">
        <f>IFERROR(__xludf.DUMMYFUNCTION("""COMPUTED_VALUE"""),"")</f>
        <v/>
      </c>
      <c r="K346" s="51"/>
      <c r="L346" s="51" t="s">
        <v>257</v>
      </c>
      <c r="M346" s="51"/>
      <c r="N346" s="51"/>
      <c r="O346" s="51"/>
      <c r="P346" s="51"/>
      <c r="Q346" s="51"/>
      <c r="R346" s="51"/>
      <c r="S346" s="51"/>
      <c r="T346" s="51"/>
    </row>
    <row r="347">
      <c r="A347" s="51"/>
      <c r="B347" s="51"/>
      <c r="C347" s="56"/>
      <c r="D347" s="51"/>
      <c r="E347" s="51"/>
      <c r="F347" s="51"/>
      <c r="G347" s="51" t="str">
        <f>IFERROR(__xludf.DUMMYFUNCTION("""COMPUTED_VALUE"""),"#VALUE!")</f>
        <v>#VALUE!</v>
      </c>
      <c r="H347" s="51" t="str">
        <f>IFERROR(__xludf.DUMMYFUNCTION("""COMPUTED_VALUE"""),"")</f>
        <v/>
      </c>
      <c r="I347" s="51" t="str">
        <f>IFERROR(__xludf.DUMMYFUNCTION("""COMPUTED_VALUE"""),"#VALUE!")</f>
        <v>#VALUE!</v>
      </c>
      <c r="J347" s="51" t="str">
        <f>IFERROR(__xludf.DUMMYFUNCTION("""COMPUTED_VALUE"""),"")</f>
        <v/>
      </c>
      <c r="K347" s="51"/>
      <c r="L347" s="51" t="s">
        <v>257</v>
      </c>
      <c r="M347" s="51"/>
      <c r="N347" s="51"/>
      <c r="O347" s="51"/>
      <c r="P347" s="51"/>
      <c r="Q347" s="51"/>
      <c r="R347" s="51"/>
      <c r="S347" s="51"/>
      <c r="T347" s="51"/>
    </row>
    <row r="348">
      <c r="A348" s="51"/>
      <c r="B348" s="51"/>
      <c r="C348" s="56"/>
      <c r="D348" s="51"/>
      <c r="E348" s="51"/>
      <c r="F348" s="51"/>
      <c r="G348" s="51" t="str">
        <f>IFERROR(__xludf.DUMMYFUNCTION("""COMPUTED_VALUE"""),"#VALUE!")</f>
        <v>#VALUE!</v>
      </c>
      <c r="H348" s="51" t="str">
        <f>IFERROR(__xludf.DUMMYFUNCTION("""COMPUTED_VALUE"""),"")</f>
        <v/>
      </c>
      <c r="I348" s="51" t="str">
        <f>IFERROR(__xludf.DUMMYFUNCTION("""COMPUTED_VALUE"""),"#VALUE!")</f>
        <v>#VALUE!</v>
      </c>
      <c r="J348" s="51" t="str">
        <f>IFERROR(__xludf.DUMMYFUNCTION("""COMPUTED_VALUE"""),"")</f>
        <v/>
      </c>
      <c r="K348" s="51"/>
      <c r="L348" s="51" t="s">
        <v>257</v>
      </c>
      <c r="M348" s="51"/>
      <c r="N348" s="51"/>
      <c r="O348" s="51"/>
      <c r="P348" s="51"/>
      <c r="Q348" s="51"/>
      <c r="R348" s="51"/>
      <c r="S348" s="51"/>
      <c r="T348" s="51"/>
    </row>
    <row r="349">
      <c r="A349" s="51"/>
      <c r="B349" s="51"/>
      <c r="C349" s="56"/>
      <c r="D349" s="51"/>
      <c r="E349" s="51"/>
      <c r="F349" s="51"/>
      <c r="G349" s="51" t="str">
        <f>IFERROR(__xludf.DUMMYFUNCTION("""COMPUTED_VALUE"""),"#VALUE!")</f>
        <v>#VALUE!</v>
      </c>
      <c r="H349" s="51" t="str">
        <f>IFERROR(__xludf.DUMMYFUNCTION("""COMPUTED_VALUE"""),"")</f>
        <v/>
      </c>
      <c r="I349" s="51" t="str">
        <f>IFERROR(__xludf.DUMMYFUNCTION("""COMPUTED_VALUE"""),"#VALUE!")</f>
        <v>#VALUE!</v>
      </c>
      <c r="J349" s="51" t="str">
        <f>IFERROR(__xludf.DUMMYFUNCTION("""COMPUTED_VALUE"""),"")</f>
        <v/>
      </c>
      <c r="K349" s="51"/>
      <c r="L349" s="51" t="s">
        <v>257</v>
      </c>
      <c r="M349" s="51"/>
      <c r="N349" s="51"/>
      <c r="O349" s="51"/>
      <c r="P349" s="51"/>
      <c r="Q349" s="51"/>
      <c r="R349" s="51"/>
      <c r="S349" s="51"/>
      <c r="T349" s="51"/>
    </row>
    <row r="350">
      <c r="A350" s="51"/>
      <c r="B350" s="51"/>
      <c r="C350" s="56"/>
      <c r="D350" s="51"/>
      <c r="E350" s="51"/>
      <c r="F350" s="51"/>
      <c r="G350" s="51" t="str">
        <f>IFERROR(__xludf.DUMMYFUNCTION("""COMPUTED_VALUE"""),"#VALUE!")</f>
        <v>#VALUE!</v>
      </c>
      <c r="H350" s="51" t="str">
        <f>IFERROR(__xludf.DUMMYFUNCTION("""COMPUTED_VALUE"""),"")</f>
        <v/>
      </c>
      <c r="I350" s="51" t="str">
        <f>IFERROR(__xludf.DUMMYFUNCTION("""COMPUTED_VALUE"""),"#VALUE!")</f>
        <v>#VALUE!</v>
      </c>
      <c r="J350" s="51" t="str">
        <f>IFERROR(__xludf.DUMMYFUNCTION("""COMPUTED_VALUE"""),"")</f>
        <v/>
      </c>
      <c r="K350" s="51"/>
      <c r="L350" s="51" t="s">
        <v>257</v>
      </c>
      <c r="M350" s="51"/>
      <c r="N350" s="51"/>
      <c r="O350" s="51"/>
      <c r="P350" s="51"/>
      <c r="Q350" s="51"/>
      <c r="R350" s="51"/>
      <c r="S350" s="51"/>
      <c r="T350" s="51"/>
    </row>
    <row r="351">
      <c r="A351" s="51"/>
      <c r="B351" s="51"/>
      <c r="C351" s="56"/>
      <c r="D351" s="51"/>
      <c r="E351" s="51"/>
      <c r="F351" s="51"/>
      <c r="G351" s="51" t="str">
        <f>IFERROR(__xludf.DUMMYFUNCTION("""COMPUTED_VALUE"""),"#VALUE!")</f>
        <v>#VALUE!</v>
      </c>
      <c r="H351" s="51" t="str">
        <f>IFERROR(__xludf.DUMMYFUNCTION("""COMPUTED_VALUE"""),"")</f>
        <v/>
      </c>
      <c r="I351" s="51" t="str">
        <f>IFERROR(__xludf.DUMMYFUNCTION("""COMPUTED_VALUE"""),"#VALUE!")</f>
        <v>#VALUE!</v>
      </c>
      <c r="J351" s="51" t="str">
        <f>IFERROR(__xludf.DUMMYFUNCTION("""COMPUTED_VALUE"""),"")</f>
        <v/>
      </c>
      <c r="K351" s="51"/>
      <c r="L351" s="51" t="s">
        <v>257</v>
      </c>
      <c r="M351" s="51"/>
      <c r="N351" s="51"/>
      <c r="O351" s="51"/>
      <c r="P351" s="51"/>
      <c r="Q351" s="51"/>
      <c r="R351" s="51"/>
      <c r="S351" s="51"/>
      <c r="T351" s="51"/>
    </row>
    <row r="352">
      <c r="A352" s="51"/>
      <c r="B352" s="51"/>
      <c r="C352" s="56"/>
      <c r="D352" s="51"/>
      <c r="E352" s="51"/>
      <c r="F352" s="51"/>
      <c r="G352" s="51" t="str">
        <f>IFERROR(__xludf.DUMMYFUNCTION("""COMPUTED_VALUE"""),"#VALUE!")</f>
        <v>#VALUE!</v>
      </c>
      <c r="H352" s="51" t="str">
        <f>IFERROR(__xludf.DUMMYFUNCTION("""COMPUTED_VALUE"""),"")</f>
        <v/>
      </c>
      <c r="I352" s="51" t="str">
        <f>IFERROR(__xludf.DUMMYFUNCTION("""COMPUTED_VALUE"""),"#VALUE!")</f>
        <v>#VALUE!</v>
      </c>
      <c r="J352" s="51" t="str">
        <f>IFERROR(__xludf.DUMMYFUNCTION("""COMPUTED_VALUE"""),"")</f>
        <v/>
      </c>
      <c r="K352" s="51"/>
      <c r="L352" s="51" t="s">
        <v>257</v>
      </c>
      <c r="M352" s="51"/>
      <c r="N352" s="51"/>
      <c r="O352" s="51"/>
      <c r="P352" s="51"/>
      <c r="Q352" s="51"/>
      <c r="R352" s="51"/>
      <c r="S352" s="51"/>
      <c r="T352" s="51"/>
    </row>
    <row r="353">
      <c r="A353" s="51"/>
      <c r="B353" s="51"/>
      <c r="C353" s="56"/>
      <c r="D353" s="51"/>
      <c r="E353" s="51"/>
      <c r="F353" s="51"/>
      <c r="G353" s="51" t="str">
        <f>IFERROR(__xludf.DUMMYFUNCTION("""COMPUTED_VALUE"""),"#VALUE!")</f>
        <v>#VALUE!</v>
      </c>
      <c r="H353" s="51" t="str">
        <f>IFERROR(__xludf.DUMMYFUNCTION("""COMPUTED_VALUE"""),"")</f>
        <v/>
      </c>
      <c r="I353" s="51" t="str">
        <f>IFERROR(__xludf.DUMMYFUNCTION("""COMPUTED_VALUE"""),"#VALUE!")</f>
        <v>#VALUE!</v>
      </c>
      <c r="J353" s="51" t="str">
        <f>IFERROR(__xludf.DUMMYFUNCTION("""COMPUTED_VALUE"""),"")</f>
        <v/>
      </c>
      <c r="K353" s="51"/>
      <c r="L353" s="51" t="s">
        <v>257</v>
      </c>
      <c r="M353" s="51"/>
      <c r="N353" s="51"/>
      <c r="O353" s="51"/>
      <c r="P353" s="51"/>
      <c r="Q353" s="51"/>
      <c r="R353" s="51"/>
      <c r="S353" s="51"/>
      <c r="T353" s="51"/>
    </row>
    <row r="354">
      <c r="A354" s="51"/>
      <c r="B354" s="51"/>
      <c r="C354" s="56"/>
      <c r="D354" s="51"/>
      <c r="E354" s="51"/>
      <c r="F354" s="51"/>
      <c r="G354" s="51" t="str">
        <f>IFERROR(__xludf.DUMMYFUNCTION("""COMPUTED_VALUE"""),"#VALUE!")</f>
        <v>#VALUE!</v>
      </c>
      <c r="H354" s="51" t="str">
        <f>IFERROR(__xludf.DUMMYFUNCTION("""COMPUTED_VALUE"""),"")</f>
        <v/>
      </c>
      <c r="I354" s="51" t="str">
        <f>IFERROR(__xludf.DUMMYFUNCTION("""COMPUTED_VALUE"""),"#VALUE!")</f>
        <v>#VALUE!</v>
      </c>
      <c r="J354" s="51" t="str">
        <f>IFERROR(__xludf.DUMMYFUNCTION("""COMPUTED_VALUE"""),"")</f>
        <v/>
      </c>
      <c r="K354" s="51"/>
      <c r="L354" s="51" t="s">
        <v>257</v>
      </c>
      <c r="M354" s="51"/>
      <c r="N354" s="51"/>
      <c r="O354" s="51"/>
      <c r="P354" s="51"/>
      <c r="Q354" s="51"/>
      <c r="R354" s="51"/>
      <c r="S354" s="51"/>
      <c r="T354" s="51"/>
    </row>
    <row r="355">
      <c r="A355" s="51"/>
      <c r="B355" s="51"/>
      <c r="C355" s="56"/>
      <c r="D355" s="51"/>
      <c r="E355" s="51"/>
      <c r="F355" s="51"/>
      <c r="G355" s="51" t="str">
        <f>IFERROR(__xludf.DUMMYFUNCTION("""COMPUTED_VALUE"""),"#VALUE!")</f>
        <v>#VALUE!</v>
      </c>
      <c r="H355" s="51" t="str">
        <f>IFERROR(__xludf.DUMMYFUNCTION("""COMPUTED_VALUE"""),"")</f>
        <v/>
      </c>
      <c r="I355" s="51" t="str">
        <f>IFERROR(__xludf.DUMMYFUNCTION("""COMPUTED_VALUE"""),"#VALUE!")</f>
        <v>#VALUE!</v>
      </c>
      <c r="J355" s="51" t="str">
        <f>IFERROR(__xludf.DUMMYFUNCTION("""COMPUTED_VALUE"""),"")</f>
        <v/>
      </c>
      <c r="K355" s="51"/>
      <c r="L355" s="51" t="s">
        <v>257</v>
      </c>
      <c r="M355" s="51"/>
      <c r="N355" s="51"/>
      <c r="O355" s="51"/>
      <c r="P355" s="51"/>
      <c r="Q355" s="51"/>
      <c r="R355" s="51"/>
      <c r="S355" s="51"/>
      <c r="T355" s="51"/>
    </row>
    <row r="356">
      <c r="A356" s="51"/>
      <c r="B356" s="51"/>
      <c r="C356" s="56"/>
      <c r="D356" s="51"/>
      <c r="E356" s="51"/>
      <c r="F356" s="51"/>
      <c r="G356" s="51" t="str">
        <f>IFERROR(__xludf.DUMMYFUNCTION("""COMPUTED_VALUE"""),"#VALUE!")</f>
        <v>#VALUE!</v>
      </c>
      <c r="H356" s="51" t="str">
        <f>IFERROR(__xludf.DUMMYFUNCTION("""COMPUTED_VALUE"""),"")</f>
        <v/>
      </c>
      <c r="I356" s="51" t="str">
        <f>IFERROR(__xludf.DUMMYFUNCTION("""COMPUTED_VALUE"""),"#VALUE!")</f>
        <v>#VALUE!</v>
      </c>
      <c r="J356" s="51" t="str">
        <f>IFERROR(__xludf.DUMMYFUNCTION("""COMPUTED_VALUE"""),"")</f>
        <v/>
      </c>
      <c r="K356" s="51"/>
      <c r="L356" s="51" t="s">
        <v>257</v>
      </c>
      <c r="M356" s="51"/>
      <c r="N356" s="51"/>
      <c r="O356" s="51"/>
      <c r="P356" s="51"/>
      <c r="Q356" s="51"/>
      <c r="R356" s="51"/>
      <c r="S356" s="51"/>
      <c r="T356" s="51"/>
    </row>
    <row r="357">
      <c r="A357" s="51"/>
      <c r="B357" s="51"/>
      <c r="C357" s="56"/>
      <c r="D357" s="51"/>
      <c r="E357" s="51"/>
      <c r="F357" s="51"/>
      <c r="G357" s="51" t="str">
        <f>IFERROR(__xludf.DUMMYFUNCTION("""COMPUTED_VALUE"""),"#VALUE!")</f>
        <v>#VALUE!</v>
      </c>
      <c r="H357" s="51" t="str">
        <f>IFERROR(__xludf.DUMMYFUNCTION("""COMPUTED_VALUE"""),"")</f>
        <v/>
      </c>
      <c r="I357" s="51" t="str">
        <f>IFERROR(__xludf.DUMMYFUNCTION("""COMPUTED_VALUE"""),"#VALUE!")</f>
        <v>#VALUE!</v>
      </c>
      <c r="J357" s="51" t="str">
        <f>IFERROR(__xludf.DUMMYFUNCTION("""COMPUTED_VALUE"""),"")</f>
        <v/>
      </c>
      <c r="K357" s="51"/>
      <c r="L357" s="51" t="s">
        <v>257</v>
      </c>
      <c r="M357" s="51"/>
      <c r="N357" s="51"/>
      <c r="O357" s="51"/>
      <c r="P357" s="51"/>
      <c r="Q357" s="51"/>
      <c r="R357" s="51"/>
      <c r="S357" s="51"/>
      <c r="T357" s="51"/>
    </row>
    <row r="358">
      <c r="A358" s="51"/>
      <c r="B358" s="51"/>
      <c r="C358" s="56"/>
      <c r="D358" s="51"/>
      <c r="E358" s="51"/>
      <c r="F358" s="51"/>
      <c r="G358" s="51" t="str">
        <f>IFERROR(__xludf.DUMMYFUNCTION("""COMPUTED_VALUE"""),"#VALUE!")</f>
        <v>#VALUE!</v>
      </c>
      <c r="H358" s="51" t="str">
        <f>IFERROR(__xludf.DUMMYFUNCTION("""COMPUTED_VALUE"""),"")</f>
        <v/>
      </c>
      <c r="I358" s="51" t="str">
        <f>IFERROR(__xludf.DUMMYFUNCTION("""COMPUTED_VALUE"""),"#VALUE!")</f>
        <v>#VALUE!</v>
      </c>
      <c r="J358" s="51" t="str">
        <f>IFERROR(__xludf.DUMMYFUNCTION("""COMPUTED_VALUE"""),"")</f>
        <v/>
      </c>
      <c r="K358" s="51"/>
      <c r="L358" s="51" t="s">
        <v>257</v>
      </c>
      <c r="M358" s="51"/>
      <c r="N358" s="51"/>
      <c r="O358" s="51"/>
      <c r="P358" s="51"/>
      <c r="Q358" s="51"/>
      <c r="R358" s="51"/>
      <c r="S358" s="51"/>
      <c r="T358" s="51"/>
    </row>
    <row r="359">
      <c r="A359" s="51"/>
      <c r="B359" s="51"/>
      <c r="C359" s="56"/>
      <c r="D359" s="51"/>
      <c r="E359" s="51"/>
      <c r="F359" s="51"/>
      <c r="G359" s="51" t="str">
        <f>IFERROR(__xludf.DUMMYFUNCTION("""COMPUTED_VALUE"""),"#VALUE!")</f>
        <v>#VALUE!</v>
      </c>
      <c r="H359" s="51" t="str">
        <f>IFERROR(__xludf.DUMMYFUNCTION("""COMPUTED_VALUE"""),"")</f>
        <v/>
      </c>
      <c r="I359" s="51" t="str">
        <f>IFERROR(__xludf.DUMMYFUNCTION("""COMPUTED_VALUE"""),"#VALUE!")</f>
        <v>#VALUE!</v>
      </c>
      <c r="J359" s="51" t="str">
        <f>IFERROR(__xludf.DUMMYFUNCTION("""COMPUTED_VALUE"""),"")</f>
        <v/>
      </c>
      <c r="K359" s="51"/>
      <c r="L359" s="51" t="s">
        <v>257</v>
      </c>
      <c r="M359" s="51"/>
      <c r="N359" s="51"/>
      <c r="O359" s="51"/>
      <c r="P359" s="51"/>
      <c r="Q359" s="51"/>
      <c r="R359" s="51"/>
      <c r="S359" s="51"/>
      <c r="T359" s="51"/>
    </row>
    <row r="360">
      <c r="A360" s="51"/>
      <c r="B360" s="51"/>
      <c r="C360" s="56"/>
      <c r="D360" s="51"/>
      <c r="E360" s="51"/>
      <c r="F360" s="51"/>
      <c r="G360" s="51" t="str">
        <f>IFERROR(__xludf.DUMMYFUNCTION("""COMPUTED_VALUE"""),"#VALUE!")</f>
        <v>#VALUE!</v>
      </c>
      <c r="H360" s="51" t="str">
        <f>IFERROR(__xludf.DUMMYFUNCTION("""COMPUTED_VALUE"""),"")</f>
        <v/>
      </c>
      <c r="I360" s="51" t="str">
        <f>IFERROR(__xludf.DUMMYFUNCTION("""COMPUTED_VALUE"""),"#VALUE!")</f>
        <v>#VALUE!</v>
      </c>
      <c r="J360" s="51" t="str">
        <f>IFERROR(__xludf.DUMMYFUNCTION("""COMPUTED_VALUE"""),"")</f>
        <v/>
      </c>
      <c r="K360" s="51"/>
      <c r="L360" s="51" t="s">
        <v>257</v>
      </c>
      <c r="M360" s="51"/>
      <c r="N360" s="51"/>
      <c r="O360" s="51"/>
      <c r="P360" s="51"/>
      <c r="Q360" s="51"/>
      <c r="R360" s="51"/>
      <c r="S360" s="51"/>
      <c r="T360" s="51"/>
    </row>
    <row r="361">
      <c r="A361" s="51"/>
      <c r="B361" s="51"/>
      <c r="C361" s="56"/>
      <c r="D361" s="51"/>
      <c r="E361" s="51"/>
      <c r="F361" s="51"/>
      <c r="G361" s="51" t="str">
        <f>IFERROR(__xludf.DUMMYFUNCTION("""COMPUTED_VALUE"""),"#VALUE!")</f>
        <v>#VALUE!</v>
      </c>
      <c r="H361" s="51" t="str">
        <f>IFERROR(__xludf.DUMMYFUNCTION("""COMPUTED_VALUE"""),"")</f>
        <v/>
      </c>
      <c r="I361" s="51" t="str">
        <f>IFERROR(__xludf.DUMMYFUNCTION("""COMPUTED_VALUE"""),"#VALUE!")</f>
        <v>#VALUE!</v>
      </c>
      <c r="J361" s="51" t="str">
        <f>IFERROR(__xludf.DUMMYFUNCTION("""COMPUTED_VALUE"""),"")</f>
        <v/>
      </c>
      <c r="K361" s="51"/>
      <c r="L361" s="51" t="s">
        <v>257</v>
      </c>
      <c r="M361" s="51"/>
      <c r="N361" s="51"/>
      <c r="O361" s="51"/>
      <c r="P361" s="51"/>
      <c r="Q361" s="51"/>
      <c r="R361" s="51"/>
      <c r="S361" s="51"/>
      <c r="T361" s="51"/>
    </row>
    <row r="362">
      <c r="A362" s="51"/>
      <c r="B362" s="51"/>
      <c r="C362" s="56"/>
      <c r="D362" s="51"/>
      <c r="E362" s="51"/>
      <c r="F362" s="51"/>
      <c r="G362" s="51" t="str">
        <f>IFERROR(__xludf.DUMMYFUNCTION("""COMPUTED_VALUE"""),"#VALUE!")</f>
        <v>#VALUE!</v>
      </c>
      <c r="H362" s="51" t="str">
        <f>IFERROR(__xludf.DUMMYFUNCTION("""COMPUTED_VALUE"""),"")</f>
        <v/>
      </c>
      <c r="I362" s="51" t="str">
        <f>IFERROR(__xludf.DUMMYFUNCTION("""COMPUTED_VALUE"""),"#VALUE!")</f>
        <v>#VALUE!</v>
      </c>
      <c r="J362" s="51" t="str">
        <f>IFERROR(__xludf.DUMMYFUNCTION("""COMPUTED_VALUE"""),"")</f>
        <v/>
      </c>
      <c r="K362" s="51"/>
      <c r="L362" s="51" t="s">
        <v>257</v>
      </c>
      <c r="M362" s="51"/>
      <c r="N362" s="51"/>
      <c r="O362" s="51"/>
      <c r="P362" s="51"/>
      <c r="Q362" s="51"/>
      <c r="R362" s="51"/>
      <c r="S362" s="51"/>
      <c r="T362" s="51"/>
    </row>
    <row r="363">
      <c r="A363" s="51"/>
      <c r="B363" s="51"/>
      <c r="C363" s="56"/>
      <c r="D363" s="51"/>
      <c r="E363" s="51"/>
      <c r="F363" s="51"/>
      <c r="G363" s="51" t="str">
        <f>IFERROR(__xludf.DUMMYFUNCTION("""COMPUTED_VALUE"""),"#VALUE!")</f>
        <v>#VALUE!</v>
      </c>
      <c r="H363" s="51" t="str">
        <f>IFERROR(__xludf.DUMMYFUNCTION("""COMPUTED_VALUE"""),"")</f>
        <v/>
      </c>
      <c r="I363" s="51" t="str">
        <f>IFERROR(__xludf.DUMMYFUNCTION("""COMPUTED_VALUE"""),"#VALUE!")</f>
        <v>#VALUE!</v>
      </c>
      <c r="J363" s="51" t="str">
        <f>IFERROR(__xludf.DUMMYFUNCTION("""COMPUTED_VALUE"""),"")</f>
        <v/>
      </c>
      <c r="K363" s="51"/>
      <c r="L363" s="51" t="s">
        <v>257</v>
      </c>
      <c r="M363" s="51"/>
      <c r="N363" s="51"/>
      <c r="O363" s="51"/>
      <c r="P363" s="51"/>
      <c r="Q363" s="51"/>
      <c r="R363" s="51"/>
      <c r="S363" s="51"/>
      <c r="T363" s="51"/>
    </row>
    <row r="364">
      <c r="A364" s="51"/>
      <c r="B364" s="51"/>
      <c r="C364" s="56"/>
      <c r="D364" s="51"/>
      <c r="E364" s="51"/>
      <c r="F364" s="51"/>
      <c r="G364" s="51" t="str">
        <f>IFERROR(__xludf.DUMMYFUNCTION("""COMPUTED_VALUE"""),"#VALUE!")</f>
        <v>#VALUE!</v>
      </c>
      <c r="H364" s="51" t="str">
        <f>IFERROR(__xludf.DUMMYFUNCTION("""COMPUTED_VALUE"""),"")</f>
        <v/>
      </c>
      <c r="I364" s="51" t="str">
        <f>IFERROR(__xludf.DUMMYFUNCTION("""COMPUTED_VALUE"""),"#VALUE!")</f>
        <v>#VALUE!</v>
      </c>
      <c r="J364" s="51" t="str">
        <f>IFERROR(__xludf.DUMMYFUNCTION("""COMPUTED_VALUE"""),"")</f>
        <v/>
      </c>
      <c r="K364" s="51"/>
      <c r="L364" s="51" t="s">
        <v>257</v>
      </c>
      <c r="M364" s="51"/>
      <c r="N364" s="51"/>
      <c r="O364" s="51"/>
      <c r="P364" s="51"/>
      <c r="Q364" s="51"/>
      <c r="R364" s="51"/>
      <c r="S364" s="51"/>
      <c r="T364" s="51"/>
    </row>
    <row r="365">
      <c r="A365" s="51"/>
      <c r="B365" s="51"/>
      <c r="C365" s="56"/>
      <c r="D365" s="51"/>
      <c r="E365" s="51"/>
      <c r="F365" s="51"/>
      <c r="G365" s="51" t="str">
        <f>IFERROR(__xludf.DUMMYFUNCTION("""COMPUTED_VALUE"""),"#VALUE!")</f>
        <v>#VALUE!</v>
      </c>
      <c r="H365" s="51" t="str">
        <f>IFERROR(__xludf.DUMMYFUNCTION("""COMPUTED_VALUE"""),"")</f>
        <v/>
      </c>
      <c r="I365" s="51" t="str">
        <f>IFERROR(__xludf.DUMMYFUNCTION("""COMPUTED_VALUE"""),"#VALUE!")</f>
        <v>#VALUE!</v>
      </c>
      <c r="J365" s="51" t="str">
        <f>IFERROR(__xludf.DUMMYFUNCTION("""COMPUTED_VALUE"""),"")</f>
        <v/>
      </c>
      <c r="K365" s="51"/>
      <c r="L365" s="51" t="s">
        <v>257</v>
      </c>
      <c r="M365" s="51"/>
      <c r="N365" s="51"/>
      <c r="O365" s="51"/>
      <c r="P365" s="51"/>
      <c r="Q365" s="51"/>
      <c r="R365" s="51"/>
      <c r="S365" s="51"/>
      <c r="T365" s="51"/>
    </row>
    <row r="366">
      <c r="A366" s="51"/>
      <c r="B366" s="51"/>
      <c r="C366" s="56"/>
      <c r="D366" s="51"/>
      <c r="E366" s="51"/>
      <c r="F366" s="51"/>
      <c r="G366" s="51" t="str">
        <f>IFERROR(__xludf.DUMMYFUNCTION("""COMPUTED_VALUE"""),"#VALUE!")</f>
        <v>#VALUE!</v>
      </c>
      <c r="H366" s="51" t="str">
        <f>IFERROR(__xludf.DUMMYFUNCTION("""COMPUTED_VALUE"""),"")</f>
        <v/>
      </c>
      <c r="I366" s="51" t="str">
        <f>IFERROR(__xludf.DUMMYFUNCTION("""COMPUTED_VALUE"""),"#VALUE!")</f>
        <v>#VALUE!</v>
      </c>
      <c r="J366" s="51" t="str">
        <f>IFERROR(__xludf.DUMMYFUNCTION("""COMPUTED_VALUE"""),"")</f>
        <v/>
      </c>
      <c r="K366" s="51"/>
      <c r="L366" s="51" t="s">
        <v>257</v>
      </c>
      <c r="M366" s="51"/>
      <c r="N366" s="51"/>
      <c r="O366" s="51"/>
      <c r="P366" s="51"/>
      <c r="Q366" s="51"/>
      <c r="R366" s="51"/>
      <c r="S366" s="51"/>
      <c r="T366" s="51"/>
    </row>
    <row r="367">
      <c r="A367" s="51"/>
      <c r="B367" s="51"/>
      <c r="C367" s="56"/>
      <c r="D367" s="51"/>
      <c r="E367" s="51"/>
      <c r="F367" s="51"/>
      <c r="G367" s="51" t="str">
        <f>IFERROR(__xludf.DUMMYFUNCTION("""COMPUTED_VALUE"""),"#VALUE!")</f>
        <v>#VALUE!</v>
      </c>
      <c r="H367" s="51" t="str">
        <f>IFERROR(__xludf.DUMMYFUNCTION("""COMPUTED_VALUE"""),"")</f>
        <v/>
      </c>
      <c r="I367" s="51" t="str">
        <f>IFERROR(__xludf.DUMMYFUNCTION("""COMPUTED_VALUE"""),"#VALUE!")</f>
        <v>#VALUE!</v>
      </c>
      <c r="J367" s="51" t="str">
        <f>IFERROR(__xludf.DUMMYFUNCTION("""COMPUTED_VALUE"""),"")</f>
        <v/>
      </c>
      <c r="K367" s="51"/>
      <c r="L367" s="51" t="s">
        <v>257</v>
      </c>
      <c r="M367" s="51"/>
      <c r="N367" s="51"/>
      <c r="O367" s="51"/>
      <c r="P367" s="51"/>
      <c r="Q367" s="51"/>
      <c r="R367" s="51"/>
      <c r="S367" s="51"/>
      <c r="T367" s="51"/>
    </row>
    <row r="368">
      <c r="A368" s="51"/>
      <c r="B368" s="51"/>
      <c r="C368" s="56"/>
      <c r="D368" s="51"/>
      <c r="E368" s="51"/>
      <c r="F368" s="51"/>
      <c r="G368" s="51" t="str">
        <f>IFERROR(__xludf.DUMMYFUNCTION("""COMPUTED_VALUE"""),"#VALUE!")</f>
        <v>#VALUE!</v>
      </c>
      <c r="H368" s="51" t="str">
        <f>IFERROR(__xludf.DUMMYFUNCTION("""COMPUTED_VALUE"""),"")</f>
        <v/>
      </c>
      <c r="I368" s="51" t="str">
        <f>IFERROR(__xludf.DUMMYFUNCTION("""COMPUTED_VALUE"""),"#VALUE!")</f>
        <v>#VALUE!</v>
      </c>
      <c r="J368" s="51" t="str">
        <f>IFERROR(__xludf.DUMMYFUNCTION("""COMPUTED_VALUE"""),"")</f>
        <v/>
      </c>
      <c r="K368" s="51"/>
      <c r="L368" s="51" t="s">
        <v>257</v>
      </c>
      <c r="M368" s="51"/>
      <c r="N368" s="51"/>
      <c r="O368" s="51"/>
      <c r="P368" s="51"/>
      <c r="Q368" s="51"/>
      <c r="R368" s="51"/>
      <c r="S368" s="51"/>
      <c r="T368" s="51"/>
    </row>
    <row r="369">
      <c r="A369" s="51"/>
      <c r="B369" s="51"/>
      <c r="C369" s="56"/>
      <c r="D369" s="51"/>
      <c r="E369" s="51"/>
      <c r="F369" s="51"/>
      <c r="G369" s="51" t="str">
        <f>IFERROR(__xludf.DUMMYFUNCTION("""COMPUTED_VALUE"""),"#VALUE!")</f>
        <v>#VALUE!</v>
      </c>
      <c r="H369" s="51" t="str">
        <f>IFERROR(__xludf.DUMMYFUNCTION("""COMPUTED_VALUE"""),"")</f>
        <v/>
      </c>
      <c r="I369" s="51" t="str">
        <f>IFERROR(__xludf.DUMMYFUNCTION("""COMPUTED_VALUE"""),"#VALUE!")</f>
        <v>#VALUE!</v>
      </c>
      <c r="J369" s="51" t="str">
        <f>IFERROR(__xludf.DUMMYFUNCTION("""COMPUTED_VALUE"""),"")</f>
        <v/>
      </c>
      <c r="K369" s="51"/>
      <c r="L369" s="51" t="s">
        <v>257</v>
      </c>
      <c r="M369" s="51"/>
      <c r="N369" s="51"/>
      <c r="O369" s="51"/>
      <c r="P369" s="51"/>
      <c r="Q369" s="51"/>
      <c r="R369" s="51"/>
      <c r="S369" s="51"/>
      <c r="T369" s="51"/>
    </row>
    <row r="370">
      <c r="A370" s="51"/>
      <c r="B370" s="51"/>
      <c r="C370" s="56"/>
      <c r="D370" s="51"/>
      <c r="E370" s="51"/>
      <c r="F370" s="51"/>
      <c r="G370" s="51" t="str">
        <f>IFERROR(__xludf.DUMMYFUNCTION("""COMPUTED_VALUE"""),"#VALUE!")</f>
        <v>#VALUE!</v>
      </c>
      <c r="H370" s="51" t="str">
        <f>IFERROR(__xludf.DUMMYFUNCTION("""COMPUTED_VALUE"""),"")</f>
        <v/>
      </c>
      <c r="I370" s="51" t="str">
        <f>IFERROR(__xludf.DUMMYFUNCTION("""COMPUTED_VALUE"""),"#VALUE!")</f>
        <v>#VALUE!</v>
      </c>
      <c r="J370" s="51" t="str">
        <f>IFERROR(__xludf.DUMMYFUNCTION("""COMPUTED_VALUE"""),"")</f>
        <v/>
      </c>
      <c r="K370" s="51"/>
      <c r="L370" s="51" t="s">
        <v>257</v>
      </c>
      <c r="M370" s="51"/>
      <c r="N370" s="51"/>
      <c r="O370" s="51"/>
      <c r="P370" s="51"/>
      <c r="Q370" s="51"/>
      <c r="R370" s="51"/>
      <c r="S370" s="51"/>
      <c r="T370" s="51"/>
    </row>
    <row r="371">
      <c r="A371" s="51"/>
      <c r="B371" s="51"/>
      <c r="C371" s="56"/>
      <c r="D371" s="51"/>
      <c r="E371" s="51"/>
      <c r="F371" s="51"/>
      <c r="G371" s="51" t="str">
        <f>IFERROR(__xludf.DUMMYFUNCTION("""COMPUTED_VALUE"""),"#VALUE!")</f>
        <v>#VALUE!</v>
      </c>
      <c r="H371" s="51" t="str">
        <f>IFERROR(__xludf.DUMMYFUNCTION("""COMPUTED_VALUE"""),"")</f>
        <v/>
      </c>
      <c r="I371" s="51" t="str">
        <f>IFERROR(__xludf.DUMMYFUNCTION("""COMPUTED_VALUE"""),"#VALUE!")</f>
        <v>#VALUE!</v>
      </c>
      <c r="J371" s="51" t="str">
        <f>IFERROR(__xludf.DUMMYFUNCTION("""COMPUTED_VALUE"""),"")</f>
        <v/>
      </c>
      <c r="K371" s="51"/>
      <c r="L371" s="51" t="s">
        <v>257</v>
      </c>
      <c r="M371" s="51"/>
      <c r="N371" s="51"/>
      <c r="O371" s="51"/>
      <c r="P371" s="51"/>
      <c r="Q371" s="51"/>
      <c r="R371" s="51"/>
      <c r="S371" s="51"/>
      <c r="T371" s="51"/>
    </row>
    <row r="372">
      <c r="A372" s="51"/>
      <c r="B372" s="51"/>
      <c r="C372" s="56"/>
      <c r="D372" s="51"/>
      <c r="E372" s="51"/>
      <c r="F372" s="51"/>
      <c r="G372" s="51" t="str">
        <f>IFERROR(__xludf.DUMMYFUNCTION("""COMPUTED_VALUE"""),"#VALUE!")</f>
        <v>#VALUE!</v>
      </c>
      <c r="H372" s="51" t="str">
        <f>IFERROR(__xludf.DUMMYFUNCTION("""COMPUTED_VALUE"""),"")</f>
        <v/>
      </c>
      <c r="I372" s="51" t="str">
        <f>IFERROR(__xludf.DUMMYFUNCTION("""COMPUTED_VALUE"""),"#VALUE!")</f>
        <v>#VALUE!</v>
      </c>
      <c r="J372" s="51" t="str">
        <f>IFERROR(__xludf.DUMMYFUNCTION("""COMPUTED_VALUE"""),"")</f>
        <v/>
      </c>
      <c r="K372" s="51"/>
      <c r="L372" s="51" t="s">
        <v>257</v>
      </c>
      <c r="M372" s="51"/>
      <c r="N372" s="51"/>
      <c r="O372" s="51"/>
      <c r="P372" s="51"/>
      <c r="Q372" s="51"/>
      <c r="R372" s="51"/>
      <c r="S372" s="51"/>
      <c r="T372" s="51"/>
    </row>
    <row r="373">
      <c r="A373" s="51"/>
      <c r="B373" s="51"/>
      <c r="C373" s="56"/>
      <c r="D373" s="51"/>
      <c r="E373" s="51"/>
      <c r="F373" s="51"/>
      <c r="G373" s="51" t="str">
        <f>IFERROR(__xludf.DUMMYFUNCTION("""COMPUTED_VALUE"""),"#VALUE!")</f>
        <v>#VALUE!</v>
      </c>
      <c r="H373" s="51" t="str">
        <f>IFERROR(__xludf.DUMMYFUNCTION("""COMPUTED_VALUE"""),"")</f>
        <v/>
      </c>
      <c r="I373" s="51" t="str">
        <f>IFERROR(__xludf.DUMMYFUNCTION("""COMPUTED_VALUE"""),"#VALUE!")</f>
        <v>#VALUE!</v>
      </c>
      <c r="J373" s="51" t="str">
        <f>IFERROR(__xludf.DUMMYFUNCTION("""COMPUTED_VALUE"""),"")</f>
        <v/>
      </c>
      <c r="K373" s="51"/>
      <c r="L373" s="51" t="s">
        <v>257</v>
      </c>
      <c r="M373" s="51"/>
      <c r="N373" s="51"/>
      <c r="O373" s="51"/>
      <c r="P373" s="51"/>
      <c r="Q373" s="51"/>
      <c r="R373" s="51"/>
      <c r="S373" s="51"/>
      <c r="T373" s="51"/>
    </row>
    <row r="374">
      <c r="A374" s="51"/>
      <c r="B374" s="51"/>
      <c r="C374" s="56"/>
      <c r="D374" s="51"/>
      <c r="E374" s="51"/>
      <c r="F374" s="51"/>
      <c r="G374" s="51" t="str">
        <f>IFERROR(__xludf.DUMMYFUNCTION("""COMPUTED_VALUE"""),"#VALUE!")</f>
        <v>#VALUE!</v>
      </c>
      <c r="H374" s="51" t="str">
        <f>IFERROR(__xludf.DUMMYFUNCTION("""COMPUTED_VALUE"""),"")</f>
        <v/>
      </c>
      <c r="I374" s="51" t="str">
        <f>IFERROR(__xludf.DUMMYFUNCTION("""COMPUTED_VALUE"""),"#VALUE!")</f>
        <v>#VALUE!</v>
      </c>
      <c r="J374" s="51" t="str">
        <f>IFERROR(__xludf.DUMMYFUNCTION("""COMPUTED_VALUE"""),"")</f>
        <v/>
      </c>
      <c r="K374" s="51"/>
      <c r="L374" s="51" t="s">
        <v>257</v>
      </c>
      <c r="M374" s="51"/>
      <c r="N374" s="51"/>
      <c r="O374" s="51"/>
      <c r="P374" s="51"/>
      <c r="Q374" s="51"/>
      <c r="R374" s="51"/>
      <c r="S374" s="51"/>
      <c r="T374" s="51"/>
    </row>
    <row r="375">
      <c r="A375" s="51"/>
      <c r="B375" s="51"/>
      <c r="C375" s="56"/>
      <c r="D375" s="51"/>
      <c r="E375" s="51"/>
      <c r="F375" s="51"/>
      <c r="G375" s="51" t="str">
        <f>IFERROR(__xludf.DUMMYFUNCTION("""COMPUTED_VALUE"""),"#VALUE!")</f>
        <v>#VALUE!</v>
      </c>
      <c r="H375" s="51" t="str">
        <f>IFERROR(__xludf.DUMMYFUNCTION("""COMPUTED_VALUE"""),"")</f>
        <v/>
      </c>
      <c r="I375" s="51" t="str">
        <f>IFERROR(__xludf.DUMMYFUNCTION("""COMPUTED_VALUE"""),"#VALUE!")</f>
        <v>#VALUE!</v>
      </c>
      <c r="J375" s="51" t="str">
        <f>IFERROR(__xludf.DUMMYFUNCTION("""COMPUTED_VALUE"""),"")</f>
        <v/>
      </c>
      <c r="K375" s="51"/>
      <c r="L375" s="51" t="s">
        <v>257</v>
      </c>
      <c r="M375" s="51"/>
      <c r="N375" s="51"/>
      <c r="O375" s="51"/>
      <c r="P375" s="51"/>
      <c r="Q375" s="51"/>
      <c r="R375" s="51"/>
      <c r="S375" s="51"/>
      <c r="T375" s="51"/>
    </row>
    <row r="376">
      <c r="A376" s="51"/>
      <c r="B376" s="51"/>
      <c r="C376" s="56"/>
      <c r="D376" s="51"/>
      <c r="E376" s="51"/>
      <c r="F376" s="51"/>
      <c r="G376" s="51" t="str">
        <f>IFERROR(__xludf.DUMMYFUNCTION("""COMPUTED_VALUE"""),"#VALUE!")</f>
        <v>#VALUE!</v>
      </c>
      <c r="H376" s="51" t="str">
        <f>IFERROR(__xludf.DUMMYFUNCTION("""COMPUTED_VALUE"""),"")</f>
        <v/>
      </c>
      <c r="I376" s="51" t="str">
        <f>IFERROR(__xludf.DUMMYFUNCTION("""COMPUTED_VALUE"""),"#VALUE!")</f>
        <v>#VALUE!</v>
      </c>
      <c r="J376" s="51" t="str">
        <f>IFERROR(__xludf.DUMMYFUNCTION("""COMPUTED_VALUE"""),"")</f>
        <v/>
      </c>
      <c r="K376" s="51"/>
      <c r="L376" s="51" t="s">
        <v>257</v>
      </c>
      <c r="M376" s="51"/>
      <c r="N376" s="51"/>
      <c r="O376" s="51"/>
      <c r="P376" s="51"/>
      <c r="Q376" s="51"/>
      <c r="R376" s="51"/>
      <c r="S376" s="51"/>
      <c r="T376" s="51"/>
    </row>
    <row r="377">
      <c r="A377" s="51"/>
      <c r="B377" s="51"/>
      <c r="C377" s="56"/>
      <c r="D377" s="51"/>
      <c r="E377" s="51"/>
      <c r="F377" s="51"/>
      <c r="G377" s="51" t="str">
        <f>IFERROR(__xludf.DUMMYFUNCTION("""COMPUTED_VALUE"""),"#VALUE!")</f>
        <v>#VALUE!</v>
      </c>
      <c r="H377" s="51" t="str">
        <f>IFERROR(__xludf.DUMMYFUNCTION("""COMPUTED_VALUE"""),"")</f>
        <v/>
      </c>
      <c r="I377" s="51" t="str">
        <f>IFERROR(__xludf.DUMMYFUNCTION("""COMPUTED_VALUE"""),"#VALUE!")</f>
        <v>#VALUE!</v>
      </c>
      <c r="J377" s="51" t="str">
        <f>IFERROR(__xludf.DUMMYFUNCTION("""COMPUTED_VALUE"""),"")</f>
        <v/>
      </c>
      <c r="K377" s="51"/>
      <c r="L377" s="51" t="s">
        <v>257</v>
      </c>
      <c r="M377" s="51"/>
      <c r="N377" s="51"/>
      <c r="O377" s="51"/>
      <c r="P377" s="51"/>
      <c r="Q377" s="51"/>
      <c r="R377" s="51"/>
      <c r="S377" s="51"/>
      <c r="T377" s="51"/>
    </row>
    <row r="378">
      <c r="A378" s="51"/>
      <c r="B378" s="51"/>
      <c r="C378" s="56"/>
      <c r="D378" s="51"/>
      <c r="E378" s="51"/>
      <c r="F378" s="51"/>
      <c r="G378" s="51" t="str">
        <f>IFERROR(__xludf.DUMMYFUNCTION("""COMPUTED_VALUE"""),"#VALUE!")</f>
        <v>#VALUE!</v>
      </c>
      <c r="H378" s="51" t="str">
        <f>IFERROR(__xludf.DUMMYFUNCTION("""COMPUTED_VALUE"""),"")</f>
        <v/>
      </c>
      <c r="I378" s="51" t="str">
        <f>IFERROR(__xludf.DUMMYFUNCTION("""COMPUTED_VALUE"""),"#VALUE!")</f>
        <v>#VALUE!</v>
      </c>
      <c r="J378" s="51" t="str">
        <f>IFERROR(__xludf.DUMMYFUNCTION("""COMPUTED_VALUE"""),"")</f>
        <v/>
      </c>
      <c r="K378" s="51"/>
      <c r="L378" s="51" t="s">
        <v>257</v>
      </c>
      <c r="M378" s="51"/>
      <c r="N378" s="51"/>
      <c r="O378" s="51"/>
      <c r="P378" s="51"/>
      <c r="Q378" s="51"/>
      <c r="R378" s="51"/>
      <c r="S378" s="51"/>
      <c r="T378" s="51"/>
    </row>
    <row r="379">
      <c r="A379" s="51"/>
      <c r="B379" s="51"/>
      <c r="C379" s="56"/>
      <c r="D379" s="51"/>
      <c r="E379" s="51"/>
      <c r="F379" s="51"/>
      <c r="G379" s="51" t="str">
        <f>IFERROR(__xludf.DUMMYFUNCTION("""COMPUTED_VALUE"""),"#VALUE!")</f>
        <v>#VALUE!</v>
      </c>
      <c r="H379" s="51" t="str">
        <f>IFERROR(__xludf.DUMMYFUNCTION("""COMPUTED_VALUE"""),"")</f>
        <v/>
      </c>
      <c r="I379" s="51" t="str">
        <f>IFERROR(__xludf.DUMMYFUNCTION("""COMPUTED_VALUE"""),"#VALUE!")</f>
        <v>#VALUE!</v>
      </c>
      <c r="J379" s="51" t="str">
        <f>IFERROR(__xludf.DUMMYFUNCTION("""COMPUTED_VALUE"""),"")</f>
        <v/>
      </c>
      <c r="K379" s="51"/>
      <c r="L379" s="51" t="s">
        <v>257</v>
      </c>
      <c r="M379" s="51"/>
      <c r="N379" s="51"/>
      <c r="O379" s="51"/>
      <c r="P379" s="51"/>
      <c r="Q379" s="51"/>
      <c r="R379" s="51"/>
      <c r="S379" s="51"/>
      <c r="T379" s="51"/>
    </row>
    <row r="380">
      <c r="A380" s="51"/>
      <c r="B380" s="51"/>
      <c r="C380" s="56"/>
      <c r="D380" s="51"/>
      <c r="E380" s="51"/>
      <c r="F380" s="51"/>
      <c r="G380" s="51" t="str">
        <f>IFERROR(__xludf.DUMMYFUNCTION("""COMPUTED_VALUE"""),"#VALUE!")</f>
        <v>#VALUE!</v>
      </c>
      <c r="H380" s="51" t="str">
        <f>IFERROR(__xludf.DUMMYFUNCTION("""COMPUTED_VALUE"""),"")</f>
        <v/>
      </c>
      <c r="I380" s="51" t="str">
        <f>IFERROR(__xludf.DUMMYFUNCTION("""COMPUTED_VALUE"""),"#VALUE!")</f>
        <v>#VALUE!</v>
      </c>
      <c r="J380" s="51" t="str">
        <f>IFERROR(__xludf.DUMMYFUNCTION("""COMPUTED_VALUE"""),"")</f>
        <v/>
      </c>
      <c r="K380" s="51"/>
      <c r="L380" s="51" t="s">
        <v>257</v>
      </c>
      <c r="M380" s="51"/>
      <c r="N380" s="51"/>
      <c r="O380" s="51"/>
      <c r="P380" s="51"/>
      <c r="Q380" s="51"/>
      <c r="R380" s="51"/>
      <c r="S380" s="51"/>
      <c r="T380" s="51"/>
    </row>
    <row r="381">
      <c r="A381" s="51"/>
      <c r="B381" s="51"/>
      <c r="C381" s="56"/>
      <c r="D381" s="51"/>
      <c r="E381" s="51"/>
      <c r="F381" s="51"/>
      <c r="G381" s="51" t="str">
        <f>IFERROR(__xludf.DUMMYFUNCTION("""COMPUTED_VALUE"""),"#VALUE!")</f>
        <v>#VALUE!</v>
      </c>
      <c r="H381" s="51" t="str">
        <f>IFERROR(__xludf.DUMMYFUNCTION("""COMPUTED_VALUE"""),"")</f>
        <v/>
      </c>
      <c r="I381" s="51" t="str">
        <f>IFERROR(__xludf.DUMMYFUNCTION("""COMPUTED_VALUE"""),"#VALUE!")</f>
        <v>#VALUE!</v>
      </c>
      <c r="J381" s="51" t="str">
        <f>IFERROR(__xludf.DUMMYFUNCTION("""COMPUTED_VALUE"""),"")</f>
        <v/>
      </c>
      <c r="K381" s="51"/>
      <c r="L381" s="51" t="s">
        <v>257</v>
      </c>
      <c r="M381" s="51"/>
      <c r="N381" s="51"/>
      <c r="O381" s="51"/>
      <c r="P381" s="51"/>
      <c r="Q381" s="51"/>
      <c r="R381" s="51"/>
      <c r="S381" s="51"/>
      <c r="T381" s="51"/>
    </row>
    <row r="382">
      <c r="A382" s="51"/>
      <c r="B382" s="51"/>
      <c r="C382" s="56"/>
      <c r="D382" s="51"/>
      <c r="E382" s="51"/>
      <c r="F382" s="51"/>
      <c r="G382" s="51" t="str">
        <f>IFERROR(__xludf.DUMMYFUNCTION("""COMPUTED_VALUE"""),"#VALUE!")</f>
        <v>#VALUE!</v>
      </c>
      <c r="H382" s="51" t="str">
        <f>IFERROR(__xludf.DUMMYFUNCTION("""COMPUTED_VALUE"""),"")</f>
        <v/>
      </c>
      <c r="I382" s="51" t="str">
        <f>IFERROR(__xludf.DUMMYFUNCTION("""COMPUTED_VALUE"""),"#VALUE!")</f>
        <v>#VALUE!</v>
      </c>
      <c r="J382" s="51" t="str">
        <f>IFERROR(__xludf.DUMMYFUNCTION("""COMPUTED_VALUE"""),"")</f>
        <v/>
      </c>
      <c r="K382" s="51"/>
      <c r="L382" s="51" t="s">
        <v>257</v>
      </c>
      <c r="M382" s="51"/>
      <c r="N382" s="51"/>
      <c r="O382" s="51"/>
      <c r="P382" s="51"/>
      <c r="Q382" s="51"/>
      <c r="R382" s="51"/>
      <c r="S382" s="51"/>
      <c r="T382" s="51"/>
    </row>
    <row r="383">
      <c r="A383" s="51"/>
      <c r="B383" s="51"/>
      <c r="C383" s="56"/>
      <c r="D383" s="51"/>
      <c r="E383" s="51"/>
      <c r="F383" s="51"/>
      <c r="G383" s="51" t="str">
        <f>IFERROR(__xludf.DUMMYFUNCTION("""COMPUTED_VALUE"""),"#VALUE!")</f>
        <v>#VALUE!</v>
      </c>
      <c r="H383" s="51" t="str">
        <f>IFERROR(__xludf.DUMMYFUNCTION("""COMPUTED_VALUE"""),"")</f>
        <v/>
      </c>
      <c r="I383" s="51" t="str">
        <f>IFERROR(__xludf.DUMMYFUNCTION("""COMPUTED_VALUE"""),"#VALUE!")</f>
        <v>#VALUE!</v>
      </c>
      <c r="J383" s="51" t="str">
        <f>IFERROR(__xludf.DUMMYFUNCTION("""COMPUTED_VALUE"""),"")</f>
        <v/>
      </c>
      <c r="K383" s="51"/>
      <c r="L383" s="51" t="s">
        <v>257</v>
      </c>
      <c r="M383" s="51"/>
      <c r="N383" s="51"/>
      <c r="O383" s="51"/>
      <c r="P383" s="51"/>
      <c r="Q383" s="51"/>
      <c r="R383" s="51"/>
      <c r="S383" s="51"/>
      <c r="T383" s="51"/>
    </row>
    <row r="384">
      <c r="A384" s="51"/>
      <c r="B384" s="51"/>
      <c r="C384" s="56"/>
      <c r="D384" s="51"/>
      <c r="E384" s="51"/>
      <c r="F384" s="51"/>
      <c r="G384" s="51" t="str">
        <f>IFERROR(__xludf.DUMMYFUNCTION("""COMPUTED_VALUE"""),"#VALUE!")</f>
        <v>#VALUE!</v>
      </c>
      <c r="H384" s="51" t="str">
        <f>IFERROR(__xludf.DUMMYFUNCTION("""COMPUTED_VALUE"""),"")</f>
        <v/>
      </c>
      <c r="I384" s="51" t="str">
        <f>IFERROR(__xludf.DUMMYFUNCTION("""COMPUTED_VALUE"""),"#VALUE!")</f>
        <v>#VALUE!</v>
      </c>
      <c r="J384" s="51" t="str">
        <f>IFERROR(__xludf.DUMMYFUNCTION("""COMPUTED_VALUE"""),"")</f>
        <v/>
      </c>
      <c r="K384" s="51"/>
      <c r="L384" s="51" t="s">
        <v>257</v>
      </c>
      <c r="M384" s="51"/>
      <c r="N384" s="51"/>
      <c r="O384" s="51"/>
      <c r="P384" s="51"/>
      <c r="Q384" s="51"/>
      <c r="R384" s="51"/>
      <c r="S384" s="51"/>
      <c r="T384" s="51"/>
    </row>
    <row r="385">
      <c r="A385" s="51"/>
      <c r="B385" s="51"/>
      <c r="C385" s="56"/>
      <c r="D385" s="51"/>
      <c r="E385" s="51"/>
      <c r="F385" s="51"/>
      <c r="G385" s="51" t="str">
        <f>IFERROR(__xludf.DUMMYFUNCTION("""COMPUTED_VALUE"""),"#VALUE!")</f>
        <v>#VALUE!</v>
      </c>
      <c r="H385" s="51" t="str">
        <f>IFERROR(__xludf.DUMMYFUNCTION("""COMPUTED_VALUE"""),"")</f>
        <v/>
      </c>
      <c r="I385" s="51" t="str">
        <f>IFERROR(__xludf.DUMMYFUNCTION("""COMPUTED_VALUE"""),"#VALUE!")</f>
        <v>#VALUE!</v>
      </c>
      <c r="J385" s="51" t="str">
        <f>IFERROR(__xludf.DUMMYFUNCTION("""COMPUTED_VALUE"""),"")</f>
        <v/>
      </c>
      <c r="K385" s="51"/>
      <c r="L385" s="51" t="s">
        <v>257</v>
      </c>
      <c r="M385" s="51"/>
      <c r="N385" s="51"/>
      <c r="O385" s="51"/>
      <c r="P385" s="51"/>
      <c r="Q385" s="51"/>
      <c r="R385" s="51"/>
      <c r="S385" s="51"/>
      <c r="T385" s="51"/>
    </row>
    <row r="386">
      <c r="A386" s="51"/>
      <c r="B386" s="51"/>
      <c r="C386" s="56"/>
      <c r="D386" s="51"/>
      <c r="E386" s="51"/>
      <c r="F386" s="51"/>
      <c r="G386" s="51" t="str">
        <f>IFERROR(__xludf.DUMMYFUNCTION("""COMPUTED_VALUE"""),"#VALUE!")</f>
        <v>#VALUE!</v>
      </c>
      <c r="H386" s="51" t="str">
        <f>IFERROR(__xludf.DUMMYFUNCTION("""COMPUTED_VALUE"""),"")</f>
        <v/>
      </c>
      <c r="I386" s="51" t="str">
        <f>IFERROR(__xludf.DUMMYFUNCTION("""COMPUTED_VALUE"""),"#VALUE!")</f>
        <v>#VALUE!</v>
      </c>
      <c r="J386" s="51" t="str">
        <f>IFERROR(__xludf.DUMMYFUNCTION("""COMPUTED_VALUE"""),"")</f>
        <v/>
      </c>
      <c r="K386" s="51"/>
      <c r="L386" s="51" t="s">
        <v>257</v>
      </c>
      <c r="M386" s="51"/>
      <c r="N386" s="51"/>
      <c r="O386" s="51"/>
      <c r="P386" s="51"/>
      <c r="Q386" s="51"/>
      <c r="R386" s="51"/>
      <c r="S386" s="51"/>
      <c r="T386" s="51"/>
    </row>
    <row r="387">
      <c r="A387" s="51"/>
      <c r="B387" s="51"/>
      <c r="C387" s="56"/>
      <c r="D387" s="51"/>
      <c r="E387" s="51"/>
      <c r="F387" s="51"/>
      <c r="G387" s="51" t="str">
        <f>IFERROR(__xludf.DUMMYFUNCTION("""COMPUTED_VALUE"""),"#VALUE!")</f>
        <v>#VALUE!</v>
      </c>
      <c r="H387" s="51" t="str">
        <f>IFERROR(__xludf.DUMMYFUNCTION("""COMPUTED_VALUE"""),"")</f>
        <v/>
      </c>
      <c r="I387" s="51" t="str">
        <f>IFERROR(__xludf.DUMMYFUNCTION("""COMPUTED_VALUE"""),"#VALUE!")</f>
        <v>#VALUE!</v>
      </c>
      <c r="J387" s="51" t="str">
        <f>IFERROR(__xludf.DUMMYFUNCTION("""COMPUTED_VALUE"""),"")</f>
        <v/>
      </c>
      <c r="K387" s="51"/>
      <c r="L387" s="51" t="s">
        <v>257</v>
      </c>
      <c r="M387" s="51"/>
      <c r="N387" s="51"/>
      <c r="O387" s="51"/>
      <c r="P387" s="51"/>
      <c r="Q387" s="51"/>
      <c r="R387" s="51"/>
      <c r="S387" s="51"/>
      <c r="T387" s="51"/>
    </row>
    <row r="388">
      <c r="A388" s="51"/>
      <c r="B388" s="51"/>
      <c r="C388" s="56"/>
      <c r="D388" s="51"/>
      <c r="E388" s="51"/>
      <c r="F388" s="51"/>
      <c r="G388" s="51" t="str">
        <f>IFERROR(__xludf.DUMMYFUNCTION("""COMPUTED_VALUE"""),"#VALUE!")</f>
        <v>#VALUE!</v>
      </c>
      <c r="H388" s="51" t="str">
        <f>IFERROR(__xludf.DUMMYFUNCTION("""COMPUTED_VALUE"""),"")</f>
        <v/>
      </c>
      <c r="I388" s="51" t="str">
        <f>IFERROR(__xludf.DUMMYFUNCTION("""COMPUTED_VALUE"""),"#VALUE!")</f>
        <v>#VALUE!</v>
      </c>
      <c r="J388" s="51" t="str">
        <f>IFERROR(__xludf.DUMMYFUNCTION("""COMPUTED_VALUE"""),"")</f>
        <v/>
      </c>
      <c r="K388" s="51"/>
      <c r="L388" s="51" t="s">
        <v>257</v>
      </c>
      <c r="M388" s="51"/>
      <c r="N388" s="51"/>
      <c r="O388" s="51"/>
      <c r="P388" s="51"/>
      <c r="Q388" s="51"/>
      <c r="R388" s="51"/>
      <c r="S388" s="51"/>
      <c r="T388" s="51"/>
    </row>
    <row r="389">
      <c r="A389" s="51"/>
      <c r="B389" s="51"/>
      <c r="C389" s="56"/>
      <c r="D389" s="51"/>
      <c r="E389" s="51"/>
      <c r="F389" s="51"/>
      <c r="G389" s="51" t="str">
        <f>IFERROR(__xludf.DUMMYFUNCTION("""COMPUTED_VALUE"""),"#VALUE!")</f>
        <v>#VALUE!</v>
      </c>
      <c r="H389" s="51" t="str">
        <f>IFERROR(__xludf.DUMMYFUNCTION("""COMPUTED_VALUE"""),"")</f>
        <v/>
      </c>
      <c r="I389" s="51" t="str">
        <f>IFERROR(__xludf.DUMMYFUNCTION("""COMPUTED_VALUE"""),"#VALUE!")</f>
        <v>#VALUE!</v>
      </c>
      <c r="J389" s="51" t="str">
        <f>IFERROR(__xludf.DUMMYFUNCTION("""COMPUTED_VALUE"""),"")</f>
        <v/>
      </c>
      <c r="K389" s="51"/>
      <c r="L389" s="51" t="s">
        <v>257</v>
      </c>
      <c r="M389" s="51"/>
      <c r="N389" s="51"/>
      <c r="O389" s="51"/>
      <c r="P389" s="51"/>
      <c r="Q389" s="51"/>
      <c r="R389" s="51"/>
      <c r="S389" s="51"/>
      <c r="T389" s="51"/>
    </row>
    <row r="390">
      <c r="A390" s="51"/>
      <c r="B390" s="51"/>
      <c r="C390" s="56"/>
      <c r="D390" s="51"/>
      <c r="E390" s="51"/>
      <c r="F390" s="51"/>
      <c r="G390" s="51" t="str">
        <f>IFERROR(__xludf.DUMMYFUNCTION("""COMPUTED_VALUE"""),"#VALUE!")</f>
        <v>#VALUE!</v>
      </c>
      <c r="H390" s="51" t="str">
        <f>IFERROR(__xludf.DUMMYFUNCTION("""COMPUTED_VALUE"""),"")</f>
        <v/>
      </c>
      <c r="I390" s="51" t="str">
        <f>IFERROR(__xludf.DUMMYFUNCTION("""COMPUTED_VALUE"""),"#VALUE!")</f>
        <v>#VALUE!</v>
      </c>
      <c r="J390" s="51" t="str">
        <f>IFERROR(__xludf.DUMMYFUNCTION("""COMPUTED_VALUE"""),"")</f>
        <v/>
      </c>
      <c r="K390" s="51"/>
      <c r="L390" s="51" t="s">
        <v>257</v>
      </c>
      <c r="M390" s="51"/>
      <c r="N390" s="51"/>
      <c r="O390" s="51"/>
      <c r="P390" s="51"/>
      <c r="Q390" s="51"/>
      <c r="R390" s="51"/>
      <c r="S390" s="51"/>
      <c r="T390" s="51"/>
    </row>
    <row r="391">
      <c r="A391" s="51"/>
      <c r="B391" s="51"/>
      <c r="C391" s="56"/>
      <c r="D391" s="51"/>
      <c r="E391" s="51"/>
      <c r="F391" s="51"/>
      <c r="G391" s="51" t="str">
        <f>IFERROR(__xludf.DUMMYFUNCTION("""COMPUTED_VALUE"""),"#VALUE!")</f>
        <v>#VALUE!</v>
      </c>
      <c r="H391" s="51" t="str">
        <f>IFERROR(__xludf.DUMMYFUNCTION("""COMPUTED_VALUE"""),"")</f>
        <v/>
      </c>
      <c r="I391" s="51" t="str">
        <f>IFERROR(__xludf.DUMMYFUNCTION("""COMPUTED_VALUE"""),"#VALUE!")</f>
        <v>#VALUE!</v>
      </c>
      <c r="J391" s="51" t="str">
        <f>IFERROR(__xludf.DUMMYFUNCTION("""COMPUTED_VALUE"""),"")</f>
        <v/>
      </c>
      <c r="K391" s="51"/>
      <c r="L391" s="51" t="s">
        <v>257</v>
      </c>
      <c r="M391" s="51"/>
      <c r="N391" s="51"/>
      <c r="O391" s="51"/>
      <c r="P391" s="51"/>
      <c r="Q391" s="51"/>
      <c r="R391" s="51"/>
      <c r="S391" s="51"/>
      <c r="T391" s="51"/>
    </row>
    <row r="392">
      <c r="A392" s="51"/>
      <c r="B392" s="51"/>
      <c r="C392" s="56"/>
      <c r="D392" s="51"/>
      <c r="E392" s="51"/>
      <c r="F392" s="51"/>
      <c r="G392" s="51" t="str">
        <f>IFERROR(__xludf.DUMMYFUNCTION("""COMPUTED_VALUE"""),"#VALUE!")</f>
        <v>#VALUE!</v>
      </c>
      <c r="H392" s="51" t="str">
        <f>IFERROR(__xludf.DUMMYFUNCTION("""COMPUTED_VALUE"""),"")</f>
        <v/>
      </c>
      <c r="I392" s="51" t="str">
        <f>IFERROR(__xludf.DUMMYFUNCTION("""COMPUTED_VALUE"""),"#VALUE!")</f>
        <v>#VALUE!</v>
      </c>
      <c r="J392" s="51" t="str">
        <f>IFERROR(__xludf.DUMMYFUNCTION("""COMPUTED_VALUE"""),"")</f>
        <v/>
      </c>
      <c r="K392" s="51"/>
      <c r="L392" s="51" t="s">
        <v>257</v>
      </c>
      <c r="M392" s="51"/>
      <c r="N392" s="51"/>
      <c r="O392" s="51"/>
      <c r="P392" s="51"/>
      <c r="Q392" s="51"/>
      <c r="R392" s="51"/>
      <c r="S392" s="51"/>
      <c r="T392" s="51"/>
    </row>
    <row r="393">
      <c r="A393" s="51"/>
      <c r="B393" s="51"/>
      <c r="C393" s="56"/>
      <c r="D393" s="51"/>
      <c r="E393" s="51"/>
      <c r="F393" s="51"/>
      <c r="G393" s="51" t="str">
        <f>IFERROR(__xludf.DUMMYFUNCTION("""COMPUTED_VALUE"""),"#VALUE!")</f>
        <v>#VALUE!</v>
      </c>
      <c r="H393" s="51" t="str">
        <f>IFERROR(__xludf.DUMMYFUNCTION("""COMPUTED_VALUE"""),"")</f>
        <v/>
      </c>
      <c r="I393" s="51" t="str">
        <f>IFERROR(__xludf.DUMMYFUNCTION("""COMPUTED_VALUE"""),"#VALUE!")</f>
        <v>#VALUE!</v>
      </c>
      <c r="J393" s="51" t="str">
        <f>IFERROR(__xludf.DUMMYFUNCTION("""COMPUTED_VALUE"""),"")</f>
        <v/>
      </c>
      <c r="K393" s="51"/>
      <c r="L393" s="51" t="s">
        <v>257</v>
      </c>
      <c r="M393" s="51"/>
      <c r="N393" s="51"/>
      <c r="O393" s="51"/>
      <c r="P393" s="51"/>
      <c r="Q393" s="51"/>
      <c r="R393" s="51"/>
      <c r="S393" s="51"/>
      <c r="T393" s="51"/>
    </row>
    <row r="394">
      <c r="A394" s="51"/>
      <c r="B394" s="51"/>
      <c r="C394" s="56"/>
      <c r="D394" s="51"/>
      <c r="E394" s="51"/>
      <c r="F394" s="51"/>
      <c r="G394" s="51" t="str">
        <f>IFERROR(__xludf.DUMMYFUNCTION("""COMPUTED_VALUE"""),"#VALUE!")</f>
        <v>#VALUE!</v>
      </c>
      <c r="H394" s="51" t="str">
        <f>IFERROR(__xludf.DUMMYFUNCTION("""COMPUTED_VALUE"""),"")</f>
        <v/>
      </c>
      <c r="I394" s="51" t="str">
        <f>IFERROR(__xludf.DUMMYFUNCTION("""COMPUTED_VALUE"""),"#VALUE!")</f>
        <v>#VALUE!</v>
      </c>
      <c r="J394" s="51" t="str">
        <f>IFERROR(__xludf.DUMMYFUNCTION("""COMPUTED_VALUE"""),"")</f>
        <v/>
      </c>
      <c r="K394" s="51"/>
      <c r="L394" s="51" t="s">
        <v>257</v>
      </c>
      <c r="M394" s="51"/>
      <c r="N394" s="51"/>
      <c r="O394" s="51"/>
      <c r="P394" s="51"/>
      <c r="Q394" s="51"/>
      <c r="R394" s="51"/>
      <c r="S394" s="51"/>
      <c r="T394" s="51"/>
    </row>
    <row r="395">
      <c r="A395" s="51"/>
      <c r="B395" s="51"/>
      <c r="C395" s="56"/>
      <c r="D395" s="51"/>
      <c r="E395" s="51"/>
      <c r="F395" s="51"/>
      <c r="G395" s="51" t="str">
        <f>IFERROR(__xludf.DUMMYFUNCTION("""COMPUTED_VALUE"""),"#VALUE!")</f>
        <v>#VALUE!</v>
      </c>
      <c r="H395" s="51" t="str">
        <f>IFERROR(__xludf.DUMMYFUNCTION("""COMPUTED_VALUE"""),"")</f>
        <v/>
      </c>
      <c r="I395" s="51" t="str">
        <f>IFERROR(__xludf.DUMMYFUNCTION("""COMPUTED_VALUE"""),"#VALUE!")</f>
        <v>#VALUE!</v>
      </c>
      <c r="J395" s="51" t="str">
        <f>IFERROR(__xludf.DUMMYFUNCTION("""COMPUTED_VALUE"""),"")</f>
        <v/>
      </c>
      <c r="K395" s="51"/>
      <c r="L395" s="51" t="s">
        <v>257</v>
      </c>
      <c r="M395" s="51"/>
      <c r="N395" s="51"/>
      <c r="O395" s="51"/>
      <c r="P395" s="51"/>
      <c r="Q395" s="51"/>
      <c r="R395" s="51"/>
      <c r="S395" s="51"/>
      <c r="T395" s="51"/>
    </row>
    <row r="396">
      <c r="A396" s="51"/>
      <c r="B396" s="51"/>
      <c r="C396" s="56"/>
      <c r="D396" s="51"/>
      <c r="E396" s="51"/>
      <c r="F396" s="51"/>
      <c r="G396" s="51" t="str">
        <f>IFERROR(__xludf.DUMMYFUNCTION("""COMPUTED_VALUE"""),"#VALUE!")</f>
        <v>#VALUE!</v>
      </c>
      <c r="H396" s="51" t="str">
        <f>IFERROR(__xludf.DUMMYFUNCTION("""COMPUTED_VALUE"""),"")</f>
        <v/>
      </c>
      <c r="I396" s="51" t="str">
        <f>IFERROR(__xludf.DUMMYFUNCTION("""COMPUTED_VALUE"""),"#VALUE!")</f>
        <v>#VALUE!</v>
      </c>
      <c r="J396" s="51" t="str">
        <f>IFERROR(__xludf.DUMMYFUNCTION("""COMPUTED_VALUE"""),"")</f>
        <v/>
      </c>
      <c r="K396" s="51"/>
      <c r="L396" s="51" t="s">
        <v>257</v>
      </c>
      <c r="M396" s="51"/>
      <c r="N396" s="51"/>
      <c r="O396" s="51"/>
      <c r="P396" s="51"/>
      <c r="Q396" s="51"/>
      <c r="R396" s="51"/>
      <c r="S396" s="51"/>
      <c r="T396" s="51"/>
    </row>
    <row r="397">
      <c r="A397" s="51"/>
      <c r="B397" s="51"/>
      <c r="C397" s="56"/>
      <c r="D397" s="51"/>
      <c r="E397" s="51"/>
      <c r="F397" s="51"/>
      <c r="G397" s="51" t="str">
        <f>IFERROR(__xludf.DUMMYFUNCTION("""COMPUTED_VALUE"""),"#VALUE!")</f>
        <v>#VALUE!</v>
      </c>
      <c r="H397" s="51" t="str">
        <f>IFERROR(__xludf.DUMMYFUNCTION("""COMPUTED_VALUE"""),"")</f>
        <v/>
      </c>
      <c r="I397" s="51" t="str">
        <f>IFERROR(__xludf.DUMMYFUNCTION("""COMPUTED_VALUE"""),"#VALUE!")</f>
        <v>#VALUE!</v>
      </c>
      <c r="J397" s="51" t="str">
        <f>IFERROR(__xludf.DUMMYFUNCTION("""COMPUTED_VALUE"""),"")</f>
        <v/>
      </c>
      <c r="K397" s="51"/>
      <c r="L397" s="51" t="s">
        <v>257</v>
      </c>
      <c r="M397" s="51"/>
      <c r="N397" s="51"/>
      <c r="O397" s="51"/>
      <c r="P397" s="51"/>
      <c r="Q397" s="51"/>
      <c r="R397" s="51"/>
      <c r="S397" s="51"/>
      <c r="T397" s="51"/>
    </row>
    <row r="398">
      <c r="A398" s="51"/>
      <c r="B398" s="51"/>
      <c r="C398" s="56"/>
      <c r="D398" s="51"/>
      <c r="E398" s="51"/>
      <c r="F398" s="51"/>
      <c r="G398" s="51" t="str">
        <f>IFERROR(__xludf.DUMMYFUNCTION("""COMPUTED_VALUE"""),"#VALUE!")</f>
        <v>#VALUE!</v>
      </c>
      <c r="H398" s="51" t="str">
        <f>IFERROR(__xludf.DUMMYFUNCTION("""COMPUTED_VALUE"""),"")</f>
        <v/>
      </c>
      <c r="I398" s="51" t="str">
        <f>IFERROR(__xludf.DUMMYFUNCTION("""COMPUTED_VALUE"""),"#VALUE!")</f>
        <v>#VALUE!</v>
      </c>
      <c r="J398" s="51" t="str">
        <f>IFERROR(__xludf.DUMMYFUNCTION("""COMPUTED_VALUE"""),"")</f>
        <v/>
      </c>
      <c r="K398" s="51"/>
      <c r="L398" s="51" t="s">
        <v>257</v>
      </c>
      <c r="M398" s="51"/>
      <c r="N398" s="51"/>
      <c r="O398" s="51"/>
      <c r="P398" s="51"/>
      <c r="Q398" s="51"/>
      <c r="R398" s="51"/>
      <c r="S398" s="51"/>
      <c r="T398" s="51"/>
    </row>
    <row r="399">
      <c r="A399" s="51"/>
      <c r="B399" s="51"/>
      <c r="C399" s="56"/>
      <c r="D399" s="51"/>
      <c r="E399" s="51"/>
      <c r="F399" s="51"/>
      <c r="G399" s="51" t="str">
        <f>IFERROR(__xludf.DUMMYFUNCTION("""COMPUTED_VALUE"""),"#VALUE!")</f>
        <v>#VALUE!</v>
      </c>
      <c r="H399" s="51" t="str">
        <f>IFERROR(__xludf.DUMMYFUNCTION("""COMPUTED_VALUE"""),"")</f>
        <v/>
      </c>
      <c r="I399" s="51" t="str">
        <f>IFERROR(__xludf.DUMMYFUNCTION("""COMPUTED_VALUE"""),"#VALUE!")</f>
        <v>#VALUE!</v>
      </c>
      <c r="J399" s="51" t="str">
        <f>IFERROR(__xludf.DUMMYFUNCTION("""COMPUTED_VALUE"""),"")</f>
        <v/>
      </c>
      <c r="K399" s="51"/>
      <c r="L399" s="51" t="s">
        <v>257</v>
      </c>
      <c r="M399" s="51"/>
      <c r="N399" s="51"/>
      <c r="O399" s="51"/>
      <c r="P399" s="51"/>
      <c r="Q399" s="51"/>
      <c r="R399" s="51"/>
      <c r="S399" s="51"/>
      <c r="T399" s="51"/>
    </row>
    <row r="400">
      <c r="A400" s="51"/>
      <c r="B400" s="51"/>
      <c r="C400" s="56"/>
      <c r="D400" s="51"/>
      <c r="E400" s="51"/>
      <c r="F400" s="51"/>
      <c r="G400" s="51" t="str">
        <f>IFERROR(__xludf.DUMMYFUNCTION("""COMPUTED_VALUE"""),"#VALUE!")</f>
        <v>#VALUE!</v>
      </c>
      <c r="H400" s="51" t="str">
        <f>IFERROR(__xludf.DUMMYFUNCTION("""COMPUTED_VALUE"""),"")</f>
        <v/>
      </c>
      <c r="I400" s="51" t="str">
        <f>IFERROR(__xludf.DUMMYFUNCTION("""COMPUTED_VALUE"""),"#VALUE!")</f>
        <v>#VALUE!</v>
      </c>
      <c r="J400" s="51" t="str">
        <f>IFERROR(__xludf.DUMMYFUNCTION("""COMPUTED_VALUE"""),"")</f>
        <v/>
      </c>
      <c r="K400" s="51"/>
      <c r="L400" s="51" t="s">
        <v>257</v>
      </c>
      <c r="M400" s="51"/>
      <c r="N400" s="51"/>
      <c r="O400" s="51"/>
      <c r="P400" s="51"/>
      <c r="Q400" s="51"/>
      <c r="R400" s="51"/>
      <c r="S400" s="51"/>
      <c r="T400" s="51"/>
    </row>
    <row r="401">
      <c r="A401" s="51"/>
      <c r="B401" s="51"/>
      <c r="C401" s="56"/>
      <c r="D401" s="51"/>
      <c r="E401" s="51"/>
      <c r="F401" s="51"/>
      <c r="G401" s="51" t="str">
        <f>IFERROR(__xludf.DUMMYFUNCTION("""COMPUTED_VALUE"""),"#VALUE!")</f>
        <v>#VALUE!</v>
      </c>
      <c r="H401" s="51" t="str">
        <f>IFERROR(__xludf.DUMMYFUNCTION("""COMPUTED_VALUE"""),"")</f>
        <v/>
      </c>
      <c r="I401" s="51" t="str">
        <f>IFERROR(__xludf.DUMMYFUNCTION("""COMPUTED_VALUE"""),"#VALUE!")</f>
        <v>#VALUE!</v>
      </c>
      <c r="J401" s="51" t="str">
        <f>IFERROR(__xludf.DUMMYFUNCTION("""COMPUTED_VALUE"""),"")</f>
        <v/>
      </c>
      <c r="K401" s="51"/>
      <c r="L401" s="51" t="s">
        <v>257</v>
      </c>
      <c r="M401" s="51"/>
      <c r="N401" s="51"/>
      <c r="O401" s="51"/>
      <c r="P401" s="51"/>
      <c r="Q401" s="51"/>
      <c r="R401" s="51"/>
      <c r="S401" s="51"/>
      <c r="T401" s="51"/>
    </row>
    <row r="402">
      <c r="A402" s="51"/>
      <c r="B402" s="51"/>
      <c r="C402" s="56"/>
      <c r="D402" s="51"/>
      <c r="E402" s="51"/>
      <c r="F402" s="51"/>
      <c r="G402" s="51" t="str">
        <f>IFERROR(__xludf.DUMMYFUNCTION("""COMPUTED_VALUE"""),"#VALUE!")</f>
        <v>#VALUE!</v>
      </c>
      <c r="H402" s="51" t="str">
        <f>IFERROR(__xludf.DUMMYFUNCTION("""COMPUTED_VALUE"""),"")</f>
        <v/>
      </c>
      <c r="I402" s="51" t="str">
        <f>IFERROR(__xludf.DUMMYFUNCTION("""COMPUTED_VALUE"""),"#VALUE!")</f>
        <v>#VALUE!</v>
      </c>
      <c r="J402" s="51" t="str">
        <f>IFERROR(__xludf.DUMMYFUNCTION("""COMPUTED_VALUE"""),"")</f>
        <v/>
      </c>
      <c r="K402" s="51"/>
      <c r="L402" s="51" t="s">
        <v>257</v>
      </c>
      <c r="M402" s="51"/>
      <c r="N402" s="51"/>
      <c r="O402" s="51"/>
      <c r="P402" s="51"/>
      <c r="Q402" s="51"/>
      <c r="R402" s="51"/>
      <c r="S402" s="51"/>
      <c r="T402" s="51"/>
    </row>
    <row r="403">
      <c r="A403" s="51"/>
      <c r="B403" s="51"/>
      <c r="C403" s="56"/>
      <c r="D403" s="51"/>
      <c r="E403" s="51"/>
      <c r="F403" s="51"/>
      <c r="G403" s="51" t="str">
        <f>IFERROR(__xludf.DUMMYFUNCTION("""COMPUTED_VALUE"""),"#VALUE!")</f>
        <v>#VALUE!</v>
      </c>
      <c r="H403" s="51" t="str">
        <f>IFERROR(__xludf.DUMMYFUNCTION("""COMPUTED_VALUE"""),"")</f>
        <v/>
      </c>
      <c r="I403" s="51" t="str">
        <f>IFERROR(__xludf.DUMMYFUNCTION("""COMPUTED_VALUE"""),"#VALUE!")</f>
        <v>#VALUE!</v>
      </c>
      <c r="J403" s="51" t="str">
        <f>IFERROR(__xludf.DUMMYFUNCTION("""COMPUTED_VALUE"""),"")</f>
        <v/>
      </c>
      <c r="K403" s="51"/>
      <c r="L403" s="51" t="s">
        <v>257</v>
      </c>
      <c r="M403" s="51"/>
      <c r="N403" s="51"/>
      <c r="O403" s="51"/>
      <c r="P403" s="51"/>
      <c r="Q403" s="51"/>
      <c r="R403" s="51"/>
      <c r="S403" s="51"/>
      <c r="T403" s="51"/>
    </row>
    <row r="404">
      <c r="A404" s="51"/>
      <c r="B404" s="51"/>
      <c r="C404" s="56"/>
      <c r="D404" s="51"/>
      <c r="E404" s="51"/>
      <c r="F404" s="51"/>
      <c r="G404" s="51" t="str">
        <f>IFERROR(__xludf.DUMMYFUNCTION("""COMPUTED_VALUE"""),"#VALUE!")</f>
        <v>#VALUE!</v>
      </c>
      <c r="H404" s="51" t="str">
        <f>IFERROR(__xludf.DUMMYFUNCTION("""COMPUTED_VALUE"""),"")</f>
        <v/>
      </c>
      <c r="I404" s="51" t="str">
        <f>IFERROR(__xludf.DUMMYFUNCTION("""COMPUTED_VALUE"""),"#VALUE!")</f>
        <v>#VALUE!</v>
      </c>
      <c r="J404" s="51" t="str">
        <f>IFERROR(__xludf.DUMMYFUNCTION("""COMPUTED_VALUE"""),"")</f>
        <v/>
      </c>
      <c r="K404" s="51"/>
      <c r="L404" s="51" t="s">
        <v>257</v>
      </c>
      <c r="M404" s="51"/>
      <c r="N404" s="51"/>
      <c r="O404" s="51"/>
      <c r="P404" s="51"/>
      <c r="Q404" s="51"/>
      <c r="R404" s="51"/>
      <c r="S404" s="51"/>
      <c r="T404" s="51"/>
    </row>
    <row r="405">
      <c r="A405" s="51"/>
      <c r="B405" s="51"/>
      <c r="C405" s="56"/>
      <c r="D405" s="51"/>
      <c r="E405" s="51"/>
      <c r="F405" s="51"/>
      <c r="G405" s="51" t="str">
        <f>IFERROR(__xludf.DUMMYFUNCTION("""COMPUTED_VALUE"""),"#VALUE!")</f>
        <v>#VALUE!</v>
      </c>
      <c r="H405" s="51" t="str">
        <f>IFERROR(__xludf.DUMMYFUNCTION("""COMPUTED_VALUE"""),"")</f>
        <v/>
      </c>
      <c r="I405" s="51" t="str">
        <f>IFERROR(__xludf.DUMMYFUNCTION("""COMPUTED_VALUE"""),"#VALUE!")</f>
        <v>#VALUE!</v>
      </c>
      <c r="J405" s="51" t="str">
        <f>IFERROR(__xludf.DUMMYFUNCTION("""COMPUTED_VALUE"""),"")</f>
        <v/>
      </c>
      <c r="K405" s="51"/>
      <c r="L405" s="51" t="s">
        <v>257</v>
      </c>
      <c r="M405" s="51"/>
      <c r="N405" s="51"/>
      <c r="O405" s="51"/>
      <c r="P405" s="51"/>
      <c r="Q405" s="51"/>
      <c r="R405" s="51"/>
      <c r="S405" s="51"/>
      <c r="T405" s="51"/>
    </row>
    <row r="406">
      <c r="A406" s="51"/>
      <c r="B406" s="51"/>
      <c r="C406" s="56"/>
      <c r="D406" s="51"/>
      <c r="E406" s="51"/>
      <c r="F406" s="51"/>
      <c r="G406" s="51" t="str">
        <f>IFERROR(__xludf.DUMMYFUNCTION("""COMPUTED_VALUE"""),"#VALUE!")</f>
        <v>#VALUE!</v>
      </c>
      <c r="H406" s="51" t="str">
        <f>IFERROR(__xludf.DUMMYFUNCTION("""COMPUTED_VALUE"""),"")</f>
        <v/>
      </c>
      <c r="I406" s="51" t="str">
        <f>IFERROR(__xludf.DUMMYFUNCTION("""COMPUTED_VALUE"""),"#VALUE!")</f>
        <v>#VALUE!</v>
      </c>
      <c r="J406" s="51" t="str">
        <f>IFERROR(__xludf.DUMMYFUNCTION("""COMPUTED_VALUE"""),"")</f>
        <v/>
      </c>
      <c r="K406" s="51"/>
      <c r="L406" s="51" t="s">
        <v>257</v>
      </c>
      <c r="M406" s="51"/>
      <c r="N406" s="51"/>
      <c r="O406" s="51"/>
      <c r="P406" s="51"/>
      <c r="Q406" s="51"/>
      <c r="R406" s="51"/>
      <c r="S406" s="51"/>
      <c r="T406" s="51"/>
    </row>
    <row r="407">
      <c r="A407" s="51"/>
      <c r="B407" s="51"/>
      <c r="C407" s="56"/>
      <c r="D407" s="51"/>
      <c r="E407" s="51"/>
      <c r="F407" s="51"/>
      <c r="G407" s="51" t="str">
        <f>IFERROR(__xludf.DUMMYFUNCTION("""COMPUTED_VALUE"""),"#VALUE!")</f>
        <v>#VALUE!</v>
      </c>
      <c r="H407" s="51" t="str">
        <f>IFERROR(__xludf.DUMMYFUNCTION("""COMPUTED_VALUE"""),"")</f>
        <v/>
      </c>
      <c r="I407" s="51" t="str">
        <f>IFERROR(__xludf.DUMMYFUNCTION("""COMPUTED_VALUE"""),"#VALUE!")</f>
        <v>#VALUE!</v>
      </c>
      <c r="J407" s="51" t="str">
        <f>IFERROR(__xludf.DUMMYFUNCTION("""COMPUTED_VALUE"""),"")</f>
        <v/>
      </c>
      <c r="K407" s="51"/>
      <c r="L407" s="51" t="s">
        <v>257</v>
      </c>
      <c r="M407" s="51"/>
      <c r="N407" s="51"/>
      <c r="O407" s="51"/>
      <c r="P407" s="51"/>
      <c r="Q407" s="51"/>
      <c r="R407" s="51"/>
      <c r="S407" s="51"/>
      <c r="T407" s="51"/>
    </row>
    <row r="408">
      <c r="A408" s="51"/>
      <c r="B408" s="51"/>
      <c r="C408" s="56"/>
      <c r="D408" s="51"/>
      <c r="E408" s="51"/>
      <c r="F408" s="51"/>
      <c r="G408" s="51" t="str">
        <f>IFERROR(__xludf.DUMMYFUNCTION("""COMPUTED_VALUE"""),"#VALUE!")</f>
        <v>#VALUE!</v>
      </c>
      <c r="H408" s="51" t="str">
        <f>IFERROR(__xludf.DUMMYFUNCTION("""COMPUTED_VALUE"""),"")</f>
        <v/>
      </c>
      <c r="I408" s="51" t="str">
        <f>IFERROR(__xludf.DUMMYFUNCTION("""COMPUTED_VALUE"""),"#VALUE!")</f>
        <v>#VALUE!</v>
      </c>
      <c r="J408" s="51" t="str">
        <f>IFERROR(__xludf.DUMMYFUNCTION("""COMPUTED_VALUE"""),"")</f>
        <v/>
      </c>
      <c r="K408" s="51"/>
      <c r="L408" s="51" t="s">
        <v>257</v>
      </c>
      <c r="M408" s="51"/>
      <c r="N408" s="51"/>
      <c r="O408" s="51"/>
      <c r="P408" s="51"/>
      <c r="Q408" s="51"/>
      <c r="R408" s="51"/>
      <c r="S408" s="51"/>
      <c r="T408" s="51"/>
    </row>
    <row r="409">
      <c r="A409" s="51"/>
      <c r="B409" s="51"/>
      <c r="C409" s="56"/>
      <c r="D409" s="51"/>
      <c r="E409" s="51"/>
      <c r="F409" s="51"/>
      <c r="G409" s="51" t="str">
        <f>IFERROR(__xludf.DUMMYFUNCTION("""COMPUTED_VALUE"""),"#VALUE!")</f>
        <v>#VALUE!</v>
      </c>
      <c r="H409" s="51" t="str">
        <f>IFERROR(__xludf.DUMMYFUNCTION("""COMPUTED_VALUE"""),"")</f>
        <v/>
      </c>
      <c r="I409" s="51" t="str">
        <f>IFERROR(__xludf.DUMMYFUNCTION("""COMPUTED_VALUE"""),"#VALUE!")</f>
        <v>#VALUE!</v>
      </c>
      <c r="J409" s="51" t="str">
        <f>IFERROR(__xludf.DUMMYFUNCTION("""COMPUTED_VALUE"""),"")</f>
        <v/>
      </c>
      <c r="K409" s="51"/>
      <c r="L409" s="51" t="s">
        <v>257</v>
      </c>
      <c r="M409" s="51"/>
      <c r="N409" s="51"/>
      <c r="O409" s="51"/>
      <c r="P409" s="51"/>
      <c r="Q409" s="51"/>
      <c r="R409" s="51"/>
      <c r="S409" s="51"/>
      <c r="T409" s="51"/>
    </row>
    <row r="410">
      <c r="A410" s="51"/>
      <c r="B410" s="51"/>
      <c r="C410" s="56"/>
      <c r="D410" s="51"/>
      <c r="E410" s="51"/>
      <c r="F410" s="51"/>
      <c r="G410" s="51" t="str">
        <f>IFERROR(__xludf.DUMMYFUNCTION("""COMPUTED_VALUE"""),"#VALUE!")</f>
        <v>#VALUE!</v>
      </c>
      <c r="H410" s="51" t="str">
        <f>IFERROR(__xludf.DUMMYFUNCTION("""COMPUTED_VALUE"""),"")</f>
        <v/>
      </c>
      <c r="I410" s="51" t="str">
        <f>IFERROR(__xludf.DUMMYFUNCTION("""COMPUTED_VALUE"""),"#VALUE!")</f>
        <v>#VALUE!</v>
      </c>
      <c r="J410" s="51" t="str">
        <f>IFERROR(__xludf.DUMMYFUNCTION("""COMPUTED_VALUE"""),"")</f>
        <v/>
      </c>
      <c r="K410" s="51"/>
      <c r="L410" s="51" t="s">
        <v>257</v>
      </c>
      <c r="M410" s="51"/>
      <c r="N410" s="51"/>
      <c r="O410" s="51"/>
      <c r="P410" s="51"/>
      <c r="Q410" s="51"/>
      <c r="R410" s="51"/>
      <c r="S410" s="51"/>
      <c r="T410" s="51"/>
    </row>
    <row r="411">
      <c r="A411" s="51"/>
      <c r="B411" s="51"/>
      <c r="C411" s="56"/>
      <c r="D411" s="51"/>
      <c r="E411" s="51"/>
      <c r="F411" s="51"/>
      <c r="G411" s="51" t="str">
        <f>IFERROR(__xludf.DUMMYFUNCTION("""COMPUTED_VALUE"""),"#VALUE!")</f>
        <v>#VALUE!</v>
      </c>
      <c r="H411" s="51" t="str">
        <f>IFERROR(__xludf.DUMMYFUNCTION("""COMPUTED_VALUE"""),"")</f>
        <v/>
      </c>
      <c r="I411" s="51" t="str">
        <f>IFERROR(__xludf.DUMMYFUNCTION("""COMPUTED_VALUE"""),"#VALUE!")</f>
        <v>#VALUE!</v>
      </c>
      <c r="J411" s="51" t="str">
        <f>IFERROR(__xludf.DUMMYFUNCTION("""COMPUTED_VALUE"""),"")</f>
        <v/>
      </c>
      <c r="K411" s="51"/>
      <c r="L411" s="51" t="s">
        <v>257</v>
      </c>
      <c r="M411" s="51"/>
      <c r="N411" s="51"/>
      <c r="O411" s="51"/>
      <c r="P411" s="51"/>
      <c r="Q411" s="51"/>
      <c r="R411" s="51"/>
      <c r="S411" s="51"/>
      <c r="T411" s="51"/>
    </row>
    <row r="412">
      <c r="A412" s="51"/>
      <c r="B412" s="51"/>
      <c r="C412" s="56"/>
      <c r="D412" s="51"/>
      <c r="E412" s="51"/>
      <c r="F412" s="51"/>
      <c r="G412" s="51" t="str">
        <f>IFERROR(__xludf.DUMMYFUNCTION("""COMPUTED_VALUE"""),"#VALUE!")</f>
        <v>#VALUE!</v>
      </c>
      <c r="H412" s="51" t="str">
        <f>IFERROR(__xludf.DUMMYFUNCTION("""COMPUTED_VALUE"""),"")</f>
        <v/>
      </c>
      <c r="I412" s="51" t="str">
        <f>IFERROR(__xludf.DUMMYFUNCTION("""COMPUTED_VALUE"""),"#VALUE!")</f>
        <v>#VALUE!</v>
      </c>
      <c r="J412" s="51" t="str">
        <f>IFERROR(__xludf.DUMMYFUNCTION("""COMPUTED_VALUE"""),"")</f>
        <v/>
      </c>
      <c r="K412" s="51"/>
      <c r="L412" s="51" t="s">
        <v>257</v>
      </c>
      <c r="M412" s="51"/>
      <c r="N412" s="51"/>
      <c r="O412" s="51"/>
      <c r="P412" s="51"/>
      <c r="Q412" s="51"/>
      <c r="R412" s="51"/>
      <c r="S412" s="51"/>
      <c r="T412" s="51"/>
    </row>
    <row r="413">
      <c r="A413" s="51"/>
      <c r="B413" s="51"/>
      <c r="C413" s="56"/>
      <c r="D413" s="51"/>
      <c r="E413" s="51"/>
      <c r="F413" s="51"/>
      <c r="G413" s="51" t="str">
        <f>IFERROR(__xludf.DUMMYFUNCTION("""COMPUTED_VALUE"""),"#VALUE!")</f>
        <v>#VALUE!</v>
      </c>
      <c r="H413" s="51" t="str">
        <f>IFERROR(__xludf.DUMMYFUNCTION("""COMPUTED_VALUE"""),"")</f>
        <v/>
      </c>
      <c r="I413" s="51" t="str">
        <f>IFERROR(__xludf.DUMMYFUNCTION("""COMPUTED_VALUE"""),"#VALUE!")</f>
        <v>#VALUE!</v>
      </c>
      <c r="J413" s="51" t="str">
        <f>IFERROR(__xludf.DUMMYFUNCTION("""COMPUTED_VALUE"""),"")</f>
        <v/>
      </c>
      <c r="K413" s="51"/>
      <c r="L413" s="51" t="s">
        <v>257</v>
      </c>
      <c r="M413" s="51"/>
      <c r="N413" s="51"/>
      <c r="O413" s="51"/>
      <c r="P413" s="51"/>
      <c r="Q413" s="51"/>
      <c r="R413" s="51"/>
      <c r="S413" s="51"/>
      <c r="T413" s="51"/>
    </row>
    <row r="414">
      <c r="A414" s="51"/>
      <c r="B414" s="51"/>
      <c r="C414" s="56"/>
      <c r="D414" s="51"/>
      <c r="E414" s="51"/>
      <c r="F414" s="51"/>
      <c r="G414" s="51" t="str">
        <f>IFERROR(__xludf.DUMMYFUNCTION("""COMPUTED_VALUE"""),"#VALUE!")</f>
        <v>#VALUE!</v>
      </c>
      <c r="H414" s="51" t="str">
        <f>IFERROR(__xludf.DUMMYFUNCTION("""COMPUTED_VALUE"""),"")</f>
        <v/>
      </c>
      <c r="I414" s="51" t="str">
        <f>IFERROR(__xludf.DUMMYFUNCTION("""COMPUTED_VALUE"""),"#VALUE!")</f>
        <v>#VALUE!</v>
      </c>
      <c r="J414" s="51" t="str">
        <f>IFERROR(__xludf.DUMMYFUNCTION("""COMPUTED_VALUE"""),"")</f>
        <v/>
      </c>
      <c r="K414" s="51"/>
      <c r="L414" s="51" t="s">
        <v>257</v>
      </c>
      <c r="M414" s="51"/>
      <c r="N414" s="51"/>
      <c r="O414" s="51"/>
      <c r="P414" s="51"/>
      <c r="Q414" s="51"/>
      <c r="R414" s="51"/>
      <c r="S414" s="51"/>
      <c r="T414" s="51"/>
    </row>
    <row r="415">
      <c r="A415" s="51"/>
      <c r="B415" s="51"/>
      <c r="C415" s="56"/>
      <c r="D415" s="51"/>
      <c r="E415" s="51"/>
      <c r="F415" s="51"/>
      <c r="G415" s="51" t="str">
        <f>IFERROR(__xludf.DUMMYFUNCTION("""COMPUTED_VALUE"""),"#VALUE!")</f>
        <v>#VALUE!</v>
      </c>
      <c r="H415" s="51" t="str">
        <f>IFERROR(__xludf.DUMMYFUNCTION("""COMPUTED_VALUE"""),"")</f>
        <v/>
      </c>
      <c r="I415" s="51" t="str">
        <f>IFERROR(__xludf.DUMMYFUNCTION("""COMPUTED_VALUE"""),"#VALUE!")</f>
        <v>#VALUE!</v>
      </c>
      <c r="J415" s="51" t="str">
        <f>IFERROR(__xludf.DUMMYFUNCTION("""COMPUTED_VALUE"""),"")</f>
        <v/>
      </c>
      <c r="K415" s="51"/>
      <c r="L415" s="51" t="s">
        <v>257</v>
      </c>
      <c r="M415" s="51"/>
      <c r="N415" s="51"/>
      <c r="O415" s="51"/>
      <c r="P415" s="51"/>
      <c r="Q415" s="51"/>
      <c r="R415" s="51"/>
      <c r="S415" s="51"/>
      <c r="T415" s="51"/>
    </row>
    <row r="416">
      <c r="A416" s="51"/>
      <c r="B416" s="51"/>
      <c r="C416" s="56"/>
      <c r="D416" s="51"/>
      <c r="E416" s="51"/>
      <c r="F416" s="51"/>
      <c r="G416" s="51" t="str">
        <f>IFERROR(__xludf.DUMMYFUNCTION("""COMPUTED_VALUE"""),"#VALUE!")</f>
        <v>#VALUE!</v>
      </c>
      <c r="H416" s="51" t="str">
        <f>IFERROR(__xludf.DUMMYFUNCTION("""COMPUTED_VALUE"""),"")</f>
        <v/>
      </c>
      <c r="I416" s="51" t="str">
        <f>IFERROR(__xludf.DUMMYFUNCTION("""COMPUTED_VALUE"""),"#VALUE!")</f>
        <v>#VALUE!</v>
      </c>
      <c r="J416" s="51" t="str">
        <f>IFERROR(__xludf.DUMMYFUNCTION("""COMPUTED_VALUE"""),"")</f>
        <v/>
      </c>
      <c r="K416" s="51"/>
      <c r="L416" s="51" t="s">
        <v>257</v>
      </c>
      <c r="M416" s="51"/>
      <c r="N416" s="51"/>
      <c r="O416" s="51"/>
      <c r="P416" s="51"/>
      <c r="Q416" s="51"/>
      <c r="R416" s="51"/>
      <c r="S416" s="51"/>
      <c r="T416" s="51"/>
    </row>
    <row r="417">
      <c r="A417" s="51"/>
      <c r="B417" s="51"/>
      <c r="C417" s="56"/>
      <c r="D417" s="51"/>
      <c r="E417" s="51"/>
      <c r="F417" s="51"/>
      <c r="G417" s="51" t="str">
        <f>IFERROR(__xludf.DUMMYFUNCTION("""COMPUTED_VALUE"""),"#VALUE!")</f>
        <v>#VALUE!</v>
      </c>
      <c r="H417" s="51" t="str">
        <f>IFERROR(__xludf.DUMMYFUNCTION("""COMPUTED_VALUE"""),"")</f>
        <v/>
      </c>
      <c r="I417" s="51" t="str">
        <f>IFERROR(__xludf.DUMMYFUNCTION("""COMPUTED_VALUE"""),"#VALUE!")</f>
        <v>#VALUE!</v>
      </c>
      <c r="J417" s="51" t="str">
        <f>IFERROR(__xludf.DUMMYFUNCTION("""COMPUTED_VALUE"""),"")</f>
        <v/>
      </c>
      <c r="K417" s="51"/>
      <c r="L417" s="51" t="s">
        <v>257</v>
      </c>
      <c r="M417" s="51"/>
      <c r="N417" s="51"/>
      <c r="O417" s="51"/>
      <c r="P417" s="51"/>
      <c r="Q417" s="51"/>
      <c r="R417" s="51"/>
      <c r="S417" s="51"/>
      <c r="T417" s="51"/>
    </row>
    <row r="418">
      <c r="A418" s="51"/>
      <c r="B418" s="51"/>
      <c r="C418" s="56"/>
      <c r="D418" s="51"/>
      <c r="E418" s="51"/>
      <c r="F418" s="51"/>
      <c r="G418" s="51" t="str">
        <f>IFERROR(__xludf.DUMMYFUNCTION("""COMPUTED_VALUE"""),"#VALUE!")</f>
        <v>#VALUE!</v>
      </c>
      <c r="H418" s="51" t="str">
        <f>IFERROR(__xludf.DUMMYFUNCTION("""COMPUTED_VALUE"""),"")</f>
        <v/>
      </c>
      <c r="I418" s="51" t="str">
        <f>IFERROR(__xludf.DUMMYFUNCTION("""COMPUTED_VALUE"""),"#VALUE!")</f>
        <v>#VALUE!</v>
      </c>
      <c r="J418" s="51" t="str">
        <f>IFERROR(__xludf.DUMMYFUNCTION("""COMPUTED_VALUE"""),"")</f>
        <v/>
      </c>
      <c r="K418" s="51"/>
      <c r="L418" s="51" t="s">
        <v>257</v>
      </c>
      <c r="M418" s="51"/>
      <c r="N418" s="51"/>
      <c r="O418" s="51"/>
      <c r="P418" s="51"/>
      <c r="Q418" s="51"/>
      <c r="R418" s="51"/>
      <c r="S418" s="51"/>
      <c r="T418" s="51"/>
    </row>
    <row r="419">
      <c r="A419" s="51"/>
      <c r="B419" s="51"/>
      <c r="C419" s="56"/>
      <c r="D419" s="51"/>
      <c r="E419" s="51"/>
      <c r="F419" s="51"/>
      <c r="G419" s="51" t="str">
        <f>IFERROR(__xludf.DUMMYFUNCTION("""COMPUTED_VALUE"""),"#VALUE!")</f>
        <v>#VALUE!</v>
      </c>
      <c r="H419" s="51" t="str">
        <f>IFERROR(__xludf.DUMMYFUNCTION("""COMPUTED_VALUE"""),"")</f>
        <v/>
      </c>
      <c r="I419" s="51" t="str">
        <f>IFERROR(__xludf.DUMMYFUNCTION("""COMPUTED_VALUE"""),"#VALUE!")</f>
        <v>#VALUE!</v>
      </c>
      <c r="J419" s="51" t="str">
        <f>IFERROR(__xludf.DUMMYFUNCTION("""COMPUTED_VALUE"""),"")</f>
        <v/>
      </c>
      <c r="K419" s="51"/>
      <c r="L419" s="51" t="s">
        <v>257</v>
      </c>
      <c r="M419" s="51"/>
      <c r="N419" s="51"/>
      <c r="O419" s="51"/>
      <c r="P419" s="51"/>
      <c r="Q419" s="51"/>
      <c r="R419" s="51"/>
      <c r="S419" s="51"/>
      <c r="T419" s="51"/>
    </row>
    <row r="420">
      <c r="A420" s="51"/>
      <c r="B420" s="51"/>
      <c r="C420" s="56"/>
      <c r="D420" s="51"/>
      <c r="E420" s="51"/>
      <c r="F420" s="51"/>
      <c r="G420" s="51" t="str">
        <f>IFERROR(__xludf.DUMMYFUNCTION("""COMPUTED_VALUE"""),"#VALUE!")</f>
        <v>#VALUE!</v>
      </c>
      <c r="H420" s="51" t="str">
        <f>IFERROR(__xludf.DUMMYFUNCTION("""COMPUTED_VALUE"""),"")</f>
        <v/>
      </c>
      <c r="I420" s="51" t="str">
        <f>IFERROR(__xludf.DUMMYFUNCTION("""COMPUTED_VALUE"""),"#VALUE!")</f>
        <v>#VALUE!</v>
      </c>
      <c r="J420" s="51" t="str">
        <f>IFERROR(__xludf.DUMMYFUNCTION("""COMPUTED_VALUE"""),"")</f>
        <v/>
      </c>
      <c r="K420" s="51"/>
      <c r="L420" s="51" t="s">
        <v>257</v>
      </c>
      <c r="M420" s="51"/>
      <c r="N420" s="51"/>
      <c r="O420" s="51"/>
      <c r="P420" s="51"/>
      <c r="Q420" s="51"/>
      <c r="R420" s="51"/>
      <c r="S420" s="51"/>
      <c r="T420" s="51"/>
    </row>
    <row r="421">
      <c r="A421" s="51"/>
      <c r="B421" s="51"/>
      <c r="C421" s="56"/>
      <c r="D421" s="51"/>
      <c r="E421" s="51"/>
      <c r="F421" s="51"/>
      <c r="G421" s="51" t="str">
        <f>IFERROR(__xludf.DUMMYFUNCTION("""COMPUTED_VALUE"""),"#VALUE!")</f>
        <v>#VALUE!</v>
      </c>
      <c r="H421" s="51" t="str">
        <f>IFERROR(__xludf.DUMMYFUNCTION("""COMPUTED_VALUE"""),"")</f>
        <v/>
      </c>
      <c r="I421" s="51" t="str">
        <f>IFERROR(__xludf.DUMMYFUNCTION("""COMPUTED_VALUE"""),"#VALUE!")</f>
        <v>#VALUE!</v>
      </c>
      <c r="J421" s="51" t="str">
        <f>IFERROR(__xludf.DUMMYFUNCTION("""COMPUTED_VALUE"""),"")</f>
        <v/>
      </c>
      <c r="K421" s="51"/>
      <c r="L421" s="51" t="s">
        <v>257</v>
      </c>
      <c r="M421" s="51"/>
      <c r="N421" s="51"/>
      <c r="O421" s="51"/>
      <c r="P421" s="51"/>
      <c r="Q421" s="51"/>
      <c r="R421" s="51"/>
      <c r="S421" s="51"/>
      <c r="T421" s="51"/>
    </row>
    <row r="422">
      <c r="A422" s="51"/>
      <c r="B422" s="51"/>
      <c r="C422" s="56"/>
      <c r="D422" s="51"/>
      <c r="E422" s="51"/>
      <c r="F422" s="51"/>
      <c r="G422" s="51" t="str">
        <f>IFERROR(__xludf.DUMMYFUNCTION("""COMPUTED_VALUE"""),"#VALUE!")</f>
        <v>#VALUE!</v>
      </c>
      <c r="H422" s="51" t="str">
        <f>IFERROR(__xludf.DUMMYFUNCTION("""COMPUTED_VALUE"""),"")</f>
        <v/>
      </c>
      <c r="I422" s="51" t="str">
        <f>IFERROR(__xludf.DUMMYFUNCTION("""COMPUTED_VALUE"""),"#VALUE!")</f>
        <v>#VALUE!</v>
      </c>
      <c r="J422" s="51" t="str">
        <f>IFERROR(__xludf.DUMMYFUNCTION("""COMPUTED_VALUE"""),"")</f>
        <v/>
      </c>
      <c r="K422" s="51"/>
      <c r="L422" s="51" t="s">
        <v>257</v>
      </c>
      <c r="M422" s="51"/>
      <c r="N422" s="51"/>
      <c r="O422" s="51"/>
      <c r="P422" s="51"/>
      <c r="Q422" s="51"/>
      <c r="R422" s="51"/>
      <c r="S422" s="51"/>
      <c r="T422" s="51"/>
    </row>
    <row r="423">
      <c r="A423" s="51"/>
      <c r="B423" s="51"/>
      <c r="C423" s="56"/>
      <c r="D423" s="51"/>
      <c r="E423" s="51"/>
      <c r="F423" s="51"/>
      <c r="G423" s="51" t="str">
        <f>IFERROR(__xludf.DUMMYFUNCTION("""COMPUTED_VALUE"""),"#VALUE!")</f>
        <v>#VALUE!</v>
      </c>
      <c r="H423" s="51" t="str">
        <f>IFERROR(__xludf.DUMMYFUNCTION("""COMPUTED_VALUE"""),"")</f>
        <v/>
      </c>
      <c r="I423" s="51" t="str">
        <f>IFERROR(__xludf.DUMMYFUNCTION("""COMPUTED_VALUE"""),"#VALUE!")</f>
        <v>#VALUE!</v>
      </c>
      <c r="J423" s="51" t="str">
        <f>IFERROR(__xludf.DUMMYFUNCTION("""COMPUTED_VALUE"""),"")</f>
        <v/>
      </c>
      <c r="K423" s="51"/>
      <c r="L423" s="51" t="s">
        <v>257</v>
      </c>
      <c r="M423" s="51"/>
      <c r="N423" s="51"/>
      <c r="O423" s="51"/>
      <c r="P423" s="51"/>
      <c r="Q423" s="51"/>
      <c r="R423" s="51"/>
      <c r="S423" s="51"/>
      <c r="T423" s="51"/>
    </row>
    <row r="424">
      <c r="A424" s="51"/>
      <c r="B424" s="51"/>
      <c r="C424" s="56"/>
      <c r="D424" s="51"/>
      <c r="E424" s="51"/>
      <c r="F424" s="51"/>
      <c r="G424" s="51" t="str">
        <f>IFERROR(__xludf.DUMMYFUNCTION("""COMPUTED_VALUE"""),"#VALUE!")</f>
        <v>#VALUE!</v>
      </c>
      <c r="H424" s="51" t="str">
        <f>IFERROR(__xludf.DUMMYFUNCTION("""COMPUTED_VALUE"""),"")</f>
        <v/>
      </c>
      <c r="I424" s="51" t="str">
        <f>IFERROR(__xludf.DUMMYFUNCTION("""COMPUTED_VALUE"""),"#VALUE!")</f>
        <v>#VALUE!</v>
      </c>
      <c r="J424" s="51" t="str">
        <f>IFERROR(__xludf.DUMMYFUNCTION("""COMPUTED_VALUE"""),"")</f>
        <v/>
      </c>
      <c r="K424" s="51"/>
      <c r="L424" s="51" t="s">
        <v>257</v>
      </c>
      <c r="M424" s="51"/>
      <c r="N424" s="51"/>
      <c r="O424" s="51"/>
      <c r="P424" s="51"/>
      <c r="Q424" s="51"/>
      <c r="R424" s="51"/>
      <c r="S424" s="51"/>
      <c r="T424" s="51"/>
    </row>
    <row r="425">
      <c r="A425" s="51"/>
      <c r="B425" s="51"/>
      <c r="C425" s="56"/>
      <c r="D425" s="51"/>
      <c r="E425" s="51"/>
      <c r="F425" s="51"/>
      <c r="G425" s="51" t="str">
        <f>IFERROR(__xludf.DUMMYFUNCTION("""COMPUTED_VALUE"""),"#VALUE!")</f>
        <v>#VALUE!</v>
      </c>
      <c r="H425" s="51" t="str">
        <f>IFERROR(__xludf.DUMMYFUNCTION("""COMPUTED_VALUE"""),"")</f>
        <v/>
      </c>
      <c r="I425" s="51" t="str">
        <f>IFERROR(__xludf.DUMMYFUNCTION("""COMPUTED_VALUE"""),"#VALUE!")</f>
        <v>#VALUE!</v>
      </c>
      <c r="J425" s="51" t="str">
        <f>IFERROR(__xludf.DUMMYFUNCTION("""COMPUTED_VALUE"""),"")</f>
        <v/>
      </c>
      <c r="K425" s="51"/>
      <c r="L425" s="51" t="s">
        <v>257</v>
      </c>
      <c r="M425" s="51"/>
      <c r="N425" s="51"/>
      <c r="O425" s="51"/>
      <c r="P425" s="51"/>
      <c r="Q425" s="51"/>
      <c r="R425" s="51"/>
      <c r="S425" s="51"/>
      <c r="T425" s="51"/>
    </row>
    <row r="426">
      <c r="A426" s="51"/>
      <c r="B426" s="51"/>
      <c r="C426" s="56"/>
      <c r="D426" s="51"/>
      <c r="E426" s="51"/>
      <c r="F426" s="51"/>
      <c r="G426" s="51" t="str">
        <f>IFERROR(__xludf.DUMMYFUNCTION("""COMPUTED_VALUE"""),"#VALUE!")</f>
        <v>#VALUE!</v>
      </c>
      <c r="H426" s="51" t="str">
        <f>IFERROR(__xludf.DUMMYFUNCTION("""COMPUTED_VALUE"""),"")</f>
        <v/>
      </c>
      <c r="I426" s="51" t="str">
        <f>IFERROR(__xludf.DUMMYFUNCTION("""COMPUTED_VALUE"""),"#VALUE!")</f>
        <v>#VALUE!</v>
      </c>
      <c r="J426" s="51" t="str">
        <f>IFERROR(__xludf.DUMMYFUNCTION("""COMPUTED_VALUE"""),"")</f>
        <v/>
      </c>
      <c r="K426" s="51"/>
      <c r="L426" s="51" t="s">
        <v>257</v>
      </c>
      <c r="M426" s="51"/>
      <c r="N426" s="51"/>
      <c r="O426" s="51"/>
      <c r="P426" s="51"/>
      <c r="Q426" s="51"/>
      <c r="R426" s="51"/>
      <c r="S426" s="51"/>
      <c r="T426" s="51"/>
    </row>
    <row r="427">
      <c r="A427" s="51"/>
      <c r="B427" s="51"/>
      <c r="C427" s="56"/>
      <c r="D427" s="51"/>
      <c r="E427" s="51"/>
      <c r="F427" s="51"/>
      <c r="G427" s="51" t="str">
        <f>IFERROR(__xludf.DUMMYFUNCTION("""COMPUTED_VALUE"""),"#VALUE!")</f>
        <v>#VALUE!</v>
      </c>
      <c r="H427" s="51" t="str">
        <f>IFERROR(__xludf.DUMMYFUNCTION("""COMPUTED_VALUE"""),"")</f>
        <v/>
      </c>
      <c r="I427" s="51" t="str">
        <f>IFERROR(__xludf.DUMMYFUNCTION("""COMPUTED_VALUE"""),"#VALUE!")</f>
        <v>#VALUE!</v>
      </c>
      <c r="J427" s="51" t="str">
        <f>IFERROR(__xludf.DUMMYFUNCTION("""COMPUTED_VALUE"""),"")</f>
        <v/>
      </c>
      <c r="K427" s="51"/>
      <c r="L427" s="51" t="s">
        <v>257</v>
      </c>
      <c r="M427" s="51"/>
      <c r="N427" s="51"/>
      <c r="O427" s="51"/>
      <c r="P427" s="51"/>
      <c r="Q427" s="51"/>
      <c r="R427" s="51"/>
      <c r="S427" s="51"/>
      <c r="T427" s="51"/>
    </row>
    <row r="428">
      <c r="A428" s="51"/>
      <c r="B428" s="51"/>
      <c r="C428" s="56"/>
      <c r="D428" s="51"/>
      <c r="E428" s="51"/>
      <c r="F428" s="51"/>
      <c r="G428" s="51" t="str">
        <f>IFERROR(__xludf.DUMMYFUNCTION("""COMPUTED_VALUE"""),"#VALUE!")</f>
        <v>#VALUE!</v>
      </c>
      <c r="H428" s="51" t="str">
        <f>IFERROR(__xludf.DUMMYFUNCTION("""COMPUTED_VALUE"""),"")</f>
        <v/>
      </c>
      <c r="I428" s="51" t="str">
        <f>IFERROR(__xludf.DUMMYFUNCTION("""COMPUTED_VALUE"""),"#VALUE!")</f>
        <v>#VALUE!</v>
      </c>
      <c r="J428" s="51" t="str">
        <f>IFERROR(__xludf.DUMMYFUNCTION("""COMPUTED_VALUE"""),"")</f>
        <v/>
      </c>
      <c r="K428" s="51"/>
      <c r="L428" s="51" t="s">
        <v>257</v>
      </c>
      <c r="M428" s="51"/>
      <c r="N428" s="51"/>
      <c r="O428" s="51"/>
      <c r="P428" s="51"/>
      <c r="Q428" s="51"/>
      <c r="R428" s="51"/>
      <c r="S428" s="51"/>
      <c r="T428" s="51"/>
    </row>
    <row r="429">
      <c r="A429" s="51"/>
      <c r="B429" s="51"/>
      <c r="C429" s="56"/>
      <c r="D429" s="51"/>
      <c r="E429" s="51"/>
      <c r="F429" s="51"/>
      <c r="G429" s="51" t="str">
        <f>IFERROR(__xludf.DUMMYFUNCTION("""COMPUTED_VALUE"""),"#VALUE!")</f>
        <v>#VALUE!</v>
      </c>
      <c r="H429" s="51" t="str">
        <f>IFERROR(__xludf.DUMMYFUNCTION("""COMPUTED_VALUE"""),"")</f>
        <v/>
      </c>
      <c r="I429" s="51" t="str">
        <f>IFERROR(__xludf.DUMMYFUNCTION("""COMPUTED_VALUE"""),"#VALUE!")</f>
        <v>#VALUE!</v>
      </c>
      <c r="J429" s="51" t="str">
        <f>IFERROR(__xludf.DUMMYFUNCTION("""COMPUTED_VALUE"""),"")</f>
        <v/>
      </c>
      <c r="K429" s="51"/>
      <c r="L429" s="51" t="s">
        <v>257</v>
      </c>
      <c r="M429" s="51"/>
      <c r="N429" s="51"/>
      <c r="O429" s="51"/>
      <c r="P429" s="51"/>
      <c r="Q429" s="51"/>
      <c r="R429" s="51"/>
      <c r="S429" s="51"/>
      <c r="T429" s="51"/>
    </row>
    <row r="430">
      <c r="A430" s="51"/>
      <c r="B430" s="51"/>
      <c r="C430" s="56"/>
      <c r="D430" s="51"/>
      <c r="E430" s="51"/>
      <c r="F430" s="51"/>
      <c r="G430" s="51" t="str">
        <f>IFERROR(__xludf.DUMMYFUNCTION("""COMPUTED_VALUE"""),"#VALUE!")</f>
        <v>#VALUE!</v>
      </c>
      <c r="H430" s="51" t="str">
        <f>IFERROR(__xludf.DUMMYFUNCTION("""COMPUTED_VALUE"""),"")</f>
        <v/>
      </c>
      <c r="I430" s="51" t="str">
        <f>IFERROR(__xludf.DUMMYFUNCTION("""COMPUTED_VALUE"""),"#VALUE!")</f>
        <v>#VALUE!</v>
      </c>
      <c r="J430" s="51" t="str">
        <f>IFERROR(__xludf.DUMMYFUNCTION("""COMPUTED_VALUE"""),"")</f>
        <v/>
      </c>
      <c r="K430" s="51"/>
      <c r="L430" s="51" t="s">
        <v>257</v>
      </c>
      <c r="M430" s="51"/>
      <c r="N430" s="51"/>
      <c r="O430" s="51"/>
      <c r="P430" s="51"/>
      <c r="Q430" s="51"/>
      <c r="R430" s="51"/>
      <c r="S430" s="51"/>
      <c r="T430" s="51"/>
    </row>
    <row r="431">
      <c r="A431" s="51"/>
      <c r="B431" s="51"/>
      <c r="C431" s="56"/>
      <c r="D431" s="51"/>
      <c r="E431" s="51"/>
      <c r="F431" s="51"/>
      <c r="G431" s="51" t="str">
        <f>IFERROR(__xludf.DUMMYFUNCTION("""COMPUTED_VALUE"""),"#VALUE!")</f>
        <v>#VALUE!</v>
      </c>
      <c r="H431" s="51" t="str">
        <f>IFERROR(__xludf.DUMMYFUNCTION("""COMPUTED_VALUE"""),"")</f>
        <v/>
      </c>
      <c r="I431" s="51" t="str">
        <f>IFERROR(__xludf.DUMMYFUNCTION("""COMPUTED_VALUE"""),"#VALUE!")</f>
        <v>#VALUE!</v>
      </c>
      <c r="J431" s="51" t="str">
        <f>IFERROR(__xludf.DUMMYFUNCTION("""COMPUTED_VALUE"""),"")</f>
        <v/>
      </c>
      <c r="K431" s="51"/>
      <c r="L431" s="51" t="s">
        <v>257</v>
      </c>
      <c r="M431" s="51"/>
      <c r="N431" s="51"/>
      <c r="O431" s="51"/>
      <c r="P431" s="51"/>
      <c r="Q431" s="51"/>
      <c r="R431" s="51"/>
      <c r="S431" s="51"/>
      <c r="T431" s="51"/>
    </row>
    <row r="432">
      <c r="A432" s="51"/>
      <c r="B432" s="51"/>
      <c r="C432" s="56"/>
      <c r="D432" s="51"/>
      <c r="E432" s="51"/>
      <c r="F432" s="51"/>
      <c r="G432" s="51" t="str">
        <f>IFERROR(__xludf.DUMMYFUNCTION("""COMPUTED_VALUE"""),"#VALUE!")</f>
        <v>#VALUE!</v>
      </c>
      <c r="H432" s="51" t="str">
        <f>IFERROR(__xludf.DUMMYFUNCTION("""COMPUTED_VALUE"""),"")</f>
        <v/>
      </c>
      <c r="I432" s="51" t="str">
        <f>IFERROR(__xludf.DUMMYFUNCTION("""COMPUTED_VALUE"""),"#VALUE!")</f>
        <v>#VALUE!</v>
      </c>
      <c r="J432" s="51" t="str">
        <f>IFERROR(__xludf.DUMMYFUNCTION("""COMPUTED_VALUE"""),"")</f>
        <v/>
      </c>
      <c r="K432" s="51"/>
      <c r="L432" s="51" t="s">
        <v>257</v>
      </c>
      <c r="M432" s="51"/>
      <c r="N432" s="51"/>
      <c r="O432" s="51"/>
      <c r="P432" s="51"/>
      <c r="Q432" s="51"/>
      <c r="R432" s="51"/>
      <c r="S432" s="51"/>
      <c r="T432" s="51"/>
    </row>
    <row r="433">
      <c r="A433" s="51"/>
      <c r="B433" s="51"/>
      <c r="C433" s="56"/>
      <c r="D433" s="51"/>
      <c r="E433" s="51"/>
      <c r="F433" s="51"/>
      <c r="G433" s="51" t="str">
        <f>IFERROR(__xludf.DUMMYFUNCTION("""COMPUTED_VALUE"""),"#VALUE!")</f>
        <v>#VALUE!</v>
      </c>
      <c r="H433" s="51" t="str">
        <f>IFERROR(__xludf.DUMMYFUNCTION("""COMPUTED_VALUE"""),"")</f>
        <v/>
      </c>
      <c r="I433" s="51" t="str">
        <f>IFERROR(__xludf.DUMMYFUNCTION("""COMPUTED_VALUE"""),"#VALUE!")</f>
        <v>#VALUE!</v>
      </c>
      <c r="J433" s="51" t="str">
        <f>IFERROR(__xludf.DUMMYFUNCTION("""COMPUTED_VALUE"""),"")</f>
        <v/>
      </c>
      <c r="K433" s="51"/>
      <c r="L433" s="51" t="s">
        <v>257</v>
      </c>
      <c r="M433" s="51"/>
      <c r="N433" s="51"/>
      <c r="O433" s="51"/>
      <c r="P433" s="51"/>
      <c r="Q433" s="51"/>
      <c r="R433" s="51"/>
      <c r="S433" s="51"/>
      <c r="T433" s="51"/>
    </row>
    <row r="434">
      <c r="A434" s="51"/>
      <c r="B434" s="51"/>
      <c r="C434" s="56"/>
      <c r="D434" s="51"/>
      <c r="E434" s="51"/>
      <c r="F434" s="51"/>
      <c r="G434" s="51" t="str">
        <f>IFERROR(__xludf.DUMMYFUNCTION("""COMPUTED_VALUE"""),"#VALUE!")</f>
        <v>#VALUE!</v>
      </c>
      <c r="H434" s="51" t="str">
        <f>IFERROR(__xludf.DUMMYFUNCTION("""COMPUTED_VALUE"""),"")</f>
        <v/>
      </c>
      <c r="I434" s="51" t="str">
        <f>IFERROR(__xludf.DUMMYFUNCTION("""COMPUTED_VALUE"""),"#VALUE!")</f>
        <v>#VALUE!</v>
      </c>
      <c r="J434" s="51" t="str">
        <f>IFERROR(__xludf.DUMMYFUNCTION("""COMPUTED_VALUE"""),"")</f>
        <v/>
      </c>
      <c r="K434" s="51"/>
      <c r="L434" s="51" t="s">
        <v>257</v>
      </c>
      <c r="M434" s="51"/>
      <c r="N434" s="51"/>
      <c r="O434" s="51"/>
      <c r="P434" s="51"/>
      <c r="Q434" s="51"/>
      <c r="R434" s="51"/>
      <c r="S434" s="51"/>
      <c r="T434" s="51"/>
    </row>
    <row r="435">
      <c r="A435" s="51"/>
      <c r="B435" s="51"/>
      <c r="C435" s="56"/>
      <c r="D435" s="51"/>
      <c r="E435" s="51"/>
      <c r="F435" s="51"/>
      <c r="G435" s="51" t="str">
        <f>IFERROR(__xludf.DUMMYFUNCTION("""COMPUTED_VALUE"""),"#VALUE!")</f>
        <v>#VALUE!</v>
      </c>
      <c r="H435" s="51" t="str">
        <f>IFERROR(__xludf.DUMMYFUNCTION("""COMPUTED_VALUE"""),"")</f>
        <v/>
      </c>
      <c r="I435" s="51" t="str">
        <f>IFERROR(__xludf.DUMMYFUNCTION("""COMPUTED_VALUE"""),"#VALUE!")</f>
        <v>#VALUE!</v>
      </c>
      <c r="J435" s="51" t="str">
        <f>IFERROR(__xludf.DUMMYFUNCTION("""COMPUTED_VALUE"""),"")</f>
        <v/>
      </c>
      <c r="K435" s="51"/>
      <c r="L435" s="51" t="s">
        <v>257</v>
      </c>
      <c r="M435" s="51"/>
      <c r="N435" s="51"/>
      <c r="O435" s="51"/>
      <c r="P435" s="51"/>
      <c r="Q435" s="51"/>
      <c r="R435" s="51"/>
      <c r="S435" s="51"/>
      <c r="T435" s="51"/>
    </row>
    <row r="436">
      <c r="A436" s="51"/>
      <c r="B436" s="51"/>
      <c r="C436" s="56"/>
      <c r="D436" s="51"/>
      <c r="E436" s="51"/>
      <c r="F436" s="51"/>
      <c r="G436" s="51" t="str">
        <f>IFERROR(__xludf.DUMMYFUNCTION("""COMPUTED_VALUE"""),"#VALUE!")</f>
        <v>#VALUE!</v>
      </c>
      <c r="H436" s="51" t="str">
        <f>IFERROR(__xludf.DUMMYFUNCTION("""COMPUTED_VALUE"""),"")</f>
        <v/>
      </c>
      <c r="I436" s="51" t="str">
        <f>IFERROR(__xludf.DUMMYFUNCTION("""COMPUTED_VALUE"""),"#VALUE!")</f>
        <v>#VALUE!</v>
      </c>
      <c r="J436" s="51" t="str">
        <f>IFERROR(__xludf.DUMMYFUNCTION("""COMPUTED_VALUE"""),"")</f>
        <v/>
      </c>
      <c r="K436" s="51"/>
      <c r="L436" s="51" t="s">
        <v>257</v>
      </c>
      <c r="M436" s="51"/>
      <c r="N436" s="51"/>
      <c r="O436" s="51"/>
      <c r="P436" s="51"/>
      <c r="Q436" s="51"/>
      <c r="R436" s="51"/>
      <c r="S436" s="51"/>
      <c r="T436" s="51"/>
    </row>
    <row r="437">
      <c r="A437" s="51"/>
      <c r="B437" s="51"/>
      <c r="C437" s="56"/>
      <c r="D437" s="51"/>
      <c r="E437" s="51"/>
      <c r="F437" s="51"/>
      <c r="G437" s="51" t="str">
        <f>IFERROR(__xludf.DUMMYFUNCTION("""COMPUTED_VALUE"""),"#VALUE!")</f>
        <v>#VALUE!</v>
      </c>
      <c r="H437" s="51" t="str">
        <f>IFERROR(__xludf.DUMMYFUNCTION("""COMPUTED_VALUE"""),"")</f>
        <v/>
      </c>
      <c r="I437" s="51" t="str">
        <f>IFERROR(__xludf.DUMMYFUNCTION("""COMPUTED_VALUE"""),"#VALUE!")</f>
        <v>#VALUE!</v>
      </c>
      <c r="J437" s="51" t="str">
        <f>IFERROR(__xludf.DUMMYFUNCTION("""COMPUTED_VALUE"""),"")</f>
        <v/>
      </c>
      <c r="K437" s="51"/>
      <c r="L437" s="51" t="s">
        <v>257</v>
      </c>
      <c r="M437" s="51"/>
      <c r="N437" s="51"/>
      <c r="O437" s="51"/>
      <c r="P437" s="51"/>
      <c r="Q437" s="51"/>
      <c r="R437" s="51"/>
      <c r="S437" s="51"/>
      <c r="T437" s="51"/>
    </row>
    <row r="438">
      <c r="A438" s="51"/>
      <c r="B438" s="51"/>
      <c r="C438" s="56"/>
      <c r="D438" s="51"/>
      <c r="E438" s="51"/>
      <c r="F438" s="51"/>
      <c r="G438" s="51" t="str">
        <f>IFERROR(__xludf.DUMMYFUNCTION("""COMPUTED_VALUE"""),"#VALUE!")</f>
        <v>#VALUE!</v>
      </c>
      <c r="H438" s="51" t="str">
        <f>IFERROR(__xludf.DUMMYFUNCTION("""COMPUTED_VALUE"""),"")</f>
        <v/>
      </c>
      <c r="I438" s="51" t="str">
        <f>IFERROR(__xludf.DUMMYFUNCTION("""COMPUTED_VALUE"""),"#VALUE!")</f>
        <v>#VALUE!</v>
      </c>
      <c r="J438" s="51" t="str">
        <f>IFERROR(__xludf.DUMMYFUNCTION("""COMPUTED_VALUE"""),"")</f>
        <v/>
      </c>
      <c r="K438" s="51"/>
      <c r="L438" s="51" t="s">
        <v>257</v>
      </c>
      <c r="M438" s="51"/>
      <c r="N438" s="51"/>
      <c r="O438" s="51"/>
      <c r="P438" s="51"/>
      <c r="Q438" s="51"/>
      <c r="R438" s="51"/>
      <c r="S438" s="51"/>
      <c r="T438" s="51"/>
    </row>
    <row r="439">
      <c r="A439" s="51"/>
      <c r="B439" s="51"/>
      <c r="C439" s="56"/>
      <c r="D439" s="51"/>
      <c r="E439" s="51"/>
      <c r="F439" s="51"/>
      <c r="G439" s="51" t="str">
        <f>IFERROR(__xludf.DUMMYFUNCTION("""COMPUTED_VALUE"""),"#VALUE!")</f>
        <v>#VALUE!</v>
      </c>
      <c r="H439" s="51" t="str">
        <f>IFERROR(__xludf.DUMMYFUNCTION("""COMPUTED_VALUE"""),"")</f>
        <v/>
      </c>
      <c r="I439" s="51" t="str">
        <f>IFERROR(__xludf.DUMMYFUNCTION("""COMPUTED_VALUE"""),"#VALUE!")</f>
        <v>#VALUE!</v>
      </c>
      <c r="J439" s="51" t="str">
        <f>IFERROR(__xludf.DUMMYFUNCTION("""COMPUTED_VALUE"""),"")</f>
        <v/>
      </c>
      <c r="K439" s="51"/>
      <c r="L439" s="51" t="s">
        <v>257</v>
      </c>
      <c r="M439" s="51"/>
      <c r="N439" s="51"/>
      <c r="O439" s="51"/>
      <c r="P439" s="51"/>
      <c r="Q439" s="51"/>
      <c r="R439" s="51"/>
      <c r="S439" s="51"/>
      <c r="T439" s="51"/>
    </row>
    <row r="440">
      <c r="A440" s="51"/>
      <c r="B440" s="51"/>
      <c r="C440" s="56"/>
      <c r="D440" s="51"/>
      <c r="E440" s="51"/>
      <c r="F440" s="51"/>
      <c r="G440" s="51" t="str">
        <f>IFERROR(__xludf.DUMMYFUNCTION("""COMPUTED_VALUE"""),"#VALUE!")</f>
        <v>#VALUE!</v>
      </c>
      <c r="H440" s="51" t="str">
        <f>IFERROR(__xludf.DUMMYFUNCTION("""COMPUTED_VALUE"""),"")</f>
        <v/>
      </c>
      <c r="I440" s="51" t="str">
        <f>IFERROR(__xludf.DUMMYFUNCTION("""COMPUTED_VALUE"""),"#VALUE!")</f>
        <v>#VALUE!</v>
      </c>
      <c r="J440" s="51" t="str">
        <f>IFERROR(__xludf.DUMMYFUNCTION("""COMPUTED_VALUE"""),"")</f>
        <v/>
      </c>
      <c r="K440" s="51"/>
      <c r="L440" s="51" t="s">
        <v>257</v>
      </c>
      <c r="M440" s="51"/>
      <c r="N440" s="51"/>
      <c r="O440" s="51"/>
      <c r="P440" s="51"/>
      <c r="Q440" s="51"/>
      <c r="R440" s="51"/>
      <c r="S440" s="51"/>
      <c r="T440" s="51"/>
    </row>
    <row r="441">
      <c r="A441" s="51"/>
      <c r="B441" s="51"/>
      <c r="C441" s="56"/>
      <c r="D441" s="51"/>
      <c r="E441" s="51"/>
      <c r="F441" s="51"/>
      <c r="G441" s="51" t="str">
        <f>IFERROR(__xludf.DUMMYFUNCTION("""COMPUTED_VALUE"""),"#VALUE!")</f>
        <v>#VALUE!</v>
      </c>
      <c r="H441" s="51" t="str">
        <f>IFERROR(__xludf.DUMMYFUNCTION("""COMPUTED_VALUE"""),"")</f>
        <v/>
      </c>
      <c r="I441" s="51" t="str">
        <f>IFERROR(__xludf.DUMMYFUNCTION("""COMPUTED_VALUE"""),"#VALUE!")</f>
        <v>#VALUE!</v>
      </c>
      <c r="J441" s="51" t="str">
        <f>IFERROR(__xludf.DUMMYFUNCTION("""COMPUTED_VALUE"""),"")</f>
        <v/>
      </c>
      <c r="K441" s="51"/>
      <c r="L441" s="51" t="s">
        <v>257</v>
      </c>
      <c r="M441" s="51"/>
      <c r="N441" s="51"/>
      <c r="O441" s="51"/>
      <c r="P441" s="51"/>
      <c r="Q441" s="51"/>
      <c r="R441" s="51"/>
      <c r="S441" s="51"/>
      <c r="T441" s="51"/>
    </row>
    <row r="442">
      <c r="A442" s="51"/>
      <c r="B442" s="51"/>
      <c r="C442" s="56"/>
      <c r="D442" s="51"/>
      <c r="E442" s="51"/>
      <c r="F442" s="51"/>
      <c r="G442" s="51" t="str">
        <f>IFERROR(__xludf.DUMMYFUNCTION("""COMPUTED_VALUE"""),"#VALUE!")</f>
        <v>#VALUE!</v>
      </c>
      <c r="H442" s="51" t="str">
        <f>IFERROR(__xludf.DUMMYFUNCTION("""COMPUTED_VALUE"""),"")</f>
        <v/>
      </c>
      <c r="I442" s="51" t="str">
        <f>IFERROR(__xludf.DUMMYFUNCTION("""COMPUTED_VALUE"""),"#VALUE!")</f>
        <v>#VALUE!</v>
      </c>
      <c r="J442" s="51" t="str">
        <f>IFERROR(__xludf.DUMMYFUNCTION("""COMPUTED_VALUE"""),"")</f>
        <v/>
      </c>
      <c r="K442" s="51"/>
      <c r="L442" s="51" t="s">
        <v>257</v>
      </c>
      <c r="M442" s="51"/>
      <c r="N442" s="51"/>
      <c r="O442" s="51"/>
      <c r="P442" s="51"/>
      <c r="Q442" s="51"/>
      <c r="R442" s="51"/>
      <c r="S442" s="51"/>
      <c r="T442" s="51"/>
    </row>
    <row r="443">
      <c r="A443" s="51"/>
      <c r="B443" s="51"/>
      <c r="C443" s="56"/>
      <c r="D443" s="51"/>
      <c r="E443" s="51"/>
      <c r="F443" s="51"/>
      <c r="G443" s="51" t="str">
        <f>IFERROR(__xludf.DUMMYFUNCTION("""COMPUTED_VALUE"""),"#VALUE!")</f>
        <v>#VALUE!</v>
      </c>
      <c r="H443" s="51" t="str">
        <f>IFERROR(__xludf.DUMMYFUNCTION("""COMPUTED_VALUE"""),"")</f>
        <v/>
      </c>
      <c r="I443" s="51" t="str">
        <f>IFERROR(__xludf.DUMMYFUNCTION("""COMPUTED_VALUE"""),"#VALUE!")</f>
        <v>#VALUE!</v>
      </c>
      <c r="J443" s="51" t="str">
        <f>IFERROR(__xludf.DUMMYFUNCTION("""COMPUTED_VALUE"""),"")</f>
        <v/>
      </c>
      <c r="K443" s="51"/>
      <c r="L443" s="51" t="s">
        <v>257</v>
      </c>
      <c r="M443" s="51"/>
      <c r="N443" s="51"/>
      <c r="O443" s="51"/>
      <c r="P443" s="51"/>
      <c r="Q443" s="51"/>
      <c r="R443" s="51"/>
      <c r="S443" s="51"/>
      <c r="T443" s="51"/>
    </row>
    <row r="444">
      <c r="A444" s="51"/>
      <c r="B444" s="51"/>
      <c r="C444" s="56"/>
      <c r="D444" s="51"/>
      <c r="E444" s="51"/>
      <c r="F444" s="51"/>
      <c r="G444" s="51" t="str">
        <f>IFERROR(__xludf.DUMMYFUNCTION("""COMPUTED_VALUE"""),"#VALUE!")</f>
        <v>#VALUE!</v>
      </c>
      <c r="H444" s="51" t="str">
        <f>IFERROR(__xludf.DUMMYFUNCTION("""COMPUTED_VALUE"""),"")</f>
        <v/>
      </c>
      <c r="I444" s="51" t="str">
        <f>IFERROR(__xludf.DUMMYFUNCTION("""COMPUTED_VALUE"""),"#VALUE!")</f>
        <v>#VALUE!</v>
      </c>
      <c r="J444" s="51" t="str">
        <f>IFERROR(__xludf.DUMMYFUNCTION("""COMPUTED_VALUE"""),"")</f>
        <v/>
      </c>
      <c r="K444" s="51"/>
      <c r="L444" s="51" t="s">
        <v>257</v>
      </c>
      <c r="M444" s="51"/>
      <c r="N444" s="51"/>
      <c r="O444" s="51"/>
      <c r="P444" s="51"/>
      <c r="Q444" s="51"/>
      <c r="R444" s="51"/>
      <c r="S444" s="51"/>
      <c r="T444" s="51"/>
    </row>
    <row r="445">
      <c r="A445" s="51"/>
      <c r="B445" s="51"/>
      <c r="C445" s="56"/>
      <c r="D445" s="51"/>
      <c r="E445" s="51"/>
      <c r="F445" s="51"/>
      <c r="G445" s="51" t="str">
        <f>IFERROR(__xludf.DUMMYFUNCTION("""COMPUTED_VALUE"""),"#VALUE!")</f>
        <v>#VALUE!</v>
      </c>
      <c r="H445" s="51" t="str">
        <f>IFERROR(__xludf.DUMMYFUNCTION("""COMPUTED_VALUE"""),"")</f>
        <v/>
      </c>
      <c r="I445" s="51" t="str">
        <f>IFERROR(__xludf.DUMMYFUNCTION("""COMPUTED_VALUE"""),"#VALUE!")</f>
        <v>#VALUE!</v>
      </c>
      <c r="J445" s="51" t="str">
        <f>IFERROR(__xludf.DUMMYFUNCTION("""COMPUTED_VALUE"""),"")</f>
        <v/>
      </c>
      <c r="K445" s="51"/>
      <c r="L445" s="51" t="s">
        <v>257</v>
      </c>
      <c r="M445" s="51"/>
      <c r="N445" s="51"/>
      <c r="O445" s="51"/>
      <c r="P445" s="51"/>
      <c r="Q445" s="51"/>
      <c r="R445" s="51"/>
      <c r="S445" s="51"/>
      <c r="T445" s="51"/>
    </row>
    <row r="446">
      <c r="A446" s="51"/>
      <c r="B446" s="51"/>
      <c r="C446" s="56"/>
      <c r="D446" s="51"/>
      <c r="E446" s="51"/>
      <c r="F446" s="51"/>
      <c r="G446" s="51" t="str">
        <f>IFERROR(__xludf.DUMMYFUNCTION("""COMPUTED_VALUE"""),"#VALUE!")</f>
        <v>#VALUE!</v>
      </c>
      <c r="H446" s="51" t="str">
        <f>IFERROR(__xludf.DUMMYFUNCTION("""COMPUTED_VALUE"""),"")</f>
        <v/>
      </c>
      <c r="I446" s="51" t="str">
        <f>IFERROR(__xludf.DUMMYFUNCTION("""COMPUTED_VALUE"""),"#VALUE!")</f>
        <v>#VALUE!</v>
      </c>
      <c r="J446" s="51" t="str">
        <f>IFERROR(__xludf.DUMMYFUNCTION("""COMPUTED_VALUE"""),"")</f>
        <v/>
      </c>
      <c r="K446" s="51"/>
      <c r="L446" s="51" t="s">
        <v>257</v>
      </c>
      <c r="M446" s="51"/>
      <c r="N446" s="51"/>
      <c r="O446" s="51"/>
      <c r="P446" s="51"/>
      <c r="Q446" s="51"/>
      <c r="R446" s="51"/>
      <c r="S446" s="51"/>
      <c r="T446" s="51"/>
    </row>
    <row r="447">
      <c r="A447" s="51"/>
      <c r="B447" s="51"/>
      <c r="C447" s="56"/>
      <c r="D447" s="51"/>
      <c r="E447" s="51"/>
      <c r="F447" s="51"/>
      <c r="G447" s="51" t="str">
        <f>IFERROR(__xludf.DUMMYFUNCTION("""COMPUTED_VALUE"""),"#VALUE!")</f>
        <v>#VALUE!</v>
      </c>
      <c r="H447" s="51" t="str">
        <f>IFERROR(__xludf.DUMMYFUNCTION("""COMPUTED_VALUE"""),"")</f>
        <v/>
      </c>
      <c r="I447" s="51" t="str">
        <f>IFERROR(__xludf.DUMMYFUNCTION("""COMPUTED_VALUE"""),"#VALUE!")</f>
        <v>#VALUE!</v>
      </c>
      <c r="J447" s="51" t="str">
        <f>IFERROR(__xludf.DUMMYFUNCTION("""COMPUTED_VALUE"""),"")</f>
        <v/>
      </c>
      <c r="K447" s="51"/>
      <c r="L447" s="51" t="s">
        <v>257</v>
      </c>
      <c r="M447" s="51"/>
      <c r="N447" s="51"/>
      <c r="O447" s="51"/>
      <c r="P447" s="51"/>
      <c r="Q447" s="51"/>
      <c r="R447" s="51"/>
      <c r="S447" s="51"/>
      <c r="T447" s="51"/>
    </row>
    <row r="448">
      <c r="A448" s="51"/>
      <c r="B448" s="51"/>
      <c r="C448" s="56"/>
      <c r="D448" s="51"/>
      <c r="E448" s="51"/>
      <c r="F448" s="51"/>
      <c r="G448" s="51" t="str">
        <f>IFERROR(__xludf.DUMMYFUNCTION("""COMPUTED_VALUE"""),"#VALUE!")</f>
        <v>#VALUE!</v>
      </c>
      <c r="H448" s="51" t="str">
        <f>IFERROR(__xludf.DUMMYFUNCTION("""COMPUTED_VALUE"""),"")</f>
        <v/>
      </c>
      <c r="I448" s="51" t="str">
        <f>IFERROR(__xludf.DUMMYFUNCTION("""COMPUTED_VALUE"""),"#VALUE!")</f>
        <v>#VALUE!</v>
      </c>
      <c r="J448" s="51" t="str">
        <f>IFERROR(__xludf.DUMMYFUNCTION("""COMPUTED_VALUE"""),"")</f>
        <v/>
      </c>
      <c r="K448" s="51"/>
      <c r="L448" s="51" t="s">
        <v>257</v>
      </c>
      <c r="M448" s="51"/>
      <c r="N448" s="51"/>
      <c r="O448" s="51"/>
      <c r="P448" s="51"/>
      <c r="Q448" s="51"/>
      <c r="R448" s="51"/>
      <c r="S448" s="51"/>
      <c r="T448" s="51"/>
    </row>
    <row r="449">
      <c r="A449" s="51"/>
      <c r="B449" s="51"/>
      <c r="C449" s="56"/>
      <c r="D449" s="51"/>
      <c r="E449" s="51"/>
      <c r="F449" s="51"/>
      <c r="G449" s="51" t="str">
        <f>IFERROR(__xludf.DUMMYFUNCTION("""COMPUTED_VALUE"""),"#VALUE!")</f>
        <v>#VALUE!</v>
      </c>
      <c r="H449" s="51" t="str">
        <f>IFERROR(__xludf.DUMMYFUNCTION("""COMPUTED_VALUE"""),"")</f>
        <v/>
      </c>
      <c r="I449" s="51" t="str">
        <f>IFERROR(__xludf.DUMMYFUNCTION("""COMPUTED_VALUE"""),"#VALUE!")</f>
        <v>#VALUE!</v>
      </c>
      <c r="J449" s="51" t="str">
        <f>IFERROR(__xludf.DUMMYFUNCTION("""COMPUTED_VALUE"""),"")</f>
        <v/>
      </c>
      <c r="K449" s="51"/>
      <c r="L449" s="51" t="s">
        <v>257</v>
      </c>
      <c r="M449" s="51"/>
      <c r="N449" s="51"/>
      <c r="O449" s="51"/>
      <c r="P449" s="51"/>
      <c r="Q449" s="51"/>
      <c r="R449" s="51"/>
      <c r="S449" s="51"/>
      <c r="T449" s="51"/>
    </row>
    <row r="450">
      <c r="A450" s="51"/>
      <c r="B450" s="51"/>
      <c r="C450" s="56"/>
      <c r="D450" s="51"/>
      <c r="E450" s="51"/>
      <c r="F450" s="51"/>
      <c r="G450" s="51" t="str">
        <f>IFERROR(__xludf.DUMMYFUNCTION("""COMPUTED_VALUE"""),"#VALUE!")</f>
        <v>#VALUE!</v>
      </c>
      <c r="H450" s="51" t="str">
        <f>IFERROR(__xludf.DUMMYFUNCTION("""COMPUTED_VALUE"""),"")</f>
        <v/>
      </c>
      <c r="I450" s="51" t="str">
        <f>IFERROR(__xludf.DUMMYFUNCTION("""COMPUTED_VALUE"""),"#VALUE!")</f>
        <v>#VALUE!</v>
      </c>
      <c r="J450" s="51" t="str">
        <f>IFERROR(__xludf.DUMMYFUNCTION("""COMPUTED_VALUE"""),"")</f>
        <v/>
      </c>
      <c r="K450" s="51"/>
      <c r="L450" s="51" t="s">
        <v>257</v>
      </c>
      <c r="M450" s="51"/>
      <c r="N450" s="51"/>
      <c r="O450" s="51"/>
      <c r="P450" s="51"/>
      <c r="Q450" s="51"/>
      <c r="R450" s="51"/>
      <c r="S450" s="51"/>
      <c r="T450" s="51"/>
    </row>
    <row r="451">
      <c r="A451" s="51"/>
      <c r="B451" s="51"/>
      <c r="C451" s="56"/>
      <c r="D451" s="51"/>
      <c r="E451" s="51"/>
      <c r="F451" s="51"/>
      <c r="G451" s="51" t="str">
        <f>IFERROR(__xludf.DUMMYFUNCTION("""COMPUTED_VALUE"""),"#VALUE!")</f>
        <v>#VALUE!</v>
      </c>
      <c r="H451" s="51" t="str">
        <f>IFERROR(__xludf.DUMMYFUNCTION("""COMPUTED_VALUE"""),"")</f>
        <v/>
      </c>
      <c r="I451" s="51" t="str">
        <f>IFERROR(__xludf.DUMMYFUNCTION("""COMPUTED_VALUE"""),"#VALUE!")</f>
        <v>#VALUE!</v>
      </c>
      <c r="J451" s="51" t="str">
        <f>IFERROR(__xludf.DUMMYFUNCTION("""COMPUTED_VALUE"""),"")</f>
        <v/>
      </c>
      <c r="K451" s="51"/>
      <c r="L451" s="51" t="s">
        <v>257</v>
      </c>
      <c r="M451" s="51"/>
      <c r="N451" s="51"/>
      <c r="O451" s="51"/>
      <c r="P451" s="51"/>
      <c r="Q451" s="51"/>
      <c r="R451" s="51"/>
      <c r="S451" s="51"/>
      <c r="T451" s="51"/>
    </row>
    <row r="452">
      <c r="A452" s="51"/>
      <c r="B452" s="51"/>
      <c r="C452" s="56"/>
      <c r="D452" s="51"/>
      <c r="E452" s="51"/>
      <c r="F452" s="51"/>
      <c r="G452" s="51" t="str">
        <f>IFERROR(__xludf.DUMMYFUNCTION("""COMPUTED_VALUE"""),"#VALUE!")</f>
        <v>#VALUE!</v>
      </c>
      <c r="H452" s="51" t="str">
        <f>IFERROR(__xludf.DUMMYFUNCTION("""COMPUTED_VALUE"""),"")</f>
        <v/>
      </c>
      <c r="I452" s="51" t="str">
        <f>IFERROR(__xludf.DUMMYFUNCTION("""COMPUTED_VALUE"""),"#VALUE!")</f>
        <v>#VALUE!</v>
      </c>
      <c r="J452" s="51" t="str">
        <f>IFERROR(__xludf.DUMMYFUNCTION("""COMPUTED_VALUE"""),"")</f>
        <v/>
      </c>
      <c r="K452" s="51"/>
      <c r="L452" s="51" t="s">
        <v>257</v>
      </c>
      <c r="M452" s="51"/>
      <c r="N452" s="51"/>
      <c r="O452" s="51"/>
      <c r="P452" s="51"/>
      <c r="Q452" s="51"/>
      <c r="R452" s="51"/>
      <c r="S452" s="51"/>
      <c r="T452" s="51"/>
    </row>
    <row r="453">
      <c r="A453" s="51"/>
      <c r="B453" s="51"/>
      <c r="C453" s="56"/>
      <c r="D453" s="51"/>
      <c r="E453" s="51"/>
      <c r="F453" s="51"/>
      <c r="G453" s="51" t="str">
        <f>IFERROR(__xludf.DUMMYFUNCTION("""COMPUTED_VALUE"""),"#VALUE!")</f>
        <v>#VALUE!</v>
      </c>
      <c r="H453" s="51" t="str">
        <f>IFERROR(__xludf.DUMMYFUNCTION("""COMPUTED_VALUE"""),"")</f>
        <v/>
      </c>
      <c r="I453" s="51" t="str">
        <f>IFERROR(__xludf.DUMMYFUNCTION("""COMPUTED_VALUE"""),"#VALUE!")</f>
        <v>#VALUE!</v>
      </c>
      <c r="J453" s="51" t="str">
        <f>IFERROR(__xludf.DUMMYFUNCTION("""COMPUTED_VALUE"""),"")</f>
        <v/>
      </c>
      <c r="K453" s="51"/>
      <c r="L453" s="51" t="s">
        <v>257</v>
      </c>
      <c r="M453" s="51"/>
      <c r="N453" s="51"/>
      <c r="O453" s="51"/>
      <c r="P453" s="51"/>
      <c r="Q453" s="51"/>
      <c r="R453" s="51"/>
      <c r="S453" s="51"/>
      <c r="T453" s="51"/>
    </row>
    <row r="454">
      <c r="A454" s="51"/>
      <c r="B454" s="51"/>
      <c r="C454" s="56"/>
      <c r="D454" s="51"/>
      <c r="E454" s="51"/>
      <c r="F454" s="51"/>
      <c r="G454" s="51" t="str">
        <f>IFERROR(__xludf.DUMMYFUNCTION("""COMPUTED_VALUE"""),"#VALUE!")</f>
        <v>#VALUE!</v>
      </c>
      <c r="H454" s="51" t="str">
        <f>IFERROR(__xludf.DUMMYFUNCTION("""COMPUTED_VALUE"""),"")</f>
        <v/>
      </c>
      <c r="I454" s="51" t="str">
        <f>IFERROR(__xludf.DUMMYFUNCTION("""COMPUTED_VALUE"""),"#VALUE!")</f>
        <v>#VALUE!</v>
      </c>
      <c r="J454" s="51" t="str">
        <f>IFERROR(__xludf.DUMMYFUNCTION("""COMPUTED_VALUE"""),"")</f>
        <v/>
      </c>
      <c r="K454" s="51"/>
      <c r="L454" s="51" t="s">
        <v>257</v>
      </c>
      <c r="M454" s="51"/>
      <c r="N454" s="51"/>
      <c r="O454" s="51"/>
      <c r="P454" s="51"/>
      <c r="Q454" s="51"/>
      <c r="R454" s="51"/>
      <c r="S454" s="51"/>
      <c r="T454" s="51"/>
    </row>
    <row r="455">
      <c r="A455" s="51"/>
      <c r="B455" s="51"/>
      <c r="C455" s="56"/>
      <c r="D455" s="51"/>
      <c r="E455" s="51"/>
      <c r="F455" s="51"/>
      <c r="G455" s="51" t="str">
        <f>IFERROR(__xludf.DUMMYFUNCTION("""COMPUTED_VALUE"""),"#VALUE!")</f>
        <v>#VALUE!</v>
      </c>
      <c r="H455" s="51" t="str">
        <f>IFERROR(__xludf.DUMMYFUNCTION("""COMPUTED_VALUE"""),"")</f>
        <v/>
      </c>
      <c r="I455" s="51" t="str">
        <f>IFERROR(__xludf.DUMMYFUNCTION("""COMPUTED_VALUE"""),"#VALUE!")</f>
        <v>#VALUE!</v>
      </c>
      <c r="J455" s="51" t="str">
        <f>IFERROR(__xludf.DUMMYFUNCTION("""COMPUTED_VALUE"""),"")</f>
        <v/>
      </c>
      <c r="K455" s="51"/>
      <c r="L455" s="51" t="s">
        <v>257</v>
      </c>
      <c r="M455" s="51"/>
      <c r="N455" s="51"/>
      <c r="O455" s="51"/>
      <c r="P455" s="51"/>
      <c r="Q455" s="51"/>
      <c r="R455" s="51"/>
      <c r="S455" s="51"/>
      <c r="T455" s="51"/>
    </row>
    <row r="456">
      <c r="A456" s="51"/>
      <c r="B456" s="51"/>
      <c r="C456" s="56"/>
      <c r="D456" s="51"/>
      <c r="E456" s="51"/>
      <c r="F456" s="51"/>
      <c r="G456" s="51" t="str">
        <f>IFERROR(__xludf.DUMMYFUNCTION("""COMPUTED_VALUE"""),"#VALUE!")</f>
        <v>#VALUE!</v>
      </c>
      <c r="H456" s="51" t="str">
        <f>IFERROR(__xludf.DUMMYFUNCTION("""COMPUTED_VALUE"""),"")</f>
        <v/>
      </c>
      <c r="I456" s="51" t="str">
        <f>IFERROR(__xludf.DUMMYFUNCTION("""COMPUTED_VALUE"""),"#VALUE!")</f>
        <v>#VALUE!</v>
      </c>
      <c r="J456" s="51" t="str">
        <f>IFERROR(__xludf.DUMMYFUNCTION("""COMPUTED_VALUE"""),"")</f>
        <v/>
      </c>
      <c r="K456" s="51"/>
      <c r="L456" s="51" t="s">
        <v>257</v>
      </c>
      <c r="M456" s="51"/>
      <c r="N456" s="51"/>
      <c r="O456" s="51"/>
      <c r="P456" s="51"/>
      <c r="Q456" s="51"/>
      <c r="R456" s="51"/>
      <c r="S456" s="51"/>
      <c r="T456" s="51"/>
    </row>
    <row r="457">
      <c r="A457" s="51"/>
      <c r="B457" s="51"/>
      <c r="C457" s="56"/>
      <c r="D457" s="51"/>
      <c r="E457" s="51"/>
      <c r="F457" s="51"/>
      <c r="G457" s="51" t="str">
        <f>IFERROR(__xludf.DUMMYFUNCTION("""COMPUTED_VALUE"""),"#VALUE!")</f>
        <v>#VALUE!</v>
      </c>
      <c r="H457" s="51" t="str">
        <f>IFERROR(__xludf.DUMMYFUNCTION("""COMPUTED_VALUE"""),"")</f>
        <v/>
      </c>
      <c r="I457" s="51" t="str">
        <f>IFERROR(__xludf.DUMMYFUNCTION("""COMPUTED_VALUE"""),"#VALUE!")</f>
        <v>#VALUE!</v>
      </c>
      <c r="J457" s="51" t="str">
        <f>IFERROR(__xludf.DUMMYFUNCTION("""COMPUTED_VALUE"""),"")</f>
        <v/>
      </c>
      <c r="K457" s="51"/>
      <c r="L457" s="51" t="s">
        <v>257</v>
      </c>
      <c r="M457" s="51"/>
      <c r="N457" s="51"/>
      <c r="O457" s="51"/>
      <c r="P457" s="51"/>
      <c r="Q457" s="51"/>
      <c r="R457" s="51"/>
      <c r="S457" s="51"/>
      <c r="T457" s="51"/>
    </row>
    <row r="458">
      <c r="A458" s="51"/>
      <c r="B458" s="51"/>
      <c r="C458" s="56"/>
      <c r="D458" s="51"/>
      <c r="E458" s="51"/>
      <c r="F458" s="51"/>
      <c r="G458" s="51" t="str">
        <f>IFERROR(__xludf.DUMMYFUNCTION("""COMPUTED_VALUE"""),"#VALUE!")</f>
        <v>#VALUE!</v>
      </c>
      <c r="H458" s="51" t="str">
        <f>IFERROR(__xludf.DUMMYFUNCTION("""COMPUTED_VALUE"""),"")</f>
        <v/>
      </c>
      <c r="I458" s="51" t="str">
        <f>IFERROR(__xludf.DUMMYFUNCTION("""COMPUTED_VALUE"""),"#VALUE!")</f>
        <v>#VALUE!</v>
      </c>
      <c r="J458" s="51" t="str">
        <f>IFERROR(__xludf.DUMMYFUNCTION("""COMPUTED_VALUE"""),"")</f>
        <v/>
      </c>
      <c r="K458" s="51"/>
      <c r="L458" s="51" t="s">
        <v>257</v>
      </c>
      <c r="M458" s="51"/>
      <c r="N458" s="51"/>
      <c r="O458" s="51"/>
      <c r="P458" s="51"/>
      <c r="Q458" s="51"/>
      <c r="R458" s="51"/>
      <c r="S458" s="51"/>
      <c r="T458" s="51"/>
    </row>
    <row r="459">
      <c r="A459" s="51"/>
      <c r="B459" s="51"/>
      <c r="C459" s="56"/>
      <c r="D459" s="51"/>
      <c r="E459" s="51"/>
      <c r="F459" s="51"/>
      <c r="G459" s="51" t="str">
        <f>IFERROR(__xludf.DUMMYFUNCTION("""COMPUTED_VALUE"""),"#VALUE!")</f>
        <v>#VALUE!</v>
      </c>
      <c r="H459" s="51" t="str">
        <f>IFERROR(__xludf.DUMMYFUNCTION("""COMPUTED_VALUE"""),"")</f>
        <v/>
      </c>
      <c r="I459" s="51" t="str">
        <f>IFERROR(__xludf.DUMMYFUNCTION("""COMPUTED_VALUE"""),"#VALUE!")</f>
        <v>#VALUE!</v>
      </c>
      <c r="J459" s="51" t="str">
        <f>IFERROR(__xludf.DUMMYFUNCTION("""COMPUTED_VALUE"""),"")</f>
        <v/>
      </c>
      <c r="K459" s="51"/>
      <c r="L459" s="51" t="s">
        <v>257</v>
      </c>
      <c r="M459" s="51"/>
      <c r="N459" s="51"/>
      <c r="O459" s="51"/>
      <c r="P459" s="51"/>
      <c r="Q459" s="51"/>
      <c r="R459" s="51"/>
      <c r="S459" s="51"/>
      <c r="T459" s="51"/>
    </row>
    <row r="460">
      <c r="A460" s="51"/>
      <c r="B460" s="51"/>
      <c r="C460" s="56"/>
      <c r="D460" s="51"/>
      <c r="E460" s="51"/>
      <c r="F460" s="51"/>
      <c r="G460" s="51" t="str">
        <f>IFERROR(__xludf.DUMMYFUNCTION("""COMPUTED_VALUE"""),"#VALUE!")</f>
        <v>#VALUE!</v>
      </c>
      <c r="H460" s="51" t="str">
        <f>IFERROR(__xludf.DUMMYFUNCTION("""COMPUTED_VALUE"""),"")</f>
        <v/>
      </c>
      <c r="I460" s="51" t="str">
        <f>IFERROR(__xludf.DUMMYFUNCTION("""COMPUTED_VALUE"""),"#VALUE!")</f>
        <v>#VALUE!</v>
      </c>
      <c r="J460" s="51" t="str">
        <f>IFERROR(__xludf.DUMMYFUNCTION("""COMPUTED_VALUE"""),"")</f>
        <v/>
      </c>
      <c r="K460" s="51"/>
      <c r="L460" s="51" t="s">
        <v>257</v>
      </c>
      <c r="M460" s="51"/>
      <c r="N460" s="51"/>
      <c r="O460" s="51"/>
      <c r="P460" s="51"/>
      <c r="Q460" s="51"/>
      <c r="R460" s="51"/>
      <c r="S460" s="51"/>
      <c r="T460" s="51"/>
    </row>
    <row r="461">
      <c r="A461" s="51"/>
      <c r="B461" s="51"/>
      <c r="C461" s="56"/>
      <c r="D461" s="51"/>
      <c r="E461" s="51"/>
      <c r="F461" s="51"/>
      <c r="G461" s="51" t="str">
        <f>IFERROR(__xludf.DUMMYFUNCTION("""COMPUTED_VALUE"""),"#VALUE!")</f>
        <v>#VALUE!</v>
      </c>
      <c r="H461" s="51" t="str">
        <f>IFERROR(__xludf.DUMMYFUNCTION("""COMPUTED_VALUE"""),"")</f>
        <v/>
      </c>
      <c r="I461" s="51" t="str">
        <f>IFERROR(__xludf.DUMMYFUNCTION("""COMPUTED_VALUE"""),"#VALUE!")</f>
        <v>#VALUE!</v>
      </c>
      <c r="J461" s="51" t="str">
        <f>IFERROR(__xludf.DUMMYFUNCTION("""COMPUTED_VALUE"""),"")</f>
        <v/>
      </c>
      <c r="K461" s="51"/>
      <c r="L461" s="51" t="s">
        <v>257</v>
      </c>
      <c r="M461" s="51"/>
      <c r="N461" s="51"/>
      <c r="O461" s="51"/>
      <c r="P461" s="51"/>
      <c r="Q461" s="51"/>
      <c r="R461" s="51"/>
      <c r="S461" s="51"/>
      <c r="T461" s="51"/>
    </row>
    <row r="462">
      <c r="A462" s="51"/>
      <c r="B462" s="51"/>
      <c r="C462" s="56"/>
      <c r="D462" s="51"/>
      <c r="E462" s="51"/>
      <c r="F462" s="51"/>
      <c r="G462" s="51" t="str">
        <f>IFERROR(__xludf.DUMMYFUNCTION("""COMPUTED_VALUE"""),"#VALUE!")</f>
        <v>#VALUE!</v>
      </c>
      <c r="H462" s="51" t="str">
        <f>IFERROR(__xludf.DUMMYFUNCTION("""COMPUTED_VALUE"""),"")</f>
        <v/>
      </c>
      <c r="I462" s="51" t="str">
        <f>IFERROR(__xludf.DUMMYFUNCTION("""COMPUTED_VALUE"""),"#VALUE!")</f>
        <v>#VALUE!</v>
      </c>
      <c r="J462" s="51" t="str">
        <f>IFERROR(__xludf.DUMMYFUNCTION("""COMPUTED_VALUE"""),"")</f>
        <v/>
      </c>
      <c r="K462" s="51"/>
      <c r="L462" s="51" t="s">
        <v>257</v>
      </c>
      <c r="M462" s="51"/>
      <c r="N462" s="51"/>
      <c r="O462" s="51"/>
      <c r="P462" s="51"/>
      <c r="Q462" s="51"/>
      <c r="R462" s="51"/>
      <c r="S462" s="51"/>
      <c r="T462" s="51"/>
    </row>
    <row r="463">
      <c r="A463" s="51"/>
      <c r="B463" s="51"/>
      <c r="C463" s="56"/>
      <c r="D463" s="51"/>
      <c r="E463" s="51"/>
      <c r="F463" s="51"/>
      <c r="G463" s="51" t="str">
        <f>IFERROR(__xludf.DUMMYFUNCTION("""COMPUTED_VALUE"""),"#VALUE!")</f>
        <v>#VALUE!</v>
      </c>
      <c r="H463" s="51" t="str">
        <f>IFERROR(__xludf.DUMMYFUNCTION("""COMPUTED_VALUE"""),"")</f>
        <v/>
      </c>
      <c r="I463" s="51" t="str">
        <f>IFERROR(__xludf.DUMMYFUNCTION("""COMPUTED_VALUE"""),"#VALUE!")</f>
        <v>#VALUE!</v>
      </c>
      <c r="J463" s="51" t="str">
        <f>IFERROR(__xludf.DUMMYFUNCTION("""COMPUTED_VALUE"""),"")</f>
        <v/>
      </c>
      <c r="K463" s="51"/>
      <c r="L463" s="51" t="s">
        <v>257</v>
      </c>
      <c r="M463" s="51"/>
      <c r="N463" s="51"/>
      <c r="O463" s="51"/>
      <c r="P463" s="51"/>
      <c r="Q463" s="51"/>
      <c r="R463" s="51"/>
      <c r="S463" s="51"/>
      <c r="T463" s="51"/>
    </row>
    <row r="464">
      <c r="A464" s="51"/>
      <c r="B464" s="51"/>
      <c r="C464" s="56"/>
      <c r="D464" s="51"/>
      <c r="E464" s="51"/>
      <c r="F464" s="51"/>
      <c r="G464" s="51" t="str">
        <f>IFERROR(__xludf.DUMMYFUNCTION("""COMPUTED_VALUE"""),"#VALUE!")</f>
        <v>#VALUE!</v>
      </c>
      <c r="H464" s="51" t="str">
        <f>IFERROR(__xludf.DUMMYFUNCTION("""COMPUTED_VALUE"""),"")</f>
        <v/>
      </c>
      <c r="I464" s="51" t="str">
        <f>IFERROR(__xludf.DUMMYFUNCTION("""COMPUTED_VALUE"""),"#VALUE!")</f>
        <v>#VALUE!</v>
      </c>
      <c r="J464" s="51" t="str">
        <f>IFERROR(__xludf.DUMMYFUNCTION("""COMPUTED_VALUE"""),"")</f>
        <v/>
      </c>
      <c r="K464" s="51"/>
      <c r="L464" s="51" t="s">
        <v>257</v>
      </c>
      <c r="M464" s="51"/>
      <c r="N464" s="51"/>
      <c r="O464" s="51"/>
      <c r="P464" s="51"/>
      <c r="Q464" s="51"/>
      <c r="R464" s="51"/>
      <c r="S464" s="51"/>
      <c r="T464" s="51"/>
    </row>
    <row r="465">
      <c r="A465" s="51"/>
      <c r="B465" s="51"/>
      <c r="C465" s="56"/>
      <c r="D465" s="51"/>
      <c r="E465" s="51"/>
      <c r="F465" s="51"/>
      <c r="G465" s="51" t="str">
        <f>IFERROR(__xludf.DUMMYFUNCTION("""COMPUTED_VALUE"""),"#VALUE!")</f>
        <v>#VALUE!</v>
      </c>
      <c r="H465" s="51" t="str">
        <f>IFERROR(__xludf.DUMMYFUNCTION("""COMPUTED_VALUE"""),"")</f>
        <v/>
      </c>
      <c r="I465" s="51" t="str">
        <f>IFERROR(__xludf.DUMMYFUNCTION("""COMPUTED_VALUE"""),"#VALUE!")</f>
        <v>#VALUE!</v>
      </c>
      <c r="J465" s="51" t="str">
        <f>IFERROR(__xludf.DUMMYFUNCTION("""COMPUTED_VALUE"""),"")</f>
        <v/>
      </c>
      <c r="K465" s="51"/>
      <c r="L465" s="51" t="s">
        <v>257</v>
      </c>
      <c r="M465" s="51"/>
      <c r="N465" s="51"/>
      <c r="O465" s="51"/>
      <c r="P465" s="51"/>
      <c r="Q465" s="51"/>
      <c r="R465" s="51"/>
      <c r="S465" s="51"/>
      <c r="T465" s="51"/>
    </row>
    <row r="466">
      <c r="A466" s="51"/>
      <c r="B466" s="51"/>
      <c r="C466" s="56"/>
      <c r="D466" s="51"/>
      <c r="E466" s="51"/>
      <c r="F466" s="51"/>
      <c r="G466" s="51" t="str">
        <f>IFERROR(__xludf.DUMMYFUNCTION("""COMPUTED_VALUE"""),"#VALUE!")</f>
        <v>#VALUE!</v>
      </c>
      <c r="H466" s="51" t="str">
        <f>IFERROR(__xludf.DUMMYFUNCTION("""COMPUTED_VALUE"""),"")</f>
        <v/>
      </c>
      <c r="I466" s="51" t="str">
        <f>IFERROR(__xludf.DUMMYFUNCTION("""COMPUTED_VALUE"""),"#VALUE!")</f>
        <v>#VALUE!</v>
      </c>
      <c r="J466" s="51" t="str">
        <f>IFERROR(__xludf.DUMMYFUNCTION("""COMPUTED_VALUE"""),"")</f>
        <v/>
      </c>
      <c r="K466" s="51"/>
      <c r="L466" s="51" t="s">
        <v>257</v>
      </c>
      <c r="M466" s="51"/>
      <c r="N466" s="51"/>
      <c r="O466" s="51"/>
      <c r="P466" s="51"/>
      <c r="Q466" s="51"/>
      <c r="R466" s="51"/>
      <c r="S466" s="51"/>
      <c r="T466" s="51"/>
    </row>
    <row r="467">
      <c r="A467" s="51"/>
      <c r="B467" s="51"/>
      <c r="C467" s="56"/>
      <c r="D467" s="51"/>
      <c r="E467" s="51"/>
      <c r="F467" s="51"/>
      <c r="G467" s="51" t="str">
        <f>IFERROR(__xludf.DUMMYFUNCTION("""COMPUTED_VALUE"""),"#VALUE!")</f>
        <v>#VALUE!</v>
      </c>
      <c r="H467" s="51" t="str">
        <f>IFERROR(__xludf.DUMMYFUNCTION("""COMPUTED_VALUE"""),"")</f>
        <v/>
      </c>
      <c r="I467" s="51" t="str">
        <f>IFERROR(__xludf.DUMMYFUNCTION("""COMPUTED_VALUE"""),"#VALUE!")</f>
        <v>#VALUE!</v>
      </c>
      <c r="J467" s="51" t="str">
        <f>IFERROR(__xludf.DUMMYFUNCTION("""COMPUTED_VALUE"""),"")</f>
        <v/>
      </c>
      <c r="K467" s="51"/>
      <c r="L467" s="51" t="s">
        <v>257</v>
      </c>
      <c r="M467" s="51"/>
      <c r="N467" s="51"/>
      <c r="O467" s="51"/>
      <c r="P467" s="51"/>
      <c r="Q467" s="51"/>
      <c r="R467" s="51"/>
      <c r="S467" s="51"/>
      <c r="T467" s="51"/>
    </row>
    <row r="468">
      <c r="A468" s="51"/>
      <c r="B468" s="51"/>
      <c r="C468" s="56"/>
      <c r="D468" s="51"/>
      <c r="E468" s="51"/>
      <c r="F468" s="51"/>
      <c r="G468" s="51" t="str">
        <f>IFERROR(__xludf.DUMMYFUNCTION("""COMPUTED_VALUE"""),"#VALUE!")</f>
        <v>#VALUE!</v>
      </c>
      <c r="H468" s="51" t="str">
        <f>IFERROR(__xludf.DUMMYFUNCTION("""COMPUTED_VALUE"""),"")</f>
        <v/>
      </c>
      <c r="I468" s="51" t="str">
        <f>IFERROR(__xludf.DUMMYFUNCTION("""COMPUTED_VALUE"""),"#VALUE!")</f>
        <v>#VALUE!</v>
      </c>
      <c r="J468" s="51" t="str">
        <f>IFERROR(__xludf.DUMMYFUNCTION("""COMPUTED_VALUE"""),"")</f>
        <v/>
      </c>
      <c r="K468" s="51"/>
      <c r="L468" s="51" t="s">
        <v>257</v>
      </c>
      <c r="M468" s="51"/>
      <c r="N468" s="51"/>
      <c r="O468" s="51"/>
      <c r="P468" s="51"/>
      <c r="Q468" s="51"/>
      <c r="R468" s="51"/>
      <c r="S468" s="51"/>
      <c r="T468" s="51"/>
    </row>
    <row r="469">
      <c r="A469" s="51"/>
      <c r="B469" s="51"/>
      <c r="C469" s="56"/>
      <c r="D469" s="51"/>
      <c r="E469" s="51"/>
      <c r="F469" s="51"/>
      <c r="G469" s="51" t="str">
        <f>IFERROR(__xludf.DUMMYFUNCTION("""COMPUTED_VALUE"""),"#VALUE!")</f>
        <v>#VALUE!</v>
      </c>
      <c r="H469" s="51" t="str">
        <f>IFERROR(__xludf.DUMMYFUNCTION("""COMPUTED_VALUE"""),"")</f>
        <v/>
      </c>
      <c r="I469" s="51" t="str">
        <f>IFERROR(__xludf.DUMMYFUNCTION("""COMPUTED_VALUE"""),"#VALUE!")</f>
        <v>#VALUE!</v>
      </c>
      <c r="J469" s="51" t="str">
        <f>IFERROR(__xludf.DUMMYFUNCTION("""COMPUTED_VALUE"""),"")</f>
        <v/>
      </c>
      <c r="K469" s="51"/>
      <c r="L469" s="51" t="s">
        <v>257</v>
      </c>
      <c r="M469" s="51"/>
      <c r="N469" s="51"/>
      <c r="O469" s="51"/>
      <c r="P469" s="51"/>
      <c r="Q469" s="51"/>
      <c r="R469" s="51"/>
      <c r="S469" s="51"/>
      <c r="T469" s="51"/>
    </row>
    <row r="470">
      <c r="A470" s="51"/>
      <c r="B470" s="51"/>
      <c r="C470" s="56"/>
      <c r="D470" s="51"/>
      <c r="E470" s="51"/>
      <c r="F470" s="51"/>
      <c r="G470" s="51" t="str">
        <f>IFERROR(__xludf.DUMMYFUNCTION("""COMPUTED_VALUE"""),"#VALUE!")</f>
        <v>#VALUE!</v>
      </c>
      <c r="H470" s="51" t="str">
        <f>IFERROR(__xludf.DUMMYFUNCTION("""COMPUTED_VALUE"""),"")</f>
        <v/>
      </c>
      <c r="I470" s="51" t="str">
        <f>IFERROR(__xludf.DUMMYFUNCTION("""COMPUTED_VALUE"""),"#VALUE!")</f>
        <v>#VALUE!</v>
      </c>
      <c r="J470" s="51" t="str">
        <f>IFERROR(__xludf.DUMMYFUNCTION("""COMPUTED_VALUE"""),"")</f>
        <v/>
      </c>
      <c r="K470" s="51"/>
      <c r="L470" s="51" t="s">
        <v>257</v>
      </c>
      <c r="M470" s="51"/>
      <c r="N470" s="51"/>
      <c r="O470" s="51"/>
      <c r="P470" s="51"/>
      <c r="Q470" s="51"/>
      <c r="R470" s="51"/>
      <c r="S470" s="51"/>
      <c r="T470" s="51"/>
    </row>
    <row r="471">
      <c r="A471" s="51"/>
      <c r="B471" s="51"/>
      <c r="C471" s="56"/>
      <c r="D471" s="51"/>
      <c r="E471" s="51"/>
      <c r="F471" s="51"/>
      <c r="G471" s="51" t="str">
        <f>IFERROR(__xludf.DUMMYFUNCTION("""COMPUTED_VALUE"""),"#VALUE!")</f>
        <v>#VALUE!</v>
      </c>
      <c r="H471" s="51" t="str">
        <f>IFERROR(__xludf.DUMMYFUNCTION("""COMPUTED_VALUE"""),"")</f>
        <v/>
      </c>
      <c r="I471" s="51" t="str">
        <f>IFERROR(__xludf.DUMMYFUNCTION("""COMPUTED_VALUE"""),"#VALUE!")</f>
        <v>#VALUE!</v>
      </c>
      <c r="J471" s="51" t="str">
        <f>IFERROR(__xludf.DUMMYFUNCTION("""COMPUTED_VALUE"""),"")</f>
        <v/>
      </c>
      <c r="K471" s="51"/>
      <c r="L471" s="51" t="s">
        <v>257</v>
      </c>
      <c r="M471" s="51"/>
      <c r="N471" s="51"/>
      <c r="O471" s="51"/>
      <c r="P471" s="51"/>
      <c r="Q471" s="51"/>
      <c r="R471" s="51"/>
      <c r="S471" s="51"/>
      <c r="T471" s="51"/>
    </row>
    <row r="472">
      <c r="A472" s="51"/>
      <c r="B472" s="51"/>
      <c r="C472" s="56"/>
      <c r="D472" s="51"/>
      <c r="E472" s="51"/>
      <c r="F472" s="51"/>
      <c r="G472" s="51" t="str">
        <f>IFERROR(__xludf.DUMMYFUNCTION("""COMPUTED_VALUE"""),"#VALUE!")</f>
        <v>#VALUE!</v>
      </c>
      <c r="H472" s="51" t="str">
        <f>IFERROR(__xludf.DUMMYFUNCTION("""COMPUTED_VALUE"""),"")</f>
        <v/>
      </c>
      <c r="I472" s="51" t="str">
        <f>IFERROR(__xludf.DUMMYFUNCTION("""COMPUTED_VALUE"""),"#VALUE!")</f>
        <v>#VALUE!</v>
      </c>
      <c r="J472" s="51" t="str">
        <f>IFERROR(__xludf.DUMMYFUNCTION("""COMPUTED_VALUE"""),"")</f>
        <v/>
      </c>
      <c r="K472" s="51"/>
      <c r="L472" s="51" t="s">
        <v>257</v>
      </c>
      <c r="M472" s="51"/>
      <c r="N472" s="51"/>
      <c r="O472" s="51"/>
      <c r="P472" s="51"/>
      <c r="Q472" s="51"/>
      <c r="R472" s="51"/>
      <c r="S472" s="51"/>
      <c r="T472" s="51"/>
    </row>
    <row r="473">
      <c r="A473" s="51"/>
      <c r="B473" s="51"/>
      <c r="C473" s="56"/>
      <c r="D473" s="51"/>
      <c r="E473" s="51"/>
      <c r="F473" s="51"/>
      <c r="G473" s="51" t="str">
        <f>IFERROR(__xludf.DUMMYFUNCTION("""COMPUTED_VALUE"""),"#VALUE!")</f>
        <v>#VALUE!</v>
      </c>
      <c r="H473" s="51" t="str">
        <f>IFERROR(__xludf.DUMMYFUNCTION("""COMPUTED_VALUE"""),"")</f>
        <v/>
      </c>
      <c r="I473" s="51" t="str">
        <f>IFERROR(__xludf.DUMMYFUNCTION("""COMPUTED_VALUE"""),"#VALUE!")</f>
        <v>#VALUE!</v>
      </c>
      <c r="J473" s="51" t="str">
        <f>IFERROR(__xludf.DUMMYFUNCTION("""COMPUTED_VALUE"""),"")</f>
        <v/>
      </c>
      <c r="K473" s="51"/>
      <c r="L473" s="51" t="s">
        <v>257</v>
      </c>
      <c r="M473" s="51"/>
      <c r="N473" s="51"/>
      <c r="O473" s="51"/>
      <c r="P473" s="51"/>
      <c r="Q473" s="51"/>
      <c r="R473" s="51"/>
      <c r="S473" s="51"/>
      <c r="T473" s="51"/>
    </row>
    <row r="474">
      <c r="A474" s="51"/>
      <c r="B474" s="51"/>
      <c r="C474" s="56"/>
      <c r="D474" s="51"/>
      <c r="E474" s="51"/>
      <c r="F474" s="51"/>
      <c r="G474" s="51" t="str">
        <f>IFERROR(__xludf.DUMMYFUNCTION("""COMPUTED_VALUE"""),"#VALUE!")</f>
        <v>#VALUE!</v>
      </c>
      <c r="H474" s="51" t="str">
        <f>IFERROR(__xludf.DUMMYFUNCTION("""COMPUTED_VALUE"""),"")</f>
        <v/>
      </c>
      <c r="I474" s="51" t="str">
        <f>IFERROR(__xludf.DUMMYFUNCTION("""COMPUTED_VALUE"""),"#VALUE!")</f>
        <v>#VALUE!</v>
      </c>
      <c r="J474" s="51" t="str">
        <f>IFERROR(__xludf.DUMMYFUNCTION("""COMPUTED_VALUE"""),"")</f>
        <v/>
      </c>
      <c r="K474" s="51"/>
      <c r="L474" s="51" t="s">
        <v>257</v>
      </c>
      <c r="M474" s="51"/>
      <c r="N474" s="51"/>
      <c r="O474" s="51"/>
      <c r="P474" s="51"/>
      <c r="Q474" s="51"/>
      <c r="R474" s="51"/>
      <c r="S474" s="51"/>
      <c r="T474" s="51"/>
    </row>
    <row r="475">
      <c r="A475" s="51"/>
      <c r="B475" s="51"/>
      <c r="C475" s="56"/>
      <c r="D475" s="51"/>
      <c r="E475" s="51"/>
      <c r="F475" s="51"/>
      <c r="G475" s="51" t="str">
        <f>IFERROR(__xludf.DUMMYFUNCTION("""COMPUTED_VALUE"""),"#VALUE!")</f>
        <v>#VALUE!</v>
      </c>
      <c r="H475" s="51" t="str">
        <f>IFERROR(__xludf.DUMMYFUNCTION("""COMPUTED_VALUE"""),"")</f>
        <v/>
      </c>
      <c r="I475" s="51" t="str">
        <f>IFERROR(__xludf.DUMMYFUNCTION("""COMPUTED_VALUE"""),"#VALUE!")</f>
        <v>#VALUE!</v>
      </c>
      <c r="J475" s="51" t="str">
        <f>IFERROR(__xludf.DUMMYFUNCTION("""COMPUTED_VALUE"""),"")</f>
        <v/>
      </c>
      <c r="K475" s="51"/>
      <c r="L475" s="51" t="s">
        <v>257</v>
      </c>
      <c r="M475" s="51"/>
      <c r="N475" s="51"/>
      <c r="O475" s="51"/>
      <c r="P475" s="51"/>
      <c r="Q475" s="51"/>
      <c r="R475" s="51"/>
      <c r="S475" s="51"/>
      <c r="T475" s="51"/>
    </row>
    <row r="476">
      <c r="A476" s="51"/>
      <c r="B476" s="51"/>
      <c r="C476" s="56"/>
      <c r="D476" s="51"/>
      <c r="E476" s="51"/>
      <c r="F476" s="51"/>
      <c r="G476" s="51" t="str">
        <f>IFERROR(__xludf.DUMMYFUNCTION("""COMPUTED_VALUE"""),"#VALUE!")</f>
        <v>#VALUE!</v>
      </c>
      <c r="H476" s="51" t="str">
        <f>IFERROR(__xludf.DUMMYFUNCTION("""COMPUTED_VALUE"""),"")</f>
        <v/>
      </c>
      <c r="I476" s="51" t="str">
        <f>IFERROR(__xludf.DUMMYFUNCTION("""COMPUTED_VALUE"""),"#VALUE!")</f>
        <v>#VALUE!</v>
      </c>
      <c r="J476" s="51" t="str">
        <f>IFERROR(__xludf.DUMMYFUNCTION("""COMPUTED_VALUE"""),"")</f>
        <v/>
      </c>
      <c r="K476" s="51"/>
      <c r="L476" s="51" t="s">
        <v>257</v>
      </c>
      <c r="M476" s="51"/>
      <c r="N476" s="51"/>
      <c r="O476" s="51"/>
      <c r="P476" s="51"/>
      <c r="Q476" s="51"/>
      <c r="R476" s="51"/>
      <c r="S476" s="51"/>
      <c r="T476" s="51"/>
    </row>
    <row r="477">
      <c r="A477" s="51"/>
      <c r="B477" s="51"/>
      <c r="C477" s="56"/>
      <c r="D477" s="51"/>
      <c r="E477" s="51"/>
      <c r="F477" s="51"/>
      <c r="G477" s="51" t="str">
        <f>IFERROR(__xludf.DUMMYFUNCTION("""COMPUTED_VALUE"""),"#VALUE!")</f>
        <v>#VALUE!</v>
      </c>
      <c r="H477" s="51" t="str">
        <f>IFERROR(__xludf.DUMMYFUNCTION("""COMPUTED_VALUE"""),"")</f>
        <v/>
      </c>
      <c r="I477" s="51" t="str">
        <f>IFERROR(__xludf.DUMMYFUNCTION("""COMPUTED_VALUE"""),"#VALUE!")</f>
        <v>#VALUE!</v>
      </c>
      <c r="J477" s="51" t="str">
        <f>IFERROR(__xludf.DUMMYFUNCTION("""COMPUTED_VALUE"""),"")</f>
        <v/>
      </c>
      <c r="K477" s="51"/>
      <c r="L477" s="51" t="s">
        <v>257</v>
      </c>
      <c r="M477" s="51"/>
      <c r="N477" s="51"/>
      <c r="O477" s="51"/>
      <c r="P477" s="51"/>
      <c r="Q477" s="51"/>
      <c r="R477" s="51"/>
      <c r="S477" s="51"/>
      <c r="T477" s="51"/>
    </row>
    <row r="478">
      <c r="A478" s="51"/>
      <c r="B478" s="51"/>
      <c r="C478" s="56"/>
      <c r="D478" s="51"/>
      <c r="E478" s="51"/>
      <c r="F478" s="51"/>
      <c r="G478" s="51" t="str">
        <f>IFERROR(__xludf.DUMMYFUNCTION("""COMPUTED_VALUE"""),"#VALUE!")</f>
        <v>#VALUE!</v>
      </c>
      <c r="H478" s="51" t="str">
        <f>IFERROR(__xludf.DUMMYFUNCTION("""COMPUTED_VALUE"""),"")</f>
        <v/>
      </c>
      <c r="I478" s="51" t="str">
        <f>IFERROR(__xludf.DUMMYFUNCTION("""COMPUTED_VALUE"""),"#VALUE!")</f>
        <v>#VALUE!</v>
      </c>
      <c r="J478" s="51" t="str">
        <f>IFERROR(__xludf.DUMMYFUNCTION("""COMPUTED_VALUE"""),"")</f>
        <v/>
      </c>
      <c r="K478" s="51"/>
      <c r="L478" s="51" t="s">
        <v>257</v>
      </c>
      <c r="M478" s="51"/>
      <c r="N478" s="51"/>
      <c r="O478" s="51"/>
      <c r="P478" s="51"/>
      <c r="Q478" s="51"/>
      <c r="R478" s="51"/>
      <c r="S478" s="51"/>
      <c r="T478" s="51"/>
    </row>
    <row r="479">
      <c r="A479" s="51"/>
      <c r="B479" s="51"/>
      <c r="C479" s="56"/>
      <c r="D479" s="51"/>
      <c r="E479" s="51"/>
      <c r="F479" s="51"/>
      <c r="G479" s="51" t="str">
        <f>IFERROR(__xludf.DUMMYFUNCTION("""COMPUTED_VALUE"""),"#VALUE!")</f>
        <v>#VALUE!</v>
      </c>
      <c r="H479" s="51" t="str">
        <f>IFERROR(__xludf.DUMMYFUNCTION("""COMPUTED_VALUE"""),"")</f>
        <v/>
      </c>
      <c r="I479" s="51" t="str">
        <f>IFERROR(__xludf.DUMMYFUNCTION("""COMPUTED_VALUE"""),"#VALUE!")</f>
        <v>#VALUE!</v>
      </c>
      <c r="J479" s="51" t="str">
        <f>IFERROR(__xludf.DUMMYFUNCTION("""COMPUTED_VALUE"""),"")</f>
        <v/>
      </c>
      <c r="K479" s="51"/>
      <c r="L479" s="51" t="s">
        <v>257</v>
      </c>
      <c r="M479" s="51"/>
      <c r="N479" s="51"/>
      <c r="O479" s="51"/>
      <c r="P479" s="51"/>
      <c r="Q479" s="51"/>
      <c r="R479" s="51"/>
      <c r="S479" s="51"/>
      <c r="T479" s="51"/>
    </row>
    <row r="480">
      <c r="A480" s="51"/>
      <c r="B480" s="51"/>
      <c r="C480" s="56"/>
      <c r="D480" s="51"/>
      <c r="E480" s="51"/>
      <c r="F480" s="51"/>
      <c r="G480" s="51" t="str">
        <f>IFERROR(__xludf.DUMMYFUNCTION("""COMPUTED_VALUE"""),"#VALUE!")</f>
        <v>#VALUE!</v>
      </c>
      <c r="H480" s="51" t="str">
        <f>IFERROR(__xludf.DUMMYFUNCTION("""COMPUTED_VALUE"""),"")</f>
        <v/>
      </c>
      <c r="I480" s="51" t="str">
        <f>IFERROR(__xludf.DUMMYFUNCTION("""COMPUTED_VALUE"""),"#VALUE!")</f>
        <v>#VALUE!</v>
      </c>
      <c r="J480" s="51" t="str">
        <f>IFERROR(__xludf.DUMMYFUNCTION("""COMPUTED_VALUE"""),"")</f>
        <v/>
      </c>
      <c r="K480" s="51"/>
      <c r="L480" s="51" t="s">
        <v>257</v>
      </c>
      <c r="M480" s="51"/>
      <c r="N480" s="51"/>
      <c r="O480" s="51"/>
      <c r="P480" s="51"/>
      <c r="Q480" s="51"/>
      <c r="R480" s="51"/>
      <c r="S480" s="51"/>
      <c r="T480" s="51"/>
    </row>
    <row r="481">
      <c r="A481" s="51"/>
      <c r="B481" s="51"/>
      <c r="C481" s="56"/>
      <c r="D481" s="51"/>
      <c r="E481" s="51"/>
      <c r="F481" s="51"/>
      <c r="G481" s="51" t="str">
        <f>IFERROR(__xludf.DUMMYFUNCTION("""COMPUTED_VALUE"""),"#VALUE!")</f>
        <v>#VALUE!</v>
      </c>
      <c r="H481" s="51" t="str">
        <f>IFERROR(__xludf.DUMMYFUNCTION("""COMPUTED_VALUE"""),"")</f>
        <v/>
      </c>
      <c r="I481" s="51" t="str">
        <f>IFERROR(__xludf.DUMMYFUNCTION("""COMPUTED_VALUE"""),"#VALUE!")</f>
        <v>#VALUE!</v>
      </c>
      <c r="J481" s="51" t="str">
        <f>IFERROR(__xludf.DUMMYFUNCTION("""COMPUTED_VALUE"""),"")</f>
        <v/>
      </c>
      <c r="K481" s="51"/>
      <c r="L481" s="51" t="s">
        <v>257</v>
      </c>
      <c r="M481" s="51"/>
      <c r="N481" s="51"/>
      <c r="O481" s="51"/>
      <c r="P481" s="51"/>
      <c r="Q481" s="51"/>
      <c r="R481" s="51"/>
      <c r="S481" s="51"/>
      <c r="T481" s="51"/>
    </row>
    <row r="482">
      <c r="A482" s="51"/>
      <c r="B482" s="51"/>
      <c r="C482" s="56"/>
      <c r="D482" s="51"/>
      <c r="E482" s="51"/>
      <c r="F482" s="51"/>
      <c r="G482" s="51" t="str">
        <f>IFERROR(__xludf.DUMMYFUNCTION("""COMPUTED_VALUE"""),"#VALUE!")</f>
        <v>#VALUE!</v>
      </c>
      <c r="H482" s="51" t="str">
        <f>IFERROR(__xludf.DUMMYFUNCTION("""COMPUTED_VALUE"""),"")</f>
        <v/>
      </c>
      <c r="I482" s="51" t="str">
        <f>IFERROR(__xludf.DUMMYFUNCTION("""COMPUTED_VALUE"""),"#VALUE!")</f>
        <v>#VALUE!</v>
      </c>
      <c r="J482" s="51" t="str">
        <f>IFERROR(__xludf.DUMMYFUNCTION("""COMPUTED_VALUE"""),"")</f>
        <v/>
      </c>
      <c r="K482" s="51"/>
      <c r="L482" s="51" t="s">
        <v>257</v>
      </c>
      <c r="M482" s="51"/>
      <c r="N482" s="51"/>
      <c r="O482" s="51"/>
      <c r="P482" s="51"/>
      <c r="Q482" s="51"/>
      <c r="R482" s="51"/>
      <c r="S482" s="51"/>
      <c r="T482" s="51"/>
    </row>
    <row r="483">
      <c r="A483" s="51"/>
      <c r="B483" s="51"/>
      <c r="C483" s="56"/>
      <c r="D483" s="51"/>
      <c r="E483" s="51"/>
      <c r="F483" s="51"/>
      <c r="G483" s="51" t="str">
        <f>IFERROR(__xludf.DUMMYFUNCTION("""COMPUTED_VALUE"""),"#VALUE!")</f>
        <v>#VALUE!</v>
      </c>
      <c r="H483" s="51" t="str">
        <f>IFERROR(__xludf.DUMMYFUNCTION("""COMPUTED_VALUE"""),"")</f>
        <v/>
      </c>
      <c r="I483" s="51" t="str">
        <f>IFERROR(__xludf.DUMMYFUNCTION("""COMPUTED_VALUE"""),"#VALUE!")</f>
        <v>#VALUE!</v>
      </c>
      <c r="J483" s="51" t="str">
        <f>IFERROR(__xludf.DUMMYFUNCTION("""COMPUTED_VALUE"""),"")</f>
        <v/>
      </c>
      <c r="K483" s="51"/>
      <c r="L483" s="51" t="s">
        <v>257</v>
      </c>
      <c r="M483" s="51"/>
      <c r="N483" s="51"/>
      <c r="O483" s="51"/>
      <c r="P483" s="51"/>
      <c r="Q483" s="51"/>
      <c r="R483" s="51"/>
      <c r="S483" s="51"/>
      <c r="T483" s="51"/>
    </row>
    <row r="484">
      <c r="A484" s="51"/>
      <c r="B484" s="51"/>
      <c r="C484" s="56"/>
      <c r="D484" s="51"/>
      <c r="E484" s="51"/>
      <c r="F484" s="51"/>
      <c r="G484" s="51" t="str">
        <f>IFERROR(__xludf.DUMMYFUNCTION("""COMPUTED_VALUE"""),"#VALUE!")</f>
        <v>#VALUE!</v>
      </c>
      <c r="H484" s="51" t="str">
        <f>IFERROR(__xludf.DUMMYFUNCTION("""COMPUTED_VALUE"""),"")</f>
        <v/>
      </c>
      <c r="I484" s="51" t="str">
        <f>IFERROR(__xludf.DUMMYFUNCTION("""COMPUTED_VALUE"""),"#VALUE!")</f>
        <v>#VALUE!</v>
      </c>
      <c r="J484" s="51" t="str">
        <f>IFERROR(__xludf.DUMMYFUNCTION("""COMPUTED_VALUE"""),"")</f>
        <v/>
      </c>
      <c r="K484" s="51"/>
      <c r="L484" s="51" t="s">
        <v>257</v>
      </c>
      <c r="M484" s="51"/>
      <c r="N484" s="51"/>
      <c r="O484" s="51"/>
      <c r="P484" s="51"/>
      <c r="Q484" s="51"/>
      <c r="R484" s="51"/>
      <c r="S484" s="51"/>
      <c r="T484" s="51"/>
    </row>
    <row r="485">
      <c r="A485" s="51"/>
      <c r="B485" s="51"/>
      <c r="C485" s="56"/>
      <c r="D485" s="51"/>
      <c r="E485" s="51"/>
      <c r="F485" s="51"/>
      <c r="G485" s="51" t="str">
        <f>IFERROR(__xludf.DUMMYFUNCTION("""COMPUTED_VALUE"""),"#VALUE!")</f>
        <v>#VALUE!</v>
      </c>
      <c r="H485" s="51" t="str">
        <f>IFERROR(__xludf.DUMMYFUNCTION("""COMPUTED_VALUE"""),"")</f>
        <v/>
      </c>
      <c r="I485" s="51" t="str">
        <f>IFERROR(__xludf.DUMMYFUNCTION("""COMPUTED_VALUE"""),"#VALUE!")</f>
        <v>#VALUE!</v>
      </c>
      <c r="J485" s="51" t="str">
        <f>IFERROR(__xludf.DUMMYFUNCTION("""COMPUTED_VALUE"""),"")</f>
        <v/>
      </c>
      <c r="K485" s="51"/>
      <c r="L485" s="51" t="s">
        <v>257</v>
      </c>
      <c r="M485" s="51"/>
      <c r="N485" s="51"/>
      <c r="O485" s="51"/>
      <c r="P485" s="51"/>
      <c r="Q485" s="51"/>
      <c r="R485" s="51"/>
      <c r="S485" s="51"/>
      <c r="T485" s="51"/>
    </row>
    <row r="486">
      <c r="A486" s="51"/>
      <c r="B486" s="51"/>
      <c r="C486" s="56"/>
      <c r="D486" s="51"/>
      <c r="E486" s="51"/>
      <c r="F486" s="51"/>
      <c r="G486" s="51" t="str">
        <f>IFERROR(__xludf.DUMMYFUNCTION("""COMPUTED_VALUE"""),"#VALUE!")</f>
        <v>#VALUE!</v>
      </c>
      <c r="H486" s="51" t="str">
        <f>IFERROR(__xludf.DUMMYFUNCTION("""COMPUTED_VALUE"""),"")</f>
        <v/>
      </c>
      <c r="I486" s="51" t="str">
        <f>IFERROR(__xludf.DUMMYFUNCTION("""COMPUTED_VALUE"""),"#VALUE!")</f>
        <v>#VALUE!</v>
      </c>
      <c r="J486" s="51" t="str">
        <f>IFERROR(__xludf.DUMMYFUNCTION("""COMPUTED_VALUE"""),"")</f>
        <v/>
      </c>
      <c r="K486" s="51"/>
      <c r="L486" s="51" t="s">
        <v>257</v>
      </c>
      <c r="M486" s="51"/>
      <c r="N486" s="51"/>
      <c r="O486" s="51"/>
      <c r="P486" s="51"/>
      <c r="Q486" s="51"/>
      <c r="R486" s="51"/>
      <c r="S486" s="51"/>
      <c r="T486" s="51"/>
    </row>
    <row r="487">
      <c r="A487" s="51"/>
      <c r="B487" s="51"/>
      <c r="C487" s="56"/>
      <c r="D487" s="51"/>
      <c r="E487" s="51"/>
      <c r="F487" s="51"/>
      <c r="G487" s="51" t="str">
        <f>IFERROR(__xludf.DUMMYFUNCTION("""COMPUTED_VALUE"""),"#VALUE!")</f>
        <v>#VALUE!</v>
      </c>
      <c r="H487" s="51" t="str">
        <f>IFERROR(__xludf.DUMMYFUNCTION("""COMPUTED_VALUE"""),"")</f>
        <v/>
      </c>
      <c r="I487" s="51" t="str">
        <f>IFERROR(__xludf.DUMMYFUNCTION("""COMPUTED_VALUE"""),"#VALUE!")</f>
        <v>#VALUE!</v>
      </c>
      <c r="J487" s="51" t="str">
        <f>IFERROR(__xludf.DUMMYFUNCTION("""COMPUTED_VALUE"""),"")</f>
        <v/>
      </c>
      <c r="K487" s="51"/>
      <c r="L487" s="51" t="s">
        <v>257</v>
      </c>
      <c r="M487" s="51"/>
      <c r="N487" s="51"/>
      <c r="O487" s="51"/>
      <c r="P487" s="51"/>
      <c r="Q487" s="51"/>
      <c r="R487" s="51"/>
      <c r="S487" s="51"/>
      <c r="T487" s="51"/>
    </row>
    <row r="488">
      <c r="A488" s="51"/>
      <c r="B488" s="51"/>
      <c r="C488" s="56"/>
      <c r="D488" s="51"/>
      <c r="E488" s="51"/>
      <c r="F488" s="51"/>
      <c r="G488" s="51" t="str">
        <f>IFERROR(__xludf.DUMMYFUNCTION("""COMPUTED_VALUE"""),"#VALUE!")</f>
        <v>#VALUE!</v>
      </c>
      <c r="H488" s="51" t="str">
        <f>IFERROR(__xludf.DUMMYFUNCTION("""COMPUTED_VALUE"""),"")</f>
        <v/>
      </c>
      <c r="I488" s="51" t="str">
        <f>IFERROR(__xludf.DUMMYFUNCTION("""COMPUTED_VALUE"""),"#VALUE!")</f>
        <v>#VALUE!</v>
      </c>
      <c r="J488" s="51" t="str">
        <f>IFERROR(__xludf.DUMMYFUNCTION("""COMPUTED_VALUE"""),"")</f>
        <v/>
      </c>
      <c r="K488" s="51"/>
      <c r="L488" s="51" t="s">
        <v>257</v>
      </c>
      <c r="M488" s="51"/>
      <c r="N488" s="51"/>
      <c r="O488" s="51"/>
      <c r="P488" s="51"/>
      <c r="Q488" s="51"/>
      <c r="R488" s="51"/>
      <c r="S488" s="51"/>
      <c r="T488" s="51"/>
    </row>
    <row r="489">
      <c r="A489" s="51"/>
      <c r="B489" s="51"/>
      <c r="C489" s="56"/>
      <c r="D489" s="51"/>
      <c r="E489" s="51"/>
      <c r="F489" s="51"/>
      <c r="G489" s="51" t="str">
        <f>IFERROR(__xludf.DUMMYFUNCTION("""COMPUTED_VALUE"""),"#VALUE!")</f>
        <v>#VALUE!</v>
      </c>
      <c r="H489" s="51" t="str">
        <f>IFERROR(__xludf.DUMMYFUNCTION("""COMPUTED_VALUE"""),"")</f>
        <v/>
      </c>
      <c r="I489" s="51" t="str">
        <f>IFERROR(__xludf.DUMMYFUNCTION("""COMPUTED_VALUE"""),"#VALUE!")</f>
        <v>#VALUE!</v>
      </c>
      <c r="J489" s="51" t="str">
        <f>IFERROR(__xludf.DUMMYFUNCTION("""COMPUTED_VALUE"""),"")</f>
        <v/>
      </c>
      <c r="K489" s="51"/>
      <c r="L489" s="51" t="s">
        <v>257</v>
      </c>
      <c r="M489" s="51"/>
      <c r="N489" s="51"/>
      <c r="O489" s="51"/>
      <c r="P489" s="51"/>
      <c r="Q489" s="51"/>
      <c r="R489" s="51"/>
      <c r="S489" s="51"/>
      <c r="T489" s="51"/>
    </row>
    <row r="490">
      <c r="A490" s="51"/>
      <c r="B490" s="51"/>
      <c r="C490" s="56"/>
      <c r="D490" s="51"/>
      <c r="E490" s="51"/>
      <c r="F490" s="51"/>
      <c r="G490" s="51" t="str">
        <f>IFERROR(__xludf.DUMMYFUNCTION("""COMPUTED_VALUE"""),"#VALUE!")</f>
        <v>#VALUE!</v>
      </c>
      <c r="H490" s="51" t="str">
        <f>IFERROR(__xludf.DUMMYFUNCTION("""COMPUTED_VALUE"""),"")</f>
        <v/>
      </c>
      <c r="I490" s="51" t="str">
        <f>IFERROR(__xludf.DUMMYFUNCTION("""COMPUTED_VALUE"""),"#VALUE!")</f>
        <v>#VALUE!</v>
      </c>
      <c r="J490" s="51" t="str">
        <f>IFERROR(__xludf.DUMMYFUNCTION("""COMPUTED_VALUE"""),"")</f>
        <v/>
      </c>
      <c r="K490" s="51"/>
      <c r="L490" s="51" t="s">
        <v>257</v>
      </c>
      <c r="M490" s="51"/>
      <c r="N490" s="51"/>
      <c r="O490" s="51"/>
      <c r="P490" s="51"/>
      <c r="Q490" s="51"/>
      <c r="R490" s="51"/>
      <c r="S490" s="51"/>
      <c r="T490" s="51"/>
    </row>
    <row r="491">
      <c r="A491" s="51"/>
      <c r="B491" s="51"/>
      <c r="C491" s="56"/>
      <c r="D491" s="51"/>
      <c r="E491" s="51"/>
      <c r="F491" s="51"/>
      <c r="G491" s="51" t="str">
        <f>IFERROR(__xludf.DUMMYFUNCTION("""COMPUTED_VALUE"""),"#VALUE!")</f>
        <v>#VALUE!</v>
      </c>
      <c r="H491" s="51" t="str">
        <f>IFERROR(__xludf.DUMMYFUNCTION("""COMPUTED_VALUE"""),"")</f>
        <v/>
      </c>
      <c r="I491" s="51" t="str">
        <f>IFERROR(__xludf.DUMMYFUNCTION("""COMPUTED_VALUE"""),"#VALUE!")</f>
        <v>#VALUE!</v>
      </c>
      <c r="J491" s="51" t="str">
        <f>IFERROR(__xludf.DUMMYFUNCTION("""COMPUTED_VALUE"""),"")</f>
        <v/>
      </c>
      <c r="K491" s="51"/>
      <c r="L491" s="51" t="s">
        <v>257</v>
      </c>
      <c r="M491" s="51"/>
      <c r="N491" s="51"/>
      <c r="O491" s="51"/>
      <c r="P491" s="51"/>
      <c r="Q491" s="51"/>
      <c r="R491" s="51"/>
      <c r="S491" s="51"/>
      <c r="T491" s="51"/>
    </row>
    <row r="492">
      <c r="A492" s="51"/>
      <c r="B492" s="51"/>
      <c r="C492" s="56"/>
      <c r="D492" s="51"/>
      <c r="E492" s="51"/>
      <c r="F492" s="51"/>
      <c r="G492" s="51" t="str">
        <f>IFERROR(__xludf.DUMMYFUNCTION("""COMPUTED_VALUE"""),"#VALUE!")</f>
        <v>#VALUE!</v>
      </c>
      <c r="H492" s="51" t="str">
        <f>IFERROR(__xludf.DUMMYFUNCTION("""COMPUTED_VALUE"""),"")</f>
        <v/>
      </c>
      <c r="I492" s="51" t="str">
        <f>IFERROR(__xludf.DUMMYFUNCTION("""COMPUTED_VALUE"""),"#VALUE!")</f>
        <v>#VALUE!</v>
      </c>
      <c r="J492" s="51" t="str">
        <f>IFERROR(__xludf.DUMMYFUNCTION("""COMPUTED_VALUE"""),"")</f>
        <v/>
      </c>
      <c r="K492" s="51"/>
      <c r="L492" s="51" t="s">
        <v>257</v>
      </c>
      <c r="M492" s="51"/>
      <c r="N492" s="51"/>
      <c r="O492" s="51"/>
      <c r="P492" s="51"/>
      <c r="Q492" s="51"/>
      <c r="R492" s="51"/>
      <c r="S492" s="51"/>
      <c r="T492" s="51"/>
    </row>
    <row r="493">
      <c r="A493" s="51"/>
      <c r="B493" s="51"/>
      <c r="C493" s="56"/>
      <c r="D493" s="51"/>
      <c r="E493" s="51"/>
      <c r="F493" s="51"/>
      <c r="G493" s="51" t="str">
        <f>IFERROR(__xludf.DUMMYFUNCTION("""COMPUTED_VALUE"""),"#VALUE!")</f>
        <v>#VALUE!</v>
      </c>
      <c r="H493" s="51" t="str">
        <f>IFERROR(__xludf.DUMMYFUNCTION("""COMPUTED_VALUE"""),"")</f>
        <v/>
      </c>
      <c r="I493" s="51" t="str">
        <f>IFERROR(__xludf.DUMMYFUNCTION("""COMPUTED_VALUE"""),"#VALUE!")</f>
        <v>#VALUE!</v>
      </c>
      <c r="J493" s="51" t="str">
        <f>IFERROR(__xludf.DUMMYFUNCTION("""COMPUTED_VALUE"""),"")</f>
        <v/>
      </c>
      <c r="K493" s="51"/>
      <c r="L493" s="51" t="s">
        <v>257</v>
      </c>
      <c r="M493" s="51"/>
      <c r="N493" s="51"/>
      <c r="O493" s="51"/>
      <c r="P493" s="51"/>
      <c r="Q493" s="51"/>
      <c r="R493" s="51"/>
      <c r="S493" s="51"/>
      <c r="T493" s="51"/>
    </row>
    <row r="494">
      <c r="A494" s="51"/>
      <c r="B494" s="51"/>
      <c r="C494" s="56"/>
      <c r="D494" s="51"/>
      <c r="E494" s="51"/>
      <c r="F494" s="51"/>
      <c r="G494" s="51" t="str">
        <f>IFERROR(__xludf.DUMMYFUNCTION("""COMPUTED_VALUE"""),"#VALUE!")</f>
        <v>#VALUE!</v>
      </c>
      <c r="H494" s="51" t="str">
        <f>IFERROR(__xludf.DUMMYFUNCTION("""COMPUTED_VALUE"""),"")</f>
        <v/>
      </c>
      <c r="I494" s="51" t="str">
        <f>IFERROR(__xludf.DUMMYFUNCTION("""COMPUTED_VALUE"""),"#VALUE!")</f>
        <v>#VALUE!</v>
      </c>
      <c r="J494" s="51" t="str">
        <f>IFERROR(__xludf.DUMMYFUNCTION("""COMPUTED_VALUE"""),"")</f>
        <v/>
      </c>
      <c r="K494" s="51"/>
      <c r="L494" s="51" t="s">
        <v>257</v>
      </c>
      <c r="M494" s="51"/>
      <c r="N494" s="51"/>
      <c r="O494" s="51"/>
      <c r="P494" s="51"/>
      <c r="Q494" s="51"/>
      <c r="R494" s="51"/>
      <c r="S494" s="51"/>
      <c r="T494" s="51"/>
    </row>
    <row r="495">
      <c r="A495" s="51"/>
      <c r="B495" s="51"/>
      <c r="C495" s="56"/>
      <c r="D495" s="51"/>
      <c r="E495" s="51"/>
      <c r="F495" s="51"/>
      <c r="G495" s="51" t="str">
        <f>IFERROR(__xludf.DUMMYFUNCTION("""COMPUTED_VALUE"""),"#VALUE!")</f>
        <v>#VALUE!</v>
      </c>
      <c r="H495" s="51" t="str">
        <f>IFERROR(__xludf.DUMMYFUNCTION("""COMPUTED_VALUE"""),"")</f>
        <v/>
      </c>
      <c r="I495" s="51" t="str">
        <f>IFERROR(__xludf.DUMMYFUNCTION("""COMPUTED_VALUE"""),"#VALUE!")</f>
        <v>#VALUE!</v>
      </c>
      <c r="J495" s="51" t="str">
        <f>IFERROR(__xludf.DUMMYFUNCTION("""COMPUTED_VALUE"""),"")</f>
        <v/>
      </c>
      <c r="K495" s="51"/>
      <c r="L495" s="51" t="s">
        <v>257</v>
      </c>
      <c r="M495" s="51"/>
      <c r="N495" s="51"/>
      <c r="O495" s="51"/>
      <c r="P495" s="51"/>
      <c r="Q495" s="51"/>
      <c r="R495" s="51"/>
      <c r="S495" s="51"/>
      <c r="T495" s="51"/>
    </row>
    <row r="496">
      <c r="A496" s="51"/>
      <c r="B496" s="51"/>
      <c r="C496" s="56"/>
      <c r="D496" s="51"/>
      <c r="E496" s="51"/>
      <c r="F496" s="51"/>
      <c r="G496" s="51" t="str">
        <f>IFERROR(__xludf.DUMMYFUNCTION("""COMPUTED_VALUE"""),"#VALUE!")</f>
        <v>#VALUE!</v>
      </c>
      <c r="H496" s="51" t="str">
        <f>IFERROR(__xludf.DUMMYFUNCTION("""COMPUTED_VALUE"""),"")</f>
        <v/>
      </c>
      <c r="I496" s="51" t="str">
        <f>IFERROR(__xludf.DUMMYFUNCTION("""COMPUTED_VALUE"""),"#VALUE!")</f>
        <v>#VALUE!</v>
      </c>
      <c r="J496" s="51" t="str">
        <f>IFERROR(__xludf.DUMMYFUNCTION("""COMPUTED_VALUE"""),"")</f>
        <v/>
      </c>
      <c r="K496" s="51"/>
      <c r="L496" s="51" t="s">
        <v>257</v>
      </c>
      <c r="M496" s="51"/>
      <c r="N496" s="51"/>
      <c r="O496" s="51"/>
      <c r="P496" s="51"/>
      <c r="Q496" s="51"/>
      <c r="R496" s="51"/>
      <c r="S496" s="51"/>
      <c r="T496" s="51"/>
    </row>
    <row r="497">
      <c r="A497" s="51"/>
      <c r="B497" s="51"/>
      <c r="C497" s="56"/>
      <c r="D497" s="51"/>
      <c r="E497" s="51"/>
      <c r="F497" s="51"/>
      <c r="G497" s="51" t="str">
        <f>IFERROR(__xludf.DUMMYFUNCTION("""COMPUTED_VALUE"""),"#VALUE!")</f>
        <v>#VALUE!</v>
      </c>
      <c r="H497" s="51" t="str">
        <f>IFERROR(__xludf.DUMMYFUNCTION("""COMPUTED_VALUE"""),"")</f>
        <v/>
      </c>
      <c r="I497" s="51" t="str">
        <f>IFERROR(__xludf.DUMMYFUNCTION("""COMPUTED_VALUE"""),"#VALUE!")</f>
        <v>#VALUE!</v>
      </c>
      <c r="J497" s="51" t="str">
        <f>IFERROR(__xludf.DUMMYFUNCTION("""COMPUTED_VALUE"""),"")</f>
        <v/>
      </c>
      <c r="K497" s="51"/>
      <c r="L497" s="51" t="s">
        <v>257</v>
      </c>
      <c r="M497" s="51"/>
      <c r="N497" s="51"/>
      <c r="O497" s="51"/>
      <c r="P497" s="51"/>
      <c r="Q497" s="51"/>
      <c r="R497" s="51"/>
      <c r="S497" s="51"/>
      <c r="T497" s="51"/>
    </row>
    <row r="498">
      <c r="A498" s="51"/>
      <c r="B498" s="51"/>
      <c r="C498" s="56"/>
      <c r="D498" s="51"/>
      <c r="E498" s="51"/>
      <c r="F498" s="51"/>
      <c r="G498" s="51" t="str">
        <f>IFERROR(__xludf.DUMMYFUNCTION("""COMPUTED_VALUE"""),"#VALUE!")</f>
        <v>#VALUE!</v>
      </c>
      <c r="H498" s="51" t="str">
        <f>IFERROR(__xludf.DUMMYFUNCTION("""COMPUTED_VALUE"""),"")</f>
        <v/>
      </c>
      <c r="I498" s="51" t="str">
        <f>IFERROR(__xludf.DUMMYFUNCTION("""COMPUTED_VALUE"""),"#VALUE!")</f>
        <v>#VALUE!</v>
      </c>
      <c r="J498" s="51" t="str">
        <f>IFERROR(__xludf.DUMMYFUNCTION("""COMPUTED_VALUE"""),"")</f>
        <v/>
      </c>
      <c r="K498" s="51"/>
      <c r="L498" s="51" t="s">
        <v>257</v>
      </c>
      <c r="M498" s="51"/>
      <c r="N498" s="51"/>
      <c r="O498" s="51"/>
      <c r="P498" s="51"/>
      <c r="Q498" s="51"/>
      <c r="R498" s="51"/>
      <c r="S498" s="51"/>
      <c r="T498" s="51"/>
    </row>
    <row r="499">
      <c r="A499" s="51"/>
      <c r="B499" s="51"/>
      <c r="C499" s="56"/>
      <c r="D499" s="51"/>
      <c r="E499" s="51"/>
      <c r="F499" s="51"/>
      <c r="G499" s="51" t="str">
        <f>IFERROR(__xludf.DUMMYFUNCTION("""COMPUTED_VALUE"""),"#VALUE!")</f>
        <v>#VALUE!</v>
      </c>
      <c r="H499" s="51" t="str">
        <f>IFERROR(__xludf.DUMMYFUNCTION("""COMPUTED_VALUE"""),"")</f>
        <v/>
      </c>
      <c r="I499" s="51" t="str">
        <f>IFERROR(__xludf.DUMMYFUNCTION("""COMPUTED_VALUE"""),"#VALUE!")</f>
        <v>#VALUE!</v>
      </c>
      <c r="J499" s="51" t="str">
        <f>IFERROR(__xludf.DUMMYFUNCTION("""COMPUTED_VALUE"""),"")</f>
        <v/>
      </c>
      <c r="K499" s="51"/>
      <c r="L499" s="51" t="s">
        <v>257</v>
      </c>
      <c r="M499" s="51"/>
      <c r="N499" s="51"/>
      <c r="O499" s="51"/>
      <c r="P499" s="51"/>
      <c r="Q499" s="51"/>
      <c r="R499" s="51"/>
      <c r="S499" s="51"/>
      <c r="T499" s="51"/>
    </row>
    <row r="500">
      <c r="A500" s="51"/>
      <c r="B500" s="51"/>
      <c r="C500" s="56"/>
      <c r="D500" s="51"/>
      <c r="E500" s="51"/>
      <c r="F500" s="51"/>
      <c r="G500" s="51" t="str">
        <f>IFERROR(__xludf.DUMMYFUNCTION("""COMPUTED_VALUE"""),"#VALUE!")</f>
        <v>#VALUE!</v>
      </c>
      <c r="H500" s="51" t="str">
        <f>IFERROR(__xludf.DUMMYFUNCTION("""COMPUTED_VALUE"""),"")</f>
        <v/>
      </c>
      <c r="I500" s="51" t="str">
        <f>IFERROR(__xludf.DUMMYFUNCTION("""COMPUTED_VALUE"""),"#VALUE!")</f>
        <v>#VALUE!</v>
      </c>
      <c r="J500" s="51" t="str">
        <f>IFERROR(__xludf.DUMMYFUNCTION("""COMPUTED_VALUE"""),"")</f>
        <v/>
      </c>
      <c r="K500" s="51"/>
      <c r="L500" s="51" t="s">
        <v>257</v>
      </c>
      <c r="M500" s="51"/>
      <c r="N500" s="51"/>
      <c r="O500" s="51"/>
      <c r="P500" s="51"/>
      <c r="Q500" s="51"/>
      <c r="R500" s="51"/>
      <c r="S500" s="51"/>
      <c r="T500" s="51"/>
    </row>
    <row r="501">
      <c r="A501" s="51"/>
      <c r="B501" s="51"/>
      <c r="C501" s="56"/>
      <c r="D501" s="51"/>
      <c r="E501" s="51"/>
      <c r="F501" s="51"/>
      <c r="G501" s="51" t="str">
        <f>IFERROR(__xludf.DUMMYFUNCTION("""COMPUTED_VALUE"""),"#VALUE!")</f>
        <v>#VALUE!</v>
      </c>
      <c r="H501" s="51" t="str">
        <f>IFERROR(__xludf.DUMMYFUNCTION("""COMPUTED_VALUE"""),"")</f>
        <v/>
      </c>
      <c r="I501" s="51" t="str">
        <f>IFERROR(__xludf.DUMMYFUNCTION("""COMPUTED_VALUE"""),"#VALUE!")</f>
        <v>#VALUE!</v>
      </c>
      <c r="J501" s="51" t="str">
        <f>IFERROR(__xludf.DUMMYFUNCTION("""COMPUTED_VALUE"""),"")</f>
        <v/>
      </c>
      <c r="K501" s="51"/>
      <c r="L501" s="51" t="s">
        <v>257</v>
      </c>
      <c r="M501" s="51"/>
      <c r="N501" s="51"/>
      <c r="O501" s="51"/>
      <c r="P501" s="51"/>
      <c r="Q501" s="51"/>
      <c r="R501" s="51"/>
      <c r="S501" s="51"/>
      <c r="T501" s="51"/>
    </row>
    <row r="502">
      <c r="A502" s="51"/>
      <c r="B502" s="51"/>
      <c r="C502" s="56"/>
      <c r="D502" s="51"/>
      <c r="E502" s="51"/>
      <c r="F502" s="51"/>
      <c r="G502" s="51" t="str">
        <f>IFERROR(__xludf.DUMMYFUNCTION("""COMPUTED_VALUE"""),"#VALUE!")</f>
        <v>#VALUE!</v>
      </c>
      <c r="H502" s="51" t="str">
        <f>IFERROR(__xludf.DUMMYFUNCTION("""COMPUTED_VALUE"""),"")</f>
        <v/>
      </c>
      <c r="I502" s="51" t="str">
        <f>IFERROR(__xludf.DUMMYFUNCTION("""COMPUTED_VALUE"""),"#VALUE!")</f>
        <v>#VALUE!</v>
      </c>
      <c r="J502" s="51" t="str">
        <f>IFERROR(__xludf.DUMMYFUNCTION("""COMPUTED_VALUE"""),"")</f>
        <v/>
      </c>
      <c r="K502" s="51"/>
      <c r="L502" s="51" t="s">
        <v>257</v>
      </c>
      <c r="M502" s="51"/>
      <c r="N502" s="51"/>
      <c r="O502" s="51"/>
      <c r="P502" s="51"/>
      <c r="Q502" s="51"/>
      <c r="R502" s="51"/>
      <c r="S502" s="51"/>
      <c r="T502" s="51"/>
    </row>
    <row r="503">
      <c r="A503" s="51"/>
      <c r="B503" s="51"/>
      <c r="C503" s="56"/>
      <c r="D503" s="51"/>
      <c r="E503" s="51"/>
      <c r="F503" s="51"/>
      <c r="G503" s="51" t="str">
        <f>IFERROR(__xludf.DUMMYFUNCTION("""COMPUTED_VALUE"""),"#VALUE!")</f>
        <v>#VALUE!</v>
      </c>
      <c r="H503" s="51" t="str">
        <f>IFERROR(__xludf.DUMMYFUNCTION("""COMPUTED_VALUE"""),"")</f>
        <v/>
      </c>
      <c r="I503" s="51" t="str">
        <f>IFERROR(__xludf.DUMMYFUNCTION("""COMPUTED_VALUE"""),"#VALUE!")</f>
        <v>#VALUE!</v>
      </c>
      <c r="J503" s="51" t="str">
        <f>IFERROR(__xludf.DUMMYFUNCTION("""COMPUTED_VALUE"""),"")</f>
        <v/>
      </c>
      <c r="K503" s="51"/>
      <c r="L503" s="51" t="s">
        <v>257</v>
      </c>
      <c r="M503" s="51"/>
      <c r="N503" s="51"/>
      <c r="O503" s="51"/>
      <c r="P503" s="51"/>
      <c r="Q503" s="51"/>
      <c r="R503" s="51"/>
      <c r="S503" s="51"/>
      <c r="T503" s="51"/>
    </row>
    <row r="504">
      <c r="A504" s="51"/>
      <c r="B504" s="51"/>
      <c r="C504" s="56"/>
      <c r="D504" s="51"/>
      <c r="E504" s="51"/>
      <c r="F504" s="51"/>
      <c r="G504" s="51" t="str">
        <f>IFERROR(__xludf.DUMMYFUNCTION("""COMPUTED_VALUE"""),"#VALUE!")</f>
        <v>#VALUE!</v>
      </c>
      <c r="H504" s="51" t="str">
        <f>IFERROR(__xludf.DUMMYFUNCTION("""COMPUTED_VALUE"""),"")</f>
        <v/>
      </c>
      <c r="I504" s="51" t="str">
        <f>IFERROR(__xludf.DUMMYFUNCTION("""COMPUTED_VALUE"""),"#VALUE!")</f>
        <v>#VALUE!</v>
      </c>
      <c r="J504" s="51" t="str">
        <f>IFERROR(__xludf.DUMMYFUNCTION("""COMPUTED_VALUE"""),"")</f>
        <v/>
      </c>
      <c r="K504" s="51"/>
      <c r="L504" s="51" t="s">
        <v>257</v>
      </c>
      <c r="M504" s="51"/>
      <c r="N504" s="51"/>
      <c r="O504" s="51"/>
      <c r="P504" s="51"/>
      <c r="Q504" s="51"/>
      <c r="R504" s="51"/>
      <c r="S504" s="51"/>
      <c r="T504" s="51"/>
    </row>
    <row r="505">
      <c r="A505" s="51"/>
      <c r="B505" s="51"/>
      <c r="C505" s="56"/>
      <c r="D505" s="51"/>
      <c r="E505" s="51"/>
      <c r="F505" s="51"/>
      <c r="G505" s="51" t="str">
        <f>IFERROR(__xludf.DUMMYFUNCTION("""COMPUTED_VALUE"""),"#VALUE!")</f>
        <v>#VALUE!</v>
      </c>
      <c r="H505" s="51" t="str">
        <f>IFERROR(__xludf.DUMMYFUNCTION("""COMPUTED_VALUE"""),"")</f>
        <v/>
      </c>
      <c r="I505" s="51" t="str">
        <f>IFERROR(__xludf.DUMMYFUNCTION("""COMPUTED_VALUE"""),"#VALUE!")</f>
        <v>#VALUE!</v>
      </c>
      <c r="J505" s="51" t="str">
        <f>IFERROR(__xludf.DUMMYFUNCTION("""COMPUTED_VALUE"""),"")</f>
        <v/>
      </c>
      <c r="K505" s="51"/>
      <c r="L505" s="51" t="s">
        <v>257</v>
      </c>
      <c r="M505" s="51"/>
      <c r="N505" s="51"/>
      <c r="O505" s="51"/>
      <c r="P505" s="51"/>
      <c r="Q505" s="51"/>
      <c r="R505" s="51"/>
      <c r="S505" s="51"/>
      <c r="T505" s="51"/>
    </row>
    <row r="506">
      <c r="A506" s="51"/>
      <c r="B506" s="51"/>
      <c r="C506" s="56"/>
      <c r="D506" s="51"/>
      <c r="E506" s="51"/>
      <c r="F506" s="51"/>
      <c r="G506" s="51" t="str">
        <f>IFERROR(__xludf.DUMMYFUNCTION("""COMPUTED_VALUE"""),"#VALUE!")</f>
        <v>#VALUE!</v>
      </c>
      <c r="H506" s="51" t="str">
        <f>IFERROR(__xludf.DUMMYFUNCTION("""COMPUTED_VALUE"""),"")</f>
        <v/>
      </c>
      <c r="I506" s="51" t="str">
        <f>IFERROR(__xludf.DUMMYFUNCTION("""COMPUTED_VALUE"""),"#VALUE!")</f>
        <v>#VALUE!</v>
      </c>
      <c r="J506" s="51" t="str">
        <f>IFERROR(__xludf.DUMMYFUNCTION("""COMPUTED_VALUE"""),"")</f>
        <v/>
      </c>
      <c r="K506" s="51"/>
      <c r="L506" s="51" t="s">
        <v>257</v>
      </c>
      <c r="M506" s="51"/>
      <c r="N506" s="51"/>
      <c r="O506" s="51"/>
      <c r="P506" s="51"/>
      <c r="Q506" s="51"/>
      <c r="R506" s="51"/>
      <c r="S506" s="51"/>
      <c r="T506" s="51"/>
    </row>
    <row r="507">
      <c r="A507" s="51"/>
      <c r="B507" s="51"/>
      <c r="C507" s="56"/>
      <c r="D507" s="51"/>
      <c r="E507" s="51"/>
      <c r="F507" s="51"/>
      <c r="G507" s="51" t="str">
        <f>IFERROR(__xludf.DUMMYFUNCTION("""COMPUTED_VALUE"""),"#VALUE!")</f>
        <v>#VALUE!</v>
      </c>
      <c r="H507" s="51" t="str">
        <f>IFERROR(__xludf.DUMMYFUNCTION("""COMPUTED_VALUE"""),"")</f>
        <v/>
      </c>
      <c r="I507" s="51" t="str">
        <f>IFERROR(__xludf.DUMMYFUNCTION("""COMPUTED_VALUE"""),"#VALUE!")</f>
        <v>#VALUE!</v>
      </c>
      <c r="J507" s="51" t="str">
        <f>IFERROR(__xludf.DUMMYFUNCTION("""COMPUTED_VALUE"""),"")</f>
        <v/>
      </c>
      <c r="K507" s="51"/>
      <c r="L507" s="51" t="s">
        <v>257</v>
      </c>
      <c r="M507" s="51"/>
      <c r="N507" s="51"/>
      <c r="O507" s="51"/>
      <c r="P507" s="51"/>
      <c r="Q507" s="51"/>
      <c r="R507" s="51"/>
      <c r="S507" s="51"/>
      <c r="T507" s="51"/>
    </row>
    <row r="508">
      <c r="A508" s="51"/>
      <c r="B508" s="51"/>
      <c r="C508" s="56"/>
      <c r="D508" s="51"/>
      <c r="E508" s="51"/>
      <c r="F508" s="51"/>
      <c r="G508" s="51" t="str">
        <f>IFERROR(__xludf.DUMMYFUNCTION("""COMPUTED_VALUE"""),"#VALUE!")</f>
        <v>#VALUE!</v>
      </c>
      <c r="H508" s="51" t="str">
        <f>IFERROR(__xludf.DUMMYFUNCTION("""COMPUTED_VALUE"""),"")</f>
        <v/>
      </c>
      <c r="I508" s="51" t="str">
        <f>IFERROR(__xludf.DUMMYFUNCTION("""COMPUTED_VALUE"""),"#VALUE!")</f>
        <v>#VALUE!</v>
      </c>
      <c r="J508" s="51" t="str">
        <f>IFERROR(__xludf.DUMMYFUNCTION("""COMPUTED_VALUE"""),"")</f>
        <v/>
      </c>
      <c r="K508" s="51"/>
      <c r="L508" s="51" t="s">
        <v>257</v>
      </c>
      <c r="M508" s="51"/>
      <c r="N508" s="51"/>
      <c r="O508" s="51"/>
      <c r="P508" s="51"/>
      <c r="Q508" s="51"/>
      <c r="R508" s="51"/>
      <c r="S508" s="51"/>
      <c r="T508" s="51"/>
    </row>
    <row r="509">
      <c r="A509" s="51"/>
      <c r="B509" s="51"/>
      <c r="C509" s="56"/>
      <c r="D509" s="51"/>
      <c r="E509" s="51"/>
      <c r="F509" s="51"/>
      <c r="G509" s="51" t="str">
        <f>IFERROR(__xludf.DUMMYFUNCTION("""COMPUTED_VALUE"""),"#VALUE!")</f>
        <v>#VALUE!</v>
      </c>
      <c r="H509" s="51" t="str">
        <f>IFERROR(__xludf.DUMMYFUNCTION("""COMPUTED_VALUE"""),"")</f>
        <v/>
      </c>
      <c r="I509" s="51" t="str">
        <f>IFERROR(__xludf.DUMMYFUNCTION("""COMPUTED_VALUE"""),"#VALUE!")</f>
        <v>#VALUE!</v>
      </c>
      <c r="J509" s="51" t="str">
        <f>IFERROR(__xludf.DUMMYFUNCTION("""COMPUTED_VALUE"""),"")</f>
        <v/>
      </c>
      <c r="K509" s="51"/>
      <c r="L509" s="51" t="s">
        <v>257</v>
      </c>
      <c r="M509" s="51"/>
      <c r="N509" s="51"/>
      <c r="O509" s="51"/>
      <c r="P509" s="51"/>
      <c r="Q509" s="51"/>
      <c r="R509" s="51"/>
      <c r="S509" s="51"/>
      <c r="T509" s="51"/>
    </row>
    <row r="510">
      <c r="A510" s="51"/>
      <c r="B510" s="51"/>
      <c r="C510" s="56"/>
      <c r="D510" s="51"/>
      <c r="E510" s="51"/>
      <c r="F510" s="51"/>
      <c r="G510" s="51" t="str">
        <f>IFERROR(__xludf.DUMMYFUNCTION("""COMPUTED_VALUE"""),"#VALUE!")</f>
        <v>#VALUE!</v>
      </c>
      <c r="H510" s="51" t="str">
        <f>IFERROR(__xludf.DUMMYFUNCTION("""COMPUTED_VALUE"""),"")</f>
        <v/>
      </c>
      <c r="I510" s="51" t="str">
        <f>IFERROR(__xludf.DUMMYFUNCTION("""COMPUTED_VALUE"""),"#VALUE!")</f>
        <v>#VALUE!</v>
      </c>
      <c r="J510" s="51" t="str">
        <f>IFERROR(__xludf.DUMMYFUNCTION("""COMPUTED_VALUE"""),"")</f>
        <v/>
      </c>
      <c r="K510" s="51"/>
      <c r="L510" s="51" t="s">
        <v>257</v>
      </c>
      <c r="M510" s="51"/>
      <c r="N510" s="51"/>
      <c r="O510" s="51"/>
      <c r="P510" s="51"/>
      <c r="Q510" s="51"/>
      <c r="R510" s="51"/>
      <c r="S510" s="51"/>
      <c r="T510" s="51"/>
    </row>
    <row r="511">
      <c r="A511" s="51"/>
      <c r="B511" s="51"/>
      <c r="C511" s="56"/>
      <c r="D511" s="51"/>
      <c r="E511" s="51"/>
      <c r="F511" s="51"/>
      <c r="G511" s="51" t="str">
        <f>IFERROR(__xludf.DUMMYFUNCTION("""COMPUTED_VALUE"""),"#VALUE!")</f>
        <v>#VALUE!</v>
      </c>
      <c r="H511" s="51" t="str">
        <f>IFERROR(__xludf.DUMMYFUNCTION("""COMPUTED_VALUE"""),"")</f>
        <v/>
      </c>
      <c r="I511" s="51" t="str">
        <f>IFERROR(__xludf.DUMMYFUNCTION("""COMPUTED_VALUE"""),"#VALUE!")</f>
        <v>#VALUE!</v>
      </c>
      <c r="J511" s="51" t="str">
        <f>IFERROR(__xludf.DUMMYFUNCTION("""COMPUTED_VALUE"""),"")</f>
        <v/>
      </c>
      <c r="K511" s="51"/>
      <c r="L511" s="51" t="s">
        <v>257</v>
      </c>
      <c r="M511" s="51"/>
      <c r="N511" s="51"/>
      <c r="O511" s="51"/>
      <c r="P511" s="51"/>
      <c r="Q511" s="51"/>
      <c r="R511" s="51"/>
      <c r="S511" s="51"/>
      <c r="T511" s="51"/>
    </row>
    <row r="512">
      <c r="A512" s="51"/>
      <c r="B512" s="51"/>
      <c r="C512" s="56"/>
      <c r="D512" s="51"/>
      <c r="E512" s="51"/>
      <c r="F512" s="51"/>
      <c r="G512" s="51" t="str">
        <f>IFERROR(__xludf.DUMMYFUNCTION("""COMPUTED_VALUE"""),"#VALUE!")</f>
        <v>#VALUE!</v>
      </c>
      <c r="H512" s="51" t="str">
        <f>IFERROR(__xludf.DUMMYFUNCTION("""COMPUTED_VALUE"""),"")</f>
        <v/>
      </c>
      <c r="I512" s="51" t="str">
        <f>IFERROR(__xludf.DUMMYFUNCTION("""COMPUTED_VALUE"""),"#VALUE!")</f>
        <v>#VALUE!</v>
      </c>
      <c r="J512" s="51" t="str">
        <f>IFERROR(__xludf.DUMMYFUNCTION("""COMPUTED_VALUE"""),"")</f>
        <v/>
      </c>
      <c r="K512" s="51"/>
      <c r="L512" s="51" t="s">
        <v>257</v>
      </c>
      <c r="M512" s="51"/>
      <c r="N512" s="51"/>
      <c r="O512" s="51"/>
      <c r="P512" s="51"/>
      <c r="Q512" s="51"/>
      <c r="R512" s="51"/>
      <c r="S512" s="51"/>
      <c r="T512" s="51"/>
    </row>
    <row r="513">
      <c r="A513" s="51"/>
      <c r="B513" s="51"/>
      <c r="C513" s="56"/>
      <c r="D513" s="51"/>
      <c r="E513" s="51"/>
      <c r="F513" s="51"/>
      <c r="G513" s="51" t="str">
        <f>IFERROR(__xludf.DUMMYFUNCTION("""COMPUTED_VALUE"""),"#VALUE!")</f>
        <v>#VALUE!</v>
      </c>
      <c r="H513" s="51" t="str">
        <f>IFERROR(__xludf.DUMMYFUNCTION("""COMPUTED_VALUE"""),"")</f>
        <v/>
      </c>
      <c r="I513" s="51" t="str">
        <f>IFERROR(__xludf.DUMMYFUNCTION("""COMPUTED_VALUE"""),"#VALUE!")</f>
        <v>#VALUE!</v>
      </c>
      <c r="J513" s="51" t="str">
        <f>IFERROR(__xludf.DUMMYFUNCTION("""COMPUTED_VALUE"""),"")</f>
        <v/>
      </c>
      <c r="K513" s="51"/>
      <c r="L513" s="51" t="s">
        <v>257</v>
      </c>
      <c r="M513" s="51"/>
      <c r="N513" s="51"/>
      <c r="O513" s="51"/>
      <c r="P513" s="51"/>
      <c r="Q513" s="51"/>
      <c r="R513" s="51"/>
      <c r="S513" s="51"/>
      <c r="T513" s="51"/>
    </row>
    <row r="514">
      <c r="A514" s="51"/>
      <c r="B514" s="51"/>
      <c r="C514" s="56"/>
      <c r="D514" s="51"/>
      <c r="E514" s="51"/>
      <c r="F514" s="51"/>
      <c r="G514" s="51" t="str">
        <f>IFERROR(__xludf.DUMMYFUNCTION("""COMPUTED_VALUE"""),"#VALUE!")</f>
        <v>#VALUE!</v>
      </c>
      <c r="H514" s="51" t="str">
        <f>IFERROR(__xludf.DUMMYFUNCTION("""COMPUTED_VALUE"""),"")</f>
        <v/>
      </c>
      <c r="I514" s="51" t="str">
        <f>IFERROR(__xludf.DUMMYFUNCTION("""COMPUTED_VALUE"""),"#VALUE!")</f>
        <v>#VALUE!</v>
      </c>
      <c r="J514" s="51" t="str">
        <f>IFERROR(__xludf.DUMMYFUNCTION("""COMPUTED_VALUE"""),"")</f>
        <v/>
      </c>
      <c r="K514" s="51"/>
      <c r="L514" s="51" t="s">
        <v>257</v>
      </c>
      <c r="M514" s="51"/>
      <c r="N514" s="51"/>
      <c r="O514" s="51"/>
      <c r="P514" s="51"/>
      <c r="Q514" s="51"/>
      <c r="R514" s="51"/>
      <c r="S514" s="51"/>
      <c r="T514" s="51"/>
    </row>
    <row r="515">
      <c r="A515" s="51"/>
      <c r="B515" s="51"/>
      <c r="C515" s="56"/>
      <c r="D515" s="51"/>
      <c r="E515" s="51"/>
      <c r="F515" s="51"/>
      <c r="G515" s="51" t="str">
        <f>IFERROR(__xludf.DUMMYFUNCTION("""COMPUTED_VALUE"""),"#VALUE!")</f>
        <v>#VALUE!</v>
      </c>
      <c r="H515" s="51" t="str">
        <f>IFERROR(__xludf.DUMMYFUNCTION("""COMPUTED_VALUE"""),"")</f>
        <v/>
      </c>
      <c r="I515" s="51" t="str">
        <f>IFERROR(__xludf.DUMMYFUNCTION("""COMPUTED_VALUE"""),"#VALUE!")</f>
        <v>#VALUE!</v>
      </c>
      <c r="J515" s="51" t="str">
        <f>IFERROR(__xludf.DUMMYFUNCTION("""COMPUTED_VALUE"""),"")</f>
        <v/>
      </c>
      <c r="K515" s="51"/>
      <c r="L515" s="51" t="s">
        <v>257</v>
      </c>
      <c r="M515" s="51"/>
      <c r="N515" s="51"/>
      <c r="O515" s="51"/>
      <c r="P515" s="51"/>
      <c r="Q515" s="51"/>
      <c r="R515" s="51"/>
      <c r="S515" s="51"/>
      <c r="T515" s="51"/>
    </row>
    <row r="516">
      <c r="A516" s="51"/>
      <c r="B516" s="51"/>
      <c r="C516" s="56"/>
      <c r="D516" s="51"/>
      <c r="E516" s="51"/>
      <c r="F516" s="51"/>
      <c r="G516" s="51" t="str">
        <f>IFERROR(__xludf.DUMMYFUNCTION("""COMPUTED_VALUE"""),"#VALUE!")</f>
        <v>#VALUE!</v>
      </c>
      <c r="H516" s="51" t="str">
        <f>IFERROR(__xludf.DUMMYFUNCTION("""COMPUTED_VALUE"""),"")</f>
        <v/>
      </c>
      <c r="I516" s="51" t="str">
        <f>IFERROR(__xludf.DUMMYFUNCTION("""COMPUTED_VALUE"""),"#VALUE!")</f>
        <v>#VALUE!</v>
      </c>
      <c r="J516" s="51" t="str">
        <f>IFERROR(__xludf.DUMMYFUNCTION("""COMPUTED_VALUE"""),"")</f>
        <v/>
      </c>
      <c r="K516" s="51"/>
      <c r="L516" s="51" t="s">
        <v>257</v>
      </c>
      <c r="M516" s="51"/>
      <c r="N516" s="51"/>
      <c r="O516" s="51"/>
      <c r="P516" s="51"/>
      <c r="Q516" s="51"/>
      <c r="R516" s="51"/>
      <c r="S516" s="51"/>
      <c r="T516" s="51"/>
    </row>
    <row r="517">
      <c r="A517" s="51"/>
      <c r="B517" s="51"/>
      <c r="C517" s="56"/>
      <c r="D517" s="51"/>
      <c r="E517" s="51"/>
      <c r="F517" s="51"/>
      <c r="G517" s="51" t="str">
        <f>IFERROR(__xludf.DUMMYFUNCTION("""COMPUTED_VALUE"""),"#VALUE!")</f>
        <v>#VALUE!</v>
      </c>
      <c r="H517" s="51" t="str">
        <f>IFERROR(__xludf.DUMMYFUNCTION("""COMPUTED_VALUE"""),"")</f>
        <v/>
      </c>
      <c r="I517" s="51" t="str">
        <f>IFERROR(__xludf.DUMMYFUNCTION("""COMPUTED_VALUE"""),"#VALUE!")</f>
        <v>#VALUE!</v>
      </c>
      <c r="J517" s="51" t="str">
        <f>IFERROR(__xludf.DUMMYFUNCTION("""COMPUTED_VALUE"""),"")</f>
        <v/>
      </c>
      <c r="K517" s="51"/>
      <c r="L517" s="51" t="s">
        <v>257</v>
      </c>
      <c r="M517" s="51"/>
      <c r="N517" s="51"/>
      <c r="O517" s="51"/>
      <c r="P517" s="51"/>
      <c r="Q517" s="51"/>
      <c r="R517" s="51"/>
      <c r="S517" s="51"/>
      <c r="T517" s="51"/>
    </row>
    <row r="518">
      <c r="A518" s="51"/>
      <c r="B518" s="51"/>
      <c r="C518" s="56"/>
      <c r="D518" s="51"/>
      <c r="E518" s="51"/>
      <c r="F518" s="51"/>
      <c r="G518" s="51" t="str">
        <f>IFERROR(__xludf.DUMMYFUNCTION("""COMPUTED_VALUE"""),"#VALUE!")</f>
        <v>#VALUE!</v>
      </c>
      <c r="H518" s="51" t="str">
        <f>IFERROR(__xludf.DUMMYFUNCTION("""COMPUTED_VALUE"""),"")</f>
        <v/>
      </c>
      <c r="I518" s="51" t="str">
        <f>IFERROR(__xludf.DUMMYFUNCTION("""COMPUTED_VALUE"""),"#VALUE!")</f>
        <v>#VALUE!</v>
      </c>
      <c r="J518" s="51" t="str">
        <f>IFERROR(__xludf.DUMMYFUNCTION("""COMPUTED_VALUE"""),"")</f>
        <v/>
      </c>
      <c r="K518" s="51"/>
      <c r="L518" s="51" t="s">
        <v>257</v>
      </c>
      <c r="M518" s="51"/>
      <c r="N518" s="51"/>
      <c r="O518" s="51"/>
      <c r="P518" s="51"/>
      <c r="Q518" s="51"/>
      <c r="R518" s="51"/>
      <c r="S518" s="51"/>
      <c r="T518" s="51"/>
    </row>
    <row r="519">
      <c r="A519" s="51"/>
      <c r="B519" s="51"/>
      <c r="C519" s="56"/>
      <c r="D519" s="51"/>
      <c r="E519" s="51"/>
      <c r="F519" s="51"/>
      <c r="G519" s="51" t="str">
        <f>IFERROR(__xludf.DUMMYFUNCTION("""COMPUTED_VALUE"""),"#VALUE!")</f>
        <v>#VALUE!</v>
      </c>
      <c r="H519" s="51" t="str">
        <f>IFERROR(__xludf.DUMMYFUNCTION("""COMPUTED_VALUE"""),"")</f>
        <v/>
      </c>
      <c r="I519" s="51" t="str">
        <f>IFERROR(__xludf.DUMMYFUNCTION("""COMPUTED_VALUE"""),"#VALUE!")</f>
        <v>#VALUE!</v>
      </c>
      <c r="J519" s="51" t="str">
        <f>IFERROR(__xludf.DUMMYFUNCTION("""COMPUTED_VALUE"""),"")</f>
        <v/>
      </c>
      <c r="K519" s="51"/>
      <c r="L519" s="51" t="s">
        <v>257</v>
      </c>
      <c r="M519" s="51"/>
      <c r="N519" s="51"/>
      <c r="O519" s="51"/>
      <c r="P519" s="51"/>
      <c r="Q519" s="51"/>
      <c r="R519" s="51"/>
      <c r="S519" s="51"/>
      <c r="T519" s="51"/>
    </row>
    <row r="520">
      <c r="A520" s="51"/>
      <c r="B520" s="51"/>
      <c r="C520" s="56"/>
      <c r="D520" s="51"/>
      <c r="E520" s="51"/>
      <c r="F520" s="51"/>
      <c r="G520" s="51" t="str">
        <f>IFERROR(__xludf.DUMMYFUNCTION("""COMPUTED_VALUE"""),"#VALUE!")</f>
        <v>#VALUE!</v>
      </c>
      <c r="H520" s="51" t="str">
        <f>IFERROR(__xludf.DUMMYFUNCTION("""COMPUTED_VALUE"""),"")</f>
        <v/>
      </c>
      <c r="I520" s="51" t="str">
        <f>IFERROR(__xludf.DUMMYFUNCTION("""COMPUTED_VALUE"""),"#VALUE!")</f>
        <v>#VALUE!</v>
      </c>
      <c r="J520" s="51" t="str">
        <f>IFERROR(__xludf.DUMMYFUNCTION("""COMPUTED_VALUE"""),"")</f>
        <v/>
      </c>
      <c r="K520" s="51"/>
      <c r="L520" s="51" t="s">
        <v>257</v>
      </c>
      <c r="M520" s="51"/>
      <c r="N520" s="51"/>
      <c r="O520" s="51"/>
      <c r="P520" s="51"/>
      <c r="Q520" s="51"/>
      <c r="R520" s="51"/>
      <c r="S520" s="51"/>
      <c r="T520" s="51"/>
    </row>
    <row r="521">
      <c r="A521" s="51"/>
      <c r="B521" s="51"/>
      <c r="C521" s="56"/>
      <c r="D521" s="51"/>
      <c r="E521" s="51"/>
      <c r="F521" s="51"/>
      <c r="G521" s="51" t="str">
        <f>IFERROR(__xludf.DUMMYFUNCTION("""COMPUTED_VALUE"""),"#VALUE!")</f>
        <v>#VALUE!</v>
      </c>
      <c r="H521" s="51" t="str">
        <f>IFERROR(__xludf.DUMMYFUNCTION("""COMPUTED_VALUE"""),"")</f>
        <v/>
      </c>
      <c r="I521" s="51" t="str">
        <f>IFERROR(__xludf.DUMMYFUNCTION("""COMPUTED_VALUE"""),"#VALUE!")</f>
        <v>#VALUE!</v>
      </c>
      <c r="J521" s="51" t="str">
        <f>IFERROR(__xludf.DUMMYFUNCTION("""COMPUTED_VALUE"""),"")</f>
        <v/>
      </c>
      <c r="K521" s="51"/>
      <c r="L521" s="51" t="s">
        <v>257</v>
      </c>
      <c r="M521" s="51"/>
      <c r="N521" s="51"/>
      <c r="O521" s="51"/>
      <c r="P521" s="51"/>
      <c r="Q521" s="51"/>
      <c r="R521" s="51"/>
      <c r="S521" s="51"/>
      <c r="T521" s="51"/>
    </row>
    <row r="522">
      <c r="A522" s="51"/>
      <c r="B522" s="51"/>
      <c r="C522" s="56"/>
      <c r="D522" s="51"/>
      <c r="E522" s="51"/>
      <c r="F522" s="51"/>
      <c r="G522" s="51" t="str">
        <f>IFERROR(__xludf.DUMMYFUNCTION("""COMPUTED_VALUE"""),"#VALUE!")</f>
        <v>#VALUE!</v>
      </c>
      <c r="H522" s="51" t="str">
        <f>IFERROR(__xludf.DUMMYFUNCTION("""COMPUTED_VALUE"""),"")</f>
        <v/>
      </c>
      <c r="I522" s="51" t="str">
        <f>IFERROR(__xludf.DUMMYFUNCTION("""COMPUTED_VALUE"""),"#VALUE!")</f>
        <v>#VALUE!</v>
      </c>
      <c r="J522" s="51" t="str">
        <f>IFERROR(__xludf.DUMMYFUNCTION("""COMPUTED_VALUE"""),"")</f>
        <v/>
      </c>
      <c r="K522" s="51"/>
      <c r="L522" s="51" t="s">
        <v>257</v>
      </c>
      <c r="M522" s="51"/>
      <c r="N522" s="51"/>
      <c r="O522" s="51"/>
      <c r="P522" s="51"/>
      <c r="Q522" s="51"/>
      <c r="R522" s="51"/>
      <c r="S522" s="51"/>
      <c r="T522" s="51"/>
    </row>
    <row r="523">
      <c r="A523" s="51"/>
      <c r="B523" s="51"/>
      <c r="C523" s="56"/>
      <c r="D523" s="51"/>
      <c r="E523" s="51"/>
      <c r="F523" s="51"/>
      <c r="G523" s="51" t="str">
        <f>IFERROR(__xludf.DUMMYFUNCTION("""COMPUTED_VALUE"""),"#VALUE!")</f>
        <v>#VALUE!</v>
      </c>
      <c r="H523" s="51" t="str">
        <f>IFERROR(__xludf.DUMMYFUNCTION("""COMPUTED_VALUE"""),"")</f>
        <v/>
      </c>
      <c r="I523" s="51" t="str">
        <f>IFERROR(__xludf.DUMMYFUNCTION("""COMPUTED_VALUE"""),"#VALUE!")</f>
        <v>#VALUE!</v>
      </c>
      <c r="J523" s="51" t="str">
        <f>IFERROR(__xludf.DUMMYFUNCTION("""COMPUTED_VALUE"""),"")</f>
        <v/>
      </c>
      <c r="K523" s="51"/>
      <c r="L523" s="51" t="s">
        <v>257</v>
      </c>
      <c r="M523" s="51"/>
      <c r="N523" s="51"/>
      <c r="O523" s="51"/>
      <c r="P523" s="51"/>
      <c r="Q523" s="51"/>
      <c r="R523" s="51"/>
      <c r="S523" s="51"/>
      <c r="T523" s="51"/>
    </row>
    <row r="524">
      <c r="A524" s="51"/>
      <c r="B524" s="51"/>
      <c r="C524" s="56"/>
      <c r="D524" s="51"/>
      <c r="E524" s="51"/>
      <c r="F524" s="51"/>
      <c r="G524" s="51" t="str">
        <f>IFERROR(__xludf.DUMMYFUNCTION("""COMPUTED_VALUE"""),"#VALUE!")</f>
        <v>#VALUE!</v>
      </c>
      <c r="H524" s="51" t="str">
        <f>IFERROR(__xludf.DUMMYFUNCTION("""COMPUTED_VALUE"""),"")</f>
        <v/>
      </c>
      <c r="I524" s="51" t="str">
        <f>IFERROR(__xludf.DUMMYFUNCTION("""COMPUTED_VALUE"""),"#VALUE!")</f>
        <v>#VALUE!</v>
      </c>
      <c r="J524" s="51" t="str">
        <f>IFERROR(__xludf.DUMMYFUNCTION("""COMPUTED_VALUE"""),"")</f>
        <v/>
      </c>
      <c r="K524" s="51"/>
      <c r="L524" s="51" t="s">
        <v>257</v>
      </c>
      <c r="M524" s="51"/>
      <c r="N524" s="51"/>
      <c r="O524" s="51"/>
      <c r="P524" s="51"/>
      <c r="Q524" s="51"/>
      <c r="R524" s="51"/>
      <c r="S524" s="51"/>
      <c r="T524" s="51"/>
    </row>
    <row r="525">
      <c r="A525" s="51"/>
      <c r="B525" s="51"/>
      <c r="C525" s="56"/>
      <c r="D525" s="51"/>
      <c r="E525" s="51"/>
      <c r="F525" s="51"/>
      <c r="G525" s="51" t="str">
        <f>IFERROR(__xludf.DUMMYFUNCTION("""COMPUTED_VALUE"""),"#VALUE!")</f>
        <v>#VALUE!</v>
      </c>
      <c r="H525" s="51" t="str">
        <f>IFERROR(__xludf.DUMMYFUNCTION("""COMPUTED_VALUE"""),"")</f>
        <v/>
      </c>
      <c r="I525" s="51" t="str">
        <f>IFERROR(__xludf.DUMMYFUNCTION("""COMPUTED_VALUE"""),"#VALUE!")</f>
        <v>#VALUE!</v>
      </c>
      <c r="J525" s="51" t="str">
        <f>IFERROR(__xludf.DUMMYFUNCTION("""COMPUTED_VALUE"""),"")</f>
        <v/>
      </c>
      <c r="K525" s="51"/>
      <c r="L525" s="51" t="s">
        <v>257</v>
      </c>
      <c r="M525" s="51"/>
      <c r="N525" s="51"/>
      <c r="O525" s="51"/>
      <c r="P525" s="51"/>
      <c r="Q525" s="51"/>
      <c r="R525" s="51"/>
      <c r="S525" s="51"/>
      <c r="T525" s="51"/>
    </row>
    <row r="526">
      <c r="A526" s="51"/>
      <c r="B526" s="51"/>
      <c r="C526" s="56"/>
      <c r="D526" s="51"/>
      <c r="E526" s="51"/>
      <c r="F526" s="51"/>
      <c r="G526" s="51" t="str">
        <f>IFERROR(__xludf.DUMMYFUNCTION("""COMPUTED_VALUE"""),"#VALUE!")</f>
        <v>#VALUE!</v>
      </c>
      <c r="H526" s="51" t="str">
        <f>IFERROR(__xludf.DUMMYFUNCTION("""COMPUTED_VALUE"""),"")</f>
        <v/>
      </c>
      <c r="I526" s="51" t="str">
        <f>IFERROR(__xludf.DUMMYFUNCTION("""COMPUTED_VALUE"""),"#VALUE!")</f>
        <v>#VALUE!</v>
      </c>
      <c r="J526" s="51" t="str">
        <f>IFERROR(__xludf.DUMMYFUNCTION("""COMPUTED_VALUE"""),"")</f>
        <v/>
      </c>
      <c r="K526" s="51"/>
      <c r="L526" s="51" t="s">
        <v>257</v>
      </c>
      <c r="M526" s="51"/>
      <c r="N526" s="51"/>
      <c r="O526" s="51"/>
      <c r="P526" s="51"/>
      <c r="Q526" s="51"/>
      <c r="R526" s="51"/>
      <c r="S526" s="51"/>
      <c r="T526" s="51"/>
    </row>
    <row r="527">
      <c r="A527" s="51"/>
      <c r="B527" s="51"/>
      <c r="C527" s="56"/>
      <c r="D527" s="51"/>
      <c r="E527" s="51"/>
      <c r="F527" s="51"/>
      <c r="G527" s="51" t="str">
        <f>IFERROR(__xludf.DUMMYFUNCTION("""COMPUTED_VALUE"""),"#VALUE!")</f>
        <v>#VALUE!</v>
      </c>
      <c r="H527" s="51" t="str">
        <f>IFERROR(__xludf.DUMMYFUNCTION("""COMPUTED_VALUE"""),"")</f>
        <v/>
      </c>
      <c r="I527" s="51" t="str">
        <f>IFERROR(__xludf.DUMMYFUNCTION("""COMPUTED_VALUE"""),"#VALUE!")</f>
        <v>#VALUE!</v>
      </c>
      <c r="J527" s="51" t="str">
        <f>IFERROR(__xludf.DUMMYFUNCTION("""COMPUTED_VALUE"""),"")</f>
        <v/>
      </c>
      <c r="K527" s="51"/>
      <c r="L527" s="51" t="s">
        <v>257</v>
      </c>
      <c r="M527" s="51"/>
      <c r="N527" s="51"/>
      <c r="O527" s="51"/>
      <c r="P527" s="51"/>
      <c r="Q527" s="51"/>
      <c r="R527" s="51"/>
      <c r="S527" s="51"/>
      <c r="T527" s="51"/>
    </row>
    <row r="528">
      <c r="A528" s="51"/>
      <c r="B528" s="51"/>
      <c r="C528" s="56"/>
      <c r="D528" s="51"/>
      <c r="E528" s="51"/>
      <c r="F528" s="51"/>
      <c r="G528" s="51" t="str">
        <f>IFERROR(__xludf.DUMMYFUNCTION("""COMPUTED_VALUE"""),"#VALUE!")</f>
        <v>#VALUE!</v>
      </c>
      <c r="H528" s="51" t="str">
        <f>IFERROR(__xludf.DUMMYFUNCTION("""COMPUTED_VALUE"""),"")</f>
        <v/>
      </c>
      <c r="I528" s="51" t="str">
        <f>IFERROR(__xludf.DUMMYFUNCTION("""COMPUTED_VALUE"""),"#VALUE!")</f>
        <v>#VALUE!</v>
      </c>
      <c r="J528" s="51" t="str">
        <f>IFERROR(__xludf.DUMMYFUNCTION("""COMPUTED_VALUE"""),"")</f>
        <v/>
      </c>
      <c r="K528" s="51"/>
      <c r="L528" s="51" t="s">
        <v>257</v>
      </c>
      <c r="M528" s="51"/>
      <c r="N528" s="51"/>
      <c r="O528" s="51"/>
      <c r="P528" s="51"/>
      <c r="Q528" s="51"/>
      <c r="R528" s="51"/>
      <c r="S528" s="51"/>
      <c r="T528" s="51"/>
    </row>
    <row r="529">
      <c r="A529" s="51"/>
      <c r="B529" s="51"/>
      <c r="C529" s="56"/>
      <c r="D529" s="51"/>
      <c r="E529" s="51"/>
      <c r="F529" s="51"/>
      <c r="G529" s="51" t="str">
        <f>IFERROR(__xludf.DUMMYFUNCTION("""COMPUTED_VALUE"""),"#VALUE!")</f>
        <v>#VALUE!</v>
      </c>
      <c r="H529" s="51" t="str">
        <f>IFERROR(__xludf.DUMMYFUNCTION("""COMPUTED_VALUE"""),"")</f>
        <v/>
      </c>
      <c r="I529" s="51" t="str">
        <f>IFERROR(__xludf.DUMMYFUNCTION("""COMPUTED_VALUE"""),"#VALUE!")</f>
        <v>#VALUE!</v>
      </c>
      <c r="J529" s="51" t="str">
        <f>IFERROR(__xludf.DUMMYFUNCTION("""COMPUTED_VALUE"""),"")</f>
        <v/>
      </c>
      <c r="K529" s="51"/>
      <c r="L529" s="51" t="s">
        <v>257</v>
      </c>
      <c r="M529" s="51"/>
      <c r="N529" s="51"/>
      <c r="O529" s="51"/>
      <c r="P529" s="51"/>
      <c r="Q529" s="51"/>
      <c r="R529" s="51"/>
      <c r="S529" s="51"/>
      <c r="T529" s="51"/>
    </row>
    <row r="530">
      <c r="A530" s="51"/>
      <c r="B530" s="51"/>
      <c r="C530" s="56"/>
      <c r="D530" s="51"/>
      <c r="E530" s="51"/>
      <c r="F530" s="51"/>
      <c r="G530" s="51" t="str">
        <f>IFERROR(__xludf.DUMMYFUNCTION("""COMPUTED_VALUE"""),"#VALUE!")</f>
        <v>#VALUE!</v>
      </c>
      <c r="H530" s="51" t="str">
        <f>IFERROR(__xludf.DUMMYFUNCTION("""COMPUTED_VALUE"""),"")</f>
        <v/>
      </c>
      <c r="I530" s="51" t="str">
        <f>IFERROR(__xludf.DUMMYFUNCTION("""COMPUTED_VALUE"""),"#VALUE!")</f>
        <v>#VALUE!</v>
      </c>
      <c r="J530" s="51" t="str">
        <f>IFERROR(__xludf.DUMMYFUNCTION("""COMPUTED_VALUE"""),"")</f>
        <v/>
      </c>
      <c r="K530" s="51"/>
      <c r="L530" s="51" t="s">
        <v>257</v>
      </c>
      <c r="M530" s="51"/>
      <c r="N530" s="51"/>
      <c r="O530" s="51"/>
      <c r="P530" s="51"/>
      <c r="Q530" s="51"/>
      <c r="R530" s="51"/>
      <c r="S530" s="51"/>
      <c r="T530" s="51"/>
    </row>
    <row r="531">
      <c r="A531" s="51"/>
      <c r="B531" s="51"/>
      <c r="C531" s="56"/>
      <c r="D531" s="51"/>
      <c r="E531" s="51"/>
      <c r="F531" s="51"/>
      <c r="G531" s="51" t="str">
        <f>IFERROR(__xludf.DUMMYFUNCTION("""COMPUTED_VALUE"""),"#VALUE!")</f>
        <v>#VALUE!</v>
      </c>
      <c r="H531" s="51" t="str">
        <f>IFERROR(__xludf.DUMMYFUNCTION("""COMPUTED_VALUE"""),"")</f>
        <v/>
      </c>
      <c r="I531" s="51" t="str">
        <f>IFERROR(__xludf.DUMMYFUNCTION("""COMPUTED_VALUE"""),"#VALUE!")</f>
        <v>#VALUE!</v>
      </c>
      <c r="J531" s="51" t="str">
        <f>IFERROR(__xludf.DUMMYFUNCTION("""COMPUTED_VALUE"""),"")</f>
        <v/>
      </c>
      <c r="K531" s="51"/>
      <c r="L531" s="51" t="s">
        <v>257</v>
      </c>
      <c r="M531" s="51"/>
      <c r="N531" s="51"/>
      <c r="O531" s="51"/>
      <c r="P531" s="51"/>
      <c r="Q531" s="51"/>
      <c r="R531" s="51"/>
      <c r="S531" s="51"/>
      <c r="T531" s="51"/>
    </row>
    <row r="532">
      <c r="A532" s="51"/>
      <c r="B532" s="51"/>
      <c r="C532" s="56"/>
      <c r="D532" s="51"/>
      <c r="E532" s="51"/>
      <c r="F532" s="51"/>
      <c r="G532" s="51" t="str">
        <f>IFERROR(__xludf.DUMMYFUNCTION("""COMPUTED_VALUE"""),"#VALUE!")</f>
        <v>#VALUE!</v>
      </c>
      <c r="H532" s="51" t="str">
        <f>IFERROR(__xludf.DUMMYFUNCTION("""COMPUTED_VALUE"""),"")</f>
        <v/>
      </c>
      <c r="I532" s="51" t="str">
        <f>IFERROR(__xludf.DUMMYFUNCTION("""COMPUTED_VALUE"""),"#VALUE!")</f>
        <v>#VALUE!</v>
      </c>
      <c r="J532" s="51" t="str">
        <f>IFERROR(__xludf.DUMMYFUNCTION("""COMPUTED_VALUE"""),"")</f>
        <v/>
      </c>
      <c r="K532" s="51"/>
      <c r="L532" s="51" t="s">
        <v>257</v>
      </c>
      <c r="M532" s="51"/>
      <c r="N532" s="51"/>
      <c r="O532" s="51"/>
      <c r="P532" s="51"/>
      <c r="Q532" s="51"/>
      <c r="R532" s="51"/>
      <c r="S532" s="51"/>
      <c r="T532" s="51"/>
    </row>
    <row r="533">
      <c r="A533" s="51"/>
      <c r="B533" s="51"/>
      <c r="C533" s="56"/>
      <c r="D533" s="51"/>
      <c r="E533" s="51"/>
      <c r="F533" s="51"/>
      <c r="G533" s="51" t="str">
        <f>IFERROR(__xludf.DUMMYFUNCTION("""COMPUTED_VALUE"""),"#VALUE!")</f>
        <v>#VALUE!</v>
      </c>
      <c r="H533" s="51" t="str">
        <f>IFERROR(__xludf.DUMMYFUNCTION("""COMPUTED_VALUE"""),"")</f>
        <v/>
      </c>
      <c r="I533" s="51" t="str">
        <f>IFERROR(__xludf.DUMMYFUNCTION("""COMPUTED_VALUE"""),"#VALUE!")</f>
        <v>#VALUE!</v>
      </c>
      <c r="J533" s="51" t="str">
        <f>IFERROR(__xludf.DUMMYFUNCTION("""COMPUTED_VALUE"""),"")</f>
        <v/>
      </c>
      <c r="K533" s="51"/>
      <c r="L533" s="51" t="s">
        <v>257</v>
      </c>
      <c r="M533" s="51"/>
      <c r="N533" s="51"/>
      <c r="O533" s="51"/>
      <c r="P533" s="51"/>
      <c r="Q533" s="51"/>
      <c r="R533" s="51"/>
      <c r="S533" s="51"/>
      <c r="T533" s="51"/>
    </row>
    <row r="534">
      <c r="A534" s="51"/>
      <c r="B534" s="51"/>
      <c r="C534" s="56"/>
      <c r="D534" s="51"/>
      <c r="E534" s="51"/>
      <c r="F534" s="51"/>
      <c r="G534" s="51" t="str">
        <f>IFERROR(__xludf.DUMMYFUNCTION("""COMPUTED_VALUE"""),"#VALUE!")</f>
        <v>#VALUE!</v>
      </c>
      <c r="H534" s="51" t="str">
        <f>IFERROR(__xludf.DUMMYFUNCTION("""COMPUTED_VALUE"""),"")</f>
        <v/>
      </c>
      <c r="I534" s="51" t="str">
        <f>IFERROR(__xludf.DUMMYFUNCTION("""COMPUTED_VALUE"""),"#VALUE!")</f>
        <v>#VALUE!</v>
      </c>
      <c r="J534" s="51" t="str">
        <f>IFERROR(__xludf.DUMMYFUNCTION("""COMPUTED_VALUE"""),"")</f>
        <v/>
      </c>
      <c r="K534" s="51"/>
      <c r="L534" s="51" t="s">
        <v>257</v>
      </c>
      <c r="M534" s="51"/>
      <c r="N534" s="51"/>
      <c r="O534" s="51"/>
      <c r="P534" s="51"/>
      <c r="Q534" s="51"/>
      <c r="R534" s="51"/>
      <c r="S534" s="51"/>
      <c r="T534" s="51"/>
    </row>
    <row r="535">
      <c r="A535" s="51"/>
      <c r="B535" s="51"/>
      <c r="C535" s="56"/>
      <c r="D535" s="51"/>
      <c r="E535" s="51"/>
      <c r="F535" s="51"/>
      <c r="G535" s="51" t="str">
        <f>IFERROR(__xludf.DUMMYFUNCTION("""COMPUTED_VALUE"""),"#VALUE!")</f>
        <v>#VALUE!</v>
      </c>
      <c r="H535" s="51" t="str">
        <f>IFERROR(__xludf.DUMMYFUNCTION("""COMPUTED_VALUE"""),"")</f>
        <v/>
      </c>
      <c r="I535" s="51" t="str">
        <f>IFERROR(__xludf.DUMMYFUNCTION("""COMPUTED_VALUE"""),"#VALUE!")</f>
        <v>#VALUE!</v>
      </c>
      <c r="J535" s="51" t="str">
        <f>IFERROR(__xludf.DUMMYFUNCTION("""COMPUTED_VALUE"""),"")</f>
        <v/>
      </c>
      <c r="K535" s="51"/>
      <c r="L535" s="51" t="s">
        <v>257</v>
      </c>
      <c r="M535" s="51"/>
      <c r="N535" s="51"/>
      <c r="O535" s="51"/>
      <c r="P535" s="51"/>
      <c r="Q535" s="51"/>
      <c r="R535" s="51"/>
      <c r="S535" s="51"/>
      <c r="T535" s="51"/>
    </row>
    <row r="536">
      <c r="A536" s="51"/>
      <c r="B536" s="51"/>
      <c r="C536" s="56"/>
      <c r="D536" s="51"/>
      <c r="E536" s="51"/>
      <c r="F536" s="51"/>
      <c r="G536" s="51" t="str">
        <f>IFERROR(__xludf.DUMMYFUNCTION("""COMPUTED_VALUE"""),"#VALUE!")</f>
        <v>#VALUE!</v>
      </c>
      <c r="H536" s="51" t="str">
        <f>IFERROR(__xludf.DUMMYFUNCTION("""COMPUTED_VALUE"""),"")</f>
        <v/>
      </c>
      <c r="I536" s="51" t="str">
        <f>IFERROR(__xludf.DUMMYFUNCTION("""COMPUTED_VALUE"""),"#VALUE!")</f>
        <v>#VALUE!</v>
      </c>
      <c r="J536" s="51" t="str">
        <f>IFERROR(__xludf.DUMMYFUNCTION("""COMPUTED_VALUE"""),"")</f>
        <v/>
      </c>
      <c r="K536" s="51"/>
      <c r="L536" s="51" t="s">
        <v>257</v>
      </c>
      <c r="M536" s="51"/>
      <c r="N536" s="51"/>
      <c r="O536" s="51"/>
      <c r="P536" s="51"/>
      <c r="Q536" s="51"/>
      <c r="R536" s="51"/>
      <c r="S536" s="51"/>
      <c r="T536" s="51"/>
    </row>
    <row r="537">
      <c r="A537" s="51"/>
      <c r="B537" s="51"/>
      <c r="C537" s="56"/>
      <c r="D537" s="51"/>
      <c r="E537" s="51"/>
      <c r="F537" s="51"/>
      <c r="G537" s="51" t="str">
        <f>IFERROR(__xludf.DUMMYFUNCTION("""COMPUTED_VALUE"""),"#VALUE!")</f>
        <v>#VALUE!</v>
      </c>
      <c r="H537" s="51" t="str">
        <f>IFERROR(__xludf.DUMMYFUNCTION("""COMPUTED_VALUE"""),"")</f>
        <v/>
      </c>
      <c r="I537" s="51" t="str">
        <f>IFERROR(__xludf.DUMMYFUNCTION("""COMPUTED_VALUE"""),"#VALUE!")</f>
        <v>#VALUE!</v>
      </c>
      <c r="J537" s="51" t="str">
        <f>IFERROR(__xludf.DUMMYFUNCTION("""COMPUTED_VALUE"""),"")</f>
        <v/>
      </c>
      <c r="K537" s="51"/>
      <c r="L537" s="51" t="s">
        <v>257</v>
      </c>
      <c r="M537" s="51"/>
      <c r="N537" s="51"/>
      <c r="O537" s="51"/>
      <c r="P537" s="51"/>
      <c r="Q537" s="51"/>
      <c r="R537" s="51"/>
      <c r="S537" s="51"/>
      <c r="T537" s="51"/>
    </row>
    <row r="538">
      <c r="A538" s="51"/>
      <c r="B538" s="51"/>
      <c r="C538" s="56"/>
      <c r="D538" s="51"/>
      <c r="E538" s="51"/>
      <c r="F538" s="51"/>
      <c r="G538" s="51" t="str">
        <f>IFERROR(__xludf.DUMMYFUNCTION("""COMPUTED_VALUE"""),"#VALUE!")</f>
        <v>#VALUE!</v>
      </c>
      <c r="H538" s="51" t="str">
        <f>IFERROR(__xludf.DUMMYFUNCTION("""COMPUTED_VALUE"""),"")</f>
        <v/>
      </c>
      <c r="I538" s="51" t="str">
        <f>IFERROR(__xludf.DUMMYFUNCTION("""COMPUTED_VALUE"""),"#VALUE!")</f>
        <v>#VALUE!</v>
      </c>
      <c r="J538" s="51" t="str">
        <f>IFERROR(__xludf.DUMMYFUNCTION("""COMPUTED_VALUE"""),"")</f>
        <v/>
      </c>
      <c r="K538" s="51"/>
      <c r="L538" s="51" t="s">
        <v>257</v>
      </c>
      <c r="M538" s="51"/>
      <c r="N538" s="51"/>
      <c r="O538" s="51"/>
      <c r="P538" s="51"/>
      <c r="Q538" s="51"/>
      <c r="R538" s="51"/>
      <c r="S538" s="51"/>
      <c r="T538" s="51"/>
    </row>
    <row r="539">
      <c r="A539" s="51"/>
      <c r="B539" s="51"/>
      <c r="C539" s="56"/>
      <c r="D539" s="51"/>
      <c r="E539" s="51"/>
      <c r="F539" s="51"/>
      <c r="G539" s="51" t="str">
        <f>IFERROR(__xludf.DUMMYFUNCTION("""COMPUTED_VALUE"""),"#VALUE!")</f>
        <v>#VALUE!</v>
      </c>
      <c r="H539" s="51" t="str">
        <f>IFERROR(__xludf.DUMMYFUNCTION("""COMPUTED_VALUE"""),"")</f>
        <v/>
      </c>
      <c r="I539" s="51" t="str">
        <f>IFERROR(__xludf.DUMMYFUNCTION("""COMPUTED_VALUE"""),"#VALUE!")</f>
        <v>#VALUE!</v>
      </c>
      <c r="J539" s="51" t="str">
        <f>IFERROR(__xludf.DUMMYFUNCTION("""COMPUTED_VALUE"""),"")</f>
        <v/>
      </c>
      <c r="K539" s="51"/>
      <c r="L539" s="51" t="s">
        <v>257</v>
      </c>
      <c r="M539" s="51"/>
      <c r="N539" s="51"/>
      <c r="O539" s="51"/>
      <c r="P539" s="51"/>
      <c r="Q539" s="51"/>
      <c r="R539" s="51"/>
      <c r="S539" s="51"/>
      <c r="T539" s="51"/>
    </row>
    <row r="540">
      <c r="A540" s="51"/>
      <c r="B540" s="51"/>
      <c r="C540" s="56"/>
      <c r="D540" s="51"/>
      <c r="E540" s="51"/>
      <c r="F540" s="51"/>
      <c r="G540" s="51" t="str">
        <f>IFERROR(__xludf.DUMMYFUNCTION("""COMPUTED_VALUE"""),"#VALUE!")</f>
        <v>#VALUE!</v>
      </c>
      <c r="H540" s="51" t="str">
        <f>IFERROR(__xludf.DUMMYFUNCTION("""COMPUTED_VALUE"""),"")</f>
        <v/>
      </c>
      <c r="I540" s="51" t="str">
        <f>IFERROR(__xludf.DUMMYFUNCTION("""COMPUTED_VALUE"""),"#VALUE!")</f>
        <v>#VALUE!</v>
      </c>
      <c r="J540" s="51" t="str">
        <f>IFERROR(__xludf.DUMMYFUNCTION("""COMPUTED_VALUE"""),"")</f>
        <v/>
      </c>
      <c r="K540" s="51"/>
      <c r="L540" s="51" t="s">
        <v>257</v>
      </c>
      <c r="M540" s="51"/>
      <c r="N540" s="51"/>
      <c r="O540" s="51"/>
      <c r="P540" s="51"/>
      <c r="Q540" s="51"/>
      <c r="R540" s="51"/>
      <c r="S540" s="51"/>
      <c r="T540" s="51"/>
    </row>
    <row r="541">
      <c r="A541" s="51"/>
      <c r="B541" s="51"/>
      <c r="C541" s="56"/>
      <c r="D541" s="51"/>
      <c r="E541" s="51"/>
      <c r="F541" s="51"/>
      <c r="G541" s="51" t="str">
        <f>IFERROR(__xludf.DUMMYFUNCTION("""COMPUTED_VALUE"""),"#VALUE!")</f>
        <v>#VALUE!</v>
      </c>
      <c r="H541" s="51" t="str">
        <f>IFERROR(__xludf.DUMMYFUNCTION("""COMPUTED_VALUE"""),"")</f>
        <v/>
      </c>
      <c r="I541" s="51" t="str">
        <f>IFERROR(__xludf.DUMMYFUNCTION("""COMPUTED_VALUE"""),"#VALUE!")</f>
        <v>#VALUE!</v>
      </c>
      <c r="J541" s="51" t="str">
        <f>IFERROR(__xludf.DUMMYFUNCTION("""COMPUTED_VALUE"""),"")</f>
        <v/>
      </c>
      <c r="K541" s="51"/>
      <c r="L541" s="51" t="s">
        <v>257</v>
      </c>
      <c r="M541" s="51"/>
      <c r="N541" s="51"/>
      <c r="O541" s="51"/>
      <c r="P541" s="51"/>
      <c r="Q541" s="51"/>
      <c r="R541" s="51"/>
      <c r="S541" s="51"/>
      <c r="T541" s="51"/>
    </row>
    <row r="542">
      <c r="A542" s="51"/>
      <c r="B542" s="51"/>
      <c r="C542" s="56"/>
      <c r="D542" s="51"/>
      <c r="E542" s="51"/>
      <c r="F542" s="51"/>
      <c r="G542" s="51" t="str">
        <f>IFERROR(__xludf.DUMMYFUNCTION("""COMPUTED_VALUE"""),"#VALUE!")</f>
        <v>#VALUE!</v>
      </c>
      <c r="H542" s="51" t="str">
        <f>IFERROR(__xludf.DUMMYFUNCTION("""COMPUTED_VALUE"""),"")</f>
        <v/>
      </c>
      <c r="I542" s="51" t="str">
        <f>IFERROR(__xludf.DUMMYFUNCTION("""COMPUTED_VALUE"""),"#VALUE!")</f>
        <v>#VALUE!</v>
      </c>
      <c r="J542" s="51" t="str">
        <f>IFERROR(__xludf.DUMMYFUNCTION("""COMPUTED_VALUE"""),"")</f>
        <v/>
      </c>
      <c r="K542" s="51"/>
      <c r="L542" s="51" t="s">
        <v>257</v>
      </c>
      <c r="M542" s="51"/>
      <c r="N542" s="51"/>
      <c r="O542" s="51"/>
      <c r="P542" s="51"/>
      <c r="Q542" s="51"/>
      <c r="R542" s="51"/>
      <c r="S542" s="51"/>
      <c r="T542" s="51"/>
    </row>
    <row r="543">
      <c r="A543" s="51"/>
      <c r="B543" s="51"/>
      <c r="C543" s="56"/>
      <c r="D543" s="51"/>
      <c r="E543" s="51"/>
      <c r="F543" s="51"/>
      <c r="G543" s="51" t="str">
        <f>IFERROR(__xludf.DUMMYFUNCTION("""COMPUTED_VALUE"""),"#VALUE!")</f>
        <v>#VALUE!</v>
      </c>
      <c r="H543" s="51" t="str">
        <f>IFERROR(__xludf.DUMMYFUNCTION("""COMPUTED_VALUE"""),"")</f>
        <v/>
      </c>
      <c r="I543" s="51" t="str">
        <f>IFERROR(__xludf.DUMMYFUNCTION("""COMPUTED_VALUE"""),"#VALUE!")</f>
        <v>#VALUE!</v>
      </c>
      <c r="J543" s="51" t="str">
        <f>IFERROR(__xludf.DUMMYFUNCTION("""COMPUTED_VALUE"""),"")</f>
        <v/>
      </c>
      <c r="K543" s="51"/>
      <c r="L543" s="51" t="s">
        <v>257</v>
      </c>
      <c r="M543" s="51"/>
      <c r="N543" s="51"/>
      <c r="O543" s="51"/>
      <c r="P543" s="51"/>
      <c r="Q543" s="51"/>
      <c r="R543" s="51"/>
      <c r="S543" s="51"/>
      <c r="T543" s="51"/>
    </row>
    <row r="544">
      <c r="A544" s="51"/>
      <c r="B544" s="51"/>
      <c r="C544" s="56"/>
      <c r="D544" s="51"/>
      <c r="E544" s="51"/>
      <c r="F544" s="51"/>
      <c r="G544" s="51" t="str">
        <f>IFERROR(__xludf.DUMMYFUNCTION("""COMPUTED_VALUE"""),"#VALUE!")</f>
        <v>#VALUE!</v>
      </c>
      <c r="H544" s="51" t="str">
        <f>IFERROR(__xludf.DUMMYFUNCTION("""COMPUTED_VALUE"""),"")</f>
        <v/>
      </c>
      <c r="I544" s="51" t="str">
        <f>IFERROR(__xludf.DUMMYFUNCTION("""COMPUTED_VALUE"""),"#VALUE!")</f>
        <v>#VALUE!</v>
      </c>
      <c r="J544" s="51" t="str">
        <f>IFERROR(__xludf.DUMMYFUNCTION("""COMPUTED_VALUE"""),"")</f>
        <v/>
      </c>
      <c r="K544" s="51"/>
      <c r="L544" s="51" t="s">
        <v>257</v>
      </c>
      <c r="M544" s="51"/>
      <c r="N544" s="51"/>
      <c r="O544" s="51"/>
      <c r="P544" s="51"/>
      <c r="Q544" s="51"/>
      <c r="R544" s="51"/>
      <c r="S544" s="51"/>
      <c r="T544" s="51"/>
    </row>
    <row r="545">
      <c r="A545" s="51"/>
      <c r="B545" s="51"/>
      <c r="C545" s="56"/>
      <c r="D545" s="51"/>
      <c r="E545" s="51"/>
      <c r="F545" s="51"/>
      <c r="G545" s="51" t="str">
        <f>IFERROR(__xludf.DUMMYFUNCTION("""COMPUTED_VALUE"""),"#VALUE!")</f>
        <v>#VALUE!</v>
      </c>
      <c r="H545" s="51" t="str">
        <f>IFERROR(__xludf.DUMMYFUNCTION("""COMPUTED_VALUE"""),"")</f>
        <v/>
      </c>
      <c r="I545" s="51" t="str">
        <f>IFERROR(__xludf.DUMMYFUNCTION("""COMPUTED_VALUE"""),"#VALUE!")</f>
        <v>#VALUE!</v>
      </c>
      <c r="J545" s="51" t="str">
        <f>IFERROR(__xludf.DUMMYFUNCTION("""COMPUTED_VALUE"""),"")</f>
        <v/>
      </c>
      <c r="K545" s="51"/>
      <c r="L545" s="51" t="s">
        <v>257</v>
      </c>
      <c r="M545" s="51"/>
      <c r="N545" s="51"/>
      <c r="O545" s="51"/>
      <c r="P545" s="51"/>
      <c r="Q545" s="51"/>
      <c r="R545" s="51"/>
      <c r="S545" s="51"/>
      <c r="T545" s="51"/>
    </row>
    <row r="546">
      <c r="A546" s="51"/>
      <c r="B546" s="51"/>
      <c r="C546" s="56"/>
      <c r="D546" s="51"/>
      <c r="E546" s="51"/>
      <c r="F546" s="51"/>
      <c r="G546" s="51" t="str">
        <f>IFERROR(__xludf.DUMMYFUNCTION("""COMPUTED_VALUE"""),"#VALUE!")</f>
        <v>#VALUE!</v>
      </c>
      <c r="H546" s="51" t="str">
        <f>IFERROR(__xludf.DUMMYFUNCTION("""COMPUTED_VALUE"""),"")</f>
        <v/>
      </c>
      <c r="I546" s="51" t="str">
        <f>IFERROR(__xludf.DUMMYFUNCTION("""COMPUTED_VALUE"""),"#VALUE!")</f>
        <v>#VALUE!</v>
      </c>
      <c r="J546" s="51" t="str">
        <f>IFERROR(__xludf.DUMMYFUNCTION("""COMPUTED_VALUE"""),"")</f>
        <v/>
      </c>
      <c r="K546" s="51"/>
      <c r="L546" s="51" t="s">
        <v>257</v>
      </c>
      <c r="M546" s="51"/>
      <c r="N546" s="51"/>
      <c r="O546" s="51"/>
      <c r="P546" s="51"/>
      <c r="Q546" s="51"/>
      <c r="R546" s="51"/>
      <c r="S546" s="51"/>
      <c r="T546" s="51"/>
    </row>
    <row r="547">
      <c r="A547" s="51"/>
      <c r="B547" s="51"/>
      <c r="C547" s="56"/>
      <c r="D547" s="51"/>
      <c r="E547" s="51"/>
      <c r="F547" s="51"/>
      <c r="G547" s="51" t="str">
        <f>IFERROR(__xludf.DUMMYFUNCTION("""COMPUTED_VALUE"""),"#VALUE!")</f>
        <v>#VALUE!</v>
      </c>
      <c r="H547" s="51" t="str">
        <f>IFERROR(__xludf.DUMMYFUNCTION("""COMPUTED_VALUE"""),"")</f>
        <v/>
      </c>
      <c r="I547" s="51" t="str">
        <f>IFERROR(__xludf.DUMMYFUNCTION("""COMPUTED_VALUE"""),"#VALUE!")</f>
        <v>#VALUE!</v>
      </c>
      <c r="J547" s="51" t="str">
        <f>IFERROR(__xludf.DUMMYFUNCTION("""COMPUTED_VALUE"""),"")</f>
        <v/>
      </c>
      <c r="K547" s="51"/>
      <c r="L547" s="51" t="s">
        <v>257</v>
      </c>
      <c r="M547" s="51"/>
      <c r="N547" s="51"/>
      <c r="O547" s="51"/>
      <c r="P547" s="51"/>
      <c r="Q547" s="51"/>
      <c r="R547" s="51"/>
      <c r="S547" s="51"/>
      <c r="T547" s="51"/>
    </row>
    <row r="548">
      <c r="A548" s="51"/>
      <c r="B548" s="51"/>
      <c r="C548" s="56"/>
      <c r="D548" s="51"/>
      <c r="E548" s="51"/>
      <c r="F548" s="51"/>
      <c r="G548" s="51" t="str">
        <f>IFERROR(__xludf.DUMMYFUNCTION("""COMPUTED_VALUE"""),"#VALUE!")</f>
        <v>#VALUE!</v>
      </c>
      <c r="H548" s="51" t="str">
        <f>IFERROR(__xludf.DUMMYFUNCTION("""COMPUTED_VALUE"""),"")</f>
        <v/>
      </c>
      <c r="I548" s="51" t="str">
        <f>IFERROR(__xludf.DUMMYFUNCTION("""COMPUTED_VALUE"""),"#VALUE!")</f>
        <v>#VALUE!</v>
      </c>
      <c r="J548" s="51" t="str">
        <f>IFERROR(__xludf.DUMMYFUNCTION("""COMPUTED_VALUE"""),"")</f>
        <v/>
      </c>
      <c r="K548" s="51"/>
      <c r="L548" s="51" t="s">
        <v>257</v>
      </c>
      <c r="M548" s="51"/>
      <c r="N548" s="51"/>
      <c r="O548" s="51"/>
      <c r="P548" s="51"/>
      <c r="Q548" s="51"/>
      <c r="R548" s="51"/>
      <c r="S548" s="51"/>
      <c r="T548" s="51"/>
    </row>
    <row r="549">
      <c r="A549" s="51"/>
      <c r="B549" s="51"/>
      <c r="C549" s="56"/>
      <c r="D549" s="51"/>
      <c r="E549" s="51"/>
      <c r="F549" s="51"/>
      <c r="G549" s="51" t="str">
        <f>IFERROR(__xludf.DUMMYFUNCTION("""COMPUTED_VALUE"""),"#VALUE!")</f>
        <v>#VALUE!</v>
      </c>
      <c r="H549" s="51" t="str">
        <f>IFERROR(__xludf.DUMMYFUNCTION("""COMPUTED_VALUE"""),"")</f>
        <v/>
      </c>
      <c r="I549" s="51" t="str">
        <f>IFERROR(__xludf.DUMMYFUNCTION("""COMPUTED_VALUE"""),"#VALUE!")</f>
        <v>#VALUE!</v>
      </c>
      <c r="J549" s="51" t="str">
        <f>IFERROR(__xludf.DUMMYFUNCTION("""COMPUTED_VALUE"""),"")</f>
        <v/>
      </c>
      <c r="K549" s="51"/>
      <c r="L549" s="51" t="s">
        <v>257</v>
      </c>
      <c r="M549" s="51"/>
      <c r="N549" s="51"/>
      <c r="O549" s="51"/>
      <c r="P549" s="51"/>
      <c r="Q549" s="51"/>
      <c r="R549" s="51"/>
      <c r="S549" s="51"/>
      <c r="T549" s="51"/>
    </row>
    <row r="550">
      <c r="A550" s="51"/>
      <c r="B550" s="51"/>
      <c r="C550" s="56"/>
      <c r="D550" s="51"/>
      <c r="E550" s="51"/>
      <c r="F550" s="51"/>
      <c r="G550" s="51" t="str">
        <f>IFERROR(__xludf.DUMMYFUNCTION("""COMPUTED_VALUE"""),"#VALUE!")</f>
        <v>#VALUE!</v>
      </c>
      <c r="H550" s="51" t="str">
        <f>IFERROR(__xludf.DUMMYFUNCTION("""COMPUTED_VALUE"""),"")</f>
        <v/>
      </c>
      <c r="I550" s="51" t="str">
        <f>IFERROR(__xludf.DUMMYFUNCTION("""COMPUTED_VALUE"""),"#VALUE!")</f>
        <v>#VALUE!</v>
      </c>
      <c r="J550" s="51" t="str">
        <f>IFERROR(__xludf.DUMMYFUNCTION("""COMPUTED_VALUE"""),"")</f>
        <v/>
      </c>
      <c r="K550" s="51"/>
      <c r="L550" s="51" t="s">
        <v>257</v>
      </c>
      <c r="M550" s="51"/>
      <c r="N550" s="51"/>
      <c r="O550" s="51"/>
      <c r="P550" s="51"/>
      <c r="Q550" s="51"/>
      <c r="R550" s="51"/>
      <c r="S550" s="51"/>
      <c r="T550" s="51"/>
    </row>
    <row r="551">
      <c r="A551" s="51"/>
      <c r="B551" s="51"/>
      <c r="C551" s="56"/>
      <c r="D551" s="51"/>
      <c r="E551" s="51"/>
      <c r="F551" s="51"/>
      <c r="G551" s="51" t="str">
        <f>IFERROR(__xludf.DUMMYFUNCTION("""COMPUTED_VALUE"""),"#VALUE!")</f>
        <v>#VALUE!</v>
      </c>
      <c r="H551" s="51" t="str">
        <f>IFERROR(__xludf.DUMMYFUNCTION("""COMPUTED_VALUE"""),"")</f>
        <v/>
      </c>
      <c r="I551" s="51" t="str">
        <f>IFERROR(__xludf.DUMMYFUNCTION("""COMPUTED_VALUE"""),"#VALUE!")</f>
        <v>#VALUE!</v>
      </c>
      <c r="J551" s="51" t="str">
        <f>IFERROR(__xludf.DUMMYFUNCTION("""COMPUTED_VALUE"""),"")</f>
        <v/>
      </c>
      <c r="K551" s="51"/>
      <c r="L551" s="51" t="s">
        <v>257</v>
      </c>
      <c r="M551" s="51"/>
      <c r="N551" s="51"/>
      <c r="O551" s="51"/>
      <c r="P551" s="51"/>
      <c r="Q551" s="51"/>
      <c r="R551" s="51"/>
      <c r="S551" s="51"/>
      <c r="T551" s="51"/>
    </row>
    <row r="552">
      <c r="A552" s="51"/>
      <c r="B552" s="51"/>
      <c r="C552" s="56"/>
      <c r="D552" s="51"/>
      <c r="E552" s="51"/>
      <c r="F552" s="51"/>
      <c r="G552" s="51" t="str">
        <f>IFERROR(__xludf.DUMMYFUNCTION("""COMPUTED_VALUE"""),"#VALUE!")</f>
        <v>#VALUE!</v>
      </c>
      <c r="H552" s="51" t="str">
        <f>IFERROR(__xludf.DUMMYFUNCTION("""COMPUTED_VALUE"""),"")</f>
        <v/>
      </c>
      <c r="I552" s="51" t="str">
        <f>IFERROR(__xludf.DUMMYFUNCTION("""COMPUTED_VALUE"""),"#VALUE!")</f>
        <v>#VALUE!</v>
      </c>
      <c r="J552" s="51" t="str">
        <f>IFERROR(__xludf.DUMMYFUNCTION("""COMPUTED_VALUE"""),"")</f>
        <v/>
      </c>
      <c r="K552" s="51"/>
      <c r="L552" s="51" t="s">
        <v>257</v>
      </c>
      <c r="M552" s="51"/>
      <c r="N552" s="51"/>
      <c r="O552" s="51"/>
      <c r="P552" s="51"/>
      <c r="Q552" s="51"/>
      <c r="R552" s="51"/>
      <c r="S552" s="51"/>
      <c r="T552" s="51"/>
    </row>
    <row r="553">
      <c r="A553" s="51"/>
      <c r="B553" s="51"/>
      <c r="C553" s="56"/>
      <c r="D553" s="51"/>
      <c r="E553" s="51"/>
      <c r="F553" s="51"/>
      <c r="G553" s="51" t="str">
        <f>IFERROR(__xludf.DUMMYFUNCTION("""COMPUTED_VALUE"""),"#VALUE!")</f>
        <v>#VALUE!</v>
      </c>
      <c r="H553" s="51" t="str">
        <f>IFERROR(__xludf.DUMMYFUNCTION("""COMPUTED_VALUE"""),"")</f>
        <v/>
      </c>
      <c r="I553" s="51" t="str">
        <f>IFERROR(__xludf.DUMMYFUNCTION("""COMPUTED_VALUE"""),"#VALUE!")</f>
        <v>#VALUE!</v>
      </c>
      <c r="J553" s="51" t="str">
        <f>IFERROR(__xludf.DUMMYFUNCTION("""COMPUTED_VALUE"""),"")</f>
        <v/>
      </c>
      <c r="K553" s="51"/>
      <c r="L553" s="51" t="s">
        <v>257</v>
      </c>
      <c r="M553" s="51"/>
      <c r="N553" s="51"/>
      <c r="O553" s="51"/>
      <c r="P553" s="51"/>
      <c r="Q553" s="51"/>
      <c r="R553" s="51"/>
      <c r="S553" s="51"/>
      <c r="T553" s="51"/>
    </row>
    <row r="554">
      <c r="A554" s="51"/>
      <c r="B554" s="51"/>
      <c r="C554" s="56"/>
      <c r="D554" s="51"/>
      <c r="E554" s="51"/>
      <c r="F554" s="51"/>
      <c r="G554" s="51" t="str">
        <f>IFERROR(__xludf.DUMMYFUNCTION("""COMPUTED_VALUE"""),"#VALUE!")</f>
        <v>#VALUE!</v>
      </c>
      <c r="H554" s="51" t="str">
        <f>IFERROR(__xludf.DUMMYFUNCTION("""COMPUTED_VALUE"""),"")</f>
        <v/>
      </c>
      <c r="I554" s="51" t="str">
        <f>IFERROR(__xludf.DUMMYFUNCTION("""COMPUTED_VALUE"""),"#VALUE!")</f>
        <v>#VALUE!</v>
      </c>
      <c r="J554" s="51" t="str">
        <f>IFERROR(__xludf.DUMMYFUNCTION("""COMPUTED_VALUE"""),"")</f>
        <v/>
      </c>
      <c r="K554" s="51"/>
      <c r="L554" s="51" t="s">
        <v>257</v>
      </c>
      <c r="M554" s="51"/>
      <c r="N554" s="51"/>
      <c r="O554" s="51"/>
      <c r="P554" s="51"/>
      <c r="Q554" s="51"/>
      <c r="R554" s="51"/>
      <c r="S554" s="51"/>
      <c r="T554" s="51"/>
    </row>
    <row r="555">
      <c r="A555" s="51"/>
      <c r="B555" s="51"/>
      <c r="C555" s="56"/>
      <c r="D555" s="51"/>
      <c r="E555" s="51"/>
      <c r="F555" s="51"/>
      <c r="G555" s="51" t="str">
        <f>IFERROR(__xludf.DUMMYFUNCTION("""COMPUTED_VALUE"""),"#VALUE!")</f>
        <v>#VALUE!</v>
      </c>
      <c r="H555" s="51" t="str">
        <f>IFERROR(__xludf.DUMMYFUNCTION("""COMPUTED_VALUE"""),"")</f>
        <v/>
      </c>
      <c r="I555" s="51" t="str">
        <f>IFERROR(__xludf.DUMMYFUNCTION("""COMPUTED_VALUE"""),"#VALUE!")</f>
        <v>#VALUE!</v>
      </c>
      <c r="J555" s="51" t="str">
        <f>IFERROR(__xludf.DUMMYFUNCTION("""COMPUTED_VALUE"""),"")</f>
        <v/>
      </c>
      <c r="K555" s="51"/>
      <c r="L555" s="51" t="s">
        <v>257</v>
      </c>
      <c r="M555" s="51"/>
      <c r="N555" s="51"/>
      <c r="O555" s="51"/>
      <c r="P555" s="51"/>
      <c r="Q555" s="51"/>
      <c r="R555" s="51"/>
      <c r="S555" s="51"/>
      <c r="T555" s="51"/>
    </row>
    <row r="556">
      <c r="A556" s="51"/>
      <c r="B556" s="51"/>
      <c r="C556" s="56"/>
      <c r="D556" s="51"/>
      <c r="E556" s="51"/>
      <c r="F556" s="51"/>
      <c r="G556" s="51" t="str">
        <f>IFERROR(__xludf.DUMMYFUNCTION("""COMPUTED_VALUE"""),"#VALUE!")</f>
        <v>#VALUE!</v>
      </c>
      <c r="H556" s="51" t="str">
        <f>IFERROR(__xludf.DUMMYFUNCTION("""COMPUTED_VALUE"""),"")</f>
        <v/>
      </c>
      <c r="I556" s="51" t="str">
        <f>IFERROR(__xludf.DUMMYFUNCTION("""COMPUTED_VALUE"""),"#VALUE!")</f>
        <v>#VALUE!</v>
      </c>
      <c r="J556" s="51" t="str">
        <f>IFERROR(__xludf.DUMMYFUNCTION("""COMPUTED_VALUE"""),"")</f>
        <v/>
      </c>
      <c r="K556" s="51"/>
      <c r="L556" s="51" t="s">
        <v>257</v>
      </c>
      <c r="M556" s="51"/>
      <c r="N556" s="51"/>
      <c r="O556" s="51"/>
      <c r="P556" s="51"/>
      <c r="Q556" s="51"/>
      <c r="R556" s="51"/>
      <c r="S556" s="51"/>
      <c r="T556" s="51"/>
    </row>
    <row r="557">
      <c r="A557" s="51"/>
      <c r="B557" s="51"/>
      <c r="C557" s="56"/>
      <c r="D557" s="51"/>
      <c r="E557" s="51"/>
      <c r="F557" s="51"/>
      <c r="G557" s="51" t="str">
        <f>IFERROR(__xludf.DUMMYFUNCTION("""COMPUTED_VALUE"""),"#VALUE!")</f>
        <v>#VALUE!</v>
      </c>
      <c r="H557" s="51" t="str">
        <f>IFERROR(__xludf.DUMMYFUNCTION("""COMPUTED_VALUE"""),"")</f>
        <v/>
      </c>
      <c r="I557" s="51" t="str">
        <f>IFERROR(__xludf.DUMMYFUNCTION("""COMPUTED_VALUE"""),"#VALUE!")</f>
        <v>#VALUE!</v>
      </c>
      <c r="J557" s="51" t="str">
        <f>IFERROR(__xludf.DUMMYFUNCTION("""COMPUTED_VALUE"""),"")</f>
        <v/>
      </c>
      <c r="K557" s="51"/>
      <c r="L557" s="51" t="s">
        <v>257</v>
      </c>
      <c r="M557" s="51"/>
      <c r="N557" s="51"/>
      <c r="O557" s="51"/>
      <c r="P557" s="51"/>
      <c r="Q557" s="51"/>
      <c r="R557" s="51"/>
      <c r="S557" s="51"/>
      <c r="T557" s="51"/>
    </row>
    <row r="558">
      <c r="A558" s="51"/>
      <c r="B558" s="51"/>
      <c r="C558" s="56"/>
      <c r="D558" s="51"/>
      <c r="E558" s="51"/>
      <c r="F558" s="51"/>
      <c r="G558" s="51" t="str">
        <f>IFERROR(__xludf.DUMMYFUNCTION("""COMPUTED_VALUE"""),"#VALUE!")</f>
        <v>#VALUE!</v>
      </c>
      <c r="H558" s="51" t="str">
        <f>IFERROR(__xludf.DUMMYFUNCTION("""COMPUTED_VALUE"""),"")</f>
        <v/>
      </c>
      <c r="I558" s="51" t="str">
        <f>IFERROR(__xludf.DUMMYFUNCTION("""COMPUTED_VALUE"""),"#VALUE!")</f>
        <v>#VALUE!</v>
      </c>
      <c r="J558" s="51" t="str">
        <f>IFERROR(__xludf.DUMMYFUNCTION("""COMPUTED_VALUE"""),"")</f>
        <v/>
      </c>
      <c r="K558" s="51"/>
      <c r="L558" s="51" t="s">
        <v>257</v>
      </c>
      <c r="M558" s="51"/>
      <c r="N558" s="51"/>
      <c r="O558" s="51"/>
      <c r="P558" s="51"/>
      <c r="Q558" s="51"/>
      <c r="R558" s="51"/>
      <c r="S558" s="51"/>
      <c r="T558" s="51"/>
    </row>
    <row r="559">
      <c r="A559" s="51"/>
      <c r="B559" s="51"/>
      <c r="C559" s="56"/>
      <c r="D559" s="51"/>
      <c r="E559" s="51"/>
      <c r="F559" s="51"/>
      <c r="G559" s="51" t="str">
        <f>IFERROR(__xludf.DUMMYFUNCTION("""COMPUTED_VALUE"""),"#VALUE!")</f>
        <v>#VALUE!</v>
      </c>
      <c r="H559" s="51" t="str">
        <f>IFERROR(__xludf.DUMMYFUNCTION("""COMPUTED_VALUE"""),"")</f>
        <v/>
      </c>
      <c r="I559" s="51" t="str">
        <f>IFERROR(__xludf.DUMMYFUNCTION("""COMPUTED_VALUE"""),"#VALUE!")</f>
        <v>#VALUE!</v>
      </c>
      <c r="J559" s="51" t="str">
        <f>IFERROR(__xludf.DUMMYFUNCTION("""COMPUTED_VALUE"""),"")</f>
        <v/>
      </c>
      <c r="K559" s="51"/>
      <c r="L559" s="51" t="s">
        <v>257</v>
      </c>
      <c r="M559" s="51"/>
      <c r="N559" s="51"/>
      <c r="O559" s="51"/>
      <c r="P559" s="51"/>
      <c r="Q559" s="51"/>
      <c r="R559" s="51"/>
      <c r="S559" s="51"/>
      <c r="T559" s="51"/>
    </row>
    <row r="560">
      <c r="A560" s="51"/>
      <c r="B560" s="51"/>
      <c r="C560" s="56"/>
      <c r="D560" s="51"/>
      <c r="E560" s="51"/>
      <c r="F560" s="51"/>
      <c r="G560" s="51" t="str">
        <f>IFERROR(__xludf.DUMMYFUNCTION("""COMPUTED_VALUE"""),"#VALUE!")</f>
        <v>#VALUE!</v>
      </c>
      <c r="H560" s="51" t="str">
        <f>IFERROR(__xludf.DUMMYFUNCTION("""COMPUTED_VALUE"""),"")</f>
        <v/>
      </c>
      <c r="I560" s="51" t="str">
        <f>IFERROR(__xludf.DUMMYFUNCTION("""COMPUTED_VALUE"""),"#VALUE!")</f>
        <v>#VALUE!</v>
      </c>
      <c r="J560" s="51" t="str">
        <f>IFERROR(__xludf.DUMMYFUNCTION("""COMPUTED_VALUE"""),"")</f>
        <v/>
      </c>
      <c r="K560" s="51"/>
      <c r="L560" s="51" t="s">
        <v>257</v>
      </c>
      <c r="M560" s="51"/>
      <c r="N560" s="51"/>
      <c r="O560" s="51"/>
      <c r="P560" s="51"/>
      <c r="Q560" s="51"/>
      <c r="R560" s="51"/>
      <c r="S560" s="51"/>
      <c r="T560" s="51"/>
    </row>
    <row r="561">
      <c r="A561" s="51"/>
      <c r="B561" s="51"/>
      <c r="C561" s="56"/>
      <c r="D561" s="51"/>
      <c r="E561" s="51"/>
      <c r="F561" s="51"/>
      <c r="G561" s="51" t="str">
        <f>IFERROR(__xludf.DUMMYFUNCTION("""COMPUTED_VALUE"""),"#VALUE!")</f>
        <v>#VALUE!</v>
      </c>
      <c r="H561" s="51" t="str">
        <f>IFERROR(__xludf.DUMMYFUNCTION("""COMPUTED_VALUE"""),"")</f>
        <v/>
      </c>
      <c r="I561" s="51" t="str">
        <f>IFERROR(__xludf.DUMMYFUNCTION("""COMPUTED_VALUE"""),"#VALUE!")</f>
        <v>#VALUE!</v>
      </c>
      <c r="J561" s="51" t="str">
        <f>IFERROR(__xludf.DUMMYFUNCTION("""COMPUTED_VALUE"""),"")</f>
        <v/>
      </c>
      <c r="K561" s="51"/>
      <c r="L561" s="51" t="s">
        <v>257</v>
      </c>
      <c r="M561" s="51"/>
      <c r="N561" s="51"/>
      <c r="O561" s="51"/>
      <c r="P561" s="51"/>
      <c r="Q561" s="51"/>
      <c r="R561" s="51"/>
      <c r="S561" s="51"/>
      <c r="T561" s="51"/>
    </row>
    <row r="562">
      <c r="A562" s="51"/>
      <c r="B562" s="51"/>
      <c r="C562" s="56"/>
      <c r="D562" s="51"/>
      <c r="E562" s="51"/>
      <c r="F562" s="51"/>
      <c r="G562" s="51" t="str">
        <f>IFERROR(__xludf.DUMMYFUNCTION("""COMPUTED_VALUE"""),"#VALUE!")</f>
        <v>#VALUE!</v>
      </c>
      <c r="H562" s="51" t="str">
        <f>IFERROR(__xludf.DUMMYFUNCTION("""COMPUTED_VALUE"""),"")</f>
        <v/>
      </c>
      <c r="I562" s="51" t="str">
        <f>IFERROR(__xludf.DUMMYFUNCTION("""COMPUTED_VALUE"""),"#VALUE!")</f>
        <v>#VALUE!</v>
      </c>
      <c r="J562" s="51" t="str">
        <f>IFERROR(__xludf.DUMMYFUNCTION("""COMPUTED_VALUE"""),"")</f>
        <v/>
      </c>
      <c r="K562" s="51"/>
      <c r="L562" s="51" t="s">
        <v>257</v>
      </c>
      <c r="M562" s="51"/>
      <c r="N562" s="51"/>
      <c r="O562" s="51"/>
      <c r="P562" s="51"/>
      <c r="Q562" s="51"/>
      <c r="R562" s="51"/>
      <c r="S562" s="51"/>
      <c r="T562" s="51"/>
    </row>
    <row r="563">
      <c r="A563" s="51"/>
      <c r="B563" s="51"/>
      <c r="C563" s="56"/>
      <c r="D563" s="51"/>
      <c r="E563" s="51"/>
      <c r="F563" s="51"/>
      <c r="G563" s="51" t="str">
        <f>IFERROR(__xludf.DUMMYFUNCTION("""COMPUTED_VALUE"""),"#VALUE!")</f>
        <v>#VALUE!</v>
      </c>
      <c r="H563" s="51" t="str">
        <f>IFERROR(__xludf.DUMMYFUNCTION("""COMPUTED_VALUE"""),"")</f>
        <v/>
      </c>
      <c r="I563" s="51" t="str">
        <f>IFERROR(__xludf.DUMMYFUNCTION("""COMPUTED_VALUE"""),"#VALUE!")</f>
        <v>#VALUE!</v>
      </c>
      <c r="J563" s="51" t="str">
        <f>IFERROR(__xludf.DUMMYFUNCTION("""COMPUTED_VALUE"""),"")</f>
        <v/>
      </c>
      <c r="K563" s="51"/>
      <c r="L563" s="51" t="s">
        <v>257</v>
      </c>
      <c r="M563" s="51"/>
      <c r="N563" s="51"/>
      <c r="O563" s="51"/>
      <c r="P563" s="51"/>
      <c r="Q563" s="51"/>
      <c r="R563" s="51"/>
      <c r="S563" s="51"/>
      <c r="T563" s="51"/>
    </row>
    <row r="564">
      <c r="A564" s="51"/>
      <c r="B564" s="51"/>
      <c r="C564" s="56"/>
      <c r="D564" s="51"/>
      <c r="E564" s="51"/>
      <c r="F564" s="51"/>
      <c r="G564" s="51" t="str">
        <f>IFERROR(__xludf.DUMMYFUNCTION("""COMPUTED_VALUE"""),"#VALUE!")</f>
        <v>#VALUE!</v>
      </c>
      <c r="H564" s="51" t="str">
        <f>IFERROR(__xludf.DUMMYFUNCTION("""COMPUTED_VALUE"""),"")</f>
        <v/>
      </c>
      <c r="I564" s="51" t="str">
        <f>IFERROR(__xludf.DUMMYFUNCTION("""COMPUTED_VALUE"""),"#VALUE!")</f>
        <v>#VALUE!</v>
      </c>
      <c r="J564" s="51" t="str">
        <f>IFERROR(__xludf.DUMMYFUNCTION("""COMPUTED_VALUE"""),"")</f>
        <v/>
      </c>
      <c r="K564" s="51"/>
      <c r="L564" s="51" t="s">
        <v>257</v>
      </c>
      <c r="M564" s="51"/>
      <c r="N564" s="51"/>
      <c r="O564" s="51"/>
      <c r="P564" s="51"/>
      <c r="Q564" s="51"/>
      <c r="R564" s="51"/>
      <c r="S564" s="51"/>
      <c r="T564" s="51"/>
    </row>
    <row r="565">
      <c r="A565" s="51"/>
      <c r="B565" s="51"/>
      <c r="C565" s="56"/>
      <c r="D565" s="51"/>
      <c r="E565" s="51"/>
      <c r="F565" s="51"/>
      <c r="G565" s="51" t="str">
        <f>IFERROR(__xludf.DUMMYFUNCTION("""COMPUTED_VALUE"""),"#VALUE!")</f>
        <v>#VALUE!</v>
      </c>
      <c r="H565" s="51" t="str">
        <f>IFERROR(__xludf.DUMMYFUNCTION("""COMPUTED_VALUE"""),"")</f>
        <v/>
      </c>
      <c r="I565" s="51" t="str">
        <f>IFERROR(__xludf.DUMMYFUNCTION("""COMPUTED_VALUE"""),"#VALUE!")</f>
        <v>#VALUE!</v>
      </c>
      <c r="J565" s="51" t="str">
        <f>IFERROR(__xludf.DUMMYFUNCTION("""COMPUTED_VALUE"""),"")</f>
        <v/>
      </c>
      <c r="K565" s="51"/>
      <c r="L565" s="51" t="s">
        <v>257</v>
      </c>
      <c r="M565" s="51"/>
      <c r="N565" s="51"/>
      <c r="O565" s="51"/>
      <c r="P565" s="51"/>
      <c r="Q565" s="51"/>
      <c r="R565" s="51"/>
      <c r="S565" s="51"/>
      <c r="T565" s="51"/>
    </row>
    <row r="566">
      <c r="A566" s="51"/>
      <c r="B566" s="51"/>
      <c r="C566" s="56"/>
      <c r="D566" s="51"/>
      <c r="E566" s="51"/>
      <c r="F566" s="51"/>
      <c r="G566" s="51" t="str">
        <f>IFERROR(__xludf.DUMMYFUNCTION("""COMPUTED_VALUE"""),"#VALUE!")</f>
        <v>#VALUE!</v>
      </c>
      <c r="H566" s="51" t="str">
        <f>IFERROR(__xludf.DUMMYFUNCTION("""COMPUTED_VALUE"""),"")</f>
        <v/>
      </c>
      <c r="I566" s="51" t="str">
        <f>IFERROR(__xludf.DUMMYFUNCTION("""COMPUTED_VALUE"""),"#VALUE!")</f>
        <v>#VALUE!</v>
      </c>
      <c r="J566" s="51" t="str">
        <f>IFERROR(__xludf.DUMMYFUNCTION("""COMPUTED_VALUE"""),"")</f>
        <v/>
      </c>
      <c r="K566" s="51"/>
      <c r="L566" s="51" t="s">
        <v>257</v>
      </c>
      <c r="M566" s="51"/>
      <c r="N566" s="51"/>
      <c r="O566" s="51"/>
      <c r="P566" s="51"/>
      <c r="Q566" s="51"/>
      <c r="R566" s="51"/>
      <c r="S566" s="51"/>
      <c r="T566" s="51"/>
    </row>
    <row r="567">
      <c r="A567" s="51"/>
      <c r="B567" s="51"/>
      <c r="C567" s="56"/>
      <c r="D567" s="51"/>
      <c r="E567" s="51"/>
      <c r="F567" s="51"/>
      <c r="G567" s="51" t="str">
        <f>IFERROR(__xludf.DUMMYFUNCTION("""COMPUTED_VALUE"""),"#VALUE!")</f>
        <v>#VALUE!</v>
      </c>
      <c r="H567" s="51" t="str">
        <f>IFERROR(__xludf.DUMMYFUNCTION("""COMPUTED_VALUE"""),"")</f>
        <v/>
      </c>
      <c r="I567" s="51" t="str">
        <f>IFERROR(__xludf.DUMMYFUNCTION("""COMPUTED_VALUE"""),"#VALUE!")</f>
        <v>#VALUE!</v>
      </c>
      <c r="J567" s="51" t="str">
        <f>IFERROR(__xludf.DUMMYFUNCTION("""COMPUTED_VALUE"""),"")</f>
        <v/>
      </c>
      <c r="K567" s="51"/>
      <c r="L567" s="51" t="s">
        <v>257</v>
      </c>
      <c r="M567" s="51"/>
      <c r="N567" s="51"/>
      <c r="O567" s="51"/>
      <c r="P567" s="51"/>
      <c r="Q567" s="51"/>
      <c r="R567" s="51"/>
      <c r="S567" s="51"/>
      <c r="T567" s="51"/>
    </row>
    <row r="568">
      <c r="A568" s="51"/>
      <c r="B568" s="51"/>
      <c r="C568" s="56"/>
      <c r="D568" s="51"/>
      <c r="E568" s="51"/>
      <c r="F568" s="51"/>
      <c r="G568" s="51" t="str">
        <f>IFERROR(__xludf.DUMMYFUNCTION("""COMPUTED_VALUE"""),"#VALUE!")</f>
        <v>#VALUE!</v>
      </c>
      <c r="H568" s="51" t="str">
        <f>IFERROR(__xludf.DUMMYFUNCTION("""COMPUTED_VALUE"""),"")</f>
        <v/>
      </c>
      <c r="I568" s="51" t="str">
        <f>IFERROR(__xludf.DUMMYFUNCTION("""COMPUTED_VALUE"""),"#VALUE!")</f>
        <v>#VALUE!</v>
      </c>
      <c r="J568" s="51" t="str">
        <f>IFERROR(__xludf.DUMMYFUNCTION("""COMPUTED_VALUE"""),"")</f>
        <v/>
      </c>
      <c r="K568" s="51"/>
      <c r="L568" s="51" t="s">
        <v>257</v>
      </c>
      <c r="M568" s="51"/>
      <c r="N568" s="51"/>
      <c r="O568" s="51"/>
      <c r="P568" s="51"/>
      <c r="Q568" s="51"/>
      <c r="R568" s="51"/>
      <c r="S568" s="51"/>
      <c r="T568" s="51"/>
    </row>
    <row r="569">
      <c r="A569" s="51"/>
      <c r="B569" s="51"/>
      <c r="C569" s="56"/>
      <c r="D569" s="51"/>
      <c r="E569" s="51"/>
      <c r="F569" s="51"/>
      <c r="G569" s="51" t="str">
        <f>IFERROR(__xludf.DUMMYFUNCTION("""COMPUTED_VALUE"""),"#VALUE!")</f>
        <v>#VALUE!</v>
      </c>
      <c r="H569" s="51" t="str">
        <f>IFERROR(__xludf.DUMMYFUNCTION("""COMPUTED_VALUE"""),"")</f>
        <v/>
      </c>
      <c r="I569" s="51" t="str">
        <f>IFERROR(__xludf.DUMMYFUNCTION("""COMPUTED_VALUE"""),"#VALUE!")</f>
        <v>#VALUE!</v>
      </c>
      <c r="J569" s="51" t="str">
        <f>IFERROR(__xludf.DUMMYFUNCTION("""COMPUTED_VALUE"""),"")</f>
        <v/>
      </c>
      <c r="K569" s="51"/>
      <c r="L569" s="51" t="s">
        <v>257</v>
      </c>
      <c r="M569" s="51"/>
      <c r="N569" s="51"/>
      <c r="O569" s="51"/>
      <c r="P569" s="51"/>
      <c r="Q569" s="51"/>
      <c r="R569" s="51"/>
      <c r="S569" s="51"/>
      <c r="T569" s="51"/>
    </row>
  </sheetData>
  <conditionalFormatting sqref="O2:O52">
    <cfRule type="containsText" dxfId="4" priority="1" operator="containsText" text="YES">
      <formula>NOT(ISERROR(SEARCH(("YES"),(O2))))</formula>
    </cfRule>
  </conditionalFormatting>
  <conditionalFormatting sqref="O2:O52">
    <cfRule type="cellIs" dxfId="5" priority="2" operator="equal">
      <formula>"NO"</formula>
    </cfRule>
  </conditionalFormatting>
  <conditionalFormatting sqref="P2:P52">
    <cfRule type="cellIs" dxfId="4" priority="3" operator="equal">
      <formula>"AVAILABLE"</formula>
    </cfRule>
  </conditionalFormatting>
  <conditionalFormatting sqref="P2:P52">
    <cfRule type="cellIs" dxfId="5" priority="4" operator="equal">
      <formula>"NOT AVAILABLE"</formula>
    </cfRule>
  </conditionalFormatting>
  <conditionalFormatting sqref="Q2:Q52">
    <cfRule type="cellIs" dxfId="4" priority="5" operator="equal">
      <formula>"AVAILABLE"</formula>
    </cfRule>
  </conditionalFormatting>
  <conditionalFormatting sqref="Q2:Q52">
    <cfRule type="cellIs" dxfId="6" priority="6" operator="equal">
      <formula>"UPLOADING"</formula>
    </cfRule>
  </conditionalFormatting>
  <conditionalFormatting sqref="Q2:Q52">
    <cfRule type="cellIs" dxfId="5" priority="7" operator="equal">
      <formula>"NOT AVAILABLE"</formula>
    </cfRule>
  </conditionalFormatting>
  <dataValidations>
    <dataValidation type="list" allowBlank="1" sqref="O2:O52">
      <formula1>"YES,NO"</formula1>
    </dataValidation>
    <dataValidation type="list" allowBlank="1" sqref="P2:P52">
      <formula1>"AVAILABLE,NOT AVAILABLE"</formula1>
    </dataValidation>
    <dataValidation type="list" allowBlank="1" sqref="Q2:Q52">
      <formula1>"AVAILABLE,UPLOADING,NOT AVAILABLE"</formula1>
    </dataValidation>
  </dataValidations>
  <drawing r:id="rId1"/>
  <tableParts count="1">
    <tablePart r:id="rId3"/>
  </tableParts>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1" max="1" width="23.86"/>
    <col hidden="1" min="4" max="5" width="14.43"/>
    <col customWidth="1" min="6" max="6" width="37.57"/>
    <col hidden="1" min="9" max="9" width="14.43"/>
  </cols>
  <sheetData>
    <row r="1">
      <c r="A1" s="46" t="s">
        <v>79</v>
      </c>
      <c r="B1" s="46" t="s">
        <v>80</v>
      </c>
      <c r="C1" s="46" t="s">
        <v>81</v>
      </c>
      <c r="D1" s="46" t="s">
        <v>82</v>
      </c>
      <c r="E1" s="46" t="s">
        <v>83</v>
      </c>
      <c r="F1" s="46" t="s">
        <v>84</v>
      </c>
      <c r="G1" s="46" t="s">
        <v>85</v>
      </c>
      <c r="H1" s="46" t="s">
        <v>86</v>
      </c>
      <c r="I1" s="46" t="s">
        <v>87</v>
      </c>
      <c r="J1" s="46" t="s">
        <v>88</v>
      </c>
      <c r="K1" s="46" t="s">
        <v>89</v>
      </c>
      <c r="L1" s="46" t="s">
        <v>90</v>
      </c>
      <c r="M1" s="46" t="s">
        <v>91</v>
      </c>
      <c r="N1" s="46" t="s">
        <v>92</v>
      </c>
      <c r="O1" s="50" t="s">
        <v>93</v>
      </c>
      <c r="P1" s="50" t="s">
        <v>94</v>
      </c>
      <c r="Q1" s="50" t="s">
        <v>95</v>
      </c>
      <c r="R1" s="51"/>
      <c r="S1" s="51"/>
      <c r="T1" s="51"/>
    </row>
    <row r="2">
      <c r="A2" s="77" t="s">
        <v>434</v>
      </c>
      <c r="B2" s="62" t="s">
        <v>39</v>
      </c>
      <c r="C2" s="78" t="s">
        <v>435</v>
      </c>
      <c r="D2" s="51"/>
      <c r="E2" s="51"/>
      <c r="F2" s="51"/>
      <c r="G2" s="79">
        <v>43774.0</v>
      </c>
      <c r="H2" s="80">
        <v>0.3854166666666667</v>
      </c>
      <c r="I2" s="54" t="str">
        <f>IFERROR(__xludf.DUMMYFUNCTION("ARRAYFORMULA(SPLIT(E2:E8,"" ""))"),"#VALUE!")</f>
        <v>#VALUE!</v>
      </c>
      <c r="J2" s="81">
        <v>0.4270833333333333</v>
      </c>
      <c r="K2" s="60">
        <f t="shared" ref="K2:K8" si="1">J2-H2</f>
        <v>0.04166666667</v>
      </c>
      <c r="L2" s="54" t="str">
        <f t="array" ref="L2:L8">TEXT(K2:K8,"hhmmss")</f>
        <v>010000</v>
      </c>
      <c r="M2" s="62" t="s">
        <v>450</v>
      </c>
      <c r="N2" s="75" t="str">
        <f t="shared" ref="N2:N8" si="2">CONCATENATE(M2,"_",F2,"_","000000_000000.mp4")</f>
        <v>P2_8_1__000000_000000.mp4</v>
      </c>
      <c r="O2" s="50"/>
      <c r="P2" s="50"/>
      <c r="Q2" s="63"/>
      <c r="R2" s="51"/>
      <c r="S2" s="51"/>
      <c r="T2" s="51"/>
    </row>
    <row r="3">
      <c r="A3" s="62" t="s">
        <v>455</v>
      </c>
      <c r="B3" s="62" t="s">
        <v>39</v>
      </c>
      <c r="C3" s="82" t="s">
        <v>456</v>
      </c>
      <c r="D3" s="51"/>
      <c r="E3" s="51"/>
      <c r="F3" s="51"/>
      <c r="G3" s="83">
        <v>43774.0</v>
      </c>
      <c r="H3" s="81">
        <v>0.4270833333333333</v>
      </c>
      <c r="I3" s="51" t="str">
        <f>IFERROR(__xludf.DUMMYFUNCTION("""COMPUTED_VALUE"""),"#VALUE!")</f>
        <v>#VALUE!</v>
      </c>
      <c r="J3" s="81">
        <v>0.46875</v>
      </c>
      <c r="K3" s="60">
        <f t="shared" si="1"/>
        <v>0.04166666667</v>
      </c>
      <c r="L3" s="51" t="s">
        <v>236</v>
      </c>
      <c r="M3" s="62" t="s">
        <v>465</v>
      </c>
      <c r="N3" s="75" t="str">
        <f t="shared" si="2"/>
        <v>P2_8_2__000000_000000.mp4</v>
      </c>
      <c r="O3" s="50"/>
      <c r="P3" s="50"/>
      <c r="Q3" s="63"/>
      <c r="R3" s="51"/>
      <c r="S3" s="51"/>
      <c r="T3" s="51"/>
    </row>
    <row r="4">
      <c r="A4" s="84" t="s">
        <v>468</v>
      </c>
      <c r="B4" s="62" t="s">
        <v>39</v>
      </c>
      <c r="C4" s="82" t="s">
        <v>472</v>
      </c>
      <c r="D4" s="51"/>
      <c r="E4" s="51"/>
      <c r="F4" s="51"/>
      <c r="G4" s="83">
        <v>43774.0</v>
      </c>
      <c r="H4" s="81">
        <v>0.46875</v>
      </c>
      <c r="I4" s="51" t="str">
        <f>IFERROR(__xludf.DUMMYFUNCTION("""COMPUTED_VALUE"""),"#VALUE!")</f>
        <v>#VALUE!</v>
      </c>
      <c r="J4" s="81">
        <v>0.5104166666666666</v>
      </c>
      <c r="K4" s="60">
        <f t="shared" si="1"/>
        <v>0.04166666667</v>
      </c>
      <c r="L4" s="51" t="s">
        <v>236</v>
      </c>
      <c r="M4" s="62" t="s">
        <v>476</v>
      </c>
      <c r="N4" s="75" t="str">
        <f t="shared" si="2"/>
        <v>P2_8_3__000000_000000.mp4</v>
      </c>
      <c r="O4" s="50"/>
      <c r="P4" s="50"/>
      <c r="Q4" s="63"/>
      <c r="R4" s="51"/>
      <c r="S4" s="51"/>
      <c r="T4" s="51"/>
    </row>
    <row r="5">
      <c r="A5" s="62" t="s">
        <v>477</v>
      </c>
      <c r="B5" s="62" t="s">
        <v>39</v>
      </c>
      <c r="C5" s="82" t="s">
        <v>478</v>
      </c>
      <c r="D5" s="51"/>
      <c r="E5" s="51"/>
      <c r="F5" s="51"/>
      <c r="G5" s="83">
        <v>43774.0</v>
      </c>
      <c r="H5" s="81">
        <v>0.5104166666666666</v>
      </c>
      <c r="I5" s="51" t="str">
        <f>IFERROR(__xludf.DUMMYFUNCTION("""COMPUTED_VALUE"""),"#VALUE!")</f>
        <v>#VALUE!</v>
      </c>
      <c r="J5" s="81">
        <v>0.5520833333333334</v>
      </c>
      <c r="K5" s="60">
        <f t="shared" si="1"/>
        <v>0.04166666667</v>
      </c>
      <c r="L5" s="51" t="s">
        <v>236</v>
      </c>
      <c r="M5" s="62" t="s">
        <v>479</v>
      </c>
      <c r="N5" s="75" t="str">
        <f t="shared" si="2"/>
        <v>P2_8_4__000000_000000.mp4</v>
      </c>
      <c r="O5" s="50"/>
      <c r="P5" s="50"/>
      <c r="Q5" s="63"/>
      <c r="R5" s="51"/>
      <c r="S5" s="51"/>
      <c r="T5" s="51"/>
    </row>
    <row r="6">
      <c r="A6" s="84" t="s">
        <v>480</v>
      </c>
      <c r="B6" s="62" t="s">
        <v>39</v>
      </c>
      <c r="C6" s="82" t="s">
        <v>481</v>
      </c>
      <c r="D6" s="51"/>
      <c r="E6" s="51"/>
      <c r="F6" s="51"/>
      <c r="G6" s="83">
        <v>43774.0</v>
      </c>
      <c r="H6" s="85">
        <v>0.5833333333333334</v>
      </c>
      <c r="I6" s="51" t="str">
        <f>IFERROR(__xludf.DUMMYFUNCTION("""COMPUTED_VALUE"""),"#VALUE!")</f>
        <v>#VALUE!</v>
      </c>
      <c r="J6" s="81">
        <v>0.625</v>
      </c>
      <c r="K6" s="60">
        <f t="shared" si="1"/>
        <v>0.04166666667</v>
      </c>
      <c r="L6" s="51" t="s">
        <v>236</v>
      </c>
      <c r="M6" s="62" t="s">
        <v>482</v>
      </c>
      <c r="N6" s="75" t="str">
        <f t="shared" si="2"/>
        <v>P2_8_5__000000_000000.mp4</v>
      </c>
      <c r="O6" s="50"/>
      <c r="P6" s="50"/>
      <c r="Q6" s="63"/>
      <c r="R6" s="51"/>
      <c r="S6" s="51"/>
      <c r="T6" s="51"/>
    </row>
    <row r="7">
      <c r="A7" s="62" t="s">
        <v>483</v>
      </c>
      <c r="B7" s="62" t="s">
        <v>39</v>
      </c>
      <c r="C7" s="82" t="s">
        <v>484</v>
      </c>
      <c r="D7" s="51"/>
      <c r="E7" s="51"/>
      <c r="F7" s="51"/>
      <c r="G7" s="83">
        <v>43774.0</v>
      </c>
      <c r="H7" s="81">
        <v>0.625</v>
      </c>
      <c r="I7" s="51" t="str">
        <f>IFERROR(__xludf.DUMMYFUNCTION("""COMPUTED_VALUE"""),"#VALUE!")</f>
        <v>#VALUE!</v>
      </c>
      <c r="J7" s="81">
        <v>0.6666666666666666</v>
      </c>
      <c r="K7" s="60">
        <f t="shared" si="1"/>
        <v>0.04166666667</v>
      </c>
      <c r="L7" s="51" t="s">
        <v>236</v>
      </c>
      <c r="M7" s="62" t="s">
        <v>485</v>
      </c>
      <c r="N7" s="75" t="str">
        <f t="shared" si="2"/>
        <v>P2_8_6__000000_000000.mp4</v>
      </c>
      <c r="O7" s="50"/>
      <c r="P7" s="50"/>
      <c r="Q7" s="63"/>
      <c r="R7" s="51"/>
      <c r="S7" s="51"/>
      <c r="T7" s="51"/>
    </row>
    <row r="8">
      <c r="A8" s="62" t="s">
        <v>486</v>
      </c>
      <c r="B8" s="62" t="s">
        <v>39</v>
      </c>
      <c r="C8" s="78" t="s">
        <v>487</v>
      </c>
      <c r="D8" s="51"/>
      <c r="E8" s="51"/>
      <c r="F8" s="51"/>
      <c r="G8" s="83">
        <v>43774.0</v>
      </c>
      <c r="H8" s="81">
        <v>0.6770833333333334</v>
      </c>
      <c r="I8" s="51" t="str">
        <f>IFERROR(__xludf.DUMMYFUNCTION("""COMPUTED_VALUE"""),"#VALUE!")</f>
        <v>#VALUE!</v>
      </c>
      <c r="J8" s="81">
        <v>0.7291666666666666</v>
      </c>
      <c r="K8" s="60">
        <f t="shared" si="1"/>
        <v>0.05208333333</v>
      </c>
      <c r="L8" s="51" t="s">
        <v>488</v>
      </c>
      <c r="M8" s="62" t="s">
        <v>489</v>
      </c>
      <c r="N8" s="75" t="str">
        <f t="shared" si="2"/>
        <v>P2_8_7__000000_000000.mp4</v>
      </c>
      <c r="O8" s="50"/>
      <c r="P8" s="50"/>
      <c r="Q8" s="63"/>
      <c r="R8" s="51"/>
      <c r="S8" s="51"/>
      <c r="T8" s="51"/>
    </row>
  </sheetData>
  <conditionalFormatting sqref="O2:O8">
    <cfRule type="containsText" dxfId="4" priority="1" operator="containsText" text="YES">
      <formula>NOT(ISERROR(SEARCH(("YES"),(O2))))</formula>
    </cfRule>
  </conditionalFormatting>
  <conditionalFormatting sqref="O2:O8">
    <cfRule type="cellIs" dxfId="5" priority="2" operator="equal">
      <formula>"NO"</formula>
    </cfRule>
  </conditionalFormatting>
  <conditionalFormatting sqref="P2:P8">
    <cfRule type="cellIs" dxfId="4" priority="3" operator="equal">
      <formula>"AVAILABLE"</formula>
    </cfRule>
  </conditionalFormatting>
  <conditionalFormatting sqref="P2:P8">
    <cfRule type="cellIs" dxfId="5" priority="4" operator="equal">
      <formula>"NOT AVAILABLE"</formula>
    </cfRule>
  </conditionalFormatting>
  <conditionalFormatting sqref="Q2:Q8">
    <cfRule type="cellIs" dxfId="4" priority="5" operator="equal">
      <formula>"AVAILABLE"</formula>
    </cfRule>
  </conditionalFormatting>
  <conditionalFormatting sqref="Q2:Q8">
    <cfRule type="cellIs" dxfId="6" priority="6" operator="equal">
      <formula>"UPLOADING"</formula>
    </cfRule>
  </conditionalFormatting>
  <conditionalFormatting sqref="Q2:Q8">
    <cfRule type="cellIs" dxfId="5" priority="7" operator="equal">
      <formula>"NOT AVAILABLE"</formula>
    </cfRule>
  </conditionalFormatting>
  <dataValidations>
    <dataValidation type="list" allowBlank="1" sqref="O2:O8">
      <formula1>"YES,NO"</formula1>
    </dataValidation>
    <dataValidation type="list" allowBlank="1" sqref="P2:P8">
      <formula1>"AVAILABLE,NOT AVAILABLE"</formula1>
    </dataValidation>
    <dataValidation type="list" allowBlank="1" sqref="Q2:Q8">
      <formula1>"AVAILABLE,UPLOADING,NOT AVAILABLE"</formula1>
    </dataValidation>
  </dataValidations>
  <drawing r:id="rId1"/>
  <tableParts count="1">
    <tablePart r:id="rId3"/>
  </tableParts>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1" t="s">
        <v>430</v>
      </c>
      <c r="B1" s="51" t="s">
        <v>431</v>
      </c>
      <c r="C1" s="51" t="s">
        <v>432</v>
      </c>
      <c r="D1" s="51" t="s">
        <v>433</v>
      </c>
      <c r="E1" s="61">
        <f>IFERROR(__xludf.DUMMYFUNCTION("ARRAYFORMULA(SPLIT(B1:B1000,"" ""))"),43775.0)</f>
        <v>43775</v>
      </c>
      <c r="F1" s="60">
        <f>IFERROR(__xludf.DUMMYFUNCTION("""COMPUTED_VALUE"""),0.4270833333333333)</f>
        <v>0.4270833333</v>
      </c>
      <c r="G1" s="61">
        <f>IFERROR(__xludf.DUMMYFUNCTION("ARRAYFORMULA(SPLIT(C1:C1000,"" ""))"),43775.0)</f>
        <v>43775</v>
      </c>
      <c r="H1" s="60">
        <f>IFERROR(__xludf.DUMMYFUNCTION("""COMPUTED_VALUE"""),0.46875)</f>
        <v>0.46875</v>
      </c>
      <c r="I1" s="60">
        <f t="shared" ref="I1:I5" si="1">H1-F1</f>
        <v>0.04166666667</v>
      </c>
    </row>
    <row r="2">
      <c r="A2" s="51" t="s">
        <v>436</v>
      </c>
      <c r="B2" s="51" t="s">
        <v>432</v>
      </c>
      <c r="C2" s="51" t="s">
        <v>437</v>
      </c>
      <c r="D2" s="51" t="s">
        <v>438</v>
      </c>
      <c r="E2" s="58">
        <f>IFERROR(__xludf.DUMMYFUNCTION("""COMPUTED_VALUE"""),43775.0)</f>
        <v>43775</v>
      </c>
      <c r="F2" s="60">
        <f>IFERROR(__xludf.DUMMYFUNCTION("""COMPUTED_VALUE"""),0.46875)</f>
        <v>0.46875</v>
      </c>
      <c r="G2" s="58">
        <f>IFERROR(__xludf.DUMMYFUNCTION("""COMPUTED_VALUE"""),43775.0)</f>
        <v>43775</v>
      </c>
      <c r="H2" s="60">
        <f>IFERROR(__xludf.DUMMYFUNCTION("""COMPUTED_VALUE"""),0.5104166666666666)</f>
        <v>0.5104166667</v>
      </c>
      <c r="I2" s="60">
        <f t="shared" si="1"/>
        <v>0.04166666667</v>
      </c>
    </row>
    <row r="3">
      <c r="A3" s="51" t="s">
        <v>439</v>
      </c>
      <c r="B3" s="51" t="s">
        <v>432</v>
      </c>
      <c r="C3" s="51" t="s">
        <v>437</v>
      </c>
      <c r="D3" s="51" t="s">
        <v>438</v>
      </c>
      <c r="E3" s="58">
        <f>IFERROR(__xludf.DUMMYFUNCTION("""COMPUTED_VALUE"""),43775.0)</f>
        <v>43775</v>
      </c>
      <c r="F3" s="60">
        <f>IFERROR(__xludf.DUMMYFUNCTION("""COMPUTED_VALUE"""),0.46875)</f>
        <v>0.46875</v>
      </c>
      <c r="G3" s="58">
        <f>IFERROR(__xludf.DUMMYFUNCTION("""COMPUTED_VALUE"""),43775.0)</f>
        <v>43775</v>
      </c>
      <c r="H3" s="60">
        <f>IFERROR(__xludf.DUMMYFUNCTION("""COMPUTED_VALUE"""),0.5104166666666666)</f>
        <v>0.5104166667</v>
      </c>
      <c r="I3" s="60">
        <f t="shared" si="1"/>
        <v>0.04166666667</v>
      </c>
    </row>
    <row r="4">
      <c r="A4" s="51" t="s">
        <v>440</v>
      </c>
      <c r="B4" s="51" t="s">
        <v>437</v>
      </c>
      <c r="C4" s="51" t="s">
        <v>441</v>
      </c>
      <c r="D4" s="51" t="s">
        <v>442</v>
      </c>
      <c r="E4" s="58">
        <f>IFERROR(__xludf.DUMMYFUNCTION("""COMPUTED_VALUE"""),43775.0)</f>
        <v>43775</v>
      </c>
      <c r="F4" s="60">
        <f>IFERROR(__xludf.DUMMYFUNCTION("""COMPUTED_VALUE"""),0.5104166666666666)</f>
        <v>0.5104166667</v>
      </c>
      <c r="G4" s="58">
        <f>IFERROR(__xludf.DUMMYFUNCTION("""COMPUTED_VALUE"""),43775.0)</f>
        <v>43775</v>
      </c>
      <c r="H4" s="60">
        <f>IFERROR(__xludf.DUMMYFUNCTION("""COMPUTED_VALUE"""),0.5520833333333334)</f>
        <v>0.5520833333</v>
      </c>
      <c r="I4" s="60">
        <f t="shared" si="1"/>
        <v>0.04166666667</v>
      </c>
    </row>
    <row r="5">
      <c r="A5" s="4" t="s">
        <v>443</v>
      </c>
      <c r="B5" s="51" t="s">
        <v>444</v>
      </c>
      <c r="C5" s="51" t="s">
        <v>445</v>
      </c>
      <c r="D5" s="51" t="s">
        <v>446</v>
      </c>
      <c r="E5" s="58">
        <f>IFERROR(__xludf.DUMMYFUNCTION("""COMPUTED_VALUE"""),43775.0)</f>
        <v>43775</v>
      </c>
      <c r="F5" s="60">
        <f>IFERROR(__xludf.DUMMYFUNCTION("""COMPUTED_VALUE"""),0.59375)</f>
        <v>0.59375</v>
      </c>
      <c r="G5" s="58">
        <f>IFERROR(__xludf.DUMMYFUNCTION("""COMPUTED_VALUE"""),43775.0)</f>
        <v>43775</v>
      </c>
      <c r="H5" s="60">
        <f>IFERROR(__xludf.DUMMYFUNCTION("""COMPUTED_VALUE"""),0.6354166666666666)</f>
        <v>0.6354166667</v>
      </c>
      <c r="I5" s="60">
        <f t="shared" si="1"/>
        <v>0.04166666667</v>
      </c>
    </row>
    <row r="6">
      <c r="A6" s="51" t="s">
        <v>447</v>
      </c>
      <c r="B6" s="51" t="s">
        <v>445</v>
      </c>
      <c r="C6" s="51" t="s">
        <v>448</v>
      </c>
      <c r="D6" s="51" t="s">
        <v>449</v>
      </c>
      <c r="E6" s="58">
        <f>IFERROR(__xludf.DUMMYFUNCTION("""COMPUTED_VALUE"""),43775.0)</f>
        <v>43775</v>
      </c>
      <c r="F6" s="60">
        <f>IFERROR(__xludf.DUMMYFUNCTION("""COMPUTED_VALUE"""),0.6354166666666666)</f>
        <v>0.6354166667</v>
      </c>
      <c r="G6" s="58">
        <f>IFERROR(__xludf.DUMMYFUNCTION("""COMPUTED_VALUE"""),43775.0)</f>
        <v>43775</v>
      </c>
      <c r="H6" s="60">
        <f>IFERROR(__xludf.DUMMYFUNCTION("""COMPUTED_VALUE"""),0.6770833333333334)</f>
        <v>0.6770833333</v>
      </c>
      <c r="I6" s="51"/>
    </row>
    <row r="7">
      <c r="A7" s="51" t="s">
        <v>451</v>
      </c>
      <c r="B7" s="51" t="s">
        <v>452</v>
      </c>
      <c r="C7" s="51" t="s">
        <v>453</v>
      </c>
      <c r="D7" s="51" t="s">
        <v>454</v>
      </c>
      <c r="E7" s="58">
        <f>IFERROR(__xludf.DUMMYFUNCTION("""COMPUTED_VALUE"""),43776.0)</f>
        <v>43776</v>
      </c>
      <c r="F7" s="60">
        <f>IFERROR(__xludf.DUMMYFUNCTION("""COMPUTED_VALUE"""),0.4270833333333333)</f>
        <v>0.4270833333</v>
      </c>
      <c r="G7" s="58">
        <f>IFERROR(__xludf.DUMMYFUNCTION("""COMPUTED_VALUE"""),43776.0)</f>
        <v>43776</v>
      </c>
      <c r="H7" s="60">
        <f>IFERROR(__xludf.DUMMYFUNCTION("""COMPUTED_VALUE"""),0.46875)</f>
        <v>0.46875</v>
      </c>
      <c r="I7" s="51"/>
    </row>
    <row r="8">
      <c r="A8" s="51" t="s">
        <v>457</v>
      </c>
      <c r="B8" s="51" t="s">
        <v>453</v>
      </c>
      <c r="C8" s="51" t="s">
        <v>458</v>
      </c>
      <c r="D8" s="51" t="s">
        <v>459</v>
      </c>
      <c r="E8" s="58">
        <f>IFERROR(__xludf.DUMMYFUNCTION("""COMPUTED_VALUE"""),43776.0)</f>
        <v>43776</v>
      </c>
      <c r="F8" s="60">
        <f>IFERROR(__xludf.DUMMYFUNCTION("""COMPUTED_VALUE"""),0.46875)</f>
        <v>0.46875</v>
      </c>
      <c r="G8" s="58">
        <f>IFERROR(__xludf.DUMMYFUNCTION("""COMPUTED_VALUE"""),43776.0)</f>
        <v>43776</v>
      </c>
      <c r="H8" s="60">
        <f>IFERROR(__xludf.DUMMYFUNCTION("""COMPUTED_VALUE"""),0.5104166666666666)</f>
        <v>0.5104166667</v>
      </c>
      <c r="I8" s="51"/>
    </row>
    <row r="9">
      <c r="A9" s="51" t="s">
        <v>460</v>
      </c>
      <c r="B9" s="51" t="s">
        <v>458</v>
      </c>
      <c r="C9" s="51" t="s">
        <v>461</v>
      </c>
      <c r="D9" s="51" t="s">
        <v>462</v>
      </c>
      <c r="E9" s="58">
        <f>IFERROR(__xludf.DUMMYFUNCTION("""COMPUTED_VALUE"""),43776.0)</f>
        <v>43776</v>
      </c>
      <c r="F9" s="60">
        <f>IFERROR(__xludf.DUMMYFUNCTION("""COMPUTED_VALUE"""),0.5104166666666666)</f>
        <v>0.5104166667</v>
      </c>
      <c r="G9" s="58">
        <f>IFERROR(__xludf.DUMMYFUNCTION("""COMPUTED_VALUE"""),43776.0)</f>
        <v>43776</v>
      </c>
      <c r="H9" s="60">
        <f>IFERROR(__xludf.DUMMYFUNCTION("""COMPUTED_VALUE"""),0.5520833333333334)</f>
        <v>0.5520833333</v>
      </c>
      <c r="I9" s="51"/>
    </row>
    <row r="10">
      <c r="A10" s="51" t="s">
        <v>463</v>
      </c>
      <c r="B10" s="51" t="s">
        <v>464</v>
      </c>
      <c r="C10" s="51" t="s">
        <v>466</v>
      </c>
      <c r="D10" s="51" t="s">
        <v>467</v>
      </c>
      <c r="E10" s="58">
        <f>IFERROR(__xludf.DUMMYFUNCTION("""COMPUTED_VALUE"""),43776.0)</f>
        <v>43776</v>
      </c>
      <c r="F10" s="60">
        <f>IFERROR(__xludf.DUMMYFUNCTION("""COMPUTED_VALUE"""),0.59375)</f>
        <v>0.59375</v>
      </c>
      <c r="G10" s="58">
        <f>IFERROR(__xludf.DUMMYFUNCTION("""COMPUTED_VALUE"""),43776.0)</f>
        <v>43776</v>
      </c>
      <c r="H10" s="60">
        <f>IFERROR(__xludf.DUMMYFUNCTION("""COMPUTED_VALUE"""),0.6354166666666666)</f>
        <v>0.6354166667</v>
      </c>
      <c r="I10" s="51"/>
    </row>
    <row r="11">
      <c r="A11" s="51" t="s">
        <v>469</v>
      </c>
      <c r="B11" s="51" t="s">
        <v>466</v>
      </c>
      <c r="C11" s="51" t="s">
        <v>470</v>
      </c>
      <c r="D11" s="51" t="s">
        <v>471</v>
      </c>
      <c r="E11" s="58">
        <f>IFERROR(__xludf.DUMMYFUNCTION("""COMPUTED_VALUE"""),43776.0)</f>
        <v>43776</v>
      </c>
      <c r="F11" s="60">
        <f>IFERROR(__xludf.DUMMYFUNCTION("""COMPUTED_VALUE"""),0.6354166666666666)</f>
        <v>0.6354166667</v>
      </c>
      <c r="G11" s="58">
        <f>IFERROR(__xludf.DUMMYFUNCTION("""COMPUTED_VALUE"""),43776.0)</f>
        <v>43776</v>
      </c>
      <c r="H11" s="60">
        <f>IFERROR(__xludf.DUMMYFUNCTION("""COMPUTED_VALUE"""),0.6770833333333334)</f>
        <v>0.6770833333</v>
      </c>
      <c r="I11" s="51"/>
    </row>
    <row r="12">
      <c r="A12" s="51" t="s">
        <v>473</v>
      </c>
      <c r="B12" s="51" t="s">
        <v>470</v>
      </c>
      <c r="C12" s="51" t="s">
        <v>474</v>
      </c>
      <c r="D12" s="51" t="s">
        <v>475</v>
      </c>
      <c r="E12" s="58">
        <f>IFERROR(__xludf.DUMMYFUNCTION("""COMPUTED_VALUE"""),43776.0)</f>
        <v>43776</v>
      </c>
      <c r="F12" s="60">
        <f>IFERROR(__xludf.DUMMYFUNCTION("""COMPUTED_VALUE"""),0.6770833333333334)</f>
        <v>0.6770833333</v>
      </c>
      <c r="G12" s="58">
        <f>IFERROR(__xludf.DUMMYFUNCTION("""COMPUTED_VALUE"""),43776.0)</f>
        <v>43776</v>
      </c>
      <c r="H12" s="60">
        <f>IFERROR(__xludf.DUMMYFUNCTION("""COMPUTED_VALUE"""),0.71875)</f>
        <v>0.71875</v>
      </c>
      <c r="I12" s="51"/>
    </row>
    <row r="13">
      <c r="E13" s="4" t="str">
        <f>IFERROR(__xludf.DUMMYFUNCTION("""COMPUTED_VALUE"""),"#VALUE!")</f>
        <v>#VALUE!</v>
      </c>
      <c r="F13" s="4" t="str">
        <f>IFERROR(__xludf.DUMMYFUNCTION("""COMPUTED_VALUE"""),"")</f>
        <v/>
      </c>
      <c r="G13" s="4" t="str">
        <f>IFERROR(__xludf.DUMMYFUNCTION("""COMPUTED_VALUE"""),"#VALUE!")</f>
        <v>#VALUE!</v>
      </c>
      <c r="H13" s="4" t="str">
        <f>IFERROR(__xludf.DUMMYFUNCTION("""COMPUTED_VALUE"""),"")</f>
        <v/>
      </c>
    </row>
    <row r="14">
      <c r="E14" s="4" t="str">
        <f>IFERROR(__xludf.DUMMYFUNCTION("""COMPUTED_VALUE"""),"#VALUE!")</f>
        <v>#VALUE!</v>
      </c>
      <c r="F14" s="4" t="str">
        <f>IFERROR(__xludf.DUMMYFUNCTION("""COMPUTED_VALUE"""),"")</f>
        <v/>
      </c>
      <c r="G14" s="4" t="str">
        <f>IFERROR(__xludf.DUMMYFUNCTION("""COMPUTED_VALUE"""),"#VALUE!")</f>
        <v>#VALUE!</v>
      </c>
      <c r="H14" s="4" t="str">
        <f>IFERROR(__xludf.DUMMYFUNCTION("""COMPUTED_VALUE"""),"")</f>
        <v/>
      </c>
    </row>
    <row r="15">
      <c r="E15" s="4" t="str">
        <f>IFERROR(__xludf.DUMMYFUNCTION("""COMPUTED_VALUE"""),"#VALUE!")</f>
        <v>#VALUE!</v>
      </c>
      <c r="F15" s="4" t="str">
        <f>IFERROR(__xludf.DUMMYFUNCTION("""COMPUTED_VALUE"""),"")</f>
        <v/>
      </c>
      <c r="G15" s="4" t="str">
        <f>IFERROR(__xludf.DUMMYFUNCTION("""COMPUTED_VALUE"""),"#VALUE!")</f>
        <v>#VALUE!</v>
      </c>
      <c r="H15" s="4" t="str">
        <f>IFERROR(__xludf.DUMMYFUNCTION("""COMPUTED_VALUE"""),"")</f>
        <v/>
      </c>
    </row>
    <row r="16">
      <c r="E16" s="4" t="str">
        <f>IFERROR(__xludf.DUMMYFUNCTION("""COMPUTED_VALUE"""),"#VALUE!")</f>
        <v>#VALUE!</v>
      </c>
      <c r="F16" s="4" t="str">
        <f>IFERROR(__xludf.DUMMYFUNCTION("""COMPUTED_VALUE"""),"")</f>
        <v/>
      </c>
      <c r="G16" s="4" t="str">
        <f>IFERROR(__xludf.DUMMYFUNCTION("""COMPUTED_VALUE"""),"#VALUE!")</f>
        <v>#VALUE!</v>
      </c>
      <c r="H16" s="4" t="str">
        <f>IFERROR(__xludf.DUMMYFUNCTION("""COMPUTED_VALUE"""),"")</f>
        <v/>
      </c>
    </row>
    <row r="17">
      <c r="E17" s="4" t="str">
        <f>IFERROR(__xludf.DUMMYFUNCTION("""COMPUTED_VALUE"""),"#VALUE!")</f>
        <v>#VALUE!</v>
      </c>
      <c r="F17" s="4" t="str">
        <f>IFERROR(__xludf.DUMMYFUNCTION("""COMPUTED_VALUE"""),"")</f>
        <v/>
      </c>
      <c r="G17" s="4" t="str">
        <f>IFERROR(__xludf.DUMMYFUNCTION("""COMPUTED_VALUE"""),"#VALUE!")</f>
        <v>#VALUE!</v>
      </c>
      <c r="H17" s="4" t="str">
        <f>IFERROR(__xludf.DUMMYFUNCTION("""COMPUTED_VALUE"""),"")</f>
        <v/>
      </c>
    </row>
    <row r="18">
      <c r="E18" s="4" t="str">
        <f>IFERROR(__xludf.DUMMYFUNCTION("""COMPUTED_VALUE"""),"#VALUE!")</f>
        <v>#VALUE!</v>
      </c>
      <c r="F18" s="4" t="str">
        <f>IFERROR(__xludf.DUMMYFUNCTION("""COMPUTED_VALUE"""),"")</f>
        <v/>
      </c>
      <c r="G18" s="4" t="str">
        <f>IFERROR(__xludf.DUMMYFUNCTION("""COMPUTED_VALUE"""),"#VALUE!")</f>
        <v>#VALUE!</v>
      </c>
      <c r="H18" s="4" t="str">
        <f>IFERROR(__xludf.DUMMYFUNCTION("""COMPUTED_VALUE"""),"")</f>
        <v/>
      </c>
    </row>
    <row r="19">
      <c r="E19" s="4" t="str">
        <f>IFERROR(__xludf.DUMMYFUNCTION("""COMPUTED_VALUE"""),"#VALUE!")</f>
        <v>#VALUE!</v>
      </c>
      <c r="F19" s="4" t="str">
        <f>IFERROR(__xludf.DUMMYFUNCTION("""COMPUTED_VALUE"""),"")</f>
        <v/>
      </c>
      <c r="G19" s="4" t="str">
        <f>IFERROR(__xludf.DUMMYFUNCTION("""COMPUTED_VALUE"""),"#VALUE!")</f>
        <v>#VALUE!</v>
      </c>
      <c r="H19" s="4" t="str">
        <f>IFERROR(__xludf.DUMMYFUNCTION("""COMPUTED_VALUE"""),"")</f>
        <v/>
      </c>
    </row>
    <row r="20">
      <c r="E20" s="4" t="str">
        <f>IFERROR(__xludf.DUMMYFUNCTION("""COMPUTED_VALUE"""),"#VALUE!")</f>
        <v>#VALUE!</v>
      </c>
      <c r="F20" s="4" t="str">
        <f>IFERROR(__xludf.DUMMYFUNCTION("""COMPUTED_VALUE"""),"")</f>
        <v/>
      </c>
      <c r="G20" s="4" t="str">
        <f>IFERROR(__xludf.DUMMYFUNCTION("""COMPUTED_VALUE"""),"#VALUE!")</f>
        <v>#VALUE!</v>
      </c>
      <c r="H20" s="4" t="str">
        <f>IFERROR(__xludf.DUMMYFUNCTION("""COMPUTED_VALUE"""),"")</f>
        <v/>
      </c>
    </row>
    <row r="21">
      <c r="E21" s="4" t="str">
        <f>IFERROR(__xludf.DUMMYFUNCTION("""COMPUTED_VALUE"""),"#VALUE!")</f>
        <v>#VALUE!</v>
      </c>
      <c r="F21" s="4" t="str">
        <f>IFERROR(__xludf.DUMMYFUNCTION("""COMPUTED_VALUE"""),"")</f>
        <v/>
      </c>
      <c r="G21" s="4" t="str">
        <f>IFERROR(__xludf.DUMMYFUNCTION("""COMPUTED_VALUE"""),"#VALUE!")</f>
        <v>#VALUE!</v>
      </c>
      <c r="H21" s="4" t="str">
        <f>IFERROR(__xludf.DUMMYFUNCTION("""COMPUTED_VALUE"""),"")</f>
        <v/>
      </c>
    </row>
    <row r="22">
      <c r="E22" s="4" t="str">
        <f>IFERROR(__xludf.DUMMYFUNCTION("""COMPUTED_VALUE"""),"#VALUE!")</f>
        <v>#VALUE!</v>
      </c>
      <c r="F22" s="4" t="str">
        <f>IFERROR(__xludf.DUMMYFUNCTION("""COMPUTED_VALUE"""),"")</f>
        <v/>
      </c>
      <c r="G22" s="4" t="str">
        <f>IFERROR(__xludf.DUMMYFUNCTION("""COMPUTED_VALUE"""),"#VALUE!")</f>
        <v>#VALUE!</v>
      </c>
      <c r="H22" s="4" t="str">
        <f>IFERROR(__xludf.DUMMYFUNCTION("""COMPUTED_VALUE"""),"")</f>
        <v/>
      </c>
    </row>
    <row r="23">
      <c r="E23" s="4" t="str">
        <f>IFERROR(__xludf.DUMMYFUNCTION("""COMPUTED_VALUE"""),"#VALUE!")</f>
        <v>#VALUE!</v>
      </c>
      <c r="F23" s="4" t="str">
        <f>IFERROR(__xludf.DUMMYFUNCTION("""COMPUTED_VALUE"""),"")</f>
        <v/>
      </c>
      <c r="G23" s="4" t="str">
        <f>IFERROR(__xludf.DUMMYFUNCTION("""COMPUTED_VALUE"""),"#VALUE!")</f>
        <v>#VALUE!</v>
      </c>
      <c r="H23" s="4" t="str">
        <f>IFERROR(__xludf.DUMMYFUNCTION("""COMPUTED_VALUE"""),"")</f>
        <v/>
      </c>
    </row>
    <row r="24">
      <c r="E24" s="4" t="str">
        <f>IFERROR(__xludf.DUMMYFUNCTION("""COMPUTED_VALUE"""),"#VALUE!")</f>
        <v>#VALUE!</v>
      </c>
      <c r="F24" s="4" t="str">
        <f>IFERROR(__xludf.DUMMYFUNCTION("""COMPUTED_VALUE"""),"")</f>
        <v/>
      </c>
      <c r="G24" s="4" t="str">
        <f>IFERROR(__xludf.DUMMYFUNCTION("""COMPUTED_VALUE"""),"#VALUE!")</f>
        <v>#VALUE!</v>
      </c>
      <c r="H24" s="4" t="str">
        <f>IFERROR(__xludf.DUMMYFUNCTION("""COMPUTED_VALUE"""),"")</f>
        <v/>
      </c>
    </row>
    <row r="25">
      <c r="E25" s="4" t="str">
        <f>IFERROR(__xludf.DUMMYFUNCTION("""COMPUTED_VALUE"""),"#VALUE!")</f>
        <v>#VALUE!</v>
      </c>
      <c r="F25" s="4" t="str">
        <f>IFERROR(__xludf.DUMMYFUNCTION("""COMPUTED_VALUE"""),"")</f>
        <v/>
      </c>
      <c r="G25" s="4" t="str">
        <f>IFERROR(__xludf.DUMMYFUNCTION("""COMPUTED_VALUE"""),"#VALUE!")</f>
        <v>#VALUE!</v>
      </c>
      <c r="H25" s="4" t="str">
        <f>IFERROR(__xludf.DUMMYFUNCTION("""COMPUTED_VALUE"""),"")</f>
        <v/>
      </c>
    </row>
    <row r="26">
      <c r="E26" s="4" t="str">
        <f>IFERROR(__xludf.DUMMYFUNCTION("""COMPUTED_VALUE"""),"#VALUE!")</f>
        <v>#VALUE!</v>
      </c>
      <c r="F26" s="4" t="str">
        <f>IFERROR(__xludf.DUMMYFUNCTION("""COMPUTED_VALUE"""),"")</f>
        <v/>
      </c>
      <c r="G26" s="4" t="str">
        <f>IFERROR(__xludf.DUMMYFUNCTION("""COMPUTED_VALUE"""),"#VALUE!")</f>
        <v>#VALUE!</v>
      </c>
      <c r="H26" s="4" t="str">
        <f>IFERROR(__xludf.DUMMYFUNCTION("""COMPUTED_VALUE"""),"")</f>
        <v/>
      </c>
    </row>
    <row r="27">
      <c r="E27" s="4" t="str">
        <f>IFERROR(__xludf.DUMMYFUNCTION("""COMPUTED_VALUE"""),"#VALUE!")</f>
        <v>#VALUE!</v>
      </c>
      <c r="F27" s="4" t="str">
        <f>IFERROR(__xludf.DUMMYFUNCTION("""COMPUTED_VALUE"""),"")</f>
        <v/>
      </c>
      <c r="G27" s="4" t="str">
        <f>IFERROR(__xludf.DUMMYFUNCTION("""COMPUTED_VALUE"""),"#VALUE!")</f>
        <v>#VALUE!</v>
      </c>
      <c r="H27" s="4" t="str">
        <f>IFERROR(__xludf.DUMMYFUNCTION("""COMPUTED_VALUE"""),"")</f>
        <v/>
      </c>
    </row>
    <row r="28">
      <c r="E28" s="4" t="str">
        <f>IFERROR(__xludf.DUMMYFUNCTION("""COMPUTED_VALUE"""),"#VALUE!")</f>
        <v>#VALUE!</v>
      </c>
      <c r="F28" s="4" t="str">
        <f>IFERROR(__xludf.DUMMYFUNCTION("""COMPUTED_VALUE"""),"")</f>
        <v/>
      </c>
      <c r="G28" s="4" t="str">
        <f>IFERROR(__xludf.DUMMYFUNCTION("""COMPUTED_VALUE"""),"#VALUE!")</f>
        <v>#VALUE!</v>
      </c>
      <c r="H28" s="4" t="str">
        <f>IFERROR(__xludf.DUMMYFUNCTION("""COMPUTED_VALUE"""),"")</f>
        <v/>
      </c>
    </row>
    <row r="29">
      <c r="E29" s="4" t="str">
        <f>IFERROR(__xludf.DUMMYFUNCTION("""COMPUTED_VALUE"""),"#VALUE!")</f>
        <v>#VALUE!</v>
      </c>
      <c r="F29" s="4" t="str">
        <f>IFERROR(__xludf.DUMMYFUNCTION("""COMPUTED_VALUE"""),"")</f>
        <v/>
      </c>
      <c r="G29" s="4" t="str">
        <f>IFERROR(__xludf.DUMMYFUNCTION("""COMPUTED_VALUE"""),"#VALUE!")</f>
        <v>#VALUE!</v>
      </c>
      <c r="H29" s="4" t="str">
        <f>IFERROR(__xludf.DUMMYFUNCTION("""COMPUTED_VALUE"""),"")</f>
        <v/>
      </c>
    </row>
    <row r="30">
      <c r="E30" s="4" t="str">
        <f>IFERROR(__xludf.DUMMYFUNCTION("""COMPUTED_VALUE"""),"#VALUE!")</f>
        <v>#VALUE!</v>
      </c>
      <c r="F30" s="4" t="str">
        <f>IFERROR(__xludf.DUMMYFUNCTION("""COMPUTED_VALUE"""),"")</f>
        <v/>
      </c>
      <c r="G30" s="4" t="str">
        <f>IFERROR(__xludf.DUMMYFUNCTION("""COMPUTED_VALUE"""),"#VALUE!")</f>
        <v>#VALUE!</v>
      </c>
      <c r="H30" s="4" t="str">
        <f>IFERROR(__xludf.DUMMYFUNCTION("""COMPUTED_VALUE"""),"")</f>
        <v/>
      </c>
    </row>
    <row r="31">
      <c r="E31" s="4" t="str">
        <f>IFERROR(__xludf.DUMMYFUNCTION("""COMPUTED_VALUE"""),"#VALUE!")</f>
        <v>#VALUE!</v>
      </c>
      <c r="F31" s="4" t="str">
        <f>IFERROR(__xludf.DUMMYFUNCTION("""COMPUTED_VALUE"""),"")</f>
        <v/>
      </c>
      <c r="G31" s="4" t="str">
        <f>IFERROR(__xludf.DUMMYFUNCTION("""COMPUTED_VALUE"""),"#VALUE!")</f>
        <v>#VALUE!</v>
      </c>
      <c r="H31" s="4" t="str">
        <f>IFERROR(__xludf.DUMMYFUNCTION("""COMPUTED_VALUE"""),"")</f>
        <v/>
      </c>
    </row>
    <row r="32">
      <c r="E32" s="4" t="str">
        <f>IFERROR(__xludf.DUMMYFUNCTION("""COMPUTED_VALUE"""),"#VALUE!")</f>
        <v>#VALUE!</v>
      </c>
      <c r="F32" s="4" t="str">
        <f>IFERROR(__xludf.DUMMYFUNCTION("""COMPUTED_VALUE"""),"")</f>
        <v/>
      </c>
      <c r="G32" s="4" t="str">
        <f>IFERROR(__xludf.DUMMYFUNCTION("""COMPUTED_VALUE"""),"#VALUE!")</f>
        <v>#VALUE!</v>
      </c>
      <c r="H32" s="4" t="str">
        <f>IFERROR(__xludf.DUMMYFUNCTION("""COMPUTED_VALUE"""),"")</f>
        <v/>
      </c>
    </row>
    <row r="33">
      <c r="E33" s="4" t="str">
        <f>IFERROR(__xludf.DUMMYFUNCTION("""COMPUTED_VALUE"""),"#VALUE!")</f>
        <v>#VALUE!</v>
      </c>
      <c r="F33" s="4" t="str">
        <f>IFERROR(__xludf.DUMMYFUNCTION("""COMPUTED_VALUE"""),"")</f>
        <v/>
      </c>
      <c r="G33" s="4" t="str">
        <f>IFERROR(__xludf.DUMMYFUNCTION("""COMPUTED_VALUE"""),"#VALUE!")</f>
        <v>#VALUE!</v>
      </c>
      <c r="H33" s="4" t="str">
        <f>IFERROR(__xludf.DUMMYFUNCTION("""COMPUTED_VALUE"""),"")</f>
        <v/>
      </c>
    </row>
    <row r="34">
      <c r="E34" s="4" t="str">
        <f>IFERROR(__xludf.DUMMYFUNCTION("""COMPUTED_VALUE"""),"#VALUE!")</f>
        <v>#VALUE!</v>
      </c>
      <c r="F34" s="4" t="str">
        <f>IFERROR(__xludf.DUMMYFUNCTION("""COMPUTED_VALUE"""),"")</f>
        <v/>
      </c>
      <c r="G34" s="4" t="str">
        <f>IFERROR(__xludf.DUMMYFUNCTION("""COMPUTED_VALUE"""),"#VALUE!")</f>
        <v>#VALUE!</v>
      </c>
      <c r="H34" s="4" t="str">
        <f>IFERROR(__xludf.DUMMYFUNCTION("""COMPUTED_VALUE"""),"")</f>
        <v/>
      </c>
    </row>
    <row r="35">
      <c r="E35" s="4" t="str">
        <f>IFERROR(__xludf.DUMMYFUNCTION("""COMPUTED_VALUE"""),"#VALUE!")</f>
        <v>#VALUE!</v>
      </c>
      <c r="F35" s="4" t="str">
        <f>IFERROR(__xludf.DUMMYFUNCTION("""COMPUTED_VALUE"""),"")</f>
        <v/>
      </c>
      <c r="G35" s="4" t="str">
        <f>IFERROR(__xludf.DUMMYFUNCTION("""COMPUTED_VALUE"""),"#VALUE!")</f>
        <v>#VALUE!</v>
      </c>
      <c r="H35" s="4" t="str">
        <f>IFERROR(__xludf.DUMMYFUNCTION("""COMPUTED_VALUE"""),"")</f>
        <v/>
      </c>
    </row>
    <row r="36">
      <c r="E36" s="4" t="str">
        <f>IFERROR(__xludf.DUMMYFUNCTION("""COMPUTED_VALUE"""),"#VALUE!")</f>
        <v>#VALUE!</v>
      </c>
      <c r="F36" s="4" t="str">
        <f>IFERROR(__xludf.DUMMYFUNCTION("""COMPUTED_VALUE"""),"")</f>
        <v/>
      </c>
      <c r="G36" s="4" t="str">
        <f>IFERROR(__xludf.DUMMYFUNCTION("""COMPUTED_VALUE"""),"#VALUE!")</f>
        <v>#VALUE!</v>
      </c>
      <c r="H36" s="4" t="str">
        <f>IFERROR(__xludf.DUMMYFUNCTION("""COMPUTED_VALUE"""),"")</f>
        <v/>
      </c>
    </row>
    <row r="37">
      <c r="E37" s="4" t="str">
        <f>IFERROR(__xludf.DUMMYFUNCTION("""COMPUTED_VALUE"""),"#VALUE!")</f>
        <v>#VALUE!</v>
      </c>
      <c r="F37" s="4" t="str">
        <f>IFERROR(__xludf.DUMMYFUNCTION("""COMPUTED_VALUE"""),"")</f>
        <v/>
      </c>
      <c r="G37" s="4" t="str">
        <f>IFERROR(__xludf.DUMMYFUNCTION("""COMPUTED_VALUE"""),"#VALUE!")</f>
        <v>#VALUE!</v>
      </c>
      <c r="H37" s="4" t="str">
        <f>IFERROR(__xludf.DUMMYFUNCTION("""COMPUTED_VALUE"""),"")</f>
        <v/>
      </c>
    </row>
    <row r="38">
      <c r="E38" s="4" t="str">
        <f>IFERROR(__xludf.DUMMYFUNCTION("""COMPUTED_VALUE"""),"#VALUE!")</f>
        <v>#VALUE!</v>
      </c>
      <c r="F38" s="4" t="str">
        <f>IFERROR(__xludf.DUMMYFUNCTION("""COMPUTED_VALUE"""),"")</f>
        <v/>
      </c>
      <c r="G38" s="4" t="str">
        <f>IFERROR(__xludf.DUMMYFUNCTION("""COMPUTED_VALUE"""),"#VALUE!")</f>
        <v>#VALUE!</v>
      </c>
      <c r="H38" s="4" t="str">
        <f>IFERROR(__xludf.DUMMYFUNCTION("""COMPUTED_VALUE"""),"")</f>
        <v/>
      </c>
    </row>
    <row r="39">
      <c r="E39" s="4" t="str">
        <f>IFERROR(__xludf.DUMMYFUNCTION("""COMPUTED_VALUE"""),"#VALUE!")</f>
        <v>#VALUE!</v>
      </c>
      <c r="F39" s="4" t="str">
        <f>IFERROR(__xludf.DUMMYFUNCTION("""COMPUTED_VALUE"""),"")</f>
        <v/>
      </c>
      <c r="G39" s="4" t="str">
        <f>IFERROR(__xludf.DUMMYFUNCTION("""COMPUTED_VALUE"""),"#VALUE!")</f>
        <v>#VALUE!</v>
      </c>
      <c r="H39" s="4" t="str">
        <f>IFERROR(__xludf.DUMMYFUNCTION("""COMPUTED_VALUE"""),"")</f>
        <v/>
      </c>
    </row>
    <row r="40">
      <c r="E40" s="4" t="str">
        <f>IFERROR(__xludf.DUMMYFUNCTION("""COMPUTED_VALUE"""),"#VALUE!")</f>
        <v>#VALUE!</v>
      </c>
      <c r="F40" s="4" t="str">
        <f>IFERROR(__xludf.DUMMYFUNCTION("""COMPUTED_VALUE"""),"")</f>
        <v/>
      </c>
      <c r="G40" s="4" t="str">
        <f>IFERROR(__xludf.DUMMYFUNCTION("""COMPUTED_VALUE"""),"#VALUE!")</f>
        <v>#VALUE!</v>
      </c>
      <c r="H40" s="4" t="str">
        <f>IFERROR(__xludf.DUMMYFUNCTION("""COMPUTED_VALUE"""),"")</f>
        <v/>
      </c>
    </row>
    <row r="41">
      <c r="E41" s="4" t="str">
        <f>IFERROR(__xludf.DUMMYFUNCTION("""COMPUTED_VALUE"""),"#VALUE!")</f>
        <v>#VALUE!</v>
      </c>
      <c r="F41" s="4" t="str">
        <f>IFERROR(__xludf.DUMMYFUNCTION("""COMPUTED_VALUE"""),"")</f>
        <v/>
      </c>
      <c r="G41" s="4" t="str">
        <f>IFERROR(__xludf.DUMMYFUNCTION("""COMPUTED_VALUE"""),"#VALUE!")</f>
        <v>#VALUE!</v>
      </c>
      <c r="H41" s="4" t="str">
        <f>IFERROR(__xludf.DUMMYFUNCTION("""COMPUTED_VALUE"""),"")</f>
        <v/>
      </c>
    </row>
    <row r="42">
      <c r="E42" s="4" t="str">
        <f>IFERROR(__xludf.DUMMYFUNCTION("""COMPUTED_VALUE"""),"#VALUE!")</f>
        <v>#VALUE!</v>
      </c>
      <c r="F42" s="4" t="str">
        <f>IFERROR(__xludf.DUMMYFUNCTION("""COMPUTED_VALUE"""),"")</f>
        <v/>
      </c>
      <c r="G42" s="4" t="str">
        <f>IFERROR(__xludf.DUMMYFUNCTION("""COMPUTED_VALUE"""),"#VALUE!")</f>
        <v>#VALUE!</v>
      </c>
      <c r="H42" s="4" t="str">
        <f>IFERROR(__xludf.DUMMYFUNCTION("""COMPUTED_VALUE"""),"")</f>
        <v/>
      </c>
    </row>
    <row r="43">
      <c r="E43" s="4" t="str">
        <f>IFERROR(__xludf.DUMMYFUNCTION("""COMPUTED_VALUE"""),"#VALUE!")</f>
        <v>#VALUE!</v>
      </c>
      <c r="F43" s="4" t="str">
        <f>IFERROR(__xludf.DUMMYFUNCTION("""COMPUTED_VALUE"""),"")</f>
        <v/>
      </c>
      <c r="G43" s="4" t="str">
        <f>IFERROR(__xludf.DUMMYFUNCTION("""COMPUTED_VALUE"""),"#VALUE!")</f>
        <v>#VALUE!</v>
      </c>
      <c r="H43" s="4" t="str">
        <f>IFERROR(__xludf.DUMMYFUNCTION("""COMPUTED_VALUE"""),"")</f>
        <v/>
      </c>
    </row>
    <row r="44">
      <c r="E44" s="4" t="str">
        <f>IFERROR(__xludf.DUMMYFUNCTION("""COMPUTED_VALUE"""),"#VALUE!")</f>
        <v>#VALUE!</v>
      </c>
      <c r="F44" s="4" t="str">
        <f>IFERROR(__xludf.DUMMYFUNCTION("""COMPUTED_VALUE"""),"")</f>
        <v/>
      </c>
      <c r="G44" s="4" t="str">
        <f>IFERROR(__xludf.DUMMYFUNCTION("""COMPUTED_VALUE"""),"#VALUE!")</f>
        <v>#VALUE!</v>
      </c>
      <c r="H44" s="4" t="str">
        <f>IFERROR(__xludf.DUMMYFUNCTION("""COMPUTED_VALUE"""),"")</f>
        <v/>
      </c>
    </row>
    <row r="45">
      <c r="E45" s="4" t="str">
        <f>IFERROR(__xludf.DUMMYFUNCTION("""COMPUTED_VALUE"""),"#VALUE!")</f>
        <v>#VALUE!</v>
      </c>
      <c r="F45" s="4" t="str">
        <f>IFERROR(__xludf.DUMMYFUNCTION("""COMPUTED_VALUE"""),"")</f>
        <v/>
      </c>
      <c r="G45" s="4" t="str">
        <f>IFERROR(__xludf.DUMMYFUNCTION("""COMPUTED_VALUE"""),"#VALUE!")</f>
        <v>#VALUE!</v>
      </c>
      <c r="H45" s="4" t="str">
        <f>IFERROR(__xludf.DUMMYFUNCTION("""COMPUTED_VALUE"""),"")</f>
        <v/>
      </c>
    </row>
    <row r="46">
      <c r="E46" s="4" t="str">
        <f>IFERROR(__xludf.DUMMYFUNCTION("""COMPUTED_VALUE"""),"#VALUE!")</f>
        <v>#VALUE!</v>
      </c>
      <c r="F46" s="4" t="str">
        <f>IFERROR(__xludf.DUMMYFUNCTION("""COMPUTED_VALUE"""),"")</f>
        <v/>
      </c>
      <c r="G46" s="4" t="str">
        <f>IFERROR(__xludf.DUMMYFUNCTION("""COMPUTED_VALUE"""),"#VALUE!")</f>
        <v>#VALUE!</v>
      </c>
      <c r="H46" s="4" t="str">
        <f>IFERROR(__xludf.DUMMYFUNCTION("""COMPUTED_VALUE"""),"")</f>
        <v/>
      </c>
    </row>
    <row r="47">
      <c r="E47" s="4" t="str">
        <f>IFERROR(__xludf.DUMMYFUNCTION("""COMPUTED_VALUE"""),"#VALUE!")</f>
        <v>#VALUE!</v>
      </c>
      <c r="F47" s="4" t="str">
        <f>IFERROR(__xludf.DUMMYFUNCTION("""COMPUTED_VALUE"""),"")</f>
        <v/>
      </c>
      <c r="G47" s="4" t="str">
        <f>IFERROR(__xludf.DUMMYFUNCTION("""COMPUTED_VALUE"""),"#VALUE!")</f>
        <v>#VALUE!</v>
      </c>
      <c r="H47" s="4" t="str">
        <f>IFERROR(__xludf.DUMMYFUNCTION("""COMPUTED_VALUE"""),"")</f>
        <v/>
      </c>
    </row>
    <row r="48">
      <c r="E48" s="4" t="str">
        <f>IFERROR(__xludf.DUMMYFUNCTION("""COMPUTED_VALUE"""),"#VALUE!")</f>
        <v>#VALUE!</v>
      </c>
      <c r="F48" s="4" t="str">
        <f>IFERROR(__xludf.DUMMYFUNCTION("""COMPUTED_VALUE"""),"")</f>
        <v/>
      </c>
      <c r="G48" s="4" t="str">
        <f>IFERROR(__xludf.DUMMYFUNCTION("""COMPUTED_VALUE"""),"#VALUE!")</f>
        <v>#VALUE!</v>
      </c>
      <c r="H48" s="4" t="str">
        <f>IFERROR(__xludf.DUMMYFUNCTION("""COMPUTED_VALUE"""),"")</f>
        <v/>
      </c>
    </row>
    <row r="49">
      <c r="E49" s="4" t="str">
        <f>IFERROR(__xludf.DUMMYFUNCTION("""COMPUTED_VALUE"""),"#VALUE!")</f>
        <v>#VALUE!</v>
      </c>
      <c r="F49" s="4" t="str">
        <f>IFERROR(__xludf.DUMMYFUNCTION("""COMPUTED_VALUE"""),"")</f>
        <v/>
      </c>
      <c r="G49" s="4" t="str">
        <f>IFERROR(__xludf.DUMMYFUNCTION("""COMPUTED_VALUE"""),"#VALUE!")</f>
        <v>#VALUE!</v>
      </c>
      <c r="H49" s="4" t="str">
        <f>IFERROR(__xludf.DUMMYFUNCTION("""COMPUTED_VALUE"""),"")</f>
        <v/>
      </c>
    </row>
    <row r="50">
      <c r="E50" s="4" t="str">
        <f>IFERROR(__xludf.DUMMYFUNCTION("""COMPUTED_VALUE"""),"#VALUE!")</f>
        <v>#VALUE!</v>
      </c>
      <c r="F50" s="4" t="str">
        <f>IFERROR(__xludf.DUMMYFUNCTION("""COMPUTED_VALUE"""),"")</f>
        <v/>
      </c>
      <c r="G50" s="4" t="str">
        <f>IFERROR(__xludf.DUMMYFUNCTION("""COMPUTED_VALUE"""),"#VALUE!")</f>
        <v>#VALUE!</v>
      </c>
      <c r="H50" s="4" t="str">
        <f>IFERROR(__xludf.DUMMYFUNCTION("""COMPUTED_VALUE"""),"")</f>
        <v/>
      </c>
    </row>
    <row r="51">
      <c r="E51" s="4" t="str">
        <f>IFERROR(__xludf.DUMMYFUNCTION("""COMPUTED_VALUE"""),"#VALUE!")</f>
        <v>#VALUE!</v>
      </c>
      <c r="F51" s="4" t="str">
        <f>IFERROR(__xludf.DUMMYFUNCTION("""COMPUTED_VALUE"""),"")</f>
        <v/>
      </c>
      <c r="G51" s="4" t="str">
        <f>IFERROR(__xludf.DUMMYFUNCTION("""COMPUTED_VALUE"""),"#VALUE!")</f>
        <v>#VALUE!</v>
      </c>
      <c r="H51" s="4" t="str">
        <f>IFERROR(__xludf.DUMMYFUNCTION("""COMPUTED_VALUE"""),"")</f>
        <v/>
      </c>
    </row>
    <row r="52">
      <c r="E52" s="4" t="str">
        <f>IFERROR(__xludf.DUMMYFUNCTION("""COMPUTED_VALUE"""),"#VALUE!")</f>
        <v>#VALUE!</v>
      </c>
      <c r="F52" s="4" t="str">
        <f>IFERROR(__xludf.DUMMYFUNCTION("""COMPUTED_VALUE"""),"")</f>
        <v/>
      </c>
      <c r="G52" s="4" t="str">
        <f>IFERROR(__xludf.DUMMYFUNCTION("""COMPUTED_VALUE"""),"#VALUE!")</f>
        <v>#VALUE!</v>
      </c>
      <c r="H52" s="4" t="str">
        <f>IFERROR(__xludf.DUMMYFUNCTION("""COMPUTED_VALUE"""),"")</f>
        <v/>
      </c>
    </row>
    <row r="53">
      <c r="E53" s="4" t="str">
        <f>IFERROR(__xludf.DUMMYFUNCTION("""COMPUTED_VALUE"""),"#VALUE!")</f>
        <v>#VALUE!</v>
      </c>
      <c r="F53" s="4" t="str">
        <f>IFERROR(__xludf.DUMMYFUNCTION("""COMPUTED_VALUE"""),"")</f>
        <v/>
      </c>
      <c r="G53" s="4" t="str">
        <f>IFERROR(__xludf.DUMMYFUNCTION("""COMPUTED_VALUE"""),"#VALUE!")</f>
        <v>#VALUE!</v>
      </c>
      <c r="H53" s="4" t="str">
        <f>IFERROR(__xludf.DUMMYFUNCTION("""COMPUTED_VALUE"""),"")</f>
        <v/>
      </c>
    </row>
    <row r="54">
      <c r="E54" s="4" t="str">
        <f>IFERROR(__xludf.DUMMYFUNCTION("""COMPUTED_VALUE"""),"#VALUE!")</f>
        <v>#VALUE!</v>
      </c>
      <c r="F54" s="4" t="str">
        <f>IFERROR(__xludf.DUMMYFUNCTION("""COMPUTED_VALUE"""),"")</f>
        <v/>
      </c>
      <c r="G54" s="4" t="str">
        <f>IFERROR(__xludf.DUMMYFUNCTION("""COMPUTED_VALUE"""),"#VALUE!")</f>
        <v>#VALUE!</v>
      </c>
      <c r="H54" s="4" t="str">
        <f>IFERROR(__xludf.DUMMYFUNCTION("""COMPUTED_VALUE"""),"")</f>
        <v/>
      </c>
    </row>
    <row r="55">
      <c r="E55" s="4" t="str">
        <f>IFERROR(__xludf.DUMMYFUNCTION("""COMPUTED_VALUE"""),"#VALUE!")</f>
        <v>#VALUE!</v>
      </c>
      <c r="F55" s="4" t="str">
        <f>IFERROR(__xludf.DUMMYFUNCTION("""COMPUTED_VALUE"""),"")</f>
        <v/>
      </c>
      <c r="G55" s="4" t="str">
        <f>IFERROR(__xludf.DUMMYFUNCTION("""COMPUTED_VALUE"""),"#VALUE!")</f>
        <v>#VALUE!</v>
      </c>
      <c r="H55" s="4" t="str">
        <f>IFERROR(__xludf.DUMMYFUNCTION("""COMPUTED_VALUE"""),"")</f>
        <v/>
      </c>
    </row>
    <row r="56">
      <c r="E56" s="4" t="str">
        <f>IFERROR(__xludf.DUMMYFUNCTION("""COMPUTED_VALUE"""),"#VALUE!")</f>
        <v>#VALUE!</v>
      </c>
      <c r="F56" s="4" t="str">
        <f>IFERROR(__xludf.DUMMYFUNCTION("""COMPUTED_VALUE"""),"")</f>
        <v/>
      </c>
      <c r="G56" s="4" t="str">
        <f>IFERROR(__xludf.DUMMYFUNCTION("""COMPUTED_VALUE"""),"#VALUE!")</f>
        <v>#VALUE!</v>
      </c>
      <c r="H56" s="4" t="str">
        <f>IFERROR(__xludf.DUMMYFUNCTION("""COMPUTED_VALUE"""),"")</f>
        <v/>
      </c>
    </row>
    <row r="57">
      <c r="E57" s="4" t="str">
        <f>IFERROR(__xludf.DUMMYFUNCTION("""COMPUTED_VALUE"""),"#VALUE!")</f>
        <v>#VALUE!</v>
      </c>
      <c r="F57" s="4" t="str">
        <f>IFERROR(__xludf.DUMMYFUNCTION("""COMPUTED_VALUE"""),"")</f>
        <v/>
      </c>
      <c r="G57" s="4" t="str">
        <f>IFERROR(__xludf.DUMMYFUNCTION("""COMPUTED_VALUE"""),"#VALUE!")</f>
        <v>#VALUE!</v>
      </c>
      <c r="H57" s="4" t="str">
        <f>IFERROR(__xludf.DUMMYFUNCTION("""COMPUTED_VALUE"""),"")</f>
        <v/>
      </c>
    </row>
    <row r="58">
      <c r="E58" s="4" t="str">
        <f>IFERROR(__xludf.DUMMYFUNCTION("""COMPUTED_VALUE"""),"#VALUE!")</f>
        <v>#VALUE!</v>
      </c>
      <c r="F58" s="4" t="str">
        <f>IFERROR(__xludf.DUMMYFUNCTION("""COMPUTED_VALUE"""),"")</f>
        <v/>
      </c>
      <c r="G58" s="4" t="str">
        <f>IFERROR(__xludf.DUMMYFUNCTION("""COMPUTED_VALUE"""),"#VALUE!")</f>
        <v>#VALUE!</v>
      </c>
      <c r="H58" s="4" t="str">
        <f>IFERROR(__xludf.DUMMYFUNCTION("""COMPUTED_VALUE"""),"")</f>
        <v/>
      </c>
    </row>
    <row r="59">
      <c r="E59" s="4" t="str">
        <f>IFERROR(__xludf.DUMMYFUNCTION("""COMPUTED_VALUE"""),"#VALUE!")</f>
        <v>#VALUE!</v>
      </c>
      <c r="F59" s="4" t="str">
        <f>IFERROR(__xludf.DUMMYFUNCTION("""COMPUTED_VALUE"""),"")</f>
        <v/>
      </c>
      <c r="G59" s="4" t="str">
        <f>IFERROR(__xludf.DUMMYFUNCTION("""COMPUTED_VALUE"""),"#VALUE!")</f>
        <v>#VALUE!</v>
      </c>
      <c r="H59" s="4" t="str">
        <f>IFERROR(__xludf.DUMMYFUNCTION("""COMPUTED_VALUE"""),"")</f>
        <v/>
      </c>
    </row>
    <row r="60">
      <c r="E60" s="4" t="str">
        <f>IFERROR(__xludf.DUMMYFUNCTION("""COMPUTED_VALUE"""),"#VALUE!")</f>
        <v>#VALUE!</v>
      </c>
      <c r="F60" s="4" t="str">
        <f>IFERROR(__xludf.DUMMYFUNCTION("""COMPUTED_VALUE"""),"")</f>
        <v/>
      </c>
      <c r="G60" s="4" t="str">
        <f>IFERROR(__xludf.DUMMYFUNCTION("""COMPUTED_VALUE"""),"#VALUE!")</f>
        <v>#VALUE!</v>
      </c>
      <c r="H60" s="4" t="str">
        <f>IFERROR(__xludf.DUMMYFUNCTION("""COMPUTED_VALUE"""),"")</f>
        <v/>
      </c>
    </row>
    <row r="61">
      <c r="E61" s="4" t="str">
        <f>IFERROR(__xludf.DUMMYFUNCTION("""COMPUTED_VALUE"""),"#VALUE!")</f>
        <v>#VALUE!</v>
      </c>
      <c r="F61" s="4" t="str">
        <f>IFERROR(__xludf.DUMMYFUNCTION("""COMPUTED_VALUE"""),"")</f>
        <v/>
      </c>
      <c r="G61" s="4" t="str">
        <f>IFERROR(__xludf.DUMMYFUNCTION("""COMPUTED_VALUE"""),"#VALUE!")</f>
        <v>#VALUE!</v>
      </c>
      <c r="H61" s="4" t="str">
        <f>IFERROR(__xludf.DUMMYFUNCTION("""COMPUTED_VALUE"""),"")</f>
        <v/>
      </c>
    </row>
    <row r="62">
      <c r="E62" s="4" t="str">
        <f>IFERROR(__xludf.DUMMYFUNCTION("""COMPUTED_VALUE"""),"#VALUE!")</f>
        <v>#VALUE!</v>
      </c>
      <c r="F62" s="4" t="str">
        <f>IFERROR(__xludf.DUMMYFUNCTION("""COMPUTED_VALUE"""),"")</f>
        <v/>
      </c>
      <c r="G62" s="4" t="str">
        <f>IFERROR(__xludf.DUMMYFUNCTION("""COMPUTED_VALUE"""),"#VALUE!")</f>
        <v>#VALUE!</v>
      </c>
      <c r="H62" s="4" t="str">
        <f>IFERROR(__xludf.DUMMYFUNCTION("""COMPUTED_VALUE"""),"")</f>
        <v/>
      </c>
    </row>
    <row r="63">
      <c r="E63" s="4" t="str">
        <f>IFERROR(__xludf.DUMMYFUNCTION("""COMPUTED_VALUE"""),"#VALUE!")</f>
        <v>#VALUE!</v>
      </c>
      <c r="F63" s="4" t="str">
        <f>IFERROR(__xludf.DUMMYFUNCTION("""COMPUTED_VALUE"""),"")</f>
        <v/>
      </c>
      <c r="G63" s="4" t="str">
        <f>IFERROR(__xludf.DUMMYFUNCTION("""COMPUTED_VALUE"""),"#VALUE!")</f>
        <v>#VALUE!</v>
      </c>
      <c r="H63" s="4" t="str">
        <f>IFERROR(__xludf.DUMMYFUNCTION("""COMPUTED_VALUE"""),"")</f>
        <v/>
      </c>
    </row>
    <row r="64">
      <c r="E64" s="4" t="str">
        <f>IFERROR(__xludf.DUMMYFUNCTION("""COMPUTED_VALUE"""),"#VALUE!")</f>
        <v>#VALUE!</v>
      </c>
      <c r="F64" s="4" t="str">
        <f>IFERROR(__xludf.DUMMYFUNCTION("""COMPUTED_VALUE"""),"")</f>
        <v/>
      </c>
      <c r="G64" s="4" t="str">
        <f>IFERROR(__xludf.DUMMYFUNCTION("""COMPUTED_VALUE"""),"#VALUE!")</f>
        <v>#VALUE!</v>
      </c>
      <c r="H64" s="4" t="str">
        <f>IFERROR(__xludf.DUMMYFUNCTION("""COMPUTED_VALUE"""),"")</f>
        <v/>
      </c>
    </row>
    <row r="65">
      <c r="E65" s="4" t="str">
        <f>IFERROR(__xludf.DUMMYFUNCTION("""COMPUTED_VALUE"""),"#VALUE!")</f>
        <v>#VALUE!</v>
      </c>
      <c r="F65" s="4" t="str">
        <f>IFERROR(__xludf.DUMMYFUNCTION("""COMPUTED_VALUE"""),"")</f>
        <v/>
      </c>
      <c r="G65" s="4" t="str">
        <f>IFERROR(__xludf.DUMMYFUNCTION("""COMPUTED_VALUE"""),"#VALUE!")</f>
        <v>#VALUE!</v>
      </c>
      <c r="H65" s="4" t="str">
        <f>IFERROR(__xludf.DUMMYFUNCTION("""COMPUTED_VALUE"""),"")</f>
        <v/>
      </c>
    </row>
    <row r="66">
      <c r="E66" s="4" t="str">
        <f>IFERROR(__xludf.DUMMYFUNCTION("""COMPUTED_VALUE"""),"#VALUE!")</f>
        <v>#VALUE!</v>
      </c>
      <c r="F66" s="4" t="str">
        <f>IFERROR(__xludf.DUMMYFUNCTION("""COMPUTED_VALUE"""),"")</f>
        <v/>
      </c>
      <c r="G66" s="4" t="str">
        <f>IFERROR(__xludf.DUMMYFUNCTION("""COMPUTED_VALUE"""),"#VALUE!")</f>
        <v>#VALUE!</v>
      </c>
      <c r="H66" s="4" t="str">
        <f>IFERROR(__xludf.DUMMYFUNCTION("""COMPUTED_VALUE"""),"")</f>
        <v/>
      </c>
    </row>
    <row r="67">
      <c r="E67" s="4" t="str">
        <f>IFERROR(__xludf.DUMMYFUNCTION("""COMPUTED_VALUE"""),"#VALUE!")</f>
        <v>#VALUE!</v>
      </c>
      <c r="F67" s="4" t="str">
        <f>IFERROR(__xludf.DUMMYFUNCTION("""COMPUTED_VALUE"""),"")</f>
        <v/>
      </c>
      <c r="G67" s="4" t="str">
        <f>IFERROR(__xludf.DUMMYFUNCTION("""COMPUTED_VALUE"""),"#VALUE!")</f>
        <v>#VALUE!</v>
      </c>
      <c r="H67" s="4" t="str">
        <f>IFERROR(__xludf.DUMMYFUNCTION("""COMPUTED_VALUE"""),"")</f>
        <v/>
      </c>
    </row>
    <row r="68">
      <c r="E68" s="4" t="str">
        <f>IFERROR(__xludf.DUMMYFUNCTION("""COMPUTED_VALUE"""),"#VALUE!")</f>
        <v>#VALUE!</v>
      </c>
      <c r="F68" s="4" t="str">
        <f>IFERROR(__xludf.DUMMYFUNCTION("""COMPUTED_VALUE"""),"")</f>
        <v/>
      </c>
      <c r="G68" s="4" t="str">
        <f>IFERROR(__xludf.DUMMYFUNCTION("""COMPUTED_VALUE"""),"#VALUE!")</f>
        <v>#VALUE!</v>
      </c>
      <c r="H68" s="4" t="str">
        <f>IFERROR(__xludf.DUMMYFUNCTION("""COMPUTED_VALUE"""),"")</f>
        <v/>
      </c>
    </row>
    <row r="69">
      <c r="E69" s="4" t="str">
        <f>IFERROR(__xludf.DUMMYFUNCTION("""COMPUTED_VALUE"""),"#VALUE!")</f>
        <v>#VALUE!</v>
      </c>
      <c r="F69" s="4" t="str">
        <f>IFERROR(__xludf.DUMMYFUNCTION("""COMPUTED_VALUE"""),"")</f>
        <v/>
      </c>
      <c r="G69" s="4" t="str">
        <f>IFERROR(__xludf.DUMMYFUNCTION("""COMPUTED_VALUE"""),"#VALUE!")</f>
        <v>#VALUE!</v>
      </c>
      <c r="H69" s="4" t="str">
        <f>IFERROR(__xludf.DUMMYFUNCTION("""COMPUTED_VALUE"""),"")</f>
        <v/>
      </c>
    </row>
    <row r="70">
      <c r="E70" s="4" t="str">
        <f>IFERROR(__xludf.DUMMYFUNCTION("""COMPUTED_VALUE"""),"#VALUE!")</f>
        <v>#VALUE!</v>
      </c>
      <c r="F70" s="4" t="str">
        <f>IFERROR(__xludf.DUMMYFUNCTION("""COMPUTED_VALUE"""),"")</f>
        <v/>
      </c>
      <c r="G70" s="4" t="str">
        <f>IFERROR(__xludf.DUMMYFUNCTION("""COMPUTED_VALUE"""),"#VALUE!")</f>
        <v>#VALUE!</v>
      </c>
      <c r="H70" s="4" t="str">
        <f>IFERROR(__xludf.DUMMYFUNCTION("""COMPUTED_VALUE"""),"")</f>
        <v/>
      </c>
    </row>
    <row r="71">
      <c r="E71" s="4" t="str">
        <f>IFERROR(__xludf.DUMMYFUNCTION("""COMPUTED_VALUE"""),"#VALUE!")</f>
        <v>#VALUE!</v>
      </c>
      <c r="F71" s="4" t="str">
        <f>IFERROR(__xludf.DUMMYFUNCTION("""COMPUTED_VALUE"""),"")</f>
        <v/>
      </c>
      <c r="G71" s="4" t="str">
        <f>IFERROR(__xludf.DUMMYFUNCTION("""COMPUTED_VALUE"""),"#VALUE!")</f>
        <v>#VALUE!</v>
      </c>
      <c r="H71" s="4" t="str">
        <f>IFERROR(__xludf.DUMMYFUNCTION("""COMPUTED_VALUE"""),"")</f>
        <v/>
      </c>
    </row>
    <row r="72">
      <c r="E72" s="4" t="str">
        <f>IFERROR(__xludf.DUMMYFUNCTION("""COMPUTED_VALUE"""),"#VALUE!")</f>
        <v>#VALUE!</v>
      </c>
      <c r="F72" s="4" t="str">
        <f>IFERROR(__xludf.DUMMYFUNCTION("""COMPUTED_VALUE"""),"")</f>
        <v/>
      </c>
      <c r="G72" s="4" t="str">
        <f>IFERROR(__xludf.DUMMYFUNCTION("""COMPUTED_VALUE"""),"#VALUE!")</f>
        <v>#VALUE!</v>
      </c>
      <c r="H72" s="4" t="str">
        <f>IFERROR(__xludf.DUMMYFUNCTION("""COMPUTED_VALUE"""),"")</f>
        <v/>
      </c>
    </row>
    <row r="73">
      <c r="E73" s="4" t="str">
        <f>IFERROR(__xludf.DUMMYFUNCTION("""COMPUTED_VALUE"""),"#VALUE!")</f>
        <v>#VALUE!</v>
      </c>
      <c r="F73" s="4" t="str">
        <f>IFERROR(__xludf.DUMMYFUNCTION("""COMPUTED_VALUE"""),"")</f>
        <v/>
      </c>
      <c r="G73" s="4" t="str">
        <f>IFERROR(__xludf.DUMMYFUNCTION("""COMPUTED_VALUE"""),"#VALUE!")</f>
        <v>#VALUE!</v>
      </c>
      <c r="H73" s="4" t="str">
        <f>IFERROR(__xludf.DUMMYFUNCTION("""COMPUTED_VALUE"""),"")</f>
        <v/>
      </c>
    </row>
    <row r="74">
      <c r="E74" s="4" t="str">
        <f>IFERROR(__xludf.DUMMYFUNCTION("""COMPUTED_VALUE"""),"#VALUE!")</f>
        <v>#VALUE!</v>
      </c>
      <c r="F74" s="4" t="str">
        <f>IFERROR(__xludf.DUMMYFUNCTION("""COMPUTED_VALUE"""),"")</f>
        <v/>
      </c>
      <c r="G74" s="4" t="str">
        <f>IFERROR(__xludf.DUMMYFUNCTION("""COMPUTED_VALUE"""),"#VALUE!")</f>
        <v>#VALUE!</v>
      </c>
      <c r="H74" s="4" t="str">
        <f>IFERROR(__xludf.DUMMYFUNCTION("""COMPUTED_VALUE"""),"")</f>
        <v/>
      </c>
    </row>
    <row r="75">
      <c r="E75" s="4" t="str">
        <f>IFERROR(__xludf.DUMMYFUNCTION("""COMPUTED_VALUE"""),"#VALUE!")</f>
        <v>#VALUE!</v>
      </c>
      <c r="F75" s="4" t="str">
        <f>IFERROR(__xludf.DUMMYFUNCTION("""COMPUTED_VALUE"""),"")</f>
        <v/>
      </c>
      <c r="G75" s="4" t="str">
        <f>IFERROR(__xludf.DUMMYFUNCTION("""COMPUTED_VALUE"""),"#VALUE!")</f>
        <v>#VALUE!</v>
      </c>
      <c r="H75" s="4" t="str">
        <f>IFERROR(__xludf.DUMMYFUNCTION("""COMPUTED_VALUE"""),"")</f>
        <v/>
      </c>
    </row>
    <row r="76">
      <c r="E76" s="4" t="str">
        <f>IFERROR(__xludf.DUMMYFUNCTION("""COMPUTED_VALUE"""),"#VALUE!")</f>
        <v>#VALUE!</v>
      </c>
      <c r="F76" s="4" t="str">
        <f>IFERROR(__xludf.DUMMYFUNCTION("""COMPUTED_VALUE"""),"")</f>
        <v/>
      </c>
      <c r="G76" s="4" t="str">
        <f>IFERROR(__xludf.DUMMYFUNCTION("""COMPUTED_VALUE"""),"#VALUE!")</f>
        <v>#VALUE!</v>
      </c>
      <c r="H76" s="4" t="str">
        <f>IFERROR(__xludf.DUMMYFUNCTION("""COMPUTED_VALUE"""),"")</f>
        <v/>
      </c>
    </row>
    <row r="77">
      <c r="E77" s="4" t="str">
        <f>IFERROR(__xludf.DUMMYFUNCTION("""COMPUTED_VALUE"""),"#VALUE!")</f>
        <v>#VALUE!</v>
      </c>
      <c r="F77" s="4" t="str">
        <f>IFERROR(__xludf.DUMMYFUNCTION("""COMPUTED_VALUE"""),"")</f>
        <v/>
      </c>
      <c r="G77" s="4" t="str">
        <f>IFERROR(__xludf.DUMMYFUNCTION("""COMPUTED_VALUE"""),"#VALUE!")</f>
        <v>#VALUE!</v>
      </c>
      <c r="H77" s="4" t="str">
        <f>IFERROR(__xludf.DUMMYFUNCTION("""COMPUTED_VALUE"""),"")</f>
        <v/>
      </c>
    </row>
    <row r="78">
      <c r="E78" s="4" t="str">
        <f>IFERROR(__xludf.DUMMYFUNCTION("""COMPUTED_VALUE"""),"#VALUE!")</f>
        <v>#VALUE!</v>
      </c>
      <c r="F78" s="4" t="str">
        <f>IFERROR(__xludf.DUMMYFUNCTION("""COMPUTED_VALUE"""),"")</f>
        <v/>
      </c>
      <c r="G78" s="4" t="str">
        <f>IFERROR(__xludf.DUMMYFUNCTION("""COMPUTED_VALUE"""),"#VALUE!")</f>
        <v>#VALUE!</v>
      </c>
      <c r="H78" s="4" t="str">
        <f>IFERROR(__xludf.DUMMYFUNCTION("""COMPUTED_VALUE"""),"")</f>
        <v/>
      </c>
    </row>
    <row r="79">
      <c r="E79" s="4" t="str">
        <f>IFERROR(__xludf.DUMMYFUNCTION("""COMPUTED_VALUE"""),"#VALUE!")</f>
        <v>#VALUE!</v>
      </c>
      <c r="F79" s="4" t="str">
        <f>IFERROR(__xludf.DUMMYFUNCTION("""COMPUTED_VALUE"""),"")</f>
        <v/>
      </c>
      <c r="G79" s="4" t="str">
        <f>IFERROR(__xludf.DUMMYFUNCTION("""COMPUTED_VALUE"""),"#VALUE!")</f>
        <v>#VALUE!</v>
      </c>
      <c r="H79" s="4" t="str">
        <f>IFERROR(__xludf.DUMMYFUNCTION("""COMPUTED_VALUE"""),"")</f>
        <v/>
      </c>
    </row>
    <row r="80">
      <c r="E80" s="4" t="str">
        <f>IFERROR(__xludf.DUMMYFUNCTION("""COMPUTED_VALUE"""),"#VALUE!")</f>
        <v>#VALUE!</v>
      </c>
      <c r="F80" s="4" t="str">
        <f>IFERROR(__xludf.DUMMYFUNCTION("""COMPUTED_VALUE"""),"")</f>
        <v/>
      </c>
      <c r="G80" s="4" t="str">
        <f>IFERROR(__xludf.DUMMYFUNCTION("""COMPUTED_VALUE"""),"#VALUE!")</f>
        <v>#VALUE!</v>
      </c>
      <c r="H80" s="4" t="str">
        <f>IFERROR(__xludf.DUMMYFUNCTION("""COMPUTED_VALUE"""),"")</f>
        <v/>
      </c>
    </row>
    <row r="81">
      <c r="E81" s="4" t="str">
        <f>IFERROR(__xludf.DUMMYFUNCTION("""COMPUTED_VALUE"""),"#VALUE!")</f>
        <v>#VALUE!</v>
      </c>
      <c r="F81" s="4" t="str">
        <f>IFERROR(__xludf.DUMMYFUNCTION("""COMPUTED_VALUE"""),"")</f>
        <v/>
      </c>
      <c r="G81" s="4" t="str">
        <f>IFERROR(__xludf.DUMMYFUNCTION("""COMPUTED_VALUE"""),"#VALUE!")</f>
        <v>#VALUE!</v>
      </c>
      <c r="H81" s="4" t="str">
        <f>IFERROR(__xludf.DUMMYFUNCTION("""COMPUTED_VALUE"""),"")</f>
        <v/>
      </c>
    </row>
    <row r="82">
      <c r="E82" s="4" t="str">
        <f>IFERROR(__xludf.DUMMYFUNCTION("""COMPUTED_VALUE"""),"#VALUE!")</f>
        <v>#VALUE!</v>
      </c>
      <c r="F82" s="4" t="str">
        <f>IFERROR(__xludf.DUMMYFUNCTION("""COMPUTED_VALUE"""),"")</f>
        <v/>
      </c>
      <c r="G82" s="4" t="str">
        <f>IFERROR(__xludf.DUMMYFUNCTION("""COMPUTED_VALUE"""),"#VALUE!")</f>
        <v>#VALUE!</v>
      </c>
      <c r="H82" s="4" t="str">
        <f>IFERROR(__xludf.DUMMYFUNCTION("""COMPUTED_VALUE"""),"")</f>
        <v/>
      </c>
    </row>
    <row r="83">
      <c r="E83" s="4" t="str">
        <f>IFERROR(__xludf.DUMMYFUNCTION("""COMPUTED_VALUE"""),"#VALUE!")</f>
        <v>#VALUE!</v>
      </c>
      <c r="F83" s="4" t="str">
        <f>IFERROR(__xludf.DUMMYFUNCTION("""COMPUTED_VALUE"""),"")</f>
        <v/>
      </c>
      <c r="G83" s="4" t="str">
        <f>IFERROR(__xludf.DUMMYFUNCTION("""COMPUTED_VALUE"""),"#VALUE!")</f>
        <v>#VALUE!</v>
      </c>
      <c r="H83" s="4" t="str">
        <f>IFERROR(__xludf.DUMMYFUNCTION("""COMPUTED_VALUE"""),"")</f>
        <v/>
      </c>
    </row>
    <row r="84">
      <c r="E84" s="4" t="str">
        <f>IFERROR(__xludf.DUMMYFUNCTION("""COMPUTED_VALUE"""),"#VALUE!")</f>
        <v>#VALUE!</v>
      </c>
      <c r="F84" s="4" t="str">
        <f>IFERROR(__xludf.DUMMYFUNCTION("""COMPUTED_VALUE"""),"")</f>
        <v/>
      </c>
      <c r="G84" s="4" t="str">
        <f>IFERROR(__xludf.DUMMYFUNCTION("""COMPUTED_VALUE"""),"#VALUE!")</f>
        <v>#VALUE!</v>
      </c>
      <c r="H84" s="4" t="str">
        <f>IFERROR(__xludf.DUMMYFUNCTION("""COMPUTED_VALUE"""),"")</f>
        <v/>
      </c>
    </row>
    <row r="85">
      <c r="E85" s="4" t="str">
        <f>IFERROR(__xludf.DUMMYFUNCTION("""COMPUTED_VALUE"""),"#VALUE!")</f>
        <v>#VALUE!</v>
      </c>
      <c r="F85" s="4" t="str">
        <f>IFERROR(__xludf.DUMMYFUNCTION("""COMPUTED_VALUE"""),"")</f>
        <v/>
      </c>
      <c r="G85" s="4" t="str">
        <f>IFERROR(__xludf.DUMMYFUNCTION("""COMPUTED_VALUE"""),"#VALUE!")</f>
        <v>#VALUE!</v>
      </c>
      <c r="H85" s="4" t="str">
        <f>IFERROR(__xludf.DUMMYFUNCTION("""COMPUTED_VALUE"""),"")</f>
        <v/>
      </c>
    </row>
    <row r="86">
      <c r="E86" s="4" t="str">
        <f>IFERROR(__xludf.DUMMYFUNCTION("""COMPUTED_VALUE"""),"#VALUE!")</f>
        <v>#VALUE!</v>
      </c>
      <c r="F86" s="4" t="str">
        <f>IFERROR(__xludf.DUMMYFUNCTION("""COMPUTED_VALUE"""),"")</f>
        <v/>
      </c>
      <c r="G86" s="4" t="str">
        <f>IFERROR(__xludf.DUMMYFUNCTION("""COMPUTED_VALUE"""),"#VALUE!")</f>
        <v>#VALUE!</v>
      </c>
      <c r="H86" s="4" t="str">
        <f>IFERROR(__xludf.DUMMYFUNCTION("""COMPUTED_VALUE"""),"")</f>
        <v/>
      </c>
    </row>
    <row r="87">
      <c r="E87" s="4" t="str">
        <f>IFERROR(__xludf.DUMMYFUNCTION("""COMPUTED_VALUE"""),"#VALUE!")</f>
        <v>#VALUE!</v>
      </c>
      <c r="F87" s="4" t="str">
        <f>IFERROR(__xludf.DUMMYFUNCTION("""COMPUTED_VALUE"""),"")</f>
        <v/>
      </c>
      <c r="G87" s="4" t="str">
        <f>IFERROR(__xludf.DUMMYFUNCTION("""COMPUTED_VALUE"""),"#VALUE!")</f>
        <v>#VALUE!</v>
      </c>
      <c r="H87" s="4" t="str">
        <f>IFERROR(__xludf.DUMMYFUNCTION("""COMPUTED_VALUE"""),"")</f>
        <v/>
      </c>
    </row>
    <row r="88">
      <c r="E88" s="4" t="str">
        <f>IFERROR(__xludf.DUMMYFUNCTION("""COMPUTED_VALUE"""),"#VALUE!")</f>
        <v>#VALUE!</v>
      </c>
      <c r="F88" s="4" t="str">
        <f>IFERROR(__xludf.DUMMYFUNCTION("""COMPUTED_VALUE"""),"")</f>
        <v/>
      </c>
      <c r="G88" s="4" t="str">
        <f>IFERROR(__xludf.DUMMYFUNCTION("""COMPUTED_VALUE"""),"#VALUE!")</f>
        <v>#VALUE!</v>
      </c>
      <c r="H88" s="4" t="str">
        <f>IFERROR(__xludf.DUMMYFUNCTION("""COMPUTED_VALUE"""),"")</f>
        <v/>
      </c>
    </row>
    <row r="89">
      <c r="E89" s="4" t="str">
        <f>IFERROR(__xludf.DUMMYFUNCTION("""COMPUTED_VALUE"""),"#VALUE!")</f>
        <v>#VALUE!</v>
      </c>
      <c r="F89" s="4" t="str">
        <f>IFERROR(__xludf.DUMMYFUNCTION("""COMPUTED_VALUE"""),"")</f>
        <v/>
      </c>
      <c r="G89" s="4" t="str">
        <f>IFERROR(__xludf.DUMMYFUNCTION("""COMPUTED_VALUE"""),"#VALUE!")</f>
        <v>#VALUE!</v>
      </c>
      <c r="H89" s="4" t="str">
        <f>IFERROR(__xludf.DUMMYFUNCTION("""COMPUTED_VALUE"""),"")</f>
        <v/>
      </c>
    </row>
    <row r="90">
      <c r="E90" s="4" t="str">
        <f>IFERROR(__xludf.DUMMYFUNCTION("""COMPUTED_VALUE"""),"#VALUE!")</f>
        <v>#VALUE!</v>
      </c>
      <c r="F90" s="4" t="str">
        <f>IFERROR(__xludf.DUMMYFUNCTION("""COMPUTED_VALUE"""),"")</f>
        <v/>
      </c>
      <c r="G90" s="4" t="str">
        <f>IFERROR(__xludf.DUMMYFUNCTION("""COMPUTED_VALUE"""),"#VALUE!")</f>
        <v>#VALUE!</v>
      </c>
      <c r="H90" s="4" t="str">
        <f>IFERROR(__xludf.DUMMYFUNCTION("""COMPUTED_VALUE"""),"")</f>
        <v/>
      </c>
    </row>
    <row r="91">
      <c r="E91" s="4" t="str">
        <f>IFERROR(__xludf.DUMMYFUNCTION("""COMPUTED_VALUE"""),"#VALUE!")</f>
        <v>#VALUE!</v>
      </c>
      <c r="F91" s="4" t="str">
        <f>IFERROR(__xludf.DUMMYFUNCTION("""COMPUTED_VALUE"""),"")</f>
        <v/>
      </c>
      <c r="G91" s="4" t="str">
        <f>IFERROR(__xludf.DUMMYFUNCTION("""COMPUTED_VALUE"""),"#VALUE!")</f>
        <v>#VALUE!</v>
      </c>
      <c r="H91" s="4" t="str">
        <f>IFERROR(__xludf.DUMMYFUNCTION("""COMPUTED_VALUE"""),"")</f>
        <v/>
      </c>
    </row>
    <row r="92">
      <c r="E92" s="4" t="str">
        <f>IFERROR(__xludf.DUMMYFUNCTION("""COMPUTED_VALUE"""),"#VALUE!")</f>
        <v>#VALUE!</v>
      </c>
      <c r="F92" s="4" t="str">
        <f>IFERROR(__xludf.DUMMYFUNCTION("""COMPUTED_VALUE"""),"")</f>
        <v/>
      </c>
      <c r="G92" s="4" t="str">
        <f>IFERROR(__xludf.DUMMYFUNCTION("""COMPUTED_VALUE"""),"#VALUE!")</f>
        <v>#VALUE!</v>
      </c>
      <c r="H92" s="4" t="str">
        <f>IFERROR(__xludf.DUMMYFUNCTION("""COMPUTED_VALUE"""),"")</f>
        <v/>
      </c>
    </row>
    <row r="93">
      <c r="E93" s="4" t="str">
        <f>IFERROR(__xludf.DUMMYFUNCTION("""COMPUTED_VALUE"""),"#VALUE!")</f>
        <v>#VALUE!</v>
      </c>
      <c r="F93" s="4" t="str">
        <f>IFERROR(__xludf.DUMMYFUNCTION("""COMPUTED_VALUE"""),"")</f>
        <v/>
      </c>
      <c r="G93" s="4" t="str">
        <f>IFERROR(__xludf.DUMMYFUNCTION("""COMPUTED_VALUE"""),"#VALUE!")</f>
        <v>#VALUE!</v>
      </c>
      <c r="H93" s="4" t="str">
        <f>IFERROR(__xludf.DUMMYFUNCTION("""COMPUTED_VALUE"""),"")</f>
        <v/>
      </c>
    </row>
    <row r="94">
      <c r="E94" s="4" t="str">
        <f>IFERROR(__xludf.DUMMYFUNCTION("""COMPUTED_VALUE"""),"#VALUE!")</f>
        <v>#VALUE!</v>
      </c>
      <c r="F94" s="4" t="str">
        <f>IFERROR(__xludf.DUMMYFUNCTION("""COMPUTED_VALUE"""),"")</f>
        <v/>
      </c>
      <c r="G94" s="4" t="str">
        <f>IFERROR(__xludf.DUMMYFUNCTION("""COMPUTED_VALUE"""),"#VALUE!")</f>
        <v>#VALUE!</v>
      </c>
      <c r="H94" s="4" t="str">
        <f>IFERROR(__xludf.DUMMYFUNCTION("""COMPUTED_VALUE"""),"")</f>
        <v/>
      </c>
    </row>
    <row r="95">
      <c r="E95" s="4" t="str">
        <f>IFERROR(__xludf.DUMMYFUNCTION("""COMPUTED_VALUE"""),"#VALUE!")</f>
        <v>#VALUE!</v>
      </c>
      <c r="F95" s="4" t="str">
        <f>IFERROR(__xludf.DUMMYFUNCTION("""COMPUTED_VALUE"""),"")</f>
        <v/>
      </c>
      <c r="G95" s="4" t="str">
        <f>IFERROR(__xludf.DUMMYFUNCTION("""COMPUTED_VALUE"""),"#VALUE!")</f>
        <v>#VALUE!</v>
      </c>
      <c r="H95" s="4" t="str">
        <f>IFERROR(__xludf.DUMMYFUNCTION("""COMPUTED_VALUE"""),"")</f>
        <v/>
      </c>
    </row>
    <row r="96">
      <c r="E96" s="4" t="str">
        <f>IFERROR(__xludf.DUMMYFUNCTION("""COMPUTED_VALUE"""),"#VALUE!")</f>
        <v>#VALUE!</v>
      </c>
      <c r="F96" s="4" t="str">
        <f>IFERROR(__xludf.DUMMYFUNCTION("""COMPUTED_VALUE"""),"")</f>
        <v/>
      </c>
      <c r="G96" s="4" t="str">
        <f>IFERROR(__xludf.DUMMYFUNCTION("""COMPUTED_VALUE"""),"#VALUE!")</f>
        <v>#VALUE!</v>
      </c>
      <c r="H96" s="4" t="str">
        <f>IFERROR(__xludf.DUMMYFUNCTION("""COMPUTED_VALUE"""),"")</f>
        <v/>
      </c>
    </row>
    <row r="97">
      <c r="E97" s="4" t="str">
        <f>IFERROR(__xludf.DUMMYFUNCTION("""COMPUTED_VALUE"""),"#VALUE!")</f>
        <v>#VALUE!</v>
      </c>
      <c r="F97" s="4" t="str">
        <f>IFERROR(__xludf.DUMMYFUNCTION("""COMPUTED_VALUE"""),"")</f>
        <v/>
      </c>
      <c r="G97" s="4" t="str">
        <f>IFERROR(__xludf.DUMMYFUNCTION("""COMPUTED_VALUE"""),"#VALUE!")</f>
        <v>#VALUE!</v>
      </c>
      <c r="H97" s="4" t="str">
        <f>IFERROR(__xludf.DUMMYFUNCTION("""COMPUTED_VALUE"""),"")</f>
        <v/>
      </c>
    </row>
    <row r="98">
      <c r="E98" s="4" t="str">
        <f>IFERROR(__xludf.DUMMYFUNCTION("""COMPUTED_VALUE"""),"#VALUE!")</f>
        <v>#VALUE!</v>
      </c>
      <c r="F98" s="4" t="str">
        <f>IFERROR(__xludf.DUMMYFUNCTION("""COMPUTED_VALUE"""),"")</f>
        <v/>
      </c>
      <c r="G98" s="4" t="str">
        <f>IFERROR(__xludf.DUMMYFUNCTION("""COMPUTED_VALUE"""),"#VALUE!")</f>
        <v>#VALUE!</v>
      </c>
      <c r="H98" s="4" t="str">
        <f>IFERROR(__xludf.DUMMYFUNCTION("""COMPUTED_VALUE"""),"")</f>
        <v/>
      </c>
    </row>
    <row r="99">
      <c r="E99" s="4" t="str">
        <f>IFERROR(__xludf.DUMMYFUNCTION("""COMPUTED_VALUE"""),"#VALUE!")</f>
        <v>#VALUE!</v>
      </c>
      <c r="F99" s="4" t="str">
        <f>IFERROR(__xludf.DUMMYFUNCTION("""COMPUTED_VALUE"""),"")</f>
        <v/>
      </c>
      <c r="G99" s="4" t="str">
        <f>IFERROR(__xludf.DUMMYFUNCTION("""COMPUTED_VALUE"""),"#VALUE!")</f>
        <v>#VALUE!</v>
      </c>
      <c r="H99" s="4" t="str">
        <f>IFERROR(__xludf.DUMMYFUNCTION("""COMPUTED_VALUE"""),"")</f>
        <v/>
      </c>
    </row>
    <row r="100">
      <c r="E100" s="4" t="str">
        <f>IFERROR(__xludf.DUMMYFUNCTION("""COMPUTED_VALUE"""),"#VALUE!")</f>
        <v>#VALUE!</v>
      </c>
      <c r="F100" s="4" t="str">
        <f>IFERROR(__xludf.DUMMYFUNCTION("""COMPUTED_VALUE"""),"")</f>
        <v/>
      </c>
      <c r="G100" s="4" t="str">
        <f>IFERROR(__xludf.DUMMYFUNCTION("""COMPUTED_VALUE"""),"#VALUE!")</f>
        <v>#VALUE!</v>
      </c>
      <c r="H100" s="4" t="str">
        <f>IFERROR(__xludf.DUMMYFUNCTION("""COMPUTED_VALUE"""),"")</f>
        <v/>
      </c>
    </row>
    <row r="101">
      <c r="E101" s="4" t="str">
        <f>IFERROR(__xludf.DUMMYFUNCTION("""COMPUTED_VALUE"""),"#VALUE!")</f>
        <v>#VALUE!</v>
      </c>
      <c r="F101" s="4" t="str">
        <f>IFERROR(__xludf.DUMMYFUNCTION("""COMPUTED_VALUE"""),"")</f>
        <v/>
      </c>
      <c r="G101" s="4" t="str">
        <f>IFERROR(__xludf.DUMMYFUNCTION("""COMPUTED_VALUE"""),"#VALUE!")</f>
        <v>#VALUE!</v>
      </c>
      <c r="H101" s="4" t="str">
        <f>IFERROR(__xludf.DUMMYFUNCTION("""COMPUTED_VALUE"""),"")</f>
        <v/>
      </c>
    </row>
    <row r="102">
      <c r="E102" s="4" t="str">
        <f>IFERROR(__xludf.DUMMYFUNCTION("""COMPUTED_VALUE"""),"#VALUE!")</f>
        <v>#VALUE!</v>
      </c>
      <c r="F102" s="4" t="str">
        <f>IFERROR(__xludf.DUMMYFUNCTION("""COMPUTED_VALUE"""),"")</f>
        <v/>
      </c>
      <c r="G102" s="4" t="str">
        <f>IFERROR(__xludf.DUMMYFUNCTION("""COMPUTED_VALUE"""),"#VALUE!")</f>
        <v>#VALUE!</v>
      </c>
      <c r="H102" s="4" t="str">
        <f>IFERROR(__xludf.DUMMYFUNCTION("""COMPUTED_VALUE"""),"")</f>
        <v/>
      </c>
    </row>
    <row r="103">
      <c r="E103" s="4" t="str">
        <f>IFERROR(__xludf.DUMMYFUNCTION("""COMPUTED_VALUE"""),"#VALUE!")</f>
        <v>#VALUE!</v>
      </c>
      <c r="F103" s="4" t="str">
        <f>IFERROR(__xludf.DUMMYFUNCTION("""COMPUTED_VALUE"""),"")</f>
        <v/>
      </c>
      <c r="G103" s="4" t="str">
        <f>IFERROR(__xludf.DUMMYFUNCTION("""COMPUTED_VALUE"""),"#VALUE!")</f>
        <v>#VALUE!</v>
      </c>
      <c r="H103" s="4" t="str">
        <f>IFERROR(__xludf.DUMMYFUNCTION("""COMPUTED_VALUE"""),"")</f>
        <v/>
      </c>
    </row>
    <row r="104">
      <c r="E104" s="4" t="str">
        <f>IFERROR(__xludf.DUMMYFUNCTION("""COMPUTED_VALUE"""),"#VALUE!")</f>
        <v>#VALUE!</v>
      </c>
      <c r="F104" s="4" t="str">
        <f>IFERROR(__xludf.DUMMYFUNCTION("""COMPUTED_VALUE"""),"")</f>
        <v/>
      </c>
      <c r="G104" s="4" t="str">
        <f>IFERROR(__xludf.DUMMYFUNCTION("""COMPUTED_VALUE"""),"#VALUE!")</f>
        <v>#VALUE!</v>
      </c>
      <c r="H104" s="4" t="str">
        <f>IFERROR(__xludf.DUMMYFUNCTION("""COMPUTED_VALUE"""),"")</f>
        <v/>
      </c>
    </row>
    <row r="105">
      <c r="E105" s="4" t="str">
        <f>IFERROR(__xludf.DUMMYFUNCTION("""COMPUTED_VALUE"""),"#VALUE!")</f>
        <v>#VALUE!</v>
      </c>
      <c r="F105" s="4" t="str">
        <f>IFERROR(__xludf.DUMMYFUNCTION("""COMPUTED_VALUE"""),"")</f>
        <v/>
      </c>
      <c r="G105" s="4" t="str">
        <f>IFERROR(__xludf.DUMMYFUNCTION("""COMPUTED_VALUE"""),"#VALUE!")</f>
        <v>#VALUE!</v>
      </c>
      <c r="H105" s="4" t="str">
        <f>IFERROR(__xludf.DUMMYFUNCTION("""COMPUTED_VALUE"""),"")</f>
        <v/>
      </c>
    </row>
    <row r="106">
      <c r="E106" s="4" t="str">
        <f>IFERROR(__xludf.DUMMYFUNCTION("""COMPUTED_VALUE"""),"#VALUE!")</f>
        <v>#VALUE!</v>
      </c>
      <c r="F106" s="4" t="str">
        <f>IFERROR(__xludf.DUMMYFUNCTION("""COMPUTED_VALUE"""),"")</f>
        <v/>
      </c>
      <c r="G106" s="4" t="str">
        <f>IFERROR(__xludf.DUMMYFUNCTION("""COMPUTED_VALUE"""),"#VALUE!")</f>
        <v>#VALUE!</v>
      </c>
      <c r="H106" s="4" t="str">
        <f>IFERROR(__xludf.DUMMYFUNCTION("""COMPUTED_VALUE"""),"")</f>
        <v/>
      </c>
    </row>
    <row r="107">
      <c r="E107" s="4" t="str">
        <f>IFERROR(__xludf.DUMMYFUNCTION("""COMPUTED_VALUE"""),"#VALUE!")</f>
        <v>#VALUE!</v>
      </c>
      <c r="F107" s="4" t="str">
        <f>IFERROR(__xludf.DUMMYFUNCTION("""COMPUTED_VALUE"""),"")</f>
        <v/>
      </c>
      <c r="G107" s="4" t="str">
        <f>IFERROR(__xludf.DUMMYFUNCTION("""COMPUTED_VALUE"""),"#VALUE!")</f>
        <v>#VALUE!</v>
      </c>
      <c r="H107" s="4" t="str">
        <f>IFERROR(__xludf.DUMMYFUNCTION("""COMPUTED_VALUE"""),"")</f>
        <v/>
      </c>
    </row>
    <row r="108">
      <c r="E108" s="4" t="str">
        <f>IFERROR(__xludf.DUMMYFUNCTION("""COMPUTED_VALUE"""),"#VALUE!")</f>
        <v>#VALUE!</v>
      </c>
      <c r="F108" s="4" t="str">
        <f>IFERROR(__xludf.DUMMYFUNCTION("""COMPUTED_VALUE"""),"")</f>
        <v/>
      </c>
      <c r="G108" s="4" t="str">
        <f>IFERROR(__xludf.DUMMYFUNCTION("""COMPUTED_VALUE"""),"#VALUE!")</f>
        <v>#VALUE!</v>
      </c>
      <c r="H108" s="4" t="str">
        <f>IFERROR(__xludf.DUMMYFUNCTION("""COMPUTED_VALUE"""),"")</f>
        <v/>
      </c>
    </row>
    <row r="109">
      <c r="E109" s="4" t="str">
        <f>IFERROR(__xludf.DUMMYFUNCTION("""COMPUTED_VALUE"""),"#VALUE!")</f>
        <v>#VALUE!</v>
      </c>
      <c r="F109" s="4" t="str">
        <f>IFERROR(__xludf.DUMMYFUNCTION("""COMPUTED_VALUE"""),"")</f>
        <v/>
      </c>
      <c r="G109" s="4" t="str">
        <f>IFERROR(__xludf.DUMMYFUNCTION("""COMPUTED_VALUE"""),"#VALUE!")</f>
        <v>#VALUE!</v>
      </c>
      <c r="H109" s="4" t="str">
        <f>IFERROR(__xludf.DUMMYFUNCTION("""COMPUTED_VALUE"""),"")</f>
        <v/>
      </c>
    </row>
    <row r="110">
      <c r="E110" s="4" t="str">
        <f>IFERROR(__xludf.DUMMYFUNCTION("""COMPUTED_VALUE"""),"#VALUE!")</f>
        <v>#VALUE!</v>
      </c>
      <c r="F110" s="4" t="str">
        <f>IFERROR(__xludf.DUMMYFUNCTION("""COMPUTED_VALUE"""),"")</f>
        <v/>
      </c>
      <c r="G110" s="4" t="str">
        <f>IFERROR(__xludf.DUMMYFUNCTION("""COMPUTED_VALUE"""),"#VALUE!")</f>
        <v>#VALUE!</v>
      </c>
      <c r="H110" s="4" t="str">
        <f>IFERROR(__xludf.DUMMYFUNCTION("""COMPUTED_VALUE"""),"")</f>
        <v/>
      </c>
    </row>
    <row r="111">
      <c r="E111" s="4" t="str">
        <f>IFERROR(__xludf.DUMMYFUNCTION("""COMPUTED_VALUE"""),"#VALUE!")</f>
        <v>#VALUE!</v>
      </c>
      <c r="F111" s="4" t="str">
        <f>IFERROR(__xludf.DUMMYFUNCTION("""COMPUTED_VALUE"""),"")</f>
        <v/>
      </c>
      <c r="G111" s="4" t="str">
        <f>IFERROR(__xludf.DUMMYFUNCTION("""COMPUTED_VALUE"""),"#VALUE!")</f>
        <v>#VALUE!</v>
      </c>
      <c r="H111" s="4" t="str">
        <f>IFERROR(__xludf.DUMMYFUNCTION("""COMPUTED_VALUE"""),"")</f>
        <v/>
      </c>
    </row>
    <row r="112">
      <c r="E112" s="4" t="str">
        <f>IFERROR(__xludf.DUMMYFUNCTION("""COMPUTED_VALUE"""),"#VALUE!")</f>
        <v>#VALUE!</v>
      </c>
      <c r="F112" s="4" t="str">
        <f>IFERROR(__xludf.DUMMYFUNCTION("""COMPUTED_VALUE"""),"")</f>
        <v/>
      </c>
      <c r="G112" s="4" t="str">
        <f>IFERROR(__xludf.DUMMYFUNCTION("""COMPUTED_VALUE"""),"#VALUE!")</f>
        <v>#VALUE!</v>
      </c>
      <c r="H112" s="4" t="str">
        <f>IFERROR(__xludf.DUMMYFUNCTION("""COMPUTED_VALUE"""),"")</f>
        <v/>
      </c>
    </row>
    <row r="113">
      <c r="E113" s="4" t="str">
        <f>IFERROR(__xludf.DUMMYFUNCTION("""COMPUTED_VALUE"""),"#VALUE!")</f>
        <v>#VALUE!</v>
      </c>
      <c r="F113" s="4" t="str">
        <f>IFERROR(__xludf.DUMMYFUNCTION("""COMPUTED_VALUE"""),"")</f>
        <v/>
      </c>
      <c r="G113" s="4" t="str">
        <f>IFERROR(__xludf.DUMMYFUNCTION("""COMPUTED_VALUE"""),"#VALUE!")</f>
        <v>#VALUE!</v>
      </c>
      <c r="H113" s="4" t="str">
        <f>IFERROR(__xludf.DUMMYFUNCTION("""COMPUTED_VALUE"""),"")</f>
        <v/>
      </c>
    </row>
    <row r="114">
      <c r="E114" s="4" t="str">
        <f>IFERROR(__xludf.DUMMYFUNCTION("""COMPUTED_VALUE"""),"#VALUE!")</f>
        <v>#VALUE!</v>
      </c>
      <c r="F114" s="4" t="str">
        <f>IFERROR(__xludf.DUMMYFUNCTION("""COMPUTED_VALUE"""),"")</f>
        <v/>
      </c>
      <c r="G114" s="4" t="str">
        <f>IFERROR(__xludf.DUMMYFUNCTION("""COMPUTED_VALUE"""),"#VALUE!")</f>
        <v>#VALUE!</v>
      </c>
      <c r="H114" s="4" t="str">
        <f>IFERROR(__xludf.DUMMYFUNCTION("""COMPUTED_VALUE"""),"")</f>
        <v/>
      </c>
    </row>
    <row r="115">
      <c r="E115" s="4" t="str">
        <f>IFERROR(__xludf.DUMMYFUNCTION("""COMPUTED_VALUE"""),"#VALUE!")</f>
        <v>#VALUE!</v>
      </c>
      <c r="F115" s="4" t="str">
        <f>IFERROR(__xludf.DUMMYFUNCTION("""COMPUTED_VALUE"""),"")</f>
        <v/>
      </c>
      <c r="G115" s="4" t="str">
        <f>IFERROR(__xludf.DUMMYFUNCTION("""COMPUTED_VALUE"""),"#VALUE!")</f>
        <v>#VALUE!</v>
      </c>
      <c r="H115" s="4" t="str">
        <f>IFERROR(__xludf.DUMMYFUNCTION("""COMPUTED_VALUE"""),"")</f>
        <v/>
      </c>
    </row>
    <row r="116">
      <c r="E116" s="4" t="str">
        <f>IFERROR(__xludf.DUMMYFUNCTION("""COMPUTED_VALUE"""),"#VALUE!")</f>
        <v>#VALUE!</v>
      </c>
      <c r="F116" s="4" t="str">
        <f>IFERROR(__xludf.DUMMYFUNCTION("""COMPUTED_VALUE"""),"")</f>
        <v/>
      </c>
      <c r="G116" s="4" t="str">
        <f>IFERROR(__xludf.DUMMYFUNCTION("""COMPUTED_VALUE"""),"#VALUE!")</f>
        <v>#VALUE!</v>
      </c>
      <c r="H116" s="4" t="str">
        <f>IFERROR(__xludf.DUMMYFUNCTION("""COMPUTED_VALUE"""),"")</f>
        <v/>
      </c>
    </row>
    <row r="117">
      <c r="E117" s="4" t="str">
        <f>IFERROR(__xludf.DUMMYFUNCTION("""COMPUTED_VALUE"""),"#VALUE!")</f>
        <v>#VALUE!</v>
      </c>
      <c r="F117" s="4" t="str">
        <f>IFERROR(__xludf.DUMMYFUNCTION("""COMPUTED_VALUE"""),"")</f>
        <v/>
      </c>
      <c r="G117" s="4" t="str">
        <f>IFERROR(__xludf.DUMMYFUNCTION("""COMPUTED_VALUE"""),"#VALUE!")</f>
        <v>#VALUE!</v>
      </c>
      <c r="H117" s="4" t="str">
        <f>IFERROR(__xludf.DUMMYFUNCTION("""COMPUTED_VALUE"""),"")</f>
        <v/>
      </c>
    </row>
    <row r="118">
      <c r="E118" s="4" t="str">
        <f>IFERROR(__xludf.DUMMYFUNCTION("""COMPUTED_VALUE"""),"#VALUE!")</f>
        <v>#VALUE!</v>
      </c>
      <c r="F118" s="4" t="str">
        <f>IFERROR(__xludf.DUMMYFUNCTION("""COMPUTED_VALUE"""),"")</f>
        <v/>
      </c>
      <c r="G118" s="4" t="str">
        <f>IFERROR(__xludf.DUMMYFUNCTION("""COMPUTED_VALUE"""),"#VALUE!")</f>
        <v>#VALUE!</v>
      </c>
      <c r="H118" s="4" t="str">
        <f>IFERROR(__xludf.DUMMYFUNCTION("""COMPUTED_VALUE"""),"")</f>
        <v/>
      </c>
    </row>
    <row r="119">
      <c r="E119" s="4" t="str">
        <f>IFERROR(__xludf.DUMMYFUNCTION("""COMPUTED_VALUE"""),"#VALUE!")</f>
        <v>#VALUE!</v>
      </c>
      <c r="F119" s="4" t="str">
        <f>IFERROR(__xludf.DUMMYFUNCTION("""COMPUTED_VALUE"""),"")</f>
        <v/>
      </c>
      <c r="G119" s="4" t="str">
        <f>IFERROR(__xludf.DUMMYFUNCTION("""COMPUTED_VALUE"""),"#VALUE!")</f>
        <v>#VALUE!</v>
      </c>
      <c r="H119" s="4" t="str">
        <f>IFERROR(__xludf.DUMMYFUNCTION("""COMPUTED_VALUE"""),"")</f>
        <v/>
      </c>
    </row>
    <row r="120">
      <c r="E120" s="4" t="str">
        <f>IFERROR(__xludf.DUMMYFUNCTION("""COMPUTED_VALUE"""),"#VALUE!")</f>
        <v>#VALUE!</v>
      </c>
      <c r="F120" s="4" t="str">
        <f>IFERROR(__xludf.DUMMYFUNCTION("""COMPUTED_VALUE"""),"")</f>
        <v/>
      </c>
      <c r="G120" s="4" t="str">
        <f>IFERROR(__xludf.DUMMYFUNCTION("""COMPUTED_VALUE"""),"#VALUE!")</f>
        <v>#VALUE!</v>
      </c>
      <c r="H120" s="4" t="str">
        <f>IFERROR(__xludf.DUMMYFUNCTION("""COMPUTED_VALUE"""),"")</f>
        <v/>
      </c>
    </row>
    <row r="121">
      <c r="E121" s="4" t="str">
        <f>IFERROR(__xludf.DUMMYFUNCTION("""COMPUTED_VALUE"""),"#VALUE!")</f>
        <v>#VALUE!</v>
      </c>
      <c r="F121" s="4" t="str">
        <f>IFERROR(__xludf.DUMMYFUNCTION("""COMPUTED_VALUE"""),"")</f>
        <v/>
      </c>
      <c r="G121" s="4" t="str">
        <f>IFERROR(__xludf.DUMMYFUNCTION("""COMPUTED_VALUE"""),"#VALUE!")</f>
        <v>#VALUE!</v>
      </c>
      <c r="H121" s="4" t="str">
        <f>IFERROR(__xludf.DUMMYFUNCTION("""COMPUTED_VALUE"""),"")</f>
        <v/>
      </c>
    </row>
    <row r="122">
      <c r="E122" s="4" t="str">
        <f>IFERROR(__xludf.DUMMYFUNCTION("""COMPUTED_VALUE"""),"#VALUE!")</f>
        <v>#VALUE!</v>
      </c>
      <c r="F122" s="4" t="str">
        <f>IFERROR(__xludf.DUMMYFUNCTION("""COMPUTED_VALUE"""),"")</f>
        <v/>
      </c>
      <c r="G122" s="4" t="str">
        <f>IFERROR(__xludf.DUMMYFUNCTION("""COMPUTED_VALUE"""),"#VALUE!")</f>
        <v>#VALUE!</v>
      </c>
      <c r="H122" s="4" t="str">
        <f>IFERROR(__xludf.DUMMYFUNCTION("""COMPUTED_VALUE"""),"")</f>
        <v/>
      </c>
    </row>
    <row r="123">
      <c r="E123" s="4" t="str">
        <f>IFERROR(__xludf.DUMMYFUNCTION("""COMPUTED_VALUE"""),"#VALUE!")</f>
        <v>#VALUE!</v>
      </c>
      <c r="F123" s="4" t="str">
        <f>IFERROR(__xludf.DUMMYFUNCTION("""COMPUTED_VALUE"""),"")</f>
        <v/>
      </c>
      <c r="G123" s="4" t="str">
        <f>IFERROR(__xludf.DUMMYFUNCTION("""COMPUTED_VALUE"""),"#VALUE!")</f>
        <v>#VALUE!</v>
      </c>
      <c r="H123" s="4" t="str">
        <f>IFERROR(__xludf.DUMMYFUNCTION("""COMPUTED_VALUE"""),"")</f>
        <v/>
      </c>
    </row>
    <row r="124">
      <c r="E124" s="4" t="str">
        <f>IFERROR(__xludf.DUMMYFUNCTION("""COMPUTED_VALUE"""),"#VALUE!")</f>
        <v>#VALUE!</v>
      </c>
      <c r="F124" s="4" t="str">
        <f>IFERROR(__xludf.DUMMYFUNCTION("""COMPUTED_VALUE"""),"")</f>
        <v/>
      </c>
      <c r="G124" s="4" t="str">
        <f>IFERROR(__xludf.DUMMYFUNCTION("""COMPUTED_VALUE"""),"#VALUE!")</f>
        <v>#VALUE!</v>
      </c>
      <c r="H124" s="4" t="str">
        <f>IFERROR(__xludf.DUMMYFUNCTION("""COMPUTED_VALUE"""),"")</f>
        <v/>
      </c>
    </row>
    <row r="125">
      <c r="E125" s="4" t="str">
        <f>IFERROR(__xludf.DUMMYFUNCTION("""COMPUTED_VALUE"""),"#VALUE!")</f>
        <v>#VALUE!</v>
      </c>
      <c r="F125" s="4" t="str">
        <f>IFERROR(__xludf.DUMMYFUNCTION("""COMPUTED_VALUE"""),"")</f>
        <v/>
      </c>
      <c r="G125" s="4" t="str">
        <f>IFERROR(__xludf.DUMMYFUNCTION("""COMPUTED_VALUE"""),"#VALUE!")</f>
        <v>#VALUE!</v>
      </c>
      <c r="H125" s="4" t="str">
        <f>IFERROR(__xludf.DUMMYFUNCTION("""COMPUTED_VALUE"""),"")</f>
        <v/>
      </c>
    </row>
    <row r="126">
      <c r="E126" s="4" t="str">
        <f>IFERROR(__xludf.DUMMYFUNCTION("""COMPUTED_VALUE"""),"#VALUE!")</f>
        <v>#VALUE!</v>
      </c>
      <c r="F126" s="4" t="str">
        <f>IFERROR(__xludf.DUMMYFUNCTION("""COMPUTED_VALUE"""),"")</f>
        <v/>
      </c>
      <c r="G126" s="4" t="str">
        <f>IFERROR(__xludf.DUMMYFUNCTION("""COMPUTED_VALUE"""),"#VALUE!")</f>
        <v>#VALUE!</v>
      </c>
      <c r="H126" s="4" t="str">
        <f>IFERROR(__xludf.DUMMYFUNCTION("""COMPUTED_VALUE"""),"")</f>
        <v/>
      </c>
    </row>
    <row r="127">
      <c r="E127" s="4" t="str">
        <f>IFERROR(__xludf.DUMMYFUNCTION("""COMPUTED_VALUE"""),"#VALUE!")</f>
        <v>#VALUE!</v>
      </c>
      <c r="F127" s="4" t="str">
        <f>IFERROR(__xludf.DUMMYFUNCTION("""COMPUTED_VALUE"""),"")</f>
        <v/>
      </c>
      <c r="G127" s="4" t="str">
        <f>IFERROR(__xludf.DUMMYFUNCTION("""COMPUTED_VALUE"""),"#VALUE!")</f>
        <v>#VALUE!</v>
      </c>
      <c r="H127" s="4" t="str">
        <f>IFERROR(__xludf.DUMMYFUNCTION("""COMPUTED_VALUE"""),"")</f>
        <v/>
      </c>
    </row>
    <row r="128">
      <c r="E128" s="4" t="str">
        <f>IFERROR(__xludf.DUMMYFUNCTION("""COMPUTED_VALUE"""),"#VALUE!")</f>
        <v>#VALUE!</v>
      </c>
      <c r="F128" s="4" t="str">
        <f>IFERROR(__xludf.DUMMYFUNCTION("""COMPUTED_VALUE"""),"")</f>
        <v/>
      </c>
      <c r="G128" s="4" t="str">
        <f>IFERROR(__xludf.DUMMYFUNCTION("""COMPUTED_VALUE"""),"#VALUE!")</f>
        <v>#VALUE!</v>
      </c>
      <c r="H128" s="4" t="str">
        <f>IFERROR(__xludf.DUMMYFUNCTION("""COMPUTED_VALUE"""),"")</f>
        <v/>
      </c>
    </row>
    <row r="129">
      <c r="E129" s="4" t="str">
        <f>IFERROR(__xludf.DUMMYFUNCTION("""COMPUTED_VALUE"""),"#VALUE!")</f>
        <v>#VALUE!</v>
      </c>
      <c r="F129" s="4" t="str">
        <f>IFERROR(__xludf.DUMMYFUNCTION("""COMPUTED_VALUE"""),"")</f>
        <v/>
      </c>
      <c r="G129" s="4" t="str">
        <f>IFERROR(__xludf.DUMMYFUNCTION("""COMPUTED_VALUE"""),"#VALUE!")</f>
        <v>#VALUE!</v>
      </c>
      <c r="H129" s="4" t="str">
        <f>IFERROR(__xludf.DUMMYFUNCTION("""COMPUTED_VALUE"""),"")</f>
        <v/>
      </c>
    </row>
    <row r="130">
      <c r="E130" s="4" t="str">
        <f>IFERROR(__xludf.DUMMYFUNCTION("""COMPUTED_VALUE"""),"#VALUE!")</f>
        <v>#VALUE!</v>
      </c>
      <c r="F130" s="4" t="str">
        <f>IFERROR(__xludf.DUMMYFUNCTION("""COMPUTED_VALUE"""),"")</f>
        <v/>
      </c>
      <c r="G130" s="4" t="str">
        <f>IFERROR(__xludf.DUMMYFUNCTION("""COMPUTED_VALUE"""),"#VALUE!")</f>
        <v>#VALUE!</v>
      </c>
      <c r="H130" s="4" t="str">
        <f>IFERROR(__xludf.DUMMYFUNCTION("""COMPUTED_VALUE"""),"")</f>
        <v/>
      </c>
    </row>
    <row r="131">
      <c r="E131" s="4" t="str">
        <f>IFERROR(__xludf.DUMMYFUNCTION("""COMPUTED_VALUE"""),"#VALUE!")</f>
        <v>#VALUE!</v>
      </c>
      <c r="F131" s="4" t="str">
        <f>IFERROR(__xludf.DUMMYFUNCTION("""COMPUTED_VALUE"""),"")</f>
        <v/>
      </c>
      <c r="G131" s="4" t="str">
        <f>IFERROR(__xludf.DUMMYFUNCTION("""COMPUTED_VALUE"""),"#VALUE!")</f>
        <v>#VALUE!</v>
      </c>
      <c r="H131" s="4" t="str">
        <f>IFERROR(__xludf.DUMMYFUNCTION("""COMPUTED_VALUE"""),"")</f>
        <v/>
      </c>
    </row>
    <row r="132">
      <c r="E132" s="4" t="str">
        <f>IFERROR(__xludf.DUMMYFUNCTION("""COMPUTED_VALUE"""),"#VALUE!")</f>
        <v>#VALUE!</v>
      </c>
      <c r="F132" s="4" t="str">
        <f>IFERROR(__xludf.DUMMYFUNCTION("""COMPUTED_VALUE"""),"")</f>
        <v/>
      </c>
      <c r="G132" s="4" t="str">
        <f>IFERROR(__xludf.DUMMYFUNCTION("""COMPUTED_VALUE"""),"#VALUE!")</f>
        <v>#VALUE!</v>
      </c>
      <c r="H132" s="4" t="str">
        <f>IFERROR(__xludf.DUMMYFUNCTION("""COMPUTED_VALUE"""),"")</f>
        <v/>
      </c>
    </row>
    <row r="133">
      <c r="E133" s="4" t="str">
        <f>IFERROR(__xludf.DUMMYFUNCTION("""COMPUTED_VALUE"""),"#VALUE!")</f>
        <v>#VALUE!</v>
      </c>
      <c r="F133" s="4" t="str">
        <f>IFERROR(__xludf.DUMMYFUNCTION("""COMPUTED_VALUE"""),"")</f>
        <v/>
      </c>
      <c r="G133" s="4" t="str">
        <f>IFERROR(__xludf.DUMMYFUNCTION("""COMPUTED_VALUE"""),"#VALUE!")</f>
        <v>#VALUE!</v>
      </c>
      <c r="H133" s="4" t="str">
        <f>IFERROR(__xludf.DUMMYFUNCTION("""COMPUTED_VALUE"""),"")</f>
        <v/>
      </c>
    </row>
    <row r="134">
      <c r="E134" s="4" t="str">
        <f>IFERROR(__xludf.DUMMYFUNCTION("""COMPUTED_VALUE"""),"#VALUE!")</f>
        <v>#VALUE!</v>
      </c>
      <c r="F134" s="4" t="str">
        <f>IFERROR(__xludf.DUMMYFUNCTION("""COMPUTED_VALUE"""),"")</f>
        <v/>
      </c>
      <c r="G134" s="4" t="str">
        <f>IFERROR(__xludf.DUMMYFUNCTION("""COMPUTED_VALUE"""),"#VALUE!")</f>
        <v>#VALUE!</v>
      </c>
      <c r="H134" s="4" t="str">
        <f>IFERROR(__xludf.DUMMYFUNCTION("""COMPUTED_VALUE"""),"")</f>
        <v/>
      </c>
    </row>
    <row r="135">
      <c r="E135" s="4" t="str">
        <f>IFERROR(__xludf.DUMMYFUNCTION("""COMPUTED_VALUE"""),"#VALUE!")</f>
        <v>#VALUE!</v>
      </c>
      <c r="F135" s="4" t="str">
        <f>IFERROR(__xludf.DUMMYFUNCTION("""COMPUTED_VALUE"""),"")</f>
        <v/>
      </c>
      <c r="G135" s="4" t="str">
        <f>IFERROR(__xludf.DUMMYFUNCTION("""COMPUTED_VALUE"""),"#VALUE!")</f>
        <v>#VALUE!</v>
      </c>
      <c r="H135" s="4" t="str">
        <f>IFERROR(__xludf.DUMMYFUNCTION("""COMPUTED_VALUE"""),"")</f>
        <v/>
      </c>
    </row>
    <row r="136">
      <c r="E136" s="4" t="str">
        <f>IFERROR(__xludf.DUMMYFUNCTION("""COMPUTED_VALUE"""),"#VALUE!")</f>
        <v>#VALUE!</v>
      </c>
      <c r="F136" s="4" t="str">
        <f>IFERROR(__xludf.DUMMYFUNCTION("""COMPUTED_VALUE"""),"")</f>
        <v/>
      </c>
      <c r="G136" s="4" t="str">
        <f>IFERROR(__xludf.DUMMYFUNCTION("""COMPUTED_VALUE"""),"#VALUE!")</f>
        <v>#VALUE!</v>
      </c>
      <c r="H136" s="4" t="str">
        <f>IFERROR(__xludf.DUMMYFUNCTION("""COMPUTED_VALUE"""),"")</f>
        <v/>
      </c>
    </row>
    <row r="137">
      <c r="E137" s="4" t="str">
        <f>IFERROR(__xludf.DUMMYFUNCTION("""COMPUTED_VALUE"""),"#VALUE!")</f>
        <v>#VALUE!</v>
      </c>
      <c r="F137" s="4" t="str">
        <f>IFERROR(__xludf.DUMMYFUNCTION("""COMPUTED_VALUE"""),"")</f>
        <v/>
      </c>
      <c r="G137" s="4" t="str">
        <f>IFERROR(__xludf.DUMMYFUNCTION("""COMPUTED_VALUE"""),"#VALUE!")</f>
        <v>#VALUE!</v>
      </c>
      <c r="H137" s="4" t="str">
        <f>IFERROR(__xludf.DUMMYFUNCTION("""COMPUTED_VALUE"""),"")</f>
        <v/>
      </c>
    </row>
    <row r="138">
      <c r="E138" s="4" t="str">
        <f>IFERROR(__xludf.DUMMYFUNCTION("""COMPUTED_VALUE"""),"#VALUE!")</f>
        <v>#VALUE!</v>
      </c>
      <c r="F138" s="4" t="str">
        <f>IFERROR(__xludf.DUMMYFUNCTION("""COMPUTED_VALUE"""),"")</f>
        <v/>
      </c>
      <c r="G138" s="4" t="str">
        <f>IFERROR(__xludf.DUMMYFUNCTION("""COMPUTED_VALUE"""),"#VALUE!")</f>
        <v>#VALUE!</v>
      </c>
      <c r="H138" s="4" t="str">
        <f>IFERROR(__xludf.DUMMYFUNCTION("""COMPUTED_VALUE"""),"")</f>
        <v/>
      </c>
    </row>
    <row r="139">
      <c r="E139" s="4" t="str">
        <f>IFERROR(__xludf.DUMMYFUNCTION("""COMPUTED_VALUE"""),"#VALUE!")</f>
        <v>#VALUE!</v>
      </c>
      <c r="F139" s="4" t="str">
        <f>IFERROR(__xludf.DUMMYFUNCTION("""COMPUTED_VALUE"""),"")</f>
        <v/>
      </c>
      <c r="G139" s="4" t="str">
        <f>IFERROR(__xludf.DUMMYFUNCTION("""COMPUTED_VALUE"""),"#VALUE!")</f>
        <v>#VALUE!</v>
      </c>
      <c r="H139" s="4" t="str">
        <f>IFERROR(__xludf.DUMMYFUNCTION("""COMPUTED_VALUE"""),"")</f>
        <v/>
      </c>
    </row>
    <row r="140">
      <c r="E140" s="4" t="str">
        <f>IFERROR(__xludf.DUMMYFUNCTION("""COMPUTED_VALUE"""),"#VALUE!")</f>
        <v>#VALUE!</v>
      </c>
      <c r="F140" s="4" t="str">
        <f>IFERROR(__xludf.DUMMYFUNCTION("""COMPUTED_VALUE"""),"")</f>
        <v/>
      </c>
      <c r="G140" s="4" t="str">
        <f>IFERROR(__xludf.DUMMYFUNCTION("""COMPUTED_VALUE"""),"#VALUE!")</f>
        <v>#VALUE!</v>
      </c>
      <c r="H140" s="4" t="str">
        <f>IFERROR(__xludf.DUMMYFUNCTION("""COMPUTED_VALUE"""),"")</f>
        <v/>
      </c>
    </row>
    <row r="141">
      <c r="E141" s="4" t="str">
        <f>IFERROR(__xludf.DUMMYFUNCTION("""COMPUTED_VALUE"""),"#VALUE!")</f>
        <v>#VALUE!</v>
      </c>
      <c r="F141" s="4" t="str">
        <f>IFERROR(__xludf.DUMMYFUNCTION("""COMPUTED_VALUE"""),"")</f>
        <v/>
      </c>
      <c r="G141" s="4" t="str">
        <f>IFERROR(__xludf.DUMMYFUNCTION("""COMPUTED_VALUE"""),"#VALUE!")</f>
        <v>#VALUE!</v>
      </c>
      <c r="H141" s="4" t="str">
        <f>IFERROR(__xludf.DUMMYFUNCTION("""COMPUTED_VALUE"""),"")</f>
        <v/>
      </c>
    </row>
    <row r="142">
      <c r="E142" s="4" t="str">
        <f>IFERROR(__xludf.DUMMYFUNCTION("""COMPUTED_VALUE"""),"#VALUE!")</f>
        <v>#VALUE!</v>
      </c>
      <c r="F142" s="4" t="str">
        <f>IFERROR(__xludf.DUMMYFUNCTION("""COMPUTED_VALUE"""),"")</f>
        <v/>
      </c>
      <c r="G142" s="4" t="str">
        <f>IFERROR(__xludf.DUMMYFUNCTION("""COMPUTED_VALUE"""),"#VALUE!")</f>
        <v>#VALUE!</v>
      </c>
      <c r="H142" s="4" t="str">
        <f>IFERROR(__xludf.DUMMYFUNCTION("""COMPUTED_VALUE"""),"")</f>
        <v/>
      </c>
    </row>
    <row r="143">
      <c r="E143" s="4" t="str">
        <f>IFERROR(__xludf.DUMMYFUNCTION("""COMPUTED_VALUE"""),"#VALUE!")</f>
        <v>#VALUE!</v>
      </c>
      <c r="F143" s="4" t="str">
        <f>IFERROR(__xludf.DUMMYFUNCTION("""COMPUTED_VALUE"""),"")</f>
        <v/>
      </c>
      <c r="G143" s="4" t="str">
        <f>IFERROR(__xludf.DUMMYFUNCTION("""COMPUTED_VALUE"""),"#VALUE!")</f>
        <v>#VALUE!</v>
      </c>
      <c r="H143" s="4" t="str">
        <f>IFERROR(__xludf.DUMMYFUNCTION("""COMPUTED_VALUE"""),"")</f>
        <v/>
      </c>
    </row>
    <row r="144">
      <c r="E144" s="4" t="str">
        <f>IFERROR(__xludf.DUMMYFUNCTION("""COMPUTED_VALUE"""),"#VALUE!")</f>
        <v>#VALUE!</v>
      </c>
      <c r="F144" s="4" t="str">
        <f>IFERROR(__xludf.DUMMYFUNCTION("""COMPUTED_VALUE"""),"")</f>
        <v/>
      </c>
      <c r="G144" s="4" t="str">
        <f>IFERROR(__xludf.DUMMYFUNCTION("""COMPUTED_VALUE"""),"#VALUE!")</f>
        <v>#VALUE!</v>
      </c>
      <c r="H144" s="4" t="str">
        <f>IFERROR(__xludf.DUMMYFUNCTION("""COMPUTED_VALUE"""),"")</f>
        <v/>
      </c>
    </row>
    <row r="145">
      <c r="E145" s="4" t="str">
        <f>IFERROR(__xludf.DUMMYFUNCTION("""COMPUTED_VALUE"""),"#VALUE!")</f>
        <v>#VALUE!</v>
      </c>
      <c r="F145" s="4" t="str">
        <f>IFERROR(__xludf.DUMMYFUNCTION("""COMPUTED_VALUE"""),"")</f>
        <v/>
      </c>
      <c r="G145" s="4" t="str">
        <f>IFERROR(__xludf.DUMMYFUNCTION("""COMPUTED_VALUE"""),"#VALUE!")</f>
        <v>#VALUE!</v>
      </c>
      <c r="H145" s="4" t="str">
        <f>IFERROR(__xludf.DUMMYFUNCTION("""COMPUTED_VALUE"""),"")</f>
        <v/>
      </c>
    </row>
    <row r="146">
      <c r="E146" s="4" t="str">
        <f>IFERROR(__xludf.DUMMYFUNCTION("""COMPUTED_VALUE"""),"#VALUE!")</f>
        <v>#VALUE!</v>
      </c>
      <c r="F146" s="4" t="str">
        <f>IFERROR(__xludf.DUMMYFUNCTION("""COMPUTED_VALUE"""),"")</f>
        <v/>
      </c>
      <c r="G146" s="4" t="str">
        <f>IFERROR(__xludf.DUMMYFUNCTION("""COMPUTED_VALUE"""),"#VALUE!")</f>
        <v>#VALUE!</v>
      </c>
      <c r="H146" s="4" t="str">
        <f>IFERROR(__xludf.DUMMYFUNCTION("""COMPUTED_VALUE"""),"")</f>
        <v/>
      </c>
    </row>
    <row r="147">
      <c r="E147" s="4" t="str">
        <f>IFERROR(__xludf.DUMMYFUNCTION("""COMPUTED_VALUE"""),"#VALUE!")</f>
        <v>#VALUE!</v>
      </c>
      <c r="F147" s="4" t="str">
        <f>IFERROR(__xludf.DUMMYFUNCTION("""COMPUTED_VALUE"""),"")</f>
        <v/>
      </c>
      <c r="G147" s="4" t="str">
        <f>IFERROR(__xludf.DUMMYFUNCTION("""COMPUTED_VALUE"""),"#VALUE!")</f>
        <v>#VALUE!</v>
      </c>
      <c r="H147" s="4" t="str">
        <f>IFERROR(__xludf.DUMMYFUNCTION("""COMPUTED_VALUE"""),"")</f>
        <v/>
      </c>
    </row>
    <row r="148">
      <c r="E148" s="4" t="str">
        <f>IFERROR(__xludf.DUMMYFUNCTION("""COMPUTED_VALUE"""),"#VALUE!")</f>
        <v>#VALUE!</v>
      </c>
      <c r="F148" s="4" t="str">
        <f>IFERROR(__xludf.DUMMYFUNCTION("""COMPUTED_VALUE"""),"")</f>
        <v/>
      </c>
      <c r="G148" s="4" t="str">
        <f>IFERROR(__xludf.DUMMYFUNCTION("""COMPUTED_VALUE"""),"#VALUE!")</f>
        <v>#VALUE!</v>
      </c>
      <c r="H148" s="4" t="str">
        <f>IFERROR(__xludf.DUMMYFUNCTION("""COMPUTED_VALUE"""),"")</f>
        <v/>
      </c>
    </row>
    <row r="149">
      <c r="E149" s="4" t="str">
        <f>IFERROR(__xludf.DUMMYFUNCTION("""COMPUTED_VALUE"""),"#VALUE!")</f>
        <v>#VALUE!</v>
      </c>
      <c r="F149" s="4" t="str">
        <f>IFERROR(__xludf.DUMMYFUNCTION("""COMPUTED_VALUE"""),"")</f>
        <v/>
      </c>
      <c r="G149" s="4" t="str">
        <f>IFERROR(__xludf.DUMMYFUNCTION("""COMPUTED_VALUE"""),"#VALUE!")</f>
        <v>#VALUE!</v>
      </c>
      <c r="H149" s="4" t="str">
        <f>IFERROR(__xludf.DUMMYFUNCTION("""COMPUTED_VALUE"""),"")</f>
        <v/>
      </c>
    </row>
    <row r="150">
      <c r="E150" s="4" t="str">
        <f>IFERROR(__xludf.DUMMYFUNCTION("""COMPUTED_VALUE"""),"#VALUE!")</f>
        <v>#VALUE!</v>
      </c>
      <c r="F150" s="4" t="str">
        <f>IFERROR(__xludf.DUMMYFUNCTION("""COMPUTED_VALUE"""),"")</f>
        <v/>
      </c>
      <c r="G150" s="4" t="str">
        <f>IFERROR(__xludf.DUMMYFUNCTION("""COMPUTED_VALUE"""),"#VALUE!")</f>
        <v>#VALUE!</v>
      </c>
      <c r="H150" s="4" t="str">
        <f>IFERROR(__xludf.DUMMYFUNCTION("""COMPUTED_VALUE"""),"")</f>
        <v/>
      </c>
    </row>
    <row r="151">
      <c r="E151" s="4" t="str">
        <f>IFERROR(__xludf.DUMMYFUNCTION("""COMPUTED_VALUE"""),"#VALUE!")</f>
        <v>#VALUE!</v>
      </c>
      <c r="F151" s="4" t="str">
        <f>IFERROR(__xludf.DUMMYFUNCTION("""COMPUTED_VALUE"""),"")</f>
        <v/>
      </c>
      <c r="G151" s="4" t="str">
        <f>IFERROR(__xludf.DUMMYFUNCTION("""COMPUTED_VALUE"""),"#VALUE!")</f>
        <v>#VALUE!</v>
      </c>
      <c r="H151" s="4" t="str">
        <f>IFERROR(__xludf.DUMMYFUNCTION("""COMPUTED_VALUE"""),"")</f>
        <v/>
      </c>
    </row>
    <row r="152">
      <c r="E152" s="4" t="str">
        <f>IFERROR(__xludf.DUMMYFUNCTION("""COMPUTED_VALUE"""),"#VALUE!")</f>
        <v>#VALUE!</v>
      </c>
      <c r="F152" s="4" t="str">
        <f>IFERROR(__xludf.DUMMYFUNCTION("""COMPUTED_VALUE"""),"")</f>
        <v/>
      </c>
      <c r="G152" s="4" t="str">
        <f>IFERROR(__xludf.DUMMYFUNCTION("""COMPUTED_VALUE"""),"#VALUE!")</f>
        <v>#VALUE!</v>
      </c>
      <c r="H152" s="4" t="str">
        <f>IFERROR(__xludf.DUMMYFUNCTION("""COMPUTED_VALUE"""),"")</f>
        <v/>
      </c>
    </row>
    <row r="153">
      <c r="E153" s="4" t="str">
        <f>IFERROR(__xludf.DUMMYFUNCTION("""COMPUTED_VALUE"""),"#VALUE!")</f>
        <v>#VALUE!</v>
      </c>
      <c r="F153" s="4" t="str">
        <f>IFERROR(__xludf.DUMMYFUNCTION("""COMPUTED_VALUE"""),"")</f>
        <v/>
      </c>
      <c r="G153" s="4" t="str">
        <f>IFERROR(__xludf.DUMMYFUNCTION("""COMPUTED_VALUE"""),"#VALUE!")</f>
        <v>#VALUE!</v>
      </c>
      <c r="H153" s="4" t="str">
        <f>IFERROR(__xludf.DUMMYFUNCTION("""COMPUTED_VALUE"""),"")</f>
        <v/>
      </c>
    </row>
    <row r="154">
      <c r="E154" s="4" t="str">
        <f>IFERROR(__xludf.DUMMYFUNCTION("""COMPUTED_VALUE"""),"#VALUE!")</f>
        <v>#VALUE!</v>
      </c>
      <c r="F154" s="4" t="str">
        <f>IFERROR(__xludf.DUMMYFUNCTION("""COMPUTED_VALUE"""),"")</f>
        <v/>
      </c>
      <c r="G154" s="4" t="str">
        <f>IFERROR(__xludf.DUMMYFUNCTION("""COMPUTED_VALUE"""),"#VALUE!")</f>
        <v>#VALUE!</v>
      </c>
      <c r="H154" s="4" t="str">
        <f>IFERROR(__xludf.DUMMYFUNCTION("""COMPUTED_VALUE"""),"")</f>
        <v/>
      </c>
    </row>
    <row r="155">
      <c r="E155" s="4" t="str">
        <f>IFERROR(__xludf.DUMMYFUNCTION("""COMPUTED_VALUE"""),"#VALUE!")</f>
        <v>#VALUE!</v>
      </c>
      <c r="F155" s="4" t="str">
        <f>IFERROR(__xludf.DUMMYFUNCTION("""COMPUTED_VALUE"""),"")</f>
        <v/>
      </c>
      <c r="G155" s="4" t="str">
        <f>IFERROR(__xludf.DUMMYFUNCTION("""COMPUTED_VALUE"""),"#VALUE!")</f>
        <v>#VALUE!</v>
      </c>
      <c r="H155" s="4" t="str">
        <f>IFERROR(__xludf.DUMMYFUNCTION("""COMPUTED_VALUE"""),"")</f>
        <v/>
      </c>
    </row>
    <row r="156">
      <c r="E156" s="4" t="str">
        <f>IFERROR(__xludf.DUMMYFUNCTION("""COMPUTED_VALUE"""),"#VALUE!")</f>
        <v>#VALUE!</v>
      </c>
      <c r="F156" s="4" t="str">
        <f>IFERROR(__xludf.DUMMYFUNCTION("""COMPUTED_VALUE"""),"")</f>
        <v/>
      </c>
      <c r="G156" s="4" t="str">
        <f>IFERROR(__xludf.DUMMYFUNCTION("""COMPUTED_VALUE"""),"#VALUE!")</f>
        <v>#VALUE!</v>
      </c>
      <c r="H156" s="4" t="str">
        <f>IFERROR(__xludf.DUMMYFUNCTION("""COMPUTED_VALUE"""),"")</f>
        <v/>
      </c>
    </row>
    <row r="157">
      <c r="E157" s="4" t="str">
        <f>IFERROR(__xludf.DUMMYFUNCTION("""COMPUTED_VALUE"""),"#VALUE!")</f>
        <v>#VALUE!</v>
      </c>
      <c r="F157" s="4" t="str">
        <f>IFERROR(__xludf.DUMMYFUNCTION("""COMPUTED_VALUE"""),"")</f>
        <v/>
      </c>
      <c r="G157" s="4" t="str">
        <f>IFERROR(__xludf.DUMMYFUNCTION("""COMPUTED_VALUE"""),"#VALUE!")</f>
        <v>#VALUE!</v>
      </c>
      <c r="H157" s="4" t="str">
        <f>IFERROR(__xludf.DUMMYFUNCTION("""COMPUTED_VALUE"""),"")</f>
        <v/>
      </c>
    </row>
    <row r="158">
      <c r="E158" s="4" t="str">
        <f>IFERROR(__xludf.DUMMYFUNCTION("""COMPUTED_VALUE"""),"#VALUE!")</f>
        <v>#VALUE!</v>
      </c>
      <c r="F158" s="4" t="str">
        <f>IFERROR(__xludf.DUMMYFUNCTION("""COMPUTED_VALUE"""),"")</f>
        <v/>
      </c>
      <c r="G158" s="4" t="str">
        <f>IFERROR(__xludf.DUMMYFUNCTION("""COMPUTED_VALUE"""),"#VALUE!")</f>
        <v>#VALUE!</v>
      </c>
      <c r="H158" s="4" t="str">
        <f>IFERROR(__xludf.DUMMYFUNCTION("""COMPUTED_VALUE"""),"")</f>
        <v/>
      </c>
    </row>
    <row r="159">
      <c r="E159" s="4" t="str">
        <f>IFERROR(__xludf.DUMMYFUNCTION("""COMPUTED_VALUE"""),"#VALUE!")</f>
        <v>#VALUE!</v>
      </c>
      <c r="F159" s="4" t="str">
        <f>IFERROR(__xludf.DUMMYFUNCTION("""COMPUTED_VALUE"""),"")</f>
        <v/>
      </c>
      <c r="G159" s="4" t="str">
        <f>IFERROR(__xludf.DUMMYFUNCTION("""COMPUTED_VALUE"""),"#VALUE!")</f>
        <v>#VALUE!</v>
      </c>
      <c r="H159" s="4" t="str">
        <f>IFERROR(__xludf.DUMMYFUNCTION("""COMPUTED_VALUE"""),"")</f>
        <v/>
      </c>
    </row>
    <row r="160">
      <c r="E160" s="4" t="str">
        <f>IFERROR(__xludf.DUMMYFUNCTION("""COMPUTED_VALUE"""),"#VALUE!")</f>
        <v>#VALUE!</v>
      </c>
      <c r="F160" s="4" t="str">
        <f>IFERROR(__xludf.DUMMYFUNCTION("""COMPUTED_VALUE"""),"")</f>
        <v/>
      </c>
      <c r="G160" s="4" t="str">
        <f>IFERROR(__xludf.DUMMYFUNCTION("""COMPUTED_VALUE"""),"#VALUE!")</f>
        <v>#VALUE!</v>
      </c>
      <c r="H160" s="4" t="str">
        <f>IFERROR(__xludf.DUMMYFUNCTION("""COMPUTED_VALUE"""),"")</f>
        <v/>
      </c>
    </row>
    <row r="161">
      <c r="E161" s="4" t="str">
        <f>IFERROR(__xludf.DUMMYFUNCTION("""COMPUTED_VALUE"""),"#VALUE!")</f>
        <v>#VALUE!</v>
      </c>
      <c r="F161" s="4" t="str">
        <f>IFERROR(__xludf.DUMMYFUNCTION("""COMPUTED_VALUE"""),"")</f>
        <v/>
      </c>
      <c r="G161" s="4" t="str">
        <f>IFERROR(__xludf.DUMMYFUNCTION("""COMPUTED_VALUE"""),"#VALUE!")</f>
        <v>#VALUE!</v>
      </c>
      <c r="H161" s="4" t="str">
        <f>IFERROR(__xludf.DUMMYFUNCTION("""COMPUTED_VALUE"""),"")</f>
        <v/>
      </c>
    </row>
    <row r="162">
      <c r="E162" s="4" t="str">
        <f>IFERROR(__xludf.DUMMYFUNCTION("""COMPUTED_VALUE"""),"#VALUE!")</f>
        <v>#VALUE!</v>
      </c>
      <c r="F162" s="4" t="str">
        <f>IFERROR(__xludf.DUMMYFUNCTION("""COMPUTED_VALUE"""),"")</f>
        <v/>
      </c>
      <c r="G162" s="4" t="str">
        <f>IFERROR(__xludf.DUMMYFUNCTION("""COMPUTED_VALUE"""),"#VALUE!")</f>
        <v>#VALUE!</v>
      </c>
      <c r="H162" s="4" t="str">
        <f>IFERROR(__xludf.DUMMYFUNCTION("""COMPUTED_VALUE"""),"")</f>
        <v/>
      </c>
    </row>
    <row r="163">
      <c r="E163" s="4" t="str">
        <f>IFERROR(__xludf.DUMMYFUNCTION("""COMPUTED_VALUE"""),"#VALUE!")</f>
        <v>#VALUE!</v>
      </c>
      <c r="F163" s="4" t="str">
        <f>IFERROR(__xludf.DUMMYFUNCTION("""COMPUTED_VALUE"""),"")</f>
        <v/>
      </c>
      <c r="G163" s="4" t="str">
        <f>IFERROR(__xludf.DUMMYFUNCTION("""COMPUTED_VALUE"""),"#VALUE!")</f>
        <v>#VALUE!</v>
      </c>
      <c r="H163" s="4" t="str">
        <f>IFERROR(__xludf.DUMMYFUNCTION("""COMPUTED_VALUE"""),"")</f>
        <v/>
      </c>
    </row>
    <row r="164">
      <c r="E164" s="4" t="str">
        <f>IFERROR(__xludf.DUMMYFUNCTION("""COMPUTED_VALUE"""),"#VALUE!")</f>
        <v>#VALUE!</v>
      </c>
      <c r="F164" s="4" t="str">
        <f>IFERROR(__xludf.DUMMYFUNCTION("""COMPUTED_VALUE"""),"")</f>
        <v/>
      </c>
      <c r="G164" s="4" t="str">
        <f>IFERROR(__xludf.DUMMYFUNCTION("""COMPUTED_VALUE"""),"#VALUE!")</f>
        <v>#VALUE!</v>
      </c>
      <c r="H164" s="4" t="str">
        <f>IFERROR(__xludf.DUMMYFUNCTION("""COMPUTED_VALUE"""),"")</f>
        <v/>
      </c>
    </row>
    <row r="165">
      <c r="E165" s="4" t="str">
        <f>IFERROR(__xludf.DUMMYFUNCTION("""COMPUTED_VALUE"""),"#VALUE!")</f>
        <v>#VALUE!</v>
      </c>
      <c r="F165" s="4" t="str">
        <f>IFERROR(__xludf.DUMMYFUNCTION("""COMPUTED_VALUE"""),"")</f>
        <v/>
      </c>
      <c r="G165" s="4" t="str">
        <f>IFERROR(__xludf.DUMMYFUNCTION("""COMPUTED_VALUE"""),"#VALUE!")</f>
        <v>#VALUE!</v>
      </c>
      <c r="H165" s="4" t="str">
        <f>IFERROR(__xludf.DUMMYFUNCTION("""COMPUTED_VALUE"""),"")</f>
        <v/>
      </c>
    </row>
    <row r="166">
      <c r="E166" s="4" t="str">
        <f>IFERROR(__xludf.DUMMYFUNCTION("""COMPUTED_VALUE"""),"#VALUE!")</f>
        <v>#VALUE!</v>
      </c>
      <c r="F166" s="4" t="str">
        <f>IFERROR(__xludf.DUMMYFUNCTION("""COMPUTED_VALUE"""),"")</f>
        <v/>
      </c>
      <c r="G166" s="4" t="str">
        <f>IFERROR(__xludf.DUMMYFUNCTION("""COMPUTED_VALUE"""),"#VALUE!")</f>
        <v>#VALUE!</v>
      </c>
      <c r="H166" s="4" t="str">
        <f>IFERROR(__xludf.DUMMYFUNCTION("""COMPUTED_VALUE"""),"")</f>
        <v/>
      </c>
    </row>
    <row r="167">
      <c r="E167" s="4" t="str">
        <f>IFERROR(__xludf.DUMMYFUNCTION("""COMPUTED_VALUE"""),"#VALUE!")</f>
        <v>#VALUE!</v>
      </c>
      <c r="F167" s="4" t="str">
        <f>IFERROR(__xludf.DUMMYFUNCTION("""COMPUTED_VALUE"""),"")</f>
        <v/>
      </c>
      <c r="G167" s="4" t="str">
        <f>IFERROR(__xludf.DUMMYFUNCTION("""COMPUTED_VALUE"""),"#VALUE!")</f>
        <v>#VALUE!</v>
      </c>
      <c r="H167" s="4" t="str">
        <f>IFERROR(__xludf.DUMMYFUNCTION("""COMPUTED_VALUE"""),"")</f>
        <v/>
      </c>
    </row>
    <row r="168">
      <c r="E168" s="4" t="str">
        <f>IFERROR(__xludf.DUMMYFUNCTION("""COMPUTED_VALUE"""),"#VALUE!")</f>
        <v>#VALUE!</v>
      </c>
      <c r="F168" s="4" t="str">
        <f>IFERROR(__xludf.DUMMYFUNCTION("""COMPUTED_VALUE"""),"")</f>
        <v/>
      </c>
      <c r="G168" s="4" t="str">
        <f>IFERROR(__xludf.DUMMYFUNCTION("""COMPUTED_VALUE"""),"#VALUE!")</f>
        <v>#VALUE!</v>
      </c>
      <c r="H168" s="4" t="str">
        <f>IFERROR(__xludf.DUMMYFUNCTION("""COMPUTED_VALUE"""),"")</f>
        <v/>
      </c>
    </row>
    <row r="169">
      <c r="E169" s="4" t="str">
        <f>IFERROR(__xludf.DUMMYFUNCTION("""COMPUTED_VALUE"""),"#VALUE!")</f>
        <v>#VALUE!</v>
      </c>
      <c r="F169" s="4" t="str">
        <f>IFERROR(__xludf.DUMMYFUNCTION("""COMPUTED_VALUE"""),"")</f>
        <v/>
      </c>
      <c r="G169" s="4" t="str">
        <f>IFERROR(__xludf.DUMMYFUNCTION("""COMPUTED_VALUE"""),"#VALUE!")</f>
        <v>#VALUE!</v>
      </c>
      <c r="H169" s="4" t="str">
        <f>IFERROR(__xludf.DUMMYFUNCTION("""COMPUTED_VALUE"""),"")</f>
        <v/>
      </c>
    </row>
    <row r="170">
      <c r="E170" s="4" t="str">
        <f>IFERROR(__xludf.DUMMYFUNCTION("""COMPUTED_VALUE"""),"#VALUE!")</f>
        <v>#VALUE!</v>
      </c>
      <c r="F170" s="4" t="str">
        <f>IFERROR(__xludf.DUMMYFUNCTION("""COMPUTED_VALUE"""),"")</f>
        <v/>
      </c>
      <c r="G170" s="4" t="str">
        <f>IFERROR(__xludf.DUMMYFUNCTION("""COMPUTED_VALUE"""),"#VALUE!")</f>
        <v>#VALUE!</v>
      </c>
      <c r="H170" s="4" t="str">
        <f>IFERROR(__xludf.DUMMYFUNCTION("""COMPUTED_VALUE"""),"")</f>
        <v/>
      </c>
    </row>
    <row r="171">
      <c r="E171" s="4" t="str">
        <f>IFERROR(__xludf.DUMMYFUNCTION("""COMPUTED_VALUE"""),"#VALUE!")</f>
        <v>#VALUE!</v>
      </c>
      <c r="F171" s="4" t="str">
        <f>IFERROR(__xludf.DUMMYFUNCTION("""COMPUTED_VALUE"""),"")</f>
        <v/>
      </c>
      <c r="G171" s="4" t="str">
        <f>IFERROR(__xludf.DUMMYFUNCTION("""COMPUTED_VALUE"""),"#VALUE!")</f>
        <v>#VALUE!</v>
      </c>
      <c r="H171" s="4" t="str">
        <f>IFERROR(__xludf.DUMMYFUNCTION("""COMPUTED_VALUE"""),"")</f>
        <v/>
      </c>
    </row>
    <row r="172">
      <c r="E172" s="4" t="str">
        <f>IFERROR(__xludf.DUMMYFUNCTION("""COMPUTED_VALUE"""),"#VALUE!")</f>
        <v>#VALUE!</v>
      </c>
      <c r="F172" s="4" t="str">
        <f>IFERROR(__xludf.DUMMYFUNCTION("""COMPUTED_VALUE"""),"")</f>
        <v/>
      </c>
      <c r="G172" s="4" t="str">
        <f>IFERROR(__xludf.DUMMYFUNCTION("""COMPUTED_VALUE"""),"#VALUE!")</f>
        <v>#VALUE!</v>
      </c>
      <c r="H172" s="4" t="str">
        <f>IFERROR(__xludf.DUMMYFUNCTION("""COMPUTED_VALUE"""),"")</f>
        <v/>
      </c>
    </row>
    <row r="173">
      <c r="E173" s="4" t="str">
        <f>IFERROR(__xludf.DUMMYFUNCTION("""COMPUTED_VALUE"""),"#VALUE!")</f>
        <v>#VALUE!</v>
      </c>
      <c r="F173" s="4" t="str">
        <f>IFERROR(__xludf.DUMMYFUNCTION("""COMPUTED_VALUE"""),"")</f>
        <v/>
      </c>
      <c r="G173" s="4" t="str">
        <f>IFERROR(__xludf.DUMMYFUNCTION("""COMPUTED_VALUE"""),"#VALUE!")</f>
        <v>#VALUE!</v>
      </c>
      <c r="H173" s="4" t="str">
        <f>IFERROR(__xludf.DUMMYFUNCTION("""COMPUTED_VALUE"""),"")</f>
        <v/>
      </c>
    </row>
    <row r="174">
      <c r="E174" s="4" t="str">
        <f>IFERROR(__xludf.DUMMYFUNCTION("""COMPUTED_VALUE"""),"#VALUE!")</f>
        <v>#VALUE!</v>
      </c>
      <c r="F174" s="4" t="str">
        <f>IFERROR(__xludf.DUMMYFUNCTION("""COMPUTED_VALUE"""),"")</f>
        <v/>
      </c>
      <c r="G174" s="4" t="str">
        <f>IFERROR(__xludf.DUMMYFUNCTION("""COMPUTED_VALUE"""),"#VALUE!")</f>
        <v>#VALUE!</v>
      </c>
      <c r="H174" s="4" t="str">
        <f>IFERROR(__xludf.DUMMYFUNCTION("""COMPUTED_VALUE"""),"")</f>
        <v/>
      </c>
    </row>
    <row r="175">
      <c r="E175" s="4" t="str">
        <f>IFERROR(__xludf.DUMMYFUNCTION("""COMPUTED_VALUE"""),"#VALUE!")</f>
        <v>#VALUE!</v>
      </c>
      <c r="F175" s="4" t="str">
        <f>IFERROR(__xludf.DUMMYFUNCTION("""COMPUTED_VALUE"""),"")</f>
        <v/>
      </c>
      <c r="G175" s="4" t="str">
        <f>IFERROR(__xludf.DUMMYFUNCTION("""COMPUTED_VALUE"""),"#VALUE!")</f>
        <v>#VALUE!</v>
      </c>
      <c r="H175" s="4" t="str">
        <f>IFERROR(__xludf.DUMMYFUNCTION("""COMPUTED_VALUE"""),"")</f>
        <v/>
      </c>
    </row>
    <row r="176">
      <c r="E176" s="4" t="str">
        <f>IFERROR(__xludf.DUMMYFUNCTION("""COMPUTED_VALUE"""),"#VALUE!")</f>
        <v>#VALUE!</v>
      </c>
      <c r="F176" s="4" t="str">
        <f>IFERROR(__xludf.DUMMYFUNCTION("""COMPUTED_VALUE"""),"")</f>
        <v/>
      </c>
      <c r="G176" s="4" t="str">
        <f>IFERROR(__xludf.DUMMYFUNCTION("""COMPUTED_VALUE"""),"#VALUE!")</f>
        <v>#VALUE!</v>
      </c>
      <c r="H176" s="4" t="str">
        <f>IFERROR(__xludf.DUMMYFUNCTION("""COMPUTED_VALUE"""),"")</f>
        <v/>
      </c>
    </row>
    <row r="177">
      <c r="E177" s="4" t="str">
        <f>IFERROR(__xludf.DUMMYFUNCTION("""COMPUTED_VALUE"""),"#VALUE!")</f>
        <v>#VALUE!</v>
      </c>
      <c r="F177" s="4" t="str">
        <f>IFERROR(__xludf.DUMMYFUNCTION("""COMPUTED_VALUE"""),"")</f>
        <v/>
      </c>
      <c r="G177" s="4" t="str">
        <f>IFERROR(__xludf.DUMMYFUNCTION("""COMPUTED_VALUE"""),"#VALUE!")</f>
        <v>#VALUE!</v>
      </c>
      <c r="H177" s="4" t="str">
        <f>IFERROR(__xludf.DUMMYFUNCTION("""COMPUTED_VALUE"""),"")</f>
        <v/>
      </c>
    </row>
    <row r="178">
      <c r="E178" s="4" t="str">
        <f>IFERROR(__xludf.DUMMYFUNCTION("""COMPUTED_VALUE"""),"#VALUE!")</f>
        <v>#VALUE!</v>
      </c>
      <c r="F178" s="4" t="str">
        <f>IFERROR(__xludf.DUMMYFUNCTION("""COMPUTED_VALUE"""),"")</f>
        <v/>
      </c>
      <c r="G178" s="4" t="str">
        <f>IFERROR(__xludf.DUMMYFUNCTION("""COMPUTED_VALUE"""),"#VALUE!")</f>
        <v>#VALUE!</v>
      </c>
      <c r="H178" s="4" t="str">
        <f>IFERROR(__xludf.DUMMYFUNCTION("""COMPUTED_VALUE"""),"")</f>
        <v/>
      </c>
    </row>
    <row r="179">
      <c r="E179" s="4" t="str">
        <f>IFERROR(__xludf.DUMMYFUNCTION("""COMPUTED_VALUE"""),"#VALUE!")</f>
        <v>#VALUE!</v>
      </c>
      <c r="F179" s="4" t="str">
        <f>IFERROR(__xludf.DUMMYFUNCTION("""COMPUTED_VALUE"""),"")</f>
        <v/>
      </c>
      <c r="G179" s="4" t="str">
        <f>IFERROR(__xludf.DUMMYFUNCTION("""COMPUTED_VALUE"""),"#VALUE!")</f>
        <v>#VALUE!</v>
      </c>
      <c r="H179" s="4" t="str">
        <f>IFERROR(__xludf.DUMMYFUNCTION("""COMPUTED_VALUE"""),"")</f>
        <v/>
      </c>
    </row>
    <row r="180">
      <c r="E180" s="4" t="str">
        <f>IFERROR(__xludf.DUMMYFUNCTION("""COMPUTED_VALUE"""),"#VALUE!")</f>
        <v>#VALUE!</v>
      </c>
      <c r="F180" s="4" t="str">
        <f>IFERROR(__xludf.DUMMYFUNCTION("""COMPUTED_VALUE"""),"")</f>
        <v/>
      </c>
      <c r="G180" s="4" t="str">
        <f>IFERROR(__xludf.DUMMYFUNCTION("""COMPUTED_VALUE"""),"#VALUE!")</f>
        <v>#VALUE!</v>
      </c>
      <c r="H180" s="4" t="str">
        <f>IFERROR(__xludf.DUMMYFUNCTION("""COMPUTED_VALUE"""),"")</f>
        <v/>
      </c>
    </row>
    <row r="181">
      <c r="E181" s="4" t="str">
        <f>IFERROR(__xludf.DUMMYFUNCTION("""COMPUTED_VALUE"""),"#VALUE!")</f>
        <v>#VALUE!</v>
      </c>
      <c r="F181" s="4" t="str">
        <f>IFERROR(__xludf.DUMMYFUNCTION("""COMPUTED_VALUE"""),"")</f>
        <v/>
      </c>
      <c r="G181" s="4" t="str">
        <f>IFERROR(__xludf.DUMMYFUNCTION("""COMPUTED_VALUE"""),"#VALUE!")</f>
        <v>#VALUE!</v>
      </c>
      <c r="H181" s="4" t="str">
        <f>IFERROR(__xludf.DUMMYFUNCTION("""COMPUTED_VALUE"""),"")</f>
        <v/>
      </c>
    </row>
    <row r="182">
      <c r="E182" s="4" t="str">
        <f>IFERROR(__xludf.DUMMYFUNCTION("""COMPUTED_VALUE"""),"#VALUE!")</f>
        <v>#VALUE!</v>
      </c>
      <c r="F182" s="4" t="str">
        <f>IFERROR(__xludf.DUMMYFUNCTION("""COMPUTED_VALUE"""),"")</f>
        <v/>
      </c>
      <c r="G182" s="4" t="str">
        <f>IFERROR(__xludf.DUMMYFUNCTION("""COMPUTED_VALUE"""),"#VALUE!")</f>
        <v>#VALUE!</v>
      </c>
      <c r="H182" s="4" t="str">
        <f>IFERROR(__xludf.DUMMYFUNCTION("""COMPUTED_VALUE"""),"")</f>
        <v/>
      </c>
    </row>
    <row r="183">
      <c r="E183" s="4" t="str">
        <f>IFERROR(__xludf.DUMMYFUNCTION("""COMPUTED_VALUE"""),"#VALUE!")</f>
        <v>#VALUE!</v>
      </c>
      <c r="F183" s="4" t="str">
        <f>IFERROR(__xludf.DUMMYFUNCTION("""COMPUTED_VALUE"""),"")</f>
        <v/>
      </c>
      <c r="G183" s="4" t="str">
        <f>IFERROR(__xludf.DUMMYFUNCTION("""COMPUTED_VALUE"""),"#VALUE!")</f>
        <v>#VALUE!</v>
      </c>
      <c r="H183" s="4" t="str">
        <f>IFERROR(__xludf.DUMMYFUNCTION("""COMPUTED_VALUE"""),"")</f>
        <v/>
      </c>
    </row>
    <row r="184">
      <c r="E184" s="4" t="str">
        <f>IFERROR(__xludf.DUMMYFUNCTION("""COMPUTED_VALUE"""),"#VALUE!")</f>
        <v>#VALUE!</v>
      </c>
      <c r="F184" s="4" t="str">
        <f>IFERROR(__xludf.DUMMYFUNCTION("""COMPUTED_VALUE"""),"")</f>
        <v/>
      </c>
      <c r="G184" s="4" t="str">
        <f>IFERROR(__xludf.DUMMYFUNCTION("""COMPUTED_VALUE"""),"#VALUE!")</f>
        <v>#VALUE!</v>
      </c>
      <c r="H184" s="4" t="str">
        <f>IFERROR(__xludf.DUMMYFUNCTION("""COMPUTED_VALUE"""),"")</f>
        <v/>
      </c>
    </row>
    <row r="185">
      <c r="E185" s="4" t="str">
        <f>IFERROR(__xludf.DUMMYFUNCTION("""COMPUTED_VALUE"""),"#VALUE!")</f>
        <v>#VALUE!</v>
      </c>
      <c r="F185" s="4" t="str">
        <f>IFERROR(__xludf.DUMMYFUNCTION("""COMPUTED_VALUE"""),"")</f>
        <v/>
      </c>
      <c r="G185" s="4" t="str">
        <f>IFERROR(__xludf.DUMMYFUNCTION("""COMPUTED_VALUE"""),"#VALUE!")</f>
        <v>#VALUE!</v>
      </c>
      <c r="H185" s="4" t="str">
        <f>IFERROR(__xludf.DUMMYFUNCTION("""COMPUTED_VALUE"""),"")</f>
        <v/>
      </c>
    </row>
    <row r="186">
      <c r="E186" s="4" t="str">
        <f>IFERROR(__xludf.DUMMYFUNCTION("""COMPUTED_VALUE"""),"#VALUE!")</f>
        <v>#VALUE!</v>
      </c>
      <c r="F186" s="4" t="str">
        <f>IFERROR(__xludf.DUMMYFUNCTION("""COMPUTED_VALUE"""),"")</f>
        <v/>
      </c>
      <c r="G186" s="4" t="str">
        <f>IFERROR(__xludf.DUMMYFUNCTION("""COMPUTED_VALUE"""),"#VALUE!")</f>
        <v>#VALUE!</v>
      </c>
      <c r="H186" s="4" t="str">
        <f>IFERROR(__xludf.DUMMYFUNCTION("""COMPUTED_VALUE"""),"")</f>
        <v/>
      </c>
    </row>
    <row r="187">
      <c r="E187" s="4" t="str">
        <f>IFERROR(__xludf.DUMMYFUNCTION("""COMPUTED_VALUE"""),"#VALUE!")</f>
        <v>#VALUE!</v>
      </c>
      <c r="F187" s="4" t="str">
        <f>IFERROR(__xludf.DUMMYFUNCTION("""COMPUTED_VALUE"""),"")</f>
        <v/>
      </c>
      <c r="G187" s="4" t="str">
        <f>IFERROR(__xludf.DUMMYFUNCTION("""COMPUTED_VALUE"""),"#VALUE!")</f>
        <v>#VALUE!</v>
      </c>
      <c r="H187" s="4" t="str">
        <f>IFERROR(__xludf.DUMMYFUNCTION("""COMPUTED_VALUE"""),"")</f>
        <v/>
      </c>
    </row>
    <row r="188">
      <c r="E188" s="4" t="str">
        <f>IFERROR(__xludf.DUMMYFUNCTION("""COMPUTED_VALUE"""),"#VALUE!")</f>
        <v>#VALUE!</v>
      </c>
      <c r="F188" s="4" t="str">
        <f>IFERROR(__xludf.DUMMYFUNCTION("""COMPUTED_VALUE"""),"")</f>
        <v/>
      </c>
      <c r="G188" s="4" t="str">
        <f>IFERROR(__xludf.DUMMYFUNCTION("""COMPUTED_VALUE"""),"#VALUE!")</f>
        <v>#VALUE!</v>
      </c>
      <c r="H188" s="4" t="str">
        <f>IFERROR(__xludf.DUMMYFUNCTION("""COMPUTED_VALUE"""),"")</f>
        <v/>
      </c>
    </row>
    <row r="189">
      <c r="E189" s="4" t="str">
        <f>IFERROR(__xludf.DUMMYFUNCTION("""COMPUTED_VALUE"""),"#VALUE!")</f>
        <v>#VALUE!</v>
      </c>
      <c r="F189" s="4" t="str">
        <f>IFERROR(__xludf.DUMMYFUNCTION("""COMPUTED_VALUE"""),"")</f>
        <v/>
      </c>
      <c r="G189" s="4" t="str">
        <f>IFERROR(__xludf.DUMMYFUNCTION("""COMPUTED_VALUE"""),"#VALUE!")</f>
        <v>#VALUE!</v>
      </c>
      <c r="H189" s="4" t="str">
        <f>IFERROR(__xludf.DUMMYFUNCTION("""COMPUTED_VALUE"""),"")</f>
        <v/>
      </c>
    </row>
    <row r="190">
      <c r="E190" s="4" t="str">
        <f>IFERROR(__xludf.DUMMYFUNCTION("""COMPUTED_VALUE"""),"#VALUE!")</f>
        <v>#VALUE!</v>
      </c>
      <c r="F190" s="4" t="str">
        <f>IFERROR(__xludf.DUMMYFUNCTION("""COMPUTED_VALUE"""),"")</f>
        <v/>
      </c>
      <c r="G190" s="4" t="str">
        <f>IFERROR(__xludf.DUMMYFUNCTION("""COMPUTED_VALUE"""),"#VALUE!")</f>
        <v>#VALUE!</v>
      </c>
      <c r="H190" s="4" t="str">
        <f>IFERROR(__xludf.DUMMYFUNCTION("""COMPUTED_VALUE"""),"")</f>
        <v/>
      </c>
    </row>
    <row r="191">
      <c r="E191" s="4" t="str">
        <f>IFERROR(__xludf.DUMMYFUNCTION("""COMPUTED_VALUE"""),"#VALUE!")</f>
        <v>#VALUE!</v>
      </c>
      <c r="F191" s="4" t="str">
        <f>IFERROR(__xludf.DUMMYFUNCTION("""COMPUTED_VALUE"""),"")</f>
        <v/>
      </c>
      <c r="G191" s="4" t="str">
        <f>IFERROR(__xludf.DUMMYFUNCTION("""COMPUTED_VALUE"""),"#VALUE!")</f>
        <v>#VALUE!</v>
      </c>
      <c r="H191" s="4" t="str">
        <f>IFERROR(__xludf.DUMMYFUNCTION("""COMPUTED_VALUE"""),"")</f>
        <v/>
      </c>
    </row>
    <row r="192">
      <c r="E192" s="4" t="str">
        <f>IFERROR(__xludf.DUMMYFUNCTION("""COMPUTED_VALUE"""),"#VALUE!")</f>
        <v>#VALUE!</v>
      </c>
      <c r="F192" s="4" t="str">
        <f>IFERROR(__xludf.DUMMYFUNCTION("""COMPUTED_VALUE"""),"")</f>
        <v/>
      </c>
      <c r="G192" s="4" t="str">
        <f>IFERROR(__xludf.DUMMYFUNCTION("""COMPUTED_VALUE"""),"#VALUE!")</f>
        <v>#VALUE!</v>
      </c>
      <c r="H192" s="4" t="str">
        <f>IFERROR(__xludf.DUMMYFUNCTION("""COMPUTED_VALUE"""),"")</f>
        <v/>
      </c>
    </row>
    <row r="193">
      <c r="E193" s="4" t="str">
        <f>IFERROR(__xludf.DUMMYFUNCTION("""COMPUTED_VALUE"""),"#VALUE!")</f>
        <v>#VALUE!</v>
      </c>
      <c r="F193" s="4" t="str">
        <f>IFERROR(__xludf.DUMMYFUNCTION("""COMPUTED_VALUE"""),"")</f>
        <v/>
      </c>
      <c r="G193" s="4" t="str">
        <f>IFERROR(__xludf.DUMMYFUNCTION("""COMPUTED_VALUE"""),"#VALUE!")</f>
        <v>#VALUE!</v>
      </c>
      <c r="H193" s="4" t="str">
        <f>IFERROR(__xludf.DUMMYFUNCTION("""COMPUTED_VALUE"""),"")</f>
        <v/>
      </c>
    </row>
    <row r="194">
      <c r="E194" s="4" t="str">
        <f>IFERROR(__xludf.DUMMYFUNCTION("""COMPUTED_VALUE"""),"#VALUE!")</f>
        <v>#VALUE!</v>
      </c>
      <c r="F194" s="4" t="str">
        <f>IFERROR(__xludf.DUMMYFUNCTION("""COMPUTED_VALUE"""),"")</f>
        <v/>
      </c>
      <c r="G194" s="4" t="str">
        <f>IFERROR(__xludf.DUMMYFUNCTION("""COMPUTED_VALUE"""),"#VALUE!")</f>
        <v>#VALUE!</v>
      </c>
      <c r="H194" s="4" t="str">
        <f>IFERROR(__xludf.DUMMYFUNCTION("""COMPUTED_VALUE"""),"")</f>
        <v/>
      </c>
    </row>
    <row r="195">
      <c r="E195" s="4" t="str">
        <f>IFERROR(__xludf.DUMMYFUNCTION("""COMPUTED_VALUE"""),"#VALUE!")</f>
        <v>#VALUE!</v>
      </c>
      <c r="F195" s="4" t="str">
        <f>IFERROR(__xludf.DUMMYFUNCTION("""COMPUTED_VALUE"""),"")</f>
        <v/>
      </c>
      <c r="G195" s="4" t="str">
        <f>IFERROR(__xludf.DUMMYFUNCTION("""COMPUTED_VALUE"""),"#VALUE!")</f>
        <v>#VALUE!</v>
      </c>
      <c r="H195" s="4" t="str">
        <f>IFERROR(__xludf.DUMMYFUNCTION("""COMPUTED_VALUE"""),"")</f>
        <v/>
      </c>
    </row>
    <row r="196">
      <c r="E196" s="4" t="str">
        <f>IFERROR(__xludf.DUMMYFUNCTION("""COMPUTED_VALUE"""),"#VALUE!")</f>
        <v>#VALUE!</v>
      </c>
      <c r="F196" s="4" t="str">
        <f>IFERROR(__xludf.DUMMYFUNCTION("""COMPUTED_VALUE"""),"")</f>
        <v/>
      </c>
      <c r="G196" s="4" t="str">
        <f>IFERROR(__xludf.DUMMYFUNCTION("""COMPUTED_VALUE"""),"#VALUE!")</f>
        <v>#VALUE!</v>
      </c>
      <c r="H196" s="4" t="str">
        <f>IFERROR(__xludf.DUMMYFUNCTION("""COMPUTED_VALUE"""),"")</f>
        <v/>
      </c>
    </row>
    <row r="197">
      <c r="E197" s="4" t="str">
        <f>IFERROR(__xludf.DUMMYFUNCTION("""COMPUTED_VALUE"""),"#VALUE!")</f>
        <v>#VALUE!</v>
      </c>
      <c r="F197" s="4" t="str">
        <f>IFERROR(__xludf.DUMMYFUNCTION("""COMPUTED_VALUE"""),"")</f>
        <v/>
      </c>
      <c r="G197" s="4" t="str">
        <f>IFERROR(__xludf.DUMMYFUNCTION("""COMPUTED_VALUE"""),"#VALUE!")</f>
        <v>#VALUE!</v>
      </c>
      <c r="H197" s="4" t="str">
        <f>IFERROR(__xludf.DUMMYFUNCTION("""COMPUTED_VALUE"""),"")</f>
        <v/>
      </c>
    </row>
    <row r="198">
      <c r="E198" s="4" t="str">
        <f>IFERROR(__xludf.DUMMYFUNCTION("""COMPUTED_VALUE"""),"#VALUE!")</f>
        <v>#VALUE!</v>
      </c>
      <c r="F198" s="4" t="str">
        <f>IFERROR(__xludf.DUMMYFUNCTION("""COMPUTED_VALUE"""),"")</f>
        <v/>
      </c>
      <c r="G198" s="4" t="str">
        <f>IFERROR(__xludf.DUMMYFUNCTION("""COMPUTED_VALUE"""),"#VALUE!")</f>
        <v>#VALUE!</v>
      </c>
      <c r="H198" s="4" t="str">
        <f>IFERROR(__xludf.DUMMYFUNCTION("""COMPUTED_VALUE"""),"")</f>
        <v/>
      </c>
    </row>
    <row r="199">
      <c r="E199" s="4" t="str">
        <f>IFERROR(__xludf.DUMMYFUNCTION("""COMPUTED_VALUE"""),"#VALUE!")</f>
        <v>#VALUE!</v>
      </c>
      <c r="F199" s="4" t="str">
        <f>IFERROR(__xludf.DUMMYFUNCTION("""COMPUTED_VALUE"""),"")</f>
        <v/>
      </c>
      <c r="G199" s="4" t="str">
        <f>IFERROR(__xludf.DUMMYFUNCTION("""COMPUTED_VALUE"""),"#VALUE!")</f>
        <v>#VALUE!</v>
      </c>
      <c r="H199" s="4" t="str">
        <f>IFERROR(__xludf.DUMMYFUNCTION("""COMPUTED_VALUE"""),"")</f>
        <v/>
      </c>
    </row>
    <row r="200">
      <c r="E200" s="4" t="str">
        <f>IFERROR(__xludf.DUMMYFUNCTION("""COMPUTED_VALUE"""),"#VALUE!")</f>
        <v>#VALUE!</v>
      </c>
      <c r="F200" s="4" t="str">
        <f>IFERROR(__xludf.DUMMYFUNCTION("""COMPUTED_VALUE"""),"")</f>
        <v/>
      </c>
      <c r="G200" s="4" t="str">
        <f>IFERROR(__xludf.DUMMYFUNCTION("""COMPUTED_VALUE"""),"#VALUE!")</f>
        <v>#VALUE!</v>
      </c>
      <c r="H200" s="4" t="str">
        <f>IFERROR(__xludf.DUMMYFUNCTION("""COMPUTED_VALUE"""),"")</f>
        <v/>
      </c>
    </row>
    <row r="201">
      <c r="E201" s="4" t="str">
        <f>IFERROR(__xludf.DUMMYFUNCTION("""COMPUTED_VALUE"""),"#VALUE!")</f>
        <v>#VALUE!</v>
      </c>
      <c r="F201" s="4" t="str">
        <f>IFERROR(__xludf.DUMMYFUNCTION("""COMPUTED_VALUE"""),"")</f>
        <v/>
      </c>
      <c r="G201" s="4" t="str">
        <f>IFERROR(__xludf.DUMMYFUNCTION("""COMPUTED_VALUE"""),"#VALUE!")</f>
        <v>#VALUE!</v>
      </c>
      <c r="H201" s="4" t="str">
        <f>IFERROR(__xludf.DUMMYFUNCTION("""COMPUTED_VALUE"""),"")</f>
        <v/>
      </c>
    </row>
    <row r="202">
      <c r="E202" s="4" t="str">
        <f>IFERROR(__xludf.DUMMYFUNCTION("""COMPUTED_VALUE"""),"#VALUE!")</f>
        <v>#VALUE!</v>
      </c>
      <c r="F202" s="4" t="str">
        <f>IFERROR(__xludf.DUMMYFUNCTION("""COMPUTED_VALUE"""),"")</f>
        <v/>
      </c>
      <c r="G202" s="4" t="str">
        <f>IFERROR(__xludf.DUMMYFUNCTION("""COMPUTED_VALUE"""),"#VALUE!")</f>
        <v>#VALUE!</v>
      </c>
      <c r="H202" s="4" t="str">
        <f>IFERROR(__xludf.DUMMYFUNCTION("""COMPUTED_VALUE"""),"")</f>
        <v/>
      </c>
    </row>
    <row r="203">
      <c r="E203" s="4" t="str">
        <f>IFERROR(__xludf.DUMMYFUNCTION("""COMPUTED_VALUE"""),"#VALUE!")</f>
        <v>#VALUE!</v>
      </c>
      <c r="F203" s="4" t="str">
        <f>IFERROR(__xludf.DUMMYFUNCTION("""COMPUTED_VALUE"""),"")</f>
        <v/>
      </c>
      <c r="G203" s="4" t="str">
        <f>IFERROR(__xludf.DUMMYFUNCTION("""COMPUTED_VALUE"""),"#VALUE!")</f>
        <v>#VALUE!</v>
      </c>
      <c r="H203" s="4" t="str">
        <f>IFERROR(__xludf.DUMMYFUNCTION("""COMPUTED_VALUE"""),"")</f>
        <v/>
      </c>
    </row>
    <row r="204">
      <c r="E204" s="4" t="str">
        <f>IFERROR(__xludf.DUMMYFUNCTION("""COMPUTED_VALUE"""),"#VALUE!")</f>
        <v>#VALUE!</v>
      </c>
      <c r="F204" s="4" t="str">
        <f>IFERROR(__xludf.DUMMYFUNCTION("""COMPUTED_VALUE"""),"")</f>
        <v/>
      </c>
      <c r="G204" s="4" t="str">
        <f>IFERROR(__xludf.DUMMYFUNCTION("""COMPUTED_VALUE"""),"#VALUE!")</f>
        <v>#VALUE!</v>
      </c>
      <c r="H204" s="4" t="str">
        <f>IFERROR(__xludf.DUMMYFUNCTION("""COMPUTED_VALUE"""),"")</f>
        <v/>
      </c>
    </row>
    <row r="205">
      <c r="E205" s="4" t="str">
        <f>IFERROR(__xludf.DUMMYFUNCTION("""COMPUTED_VALUE"""),"#VALUE!")</f>
        <v>#VALUE!</v>
      </c>
      <c r="F205" s="4" t="str">
        <f>IFERROR(__xludf.DUMMYFUNCTION("""COMPUTED_VALUE"""),"")</f>
        <v/>
      </c>
      <c r="G205" s="4" t="str">
        <f>IFERROR(__xludf.DUMMYFUNCTION("""COMPUTED_VALUE"""),"#VALUE!")</f>
        <v>#VALUE!</v>
      </c>
      <c r="H205" s="4" t="str">
        <f>IFERROR(__xludf.DUMMYFUNCTION("""COMPUTED_VALUE"""),"")</f>
        <v/>
      </c>
    </row>
    <row r="206">
      <c r="E206" s="4" t="str">
        <f>IFERROR(__xludf.DUMMYFUNCTION("""COMPUTED_VALUE"""),"#VALUE!")</f>
        <v>#VALUE!</v>
      </c>
      <c r="F206" s="4" t="str">
        <f>IFERROR(__xludf.DUMMYFUNCTION("""COMPUTED_VALUE"""),"")</f>
        <v/>
      </c>
      <c r="G206" s="4" t="str">
        <f>IFERROR(__xludf.DUMMYFUNCTION("""COMPUTED_VALUE"""),"#VALUE!")</f>
        <v>#VALUE!</v>
      </c>
      <c r="H206" s="4" t="str">
        <f>IFERROR(__xludf.DUMMYFUNCTION("""COMPUTED_VALUE"""),"")</f>
        <v/>
      </c>
    </row>
    <row r="207">
      <c r="E207" s="4" t="str">
        <f>IFERROR(__xludf.DUMMYFUNCTION("""COMPUTED_VALUE"""),"#VALUE!")</f>
        <v>#VALUE!</v>
      </c>
      <c r="F207" s="4" t="str">
        <f>IFERROR(__xludf.DUMMYFUNCTION("""COMPUTED_VALUE"""),"")</f>
        <v/>
      </c>
      <c r="G207" s="4" t="str">
        <f>IFERROR(__xludf.DUMMYFUNCTION("""COMPUTED_VALUE"""),"#VALUE!")</f>
        <v>#VALUE!</v>
      </c>
      <c r="H207" s="4" t="str">
        <f>IFERROR(__xludf.DUMMYFUNCTION("""COMPUTED_VALUE"""),"")</f>
        <v/>
      </c>
    </row>
    <row r="208">
      <c r="E208" s="4" t="str">
        <f>IFERROR(__xludf.DUMMYFUNCTION("""COMPUTED_VALUE"""),"#VALUE!")</f>
        <v>#VALUE!</v>
      </c>
      <c r="F208" s="4" t="str">
        <f>IFERROR(__xludf.DUMMYFUNCTION("""COMPUTED_VALUE"""),"")</f>
        <v/>
      </c>
      <c r="G208" s="4" t="str">
        <f>IFERROR(__xludf.DUMMYFUNCTION("""COMPUTED_VALUE"""),"#VALUE!")</f>
        <v>#VALUE!</v>
      </c>
      <c r="H208" s="4" t="str">
        <f>IFERROR(__xludf.DUMMYFUNCTION("""COMPUTED_VALUE"""),"")</f>
        <v/>
      </c>
    </row>
    <row r="209">
      <c r="E209" s="4" t="str">
        <f>IFERROR(__xludf.DUMMYFUNCTION("""COMPUTED_VALUE"""),"#VALUE!")</f>
        <v>#VALUE!</v>
      </c>
      <c r="F209" s="4" t="str">
        <f>IFERROR(__xludf.DUMMYFUNCTION("""COMPUTED_VALUE"""),"")</f>
        <v/>
      </c>
      <c r="G209" s="4" t="str">
        <f>IFERROR(__xludf.DUMMYFUNCTION("""COMPUTED_VALUE"""),"#VALUE!")</f>
        <v>#VALUE!</v>
      </c>
      <c r="H209" s="4" t="str">
        <f>IFERROR(__xludf.DUMMYFUNCTION("""COMPUTED_VALUE"""),"")</f>
        <v/>
      </c>
    </row>
    <row r="210">
      <c r="E210" s="4" t="str">
        <f>IFERROR(__xludf.DUMMYFUNCTION("""COMPUTED_VALUE"""),"#VALUE!")</f>
        <v>#VALUE!</v>
      </c>
      <c r="F210" s="4" t="str">
        <f>IFERROR(__xludf.DUMMYFUNCTION("""COMPUTED_VALUE"""),"")</f>
        <v/>
      </c>
      <c r="G210" s="4" t="str">
        <f>IFERROR(__xludf.DUMMYFUNCTION("""COMPUTED_VALUE"""),"#VALUE!")</f>
        <v>#VALUE!</v>
      </c>
      <c r="H210" s="4" t="str">
        <f>IFERROR(__xludf.DUMMYFUNCTION("""COMPUTED_VALUE"""),"")</f>
        <v/>
      </c>
    </row>
    <row r="211">
      <c r="E211" s="4" t="str">
        <f>IFERROR(__xludf.DUMMYFUNCTION("""COMPUTED_VALUE"""),"#VALUE!")</f>
        <v>#VALUE!</v>
      </c>
      <c r="F211" s="4" t="str">
        <f>IFERROR(__xludf.DUMMYFUNCTION("""COMPUTED_VALUE"""),"")</f>
        <v/>
      </c>
      <c r="G211" s="4" t="str">
        <f>IFERROR(__xludf.DUMMYFUNCTION("""COMPUTED_VALUE"""),"#VALUE!")</f>
        <v>#VALUE!</v>
      </c>
      <c r="H211" s="4" t="str">
        <f>IFERROR(__xludf.DUMMYFUNCTION("""COMPUTED_VALUE"""),"")</f>
        <v/>
      </c>
    </row>
    <row r="212">
      <c r="E212" s="4" t="str">
        <f>IFERROR(__xludf.DUMMYFUNCTION("""COMPUTED_VALUE"""),"#VALUE!")</f>
        <v>#VALUE!</v>
      </c>
      <c r="F212" s="4" t="str">
        <f>IFERROR(__xludf.DUMMYFUNCTION("""COMPUTED_VALUE"""),"")</f>
        <v/>
      </c>
      <c r="G212" s="4" t="str">
        <f>IFERROR(__xludf.DUMMYFUNCTION("""COMPUTED_VALUE"""),"#VALUE!")</f>
        <v>#VALUE!</v>
      </c>
      <c r="H212" s="4" t="str">
        <f>IFERROR(__xludf.DUMMYFUNCTION("""COMPUTED_VALUE"""),"")</f>
        <v/>
      </c>
    </row>
    <row r="213">
      <c r="E213" s="4" t="str">
        <f>IFERROR(__xludf.DUMMYFUNCTION("""COMPUTED_VALUE"""),"#VALUE!")</f>
        <v>#VALUE!</v>
      </c>
      <c r="F213" s="4" t="str">
        <f>IFERROR(__xludf.DUMMYFUNCTION("""COMPUTED_VALUE"""),"")</f>
        <v/>
      </c>
      <c r="G213" s="4" t="str">
        <f>IFERROR(__xludf.DUMMYFUNCTION("""COMPUTED_VALUE"""),"#VALUE!")</f>
        <v>#VALUE!</v>
      </c>
      <c r="H213" s="4" t="str">
        <f>IFERROR(__xludf.DUMMYFUNCTION("""COMPUTED_VALUE"""),"")</f>
        <v/>
      </c>
    </row>
    <row r="214">
      <c r="E214" s="4" t="str">
        <f>IFERROR(__xludf.DUMMYFUNCTION("""COMPUTED_VALUE"""),"#VALUE!")</f>
        <v>#VALUE!</v>
      </c>
      <c r="F214" s="4" t="str">
        <f>IFERROR(__xludf.DUMMYFUNCTION("""COMPUTED_VALUE"""),"")</f>
        <v/>
      </c>
      <c r="G214" s="4" t="str">
        <f>IFERROR(__xludf.DUMMYFUNCTION("""COMPUTED_VALUE"""),"#VALUE!")</f>
        <v>#VALUE!</v>
      </c>
      <c r="H214" s="4" t="str">
        <f>IFERROR(__xludf.DUMMYFUNCTION("""COMPUTED_VALUE"""),"")</f>
        <v/>
      </c>
    </row>
    <row r="215">
      <c r="E215" s="4" t="str">
        <f>IFERROR(__xludf.DUMMYFUNCTION("""COMPUTED_VALUE"""),"#VALUE!")</f>
        <v>#VALUE!</v>
      </c>
      <c r="F215" s="4" t="str">
        <f>IFERROR(__xludf.DUMMYFUNCTION("""COMPUTED_VALUE"""),"")</f>
        <v/>
      </c>
      <c r="G215" s="4" t="str">
        <f>IFERROR(__xludf.DUMMYFUNCTION("""COMPUTED_VALUE"""),"#VALUE!")</f>
        <v>#VALUE!</v>
      </c>
      <c r="H215" s="4" t="str">
        <f>IFERROR(__xludf.DUMMYFUNCTION("""COMPUTED_VALUE"""),"")</f>
        <v/>
      </c>
    </row>
    <row r="216">
      <c r="E216" s="4" t="str">
        <f>IFERROR(__xludf.DUMMYFUNCTION("""COMPUTED_VALUE"""),"#VALUE!")</f>
        <v>#VALUE!</v>
      </c>
      <c r="F216" s="4" t="str">
        <f>IFERROR(__xludf.DUMMYFUNCTION("""COMPUTED_VALUE"""),"")</f>
        <v/>
      </c>
      <c r="G216" s="4" t="str">
        <f>IFERROR(__xludf.DUMMYFUNCTION("""COMPUTED_VALUE"""),"#VALUE!")</f>
        <v>#VALUE!</v>
      </c>
      <c r="H216" s="4" t="str">
        <f>IFERROR(__xludf.DUMMYFUNCTION("""COMPUTED_VALUE"""),"")</f>
        <v/>
      </c>
    </row>
    <row r="217">
      <c r="E217" s="4" t="str">
        <f>IFERROR(__xludf.DUMMYFUNCTION("""COMPUTED_VALUE"""),"#VALUE!")</f>
        <v>#VALUE!</v>
      </c>
      <c r="F217" s="4" t="str">
        <f>IFERROR(__xludf.DUMMYFUNCTION("""COMPUTED_VALUE"""),"")</f>
        <v/>
      </c>
      <c r="G217" s="4" t="str">
        <f>IFERROR(__xludf.DUMMYFUNCTION("""COMPUTED_VALUE"""),"#VALUE!")</f>
        <v>#VALUE!</v>
      </c>
      <c r="H217" s="4" t="str">
        <f>IFERROR(__xludf.DUMMYFUNCTION("""COMPUTED_VALUE"""),"")</f>
        <v/>
      </c>
    </row>
    <row r="218">
      <c r="E218" s="4" t="str">
        <f>IFERROR(__xludf.DUMMYFUNCTION("""COMPUTED_VALUE"""),"#VALUE!")</f>
        <v>#VALUE!</v>
      </c>
      <c r="F218" s="4" t="str">
        <f>IFERROR(__xludf.DUMMYFUNCTION("""COMPUTED_VALUE"""),"")</f>
        <v/>
      </c>
      <c r="G218" s="4" t="str">
        <f>IFERROR(__xludf.DUMMYFUNCTION("""COMPUTED_VALUE"""),"#VALUE!")</f>
        <v>#VALUE!</v>
      </c>
      <c r="H218" s="4" t="str">
        <f>IFERROR(__xludf.DUMMYFUNCTION("""COMPUTED_VALUE"""),"")</f>
        <v/>
      </c>
    </row>
    <row r="219">
      <c r="E219" s="4" t="str">
        <f>IFERROR(__xludf.DUMMYFUNCTION("""COMPUTED_VALUE"""),"#VALUE!")</f>
        <v>#VALUE!</v>
      </c>
      <c r="F219" s="4" t="str">
        <f>IFERROR(__xludf.DUMMYFUNCTION("""COMPUTED_VALUE"""),"")</f>
        <v/>
      </c>
      <c r="G219" s="4" t="str">
        <f>IFERROR(__xludf.DUMMYFUNCTION("""COMPUTED_VALUE"""),"#VALUE!")</f>
        <v>#VALUE!</v>
      </c>
      <c r="H219" s="4" t="str">
        <f>IFERROR(__xludf.DUMMYFUNCTION("""COMPUTED_VALUE"""),"")</f>
        <v/>
      </c>
    </row>
    <row r="220">
      <c r="E220" s="4" t="str">
        <f>IFERROR(__xludf.DUMMYFUNCTION("""COMPUTED_VALUE"""),"#VALUE!")</f>
        <v>#VALUE!</v>
      </c>
      <c r="F220" s="4" t="str">
        <f>IFERROR(__xludf.DUMMYFUNCTION("""COMPUTED_VALUE"""),"")</f>
        <v/>
      </c>
      <c r="G220" s="4" t="str">
        <f>IFERROR(__xludf.DUMMYFUNCTION("""COMPUTED_VALUE"""),"#VALUE!")</f>
        <v>#VALUE!</v>
      </c>
      <c r="H220" s="4" t="str">
        <f>IFERROR(__xludf.DUMMYFUNCTION("""COMPUTED_VALUE"""),"")</f>
        <v/>
      </c>
    </row>
    <row r="221">
      <c r="E221" s="4" t="str">
        <f>IFERROR(__xludf.DUMMYFUNCTION("""COMPUTED_VALUE"""),"#VALUE!")</f>
        <v>#VALUE!</v>
      </c>
      <c r="F221" s="4" t="str">
        <f>IFERROR(__xludf.DUMMYFUNCTION("""COMPUTED_VALUE"""),"")</f>
        <v/>
      </c>
      <c r="G221" s="4" t="str">
        <f>IFERROR(__xludf.DUMMYFUNCTION("""COMPUTED_VALUE"""),"#VALUE!")</f>
        <v>#VALUE!</v>
      </c>
      <c r="H221" s="4" t="str">
        <f>IFERROR(__xludf.DUMMYFUNCTION("""COMPUTED_VALUE"""),"")</f>
        <v/>
      </c>
    </row>
    <row r="222">
      <c r="E222" s="4" t="str">
        <f>IFERROR(__xludf.DUMMYFUNCTION("""COMPUTED_VALUE"""),"#VALUE!")</f>
        <v>#VALUE!</v>
      </c>
      <c r="F222" s="4" t="str">
        <f>IFERROR(__xludf.DUMMYFUNCTION("""COMPUTED_VALUE"""),"")</f>
        <v/>
      </c>
      <c r="G222" s="4" t="str">
        <f>IFERROR(__xludf.DUMMYFUNCTION("""COMPUTED_VALUE"""),"#VALUE!")</f>
        <v>#VALUE!</v>
      </c>
      <c r="H222" s="4" t="str">
        <f>IFERROR(__xludf.DUMMYFUNCTION("""COMPUTED_VALUE"""),"")</f>
        <v/>
      </c>
    </row>
    <row r="223">
      <c r="E223" s="4" t="str">
        <f>IFERROR(__xludf.DUMMYFUNCTION("""COMPUTED_VALUE"""),"#VALUE!")</f>
        <v>#VALUE!</v>
      </c>
      <c r="F223" s="4" t="str">
        <f>IFERROR(__xludf.DUMMYFUNCTION("""COMPUTED_VALUE"""),"")</f>
        <v/>
      </c>
      <c r="G223" s="4" t="str">
        <f>IFERROR(__xludf.DUMMYFUNCTION("""COMPUTED_VALUE"""),"#VALUE!")</f>
        <v>#VALUE!</v>
      </c>
      <c r="H223" s="4" t="str">
        <f>IFERROR(__xludf.DUMMYFUNCTION("""COMPUTED_VALUE"""),"")</f>
        <v/>
      </c>
    </row>
    <row r="224">
      <c r="E224" s="4" t="str">
        <f>IFERROR(__xludf.DUMMYFUNCTION("""COMPUTED_VALUE"""),"#VALUE!")</f>
        <v>#VALUE!</v>
      </c>
      <c r="F224" s="4" t="str">
        <f>IFERROR(__xludf.DUMMYFUNCTION("""COMPUTED_VALUE"""),"")</f>
        <v/>
      </c>
      <c r="G224" s="4" t="str">
        <f>IFERROR(__xludf.DUMMYFUNCTION("""COMPUTED_VALUE"""),"#VALUE!")</f>
        <v>#VALUE!</v>
      </c>
      <c r="H224" s="4" t="str">
        <f>IFERROR(__xludf.DUMMYFUNCTION("""COMPUTED_VALUE"""),"")</f>
        <v/>
      </c>
    </row>
    <row r="225">
      <c r="E225" s="4" t="str">
        <f>IFERROR(__xludf.DUMMYFUNCTION("""COMPUTED_VALUE"""),"#VALUE!")</f>
        <v>#VALUE!</v>
      </c>
      <c r="F225" s="4" t="str">
        <f>IFERROR(__xludf.DUMMYFUNCTION("""COMPUTED_VALUE"""),"")</f>
        <v/>
      </c>
      <c r="G225" s="4" t="str">
        <f>IFERROR(__xludf.DUMMYFUNCTION("""COMPUTED_VALUE"""),"#VALUE!")</f>
        <v>#VALUE!</v>
      </c>
      <c r="H225" s="4" t="str">
        <f>IFERROR(__xludf.DUMMYFUNCTION("""COMPUTED_VALUE"""),"")</f>
        <v/>
      </c>
    </row>
    <row r="226">
      <c r="E226" s="4" t="str">
        <f>IFERROR(__xludf.DUMMYFUNCTION("""COMPUTED_VALUE"""),"#VALUE!")</f>
        <v>#VALUE!</v>
      </c>
      <c r="F226" s="4" t="str">
        <f>IFERROR(__xludf.DUMMYFUNCTION("""COMPUTED_VALUE"""),"")</f>
        <v/>
      </c>
      <c r="G226" s="4" t="str">
        <f>IFERROR(__xludf.DUMMYFUNCTION("""COMPUTED_VALUE"""),"#VALUE!")</f>
        <v>#VALUE!</v>
      </c>
      <c r="H226" s="4" t="str">
        <f>IFERROR(__xludf.DUMMYFUNCTION("""COMPUTED_VALUE"""),"")</f>
        <v/>
      </c>
    </row>
    <row r="227">
      <c r="E227" s="4" t="str">
        <f>IFERROR(__xludf.DUMMYFUNCTION("""COMPUTED_VALUE"""),"#VALUE!")</f>
        <v>#VALUE!</v>
      </c>
      <c r="F227" s="4" t="str">
        <f>IFERROR(__xludf.DUMMYFUNCTION("""COMPUTED_VALUE"""),"")</f>
        <v/>
      </c>
      <c r="G227" s="4" t="str">
        <f>IFERROR(__xludf.DUMMYFUNCTION("""COMPUTED_VALUE"""),"#VALUE!")</f>
        <v>#VALUE!</v>
      </c>
      <c r="H227" s="4" t="str">
        <f>IFERROR(__xludf.DUMMYFUNCTION("""COMPUTED_VALUE"""),"")</f>
        <v/>
      </c>
    </row>
    <row r="228">
      <c r="E228" s="4" t="str">
        <f>IFERROR(__xludf.DUMMYFUNCTION("""COMPUTED_VALUE"""),"#VALUE!")</f>
        <v>#VALUE!</v>
      </c>
      <c r="F228" s="4" t="str">
        <f>IFERROR(__xludf.DUMMYFUNCTION("""COMPUTED_VALUE"""),"")</f>
        <v/>
      </c>
      <c r="G228" s="4" t="str">
        <f>IFERROR(__xludf.DUMMYFUNCTION("""COMPUTED_VALUE"""),"#VALUE!")</f>
        <v>#VALUE!</v>
      </c>
      <c r="H228" s="4" t="str">
        <f>IFERROR(__xludf.DUMMYFUNCTION("""COMPUTED_VALUE"""),"")</f>
        <v/>
      </c>
    </row>
    <row r="229">
      <c r="E229" s="4" t="str">
        <f>IFERROR(__xludf.DUMMYFUNCTION("""COMPUTED_VALUE"""),"#VALUE!")</f>
        <v>#VALUE!</v>
      </c>
      <c r="F229" s="4" t="str">
        <f>IFERROR(__xludf.DUMMYFUNCTION("""COMPUTED_VALUE"""),"")</f>
        <v/>
      </c>
      <c r="G229" s="4" t="str">
        <f>IFERROR(__xludf.DUMMYFUNCTION("""COMPUTED_VALUE"""),"#VALUE!")</f>
        <v>#VALUE!</v>
      </c>
      <c r="H229" s="4" t="str">
        <f>IFERROR(__xludf.DUMMYFUNCTION("""COMPUTED_VALUE"""),"")</f>
        <v/>
      </c>
    </row>
    <row r="230">
      <c r="E230" s="4" t="str">
        <f>IFERROR(__xludf.DUMMYFUNCTION("""COMPUTED_VALUE"""),"#VALUE!")</f>
        <v>#VALUE!</v>
      </c>
      <c r="F230" s="4" t="str">
        <f>IFERROR(__xludf.DUMMYFUNCTION("""COMPUTED_VALUE"""),"")</f>
        <v/>
      </c>
      <c r="G230" s="4" t="str">
        <f>IFERROR(__xludf.DUMMYFUNCTION("""COMPUTED_VALUE"""),"#VALUE!")</f>
        <v>#VALUE!</v>
      </c>
      <c r="H230" s="4" t="str">
        <f>IFERROR(__xludf.DUMMYFUNCTION("""COMPUTED_VALUE"""),"")</f>
        <v/>
      </c>
    </row>
    <row r="231">
      <c r="E231" s="4" t="str">
        <f>IFERROR(__xludf.DUMMYFUNCTION("""COMPUTED_VALUE"""),"#VALUE!")</f>
        <v>#VALUE!</v>
      </c>
      <c r="F231" s="4" t="str">
        <f>IFERROR(__xludf.DUMMYFUNCTION("""COMPUTED_VALUE"""),"")</f>
        <v/>
      </c>
      <c r="G231" s="4" t="str">
        <f>IFERROR(__xludf.DUMMYFUNCTION("""COMPUTED_VALUE"""),"#VALUE!")</f>
        <v>#VALUE!</v>
      </c>
      <c r="H231" s="4" t="str">
        <f>IFERROR(__xludf.DUMMYFUNCTION("""COMPUTED_VALUE"""),"")</f>
        <v/>
      </c>
    </row>
    <row r="232">
      <c r="E232" s="4" t="str">
        <f>IFERROR(__xludf.DUMMYFUNCTION("""COMPUTED_VALUE"""),"#VALUE!")</f>
        <v>#VALUE!</v>
      </c>
      <c r="F232" s="4" t="str">
        <f>IFERROR(__xludf.DUMMYFUNCTION("""COMPUTED_VALUE"""),"")</f>
        <v/>
      </c>
      <c r="G232" s="4" t="str">
        <f>IFERROR(__xludf.DUMMYFUNCTION("""COMPUTED_VALUE"""),"#VALUE!")</f>
        <v>#VALUE!</v>
      </c>
      <c r="H232" s="4" t="str">
        <f>IFERROR(__xludf.DUMMYFUNCTION("""COMPUTED_VALUE"""),"")</f>
        <v/>
      </c>
    </row>
    <row r="233">
      <c r="E233" s="4" t="str">
        <f>IFERROR(__xludf.DUMMYFUNCTION("""COMPUTED_VALUE"""),"#VALUE!")</f>
        <v>#VALUE!</v>
      </c>
      <c r="F233" s="4" t="str">
        <f>IFERROR(__xludf.DUMMYFUNCTION("""COMPUTED_VALUE"""),"")</f>
        <v/>
      </c>
      <c r="G233" s="4" t="str">
        <f>IFERROR(__xludf.DUMMYFUNCTION("""COMPUTED_VALUE"""),"#VALUE!")</f>
        <v>#VALUE!</v>
      </c>
      <c r="H233" s="4" t="str">
        <f>IFERROR(__xludf.DUMMYFUNCTION("""COMPUTED_VALUE"""),"")</f>
        <v/>
      </c>
    </row>
    <row r="234">
      <c r="E234" s="4" t="str">
        <f>IFERROR(__xludf.DUMMYFUNCTION("""COMPUTED_VALUE"""),"#VALUE!")</f>
        <v>#VALUE!</v>
      </c>
      <c r="F234" s="4" t="str">
        <f>IFERROR(__xludf.DUMMYFUNCTION("""COMPUTED_VALUE"""),"")</f>
        <v/>
      </c>
      <c r="G234" s="4" t="str">
        <f>IFERROR(__xludf.DUMMYFUNCTION("""COMPUTED_VALUE"""),"#VALUE!")</f>
        <v>#VALUE!</v>
      </c>
      <c r="H234" s="4" t="str">
        <f>IFERROR(__xludf.DUMMYFUNCTION("""COMPUTED_VALUE"""),"")</f>
        <v/>
      </c>
    </row>
    <row r="235">
      <c r="E235" s="4" t="str">
        <f>IFERROR(__xludf.DUMMYFUNCTION("""COMPUTED_VALUE"""),"#VALUE!")</f>
        <v>#VALUE!</v>
      </c>
      <c r="F235" s="4" t="str">
        <f>IFERROR(__xludf.DUMMYFUNCTION("""COMPUTED_VALUE"""),"")</f>
        <v/>
      </c>
      <c r="G235" s="4" t="str">
        <f>IFERROR(__xludf.DUMMYFUNCTION("""COMPUTED_VALUE"""),"#VALUE!")</f>
        <v>#VALUE!</v>
      </c>
      <c r="H235" s="4" t="str">
        <f>IFERROR(__xludf.DUMMYFUNCTION("""COMPUTED_VALUE"""),"")</f>
        <v/>
      </c>
    </row>
    <row r="236">
      <c r="E236" s="4" t="str">
        <f>IFERROR(__xludf.DUMMYFUNCTION("""COMPUTED_VALUE"""),"#VALUE!")</f>
        <v>#VALUE!</v>
      </c>
      <c r="F236" s="4" t="str">
        <f>IFERROR(__xludf.DUMMYFUNCTION("""COMPUTED_VALUE"""),"")</f>
        <v/>
      </c>
      <c r="G236" s="4" t="str">
        <f>IFERROR(__xludf.DUMMYFUNCTION("""COMPUTED_VALUE"""),"#VALUE!")</f>
        <v>#VALUE!</v>
      </c>
      <c r="H236" s="4" t="str">
        <f>IFERROR(__xludf.DUMMYFUNCTION("""COMPUTED_VALUE"""),"")</f>
        <v/>
      </c>
    </row>
    <row r="237">
      <c r="E237" s="4" t="str">
        <f>IFERROR(__xludf.DUMMYFUNCTION("""COMPUTED_VALUE"""),"#VALUE!")</f>
        <v>#VALUE!</v>
      </c>
      <c r="F237" s="4" t="str">
        <f>IFERROR(__xludf.DUMMYFUNCTION("""COMPUTED_VALUE"""),"")</f>
        <v/>
      </c>
      <c r="G237" s="4" t="str">
        <f>IFERROR(__xludf.DUMMYFUNCTION("""COMPUTED_VALUE"""),"#VALUE!")</f>
        <v>#VALUE!</v>
      </c>
      <c r="H237" s="4" t="str">
        <f>IFERROR(__xludf.DUMMYFUNCTION("""COMPUTED_VALUE"""),"")</f>
        <v/>
      </c>
    </row>
    <row r="238">
      <c r="E238" s="4" t="str">
        <f>IFERROR(__xludf.DUMMYFUNCTION("""COMPUTED_VALUE"""),"#VALUE!")</f>
        <v>#VALUE!</v>
      </c>
      <c r="F238" s="4" t="str">
        <f>IFERROR(__xludf.DUMMYFUNCTION("""COMPUTED_VALUE"""),"")</f>
        <v/>
      </c>
      <c r="G238" s="4" t="str">
        <f>IFERROR(__xludf.DUMMYFUNCTION("""COMPUTED_VALUE"""),"#VALUE!")</f>
        <v>#VALUE!</v>
      </c>
      <c r="H238" s="4" t="str">
        <f>IFERROR(__xludf.DUMMYFUNCTION("""COMPUTED_VALUE"""),"")</f>
        <v/>
      </c>
    </row>
    <row r="239">
      <c r="E239" s="4" t="str">
        <f>IFERROR(__xludf.DUMMYFUNCTION("""COMPUTED_VALUE"""),"#VALUE!")</f>
        <v>#VALUE!</v>
      </c>
      <c r="F239" s="4" t="str">
        <f>IFERROR(__xludf.DUMMYFUNCTION("""COMPUTED_VALUE"""),"")</f>
        <v/>
      </c>
      <c r="G239" s="4" t="str">
        <f>IFERROR(__xludf.DUMMYFUNCTION("""COMPUTED_VALUE"""),"#VALUE!")</f>
        <v>#VALUE!</v>
      </c>
      <c r="H239" s="4" t="str">
        <f>IFERROR(__xludf.DUMMYFUNCTION("""COMPUTED_VALUE"""),"")</f>
        <v/>
      </c>
    </row>
    <row r="240">
      <c r="E240" s="4" t="str">
        <f>IFERROR(__xludf.DUMMYFUNCTION("""COMPUTED_VALUE"""),"#VALUE!")</f>
        <v>#VALUE!</v>
      </c>
      <c r="F240" s="4" t="str">
        <f>IFERROR(__xludf.DUMMYFUNCTION("""COMPUTED_VALUE"""),"")</f>
        <v/>
      </c>
      <c r="G240" s="4" t="str">
        <f>IFERROR(__xludf.DUMMYFUNCTION("""COMPUTED_VALUE"""),"#VALUE!")</f>
        <v>#VALUE!</v>
      </c>
      <c r="H240" s="4" t="str">
        <f>IFERROR(__xludf.DUMMYFUNCTION("""COMPUTED_VALUE"""),"")</f>
        <v/>
      </c>
    </row>
    <row r="241">
      <c r="E241" s="4" t="str">
        <f>IFERROR(__xludf.DUMMYFUNCTION("""COMPUTED_VALUE"""),"#VALUE!")</f>
        <v>#VALUE!</v>
      </c>
      <c r="F241" s="4" t="str">
        <f>IFERROR(__xludf.DUMMYFUNCTION("""COMPUTED_VALUE"""),"")</f>
        <v/>
      </c>
      <c r="G241" s="4" t="str">
        <f>IFERROR(__xludf.DUMMYFUNCTION("""COMPUTED_VALUE"""),"#VALUE!")</f>
        <v>#VALUE!</v>
      </c>
      <c r="H241" s="4" t="str">
        <f>IFERROR(__xludf.DUMMYFUNCTION("""COMPUTED_VALUE"""),"")</f>
        <v/>
      </c>
    </row>
    <row r="242">
      <c r="E242" s="4" t="str">
        <f>IFERROR(__xludf.DUMMYFUNCTION("""COMPUTED_VALUE"""),"#VALUE!")</f>
        <v>#VALUE!</v>
      </c>
      <c r="F242" s="4" t="str">
        <f>IFERROR(__xludf.DUMMYFUNCTION("""COMPUTED_VALUE"""),"")</f>
        <v/>
      </c>
      <c r="G242" s="4" t="str">
        <f>IFERROR(__xludf.DUMMYFUNCTION("""COMPUTED_VALUE"""),"#VALUE!")</f>
        <v>#VALUE!</v>
      </c>
      <c r="H242" s="4" t="str">
        <f>IFERROR(__xludf.DUMMYFUNCTION("""COMPUTED_VALUE"""),"")</f>
        <v/>
      </c>
    </row>
    <row r="243">
      <c r="E243" s="4" t="str">
        <f>IFERROR(__xludf.DUMMYFUNCTION("""COMPUTED_VALUE"""),"#VALUE!")</f>
        <v>#VALUE!</v>
      </c>
      <c r="F243" s="4" t="str">
        <f>IFERROR(__xludf.DUMMYFUNCTION("""COMPUTED_VALUE"""),"")</f>
        <v/>
      </c>
      <c r="G243" s="4" t="str">
        <f>IFERROR(__xludf.DUMMYFUNCTION("""COMPUTED_VALUE"""),"#VALUE!")</f>
        <v>#VALUE!</v>
      </c>
      <c r="H243" s="4" t="str">
        <f>IFERROR(__xludf.DUMMYFUNCTION("""COMPUTED_VALUE"""),"")</f>
        <v/>
      </c>
    </row>
    <row r="244">
      <c r="E244" s="4" t="str">
        <f>IFERROR(__xludf.DUMMYFUNCTION("""COMPUTED_VALUE"""),"#VALUE!")</f>
        <v>#VALUE!</v>
      </c>
      <c r="F244" s="4" t="str">
        <f>IFERROR(__xludf.DUMMYFUNCTION("""COMPUTED_VALUE"""),"")</f>
        <v/>
      </c>
      <c r="G244" s="4" t="str">
        <f>IFERROR(__xludf.DUMMYFUNCTION("""COMPUTED_VALUE"""),"#VALUE!")</f>
        <v>#VALUE!</v>
      </c>
      <c r="H244" s="4" t="str">
        <f>IFERROR(__xludf.DUMMYFUNCTION("""COMPUTED_VALUE"""),"")</f>
        <v/>
      </c>
    </row>
    <row r="245">
      <c r="E245" s="4" t="str">
        <f>IFERROR(__xludf.DUMMYFUNCTION("""COMPUTED_VALUE"""),"#VALUE!")</f>
        <v>#VALUE!</v>
      </c>
      <c r="F245" s="4" t="str">
        <f>IFERROR(__xludf.DUMMYFUNCTION("""COMPUTED_VALUE"""),"")</f>
        <v/>
      </c>
      <c r="G245" s="4" t="str">
        <f>IFERROR(__xludf.DUMMYFUNCTION("""COMPUTED_VALUE"""),"#VALUE!")</f>
        <v>#VALUE!</v>
      </c>
      <c r="H245" s="4" t="str">
        <f>IFERROR(__xludf.DUMMYFUNCTION("""COMPUTED_VALUE"""),"")</f>
        <v/>
      </c>
    </row>
    <row r="246">
      <c r="E246" s="4" t="str">
        <f>IFERROR(__xludf.DUMMYFUNCTION("""COMPUTED_VALUE"""),"#VALUE!")</f>
        <v>#VALUE!</v>
      </c>
      <c r="F246" s="4" t="str">
        <f>IFERROR(__xludf.DUMMYFUNCTION("""COMPUTED_VALUE"""),"")</f>
        <v/>
      </c>
      <c r="G246" s="4" t="str">
        <f>IFERROR(__xludf.DUMMYFUNCTION("""COMPUTED_VALUE"""),"#VALUE!")</f>
        <v>#VALUE!</v>
      </c>
      <c r="H246" s="4" t="str">
        <f>IFERROR(__xludf.DUMMYFUNCTION("""COMPUTED_VALUE"""),"")</f>
        <v/>
      </c>
    </row>
    <row r="247">
      <c r="E247" s="4" t="str">
        <f>IFERROR(__xludf.DUMMYFUNCTION("""COMPUTED_VALUE"""),"#VALUE!")</f>
        <v>#VALUE!</v>
      </c>
      <c r="F247" s="4" t="str">
        <f>IFERROR(__xludf.DUMMYFUNCTION("""COMPUTED_VALUE"""),"")</f>
        <v/>
      </c>
      <c r="G247" s="4" t="str">
        <f>IFERROR(__xludf.DUMMYFUNCTION("""COMPUTED_VALUE"""),"#VALUE!")</f>
        <v>#VALUE!</v>
      </c>
      <c r="H247" s="4" t="str">
        <f>IFERROR(__xludf.DUMMYFUNCTION("""COMPUTED_VALUE"""),"")</f>
        <v/>
      </c>
    </row>
    <row r="248">
      <c r="E248" s="4" t="str">
        <f>IFERROR(__xludf.DUMMYFUNCTION("""COMPUTED_VALUE"""),"#VALUE!")</f>
        <v>#VALUE!</v>
      </c>
      <c r="F248" s="4" t="str">
        <f>IFERROR(__xludf.DUMMYFUNCTION("""COMPUTED_VALUE"""),"")</f>
        <v/>
      </c>
      <c r="G248" s="4" t="str">
        <f>IFERROR(__xludf.DUMMYFUNCTION("""COMPUTED_VALUE"""),"#VALUE!")</f>
        <v>#VALUE!</v>
      </c>
      <c r="H248" s="4" t="str">
        <f>IFERROR(__xludf.DUMMYFUNCTION("""COMPUTED_VALUE"""),"")</f>
        <v/>
      </c>
    </row>
    <row r="249">
      <c r="E249" s="4" t="str">
        <f>IFERROR(__xludf.DUMMYFUNCTION("""COMPUTED_VALUE"""),"#VALUE!")</f>
        <v>#VALUE!</v>
      </c>
      <c r="F249" s="4" t="str">
        <f>IFERROR(__xludf.DUMMYFUNCTION("""COMPUTED_VALUE"""),"")</f>
        <v/>
      </c>
      <c r="G249" s="4" t="str">
        <f>IFERROR(__xludf.DUMMYFUNCTION("""COMPUTED_VALUE"""),"#VALUE!")</f>
        <v>#VALUE!</v>
      </c>
      <c r="H249" s="4" t="str">
        <f>IFERROR(__xludf.DUMMYFUNCTION("""COMPUTED_VALUE"""),"")</f>
        <v/>
      </c>
    </row>
    <row r="250">
      <c r="E250" s="4" t="str">
        <f>IFERROR(__xludf.DUMMYFUNCTION("""COMPUTED_VALUE"""),"#VALUE!")</f>
        <v>#VALUE!</v>
      </c>
      <c r="F250" s="4" t="str">
        <f>IFERROR(__xludf.DUMMYFUNCTION("""COMPUTED_VALUE"""),"")</f>
        <v/>
      </c>
      <c r="G250" s="4" t="str">
        <f>IFERROR(__xludf.DUMMYFUNCTION("""COMPUTED_VALUE"""),"#VALUE!")</f>
        <v>#VALUE!</v>
      </c>
      <c r="H250" s="4" t="str">
        <f>IFERROR(__xludf.DUMMYFUNCTION("""COMPUTED_VALUE"""),"")</f>
        <v/>
      </c>
    </row>
    <row r="251">
      <c r="E251" s="4" t="str">
        <f>IFERROR(__xludf.DUMMYFUNCTION("""COMPUTED_VALUE"""),"#VALUE!")</f>
        <v>#VALUE!</v>
      </c>
      <c r="F251" s="4" t="str">
        <f>IFERROR(__xludf.DUMMYFUNCTION("""COMPUTED_VALUE"""),"")</f>
        <v/>
      </c>
      <c r="G251" s="4" t="str">
        <f>IFERROR(__xludf.DUMMYFUNCTION("""COMPUTED_VALUE"""),"#VALUE!")</f>
        <v>#VALUE!</v>
      </c>
      <c r="H251" s="4" t="str">
        <f>IFERROR(__xludf.DUMMYFUNCTION("""COMPUTED_VALUE"""),"")</f>
        <v/>
      </c>
    </row>
    <row r="252">
      <c r="E252" s="4" t="str">
        <f>IFERROR(__xludf.DUMMYFUNCTION("""COMPUTED_VALUE"""),"#VALUE!")</f>
        <v>#VALUE!</v>
      </c>
      <c r="F252" s="4" t="str">
        <f>IFERROR(__xludf.DUMMYFUNCTION("""COMPUTED_VALUE"""),"")</f>
        <v/>
      </c>
      <c r="G252" s="4" t="str">
        <f>IFERROR(__xludf.DUMMYFUNCTION("""COMPUTED_VALUE"""),"#VALUE!")</f>
        <v>#VALUE!</v>
      </c>
      <c r="H252" s="4" t="str">
        <f>IFERROR(__xludf.DUMMYFUNCTION("""COMPUTED_VALUE"""),"")</f>
        <v/>
      </c>
    </row>
    <row r="253">
      <c r="E253" s="4" t="str">
        <f>IFERROR(__xludf.DUMMYFUNCTION("""COMPUTED_VALUE"""),"#VALUE!")</f>
        <v>#VALUE!</v>
      </c>
      <c r="F253" s="4" t="str">
        <f>IFERROR(__xludf.DUMMYFUNCTION("""COMPUTED_VALUE"""),"")</f>
        <v/>
      </c>
      <c r="G253" s="4" t="str">
        <f>IFERROR(__xludf.DUMMYFUNCTION("""COMPUTED_VALUE"""),"#VALUE!")</f>
        <v>#VALUE!</v>
      </c>
      <c r="H253" s="4" t="str">
        <f>IFERROR(__xludf.DUMMYFUNCTION("""COMPUTED_VALUE"""),"")</f>
        <v/>
      </c>
    </row>
    <row r="254">
      <c r="E254" s="4" t="str">
        <f>IFERROR(__xludf.DUMMYFUNCTION("""COMPUTED_VALUE"""),"#VALUE!")</f>
        <v>#VALUE!</v>
      </c>
      <c r="F254" s="4" t="str">
        <f>IFERROR(__xludf.DUMMYFUNCTION("""COMPUTED_VALUE"""),"")</f>
        <v/>
      </c>
      <c r="G254" s="4" t="str">
        <f>IFERROR(__xludf.DUMMYFUNCTION("""COMPUTED_VALUE"""),"#VALUE!")</f>
        <v>#VALUE!</v>
      </c>
      <c r="H254" s="4" t="str">
        <f>IFERROR(__xludf.DUMMYFUNCTION("""COMPUTED_VALUE"""),"")</f>
        <v/>
      </c>
    </row>
    <row r="255">
      <c r="E255" s="4" t="str">
        <f>IFERROR(__xludf.DUMMYFUNCTION("""COMPUTED_VALUE"""),"#VALUE!")</f>
        <v>#VALUE!</v>
      </c>
      <c r="F255" s="4" t="str">
        <f>IFERROR(__xludf.DUMMYFUNCTION("""COMPUTED_VALUE"""),"")</f>
        <v/>
      </c>
      <c r="G255" s="4" t="str">
        <f>IFERROR(__xludf.DUMMYFUNCTION("""COMPUTED_VALUE"""),"#VALUE!")</f>
        <v>#VALUE!</v>
      </c>
      <c r="H255" s="4" t="str">
        <f>IFERROR(__xludf.DUMMYFUNCTION("""COMPUTED_VALUE"""),"")</f>
        <v/>
      </c>
    </row>
    <row r="256">
      <c r="E256" s="4" t="str">
        <f>IFERROR(__xludf.DUMMYFUNCTION("""COMPUTED_VALUE"""),"#VALUE!")</f>
        <v>#VALUE!</v>
      </c>
      <c r="F256" s="4" t="str">
        <f>IFERROR(__xludf.DUMMYFUNCTION("""COMPUTED_VALUE"""),"")</f>
        <v/>
      </c>
      <c r="G256" s="4" t="str">
        <f>IFERROR(__xludf.DUMMYFUNCTION("""COMPUTED_VALUE"""),"#VALUE!")</f>
        <v>#VALUE!</v>
      </c>
      <c r="H256" s="4" t="str">
        <f>IFERROR(__xludf.DUMMYFUNCTION("""COMPUTED_VALUE"""),"")</f>
        <v/>
      </c>
    </row>
    <row r="257">
      <c r="E257" s="4" t="str">
        <f>IFERROR(__xludf.DUMMYFUNCTION("""COMPUTED_VALUE"""),"#VALUE!")</f>
        <v>#VALUE!</v>
      </c>
      <c r="F257" s="4" t="str">
        <f>IFERROR(__xludf.DUMMYFUNCTION("""COMPUTED_VALUE"""),"")</f>
        <v/>
      </c>
      <c r="G257" s="4" t="str">
        <f>IFERROR(__xludf.DUMMYFUNCTION("""COMPUTED_VALUE"""),"#VALUE!")</f>
        <v>#VALUE!</v>
      </c>
      <c r="H257" s="4" t="str">
        <f>IFERROR(__xludf.DUMMYFUNCTION("""COMPUTED_VALUE"""),"")</f>
        <v/>
      </c>
    </row>
    <row r="258">
      <c r="E258" s="4" t="str">
        <f>IFERROR(__xludf.DUMMYFUNCTION("""COMPUTED_VALUE"""),"#VALUE!")</f>
        <v>#VALUE!</v>
      </c>
      <c r="F258" s="4" t="str">
        <f>IFERROR(__xludf.DUMMYFUNCTION("""COMPUTED_VALUE"""),"")</f>
        <v/>
      </c>
      <c r="G258" s="4" t="str">
        <f>IFERROR(__xludf.DUMMYFUNCTION("""COMPUTED_VALUE"""),"#VALUE!")</f>
        <v>#VALUE!</v>
      </c>
      <c r="H258" s="4" t="str">
        <f>IFERROR(__xludf.DUMMYFUNCTION("""COMPUTED_VALUE"""),"")</f>
        <v/>
      </c>
    </row>
    <row r="259">
      <c r="E259" s="4" t="str">
        <f>IFERROR(__xludf.DUMMYFUNCTION("""COMPUTED_VALUE"""),"#VALUE!")</f>
        <v>#VALUE!</v>
      </c>
      <c r="F259" s="4" t="str">
        <f>IFERROR(__xludf.DUMMYFUNCTION("""COMPUTED_VALUE"""),"")</f>
        <v/>
      </c>
      <c r="G259" s="4" t="str">
        <f>IFERROR(__xludf.DUMMYFUNCTION("""COMPUTED_VALUE"""),"#VALUE!")</f>
        <v>#VALUE!</v>
      </c>
      <c r="H259" s="4" t="str">
        <f>IFERROR(__xludf.DUMMYFUNCTION("""COMPUTED_VALUE"""),"")</f>
        <v/>
      </c>
    </row>
    <row r="260">
      <c r="E260" s="4" t="str">
        <f>IFERROR(__xludf.DUMMYFUNCTION("""COMPUTED_VALUE"""),"#VALUE!")</f>
        <v>#VALUE!</v>
      </c>
      <c r="F260" s="4" t="str">
        <f>IFERROR(__xludf.DUMMYFUNCTION("""COMPUTED_VALUE"""),"")</f>
        <v/>
      </c>
      <c r="G260" s="4" t="str">
        <f>IFERROR(__xludf.DUMMYFUNCTION("""COMPUTED_VALUE"""),"#VALUE!")</f>
        <v>#VALUE!</v>
      </c>
      <c r="H260" s="4" t="str">
        <f>IFERROR(__xludf.DUMMYFUNCTION("""COMPUTED_VALUE"""),"")</f>
        <v/>
      </c>
    </row>
    <row r="261">
      <c r="E261" s="4" t="str">
        <f>IFERROR(__xludf.DUMMYFUNCTION("""COMPUTED_VALUE"""),"#VALUE!")</f>
        <v>#VALUE!</v>
      </c>
      <c r="F261" s="4" t="str">
        <f>IFERROR(__xludf.DUMMYFUNCTION("""COMPUTED_VALUE"""),"")</f>
        <v/>
      </c>
      <c r="G261" s="4" t="str">
        <f>IFERROR(__xludf.DUMMYFUNCTION("""COMPUTED_VALUE"""),"#VALUE!")</f>
        <v>#VALUE!</v>
      </c>
      <c r="H261" s="4" t="str">
        <f>IFERROR(__xludf.DUMMYFUNCTION("""COMPUTED_VALUE"""),"")</f>
        <v/>
      </c>
    </row>
    <row r="262">
      <c r="E262" s="4" t="str">
        <f>IFERROR(__xludf.DUMMYFUNCTION("""COMPUTED_VALUE"""),"#VALUE!")</f>
        <v>#VALUE!</v>
      </c>
      <c r="F262" s="4" t="str">
        <f>IFERROR(__xludf.DUMMYFUNCTION("""COMPUTED_VALUE"""),"")</f>
        <v/>
      </c>
      <c r="G262" s="4" t="str">
        <f>IFERROR(__xludf.DUMMYFUNCTION("""COMPUTED_VALUE"""),"#VALUE!")</f>
        <v>#VALUE!</v>
      </c>
      <c r="H262" s="4" t="str">
        <f>IFERROR(__xludf.DUMMYFUNCTION("""COMPUTED_VALUE"""),"")</f>
        <v/>
      </c>
    </row>
    <row r="263">
      <c r="E263" s="4" t="str">
        <f>IFERROR(__xludf.DUMMYFUNCTION("""COMPUTED_VALUE"""),"#VALUE!")</f>
        <v>#VALUE!</v>
      </c>
      <c r="F263" s="4" t="str">
        <f>IFERROR(__xludf.DUMMYFUNCTION("""COMPUTED_VALUE"""),"")</f>
        <v/>
      </c>
      <c r="G263" s="4" t="str">
        <f>IFERROR(__xludf.DUMMYFUNCTION("""COMPUTED_VALUE"""),"#VALUE!")</f>
        <v>#VALUE!</v>
      </c>
      <c r="H263" s="4" t="str">
        <f>IFERROR(__xludf.DUMMYFUNCTION("""COMPUTED_VALUE"""),"")</f>
        <v/>
      </c>
    </row>
    <row r="264">
      <c r="E264" s="4" t="str">
        <f>IFERROR(__xludf.DUMMYFUNCTION("""COMPUTED_VALUE"""),"#VALUE!")</f>
        <v>#VALUE!</v>
      </c>
      <c r="F264" s="4" t="str">
        <f>IFERROR(__xludf.DUMMYFUNCTION("""COMPUTED_VALUE"""),"")</f>
        <v/>
      </c>
      <c r="G264" s="4" t="str">
        <f>IFERROR(__xludf.DUMMYFUNCTION("""COMPUTED_VALUE"""),"#VALUE!")</f>
        <v>#VALUE!</v>
      </c>
      <c r="H264" s="4" t="str">
        <f>IFERROR(__xludf.DUMMYFUNCTION("""COMPUTED_VALUE"""),"")</f>
        <v/>
      </c>
    </row>
    <row r="265">
      <c r="E265" s="4" t="str">
        <f>IFERROR(__xludf.DUMMYFUNCTION("""COMPUTED_VALUE"""),"#VALUE!")</f>
        <v>#VALUE!</v>
      </c>
      <c r="F265" s="4" t="str">
        <f>IFERROR(__xludf.DUMMYFUNCTION("""COMPUTED_VALUE"""),"")</f>
        <v/>
      </c>
      <c r="G265" s="4" t="str">
        <f>IFERROR(__xludf.DUMMYFUNCTION("""COMPUTED_VALUE"""),"#VALUE!")</f>
        <v>#VALUE!</v>
      </c>
      <c r="H265" s="4" t="str">
        <f>IFERROR(__xludf.DUMMYFUNCTION("""COMPUTED_VALUE"""),"")</f>
        <v/>
      </c>
    </row>
    <row r="266">
      <c r="E266" s="4" t="str">
        <f>IFERROR(__xludf.DUMMYFUNCTION("""COMPUTED_VALUE"""),"#VALUE!")</f>
        <v>#VALUE!</v>
      </c>
      <c r="F266" s="4" t="str">
        <f>IFERROR(__xludf.DUMMYFUNCTION("""COMPUTED_VALUE"""),"")</f>
        <v/>
      </c>
      <c r="G266" s="4" t="str">
        <f>IFERROR(__xludf.DUMMYFUNCTION("""COMPUTED_VALUE"""),"#VALUE!")</f>
        <v>#VALUE!</v>
      </c>
      <c r="H266" s="4" t="str">
        <f>IFERROR(__xludf.DUMMYFUNCTION("""COMPUTED_VALUE"""),"")</f>
        <v/>
      </c>
    </row>
    <row r="267">
      <c r="E267" s="4" t="str">
        <f>IFERROR(__xludf.DUMMYFUNCTION("""COMPUTED_VALUE"""),"#VALUE!")</f>
        <v>#VALUE!</v>
      </c>
      <c r="F267" s="4" t="str">
        <f>IFERROR(__xludf.DUMMYFUNCTION("""COMPUTED_VALUE"""),"")</f>
        <v/>
      </c>
      <c r="G267" s="4" t="str">
        <f>IFERROR(__xludf.DUMMYFUNCTION("""COMPUTED_VALUE"""),"#VALUE!")</f>
        <v>#VALUE!</v>
      </c>
      <c r="H267" s="4" t="str">
        <f>IFERROR(__xludf.DUMMYFUNCTION("""COMPUTED_VALUE"""),"")</f>
        <v/>
      </c>
    </row>
    <row r="268">
      <c r="E268" s="4" t="str">
        <f>IFERROR(__xludf.DUMMYFUNCTION("""COMPUTED_VALUE"""),"#VALUE!")</f>
        <v>#VALUE!</v>
      </c>
      <c r="F268" s="4" t="str">
        <f>IFERROR(__xludf.DUMMYFUNCTION("""COMPUTED_VALUE"""),"")</f>
        <v/>
      </c>
      <c r="G268" s="4" t="str">
        <f>IFERROR(__xludf.DUMMYFUNCTION("""COMPUTED_VALUE"""),"#VALUE!")</f>
        <v>#VALUE!</v>
      </c>
      <c r="H268" s="4" t="str">
        <f>IFERROR(__xludf.DUMMYFUNCTION("""COMPUTED_VALUE"""),"")</f>
        <v/>
      </c>
    </row>
    <row r="269">
      <c r="E269" s="4" t="str">
        <f>IFERROR(__xludf.DUMMYFUNCTION("""COMPUTED_VALUE"""),"#VALUE!")</f>
        <v>#VALUE!</v>
      </c>
      <c r="F269" s="4" t="str">
        <f>IFERROR(__xludf.DUMMYFUNCTION("""COMPUTED_VALUE"""),"")</f>
        <v/>
      </c>
      <c r="G269" s="4" t="str">
        <f>IFERROR(__xludf.DUMMYFUNCTION("""COMPUTED_VALUE"""),"#VALUE!")</f>
        <v>#VALUE!</v>
      </c>
      <c r="H269" s="4" t="str">
        <f>IFERROR(__xludf.DUMMYFUNCTION("""COMPUTED_VALUE"""),"")</f>
        <v/>
      </c>
    </row>
    <row r="270">
      <c r="E270" s="4" t="str">
        <f>IFERROR(__xludf.DUMMYFUNCTION("""COMPUTED_VALUE"""),"#VALUE!")</f>
        <v>#VALUE!</v>
      </c>
      <c r="F270" s="4" t="str">
        <f>IFERROR(__xludf.DUMMYFUNCTION("""COMPUTED_VALUE"""),"")</f>
        <v/>
      </c>
      <c r="G270" s="4" t="str">
        <f>IFERROR(__xludf.DUMMYFUNCTION("""COMPUTED_VALUE"""),"#VALUE!")</f>
        <v>#VALUE!</v>
      </c>
      <c r="H270" s="4" t="str">
        <f>IFERROR(__xludf.DUMMYFUNCTION("""COMPUTED_VALUE"""),"")</f>
        <v/>
      </c>
    </row>
    <row r="271">
      <c r="E271" s="4" t="str">
        <f>IFERROR(__xludf.DUMMYFUNCTION("""COMPUTED_VALUE"""),"#VALUE!")</f>
        <v>#VALUE!</v>
      </c>
      <c r="F271" s="4" t="str">
        <f>IFERROR(__xludf.DUMMYFUNCTION("""COMPUTED_VALUE"""),"")</f>
        <v/>
      </c>
      <c r="G271" s="4" t="str">
        <f>IFERROR(__xludf.DUMMYFUNCTION("""COMPUTED_VALUE"""),"#VALUE!")</f>
        <v>#VALUE!</v>
      </c>
      <c r="H271" s="4" t="str">
        <f>IFERROR(__xludf.DUMMYFUNCTION("""COMPUTED_VALUE"""),"")</f>
        <v/>
      </c>
    </row>
    <row r="272">
      <c r="E272" s="4" t="str">
        <f>IFERROR(__xludf.DUMMYFUNCTION("""COMPUTED_VALUE"""),"#VALUE!")</f>
        <v>#VALUE!</v>
      </c>
      <c r="F272" s="4" t="str">
        <f>IFERROR(__xludf.DUMMYFUNCTION("""COMPUTED_VALUE"""),"")</f>
        <v/>
      </c>
      <c r="G272" s="4" t="str">
        <f>IFERROR(__xludf.DUMMYFUNCTION("""COMPUTED_VALUE"""),"#VALUE!")</f>
        <v>#VALUE!</v>
      </c>
      <c r="H272" s="4" t="str">
        <f>IFERROR(__xludf.DUMMYFUNCTION("""COMPUTED_VALUE"""),"")</f>
        <v/>
      </c>
    </row>
    <row r="273">
      <c r="E273" s="4" t="str">
        <f>IFERROR(__xludf.DUMMYFUNCTION("""COMPUTED_VALUE"""),"#VALUE!")</f>
        <v>#VALUE!</v>
      </c>
      <c r="F273" s="4" t="str">
        <f>IFERROR(__xludf.DUMMYFUNCTION("""COMPUTED_VALUE"""),"")</f>
        <v/>
      </c>
      <c r="G273" s="4" t="str">
        <f>IFERROR(__xludf.DUMMYFUNCTION("""COMPUTED_VALUE"""),"#VALUE!")</f>
        <v>#VALUE!</v>
      </c>
      <c r="H273" s="4" t="str">
        <f>IFERROR(__xludf.DUMMYFUNCTION("""COMPUTED_VALUE"""),"")</f>
        <v/>
      </c>
    </row>
    <row r="274">
      <c r="E274" s="4" t="str">
        <f>IFERROR(__xludf.DUMMYFUNCTION("""COMPUTED_VALUE"""),"#VALUE!")</f>
        <v>#VALUE!</v>
      </c>
      <c r="F274" s="4" t="str">
        <f>IFERROR(__xludf.DUMMYFUNCTION("""COMPUTED_VALUE"""),"")</f>
        <v/>
      </c>
      <c r="G274" s="4" t="str">
        <f>IFERROR(__xludf.DUMMYFUNCTION("""COMPUTED_VALUE"""),"#VALUE!")</f>
        <v>#VALUE!</v>
      </c>
      <c r="H274" s="4" t="str">
        <f>IFERROR(__xludf.DUMMYFUNCTION("""COMPUTED_VALUE"""),"")</f>
        <v/>
      </c>
    </row>
    <row r="275">
      <c r="E275" s="4" t="str">
        <f>IFERROR(__xludf.DUMMYFUNCTION("""COMPUTED_VALUE"""),"#VALUE!")</f>
        <v>#VALUE!</v>
      </c>
      <c r="F275" s="4" t="str">
        <f>IFERROR(__xludf.DUMMYFUNCTION("""COMPUTED_VALUE"""),"")</f>
        <v/>
      </c>
      <c r="G275" s="4" t="str">
        <f>IFERROR(__xludf.DUMMYFUNCTION("""COMPUTED_VALUE"""),"#VALUE!")</f>
        <v>#VALUE!</v>
      </c>
      <c r="H275" s="4" t="str">
        <f>IFERROR(__xludf.DUMMYFUNCTION("""COMPUTED_VALUE"""),"")</f>
        <v/>
      </c>
    </row>
    <row r="276">
      <c r="E276" s="4" t="str">
        <f>IFERROR(__xludf.DUMMYFUNCTION("""COMPUTED_VALUE"""),"#VALUE!")</f>
        <v>#VALUE!</v>
      </c>
      <c r="F276" s="4" t="str">
        <f>IFERROR(__xludf.DUMMYFUNCTION("""COMPUTED_VALUE"""),"")</f>
        <v/>
      </c>
      <c r="G276" s="4" t="str">
        <f>IFERROR(__xludf.DUMMYFUNCTION("""COMPUTED_VALUE"""),"#VALUE!")</f>
        <v>#VALUE!</v>
      </c>
      <c r="H276" s="4" t="str">
        <f>IFERROR(__xludf.DUMMYFUNCTION("""COMPUTED_VALUE"""),"")</f>
        <v/>
      </c>
    </row>
    <row r="277">
      <c r="E277" s="4" t="str">
        <f>IFERROR(__xludf.DUMMYFUNCTION("""COMPUTED_VALUE"""),"#VALUE!")</f>
        <v>#VALUE!</v>
      </c>
      <c r="F277" s="4" t="str">
        <f>IFERROR(__xludf.DUMMYFUNCTION("""COMPUTED_VALUE"""),"")</f>
        <v/>
      </c>
      <c r="G277" s="4" t="str">
        <f>IFERROR(__xludf.DUMMYFUNCTION("""COMPUTED_VALUE"""),"#VALUE!")</f>
        <v>#VALUE!</v>
      </c>
      <c r="H277" s="4" t="str">
        <f>IFERROR(__xludf.DUMMYFUNCTION("""COMPUTED_VALUE"""),"")</f>
        <v/>
      </c>
    </row>
    <row r="278">
      <c r="E278" s="4" t="str">
        <f>IFERROR(__xludf.DUMMYFUNCTION("""COMPUTED_VALUE"""),"#VALUE!")</f>
        <v>#VALUE!</v>
      </c>
      <c r="F278" s="4" t="str">
        <f>IFERROR(__xludf.DUMMYFUNCTION("""COMPUTED_VALUE"""),"")</f>
        <v/>
      </c>
      <c r="G278" s="4" t="str">
        <f>IFERROR(__xludf.DUMMYFUNCTION("""COMPUTED_VALUE"""),"#VALUE!")</f>
        <v>#VALUE!</v>
      </c>
      <c r="H278" s="4" t="str">
        <f>IFERROR(__xludf.DUMMYFUNCTION("""COMPUTED_VALUE"""),"")</f>
        <v/>
      </c>
    </row>
    <row r="279">
      <c r="E279" s="4" t="str">
        <f>IFERROR(__xludf.DUMMYFUNCTION("""COMPUTED_VALUE"""),"#VALUE!")</f>
        <v>#VALUE!</v>
      </c>
      <c r="F279" s="4" t="str">
        <f>IFERROR(__xludf.DUMMYFUNCTION("""COMPUTED_VALUE"""),"")</f>
        <v/>
      </c>
      <c r="G279" s="4" t="str">
        <f>IFERROR(__xludf.DUMMYFUNCTION("""COMPUTED_VALUE"""),"#VALUE!")</f>
        <v>#VALUE!</v>
      </c>
      <c r="H279" s="4" t="str">
        <f>IFERROR(__xludf.DUMMYFUNCTION("""COMPUTED_VALUE"""),"")</f>
        <v/>
      </c>
    </row>
    <row r="280">
      <c r="E280" s="4" t="str">
        <f>IFERROR(__xludf.DUMMYFUNCTION("""COMPUTED_VALUE"""),"#VALUE!")</f>
        <v>#VALUE!</v>
      </c>
      <c r="F280" s="4" t="str">
        <f>IFERROR(__xludf.DUMMYFUNCTION("""COMPUTED_VALUE"""),"")</f>
        <v/>
      </c>
      <c r="G280" s="4" t="str">
        <f>IFERROR(__xludf.DUMMYFUNCTION("""COMPUTED_VALUE"""),"#VALUE!")</f>
        <v>#VALUE!</v>
      </c>
      <c r="H280" s="4" t="str">
        <f>IFERROR(__xludf.DUMMYFUNCTION("""COMPUTED_VALUE"""),"")</f>
        <v/>
      </c>
    </row>
    <row r="281">
      <c r="E281" s="4" t="str">
        <f>IFERROR(__xludf.DUMMYFUNCTION("""COMPUTED_VALUE"""),"#VALUE!")</f>
        <v>#VALUE!</v>
      </c>
      <c r="F281" s="4" t="str">
        <f>IFERROR(__xludf.DUMMYFUNCTION("""COMPUTED_VALUE"""),"")</f>
        <v/>
      </c>
      <c r="G281" s="4" t="str">
        <f>IFERROR(__xludf.DUMMYFUNCTION("""COMPUTED_VALUE"""),"#VALUE!")</f>
        <v>#VALUE!</v>
      </c>
      <c r="H281" s="4" t="str">
        <f>IFERROR(__xludf.DUMMYFUNCTION("""COMPUTED_VALUE"""),"")</f>
        <v/>
      </c>
    </row>
    <row r="282">
      <c r="E282" s="4" t="str">
        <f>IFERROR(__xludf.DUMMYFUNCTION("""COMPUTED_VALUE"""),"#VALUE!")</f>
        <v>#VALUE!</v>
      </c>
      <c r="F282" s="4" t="str">
        <f>IFERROR(__xludf.DUMMYFUNCTION("""COMPUTED_VALUE"""),"")</f>
        <v/>
      </c>
      <c r="G282" s="4" t="str">
        <f>IFERROR(__xludf.DUMMYFUNCTION("""COMPUTED_VALUE"""),"#VALUE!")</f>
        <v>#VALUE!</v>
      </c>
      <c r="H282" s="4" t="str">
        <f>IFERROR(__xludf.DUMMYFUNCTION("""COMPUTED_VALUE"""),"")</f>
        <v/>
      </c>
    </row>
    <row r="283">
      <c r="E283" s="4" t="str">
        <f>IFERROR(__xludf.DUMMYFUNCTION("""COMPUTED_VALUE"""),"#VALUE!")</f>
        <v>#VALUE!</v>
      </c>
      <c r="F283" s="4" t="str">
        <f>IFERROR(__xludf.DUMMYFUNCTION("""COMPUTED_VALUE"""),"")</f>
        <v/>
      </c>
      <c r="G283" s="4" t="str">
        <f>IFERROR(__xludf.DUMMYFUNCTION("""COMPUTED_VALUE"""),"#VALUE!")</f>
        <v>#VALUE!</v>
      </c>
      <c r="H283" s="4" t="str">
        <f>IFERROR(__xludf.DUMMYFUNCTION("""COMPUTED_VALUE"""),"")</f>
        <v/>
      </c>
    </row>
    <row r="284">
      <c r="E284" s="4" t="str">
        <f>IFERROR(__xludf.DUMMYFUNCTION("""COMPUTED_VALUE"""),"#VALUE!")</f>
        <v>#VALUE!</v>
      </c>
      <c r="F284" s="4" t="str">
        <f>IFERROR(__xludf.DUMMYFUNCTION("""COMPUTED_VALUE"""),"")</f>
        <v/>
      </c>
      <c r="G284" s="4" t="str">
        <f>IFERROR(__xludf.DUMMYFUNCTION("""COMPUTED_VALUE"""),"#VALUE!")</f>
        <v>#VALUE!</v>
      </c>
      <c r="H284" s="4" t="str">
        <f>IFERROR(__xludf.DUMMYFUNCTION("""COMPUTED_VALUE"""),"")</f>
        <v/>
      </c>
    </row>
    <row r="285">
      <c r="E285" s="4" t="str">
        <f>IFERROR(__xludf.DUMMYFUNCTION("""COMPUTED_VALUE"""),"#VALUE!")</f>
        <v>#VALUE!</v>
      </c>
      <c r="F285" s="4" t="str">
        <f>IFERROR(__xludf.DUMMYFUNCTION("""COMPUTED_VALUE"""),"")</f>
        <v/>
      </c>
      <c r="G285" s="4" t="str">
        <f>IFERROR(__xludf.DUMMYFUNCTION("""COMPUTED_VALUE"""),"#VALUE!")</f>
        <v>#VALUE!</v>
      </c>
      <c r="H285" s="4" t="str">
        <f>IFERROR(__xludf.DUMMYFUNCTION("""COMPUTED_VALUE"""),"")</f>
        <v/>
      </c>
    </row>
    <row r="286">
      <c r="E286" s="4" t="str">
        <f>IFERROR(__xludf.DUMMYFUNCTION("""COMPUTED_VALUE"""),"#VALUE!")</f>
        <v>#VALUE!</v>
      </c>
      <c r="F286" s="4" t="str">
        <f>IFERROR(__xludf.DUMMYFUNCTION("""COMPUTED_VALUE"""),"")</f>
        <v/>
      </c>
      <c r="G286" s="4" t="str">
        <f>IFERROR(__xludf.DUMMYFUNCTION("""COMPUTED_VALUE"""),"#VALUE!")</f>
        <v>#VALUE!</v>
      </c>
      <c r="H286" s="4" t="str">
        <f>IFERROR(__xludf.DUMMYFUNCTION("""COMPUTED_VALUE"""),"")</f>
        <v/>
      </c>
    </row>
    <row r="287">
      <c r="E287" s="4" t="str">
        <f>IFERROR(__xludf.DUMMYFUNCTION("""COMPUTED_VALUE"""),"#VALUE!")</f>
        <v>#VALUE!</v>
      </c>
      <c r="F287" s="4" t="str">
        <f>IFERROR(__xludf.DUMMYFUNCTION("""COMPUTED_VALUE"""),"")</f>
        <v/>
      </c>
      <c r="G287" s="4" t="str">
        <f>IFERROR(__xludf.DUMMYFUNCTION("""COMPUTED_VALUE"""),"#VALUE!")</f>
        <v>#VALUE!</v>
      </c>
      <c r="H287" s="4" t="str">
        <f>IFERROR(__xludf.DUMMYFUNCTION("""COMPUTED_VALUE"""),"")</f>
        <v/>
      </c>
    </row>
    <row r="288">
      <c r="E288" s="4" t="str">
        <f>IFERROR(__xludf.DUMMYFUNCTION("""COMPUTED_VALUE"""),"#VALUE!")</f>
        <v>#VALUE!</v>
      </c>
      <c r="F288" s="4" t="str">
        <f>IFERROR(__xludf.DUMMYFUNCTION("""COMPUTED_VALUE"""),"")</f>
        <v/>
      </c>
      <c r="G288" s="4" t="str">
        <f>IFERROR(__xludf.DUMMYFUNCTION("""COMPUTED_VALUE"""),"#VALUE!")</f>
        <v>#VALUE!</v>
      </c>
      <c r="H288" s="4" t="str">
        <f>IFERROR(__xludf.DUMMYFUNCTION("""COMPUTED_VALUE"""),"")</f>
        <v/>
      </c>
    </row>
    <row r="289">
      <c r="E289" s="4" t="str">
        <f>IFERROR(__xludf.DUMMYFUNCTION("""COMPUTED_VALUE"""),"#VALUE!")</f>
        <v>#VALUE!</v>
      </c>
      <c r="F289" s="4" t="str">
        <f>IFERROR(__xludf.DUMMYFUNCTION("""COMPUTED_VALUE"""),"")</f>
        <v/>
      </c>
      <c r="G289" s="4" t="str">
        <f>IFERROR(__xludf.DUMMYFUNCTION("""COMPUTED_VALUE"""),"#VALUE!")</f>
        <v>#VALUE!</v>
      </c>
      <c r="H289" s="4" t="str">
        <f>IFERROR(__xludf.DUMMYFUNCTION("""COMPUTED_VALUE"""),"")</f>
        <v/>
      </c>
    </row>
    <row r="290">
      <c r="E290" s="4" t="str">
        <f>IFERROR(__xludf.DUMMYFUNCTION("""COMPUTED_VALUE"""),"#VALUE!")</f>
        <v>#VALUE!</v>
      </c>
      <c r="F290" s="4" t="str">
        <f>IFERROR(__xludf.DUMMYFUNCTION("""COMPUTED_VALUE"""),"")</f>
        <v/>
      </c>
      <c r="G290" s="4" t="str">
        <f>IFERROR(__xludf.DUMMYFUNCTION("""COMPUTED_VALUE"""),"#VALUE!")</f>
        <v>#VALUE!</v>
      </c>
      <c r="H290" s="4" t="str">
        <f>IFERROR(__xludf.DUMMYFUNCTION("""COMPUTED_VALUE"""),"")</f>
        <v/>
      </c>
    </row>
    <row r="291">
      <c r="E291" s="4" t="str">
        <f>IFERROR(__xludf.DUMMYFUNCTION("""COMPUTED_VALUE"""),"#VALUE!")</f>
        <v>#VALUE!</v>
      </c>
      <c r="F291" s="4" t="str">
        <f>IFERROR(__xludf.DUMMYFUNCTION("""COMPUTED_VALUE"""),"")</f>
        <v/>
      </c>
      <c r="G291" s="4" t="str">
        <f>IFERROR(__xludf.DUMMYFUNCTION("""COMPUTED_VALUE"""),"#VALUE!")</f>
        <v>#VALUE!</v>
      </c>
      <c r="H291" s="4" t="str">
        <f>IFERROR(__xludf.DUMMYFUNCTION("""COMPUTED_VALUE"""),"")</f>
        <v/>
      </c>
    </row>
    <row r="292">
      <c r="E292" s="4" t="str">
        <f>IFERROR(__xludf.DUMMYFUNCTION("""COMPUTED_VALUE"""),"#VALUE!")</f>
        <v>#VALUE!</v>
      </c>
      <c r="F292" s="4" t="str">
        <f>IFERROR(__xludf.DUMMYFUNCTION("""COMPUTED_VALUE"""),"")</f>
        <v/>
      </c>
      <c r="G292" s="4" t="str">
        <f>IFERROR(__xludf.DUMMYFUNCTION("""COMPUTED_VALUE"""),"#VALUE!")</f>
        <v>#VALUE!</v>
      </c>
      <c r="H292" s="4" t="str">
        <f>IFERROR(__xludf.DUMMYFUNCTION("""COMPUTED_VALUE"""),"")</f>
        <v/>
      </c>
    </row>
    <row r="293">
      <c r="E293" s="4" t="str">
        <f>IFERROR(__xludf.DUMMYFUNCTION("""COMPUTED_VALUE"""),"#VALUE!")</f>
        <v>#VALUE!</v>
      </c>
      <c r="F293" s="4" t="str">
        <f>IFERROR(__xludf.DUMMYFUNCTION("""COMPUTED_VALUE"""),"")</f>
        <v/>
      </c>
      <c r="G293" s="4" t="str">
        <f>IFERROR(__xludf.DUMMYFUNCTION("""COMPUTED_VALUE"""),"#VALUE!")</f>
        <v>#VALUE!</v>
      </c>
      <c r="H293" s="4" t="str">
        <f>IFERROR(__xludf.DUMMYFUNCTION("""COMPUTED_VALUE"""),"")</f>
        <v/>
      </c>
    </row>
    <row r="294">
      <c r="E294" s="4" t="str">
        <f>IFERROR(__xludf.DUMMYFUNCTION("""COMPUTED_VALUE"""),"#VALUE!")</f>
        <v>#VALUE!</v>
      </c>
      <c r="F294" s="4" t="str">
        <f>IFERROR(__xludf.DUMMYFUNCTION("""COMPUTED_VALUE"""),"")</f>
        <v/>
      </c>
      <c r="G294" s="4" t="str">
        <f>IFERROR(__xludf.DUMMYFUNCTION("""COMPUTED_VALUE"""),"#VALUE!")</f>
        <v>#VALUE!</v>
      </c>
      <c r="H294" s="4" t="str">
        <f>IFERROR(__xludf.DUMMYFUNCTION("""COMPUTED_VALUE"""),"")</f>
        <v/>
      </c>
    </row>
    <row r="295">
      <c r="E295" s="4" t="str">
        <f>IFERROR(__xludf.DUMMYFUNCTION("""COMPUTED_VALUE"""),"#VALUE!")</f>
        <v>#VALUE!</v>
      </c>
      <c r="F295" s="4" t="str">
        <f>IFERROR(__xludf.DUMMYFUNCTION("""COMPUTED_VALUE"""),"")</f>
        <v/>
      </c>
      <c r="G295" s="4" t="str">
        <f>IFERROR(__xludf.DUMMYFUNCTION("""COMPUTED_VALUE"""),"#VALUE!")</f>
        <v>#VALUE!</v>
      </c>
      <c r="H295" s="4" t="str">
        <f>IFERROR(__xludf.DUMMYFUNCTION("""COMPUTED_VALUE"""),"")</f>
        <v/>
      </c>
    </row>
    <row r="296">
      <c r="E296" s="4" t="str">
        <f>IFERROR(__xludf.DUMMYFUNCTION("""COMPUTED_VALUE"""),"#VALUE!")</f>
        <v>#VALUE!</v>
      </c>
      <c r="F296" s="4" t="str">
        <f>IFERROR(__xludf.DUMMYFUNCTION("""COMPUTED_VALUE"""),"")</f>
        <v/>
      </c>
      <c r="G296" s="4" t="str">
        <f>IFERROR(__xludf.DUMMYFUNCTION("""COMPUTED_VALUE"""),"#VALUE!")</f>
        <v>#VALUE!</v>
      </c>
      <c r="H296" s="4" t="str">
        <f>IFERROR(__xludf.DUMMYFUNCTION("""COMPUTED_VALUE"""),"")</f>
        <v/>
      </c>
    </row>
    <row r="297">
      <c r="E297" s="4" t="str">
        <f>IFERROR(__xludf.DUMMYFUNCTION("""COMPUTED_VALUE"""),"#VALUE!")</f>
        <v>#VALUE!</v>
      </c>
      <c r="F297" s="4" t="str">
        <f>IFERROR(__xludf.DUMMYFUNCTION("""COMPUTED_VALUE"""),"")</f>
        <v/>
      </c>
      <c r="G297" s="4" t="str">
        <f>IFERROR(__xludf.DUMMYFUNCTION("""COMPUTED_VALUE"""),"#VALUE!")</f>
        <v>#VALUE!</v>
      </c>
      <c r="H297" s="4" t="str">
        <f>IFERROR(__xludf.DUMMYFUNCTION("""COMPUTED_VALUE"""),"")</f>
        <v/>
      </c>
    </row>
    <row r="298">
      <c r="E298" s="4" t="str">
        <f>IFERROR(__xludf.DUMMYFUNCTION("""COMPUTED_VALUE"""),"#VALUE!")</f>
        <v>#VALUE!</v>
      </c>
      <c r="F298" s="4" t="str">
        <f>IFERROR(__xludf.DUMMYFUNCTION("""COMPUTED_VALUE"""),"")</f>
        <v/>
      </c>
      <c r="G298" s="4" t="str">
        <f>IFERROR(__xludf.DUMMYFUNCTION("""COMPUTED_VALUE"""),"#VALUE!")</f>
        <v>#VALUE!</v>
      </c>
      <c r="H298" s="4" t="str">
        <f>IFERROR(__xludf.DUMMYFUNCTION("""COMPUTED_VALUE"""),"")</f>
        <v/>
      </c>
    </row>
    <row r="299">
      <c r="E299" s="4" t="str">
        <f>IFERROR(__xludf.DUMMYFUNCTION("""COMPUTED_VALUE"""),"#VALUE!")</f>
        <v>#VALUE!</v>
      </c>
      <c r="F299" s="4" t="str">
        <f>IFERROR(__xludf.DUMMYFUNCTION("""COMPUTED_VALUE"""),"")</f>
        <v/>
      </c>
      <c r="G299" s="4" t="str">
        <f>IFERROR(__xludf.DUMMYFUNCTION("""COMPUTED_VALUE"""),"#VALUE!")</f>
        <v>#VALUE!</v>
      </c>
      <c r="H299" s="4" t="str">
        <f>IFERROR(__xludf.DUMMYFUNCTION("""COMPUTED_VALUE"""),"")</f>
        <v/>
      </c>
    </row>
    <row r="300">
      <c r="E300" s="4" t="str">
        <f>IFERROR(__xludf.DUMMYFUNCTION("""COMPUTED_VALUE"""),"#VALUE!")</f>
        <v>#VALUE!</v>
      </c>
      <c r="F300" s="4" t="str">
        <f>IFERROR(__xludf.DUMMYFUNCTION("""COMPUTED_VALUE"""),"")</f>
        <v/>
      </c>
      <c r="G300" s="4" t="str">
        <f>IFERROR(__xludf.DUMMYFUNCTION("""COMPUTED_VALUE"""),"#VALUE!")</f>
        <v>#VALUE!</v>
      </c>
      <c r="H300" s="4" t="str">
        <f>IFERROR(__xludf.DUMMYFUNCTION("""COMPUTED_VALUE"""),"")</f>
        <v/>
      </c>
    </row>
    <row r="301">
      <c r="E301" s="4" t="str">
        <f>IFERROR(__xludf.DUMMYFUNCTION("""COMPUTED_VALUE"""),"#VALUE!")</f>
        <v>#VALUE!</v>
      </c>
      <c r="F301" s="4" t="str">
        <f>IFERROR(__xludf.DUMMYFUNCTION("""COMPUTED_VALUE"""),"")</f>
        <v/>
      </c>
      <c r="G301" s="4" t="str">
        <f>IFERROR(__xludf.DUMMYFUNCTION("""COMPUTED_VALUE"""),"#VALUE!")</f>
        <v>#VALUE!</v>
      </c>
      <c r="H301" s="4" t="str">
        <f>IFERROR(__xludf.DUMMYFUNCTION("""COMPUTED_VALUE"""),"")</f>
        <v/>
      </c>
    </row>
    <row r="302">
      <c r="E302" s="4" t="str">
        <f>IFERROR(__xludf.DUMMYFUNCTION("""COMPUTED_VALUE"""),"#VALUE!")</f>
        <v>#VALUE!</v>
      </c>
      <c r="F302" s="4" t="str">
        <f>IFERROR(__xludf.DUMMYFUNCTION("""COMPUTED_VALUE"""),"")</f>
        <v/>
      </c>
      <c r="G302" s="4" t="str">
        <f>IFERROR(__xludf.DUMMYFUNCTION("""COMPUTED_VALUE"""),"#VALUE!")</f>
        <v>#VALUE!</v>
      </c>
      <c r="H302" s="4" t="str">
        <f>IFERROR(__xludf.DUMMYFUNCTION("""COMPUTED_VALUE"""),"")</f>
        <v/>
      </c>
    </row>
    <row r="303">
      <c r="E303" s="4" t="str">
        <f>IFERROR(__xludf.DUMMYFUNCTION("""COMPUTED_VALUE"""),"#VALUE!")</f>
        <v>#VALUE!</v>
      </c>
      <c r="F303" s="4" t="str">
        <f>IFERROR(__xludf.DUMMYFUNCTION("""COMPUTED_VALUE"""),"")</f>
        <v/>
      </c>
      <c r="G303" s="4" t="str">
        <f>IFERROR(__xludf.DUMMYFUNCTION("""COMPUTED_VALUE"""),"#VALUE!")</f>
        <v>#VALUE!</v>
      </c>
      <c r="H303" s="4" t="str">
        <f>IFERROR(__xludf.DUMMYFUNCTION("""COMPUTED_VALUE"""),"")</f>
        <v/>
      </c>
    </row>
    <row r="304">
      <c r="E304" s="4" t="str">
        <f>IFERROR(__xludf.DUMMYFUNCTION("""COMPUTED_VALUE"""),"#VALUE!")</f>
        <v>#VALUE!</v>
      </c>
      <c r="F304" s="4" t="str">
        <f>IFERROR(__xludf.DUMMYFUNCTION("""COMPUTED_VALUE"""),"")</f>
        <v/>
      </c>
      <c r="G304" s="4" t="str">
        <f>IFERROR(__xludf.DUMMYFUNCTION("""COMPUTED_VALUE"""),"#VALUE!")</f>
        <v>#VALUE!</v>
      </c>
      <c r="H304" s="4" t="str">
        <f>IFERROR(__xludf.DUMMYFUNCTION("""COMPUTED_VALUE"""),"")</f>
        <v/>
      </c>
    </row>
    <row r="305">
      <c r="E305" s="4" t="str">
        <f>IFERROR(__xludf.DUMMYFUNCTION("""COMPUTED_VALUE"""),"#VALUE!")</f>
        <v>#VALUE!</v>
      </c>
      <c r="F305" s="4" t="str">
        <f>IFERROR(__xludf.DUMMYFUNCTION("""COMPUTED_VALUE"""),"")</f>
        <v/>
      </c>
      <c r="G305" s="4" t="str">
        <f>IFERROR(__xludf.DUMMYFUNCTION("""COMPUTED_VALUE"""),"#VALUE!")</f>
        <v>#VALUE!</v>
      </c>
      <c r="H305" s="4" t="str">
        <f>IFERROR(__xludf.DUMMYFUNCTION("""COMPUTED_VALUE"""),"")</f>
        <v/>
      </c>
    </row>
    <row r="306">
      <c r="E306" s="4" t="str">
        <f>IFERROR(__xludf.DUMMYFUNCTION("""COMPUTED_VALUE"""),"#VALUE!")</f>
        <v>#VALUE!</v>
      </c>
      <c r="F306" s="4" t="str">
        <f>IFERROR(__xludf.DUMMYFUNCTION("""COMPUTED_VALUE"""),"")</f>
        <v/>
      </c>
      <c r="G306" s="4" t="str">
        <f>IFERROR(__xludf.DUMMYFUNCTION("""COMPUTED_VALUE"""),"#VALUE!")</f>
        <v>#VALUE!</v>
      </c>
      <c r="H306" s="4" t="str">
        <f>IFERROR(__xludf.DUMMYFUNCTION("""COMPUTED_VALUE"""),"")</f>
        <v/>
      </c>
    </row>
    <row r="307">
      <c r="E307" s="4" t="str">
        <f>IFERROR(__xludf.DUMMYFUNCTION("""COMPUTED_VALUE"""),"#VALUE!")</f>
        <v>#VALUE!</v>
      </c>
      <c r="F307" s="4" t="str">
        <f>IFERROR(__xludf.DUMMYFUNCTION("""COMPUTED_VALUE"""),"")</f>
        <v/>
      </c>
      <c r="G307" s="4" t="str">
        <f>IFERROR(__xludf.DUMMYFUNCTION("""COMPUTED_VALUE"""),"#VALUE!")</f>
        <v>#VALUE!</v>
      </c>
      <c r="H307" s="4" t="str">
        <f>IFERROR(__xludf.DUMMYFUNCTION("""COMPUTED_VALUE"""),"")</f>
        <v/>
      </c>
    </row>
    <row r="308">
      <c r="E308" s="4" t="str">
        <f>IFERROR(__xludf.DUMMYFUNCTION("""COMPUTED_VALUE"""),"#VALUE!")</f>
        <v>#VALUE!</v>
      </c>
      <c r="F308" s="4" t="str">
        <f>IFERROR(__xludf.DUMMYFUNCTION("""COMPUTED_VALUE"""),"")</f>
        <v/>
      </c>
      <c r="G308" s="4" t="str">
        <f>IFERROR(__xludf.DUMMYFUNCTION("""COMPUTED_VALUE"""),"#VALUE!")</f>
        <v>#VALUE!</v>
      </c>
      <c r="H308" s="4" t="str">
        <f>IFERROR(__xludf.DUMMYFUNCTION("""COMPUTED_VALUE"""),"")</f>
        <v/>
      </c>
    </row>
    <row r="309">
      <c r="E309" s="4" t="str">
        <f>IFERROR(__xludf.DUMMYFUNCTION("""COMPUTED_VALUE"""),"#VALUE!")</f>
        <v>#VALUE!</v>
      </c>
      <c r="F309" s="4" t="str">
        <f>IFERROR(__xludf.DUMMYFUNCTION("""COMPUTED_VALUE"""),"")</f>
        <v/>
      </c>
      <c r="G309" s="4" t="str">
        <f>IFERROR(__xludf.DUMMYFUNCTION("""COMPUTED_VALUE"""),"#VALUE!")</f>
        <v>#VALUE!</v>
      </c>
      <c r="H309" s="4" t="str">
        <f>IFERROR(__xludf.DUMMYFUNCTION("""COMPUTED_VALUE"""),"")</f>
        <v/>
      </c>
    </row>
    <row r="310">
      <c r="E310" s="4" t="str">
        <f>IFERROR(__xludf.DUMMYFUNCTION("""COMPUTED_VALUE"""),"#VALUE!")</f>
        <v>#VALUE!</v>
      </c>
      <c r="F310" s="4" t="str">
        <f>IFERROR(__xludf.DUMMYFUNCTION("""COMPUTED_VALUE"""),"")</f>
        <v/>
      </c>
      <c r="G310" s="4" t="str">
        <f>IFERROR(__xludf.DUMMYFUNCTION("""COMPUTED_VALUE"""),"#VALUE!")</f>
        <v>#VALUE!</v>
      </c>
      <c r="H310" s="4" t="str">
        <f>IFERROR(__xludf.DUMMYFUNCTION("""COMPUTED_VALUE"""),"")</f>
        <v/>
      </c>
    </row>
    <row r="311">
      <c r="E311" s="4" t="str">
        <f>IFERROR(__xludf.DUMMYFUNCTION("""COMPUTED_VALUE"""),"#VALUE!")</f>
        <v>#VALUE!</v>
      </c>
      <c r="F311" s="4" t="str">
        <f>IFERROR(__xludf.DUMMYFUNCTION("""COMPUTED_VALUE"""),"")</f>
        <v/>
      </c>
      <c r="G311" s="4" t="str">
        <f>IFERROR(__xludf.DUMMYFUNCTION("""COMPUTED_VALUE"""),"#VALUE!")</f>
        <v>#VALUE!</v>
      </c>
      <c r="H311" s="4" t="str">
        <f>IFERROR(__xludf.DUMMYFUNCTION("""COMPUTED_VALUE"""),"")</f>
        <v/>
      </c>
    </row>
    <row r="312">
      <c r="E312" s="4" t="str">
        <f>IFERROR(__xludf.DUMMYFUNCTION("""COMPUTED_VALUE"""),"#VALUE!")</f>
        <v>#VALUE!</v>
      </c>
      <c r="F312" s="4" t="str">
        <f>IFERROR(__xludf.DUMMYFUNCTION("""COMPUTED_VALUE"""),"")</f>
        <v/>
      </c>
      <c r="G312" s="4" t="str">
        <f>IFERROR(__xludf.DUMMYFUNCTION("""COMPUTED_VALUE"""),"#VALUE!")</f>
        <v>#VALUE!</v>
      </c>
      <c r="H312" s="4" t="str">
        <f>IFERROR(__xludf.DUMMYFUNCTION("""COMPUTED_VALUE"""),"")</f>
        <v/>
      </c>
    </row>
    <row r="313">
      <c r="E313" s="4" t="str">
        <f>IFERROR(__xludf.DUMMYFUNCTION("""COMPUTED_VALUE"""),"#VALUE!")</f>
        <v>#VALUE!</v>
      </c>
      <c r="F313" s="4" t="str">
        <f>IFERROR(__xludf.DUMMYFUNCTION("""COMPUTED_VALUE"""),"")</f>
        <v/>
      </c>
      <c r="G313" s="4" t="str">
        <f>IFERROR(__xludf.DUMMYFUNCTION("""COMPUTED_VALUE"""),"#VALUE!")</f>
        <v>#VALUE!</v>
      </c>
      <c r="H313" s="4" t="str">
        <f>IFERROR(__xludf.DUMMYFUNCTION("""COMPUTED_VALUE"""),"")</f>
        <v/>
      </c>
    </row>
    <row r="314">
      <c r="E314" s="4" t="str">
        <f>IFERROR(__xludf.DUMMYFUNCTION("""COMPUTED_VALUE"""),"#VALUE!")</f>
        <v>#VALUE!</v>
      </c>
      <c r="F314" s="4" t="str">
        <f>IFERROR(__xludf.DUMMYFUNCTION("""COMPUTED_VALUE"""),"")</f>
        <v/>
      </c>
      <c r="G314" s="4" t="str">
        <f>IFERROR(__xludf.DUMMYFUNCTION("""COMPUTED_VALUE"""),"#VALUE!")</f>
        <v>#VALUE!</v>
      </c>
      <c r="H314" s="4" t="str">
        <f>IFERROR(__xludf.DUMMYFUNCTION("""COMPUTED_VALUE"""),"")</f>
        <v/>
      </c>
    </row>
    <row r="315">
      <c r="E315" s="4" t="str">
        <f>IFERROR(__xludf.DUMMYFUNCTION("""COMPUTED_VALUE"""),"#VALUE!")</f>
        <v>#VALUE!</v>
      </c>
      <c r="F315" s="4" t="str">
        <f>IFERROR(__xludf.DUMMYFUNCTION("""COMPUTED_VALUE"""),"")</f>
        <v/>
      </c>
      <c r="G315" s="4" t="str">
        <f>IFERROR(__xludf.DUMMYFUNCTION("""COMPUTED_VALUE"""),"#VALUE!")</f>
        <v>#VALUE!</v>
      </c>
      <c r="H315" s="4" t="str">
        <f>IFERROR(__xludf.DUMMYFUNCTION("""COMPUTED_VALUE"""),"")</f>
        <v/>
      </c>
    </row>
    <row r="316">
      <c r="E316" s="4" t="str">
        <f>IFERROR(__xludf.DUMMYFUNCTION("""COMPUTED_VALUE"""),"#VALUE!")</f>
        <v>#VALUE!</v>
      </c>
      <c r="F316" s="4" t="str">
        <f>IFERROR(__xludf.DUMMYFUNCTION("""COMPUTED_VALUE"""),"")</f>
        <v/>
      </c>
      <c r="G316" s="4" t="str">
        <f>IFERROR(__xludf.DUMMYFUNCTION("""COMPUTED_VALUE"""),"#VALUE!")</f>
        <v>#VALUE!</v>
      </c>
      <c r="H316" s="4" t="str">
        <f>IFERROR(__xludf.DUMMYFUNCTION("""COMPUTED_VALUE"""),"")</f>
        <v/>
      </c>
    </row>
    <row r="317">
      <c r="E317" s="4" t="str">
        <f>IFERROR(__xludf.DUMMYFUNCTION("""COMPUTED_VALUE"""),"#VALUE!")</f>
        <v>#VALUE!</v>
      </c>
      <c r="F317" s="4" t="str">
        <f>IFERROR(__xludf.DUMMYFUNCTION("""COMPUTED_VALUE"""),"")</f>
        <v/>
      </c>
      <c r="G317" s="4" t="str">
        <f>IFERROR(__xludf.DUMMYFUNCTION("""COMPUTED_VALUE"""),"#VALUE!")</f>
        <v>#VALUE!</v>
      </c>
      <c r="H317" s="4" t="str">
        <f>IFERROR(__xludf.DUMMYFUNCTION("""COMPUTED_VALUE"""),"")</f>
        <v/>
      </c>
    </row>
    <row r="318">
      <c r="E318" s="4" t="str">
        <f>IFERROR(__xludf.DUMMYFUNCTION("""COMPUTED_VALUE"""),"#VALUE!")</f>
        <v>#VALUE!</v>
      </c>
      <c r="F318" s="4" t="str">
        <f>IFERROR(__xludf.DUMMYFUNCTION("""COMPUTED_VALUE"""),"")</f>
        <v/>
      </c>
      <c r="G318" s="4" t="str">
        <f>IFERROR(__xludf.DUMMYFUNCTION("""COMPUTED_VALUE"""),"#VALUE!")</f>
        <v>#VALUE!</v>
      </c>
      <c r="H318" s="4" t="str">
        <f>IFERROR(__xludf.DUMMYFUNCTION("""COMPUTED_VALUE"""),"")</f>
        <v/>
      </c>
    </row>
    <row r="319">
      <c r="E319" s="4" t="str">
        <f>IFERROR(__xludf.DUMMYFUNCTION("""COMPUTED_VALUE"""),"#VALUE!")</f>
        <v>#VALUE!</v>
      </c>
      <c r="F319" s="4" t="str">
        <f>IFERROR(__xludf.DUMMYFUNCTION("""COMPUTED_VALUE"""),"")</f>
        <v/>
      </c>
      <c r="G319" s="4" t="str">
        <f>IFERROR(__xludf.DUMMYFUNCTION("""COMPUTED_VALUE"""),"#VALUE!")</f>
        <v>#VALUE!</v>
      </c>
      <c r="H319" s="4" t="str">
        <f>IFERROR(__xludf.DUMMYFUNCTION("""COMPUTED_VALUE"""),"")</f>
        <v/>
      </c>
    </row>
    <row r="320">
      <c r="E320" s="4" t="str">
        <f>IFERROR(__xludf.DUMMYFUNCTION("""COMPUTED_VALUE"""),"#VALUE!")</f>
        <v>#VALUE!</v>
      </c>
      <c r="F320" s="4" t="str">
        <f>IFERROR(__xludf.DUMMYFUNCTION("""COMPUTED_VALUE"""),"")</f>
        <v/>
      </c>
      <c r="G320" s="4" t="str">
        <f>IFERROR(__xludf.DUMMYFUNCTION("""COMPUTED_VALUE"""),"#VALUE!")</f>
        <v>#VALUE!</v>
      </c>
      <c r="H320" s="4" t="str">
        <f>IFERROR(__xludf.DUMMYFUNCTION("""COMPUTED_VALUE"""),"")</f>
        <v/>
      </c>
    </row>
    <row r="321">
      <c r="E321" s="4" t="str">
        <f>IFERROR(__xludf.DUMMYFUNCTION("""COMPUTED_VALUE"""),"#VALUE!")</f>
        <v>#VALUE!</v>
      </c>
      <c r="F321" s="4" t="str">
        <f>IFERROR(__xludf.DUMMYFUNCTION("""COMPUTED_VALUE"""),"")</f>
        <v/>
      </c>
      <c r="G321" s="4" t="str">
        <f>IFERROR(__xludf.DUMMYFUNCTION("""COMPUTED_VALUE"""),"#VALUE!")</f>
        <v>#VALUE!</v>
      </c>
      <c r="H321" s="4" t="str">
        <f>IFERROR(__xludf.DUMMYFUNCTION("""COMPUTED_VALUE"""),"")</f>
        <v/>
      </c>
    </row>
    <row r="322">
      <c r="E322" s="4" t="str">
        <f>IFERROR(__xludf.DUMMYFUNCTION("""COMPUTED_VALUE"""),"#VALUE!")</f>
        <v>#VALUE!</v>
      </c>
      <c r="F322" s="4" t="str">
        <f>IFERROR(__xludf.DUMMYFUNCTION("""COMPUTED_VALUE"""),"")</f>
        <v/>
      </c>
      <c r="G322" s="4" t="str">
        <f>IFERROR(__xludf.DUMMYFUNCTION("""COMPUTED_VALUE"""),"#VALUE!")</f>
        <v>#VALUE!</v>
      </c>
      <c r="H322" s="4" t="str">
        <f>IFERROR(__xludf.DUMMYFUNCTION("""COMPUTED_VALUE"""),"")</f>
        <v/>
      </c>
    </row>
    <row r="323">
      <c r="E323" s="4" t="str">
        <f>IFERROR(__xludf.DUMMYFUNCTION("""COMPUTED_VALUE"""),"#VALUE!")</f>
        <v>#VALUE!</v>
      </c>
      <c r="F323" s="4" t="str">
        <f>IFERROR(__xludf.DUMMYFUNCTION("""COMPUTED_VALUE"""),"")</f>
        <v/>
      </c>
      <c r="G323" s="4" t="str">
        <f>IFERROR(__xludf.DUMMYFUNCTION("""COMPUTED_VALUE"""),"#VALUE!")</f>
        <v>#VALUE!</v>
      </c>
      <c r="H323" s="4" t="str">
        <f>IFERROR(__xludf.DUMMYFUNCTION("""COMPUTED_VALUE"""),"")</f>
        <v/>
      </c>
    </row>
    <row r="324">
      <c r="E324" s="4" t="str">
        <f>IFERROR(__xludf.DUMMYFUNCTION("""COMPUTED_VALUE"""),"#VALUE!")</f>
        <v>#VALUE!</v>
      </c>
      <c r="F324" s="4" t="str">
        <f>IFERROR(__xludf.DUMMYFUNCTION("""COMPUTED_VALUE"""),"")</f>
        <v/>
      </c>
      <c r="G324" s="4" t="str">
        <f>IFERROR(__xludf.DUMMYFUNCTION("""COMPUTED_VALUE"""),"#VALUE!")</f>
        <v>#VALUE!</v>
      </c>
      <c r="H324" s="4" t="str">
        <f>IFERROR(__xludf.DUMMYFUNCTION("""COMPUTED_VALUE"""),"")</f>
        <v/>
      </c>
    </row>
    <row r="325">
      <c r="E325" s="4" t="str">
        <f>IFERROR(__xludf.DUMMYFUNCTION("""COMPUTED_VALUE"""),"#VALUE!")</f>
        <v>#VALUE!</v>
      </c>
      <c r="F325" s="4" t="str">
        <f>IFERROR(__xludf.DUMMYFUNCTION("""COMPUTED_VALUE"""),"")</f>
        <v/>
      </c>
      <c r="G325" s="4" t="str">
        <f>IFERROR(__xludf.DUMMYFUNCTION("""COMPUTED_VALUE"""),"#VALUE!")</f>
        <v>#VALUE!</v>
      </c>
      <c r="H325" s="4" t="str">
        <f>IFERROR(__xludf.DUMMYFUNCTION("""COMPUTED_VALUE"""),"")</f>
        <v/>
      </c>
    </row>
    <row r="326">
      <c r="E326" s="4" t="str">
        <f>IFERROR(__xludf.DUMMYFUNCTION("""COMPUTED_VALUE"""),"#VALUE!")</f>
        <v>#VALUE!</v>
      </c>
      <c r="F326" s="4" t="str">
        <f>IFERROR(__xludf.DUMMYFUNCTION("""COMPUTED_VALUE"""),"")</f>
        <v/>
      </c>
      <c r="G326" s="4" t="str">
        <f>IFERROR(__xludf.DUMMYFUNCTION("""COMPUTED_VALUE"""),"#VALUE!")</f>
        <v>#VALUE!</v>
      </c>
      <c r="H326" s="4" t="str">
        <f>IFERROR(__xludf.DUMMYFUNCTION("""COMPUTED_VALUE"""),"")</f>
        <v/>
      </c>
    </row>
    <row r="327">
      <c r="E327" s="4" t="str">
        <f>IFERROR(__xludf.DUMMYFUNCTION("""COMPUTED_VALUE"""),"#VALUE!")</f>
        <v>#VALUE!</v>
      </c>
      <c r="F327" s="4" t="str">
        <f>IFERROR(__xludf.DUMMYFUNCTION("""COMPUTED_VALUE"""),"")</f>
        <v/>
      </c>
      <c r="G327" s="4" t="str">
        <f>IFERROR(__xludf.DUMMYFUNCTION("""COMPUTED_VALUE"""),"#VALUE!")</f>
        <v>#VALUE!</v>
      </c>
      <c r="H327" s="4" t="str">
        <f>IFERROR(__xludf.DUMMYFUNCTION("""COMPUTED_VALUE"""),"")</f>
        <v/>
      </c>
    </row>
    <row r="328">
      <c r="E328" s="4" t="str">
        <f>IFERROR(__xludf.DUMMYFUNCTION("""COMPUTED_VALUE"""),"#VALUE!")</f>
        <v>#VALUE!</v>
      </c>
      <c r="F328" s="4" t="str">
        <f>IFERROR(__xludf.DUMMYFUNCTION("""COMPUTED_VALUE"""),"")</f>
        <v/>
      </c>
      <c r="G328" s="4" t="str">
        <f>IFERROR(__xludf.DUMMYFUNCTION("""COMPUTED_VALUE"""),"#VALUE!")</f>
        <v>#VALUE!</v>
      </c>
      <c r="H328" s="4" t="str">
        <f>IFERROR(__xludf.DUMMYFUNCTION("""COMPUTED_VALUE"""),"")</f>
        <v/>
      </c>
    </row>
    <row r="329">
      <c r="E329" s="4" t="str">
        <f>IFERROR(__xludf.DUMMYFUNCTION("""COMPUTED_VALUE"""),"#VALUE!")</f>
        <v>#VALUE!</v>
      </c>
      <c r="F329" s="4" t="str">
        <f>IFERROR(__xludf.DUMMYFUNCTION("""COMPUTED_VALUE"""),"")</f>
        <v/>
      </c>
      <c r="G329" s="4" t="str">
        <f>IFERROR(__xludf.DUMMYFUNCTION("""COMPUTED_VALUE"""),"#VALUE!")</f>
        <v>#VALUE!</v>
      </c>
      <c r="H329" s="4" t="str">
        <f>IFERROR(__xludf.DUMMYFUNCTION("""COMPUTED_VALUE"""),"")</f>
        <v/>
      </c>
    </row>
    <row r="330">
      <c r="E330" s="4" t="str">
        <f>IFERROR(__xludf.DUMMYFUNCTION("""COMPUTED_VALUE"""),"#VALUE!")</f>
        <v>#VALUE!</v>
      </c>
      <c r="F330" s="4" t="str">
        <f>IFERROR(__xludf.DUMMYFUNCTION("""COMPUTED_VALUE"""),"")</f>
        <v/>
      </c>
      <c r="G330" s="4" t="str">
        <f>IFERROR(__xludf.DUMMYFUNCTION("""COMPUTED_VALUE"""),"#VALUE!")</f>
        <v>#VALUE!</v>
      </c>
      <c r="H330" s="4" t="str">
        <f>IFERROR(__xludf.DUMMYFUNCTION("""COMPUTED_VALUE"""),"")</f>
        <v/>
      </c>
    </row>
    <row r="331">
      <c r="E331" s="4" t="str">
        <f>IFERROR(__xludf.DUMMYFUNCTION("""COMPUTED_VALUE"""),"#VALUE!")</f>
        <v>#VALUE!</v>
      </c>
      <c r="F331" s="4" t="str">
        <f>IFERROR(__xludf.DUMMYFUNCTION("""COMPUTED_VALUE"""),"")</f>
        <v/>
      </c>
      <c r="G331" s="4" t="str">
        <f>IFERROR(__xludf.DUMMYFUNCTION("""COMPUTED_VALUE"""),"#VALUE!")</f>
        <v>#VALUE!</v>
      </c>
      <c r="H331" s="4" t="str">
        <f>IFERROR(__xludf.DUMMYFUNCTION("""COMPUTED_VALUE"""),"")</f>
        <v/>
      </c>
    </row>
    <row r="332">
      <c r="E332" s="4" t="str">
        <f>IFERROR(__xludf.DUMMYFUNCTION("""COMPUTED_VALUE"""),"#VALUE!")</f>
        <v>#VALUE!</v>
      </c>
      <c r="F332" s="4" t="str">
        <f>IFERROR(__xludf.DUMMYFUNCTION("""COMPUTED_VALUE"""),"")</f>
        <v/>
      </c>
      <c r="G332" s="4" t="str">
        <f>IFERROR(__xludf.DUMMYFUNCTION("""COMPUTED_VALUE"""),"#VALUE!")</f>
        <v>#VALUE!</v>
      </c>
      <c r="H332" s="4" t="str">
        <f>IFERROR(__xludf.DUMMYFUNCTION("""COMPUTED_VALUE"""),"")</f>
        <v/>
      </c>
    </row>
    <row r="333">
      <c r="E333" s="4" t="str">
        <f>IFERROR(__xludf.DUMMYFUNCTION("""COMPUTED_VALUE"""),"#VALUE!")</f>
        <v>#VALUE!</v>
      </c>
      <c r="F333" s="4" t="str">
        <f>IFERROR(__xludf.DUMMYFUNCTION("""COMPUTED_VALUE"""),"")</f>
        <v/>
      </c>
      <c r="G333" s="4" t="str">
        <f>IFERROR(__xludf.DUMMYFUNCTION("""COMPUTED_VALUE"""),"#VALUE!")</f>
        <v>#VALUE!</v>
      </c>
      <c r="H333" s="4" t="str">
        <f>IFERROR(__xludf.DUMMYFUNCTION("""COMPUTED_VALUE"""),"")</f>
        <v/>
      </c>
    </row>
    <row r="334">
      <c r="E334" s="4" t="str">
        <f>IFERROR(__xludf.DUMMYFUNCTION("""COMPUTED_VALUE"""),"#VALUE!")</f>
        <v>#VALUE!</v>
      </c>
      <c r="F334" s="4" t="str">
        <f>IFERROR(__xludf.DUMMYFUNCTION("""COMPUTED_VALUE"""),"")</f>
        <v/>
      </c>
      <c r="G334" s="4" t="str">
        <f>IFERROR(__xludf.DUMMYFUNCTION("""COMPUTED_VALUE"""),"#VALUE!")</f>
        <v>#VALUE!</v>
      </c>
      <c r="H334" s="4" t="str">
        <f>IFERROR(__xludf.DUMMYFUNCTION("""COMPUTED_VALUE"""),"")</f>
        <v/>
      </c>
    </row>
    <row r="335">
      <c r="E335" s="4" t="str">
        <f>IFERROR(__xludf.DUMMYFUNCTION("""COMPUTED_VALUE"""),"#VALUE!")</f>
        <v>#VALUE!</v>
      </c>
      <c r="F335" s="4" t="str">
        <f>IFERROR(__xludf.DUMMYFUNCTION("""COMPUTED_VALUE"""),"")</f>
        <v/>
      </c>
      <c r="G335" s="4" t="str">
        <f>IFERROR(__xludf.DUMMYFUNCTION("""COMPUTED_VALUE"""),"#VALUE!")</f>
        <v>#VALUE!</v>
      </c>
      <c r="H335" s="4" t="str">
        <f>IFERROR(__xludf.DUMMYFUNCTION("""COMPUTED_VALUE"""),"")</f>
        <v/>
      </c>
    </row>
    <row r="336">
      <c r="E336" s="4" t="str">
        <f>IFERROR(__xludf.DUMMYFUNCTION("""COMPUTED_VALUE"""),"#VALUE!")</f>
        <v>#VALUE!</v>
      </c>
      <c r="F336" s="4" t="str">
        <f>IFERROR(__xludf.DUMMYFUNCTION("""COMPUTED_VALUE"""),"")</f>
        <v/>
      </c>
      <c r="G336" s="4" t="str">
        <f>IFERROR(__xludf.DUMMYFUNCTION("""COMPUTED_VALUE"""),"#VALUE!")</f>
        <v>#VALUE!</v>
      </c>
      <c r="H336" s="4" t="str">
        <f>IFERROR(__xludf.DUMMYFUNCTION("""COMPUTED_VALUE"""),"")</f>
        <v/>
      </c>
    </row>
    <row r="337">
      <c r="E337" s="4" t="str">
        <f>IFERROR(__xludf.DUMMYFUNCTION("""COMPUTED_VALUE"""),"#VALUE!")</f>
        <v>#VALUE!</v>
      </c>
      <c r="F337" s="4" t="str">
        <f>IFERROR(__xludf.DUMMYFUNCTION("""COMPUTED_VALUE"""),"")</f>
        <v/>
      </c>
      <c r="G337" s="4" t="str">
        <f>IFERROR(__xludf.DUMMYFUNCTION("""COMPUTED_VALUE"""),"#VALUE!")</f>
        <v>#VALUE!</v>
      </c>
      <c r="H337" s="4" t="str">
        <f>IFERROR(__xludf.DUMMYFUNCTION("""COMPUTED_VALUE"""),"")</f>
        <v/>
      </c>
    </row>
    <row r="338">
      <c r="E338" s="4" t="str">
        <f>IFERROR(__xludf.DUMMYFUNCTION("""COMPUTED_VALUE"""),"#VALUE!")</f>
        <v>#VALUE!</v>
      </c>
      <c r="F338" s="4" t="str">
        <f>IFERROR(__xludf.DUMMYFUNCTION("""COMPUTED_VALUE"""),"")</f>
        <v/>
      </c>
      <c r="G338" s="4" t="str">
        <f>IFERROR(__xludf.DUMMYFUNCTION("""COMPUTED_VALUE"""),"#VALUE!")</f>
        <v>#VALUE!</v>
      </c>
      <c r="H338" s="4" t="str">
        <f>IFERROR(__xludf.DUMMYFUNCTION("""COMPUTED_VALUE"""),"")</f>
        <v/>
      </c>
    </row>
    <row r="339">
      <c r="E339" s="4" t="str">
        <f>IFERROR(__xludf.DUMMYFUNCTION("""COMPUTED_VALUE"""),"#VALUE!")</f>
        <v>#VALUE!</v>
      </c>
      <c r="F339" s="4" t="str">
        <f>IFERROR(__xludf.DUMMYFUNCTION("""COMPUTED_VALUE"""),"")</f>
        <v/>
      </c>
      <c r="G339" s="4" t="str">
        <f>IFERROR(__xludf.DUMMYFUNCTION("""COMPUTED_VALUE"""),"#VALUE!")</f>
        <v>#VALUE!</v>
      </c>
      <c r="H339" s="4" t="str">
        <f>IFERROR(__xludf.DUMMYFUNCTION("""COMPUTED_VALUE"""),"")</f>
        <v/>
      </c>
    </row>
    <row r="340">
      <c r="E340" s="4" t="str">
        <f>IFERROR(__xludf.DUMMYFUNCTION("""COMPUTED_VALUE"""),"#VALUE!")</f>
        <v>#VALUE!</v>
      </c>
      <c r="F340" s="4" t="str">
        <f>IFERROR(__xludf.DUMMYFUNCTION("""COMPUTED_VALUE"""),"")</f>
        <v/>
      </c>
      <c r="G340" s="4" t="str">
        <f>IFERROR(__xludf.DUMMYFUNCTION("""COMPUTED_VALUE"""),"#VALUE!")</f>
        <v>#VALUE!</v>
      </c>
      <c r="H340" s="4" t="str">
        <f>IFERROR(__xludf.DUMMYFUNCTION("""COMPUTED_VALUE"""),"")</f>
        <v/>
      </c>
    </row>
    <row r="341">
      <c r="E341" s="4" t="str">
        <f>IFERROR(__xludf.DUMMYFUNCTION("""COMPUTED_VALUE"""),"#VALUE!")</f>
        <v>#VALUE!</v>
      </c>
      <c r="F341" s="4" t="str">
        <f>IFERROR(__xludf.DUMMYFUNCTION("""COMPUTED_VALUE"""),"")</f>
        <v/>
      </c>
      <c r="G341" s="4" t="str">
        <f>IFERROR(__xludf.DUMMYFUNCTION("""COMPUTED_VALUE"""),"#VALUE!")</f>
        <v>#VALUE!</v>
      </c>
      <c r="H341" s="4" t="str">
        <f>IFERROR(__xludf.DUMMYFUNCTION("""COMPUTED_VALUE"""),"")</f>
        <v/>
      </c>
    </row>
    <row r="342">
      <c r="E342" s="4" t="str">
        <f>IFERROR(__xludf.DUMMYFUNCTION("""COMPUTED_VALUE"""),"#VALUE!")</f>
        <v>#VALUE!</v>
      </c>
      <c r="F342" s="4" t="str">
        <f>IFERROR(__xludf.DUMMYFUNCTION("""COMPUTED_VALUE"""),"")</f>
        <v/>
      </c>
      <c r="G342" s="4" t="str">
        <f>IFERROR(__xludf.DUMMYFUNCTION("""COMPUTED_VALUE"""),"#VALUE!")</f>
        <v>#VALUE!</v>
      </c>
      <c r="H342" s="4" t="str">
        <f>IFERROR(__xludf.DUMMYFUNCTION("""COMPUTED_VALUE"""),"")</f>
        <v/>
      </c>
    </row>
    <row r="343">
      <c r="E343" s="4" t="str">
        <f>IFERROR(__xludf.DUMMYFUNCTION("""COMPUTED_VALUE"""),"#VALUE!")</f>
        <v>#VALUE!</v>
      </c>
      <c r="F343" s="4" t="str">
        <f>IFERROR(__xludf.DUMMYFUNCTION("""COMPUTED_VALUE"""),"")</f>
        <v/>
      </c>
      <c r="G343" s="4" t="str">
        <f>IFERROR(__xludf.DUMMYFUNCTION("""COMPUTED_VALUE"""),"#VALUE!")</f>
        <v>#VALUE!</v>
      </c>
      <c r="H343" s="4" t="str">
        <f>IFERROR(__xludf.DUMMYFUNCTION("""COMPUTED_VALUE"""),"")</f>
        <v/>
      </c>
    </row>
    <row r="344">
      <c r="E344" s="4" t="str">
        <f>IFERROR(__xludf.DUMMYFUNCTION("""COMPUTED_VALUE"""),"#VALUE!")</f>
        <v>#VALUE!</v>
      </c>
      <c r="F344" s="4" t="str">
        <f>IFERROR(__xludf.DUMMYFUNCTION("""COMPUTED_VALUE"""),"")</f>
        <v/>
      </c>
      <c r="G344" s="4" t="str">
        <f>IFERROR(__xludf.DUMMYFUNCTION("""COMPUTED_VALUE"""),"#VALUE!")</f>
        <v>#VALUE!</v>
      </c>
      <c r="H344" s="4" t="str">
        <f>IFERROR(__xludf.DUMMYFUNCTION("""COMPUTED_VALUE"""),"")</f>
        <v/>
      </c>
    </row>
    <row r="345">
      <c r="E345" s="4" t="str">
        <f>IFERROR(__xludf.DUMMYFUNCTION("""COMPUTED_VALUE"""),"#VALUE!")</f>
        <v>#VALUE!</v>
      </c>
      <c r="F345" s="4" t="str">
        <f>IFERROR(__xludf.DUMMYFUNCTION("""COMPUTED_VALUE"""),"")</f>
        <v/>
      </c>
      <c r="G345" s="4" t="str">
        <f>IFERROR(__xludf.DUMMYFUNCTION("""COMPUTED_VALUE"""),"#VALUE!")</f>
        <v>#VALUE!</v>
      </c>
      <c r="H345" s="4" t="str">
        <f>IFERROR(__xludf.DUMMYFUNCTION("""COMPUTED_VALUE"""),"")</f>
        <v/>
      </c>
    </row>
    <row r="346">
      <c r="E346" s="4" t="str">
        <f>IFERROR(__xludf.DUMMYFUNCTION("""COMPUTED_VALUE"""),"#VALUE!")</f>
        <v>#VALUE!</v>
      </c>
      <c r="F346" s="4" t="str">
        <f>IFERROR(__xludf.DUMMYFUNCTION("""COMPUTED_VALUE"""),"")</f>
        <v/>
      </c>
      <c r="G346" s="4" t="str">
        <f>IFERROR(__xludf.DUMMYFUNCTION("""COMPUTED_VALUE"""),"#VALUE!")</f>
        <v>#VALUE!</v>
      </c>
      <c r="H346" s="4" t="str">
        <f>IFERROR(__xludf.DUMMYFUNCTION("""COMPUTED_VALUE"""),"")</f>
        <v/>
      </c>
    </row>
    <row r="347">
      <c r="E347" s="4" t="str">
        <f>IFERROR(__xludf.DUMMYFUNCTION("""COMPUTED_VALUE"""),"#VALUE!")</f>
        <v>#VALUE!</v>
      </c>
      <c r="F347" s="4" t="str">
        <f>IFERROR(__xludf.DUMMYFUNCTION("""COMPUTED_VALUE"""),"")</f>
        <v/>
      </c>
      <c r="G347" s="4" t="str">
        <f>IFERROR(__xludf.DUMMYFUNCTION("""COMPUTED_VALUE"""),"#VALUE!")</f>
        <v>#VALUE!</v>
      </c>
      <c r="H347" s="4" t="str">
        <f>IFERROR(__xludf.DUMMYFUNCTION("""COMPUTED_VALUE"""),"")</f>
        <v/>
      </c>
    </row>
    <row r="348">
      <c r="E348" s="4" t="str">
        <f>IFERROR(__xludf.DUMMYFUNCTION("""COMPUTED_VALUE"""),"#VALUE!")</f>
        <v>#VALUE!</v>
      </c>
      <c r="F348" s="4" t="str">
        <f>IFERROR(__xludf.DUMMYFUNCTION("""COMPUTED_VALUE"""),"")</f>
        <v/>
      </c>
      <c r="G348" s="4" t="str">
        <f>IFERROR(__xludf.DUMMYFUNCTION("""COMPUTED_VALUE"""),"#VALUE!")</f>
        <v>#VALUE!</v>
      </c>
      <c r="H348" s="4" t="str">
        <f>IFERROR(__xludf.DUMMYFUNCTION("""COMPUTED_VALUE"""),"")</f>
        <v/>
      </c>
    </row>
    <row r="349">
      <c r="E349" s="4" t="str">
        <f>IFERROR(__xludf.DUMMYFUNCTION("""COMPUTED_VALUE"""),"#VALUE!")</f>
        <v>#VALUE!</v>
      </c>
      <c r="F349" s="4" t="str">
        <f>IFERROR(__xludf.DUMMYFUNCTION("""COMPUTED_VALUE"""),"")</f>
        <v/>
      </c>
      <c r="G349" s="4" t="str">
        <f>IFERROR(__xludf.DUMMYFUNCTION("""COMPUTED_VALUE"""),"#VALUE!")</f>
        <v>#VALUE!</v>
      </c>
      <c r="H349" s="4" t="str">
        <f>IFERROR(__xludf.DUMMYFUNCTION("""COMPUTED_VALUE"""),"")</f>
        <v/>
      </c>
    </row>
    <row r="350">
      <c r="E350" s="4" t="str">
        <f>IFERROR(__xludf.DUMMYFUNCTION("""COMPUTED_VALUE"""),"#VALUE!")</f>
        <v>#VALUE!</v>
      </c>
      <c r="F350" s="4" t="str">
        <f>IFERROR(__xludf.DUMMYFUNCTION("""COMPUTED_VALUE"""),"")</f>
        <v/>
      </c>
      <c r="G350" s="4" t="str">
        <f>IFERROR(__xludf.DUMMYFUNCTION("""COMPUTED_VALUE"""),"#VALUE!")</f>
        <v>#VALUE!</v>
      </c>
      <c r="H350" s="4" t="str">
        <f>IFERROR(__xludf.DUMMYFUNCTION("""COMPUTED_VALUE"""),"")</f>
        <v/>
      </c>
    </row>
    <row r="351">
      <c r="E351" s="4" t="str">
        <f>IFERROR(__xludf.DUMMYFUNCTION("""COMPUTED_VALUE"""),"#VALUE!")</f>
        <v>#VALUE!</v>
      </c>
      <c r="F351" s="4" t="str">
        <f>IFERROR(__xludf.DUMMYFUNCTION("""COMPUTED_VALUE"""),"")</f>
        <v/>
      </c>
      <c r="G351" s="4" t="str">
        <f>IFERROR(__xludf.DUMMYFUNCTION("""COMPUTED_VALUE"""),"#VALUE!")</f>
        <v>#VALUE!</v>
      </c>
      <c r="H351" s="4" t="str">
        <f>IFERROR(__xludf.DUMMYFUNCTION("""COMPUTED_VALUE"""),"")</f>
        <v/>
      </c>
    </row>
    <row r="352">
      <c r="E352" s="4" t="str">
        <f>IFERROR(__xludf.DUMMYFUNCTION("""COMPUTED_VALUE"""),"#VALUE!")</f>
        <v>#VALUE!</v>
      </c>
      <c r="F352" s="4" t="str">
        <f>IFERROR(__xludf.DUMMYFUNCTION("""COMPUTED_VALUE"""),"")</f>
        <v/>
      </c>
      <c r="G352" s="4" t="str">
        <f>IFERROR(__xludf.DUMMYFUNCTION("""COMPUTED_VALUE"""),"#VALUE!")</f>
        <v>#VALUE!</v>
      </c>
      <c r="H352" s="4" t="str">
        <f>IFERROR(__xludf.DUMMYFUNCTION("""COMPUTED_VALUE"""),"")</f>
        <v/>
      </c>
    </row>
    <row r="353">
      <c r="E353" s="4" t="str">
        <f>IFERROR(__xludf.DUMMYFUNCTION("""COMPUTED_VALUE"""),"#VALUE!")</f>
        <v>#VALUE!</v>
      </c>
      <c r="F353" s="4" t="str">
        <f>IFERROR(__xludf.DUMMYFUNCTION("""COMPUTED_VALUE"""),"")</f>
        <v/>
      </c>
      <c r="G353" s="4" t="str">
        <f>IFERROR(__xludf.DUMMYFUNCTION("""COMPUTED_VALUE"""),"#VALUE!")</f>
        <v>#VALUE!</v>
      </c>
      <c r="H353" s="4" t="str">
        <f>IFERROR(__xludf.DUMMYFUNCTION("""COMPUTED_VALUE"""),"")</f>
        <v/>
      </c>
    </row>
    <row r="354">
      <c r="E354" s="4" t="str">
        <f>IFERROR(__xludf.DUMMYFUNCTION("""COMPUTED_VALUE"""),"#VALUE!")</f>
        <v>#VALUE!</v>
      </c>
      <c r="F354" s="4" t="str">
        <f>IFERROR(__xludf.DUMMYFUNCTION("""COMPUTED_VALUE"""),"")</f>
        <v/>
      </c>
      <c r="G354" s="4" t="str">
        <f>IFERROR(__xludf.DUMMYFUNCTION("""COMPUTED_VALUE"""),"#VALUE!")</f>
        <v>#VALUE!</v>
      </c>
      <c r="H354" s="4" t="str">
        <f>IFERROR(__xludf.DUMMYFUNCTION("""COMPUTED_VALUE"""),"")</f>
        <v/>
      </c>
    </row>
    <row r="355">
      <c r="E355" s="4" t="str">
        <f>IFERROR(__xludf.DUMMYFUNCTION("""COMPUTED_VALUE"""),"#VALUE!")</f>
        <v>#VALUE!</v>
      </c>
      <c r="F355" s="4" t="str">
        <f>IFERROR(__xludf.DUMMYFUNCTION("""COMPUTED_VALUE"""),"")</f>
        <v/>
      </c>
      <c r="G355" s="4" t="str">
        <f>IFERROR(__xludf.DUMMYFUNCTION("""COMPUTED_VALUE"""),"#VALUE!")</f>
        <v>#VALUE!</v>
      </c>
      <c r="H355" s="4" t="str">
        <f>IFERROR(__xludf.DUMMYFUNCTION("""COMPUTED_VALUE"""),"")</f>
        <v/>
      </c>
    </row>
    <row r="356">
      <c r="E356" s="4" t="str">
        <f>IFERROR(__xludf.DUMMYFUNCTION("""COMPUTED_VALUE"""),"#VALUE!")</f>
        <v>#VALUE!</v>
      </c>
      <c r="F356" s="4" t="str">
        <f>IFERROR(__xludf.DUMMYFUNCTION("""COMPUTED_VALUE"""),"")</f>
        <v/>
      </c>
      <c r="G356" s="4" t="str">
        <f>IFERROR(__xludf.DUMMYFUNCTION("""COMPUTED_VALUE"""),"#VALUE!")</f>
        <v>#VALUE!</v>
      </c>
      <c r="H356" s="4" t="str">
        <f>IFERROR(__xludf.DUMMYFUNCTION("""COMPUTED_VALUE"""),"")</f>
        <v/>
      </c>
    </row>
    <row r="357">
      <c r="E357" s="4" t="str">
        <f>IFERROR(__xludf.DUMMYFUNCTION("""COMPUTED_VALUE"""),"#VALUE!")</f>
        <v>#VALUE!</v>
      </c>
      <c r="F357" s="4" t="str">
        <f>IFERROR(__xludf.DUMMYFUNCTION("""COMPUTED_VALUE"""),"")</f>
        <v/>
      </c>
      <c r="G357" s="4" t="str">
        <f>IFERROR(__xludf.DUMMYFUNCTION("""COMPUTED_VALUE"""),"#VALUE!")</f>
        <v>#VALUE!</v>
      </c>
      <c r="H357" s="4" t="str">
        <f>IFERROR(__xludf.DUMMYFUNCTION("""COMPUTED_VALUE"""),"")</f>
        <v/>
      </c>
    </row>
    <row r="358">
      <c r="E358" s="4" t="str">
        <f>IFERROR(__xludf.DUMMYFUNCTION("""COMPUTED_VALUE"""),"#VALUE!")</f>
        <v>#VALUE!</v>
      </c>
      <c r="F358" s="4" t="str">
        <f>IFERROR(__xludf.DUMMYFUNCTION("""COMPUTED_VALUE"""),"")</f>
        <v/>
      </c>
      <c r="G358" s="4" t="str">
        <f>IFERROR(__xludf.DUMMYFUNCTION("""COMPUTED_VALUE"""),"#VALUE!")</f>
        <v>#VALUE!</v>
      </c>
      <c r="H358" s="4" t="str">
        <f>IFERROR(__xludf.DUMMYFUNCTION("""COMPUTED_VALUE"""),"")</f>
        <v/>
      </c>
    </row>
    <row r="359">
      <c r="E359" s="4" t="str">
        <f>IFERROR(__xludf.DUMMYFUNCTION("""COMPUTED_VALUE"""),"#VALUE!")</f>
        <v>#VALUE!</v>
      </c>
      <c r="F359" s="4" t="str">
        <f>IFERROR(__xludf.DUMMYFUNCTION("""COMPUTED_VALUE"""),"")</f>
        <v/>
      </c>
      <c r="G359" s="4" t="str">
        <f>IFERROR(__xludf.DUMMYFUNCTION("""COMPUTED_VALUE"""),"#VALUE!")</f>
        <v>#VALUE!</v>
      </c>
      <c r="H359" s="4" t="str">
        <f>IFERROR(__xludf.DUMMYFUNCTION("""COMPUTED_VALUE"""),"")</f>
        <v/>
      </c>
    </row>
    <row r="360">
      <c r="E360" s="4" t="str">
        <f>IFERROR(__xludf.DUMMYFUNCTION("""COMPUTED_VALUE"""),"#VALUE!")</f>
        <v>#VALUE!</v>
      </c>
      <c r="F360" s="4" t="str">
        <f>IFERROR(__xludf.DUMMYFUNCTION("""COMPUTED_VALUE"""),"")</f>
        <v/>
      </c>
      <c r="G360" s="4" t="str">
        <f>IFERROR(__xludf.DUMMYFUNCTION("""COMPUTED_VALUE"""),"#VALUE!")</f>
        <v>#VALUE!</v>
      </c>
      <c r="H360" s="4" t="str">
        <f>IFERROR(__xludf.DUMMYFUNCTION("""COMPUTED_VALUE"""),"")</f>
        <v/>
      </c>
    </row>
    <row r="361">
      <c r="E361" s="4" t="str">
        <f>IFERROR(__xludf.DUMMYFUNCTION("""COMPUTED_VALUE"""),"#VALUE!")</f>
        <v>#VALUE!</v>
      </c>
      <c r="F361" s="4" t="str">
        <f>IFERROR(__xludf.DUMMYFUNCTION("""COMPUTED_VALUE"""),"")</f>
        <v/>
      </c>
      <c r="G361" s="4" t="str">
        <f>IFERROR(__xludf.DUMMYFUNCTION("""COMPUTED_VALUE"""),"#VALUE!")</f>
        <v>#VALUE!</v>
      </c>
      <c r="H361" s="4" t="str">
        <f>IFERROR(__xludf.DUMMYFUNCTION("""COMPUTED_VALUE"""),"")</f>
        <v/>
      </c>
    </row>
    <row r="362">
      <c r="E362" s="4" t="str">
        <f>IFERROR(__xludf.DUMMYFUNCTION("""COMPUTED_VALUE"""),"#VALUE!")</f>
        <v>#VALUE!</v>
      </c>
      <c r="F362" s="4" t="str">
        <f>IFERROR(__xludf.DUMMYFUNCTION("""COMPUTED_VALUE"""),"")</f>
        <v/>
      </c>
      <c r="G362" s="4" t="str">
        <f>IFERROR(__xludf.DUMMYFUNCTION("""COMPUTED_VALUE"""),"#VALUE!")</f>
        <v>#VALUE!</v>
      </c>
      <c r="H362" s="4" t="str">
        <f>IFERROR(__xludf.DUMMYFUNCTION("""COMPUTED_VALUE"""),"")</f>
        <v/>
      </c>
    </row>
    <row r="363">
      <c r="E363" s="4" t="str">
        <f>IFERROR(__xludf.DUMMYFUNCTION("""COMPUTED_VALUE"""),"#VALUE!")</f>
        <v>#VALUE!</v>
      </c>
      <c r="F363" s="4" t="str">
        <f>IFERROR(__xludf.DUMMYFUNCTION("""COMPUTED_VALUE"""),"")</f>
        <v/>
      </c>
      <c r="G363" s="4" t="str">
        <f>IFERROR(__xludf.DUMMYFUNCTION("""COMPUTED_VALUE"""),"#VALUE!")</f>
        <v>#VALUE!</v>
      </c>
      <c r="H363" s="4" t="str">
        <f>IFERROR(__xludf.DUMMYFUNCTION("""COMPUTED_VALUE"""),"")</f>
        <v/>
      </c>
    </row>
    <row r="364">
      <c r="E364" s="4" t="str">
        <f>IFERROR(__xludf.DUMMYFUNCTION("""COMPUTED_VALUE"""),"#VALUE!")</f>
        <v>#VALUE!</v>
      </c>
      <c r="F364" s="4" t="str">
        <f>IFERROR(__xludf.DUMMYFUNCTION("""COMPUTED_VALUE"""),"")</f>
        <v/>
      </c>
      <c r="G364" s="4" t="str">
        <f>IFERROR(__xludf.DUMMYFUNCTION("""COMPUTED_VALUE"""),"#VALUE!")</f>
        <v>#VALUE!</v>
      </c>
      <c r="H364" s="4" t="str">
        <f>IFERROR(__xludf.DUMMYFUNCTION("""COMPUTED_VALUE"""),"")</f>
        <v/>
      </c>
    </row>
    <row r="365">
      <c r="E365" s="4" t="str">
        <f>IFERROR(__xludf.DUMMYFUNCTION("""COMPUTED_VALUE"""),"#VALUE!")</f>
        <v>#VALUE!</v>
      </c>
      <c r="F365" s="4" t="str">
        <f>IFERROR(__xludf.DUMMYFUNCTION("""COMPUTED_VALUE"""),"")</f>
        <v/>
      </c>
      <c r="G365" s="4" t="str">
        <f>IFERROR(__xludf.DUMMYFUNCTION("""COMPUTED_VALUE"""),"#VALUE!")</f>
        <v>#VALUE!</v>
      </c>
      <c r="H365" s="4" t="str">
        <f>IFERROR(__xludf.DUMMYFUNCTION("""COMPUTED_VALUE"""),"")</f>
        <v/>
      </c>
    </row>
    <row r="366">
      <c r="E366" s="4" t="str">
        <f>IFERROR(__xludf.DUMMYFUNCTION("""COMPUTED_VALUE"""),"#VALUE!")</f>
        <v>#VALUE!</v>
      </c>
      <c r="F366" s="4" t="str">
        <f>IFERROR(__xludf.DUMMYFUNCTION("""COMPUTED_VALUE"""),"")</f>
        <v/>
      </c>
      <c r="G366" s="4" t="str">
        <f>IFERROR(__xludf.DUMMYFUNCTION("""COMPUTED_VALUE"""),"#VALUE!")</f>
        <v>#VALUE!</v>
      </c>
      <c r="H366" s="4" t="str">
        <f>IFERROR(__xludf.DUMMYFUNCTION("""COMPUTED_VALUE"""),"")</f>
        <v/>
      </c>
    </row>
    <row r="367">
      <c r="E367" s="4" t="str">
        <f>IFERROR(__xludf.DUMMYFUNCTION("""COMPUTED_VALUE"""),"#VALUE!")</f>
        <v>#VALUE!</v>
      </c>
      <c r="F367" s="4" t="str">
        <f>IFERROR(__xludf.DUMMYFUNCTION("""COMPUTED_VALUE"""),"")</f>
        <v/>
      </c>
      <c r="G367" s="4" t="str">
        <f>IFERROR(__xludf.DUMMYFUNCTION("""COMPUTED_VALUE"""),"#VALUE!")</f>
        <v>#VALUE!</v>
      </c>
      <c r="H367" s="4" t="str">
        <f>IFERROR(__xludf.DUMMYFUNCTION("""COMPUTED_VALUE"""),"")</f>
        <v/>
      </c>
    </row>
    <row r="368">
      <c r="E368" s="4" t="str">
        <f>IFERROR(__xludf.DUMMYFUNCTION("""COMPUTED_VALUE"""),"#VALUE!")</f>
        <v>#VALUE!</v>
      </c>
      <c r="F368" s="4" t="str">
        <f>IFERROR(__xludf.DUMMYFUNCTION("""COMPUTED_VALUE"""),"")</f>
        <v/>
      </c>
      <c r="G368" s="4" t="str">
        <f>IFERROR(__xludf.DUMMYFUNCTION("""COMPUTED_VALUE"""),"#VALUE!")</f>
        <v>#VALUE!</v>
      </c>
      <c r="H368" s="4" t="str">
        <f>IFERROR(__xludf.DUMMYFUNCTION("""COMPUTED_VALUE"""),"")</f>
        <v/>
      </c>
    </row>
    <row r="369">
      <c r="E369" s="4" t="str">
        <f>IFERROR(__xludf.DUMMYFUNCTION("""COMPUTED_VALUE"""),"#VALUE!")</f>
        <v>#VALUE!</v>
      </c>
      <c r="F369" s="4" t="str">
        <f>IFERROR(__xludf.DUMMYFUNCTION("""COMPUTED_VALUE"""),"")</f>
        <v/>
      </c>
      <c r="G369" s="4" t="str">
        <f>IFERROR(__xludf.DUMMYFUNCTION("""COMPUTED_VALUE"""),"#VALUE!")</f>
        <v>#VALUE!</v>
      </c>
      <c r="H369" s="4" t="str">
        <f>IFERROR(__xludf.DUMMYFUNCTION("""COMPUTED_VALUE"""),"")</f>
        <v/>
      </c>
    </row>
    <row r="370">
      <c r="E370" s="4" t="str">
        <f>IFERROR(__xludf.DUMMYFUNCTION("""COMPUTED_VALUE"""),"#VALUE!")</f>
        <v>#VALUE!</v>
      </c>
      <c r="F370" s="4" t="str">
        <f>IFERROR(__xludf.DUMMYFUNCTION("""COMPUTED_VALUE"""),"")</f>
        <v/>
      </c>
      <c r="G370" s="4" t="str">
        <f>IFERROR(__xludf.DUMMYFUNCTION("""COMPUTED_VALUE"""),"#VALUE!")</f>
        <v>#VALUE!</v>
      </c>
      <c r="H370" s="4" t="str">
        <f>IFERROR(__xludf.DUMMYFUNCTION("""COMPUTED_VALUE"""),"")</f>
        <v/>
      </c>
    </row>
    <row r="371">
      <c r="E371" s="4" t="str">
        <f>IFERROR(__xludf.DUMMYFUNCTION("""COMPUTED_VALUE"""),"#VALUE!")</f>
        <v>#VALUE!</v>
      </c>
      <c r="F371" s="4" t="str">
        <f>IFERROR(__xludf.DUMMYFUNCTION("""COMPUTED_VALUE"""),"")</f>
        <v/>
      </c>
      <c r="G371" s="4" t="str">
        <f>IFERROR(__xludf.DUMMYFUNCTION("""COMPUTED_VALUE"""),"#VALUE!")</f>
        <v>#VALUE!</v>
      </c>
      <c r="H371" s="4" t="str">
        <f>IFERROR(__xludf.DUMMYFUNCTION("""COMPUTED_VALUE"""),"")</f>
        <v/>
      </c>
    </row>
    <row r="372">
      <c r="E372" s="4" t="str">
        <f>IFERROR(__xludf.DUMMYFUNCTION("""COMPUTED_VALUE"""),"#VALUE!")</f>
        <v>#VALUE!</v>
      </c>
      <c r="F372" s="4" t="str">
        <f>IFERROR(__xludf.DUMMYFUNCTION("""COMPUTED_VALUE"""),"")</f>
        <v/>
      </c>
      <c r="G372" s="4" t="str">
        <f>IFERROR(__xludf.DUMMYFUNCTION("""COMPUTED_VALUE"""),"#VALUE!")</f>
        <v>#VALUE!</v>
      </c>
      <c r="H372" s="4" t="str">
        <f>IFERROR(__xludf.DUMMYFUNCTION("""COMPUTED_VALUE"""),"")</f>
        <v/>
      </c>
    </row>
    <row r="373">
      <c r="E373" s="4" t="str">
        <f>IFERROR(__xludf.DUMMYFUNCTION("""COMPUTED_VALUE"""),"#VALUE!")</f>
        <v>#VALUE!</v>
      </c>
      <c r="F373" s="4" t="str">
        <f>IFERROR(__xludf.DUMMYFUNCTION("""COMPUTED_VALUE"""),"")</f>
        <v/>
      </c>
      <c r="G373" s="4" t="str">
        <f>IFERROR(__xludf.DUMMYFUNCTION("""COMPUTED_VALUE"""),"#VALUE!")</f>
        <v>#VALUE!</v>
      </c>
      <c r="H373" s="4" t="str">
        <f>IFERROR(__xludf.DUMMYFUNCTION("""COMPUTED_VALUE"""),"")</f>
        <v/>
      </c>
    </row>
    <row r="374">
      <c r="E374" s="4" t="str">
        <f>IFERROR(__xludf.DUMMYFUNCTION("""COMPUTED_VALUE"""),"#VALUE!")</f>
        <v>#VALUE!</v>
      </c>
      <c r="F374" s="4" t="str">
        <f>IFERROR(__xludf.DUMMYFUNCTION("""COMPUTED_VALUE"""),"")</f>
        <v/>
      </c>
      <c r="G374" s="4" t="str">
        <f>IFERROR(__xludf.DUMMYFUNCTION("""COMPUTED_VALUE"""),"#VALUE!")</f>
        <v>#VALUE!</v>
      </c>
      <c r="H374" s="4" t="str">
        <f>IFERROR(__xludf.DUMMYFUNCTION("""COMPUTED_VALUE"""),"")</f>
        <v/>
      </c>
    </row>
    <row r="375">
      <c r="E375" s="4" t="str">
        <f>IFERROR(__xludf.DUMMYFUNCTION("""COMPUTED_VALUE"""),"#VALUE!")</f>
        <v>#VALUE!</v>
      </c>
      <c r="F375" s="4" t="str">
        <f>IFERROR(__xludf.DUMMYFUNCTION("""COMPUTED_VALUE"""),"")</f>
        <v/>
      </c>
      <c r="G375" s="4" t="str">
        <f>IFERROR(__xludf.DUMMYFUNCTION("""COMPUTED_VALUE"""),"#VALUE!")</f>
        <v>#VALUE!</v>
      </c>
      <c r="H375" s="4" t="str">
        <f>IFERROR(__xludf.DUMMYFUNCTION("""COMPUTED_VALUE"""),"")</f>
        <v/>
      </c>
    </row>
    <row r="376">
      <c r="E376" s="4" t="str">
        <f>IFERROR(__xludf.DUMMYFUNCTION("""COMPUTED_VALUE"""),"#VALUE!")</f>
        <v>#VALUE!</v>
      </c>
      <c r="F376" s="4" t="str">
        <f>IFERROR(__xludf.DUMMYFUNCTION("""COMPUTED_VALUE"""),"")</f>
        <v/>
      </c>
      <c r="G376" s="4" t="str">
        <f>IFERROR(__xludf.DUMMYFUNCTION("""COMPUTED_VALUE"""),"#VALUE!")</f>
        <v>#VALUE!</v>
      </c>
      <c r="H376" s="4" t="str">
        <f>IFERROR(__xludf.DUMMYFUNCTION("""COMPUTED_VALUE"""),"")</f>
        <v/>
      </c>
    </row>
    <row r="377">
      <c r="E377" s="4" t="str">
        <f>IFERROR(__xludf.DUMMYFUNCTION("""COMPUTED_VALUE"""),"#VALUE!")</f>
        <v>#VALUE!</v>
      </c>
      <c r="F377" s="4" t="str">
        <f>IFERROR(__xludf.DUMMYFUNCTION("""COMPUTED_VALUE"""),"")</f>
        <v/>
      </c>
      <c r="G377" s="4" t="str">
        <f>IFERROR(__xludf.DUMMYFUNCTION("""COMPUTED_VALUE"""),"#VALUE!")</f>
        <v>#VALUE!</v>
      </c>
      <c r="H377" s="4" t="str">
        <f>IFERROR(__xludf.DUMMYFUNCTION("""COMPUTED_VALUE"""),"")</f>
        <v/>
      </c>
    </row>
    <row r="378">
      <c r="E378" s="4" t="str">
        <f>IFERROR(__xludf.DUMMYFUNCTION("""COMPUTED_VALUE"""),"#VALUE!")</f>
        <v>#VALUE!</v>
      </c>
      <c r="F378" s="4" t="str">
        <f>IFERROR(__xludf.DUMMYFUNCTION("""COMPUTED_VALUE"""),"")</f>
        <v/>
      </c>
      <c r="G378" s="4" t="str">
        <f>IFERROR(__xludf.DUMMYFUNCTION("""COMPUTED_VALUE"""),"#VALUE!")</f>
        <v>#VALUE!</v>
      </c>
      <c r="H378" s="4" t="str">
        <f>IFERROR(__xludf.DUMMYFUNCTION("""COMPUTED_VALUE"""),"")</f>
        <v/>
      </c>
    </row>
    <row r="379">
      <c r="E379" s="4" t="str">
        <f>IFERROR(__xludf.DUMMYFUNCTION("""COMPUTED_VALUE"""),"#VALUE!")</f>
        <v>#VALUE!</v>
      </c>
      <c r="F379" s="4" t="str">
        <f>IFERROR(__xludf.DUMMYFUNCTION("""COMPUTED_VALUE"""),"")</f>
        <v/>
      </c>
      <c r="G379" s="4" t="str">
        <f>IFERROR(__xludf.DUMMYFUNCTION("""COMPUTED_VALUE"""),"#VALUE!")</f>
        <v>#VALUE!</v>
      </c>
      <c r="H379" s="4" t="str">
        <f>IFERROR(__xludf.DUMMYFUNCTION("""COMPUTED_VALUE"""),"")</f>
        <v/>
      </c>
    </row>
    <row r="380">
      <c r="E380" s="4" t="str">
        <f>IFERROR(__xludf.DUMMYFUNCTION("""COMPUTED_VALUE"""),"#VALUE!")</f>
        <v>#VALUE!</v>
      </c>
      <c r="F380" s="4" t="str">
        <f>IFERROR(__xludf.DUMMYFUNCTION("""COMPUTED_VALUE"""),"")</f>
        <v/>
      </c>
      <c r="G380" s="4" t="str">
        <f>IFERROR(__xludf.DUMMYFUNCTION("""COMPUTED_VALUE"""),"#VALUE!")</f>
        <v>#VALUE!</v>
      </c>
      <c r="H380" s="4" t="str">
        <f>IFERROR(__xludf.DUMMYFUNCTION("""COMPUTED_VALUE"""),"")</f>
        <v/>
      </c>
    </row>
    <row r="381">
      <c r="E381" s="4" t="str">
        <f>IFERROR(__xludf.DUMMYFUNCTION("""COMPUTED_VALUE"""),"#VALUE!")</f>
        <v>#VALUE!</v>
      </c>
      <c r="F381" s="4" t="str">
        <f>IFERROR(__xludf.DUMMYFUNCTION("""COMPUTED_VALUE"""),"")</f>
        <v/>
      </c>
      <c r="G381" s="4" t="str">
        <f>IFERROR(__xludf.DUMMYFUNCTION("""COMPUTED_VALUE"""),"#VALUE!")</f>
        <v>#VALUE!</v>
      </c>
      <c r="H381" s="4" t="str">
        <f>IFERROR(__xludf.DUMMYFUNCTION("""COMPUTED_VALUE"""),"")</f>
        <v/>
      </c>
    </row>
    <row r="382">
      <c r="E382" s="4" t="str">
        <f>IFERROR(__xludf.DUMMYFUNCTION("""COMPUTED_VALUE"""),"#VALUE!")</f>
        <v>#VALUE!</v>
      </c>
      <c r="F382" s="4" t="str">
        <f>IFERROR(__xludf.DUMMYFUNCTION("""COMPUTED_VALUE"""),"")</f>
        <v/>
      </c>
      <c r="G382" s="4" t="str">
        <f>IFERROR(__xludf.DUMMYFUNCTION("""COMPUTED_VALUE"""),"#VALUE!")</f>
        <v>#VALUE!</v>
      </c>
      <c r="H382" s="4" t="str">
        <f>IFERROR(__xludf.DUMMYFUNCTION("""COMPUTED_VALUE"""),"")</f>
        <v/>
      </c>
    </row>
    <row r="383">
      <c r="E383" s="4" t="str">
        <f>IFERROR(__xludf.DUMMYFUNCTION("""COMPUTED_VALUE"""),"#VALUE!")</f>
        <v>#VALUE!</v>
      </c>
      <c r="F383" s="4" t="str">
        <f>IFERROR(__xludf.DUMMYFUNCTION("""COMPUTED_VALUE"""),"")</f>
        <v/>
      </c>
      <c r="G383" s="4" t="str">
        <f>IFERROR(__xludf.DUMMYFUNCTION("""COMPUTED_VALUE"""),"#VALUE!")</f>
        <v>#VALUE!</v>
      </c>
      <c r="H383" s="4" t="str">
        <f>IFERROR(__xludf.DUMMYFUNCTION("""COMPUTED_VALUE"""),"")</f>
        <v/>
      </c>
    </row>
    <row r="384">
      <c r="E384" s="4" t="str">
        <f>IFERROR(__xludf.DUMMYFUNCTION("""COMPUTED_VALUE"""),"#VALUE!")</f>
        <v>#VALUE!</v>
      </c>
      <c r="F384" s="4" t="str">
        <f>IFERROR(__xludf.DUMMYFUNCTION("""COMPUTED_VALUE"""),"")</f>
        <v/>
      </c>
      <c r="G384" s="4" t="str">
        <f>IFERROR(__xludf.DUMMYFUNCTION("""COMPUTED_VALUE"""),"#VALUE!")</f>
        <v>#VALUE!</v>
      </c>
      <c r="H384" s="4" t="str">
        <f>IFERROR(__xludf.DUMMYFUNCTION("""COMPUTED_VALUE"""),"")</f>
        <v/>
      </c>
    </row>
    <row r="385">
      <c r="E385" s="4" t="str">
        <f>IFERROR(__xludf.DUMMYFUNCTION("""COMPUTED_VALUE"""),"#VALUE!")</f>
        <v>#VALUE!</v>
      </c>
      <c r="F385" s="4" t="str">
        <f>IFERROR(__xludf.DUMMYFUNCTION("""COMPUTED_VALUE"""),"")</f>
        <v/>
      </c>
      <c r="G385" s="4" t="str">
        <f>IFERROR(__xludf.DUMMYFUNCTION("""COMPUTED_VALUE"""),"#VALUE!")</f>
        <v>#VALUE!</v>
      </c>
      <c r="H385" s="4" t="str">
        <f>IFERROR(__xludf.DUMMYFUNCTION("""COMPUTED_VALUE"""),"")</f>
        <v/>
      </c>
    </row>
    <row r="386">
      <c r="E386" s="4" t="str">
        <f>IFERROR(__xludf.DUMMYFUNCTION("""COMPUTED_VALUE"""),"#VALUE!")</f>
        <v>#VALUE!</v>
      </c>
      <c r="F386" s="4" t="str">
        <f>IFERROR(__xludf.DUMMYFUNCTION("""COMPUTED_VALUE"""),"")</f>
        <v/>
      </c>
      <c r="G386" s="4" t="str">
        <f>IFERROR(__xludf.DUMMYFUNCTION("""COMPUTED_VALUE"""),"#VALUE!")</f>
        <v>#VALUE!</v>
      </c>
      <c r="H386" s="4" t="str">
        <f>IFERROR(__xludf.DUMMYFUNCTION("""COMPUTED_VALUE"""),"")</f>
        <v/>
      </c>
    </row>
    <row r="387">
      <c r="E387" s="4" t="str">
        <f>IFERROR(__xludf.DUMMYFUNCTION("""COMPUTED_VALUE"""),"#VALUE!")</f>
        <v>#VALUE!</v>
      </c>
      <c r="F387" s="4" t="str">
        <f>IFERROR(__xludf.DUMMYFUNCTION("""COMPUTED_VALUE"""),"")</f>
        <v/>
      </c>
      <c r="G387" s="4" t="str">
        <f>IFERROR(__xludf.DUMMYFUNCTION("""COMPUTED_VALUE"""),"#VALUE!")</f>
        <v>#VALUE!</v>
      </c>
      <c r="H387" s="4" t="str">
        <f>IFERROR(__xludf.DUMMYFUNCTION("""COMPUTED_VALUE"""),"")</f>
        <v/>
      </c>
    </row>
    <row r="388">
      <c r="E388" s="4" t="str">
        <f>IFERROR(__xludf.DUMMYFUNCTION("""COMPUTED_VALUE"""),"#VALUE!")</f>
        <v>#VALUE!</v>
      </c>
      <c r="F388" s="4" t="str">
        <f>IFERROR(__xludf.DUMMYFUNCTION("""COMPUTED_VALUE"""),"")</f>
        <v/>
      </c>
      <c r="G388" s="4" t="str">
        <f>IFERROR(__xludf.DUMMYFUNCTION("""COMPUTED_VALUE"""),"#VALUE!")</f>
        <v>#VALUE!</v>
      </c>
      <c r="H388" s="4" t="str">
        <f>IFERROR(__xludf.DUMMYFUNCTION("""COMPUTED_VALUE"""),"")</f>
        <v/>
      </c>
    </row>
    <row r="389">
      <c r="E389" s="4" t="str">
        <f>IFERROR(__xludf.DUMMYFUNCTION("""COMPUTED_VALUE"""),"#VALUE!")</f>
        <v>#VALUE!</v>
      </c>
      <c r="F389" s="4" t="str">
        <f>IFERROR(__xludf.DUMMYFUNCTION("""COMPUTED_VALUE"""),"")</f>
        <v/>
      </c>
      <c r="G389" s="4" t="str">
        <f>IFERROR(__xludf.DUMMYFUNCTION("""COMPUTED_VALUE"""),"#VALUE!")</f>
        <v>#VALUE!</v>
      </c>
      <c r="H389" s="4" t="str">
        <f>IFERROR(__xludf.DUMMYFUNCTION("""COMPUTED_VALUE"""),"")</f>
        <v/>
      </c>
    </row>
    <row r="390">
      <c r="E390" s="4" t="str">
        <f>IFERROR(__xludf.DUMMYFUNCTION("""COMPUTED_VALUE"""),"#VALUE!")</f>
        <v>#VALUE!</v>
      </c>
      <c r="F390" s="4" t="str">
        <f>IFERROR(__xludf.DUMMYFUNCTION("""COMPUTED_VALUE"""),"")</f>
        <v/>
      </c>
      <c r="G390" s="4" t="str">
        <f>IFERROR(__xludf.DUMMYFUNCTION("""COMPUTED_VALUE"""),"#VALUE!")</f>
        <v>#VALUE!</v>
      </c>
      <c r="H390" s="4" t="str">
        <f>IFERROR(__xludf.DUMMYFUNCTION("""COMPUTED_VALUE"""),"")</f>
        <v/>
      </c>
    </row>
    <row r="391">
      <c r="E391" s="4" t="str">
        <f>IFERROR(__xludf.DUMMYFUNCTION("""COMPUTED_VALUE"""),"#VALUE!")</f>
        <v>#VALUE!</v>
      </c>
      <c r="F391" s="4" t="str">
        <f>IFERROR(__xludf.DUMMYFUNCTION("""COMPUTED_VALUE"""),"")</f>
        <v/>
      </c>
      <c r="G391" s="4" t="str">
        <f>IFERROR(__xludf.DUMMYFUNCTION("""COMPUTED_VALUE"""),"#VALUE!")</f>
        <v>#VALUE!</v>
      </c>
      <c r="H391" s="4" t="str">
        <f>IFERROR(__xludf.DUMMYFUNCTION("""COMPUTED_VALUE"""),"")</f>
        <v/>
      </c>
    </row>
    <row r="392">
      <c r="E392" s="4" t="str">
        <f>IFERROR(__xludf.DUMMYFUNCTION("""COMPUTED_VALUE"""),"#VALUE!")</f>
        <v>#VALUE!</v>
      </c>
      <c r="F392" s="4" t="str">
        <f>IFERROR(__xludf.DUMMYFUNCTION("""COMPUTED_VALUE"""),"")</f>
        <v/>
      </c>
      <c r="G392" s="4" t="str">
        <f>IFERROR(__xludf.DUMMYFUNCTION("""COMPUTED_VALUE"""),"#VALUE!")</f>
        <v>#VALUE!</v>
      </c>
      <c r="H392" s="4" t="str">
        <f>IFERROR(__xludf.DUMMYFUNCTION("""COMPUTED_VALUE"""),"")</f>
        <v/>
      </c>
    </row>
    <row r="393">
      <c r="E393" s="4" t="str">
        <f>IFERROR(__xludf.DUMMYFUNCTION("""COMPUTED_VALUE"""),"#VALUE!")</f>
        <v>#VALUE!</v>
      </c>
      <c r="F393" s="4" t="str">
        <f>IFERROR(__xludf.DUMMYFUNCTION("""COMPUTED_VALUE"""),"")</f>
        <v/>
      </c>
      <c r="G393" s="4" t="str">
        <f>IFERROR(__xludf.DUMMYFUNCTION("""COMPUTED_VALUE"""),"#VALUE!")</f>
        <v>#VALUE!</v>
      </c>
      <c r="H393" s="4" t="str">
        <f>IFERROR(__xludf.DUMMYFUNCTION("""COMPUTED_VALUE"""),"")</f>
        <v/>
      </c>
    </row>
    <row r="394">
      <c r="E394" s="4" t="str">
        <f>IFERROR(__xludf.DUMMYFUNCTION("""COMPUTED_VALUE"""),"#VALUE!")</f>
        <v>#VALUE!</v>
      </c>
      <c r="F394" s="4" t="str">
        <f>IFERROR(__xludf.DUMMYFUNCTION("""COMPUTED_VALUE"""),"")</f>
        <v/>
      </c>
      <c r="G394" s="4" t="str">
        <f>IFERROR(__xludf.DUMMYFUNCTION("""COMPUTED_VALUE"""),"#VALUE!")</f>
        <v>#VALUE!</v>
      </c>
      <c r="H394" s="4" t="str">
        <f>IFERROR(__xludf.DUMMYFUNCTION("""COMPUTED_VALUE"""),"")</f>
        <v/>
      </c>
    </row>
    <row r="395">
      <c r="E395" s="4" t="str">
        <f>IFERROR(__xludf.DUMMYFUNCTION("""COMPUTED_VALUE"""),"#VALUE!")</f>
        <v>#VALUE!</v>
      </c>
      <c r="F395" s="4" t="str">
        <f>IFERROR(__xludf.DUMMYFUNCTION("""COMPUTED_VALUE"""),"")</f>
        <v/>
      </c>
      <c r="G395" s="4" t="str">
        <f>IFERROR(__xludf.DUMMYFUNCTION("""COMPUTED_VALUE"""),"#VALUE!")</f>
        <v>#VALUE!</v>
      </c>
      <c r="H395" s="4" t="str">
        <f>IFERROR(__xludf.DUMMYFUNCTION("""COMPUTED_VALUE"""),"")</f>
        <v/>
      </c>
    </row>
    <row r="396">
      <c r="E396" s="4" t="str">
        <f>IFERROR(__xludf.DUMMYFUNCTION("""COMPUTED_VALUE"""),"#VALUE!")</f>
        <v>#VALUE!</v>
      </c>
      <c r="F396" s="4" t="str">
        <f>IFERROR(__xludf.DUMMYFUNCTION("""COMPUTED_VALUE"""),"")</f>
        <v/>
      </c>
      <c r="G396" s="4" t="str">
        <f>IFERROR(__xludf.DUMMYFUNCTION("""COMPUTED_VALUE"""),"#VALUE!")</f>
        <v>#VALUE!</v>
      </c>
      <c r="H396" s="4" t="str">
        <f>IFERROR(__xludf.DUMMYFUNCTION("""COMPUTED_VALUE"""),"")</f>
        <v/>
      </c>
    </row>
    <row r="397">
      <c r="E397" s="4" t="str">
        <f>IFERROR(__xludf.DUMMYFUNCTION("""COMPUTED_VALUE"""),"#VALUE!")</f>
        <v>#VALUE!</v>
      </c>
      <c r="F397" s="4" t="str">
        <f>IFERROR(__xludf.DUMMYFUNCTION("""COMPUTED_VALUE"""),"")</f>
        <v/>
      </c>
      <c r="G397" s="4" t="str">
        <f>IFERROR(__xludf.DUMMYFUNCTION("""COMPUTED_VALUE"""),"#VALUE!")</f>
        <v>#VALUE!</v>
      </c>
      <c r="H397" s="4" t="str">
        <f>IFERROR(__xludf.DUMMYFUNCTION("""COMPUTED_VALUE"""),"")</f>
        <v/>
      </c>
    </row>
    <row r="398">
      <c r="E398" s="4" t="str">
        <f>IFERROR(__xludf.DUMMYFUNCTION("""COMPUTED_VALUE"""),"#VALUE!")</f>
        <v>#VALUE!</v>
      </c>
      <c r="F398" s="4" t="str">
        <f>IFERROR(__xludf.DUMMYFUNCTION("""COMPUTED_VALUE"""),"")</f>
        <v/>
      </c>
      <c r="G398" s="4" t="str">
        <f>IFERROR(__xludf.DUMMYFUNCTION("""COMPUTED_VALUE"""),"#VALUE!")</f>
        <v>#VALUE!</v>
      </c>
      <c r="H398" s="4" t="str">
        <f>IFERROR(__xludf.DUMMYFUNCTION("""COMPUTED_VALUE"""),"")</f>
        <v/>
      </c>
    </row>
    <row r="399">
      <c r="E399" s="4" t="str">
        <f>IFERROR(__xludf.DUMMYFUNCTION("""COMPUTED_VALUE"""),"#VALUE!")</f>
        <v>#VALUE!</v>
      </c>
      <c r="F399" s="4" t="str">
        <f>IFERROR(__xludf.DUMMYFUNCTION("""COMPUTED_VALUE"""),"")</f>
        <v/>
      </c>
      <c r="G399" s="4" t="str">
        <f>IFERROR(__xludf.DUMMYFUNCTION("""COMPUTED_VALUE"""),"#VALUE!")</f>
        <v>#VALUE!</v>
      </c>
      <c r="H399" s="4" t="str">
        <f>IFERROR(__xludf.DUMMYFUNCTION("""COMPUTED_VALUE"""),"")</f>
        <v/>
      </c>
    </row>
    <row r="400">
      <c r="E400" s="4" t="str">
        <f>IFERROR(__xludf.DUMMYFUNCTION("""COMPUTED_VALUE"""),"#VALUE!")</f>
        <v>#VALUE!</v>
      </c>
      <c r="F400" s="4" t="str">
        <f>IFERROR(__xludf.DUMMYFUNCTION("""COMPUTED_VALUE"""),"")</f>
        <v/>
      </c>
      <c r="G400" s="4" t="str">
        <f>IFERROR(__xludf.DUMMYFUNCTION("""COMPUTED_VALUE"""),"#VALUE!")</f>
        <v>#VALUE!</v>
      </c>
      <c r="H400" s="4" t="str">
        <f>IFERROR(__xludf.DUMMYFUNCTION("""COMPUTED_VALUE"""),"")</f>
        <v/>
      </c>
    </row>
    <row r="401">
      <c r="E401" s="4" t="str">
        <f>IFERROR(__xludf.DUMMYFUNCTION("""COMPUTED_VALUE"""),"#VALUE!")</f>
        <v>#VALUE!</v>
      </c>
      <c r="F401" s="4" t="str">
        <f>IFERROR(__xludf.DUMMYFUNCTION("""COMPUTED_VALUE"""),"")</f>
        <v/>
      </c>
      <c r="G401" s="4" t="str">
        <f>IFERROR(__xludf.DUMMYFUNCTION("""COMPUTED_VALUE"""),"#VALUE!")</f>
        <v>#VALUE!</v>
      </c>
      <c r="H401" s="4" t="str">
        <f>IFERROR(__xludf.DUMMYFUNCTION("""COMPUTED_VALUE"""),"")</f>
        <v/>
      </c>
    </row>
    <row r="402">
      <c r="E402" s="4" t="str">
        <f>IFERROR(__xludf.DUMMYFUNCTION("""COMPUTED_VALUE"""),"#VALUE!")</f>
        <v>#VALUE!</v>
      </c>
      <c r="F402" s="4" t="str">
        <f>IFERROR(__xludf.DUMMYFUNCTION("""COMPUTED_VALUE"""),"")</f>
        <v/>
      </c>
      <c r="G402" s="4" t="str">
        <f>IFERROR(__xludf.DUMMYFUNCTION("""COMPUTED_VALUE"""),"#VALUE!")</f>
        <v>#VALUE!</v>
      </c>
      <c r="H402" s="4" t="str">
        <f>IFERROR(__xludf.DUMMYFUNCTION("""COMPUTED_VALUE"""),"")</f>
        <v/>
      </c>
    </row>
    <row r="403">
      <c r="E403" s="4" t="str">
        <f>IFERROR(__xludf.DUMMYFUNCTION("""COMPUTED_VALUE"""),"#VALUE!")</f>
        <v>#VALUE!</v>
      </c>
      <c r="F403" s="4" t="str">
        <f>IFERROR(__xludf.DUMMYFUNCTION("""COMPUTED_VALUE"""),"")</f>
        <v/>
      </c>
      <c r="G403" s="4" t="str">
        <f>IFERROR(__xludf.DUMMYFUNCTION("""COMPUTED_VALUE"""),"#VALUE!")</f>
        <v>#VALUE!</v>
      </c>
      <c r="H403" s="4" t="str">
        <f>IFERROR(__xludf.DUMMYFUNCTION("""COMPUTED_VALUE"""),"")</f>
        <v/>
      </c>
    </row>
    <row r="404">
      <c r="E404" s="4" t="str">
        <f>IFERROR(__xludf.DUMMYFUNCTION("""COMPUTED_VALUE"""),"#VALUE!")</f>
        <v>#VALUE!</v>
      </c>
      <c r="F404" s="4" t="str">
        <f>IFERROR(__xludf.DUMMYFUNCTION("""COMPUTED_VALUE"""),"")</f>
        <v/>
      </c>
      <c r="G404" s="4" t="str">
        <f>IFERROR(__xludf.DUMMYFUNCTION("""COMPUTED_VALUE"""),"#VALUE!")</f>
        <v>#VALUE!</v>
      </c>
      <c r="H404" s="4" t="str">
        <f>IFERROR(__xludf.DUMMYFUNCTION("""COMPUTED_VALUE"""),"")</f>
        <v/>
      </c>
    </row>
    <row r="405">
      <c r="E405" s="4" t="str">
        <f>IFERROR(__xludf.DUMMYFUNCTION("""COMPUTED_VALUE"""),"#VALUE!")</f>
        <v>#VALUE!</v>
      </c>
      <c r="F405" s="4" t="str">
        <f>IFERROR(__xludf.DUMMYFUNCTION("""COMPUTED_VALUE"""),"")</f>
        <v/>
      </c>
      <c r="G405" s="4" t="str">
        <f>IFERROR(__xludf.DUMMYFUNCTION("""COMPUTED_VALUE"""),"#VALUE!")</f>
        <v>#VALUE!</v>
      </c>
      <c r="H405" s="4" t="str">
        <f>IFERROR(__xludf.DUMMYFUNCTION("""COMPUTED_VALUE"""),"")</f>
        <v/>
      </c>
    </row>
    <row r="406">
      <c r="E406" s="4" t="str">
        <f>IFERROR(__xludf.DUMMYFUNCTION("""COMPUTED_VALUE"""),"#VALUE!")</f>
        <v>#VALUE!</v>
      </c>
      <c r="F406" s="4" t="str">
        <f>IFERROR(__xludf.DUMMYFUNCTION("""COMPUTED_VALUE"""),"")</f>
        <v/>
      </c>
      <c r="G406" s="4" t="str">
        <f>IFERROR(__xludf.DUMMYFUNCTION("""COMPUTED_VALUE"""),"#VALUE!")</f>
        <v>#VALUE!</v>
      </c>
      <c r="H406" s="4" t="str">
        <f>IFERROR(__xludf.DUMMYFUNCTION("""COMPUTED_VALUE"""),"")</f>
        <v/>
      </c>
    </row>
    <row r="407">
      <c r="E407" s="4" t="str">
        <f>IFERROR(__xludf.DUMMYFUNCTION("""COMPUTED_VALUE"""),"#VALUE!")</f>
        <v>#VALUE!</v>
      </c>
      <c r="F407" s="4" t="str">
        <f>IFERROR(__xludf.DUMMYFUNCTION("""COMPUTED_VALUE"""),"")</f>
        <v/>
      </c>
      <c r="G407" s="4" t="str">
        <f>IFERROR(__xludf.DUMMYFUNCTION("""COMPUTED_VALUE"""),"#VALUE!")</f>
        <v>#VALUE!</v>
      </c>
      <c r="H407" s="4" t="str">
        <f>IFERROR(__xludf.DUMMYFUNCTION("""COMPUTED_VALUE"""),"")</f>
        <v/>
      </c>
    </row>
    <row r="408">
      <c r="E408" s="4" t="str">
        <f>IFERROR(__xludf.DUMMYFUNCTION("""COMPUTED_VALUE"""),"#VALUE!")</f>
        <v>#VALUE!</v>
      </c>
      <c r="F408" s="4" t="str">
        <f>IFERROR(__xludf.DUMMYFUNCTION("""COMPUTED_VALUE"""),"")</f>
        <v/>
      </c>
      <c r="G408" s="4" t="str">
        <f>IFERROR(__xludf.DUMMYFUNCTION("""COMPUTED_VALUE"""),"#VALUE!")</f>
        <v>#VALUE!</v>
      </c>
      <c r="H408" s="4" t="str">
        <f>IFERROR(__xludf.DUMMYFUNCTION("""COMPUTED_VALUE"""),"")</f>
        <v/>
      </c>
    </row>
    <row r="409">
      <c r="E409" s="4" t="str">
        <f>IFERROR(__xludf.DUMMYFUNCTION("""COMPUTED_VALUE"""),"#VALUE!")</f>
        <v>#VALUE!</v>
      </c>
      <c r="F409" s="4" t="str">
        <f>IFERROR(__xludf.DUMMYFUNCTION("""COMPUTED_VALUE"""),"")</f>
        <v/>
      </c>
      <c r="G409" s="4" t="str">
        <f>IFERROR(__xludf.DUMMYFUNCTION("""COMPUTED_VALUE"""),"#VALUE!")</f>
        <v>#VALUE!</v>
      </c>
      <c r="H409" s="4" t="str">
        <f>IFERROR(__xludf.DUMMYFUNCTION("""COMPUTED_VALUE"""),"")</f>
        <v/>
      </c>
    </row>
    <row r="410">
      <c r="E410" s="4" t="str">
        <f>IFERROR(__xludf.DUMMYFUNCTION("""COMPUTED_VALUE"""),"#VALUE!")</f>
        <v>#VALUE!</v>
      </c>
      <c r="F410" s="4" t="str">
        <f>IFERROR(__xludf.DUMMYFUNCTION("""COMPUTED_VALUE"""),"")</f>
        <v/>
      </c>
      <c r="G410" s="4" t="str">
        <f>IFERROR(__xludf.DUMMYFUNCTION("""COMPUTED_VALUE"""),"#VALUE!")</f>
        <v>#VALUE!</v>
      </c>
      <c r="H410" s="4" t="str">
        <f>IFERROR(__xludf.DUMMYFUNCTION("""COMPUTED_VALUE"""),"")</f>
        <v/>
      </c>
    </row>
    <row r="411">
      <c r="E411" s="4" t="str">
        <f>IFERROR(__xludf.DUMMYFUNCTION("""COMPUTED_VALUE"""),"#VALUE!")</f>
        <v>#VALUE!</v>
      </c>
      <c r="F411" s="4" t="str">
        <f>IFERROR(__xludf.DUMMYFUNCTION("""COMPUTED_VALUE"""),"")</f>
        <v/>
      </c>
      <c r="G411" s="4" t="str">
        <f>IFERROR(__xludf.DUMMYFUNCTION("""COMPUTED_VALUE"""),"#VALUE!")</f>
        <v>#VALUE!</v>
      </c>
      <c r="H411" s="4" t="str">
        <f>IFERROR(__xludf.DUMMYFUNCTION("""COMPUTED_VALUE"""),"")</f>
        <v/>
      </c>
    </row>
    <row r="412">
      <c r="E412" s="4" t="str">
        <f>IFERROR(__xludf.DUMMYFUNCTION("""COMPUTED_VALUE"""),"#VALUE!")</f>
        <v>#VALUE!</v>
      </c>
      <c r="F412" s="4" t="str">
        <f>IFERROR(__xludf.DUMMYFUNCTION("""COMPUTED_VALUE"""),"")</f>
        <v/>
      </c>
      <c r="G412" s="4" t="str">
        <f>IFERROR(__xludf.DUMMYFUNCTION("""COMPUTED_VALUE"""),"#VALUE!")</f>
        <v>#VALUE!</v>
      </c>
      <c r="H412" s="4" t="str">
        <f>IFERROR(__xludf.DUMMYFUNCTION("""COMPUTED_VALUE"""),"")</f>
        <v/>
      </c>
    </row>
    <row r="413">
      <c r="E413" s="4" t="str">
        <f>IFERROR(__xludf.DUMMYFUNCTION("""COMPUTED_VALUE"""),"#VALUE!")</f>
        <v>#VALUE!</v>
      </c>
      <c r="F413" s="4" t="str">
        <f>IFERROR(__xludf.DUMMYFUNCTION("""COMPUTED_VALUE"""),"")</f>
        <v/>
      </c>
      <c r="G413" s="4" t="str">
        <f>IFERROR(__xludf.DUMMYFUNCTION("""COMPUTED_VALUE"""),"#VALUE!")</f>
        <v>#VALUE!</v>
      </c>
      <c r="H413" s="4" t="str">
        <f>IFERROR(__xludf.DUMMYFUNCTION("""COMPUTED_VALUE"""),"")</f>
        <v/>
      </c>
    </row>
    <row r="414">
      <c r="E414" s="4" t="str">
        <f>IFERROR(__xludf.DUMMYFUNCTION("""COMPUTED_VALUE"""),"#VALUE!")</f>
        <v>#VALUE!</v>
      </c>
      <c r="F414" s="4" t="str">
        <f>IFERROR(__xludf.DUMMYFUNCTION("""COMPUTED_VALUE"""),"")</f>
        <v/>
      </c>
      <c r="G414" s="4" t="str">
        <f>IFERROR(__xludf.DUMMYFUNCTION("""COMPUTED_VALUE"""),"#VALUE!")</f>
        <v>#VALUE!</v>
      </c>
      <c r="H414" s="4" t="str">
        <f>IFERROR(__xludf.DUMMYFUNCTION("""COMPUTED_VALUE"""),"")</f>
        <v/>
      </c>
    </row>
    <row r="415">
      <c r="E415" s="4" t="str">
        <f>IFERROR(__xludf.DUMMYFUNCTION("""COMPUTED_VALUE"""),"#VALUE!")</f>
        <v>#VALUE!</v>
      </c>
      <c r="F415" s="4" t="str">
        <f>IFERROR(__xludf.DUMMYFUNCTION("""COMPUTED_VALUE"""),"")</f>
        <v/>
      </c>
      <c r="G415" s="4" t="str">
        <f>IFERROR(__xludf.DUMMYFUNCTION("""COMPUTED_VALUE"""),"#VALUE!")</f>
        <v>#VALUE!</v>
      </c>
      <c r="H415" s="4" t="str">
        <f>IFERROR(__xludf.DUMMYFUNCTION("""COMPUTED_VALUE"""),"")</f>
        <v/>
      </c>
    </row>
    <row r="416">
      <c r="E416" s="4" t="str">
        <f>IFERROR(__xludf.DUMMYFUNCTION("""COMPUTED_VALUE"""),"#VALUE!")</f>
        <v>#VALUE!</v>
      </c>
      <c r="F416" s="4" t="str">
        <f>IFERROR(__xludf.DUMMYFUNCTION("""COMPUTED_VALUE"""),"")</f>
        <v/>
      </c>
      <c r="G416" s="4" t="str">
        <f>IFERROR(__xludf.DUMMYFUNCTION("""COMPUTED_VALUE"""),"#VALUE!")</f>
        <v>#VALUE!</v>
      </c>
      <c r="H416" s="4" t="str">
        <f>IFERROR(__xludf.DUMMYFUNCTION("""COMPUTED_VALUE"""),"")</f>
        <v/>
      </c>
    </row>
    <row r="417">
      <c r="E417" s="4" t="str">
        <f>IFERROR(__xludf.DUMMYFUNCTION("""COMPUTED_VALUE"""),"#VALUE!")</f>
        <v>#VALUE!</v>
      </c>
      <c r="F417" s="4" t="str">
        <f>IFERROR(__xludf.DUMMYFUNCTION("""COMPUTED_VALUE"""),"")</f>
        <v/>
      </c>
      <c r="G417" s="4" t="str">
        <f>IFERROR(__xludf.DUMMYFUNCTION("""COMPUTED_VALUE"""),"#VALUE!")</f>
        <v>#VALUE!</v>
      </c>
      <c r="H417" s="4" t="str">
        <f>IFERROR(__xludf.DUMMYFUNCTION("""COMPUTED_VALUE"""),"")</f>
        <v/>
      </c>
    </row>
    <row r="418">
      <c r="E418" s="4" t="str">
        <f>IFERROR(__xludf.DUMMYFUNCTION("""COMPUTED_VALUE"""),"#VALUE!")</f>
        <v>#VALUE!</v>
      </c>
      <c r="F418" s="4" t="str">
        <f>IFERROR(__xludf.DUMMYFUNCTION("""COMPUTED_VALUE"""),"")</f>
        <v/>
      </c>
      <c r="G418" s="4" t="str">
        <f>IFERROR(__xludf.DUMMYFUNCTION("""COMPUTED_VALUE"""),"#VALUE!")</f>
        <v>#VALUE!</v>
      </c>
      <c r="H418" s="4" t="str">
        <f>IFERROR(__xludf.DUMMYFUNCTION("""COMPUTED_VALUE"""),"")</f>
        <v/>
      </c>
    </row>
    <row r="419">
      <c r="E419" s="4" t="str">
        <f>IFERROR(__xludf.DUMMYFUNCTION("""COMPUTED_VALUE"""),"#VALUE!")</f>
        <v>#VALUE!</v>
      </c>
      <c r="F419" s="4" t="str">
        <f>IFERROR(__xludf.DUMMYFUNCTION("""COMPUTED_VALUE"""),"")</f>
        <v/>
      </c>
      <c r="G419" s="4" t="str">
        <f>IFERROR(__xludf.DUMMYFUNCTION("""COMPUTED_VALUE"""),"#VALUE!")</f>
        <v>#VALUE!</v>
      </c>
      <c r="H419" s="4" t="str">
        <f>IFERROR(__xludf.DUMMYFUNCTION("""COMPUTED_VALUE"""),"")</f>
        <v/>
      </c>
    </row>
    <row r="420">
      <c r="E420" s="4" t="str">
        <f>IFERROR(__xludf.DUMMYFUNCTION("""COMPUTED_VALUE"""),"#VALUE!")</f>
        <v>#VALUE!</v>
      </c>
      <c r="F420" s="4" t="str">
        <f>IFERROR(__xludf.DUMMYFUNCTION("""COMPUTED_VALUE"""),"")</f>
        <v/>
      </c>
      <c r="G420" s="4" t="str">
        <f>IFERROR(__xludf.DUMMYFUNCTION("""COMPUTED_VALUE"""),"#VALUE!")</f>
        <v>#VALUE!</v>
      </c>
      <c r="H420" s="4" t="str">
        <f>IFERROR(__xludf.DUMMYFUNCTION("""COMPUTED_VALUE"""),"")</f>
        <v/>
      </c>
    </row>
    <row r="421">
      <c r="E421" s="4" t="str">
        <f>IFERROR(__xludf.DUMMYFUNCTION("""COMPUTED_VALUE"""),"#VALUE!")</f>
        <v>#VALUE!</v>
      </c>
      <c r="F421" s="4" t="str">
        <f>IFERROR(__xludf.DUMMYFUNCTION("""COMPUTED_VALUE"""),"")</f>
        <v/>
      </c>
      <c r="G421" s="4" t="str">
        <f>IFERROR(__xludf.DUMMYFUNCTION("""COMPUTED_VALUE"""),"#VALUE!")</f>
        <v>#VALUE!</v>
      </c>
      <c r="H421" s="4" t="str">
        <f>IFERROR(__xludf.DUMMYFUNCTION("""COMPUTED_VALUE"""),"")</f>
        <v/>
      </c>
    </row>
    <row r="422">
      <c r="E422" s="4" t="str">
        <f>IFERROR(__xludf.DUMMYFUNCTION("""COMPUTED_VALUE"""),"#VALUE!")</f>
        <v>#VALUE!</v>
      </c>
      <c r="F422" s="4" t="str">
        <f>IFERROR(__xludf.DUMMYFUNCTION("""COMPUTED_VALUE"""),"")</f>
        <v/>
      </c>
      <c r="G422" s="4" t="str">
        <f>IFERROR(__xludf.DUMMYFUNCTION("""COMPUTED_VALUE"""),"#VALUE!")</f>
        <v>#VALUE!</v>
      </c>
      <c r="H422" s="4" t="str">
        <f>IFERROR(__xludf.DUMMYFUNCTION("""COMPUTED_VALUE"""),"")</f>
        <v/>
      </c>
    </row>
    <row r="423">
      <c r="E423" s="4" t="str">
        <f>IFERROR(__xludf.DUMMYFUNCTION("""COMPUTED_VALUE"""),"#VALUE!")</f>
        <v>#VALUE!</v>
      </c>
      <c r="F423" s="4" t="str">
        <f>IFERROR(__xludf.DUMMYFUNCTION("""COMPUTED_VALUE"""),"")</f>
        <v/>
      </c>
      <c r="G423" s="4" t="str">
        <f>IFERROR(__xludf.DUMMYFUNCTION("""COMPUTED_VALUE"""),"#VALUE!")</f>
        <v>#VALUE!</v>
      </c>
      <c r="H423" s="4" t="str">
        <f>IFERROR(__xludf.DUMMYFUNCTION("""COMPUTED_VALUE"""),"")</f>
        <v/>
      </c>
    </row>
    <row r="424">
      <c r="E424" s="4" t="str">
        <f>IFERROR(__xludf.DUMMYFUNCTION("""COMPUTED_VALUE"""),"#VALUE!")</f>
        <v>#VALUE!</v>
      </c>
      <c r="F424" s="4" t="str">
        <f>IFERROR(__xludf.DUMMYFUNCTION("""COMPUTED_VALUE"""),"")</f>
        <v/>
      </c>
      <c r="G424" s="4" t="str">
        <f>IFERROR(__xludf.DUMMYFUNCTION("""COMPUTED_VALUE"""),"#VALUE!")</f>
        <v>#VALUE!</v>
      </c>
      <c r="H424" s="4" t="str">
        <f>IFERROR(__xludf.DUMMYFUNCTION("""COMPUTED_VALUE"""),"")</f>
        <v/>
      </c>
    </row>
    <row r="425">
      <c r="E425" s="4" t="str">
        <f>IFERROR(__xludf.DUMMYFUNCTION("""COMPUTED_VALUE"""),"#VALUE!")</f>
        <v>#VALUE!</v>
      </c>
      <c r="F425" s="4" t="str">
        <f>IFERROR(__xludf.DUMMYFUNCTION("""COMPUTED_VALUE"""),"")</f>
        <v/>
      </c>
      <c r="G425" s="4" t="str">
        <f>IFERROR(__xludf.DUMMYFUNCTION("""COMPUTED_VALUE"""),"#VALUE!")</f>
        <v>#VALUE!</v>
      </c>
      <c r="H425" s="4" t="str">
        <f>IFERROR(__xludf.DUMMYFUNCTION("""COMPUTED_VALUE"""),"")</f>
        <v/>
      </c>
    </row>
    <row r="426">
      <c r="E426" s="4" t="str">
        <f>IFERROR(__xludf.DUMMYFUNCTION("""COMPUTED_VALUE"""),"#VALUE!")</f>
        <v>#VALUE!</v>
      </c>
      <c r="F426" s="4" t="str">
        <f>IFERROR(__xludf.DUMMYFUNCTION("""COMPUTED_VALUE"""),"")</f>
        <v/>
      </c>
      <c r="G426" s="4" t="str">
        <f>IFERROR(__xludf.DUMMYFUNCTION("""COMPUTED_VALUE"""),"#VALUE!")</f>
        <v>#VALUE!</v>
      </c>
      <c r="H426" s="4" t="str">
        <f>IFERROR(__xludf.DUMMYFUNCTION("""COMPUTED_VALUE"""),"")</f>
        <v/>
      </c>
    </row>
    <row r="427">
      <c r="E427" s="4" t="str">
        <f>IFERROR(__xludf.DUMMYFUNCTION("""COMPUTED_VALUE"""),"#VALUE!")</f>
        <v>#VALUE!</v>
      </c>
      <c r="F427" s="4" t="str">
        <f>IFERROR(__xludf.DUMMYFUNCTION("""COMPUTED_VALUE"""),"")</f>
        <v/>
      </c>
      <c r="G427" s="4" t="str">
        <f>IFERROR(__xludf.DUMMYFUNCTION("""COMPUTED_VALUE"""),"#VALUE!")</f>
        <v>#VALUE!</v>
      </c>
      <c r="H427" s="4" t="str">
        <f>IFERROR(__xludf.DUMMYFUNCTION("""COMPUTED_VALUE"""),"")</f>
        <v/>
      </c>
    </row>
    <row r="428">
      <c r="E428" s="4" t="str">
        <f>IFERROR(__xludf.DUMMYFUNCTION("""COMPUTED_VALUE"""),"#VALUE!")</f>
        <v>#VALUE!</v>
      </c>
      <c r="F428" s="4" t="str">
        <f>IFERROR(__xludf.DUMMYFUNCTION("""COMPUTED_VALUE"""),"")</f>
        <v/>
      </c>
      <c r="G428" s="4" t="str">
        <f>IFERROR(__xludf.DUMMYFUNCTION("""COMPUTED_VALUE"""),"#VALUE!")</f>
        <v>#VALUE!</v>
      </c>
      <c r="H428" s="4" t="str">
        <f>IFERROR(__xludf.DUMMYFUNCTION("""COMPUTED_VALUE"""),"")</f>
        <v/>
      </c>
    </row>
    <row r="429">
      <c r="E429" s="4" t="str">
        <f>IFERROR(__xludf.DUMMYFUNCTION("""COMPUTED_VALUE"""),"#VALUE!")</f>
        <v>#VALUE!</v>
      </c>
      <c r="F429" s="4" t="str">
        <f>IFERROR(__xludf.DUMMYFUNCTION("""COMPUTED_VALUE"""),"")</f>
        <v/>
      </c>
      <c r="G429" s="4" t="str">
        <f>IFERROR(__xludf.DUMMYFUNCTION("""COMPUTED_VALUE"""),"#VALUE!")</f>
        <v>#VALUE!</v>
      </c>
      <c r="H429" s="4" t="str">
        <f>IFERROR(__xludf.DUMMYFUNCTION("""COMPUTED_VALUE"""),"")</f>
        <v/>
      </c>
    </row>
    <row r="430">
      <c r="E430" s="4" t="str">
        <f>IFERROR(__xludf.DUMMYFUNCTION("""COMPUTED_VALUE"""),"#VALUE!")</f>
        <v>#VALUE!</v>
      </c>
      <c r="F430" s="4" t="str">
        <f>IFERROR(__xludf.DUMMYFUNCTION("""COMPUTED_VALUE"""),"")</f>
        <v/>
      </c>
      <c r="G430" s="4" t="str">
        <f>IFERROR(__xludf.DUMMYFUNCTION("""COMPUTED_VALUE"""),"#VALUE!")</f>
        <v>#VALUE!</v>
      </c>
      <c r="H430" s="4" t="str">
        <f>IFERROR(__xludf.DUMMYFUNCTION("""COMPUTED_VALUE"""),"")</f>
        <v/>
      </c>
    </row>
    <row r="431">
      <c r="E431" s="4" t="str">
        <f>IFERROR(__xludf.DUMMYFUNCTION("""COMPUTED_VALUE"""),"#VALUE!")</f>
        <v>#VALUE!</v>
      </c>
      <c r="F431" s="4" t="str">
        <f>IFERROR(__xludf.DUMMYFUNCTION("""COMPUTED_VALUE"""),"")</f>
        <v/>
      </c>
      <c r="G431" s="4" t="str">
        <f>IFERROR(__xludf.DUMMYFUNCTION("""COMPUTED_VALUE"""),"#VALUE!")</f>
        <v>#VALUE!</v>
      </c>
      <c r="H431" s="4" t="str">
        <f>IFERROR(__xludf.DUMMYFUNCTION("""COMPUTED_VALUE"""),"")</f>
        <v/>
      </c>
    </row>
    <row r="432">
      <c r="E432" s="4" t="str">
        <f>IFERROR(__xludf.DUMMYFUNCTION("""COMPUTED_VALUE"""),"#VALUE!")</f>
        <v>#VALUE!</v>
      </c>
      <c r="F432" s="4" t="str">
        <f>IFERROR(__xludf.DUMMYFUNCTION("""COMPUTED_VALUE"""),"")</f>
        <v/>
      </c>
      <c r="G432" s="4" t="str">
        <f>IFERROR(__xludf.DUMMYFUNCTION("""COMPUTED_VALUE"""),"#VALUE!")</f>
        <v>#VALUE!</v>
      </c>
      <c r="H432" s="4" t="str">
        <f>IFERROR(__xludf.DUMMYFUNCTION("""COMPUTED_VALUE"""),"")</f>
        <v/>
      </c>
    </row>
    <row r="433">
      <c r="E433" s="4" t="str">
        <f>IFERROR(__xludf.DUMMYFUNCTION("""COMPUTED_VALUE"""),"#VALUE!")</f>
        <v>#VALUE!</v>
      </c>
      <c r="F433" s="4" t="str">
        <f>IFERROR(__xludf.DUMMYFUNCTION("""COMPUTED_VALUE"""),"")</f>
        <v/>
      </c>
      <c r="G433" s="4" t="str">
        <f>IFERROR(__xludf.DUMMYFUNCTION("""COMPUTED_VALUE"""),"#VALUE!")</f>
        <v>#VALUE!</v>
      </c>
      <c r="H433" s="4" t="str">
        <f>IFERROR(__xludf.DUMMYFUNCTION("""COMPUTED_VALUE"""),"")</f>
        <v/>
      </c>
    </row>
    <row r="434">
      <c r="E434" s="4" t="str">
        <f>IFERROR(__xludf.DUMMYFUNCTION("""COMPUTED_VALUE"""),"#VALUE!")</f>
        <v>#VALUE!</v>
      </c>
      <c r="F434" s="4" t="str">
        <f>IFERROR(__xludf.DUMMYFUNCTION("""COMPUTED_VALUE"""),"")</f>
        <v/>
      </c>
      <c r="G434" s="4" t="str">
        <f>IFERROR(__xludf.DUMMYFUNCTION("""COMPUTED_VALUE"""),"#VALUE!")</f>
        <v>#VALUE!</v>
      </c>
      <c r="H434" s="4" t="str">
        <f>IFERROR(__xludf.DUMMYFUNCTION("""COMPUTED_VALUE"""),"")</f>
        <v/>
      </c>
    </row>
    <row r="435">
      <c r="E435" s="4" t="str">
        <f>IFERROR(__xludf.DUMMYFUNCTION("""COMPUTED_VALUE"""),"#VALUE!")</f>
        <v>#VALUE!</v>
      </c>
      <c r="F435" s="4" t="str">
        <f>IFERROR(__xludf.DUMMYFUNCTION("""COMPUTED_VALUE"""),"")</f>
        <v/>
      </c>
      <c r="G435" s="4" t="str">
        <f>IFERROR(__xludf.DUMMYFUNCTION("""COMPUTED_VALUE"""),"#VALUE!")</f>
        <v>#VALUE!</v>
      </c>
      <c r="H435" s="4" t="str">
        <f>IFERROR(__xludf.DUMMYFUNCTION("""COMPUTED_VALUE"""),"")</f>
        <v/>
      </c>
    </row>
    <row r="436">
      <c r="E436" s="4" t="str">
        <f>IFERROR(__xludf.DUMMYFUNCTION("""COMPUTED_VALUE"""),"#VALUE!")</f>
        <v>#VALUE!</v>
      </c>
      <c r="F436" s="4" t="str">
        <f>IFERROR(__xludf.DUMMYFUNCTION("""COMPUTED_VALUE"""),"")</f>
        <v/>
      </c>
      <c r="G436" s="4" t="str">
        <f>IFERROR(__xludf.DUMMYFUNCTION("""COMPUTED_VALUE"""),"#VALUE!")</f>
        <v>#VALUE!</v>
      </c>
      <c r="H436" s="4" t="str">
        <f>IFERROR(__xludf.DUMMYFUNCTION("""COMPUTED_VALUE"""),"")</f>
        <v/>
      </c>
    </row>
    <row r="437">
      <c r="E437" s="4" t="str">
        <f>IFERROR(__xludf.DUMMYFUNCTION("""COMPUTED_VALUE"""),"#VALUE!")</f>
        <v>#VALUE!</v>
      </c>
      <c r="F437" s="4" t="str">
        <f>IFERROR(__xludf.DUMMYFUNCTION("""COMPUTED_VALUE"""),"")</f>
        <v/>
      </c>
      <c r="G437" s="4" t="str">
        <f>IFERROR(__xludf.DUMMYFUNCTION("""COMPUTED_VALUE"""),"#VALUE!")</f>
        <v>#VALUE!</v>
      </c>
      <c r="H437" s="4" t="str">
        <f>IFERROR(__xludf.DUMMYFUNCTION("""COMPUTED_VALUE"""),"")</f>
        <v/>
      </c>
    </row>
    <row r="438">
      <c r="E438" s="4" t="str">
        <f>IFERROR(__xludf.DUMMYFUNCTION("""COMPUTED_VALUE"""),"#VALUE!")</f>
        <v>#VALUE!</v>
      </c>
      <c r="F438" s="4" t="str">
        <f>IFERROR(__xludf.DUMMYFUNCTION("""COMPUTED_VALUE"""),"")</f>
        <v/>
      </c>
      <c r="G438" s="4" t="str">
        <f>IFERROR(__xludf.DUMMYFUNCTION("""COMPUTED_VALUE"""),"#VALUE!")</f>
        <v>#VALUE!</v>
      </c>
      <c r="H438" s="4" t="str">
        <f>IFERROR(__xludf.DUMMYFUNCTION("""COMPUTED_VALUE"""),"")</f>
        <v/>
      </c>
    </row>
    <row r="439">
      <c r="E439" s="4" t="str">
        <f>IFERROR(__xludf.DUMMYFUNCTION("""COMPUTED_VALUE"""),"#VALUE!")</f>
        <v>#VALUE!</v>
      </c>
      <c r="F439" s="4" t="str">
        <f>IFERROR(__xludf.DUMMYFUNCTION("""COMPUTED_VALUE"""),"")</f>
        <v/>
      </c>
      <c r="G439" s="4" t="str">
        <f>IFERROR(__xludf.DUMMYFUNCTION("""COMPUTED_VALUE"""),"#VALUE!")</f>
        <v>#VALUE!</v>
      </c>
      <c r="H439" s="4" t="str">
        <f>IFERROR(__xludf.DUMMYFUNCTION("""COMPUTED_VALUE"""),"")</f>
        <v/>
      </c>
    </row>
    <row r="440">
      <c r="E440" s="4" t="str">
        <f>IFERROR(__xludf.DUMMYFUNCTION("""COMPUTED_VALUE"""),"#VALUE!")</f>
        <v>#VALUE!</v>
      </c>
      <c r="F440" s="4" t="str">
        <f>IFERROR(__xludf.DUMMYFUNCTION("""COMPUTED_VALUE"""),"")</f>
        <v/>
      </c>
      <c r="G440" s="4" t="str">
        <f>IFERROR(__xludf.DUMMYFUNCTION("""COMPUTED_VALUE"""),"#VALUE!")</f>
        <v>#VALUE!</v>
      </c>
      <c r="H440" s="4" t="str">
        <f>IFERROR(__xludf.DUMMYFUNCTION("""COMPUTED_VALUE"""),"")</f>
        <v/>
      </c>
    </row>
    <row r="441">
      <c r="E441" s="4" t="str">
        <f>IFERROR(__xludf.DUMMYFUNCTION("""COMPUTED_VALUE"""),"#VALUE!")</f>
        <v>#VALUE!</v>
      </c>
      <c r="F441" s="4" t="str">
        <f>IFERROR(__xludf.DUMMYFUNCTION("""COMPUTED_VALUE"""),"")</f>
        <v/>
      </c>
      <c r="G441" s="4" t="str">
        <f>IFERROR(__xludf.DUMMYFUNCTION("""COMPUTED_VALUE"""),"#VALUE!")</f>
        <v>#VALUE!</v>
      </c>
      <c r="H441" s="4" t="str">
        <f>IFERROR(__xludf.DUMMYFUNCTION("""COMPUTED_VALUE"""),"")</f>
        <v/>
      </c>
    </row>
    <row r="442">
      <c r="E442" s="4" t="str">
        <f>IFERROR(__xludf.DUMMYFUNCTION("""COMPUTED_VALUE"""),"#VALUE!")</f>
        <v>#VALUE!</v>
      </c>
      <c r="F442" s="4" t="str">
        <f>IFERROR(__xludf.DUMMYFUNCTION("""COMPUTED_VALUE"""),"")</f>
        <v/>
      </c>
      <c r="G442" s="4" t="str">
        <f>IFERROR(__xludf.DUMMYFUNCTION("""COMPUTED_VALUE"""),"#VALUE!")</f>
        <v>#VALUE!</v>
      </c>
      <c r="H442" s="4" t="str">
        <f>IFERROR(__xludf.DUMMYFUNCTION("""COMPUTED_VALUE"""),"")</f>
        <v/>
      </c>
    </row>
    <row r="443">
      <c r="E443" s="4" t="str">
        <f>IFERROR(__xludf.DUMMYFUNCTION("""COMPUTED_VALUE"""),"#VALUE!")</f>
        <v>#VALUE!</v>
      </c>
      <c r="F443" s="4" t="str">
        <f>IFERROR(__xludf.DUMMYFUNCTION("""COMPUTED_VALUE"""),"")</f>
        <v/>
      </c>
      <c r="G443" s="4" t="str">
        <f>IFERROR(__xludf.DUMMYFUNCTION("""COMPUTED_VALUE"""),"#VALUE!")</f>
        <v>#VALUE!</v>
      </c>
      <c r="H443" s="4" t="str">
        <f>IFERROR(__xludf.DUMMYFUNCTION("""COMPUTED_VALUE"""),"")</f>
        <v/>
      </c>
    </row>
    <row r="444">
      <c r="E444" s="4" t="str">
        <f>IFERROR(__xludf.DUMMYFUNCTION("""COMPUTED_VALUE"""),"#VALUE!")</f>
        <v>#VALUE!</v>
      </c>
      <c r="F444" s="4" t="str">
        <f>IFERROR(__xludf.DUMMYFUNCTION("""COMPUTED_VALUE"""),"")</f>
        <v/>
      </c>
      <c r="G444" s="4" t="str">
        <f>IFERROR(__xludf.DUMMYFUNCTION("""COMPUTED_VALUE"""),"#VALUE!")</f>
        <v>#VALUE!</v>
      </c>
      <c r="H444" s="4" t="str">
        <f>IFERROR(__xludf.DUMMYFUNCTION("""COMPUTED_VALUE"""),"")</f>
        <v/>
      </c>
    </row>
    <row r="445">
      <c r="E445" s="4" t="str">
        <f>IFERROR(__xludf.DUMMYFUNCTION("""COMPUTED_VALUE"""),"#VALUE!")</f>
        <v>#VALUE!</v>
      </c>
      <c r="F445" s="4" t="str">
        <f>IFERROR(__xludf.DUMMYFUNCTION("""COMPUTED_VALUE"""),"")</f>
        <v/>
      </c>
      <c r="G445" s="4" t="str">
        <f>IFERROR(__xludf.DUMMYFUNCTION("""COMPUTED_VALUE"""),"#VALUE!")</f>
        <v>#VALUE!</v>
      </c>
      <c r="H445" s="4" t="str">
        <f>IFERROR(__xludf.DUMMYFUNCTION("""COMPUTED_VALUE"""),"")</f>
        <v/>
      </c>
    </row>
    <row r="446">
      <c r="E446" s="4" t="str">
        <f>IFERROR(__xludf.DUMMYFUNCTION("""COMPUTED_VALUE"""),"#VALUE!")</f>
        <v>#VALUE!</v>
      </c>
      <c r="F446" s="4" t="str">
        <f>IFERROR(__xludf.DUMMYFUNCTION("""COMPUTED_VALUE"""),"")</f>
        <v/>
      </c>
      <c r="G446" s="4" t="str">
        <f>IFERROR(__xludf.DUMMYFUNCTION("""COMPUTED_VALUE"""),"#VALUE!")</f>
        <v>#VALUE!</v>
      </c>
      <c r="H446" s="4" t="str">
        <f>IFERROR(__xludf.DUMMYFUNCTION("""COMPUTED_VALUE"""),"")</f>
        <v/>
      </c>
    </row>
    <row r="447">
      <c r="E447" s="4" t="str">
        <f>IFERROR(__xludf.DUMMYFUNCTION("""COMPUTED_VALUE"""),"#VALUE!")</f>
        <v>#VALUE!</v>
      </c>
      <c r="F447" s="4" t="str">
        <f>IFERROR(__xludf.DUMMYFUNCTION("""COMPUTED_VALUE"""),"")</f>
        <v/>
      </c>
      <c r="G447" s="4" t="str">
        <f>IFERROR(__xludf.DUMMYFUNCTION("""COMPUTED_VALUE"""),"#VALUE!")</f>
        <v>#VALUE!</v>
      </c>
      <c r="H447" s="4" t="str">
        <f>IFERROR(__xludf.DUMMYFUNCTION("""COMPUTED_VALUE"""),"")</f>
        <v/>
      </c>
    </row>
    <row r="448">
      <c r="E448" s="4" t="str">
        <f>IFERROR(__xludf.DUMMYFUNCTION("""COMPUTED_VALUE"""),"#VALUE!")</f>
        <v>#VALUE!</v>
      </c>
      <c r="F448" s="4" t="str">
        <f>IFERROR(__xludf.DUMMYFUNCTION("""COMPUTED_VALUE"""),"")</f>
        <v/>
      </c>
      <c r="G448" s="4" t="str">
        <f>IFERROR(__xludf.DUMMYFUNCTION("""COMPUTED_VALUE"""),"#VALUE!")</f>
        <v>#VALUE!</v>
      </c>
      <c r="H448" s="4" t="str">
        <f>IFERROR(__xludf.DUMMYFUNCTION("""COMPUTED_VALUE"""),"")</f>
        <v/>
      </c>
    </row>
    <row r="449">
      <c r="E449" s="4" t="str">
        <f>IFERROR(__xludf.DUMMYFUNCTION("""COMPUTED_VALUE"""),"#VALUE!")</f>
        <v>#VALUE!</v>
      </c>
      <c r="F449" s="4" t="str">
        <f>IFERROR(__xludf.DUMMYFUNCTION("""COMPUTED_VALUE"""),"")</f>
        <v/>
      </c>
      <c r="G449" s="4" t="str">
        <f>IFERROR(__xludf.DUMMYFUNCTION("""COMPUTED_VALUE"""),"#VALUE!")</f>
        <v>#VALUE!</v>
      </c>
      <c r="H449" s="4" t="str">
        <f>IFERROR(__xludf.DUMMYFUNCTION("""COMPUTED_VALUE"""),"")</f>
        <v/>
      </c>
    </row>
    <row r="450">
      <c r="E450" s="4" t="str">
        <f>IFERROR(__xludf.DUMMYFUNCTION("""COMPUTED_VALUE"""),"#VALUE!")</f>
        <v>#VALUE!</v>
      </c>
      <c r="F450" s="4" t="str">
        <f>IFERROR(__xludf.DUMMYFUNCTION("""COMPUTED_VALUE"""),"")</f>
        <v/>
      </c>
      <c r="G450" s="4" t="str">
        <f>IFERROR(__xludf.DUMMYFUNCTION("""COMPUTED_VALUE"""),"#VALUE!")</f>
        <v>#VALUE!</v>
      </c>
      <c r="H450" s="4" t="str">
        <f>IFERROR(__xludf.DUMMYFUNCTION("""COMPUTED_VALUE"""),"")</f>
        <v/>
      </c>
    </row>
    <row r="451">
      <c r="E451" s="4" t="str">
        <f>IFERROR(__xludf.DUMMYFUNCTION("""COMPUTED_VALUE"""),"#VALUE!")</f>
        <v>#VALUE!</v>
      </c>
      <c r="F451" s="4" t="str">
        <f>IFERROR(__xludf.DUMMYFUNCTION("""COMPUTED_VALUE"""),"")</f>
        <v/>
      </c>
      <c r="G451" s="4" t="str">
        <f>IFERROR(__xludf.DUMMYFUNCTION("""COMPUTED_VALUE"""),"#VALUE!")</f>
        <v>#VALUE!</v>
      </c>
      <c r="H451" s="4" t="str">
        <f>IFERROR(__xludf.DUMMYFUNCTION("""COMPUTED_VALUE"""),"")</f>
        <v/>
      </c>
    </row>
    <row r="452">
      <c r="E452" s="4" t="str">
        <f>IFERROR(__xludf.DUMMYFUNCTION("""COMPUTED_VALUE"""),"#VALUE!")</f>
        <v>#VALUE!</v>
      </c>
      <c r="F452" s="4" t="str">
        <f>IFERROR(__xludf.DUMMYFUNCTION("""COMPUTED_VALUE"""),"")</f>
        <v/>
      </c>
      <c r="G452" s="4" t="str">
        <f>IFERROR(__xludf.DUMMYFUNCTION("""COMPUTED_VALUE"""),"#VALUE!")</f>
        <v>#VALUE!</v>
      </c>
      <c r="H452" s="4" t="str">
        <f>IFERROR(__xludf.DUMMYFUNCTION("""COMPUTED_VALUE"""),"")</f>
        <v/>
      </c>
    </row>
    <row r="453">
      <c r="E453" s="4" t="str">
        <f>IFERROR(__xludf.DUMMYFUNCTION("""COMPUTED_VALUE"""),"#VALUE!")</f>
        <v>#VALUE!</v>
      </c>
      <c r="F453" s="4" t="str">
        <f>IFERROR(__xludf.DUMMYFUNCTION("""COMPUTED_VALUE"""),"")</f>
        <v/>
      </c>
      <c r="G453" s="4" t="str">
        <f>IFERROR(__xludf.DUMMYFUNCTION("""COMPUTED_VALUE"""),"#VALUE!")</f>
        <v>#VALUE!</v>
      </c>
      <c r="H453" s="4" t="str">
        <f>IFERROR(__xludf.DUMMYFUNCTION("""COMPUTED_VALUE"""),"")</f>
        <v/>
      </c>
    </row>
    <row r="454">
      <c r="E454" s="4" t="str">
        <f>IFERROR(__xludf.DUMMYFUNCTION("""COMPUTED_VALUE"""),"#VALUE!")</f>
        <v>#VALUE!</v>
      </c>
      <c r="F454" s="4" t="str">
        <f>IFERROR(__xludf.DUMMYFUNCTION("""COMPUTED_VALUE"""),"")</f>
        <v/>
      </c>
      <c r="G454" s="4" t="str">
        <f>IFERROR(__xludf.DUMMYFUNCTION("""COMPUTED_VALUE"""),"#VALUE!")</f>
        <v>#VALUE!</v>
      </c>
      <c r="H454" s="4" t="str">
        <f>IFERROR(__xludf.DUMMYFUNCTION("""COMPUTED_VALUE"""),"")</f>
        <v/>
      </c>
    </row>
    <row r="455">
      <c r="E455" s="4" t="str">
        <f>IFERROR(__xludf.DUMMYFUNCTION("""COMPUTED_VALUE"""),"#VALUE!")</f>
        <v>#VALUE!</v>
      </c>
      <c r="F455" s="4" t="str">
        <f>IFERROR(__xludf.DUMMYFUNCTION("""COMPUTED_VALUE"""),"")</f>
        <v/>
      </c>
      <c r="G455" s="4" t="str">
        <f>IFERROR(__xludf.DUMMYFUNCTION("""COMPUTED_VALUE"""),"#VALUE!")</f>
        <v>#VALUE!</v>
      </c>
      <c r="H455" s="4" t="str">
        <f>IFERROR(__xludf.DUMMYFUNCTION("""COMPUTED_VALUE"""),"")</f>
        <v/>
      </c>
    </row>
    <row r="456">
      <c r="E456" s="4" t="str">
        <f>IFERROR(__xludf.DUMMYFUNCTION("""COMPUTED_VALUE"""),"#VALUE!")</f>
        <v>#VALUE!</v>
      </c>
      <c r="F456" s="4" t="str">
        <f>IFERROR(__xludf.DUMMYFUNCTION("""COMPUTED_VALUE"""),"")</f>
        <v/>
      </c>
      <c r="G456" s="4" t="str">
        <f>IFERROR(__xludf.DUMMYFUNCTION("""COMPUTED_VALUE"""),"#VALUE!")</f>
        <v>#VALUE!</v>
      </c>
      <c r="H456" s="4" t="str">
        <f>IFERROR(__xludf.DUMMYFUNCTION("""COMPUTED_VALUE"""),"")</f>
        <v/>
      </c>
    </row>
    <row r="457">
      <c r="E457" s="4" t="str">
        <f>IFERROR(__xludf.DUMMYFUNCTION("""COMPUTED_VALUE"""),"#VALUE!")</f>
        <v>#VALUE!</v>
      </c>
      <c r="F457" s="4" t="str">
        <f>IFERROR(__xludf.DUMMYFUNCTION("""COMPUTED_VALUE"""),"")</f>
        <v/>
      </c>
      <c r="G457" s="4" t="str">
        <f>IFERROR(__xludf.DUMMYFUNCTION("""COMPUTED_VALUE"""),"#VALUE!")</f>
        <v>#VALUE!</v>
      </c>
      <c r="H457" s="4" t="str">
        <f>IFERROR(__xludf.DUMMYFUNCTION("""COMPUTED_VALUE"""),"")</f>
        <v/>
      </c>
    </row>
    <row r="458">
      <c r="E458" s="4" t="str">
        <f>IFERROR(__xludf.DUMMYFUNCTION("""COMPUTED_VALUE"""),"#VALUE!")</f>
        <v>#VALUE!</v>
      </c>
      <c r="F458" s="4" t="str">
        <f>IFERROR(__xludf.DUMMYFUNCTION("""COMPUTED_VALUE"""),"")</f>
        <v/>
      </c>
      <c r="G458" s="4" t="str">
        <f>IFERROR(__xludf.DUMMYFUNCTION("""COMPUTED_VALUE"""),"#VALUE!")</f>
        <v>#VALUE!</v>
      </c>
      <c r="H458" s="4" t="str">
        <f>IFERROR(__xludf.DUMMYFUNCTION("""COMPUTED_VALUE"""),"")</f>
        <v/>
      </c>
    </row>
    <row r="459">
      <c r="E459" s="4" t="str">
        <f>IFERROR(__xludf.DUMMYFUNCTION("""COMPUTED_VALUE"""),"#VALUE!")</f>
        <v>#VALUE!</v>
      </c>
      <c r="F459" s="4" t="str">
        <f>IFERROR(__xludf.DUMMYFUNCTION("""COMPUTED_VALUE"""),"")</f>
        <v/>
      </c>
      <c r="G459" s="4" t="str">
        <f>IFERROR(__xludf.DUMMYFUNCTION("""COMPUTED_VALUE"""),"#VALUE!")</f>
        <v>#VALUE!</v>
      </c>
      <c r="H459" s="4" t="str">
        <f>IFERROR(__xludf.DUMMYFUNCTION("""COMPUTED_VALUE"""),"")</f>
        <v/>
      </c>
    </row>
    <row r="460">
      <c r="E460" s="4" t="str">
        <f>IFERROR(__xludf.DUMMYFUNCTION("""COMPUTED_VALUE"""),"#VALUE!")</f>
        <v>#VALUE!</v>
      </c>
      <c r="F460" s="4" t="str">
        <f>IFERROR(__xludf.DUMMYFUNCTION("""COMPUTED_VALUE"""),"")</f>
        <v/>
      </c>
      <c r="G460" s="4" t="str">
        <f>IFERROR(__xludf.DUMMYFUNCTION("""COMPUTED_VALUE"""),"#VALUE!")</f>
        <v>#VALUE!</v>
      </c>
      <c r="H460" s="4" t="str">
        <f>IFERROR(__xludf.DUMMYFUNCTION("""COMPUTED_VALUE"""),"")</f>
        <v/>
      </c>
    </row>
    <row r="461">
      <c r="E461" s="4" t="str">
        <f>IFERROR(__xludf.DUMMYFUNCTION("""COMPUTED_VALUE"""),"#VALUE!")</f>
        <v>#VALUE!</v>
      </c>
      <c r="F461" s="4" t="str">
        <f>IFERROR(__xludf.DUMMYFUNCTION("""COMPUTED_VALUE"""),"")</f>
        <v/>
      </c>
      <c r="G461" s="4" t="str">
        <f>IFERROR(__xludf.DUMMYFUNCTION("""COMPUTED_VALUE"""),"#VALUE!")</f>
        <v>#VALUE!</v>
      </c>
      <c r="H461" s="4" t="str">
        <f>IFERROR(__xludf.DUMMYFUNCTION("""COMPUTED_VALUE"""),"")</f>
        <v/>
      </c>
    </row>
    <row r="462">
      <c r="E462" s="4" t="str">
        <f>IFERROR(__xludf.DUMMYFUNCTION("""COMPUTED_VALUE"""),"#VALUE!")</f>
        <v>#VALUE!</v>
      </c>
      <c r="F462" s="4" t="str">
        <f>IFERROR(__xludf.DUMMYFUNCTION("""COMPUTED_VALUE"""),"")</f>
        <v/>
      </c>
      <c r="G462" s="4" t="str">
        <f>IFERROR(__xludf.DUMMYFUNCTION("""COMPUTED_VALUE"""),"#VALUE!")</f>
        <v>#VALUE!</v>
      </c>
      <c r="H462" s="4" t="str">
        <f>IFERROR(__xludf.DUMMYFUNCTION("""COMPUTED_VALUE"""),"")</f>
        <v/>
      </c>
    </row>
    <row r="463">
      <c r="E463" s="4" t="str">
        <f>IFERROR(__xludf.DUMMYFUNCTION("""COMPUTED_VALUE"""),"#VALUE!")</f>
        <v>#VALUE!</v>
      </c>
      <c r="F463" s="4" t="str">
        <f>IFERROR(__xludf.DUMMYFUNCTION("""COMPUTED_VALUE"""),"")</f>
        <v/>
      </c>
      <c r="G463" s="4" t="str">
        <f>IFERROR(__xludf.DUMMYFUNCTION("""COMPUTED_VALUE"""),"#VALUE!")</f>
        <v>#VALUE!</v>
      </c>
      <c r="H463" s="4" t="str">
        <f>IFERROR(__xludf.DUMMYFUNCTION("""COMPUTED_VALUE"""),"")</f>
        <v/>
      </c>
    </row>
    <row r="464">
      <c r="E464" s="4" t="str">
        <f>IFERROR(__xludf.DUMMYFUNCTION("""COMPUTED_VALUE"""),"#VALUE!")</f>
        <v>#VALUE!</v>
      </c>
      <c r="F464" s="4" t="str">
        <f>IFERROR(__xludf.DUMMYFUNCTION("""COMPUTED_VALUE"""),"")</f>
        <v/>
      </c>
      <c r="G464" s="4" t="str">
        <f>IFERROR(__xludf.DUMMYFUNCTION("""COMPUTED_VALUE"""),"#VALUE!")</f>
        <v>#VALUE!</v>
      </c>
      <c r="H464" s="4" t="str">
        <f>IFERROR(__xludf.DUMMYFUNCTION("""COMPUTED_VALUE"""),"")</f>
        <v/>
      </c>
    </row>
    <row r="465">
      <c r="E465" s="4" t="str">
        <f>IFERROR(__xludf.DUMMYFUNCTION("""COMPUTED_VALUE"""),"#VALUE!")</f>
        <v>#VALUE!</v>
      </c>
      <c r="F465" s="4" t="str">
        <f>IFERROR(__xludf.DUMMYFUNCTION("""COMPUTED_VALUE"""),"")</f>
        <v/>
      </c>
      <c r="G465" s="4" t="str">
        <f>IFERROR(__xludf.DUMMYFUNCTION("""COMPUTED_VALUE"""),"#VALUE!")</f>
        <v>#VALUE!</v>
      </c>
      <c r="H465" s="4" t="str">
        <f>IFERROR(__xludf.DUMMYFUNCTION("""COMPUTED_VALUE"""),"")</f>
        <v/>
      </c>
    </row>
    <row r="466">
      <c r="E466" s="4" t="str">
        <f>IFERROR(__xludf.DUMMYFUNCTION("""COMPUTED_VALUE"""),"#VALUE!")</f>
        <v>#VALUE!</v>
      </c>
      <c r="F466" s="4" t="str">
        <f>IFERROR(__xludf.DUMMYFUNCTION("""COMPUTED_VALUE"""),"")</f>
        <v/>
      </c>
      <c r="G466" s="4" t="str">
        <f>IFERROR(__xludf.DUMMYFUNCTION("""COMPUTED_VALUE"""),"#VALUE!")</f>
        <v>#VALUE!</v>
      </c>
      <c r="H466" s="4" t="str">
        <f>IFERROR(__xludf.DUMMYFUNCTION("""COMPUTED_VALUE"""),"")</f>
        <v/>
      </c>
    </row>
    <row r="467">
      <c r="E467" s="4" t="str">
        <f>IFERROR(__xludf.DUMMYFUNCTION("""COMPUTED_VALUE"""),"#VALUE!")</f>
        <v>#VALUE!</v>
      </c>
      <c r="F467" s="4" t="str">
        <f>IFERROR(__xludf.DUMMYFUNCTION("""COMPUTED_VALUE"""),"")</f>
        <v/>
      </c>
      <c r="G467" s="4" t="str">
        <f>IFERROR(__xludf.DUMMYFUNCTION("""COMPUTED_VALUE"""),"#VALUE!")</f>
        <v>#VALUE!</v>
      </c>
      <c r="H467" s="4" t="str">
        <f>IFERROR(__xludf.DUMMYFUNCTION("""COMPUTED_VALUE"""),"")</f>
        <v/>
      </c>
    </row>
    <row r="468">
      <c r="E468" s="4" t="str">
        <f>IFERROR(__xludf.DUMMYFUNCTION("""COMPUTED_VALUE"""),"#VALUE!")</f>
        <v>#VALUE!</v>
      </c>
      <c r="F468" s="4" t="str">
        <f>IFERROR(__xludf.DUMMYFUNCTION("""COMPUTED_VALUE"""),"")</f>
        <v/>
      </c>
      <c r="G468" s="4" t="str">
        <f>IFERROR(__xludf.DUMMYFUNCTION("""COMPUTED_VALUE"""),"#VALUE!")</f>
        <v>#VALUE!</v>
      </c>
      <c r="H468" s="4" t="str">
        <f>IFERROR(__xludf.DUMMYFUNCTION("""COMPUTED_VALUE"""),"")</f>
        <v/>
      </c>
    </row>
    <row r="469">
      <c r="E469" s="4" t="str">
        <f>IFERROR(__xludf.DUMMYFUNCTION("""COMPUTED_VALUE"""),"#VALUE!")</f>
        <v>#VALUE!</v>
      </c>
      <c r="F469" s="4" t="str">
        <f>IFERROR(__xludf.DUMMYFUNCTION("""COMPUTED_VALUE"""),"")</f>
        <v/>
      </c>
      <c r="G469" s="4" t="str">
        <f>IFERROR(__xludf.DUMMYFUNCTION("""COMPUTED_VALUE"""),"#VALUE!")</f>
        <v>#VALUE!</v>
      </c>
      <c r="H469" s="4" t="str">
        <f>IFERROR(__xludf.DUMMYFUNCTION("""COMPUTED_VALUE"""),"")</f>
        <v/>
      </c>
    </row>
    <row r="470">
      <c r="E470" s="4" t="str">
        <f>IFERROR(__xludf.DUMMYFUNCTION("""COMPUTED_VALUE"""),"#VALUE!")</f>
        <v>#VALUE!</v>
      </c>
      <c r="F470" s="4" t="str">
        <f>IFERROR(__xludf.DUMMYFUNCTION("""COMPUTED_VALUE"""),"")</f>
        <v/>
      </c>
      <c r="G470" s="4" t="str">
        <f>IFERROR(__xludf.DUMMYFUNCTION("""COMPUTED_VALUE"""),"#VALUE!")</f>
        <v>#VALUE!</v>
      </c>
      <c r="H470" s="4" t="str">
        <f>IFERROR(__xludf.DUMMYFUNCTION("""COMPUTED_VALUE"""),"")</f>
        <v/>
      </c>
    </row>
    <row r="471">
      <c r="E471" s="4" t="str">
        <f>IFERROR(__xludf.DUMMYFUNCTION("""COMPUTED_VALUE"""),"#VALUE!")</f>
        <v>#VALUE!</v>
      </c>
      <c r="F471" s="4" t="str">
        <f>IFERROR(__xludf.DUMMYFUNCTION("""COMPUTED_VALUE"""),"")</f>
        <v/>
      </c>
      <c r="G471" s="4" t="str">
        <f>IFERROR(__xludf.DUMMYFUNCTION("""COMPUTED_VALUE"""),"#VALUE!")</f>
        <v>#VALUE!</v>
      </c>
      <c r="H471" s="4" t="str">
        <f>IFERROR(__xludf.DUMMYFUNCTION("""COMPUTED_VALUE"""),"")</f>
        <v/>
      </c>
    </row>
    <row r="472">
      <c r="E472" s="4" t="str">
        <f>IFERROR(__xludf.DUMMYFUNCTION("""COMPUTED_VALUE"""),"#VALUE!")</f>
        <v>#VALUE!</v>
      </c>
      <c r="F472" s="4" t="str">
        <f>IFERROR(__xludf.DUMMYFUNCTION("""COMPUTED_VALUE"""),"")</f>
        <v/>
      </c>
      <c r="G472" s="4" t="str">
        <f>IFERROR(__xludf.DUMMYFUNCTION("""COMPUTED_VALUE"""),"#VALUE!")</f>
        <v>#VALUE!</v>
      </c>
      <c r="H472" s="4" t="str">
        <f>IFERROR(__xludf.DUMMYFUNCTION("""COMPUTED_VALUE"""),"")</f>
        <v/>
      </c>
    </row>
    <row r="473">
      <c r="E473" s="4" t="str">
        <f>IFERROR(__xludf.DUMMYFUNCTION("""COMPUTED_VALUE"""),"#VALUE!")</f>
        <v>#VALUE!</v>
      </c>
      <c r="F473" s="4" t="str">
        <f>IFERROR(__xludf.DUMMYFUNCTION("""COMPUTED_VALUE"""),"")</f>
        <v/>
      </c>
      <c r="G473" s="4" t="str">
        <f>IFERROR(__xludf.DUMMYFUNCTION("""COMPUTED_VALUE"""),"#VALUE!")</f>
        <v>#VALUE!</v>
      </c>
      <c r="H473" s="4" t="str">
        <f>IFERROR(__xludf.DUMMYFUNCTION("""COMPUTED_VALUE"""),"")</f>
        <v/>
      </c>
    </row>
    <row r="474">
      <c r="E474" s="4" t="str">
        <f>IFERROR(__xludf.DUMMYFUNCTION("""COMPUTED_VALUE"""),"#VALUE!")</f>
        <v>#VALUE!</v>
      </c>
      <c r="F474" s="4" t="str">
        <f>IFERROR(__xludf.DUMMYFUNCTION("""COMPUTED_VALUE"""),"")</f>
        <v/>
      </c>
      <c r="G474" s="4" t="str">
        <f>IFERROR(__xludf.DUMMYFUNCTION("""COMPUTED_VALUE"""),"#VALUE!")</f>
        <v>#VALUE!</v>
      </c>
      <c r="H474" s="4" t="str">
        <f>IFERROR(__xludf.DUMMYFUNCTION("""COMPUTED_VALUE"""),"")</f>
        <v/>
      </c>
    </row>
    <row r="475">
      <c r="E475" s="4" t="str">
        <f>IFERROR(__xludf.DUMMYFUNCTION("""COMPUTED_VALUE"""),"#VALUE!")</f>
        <v>#VALUE!</v>
      </c>
      <c r="F475" s="4" t="str">
        <f>IFERROR(__xludf.DUMMYFUNCTION("""COMPUTED_VALUE"""),"")</f>
        <v/>
      </c>
      <c r="G475" s="4" t="str">
        <f>IFERROR(__xludf.DUMMYFUNCTION("""COMPUTED_VALUE"""),"#VALUE!")</f>
        <v>#VALUE!</v>
      </c>
      <c r="H475" s="4" t="str">
        <f>IFERROR(__xludf.DUMMYFUNCTION("""COMPUTED_VALUE"""),"")</f>
        <v/>
      </c>
    </row>
    <row r="476">
      <c r="E476" s="4" t="str">
        <f>IFERROR(__xludf.DUMMYFUNCTION("""COMPUTED_VALUE"""),"#VALUE!")</f>
        <v>#VALUE!</v>
      </c>
      <c r="F476" s="4" t="str">
        <f>IFERROR(__xludf.DUMMYFUNCTION("""COMPUTED_VALUE"""),"")</f>
        <v/>
      </c>
      <c r="G476" s="4" t="str">
        <f>IFERROR(__xludf.DUMMYFUNCTION("""COMPUTED_VALUE"""),"#VALUE!")</f>
        <v>#VALUE!</v>
      </c>
      <c r="H476" s="4" t="str">
        <f>IFERROR(__xludf.DUMMYFUNCTION("""COMPUTED_VALUE"""),"")</f>
        <v/>
      </c>
    </row>
    <row r="477">
      <c r="E477" s="4" t="str">
        <f>IFERROR(__xludf.DUMMYFUNCTION("""COMPUTED_VALUE"""),"#VALUE!")</f>
        <v>#VALUE!</v>
      </c>
      <c r="F477" s="4" t="str">
        <f>IFERROR(__xludf.DUMMYFUNCTION("""COMPUTED_VALUE"""),"")</f>
        <v/>
      </c>
      <c r="G477" s="4" t="str">
        <f>IFERROR(__xludf.DUMMYFUNCTION("""COMPUTED_VALUE"""),"#VALUE!")</f>
        <v>#VALUE!</v>
      </c>
      <c r="H477" s="4" t="str">
        <f>IFERROR(__xludf.DUMMYFUNCTION("""COMPUTED_VALUE"""),"")</f>
        <v/>
      </c>
    </row>
    <row r="478">
      <c r="E478" s="4" t="str">
        <f>IFERROR(__xludf.DUMMYFUNCTION("""COMPUTED_VALUE"""),"#VALUE!")</f>
        <v>#VALUE!</v>
      </c>
      <c r="F478" s="4" t="str">
        <f>IFERROR(__xludf.DUMMYFUNCTION("""COMPUTED_VALUE"""),"")</f>
        <v/>
      </c>
      <c r="G478" s="4" t="str">
        <f>IFERROR(__xludf.DUMMYFUNCTION("""COMPUTED_VALUE"""),"#VALUE!")</f>
        <v>#VALUE!</v>
      </c>
      <c r="H478" s="4" t="str">
        <f>IFERROR(__xludf.DUMMYFUNCTION("""COMPUTED_VALUE"""),"")</f>
        <v/>
      </c>
    </row>
    <row r="479">
      <c r="E479" s="4" t="str">
        <f>IFERROR(__xludf.DUMMYFUNCTION("""COMPUTED_VALUE"""),"#VALUE!")</f>
        <v>#VALUE!</v>
      </c>
      <c r="F479" s="4" t="str">
        <f>IFERROR(__xludf.DUMMYFUNCTION("""COMPUTED_VALUE"""),"")</f>
        <v/>
      </c>
      <c r="G479" s="4" t="str">
        <f>IFERROR(__xludf.DUMMYFUNCTION("""COMPUTED_VALUE"""),"#VALUE!")</f>
        <v>#VALUE!</v>
      </c>
      <c r="H479" s="4" t="str">
        <f>IFERROR(__xludf.DUMMYFUNCTION("""COMPUTED_VALUE"""),"")</f>
        <v/>
      </c>
    </row>
    <row r="480">
      <c r="E480" s="4" t="str">
        <f>IFERROR(__xludf.DUMMYFUNCTION("""COMPUTED_VALUE"""),"#VALUE!")</f>
        <v>#VALUE!</v>
      </c>
      <c r="F480" s="4" t="str">
        <f>IFERROR(__xludf.DUMMYFUNCTION("""COMPUTED_VALUE"""),"")</f>
        <v/>
      </c>
      <c r="G480" s="4" t="str">
        <f>IFERROR(__xludf.DUMMYFUNCTION("""COMPUTED_VALUE"""),"#VALUE!")</f>
        <v>#VALUE!</v>
      </c>
      <c r="H480" s="4" t="str">
        <f>IFERROR(__xludf.DUMMYFUNCTION("""COMPUTED_VALUE"""),"")</f>
        <v/>
      </c>
    </row>
    <row r="481">
      <c r="E481" s="4" t="str">
        <f>IFERROR(__xludf.DUMMYFUNCTION("""COMPUTED_VALUE"""),"#VALUE!")</f>
        <v>#VALUE!</v>
      </c>
      <c r="F481" s="4" t="str">
        <f>IFERROR(__xludf.DUMMYFUNCTION("""COMPUTED_VALUE"""),"")</f>
        <v/>
      </c>
      <c r="G481" s="4" t="str">
        <f>IFERROR(__xludf.DUMMYFUNCTION("""COMPUTED_VALUE"""),"#VALUE!")</f>
        <v>#VALUE!</v>
      </c>
      <c r="H481" s="4" t="str">
        <f>IFERROR(__xludf.DUMMYFUNCTION("""COMPUTED_VALUE"""),"")</f>
        <v/>
      </c>
    </row>
    <row r="482">
      <c r="E482" s="4" t="str">
        <f>IFERROR(__xludf.DUMMYFUNCTION("""COMPUTED_VALUE"""),"#VALUE!")</f>
        <v>#VALUE!</v>
      </c>
      <c r="F482" s="4" t="str">
        <f>IFERROR(__xludf.DUMMYFUNCTION("""COMPUTED_VALUE"""),"")</f>
        <v/>
      </c>
      <c r="G482" s="4" t="str">
        <f>IFERROR(__xludf.DUMMYFUNCTION("""COMPUTED_VALUE"""),"#VALUE!")</f>
        <v>#VALUE!</v>
      </c>
      <c r="H482" s="4" t="str">
        <f>IFERROR(__xludf.DUMMYFUNCTION("""COMPUTED_VALUE"""),"")</f>
        <v/>
      </c>
    </row>
    <row r="483">
      <c r="E483" s="4" t="str">
        <f>IFERROR(__xludf.DUMMYFUNCTION("""COMPUTED_VALUE"""),"#VALUE!")</f>
        <v>#VALUE!</v>
      </c>
      <c r="F483" s="4" t="str">
        <f>IFERROR(__xludf.DUMMYFUNCTION("""COMPUTED_VALUE"""),"")</f>
        <v/>
      </c>
      <c r="G483" s="4" t="str">
        <f>IFERROR(__xludf.DUMMYFUNCTION("""COMPUTED_VALUE"""),"#VALUE!")</f>
        <v>#VALUE!</v>
      </c>
      <c r="H483" s="4" t="str">
        <f>IFERROR(__xludf.DUMMYFUNCTION("""COMPUTED_VALUE"""),"")</f>
        <v/>
      </c>
    </row>
    <row r="484">
      <c r="E484" s="4" t="str">
        <f>IFERROR(__xludf.DUMMYFUNCTION("""COMPUTED_VALUE"""),"#VALUE!")</f>
        <v>#VALUE!</v>
      </c>
      <c r="F484" s="4" t="str">
        <f>IFERROR(__xludf.DUMMYFUNCTION("""COMPUTED_VALUE"""),"")</f>
        <v/>
      </c>
      <c r="G484" s="4" t="str">
        <f>IFERROR(__xludf.DUMMYFUNCTION("""COMPUTED_VALUE"""),"#VALUE!")</f>
        <v>#VALUE!</v>
      </c>
      <c r="H484" s="4" t="str">
        <f>IFERROR(__xludf.DUMMYFUNCTION("""COMPUTED_VALUE"""),"")</f>
        <v/>
      </c>
    </row>
    <row r="485">
      <c r="E485" s="4" t="str">
        <f>IFERROR(__xludf.DUMMYFUNCTION("""COMPUTED_VALUE"""),"#VALUE!")</f>
        <v>#VALUE!</v>
      </c>
      <c r="F485" s="4" t="str">
        <f>IFERROR(__xludf.DUMMYFUNCTION("""COMPUTED_VALUE"""),"")</f>
        <v/>
      </c>
      <c r="G485" s="4" t="str">
        <f>IFERROR(__xludf.DUMMYFUNCTION("""COMPUTED_VALUE"""),"#VALUE!")</f>
        <v>#VALUE!</v>
      </c>
      <c r="H485" s="4" t="str">
        <f>IFERROR(__xludf.DUMMYFUNCTION("""COMPUTED_VALUE"""),"")</f>
        <v/>
      </c>
    </row>
    <row r="486">
      <c r="E486" s="4" t="str">
        <f>IFERROR(__xludf.DUMMYFUNCTION("""COMPUTED_VALUE"""),"#VALUE!")</f>
        <v>#VALUE!</v>
      </c>
      <c r="F486" s="4" t="str">
        <f>IFERROR(__xludf.DUMMYFUNCTION("""COMPUTED_VALUE"""),"")</f>
        <v/>
      </c>
      <c r="G486" s="4" t="str">
        <f>IFERROR(__xludf.DUMMYFUNCTION("""COMPUTED_VALUE"""),"#VALUE!")</f>
        <v>#VALUE!</v>
      </c>
      <c r="H486" s="4" t="str">
        <f>IFERROR(__xludf.DUMMYFUNCTION("""COMPUTED_VALUE"""),"")</f>
        <v/>
      </c>
    </row>
    <row r="487">
      <c r="E487" s="4" t="str">
        <f>IFERROR(__xludf.DUMMYFUNCTION("""COMPUTED_VALUE"""),"#VALUE!")</f>
        <v>#VALUE!</v>
      </c>
      <c r="F487" s="4" t="str">
        <f>IFERROR(__xludf.DUMMYFUNCTION("""COMPUTED_VALUE"""),"")</f>
        <v/>
      </c>
      <c r="G487" s="4" t="str">
        <f>IFERROR(__xludf.DUMMYFUNCTION("""COMPUTED_VALUE"""),"#VALUE!")</f>
        <v>#VALUE!</v>
      </c>
      <c r="H487" s="4" t="str">
        <f>IFERROR(__xludf.DUMMYFUNCTION("""COMPUTED_VALUE"""),"")</f>
        <v/>
      </c>
    </row>
    <row r="488">
      <c r="E488" s="4" t="str">
        <f>IFERROR(__xludf.DUMMYFUNCTION("""COMPUTED_VALUE"""),"#VALUE!")</f>
        <v>#VALUE!</v>
      </c>
      <c r="F488" s="4" t="str">
        <f>IFERROR(__xludf.DUMMYFUNCTION("""COMPUTED_VALUE"""),"")</f>
        <v/>
      </c>
      <c r="G488" s="4" t="str">
        <f>IFERROR(__xludf.DUMMYFUNCTION("""COMPUTED_VALUE"""),"#VALUE!")</f>
        <v>#VALUE!</v>
      </c>
      <c r="H488" s="4" t="str">
        <f>IFERROR(__xludf.DUMMYFUNCTION("""COMPUTED_VALUE"""),"")</f>
        <v/>
      </c>
    </row>
    <row r="489">
      <c r="E489" s="4" t="str">
        <f>IFERROR(__xludf.DUMMYFUNCTION("""COMPUTED_VALUE"""),"#VALUE!")</f>
        <v>#VALUE!</v>
      </c>
      <c r="F489" s="4" t="str">
        <f>IFERROR(__xludf.DUMMYFUNCTION("""COMPUTED_VALUE"""),"")</f>
        <v/>
      </c>
      <c r="G489" s="4" t="str">
        <f>IFERROR(__xludf.DUMMYFUNCTION("""COMPUTED_VALUE"""),"#VALUE!")</f>
        <v>#VALUE!</v>
      </c>
      <c r="H489" s="4" t="str">
        <f>IFERROR(__xludf.DUMMYFUNCTION("""COMPUTED_VALUE"""),"")</f>
        <v/>
      </c>
    </row>
    <row r="490">
      <c r="E490" s="4" t="str">
        <f>IFERROR(__xludf.DUMMYFUNCTION("""COMPUTED_VALUE"""),"#VALUE!")</f>
        <v>#VALUE!</v>
      </c>
      <c r="F490" s="4" t="str">
        <f>IFERROR(__xludf.DUMMYFUNCTION("""COMPUTED_VALUE"""),"")</f>
        <v/>
      </c>
      <c r="G490" s="4" t="str">
        <f>IFERROR(__xludf.DUMMYFUNCTION("""COMPUTED_VALUE"""),"#VALUE!")</f>
        <v>#VALUE!</v>
      </c>
      <c r="H490" s="4" t="str">
        <f>IFERROR(__xludf.DUMMYFUNCTION("""COMPUTED_VALUE"""),"")</f>
        <v/>
      </c>
    </row>
    <row r="491">
      <c r="E491" s="4" t="str">
        <f>IFERROR(__xludf.DUMMYFUNCTION("""COMPUTED_VALUE"""),"#VALUE!")</f>
        <v>#VALUE!</v>
      </c>
      <c r="F491" s="4" t="str">
        <f>IFERROR(__xludf.DUMMYFUNCTION("""COMPUTED_VALUE"""),"")</f>
        <v/>
      </c>
      <c r="G491" s="4" t="str">
        <f>IFERROR(__xludf.DUMMYFUNCTION("""COMPUTED_VALUE"""),"#VALUE!")</f>
        <v>#VALUE!</v>
      </c>
      <c r="H491" s="4" t="str">
        <f>IFERROR(__xludf.DUMMYFUNCTION("""COMPUTED_VALUE"""),"")</f>
        <v/>
      </c>
    </row>
    <row r="492">
      <c r="E492" s="4" t="str">
        <f>IFERROR(__xludf.DUMMYFUNCTION("""COMPUTED_VALUE"""),"#VALUE!")</f>
        <v>#VALUE!</v>
      </c>
      <c r="F492" s="4" t="str">
        <f>IFERROR(__xludf.DUMMYFUNCTION("""COMPUTED_VALUE"""),"")</f>
        <v/>
      </c>
      <c r="G492" s="4" t="str">
        <f>IFERROR(__xludf.DUMMYFUNCTION("""COMPUTED_VALUE"""),"#VALUE!")</f>
        <v>#VALUE!</v>
      </c>
      <c r="H492" s="4" t="str">
        <f>IFERROR(__xludf.DUMMYFUNCTION("""COMPUTED_VALUE"""),"")</f>
        <v/>
      </c>
    </row>
    <row r="493">
      <c r="E493" s="4" t="str">
        <f>IFERROR(__xludf.DUMMYFUNCTION("""COMPUTED_VALUE"""),"#VALUE!")</f>
        <v>#VALUE!</v>
      </c>
      <c r="F493" s="4" t="str">
        <f>IFERROR(__xludf.DUMMYFUNCTION("""COMPUTED_VALUE"""),"")</f>
        <v/>
      </c>
      <c r="G493" s="4" t="str">
        <f>IFERROR(__xludf.DUMMYFUNCTION("""COMPUTED_VALUE"""),"#VALUE!")</f>
        <v>#VALUE!</v>
      </c>
      <c r="H493" s="4" t="str">
        <f>IFERROR(__xludf.DUMMYFUNCTION("""COMPUTED_VALUE"""),"")</f>
        <v/>
      </c>
    </row>
    <row r="494">
      <c r="E494" s="4" t="str">
        <f>IFERROR(__xludf.DUMMYFUNCTION("""COMPUTED_VALUE"""),"#VALUE!")</f>
        <v>#VALUE!</v>
      </c>
      <c r="F494" s="4" t="str">
        <f>IFERROR(__xludf.DUMMYFUNCTION("""COMPUTED_VALUE"""),"")</f>
        <v/>
      </c>
      <c r="G494" s="4" t="str">
        <f>IFERROR(__xludf.DUMMYFUNCTION("""COMPUTED_VALUE"""),"#VALUE!")</f>
        <v>#VALUE!</v>
      </c>
      <c r="H494" s="4" t="str">
        <f>IFERROR(__xludf.DUMMYFUNCTION("""COMPUTED_VALUE"""),"")</f>
        <v/>
      </c>
    </row>
    <row r="495">
      <c r="E495" s="4" t="str">
        <f>IFERROR(__xludf.DUMMYFUNCTION("""COMPUTED_VALUE"""),"#VALUE!")</f>
        <v>#VALUE!</v>
      </c>
      <c r="F495" s="4" t="str">
        <f>IFERROR(__xludf.DUMMYFUNCTION("""COMPUTED_VALUE"""),"")</f>
        <v/>
      </c>
      <c r="G495" s="4" t="str">
        <f>IFERROR(__xludf.DUMMYFUNCTION("""COMPUTED_VALUE"""),"#VALUE!")</f>
        <v>#VALUE!</v>
      </c>
      <c r="H495" s="4" t="str">
        <f>IFERROR(__xludf.DUMMYFUNCTION("""COMPUTED_VALUE"""),"")</f>
        <v/>
      </c>
    </row>
    <row r="496">
      <c r="E496" s="4" t="str">
        <f>IFERROR(__xludf.DUMMYFUNCTION("""COMPUTED_VALUE"""),"#VALUE!")</f>
        <v>#VALUE!</v>
      </c>
      <c r="F496" s="4" t="str">
        <f>IFERROR(__xludf.DUMMYFUNCTION("""COMPUTED_VALUE"""),"")</f>
        <v/>
      </c>
      <c r="G496" s="4" t="str">
        <f>IFERROR(__xludf.DUMMYFUNCTION("""COMPUTED_VALUE"""),"#VALUE!")</f>
        <v>#VALUE!</v>
      </c>
      <c r="H496" s="4" t="str">
        <f>IFERROR(__xludf.DUMMYFUNCTION("""COMPUTED_VALUE"""),"")</f>
        <v/>
      </c>
    </row>
    <row r="497">
      <c r="E497" s="4" t="str">
        <f>IFERROR(__xludf.DUMMYFUNCTION("""COMPUTED_VALUE"""),"#VALUE!")</f>
        <v>#VALUE!</v>
      </c>
      <c r="F497" s="4" t="str">
        <f>IFERROR(__xludf.DUMMYFUNCTION("""COMPUTED_VALUE"""),"")</f>
        <v/>
      </c>
      <c r="G497" s="4" t="str">
        <f>IFERROR(__xludf.DUMMYFUNCTION("""COMPUTED_VALUE"""),"#VALUE!")</f>
        <v>#VALUE!</v>
      </c>
      <c r="H497" s="4" t="str">
        <f>IFERROR(__xludf.DUMMYFUNCTION("""COMPUTED_VALUE"""),"")</f>
        <v/>
      </c>
    </row>
    <row r="498">
      <c r="E498" s="4" t="str">
        <f>IFERROR(__xludf.DUMMYFUNCTION("""COMPUTED_VALUE"""),"#VALUE!")</f>
        <v>#VALUE!</v>
      </c>
      <c r="F498" s="4" t="str">
        <f>IFERROR(__xludf.DUMMYFUNCTION("""COMPUTED_VALUE"""),"")</f>
        <v/>
      </c>
      <c r="G498" s="4" t="str">
        <f>IFERROR(__xludf.DUMMYFUNCTION("""COMPUTED_VALUE"""),"#VALUE!")</f>
        <v>#VALUE!</v>
      </c>
      <c r="H498" s="4" t="str">
        <f>IFERROR(__xludf.DUMMYFUNCTION("""COMPUTED_VALUE"""),"")</f>
        <v/>
      </c>
    </row>
    <row r="499">
      <c r="E499" s="4" t="str">
        <f>IFERROR(__xludf.DUMMYFUNCTION("""COMPUTED_VALUE"""),"#VALUE!")</f>
        <v>#VALUE!</v>
      </c>
      <c r="F499" s="4" t="str">
        <f>IFERROR(__xludf.DUMMYFUNCTION("""COMPUTED_VALUE"""),"")</f>
        <v/>
      </c>
      <c r="G499" s="4" t="str">
        <f>IFERROR(__xludf.DUMMYFUNCTION("""COMPUTED_VALUE"""),"#VALUE!")</f>
        <v>#VALUE!</v>
      </c>
      <c r="H499" s="4" t="str">
        <f>IFERROR(__xludf.DUMMYFUNCTION("""COMPUTED_VALUE"""),"")</f>
        <v/>
      </c>
    </row>
    <row r="500">
      <c r="E500" s="4" t="str">
        <f>IFERROR(__xludf.DUMMYFUNCTION("""COMPUTED_VALUE"""),"#VALUE!")</f>
        <v>#VALUE!</v>
      </c>
      <c r="F500" s="4" t="str">
        <f>IFERROR(__xludf.DUMMYFUNCTION("""COMPUTED_VALUE"""),"")</f>
        <v/>
      </c>
      <c r="G500" s="4" t="str">
        <f>IFERROR(__xludf.DUMMYFUNCTION("""COMPUTED_VALUE"""),"#VALUE!")</f>
        <v>#VALUE!</v>
      </c>
      <c r="H500" s="4" t="str">
        <f>IFERROR(__xludf.DUMMYFUNCTION("""COMPUTED_VALUE"""),"")</f>
        <v/>
      </c>
    </row>
    <row r="501">
      <c r="E501" s="4" t="str">
        <f>IFERROR(__xludf.DUMMYFUNCTION("""COMPUTED_VALUE"""),"#VALUE!")</f>
        <v>#VALUE!</v>
      </c>
      <c r="F501" s="4" t="str">
        <f>IFERROR(__xludf.DUMMYFUNCTION("""COMPUTED_VALUE"""),"")</f>
        <v/>
      </c>
      <c r="G501" s="4" t="str">
        <f>IFERROR(__xludf.DUMMYFUNCTION("""COMPUTED_VALUE"""),"#VALUE!")</f>
        <v>#VALUE!</v>
      </c>
      <c r="H501" s="4" t="str">
        <f>IFERROR(__xludf.DUMMYFUNCTION("""COMPUTED_VALUE"""),"")</f>
        <v/>
      </c>
    </row>
    <row r="502">
      <c r="E502" s="4" t="str">
        <f>IFERROR(__xludf.DUMMYFUNCTION("""COMPUTED_VALUE"""),"#VALUE!")</f>
        <v>#VALUE!</v>
      </c>
      <c r="F502" s="4" t="str">
        <f>IFERROR(__xludf.DUMMYFUNCTION("""COMPUTED_VALUE"""),"")</f>
        <v/>
      </c>
      <c r="G502" s="4" t="str">
        <f>IFERROR(__xludf.DUMMYFUNCTION("""COMPUTED_VALUE"""),"#VALUE!")</f>
        <v>#VALUE!</v>
      </c>
      <c r="H502" s="4" t="str">
        <f>IFERROR(__xludf.DUMMYFUNCTION("""COMPUTED_VALUE"""),"")</f>
        <v/>
      </c>
    </row>
    <row r="503">
      <c r="E503" s="4" t="str">
        <f>IFERROR(__xludf.DUMMYFUNCTION("""COMPUTED_VALUE"""),"#VALUE!")</f>
        <v>#VALUE!</v>
      </c>
      <c r="F503" s="4" t="str">
        <f>IFERROR(__xludf.DUMMYFUNCTION("""COMPUTED_VALUE"""),"")</f>
        <v/>
      </c>
      <c r="G503" s="4" t="str">
        <f>IFERROR(__xludf.DUMMYFUNCTION("""COMPUTED_VALUE"""),"#VALUE!")</f>
        <v>#VALUE!</v>
      </c>
      <c r="H503" s="4" t="str">
        <f>IFERROR(__xludf.DUMMYFUNCTION("""COMPUTED_VALUE"""),"")</f>
        <v/>
      </c>
    </row>
    <row r="504">
      <c r="E504" s="4" t="str">
        <f>IFERROR(__xludf.DUMMYFUNCTION("""COMPUTED_VALUE"""),"#VALUE!")</f>
        <v>#VALUE!</v>
      </c>
      <c r="F504" s="4" t="str">
        <f>IFERROR(__xludf.DUMMYFUNCTION("""COMPUTED_VALUE"""),"")</f>
        <v/>
      </c>
      <c r="G504" s="4" t="str">
        <f>IFERROR(__xludf.DUMMYFUNCTION("""COMPUTED_VALUE"""),"#VALUE!")</f>
        <v>#VALUE!</v>
      </c>
      <c r="H504" s="4" t="str">
        <f>IFERROR(__xludf.DUMMYFUNCTION("""COMPUTED_VALUE"""),"")</f>
        <v/>
      </c>
    </row>
    <row r="505">
      <c r="E505" s="4" t="str">
        <f>IFERROR(__xludf.DUMMYFUNCTION("""COMPUTED_VALUE"""),"#VALUE!")</f>
        <v>#VALUE!</v>
      </c>
      <c r="F505" s="4" t="str">
        <f>IFERROR(__xludf.DUMMYFUNCTION("""COMPUTED_VALUE"""),"")</f>
        <v/>
      </c>
      <c r="G505" s="4" t="str">
        <f>IFERROR(__xludf.DUMMYFUNCTION("""COMPUTED_VALUE"""),"#VALUE!")</f>
        <v>#VALUE!</v>
      </c>
      <c r="H505" s="4" t="str">
        <f>IFERROR(__xludf.DUMMYFUNCTION("""COMPUTED_VALUE"""),"")</f>
        <v/>
      </c>
    </row>
    <row r="506">
      <c r="E506" s="4" t="str">
        <f>IFERROR(__xludf.DUMMYFUNCTION("""COMPUTED_VALUE"""),"#VALUE!")</f>
        <v>#VALUE!</v>
      </c>
      <c r="F506" s="4" t="str">
        <f>IFERROR(__xludf.DUMMYFUNCTION("""COMPUTED_VALUE"""),"")</f>
        <v/>
      </c>
      <c r="G506" s="4" t="str">
        <f>IFERROR(__xludf.DUMMYFUNCTION("""COMPUTED_VALUE"""),"#VALUE!")</f>
        <v>#VALUE!</v>
      </c>
      <c r="H506" s="4" t="str">
        <f>IFERROR(__xludf.DUMMYFUNCTION("""COMPUTED_VALUE"""),"")</f>
        <v/>
      </c>
    </row>
    <row r="507">
      <c r="E507" s="4" t="str">
        <f>IFERROR(__xludf.DUMMYFUNCTION("""COMPUTED_VALUE"""),"#VALUE!")</f>
        <v>#VALUE!</v>
      </c>
      <c r="F507" s="4" t="str">
        <f>IFERROR(__xludf.DUMMYFUNCTION("""COMPUTED_VALUE"""),"")</f>
        <v/>
      </c>
      <c r="G507" s="4" t="str">
        <f>IFERROR(__xludf.DUMMYFUNCTION("""COMPUTED_VALUE"""),"#VALUE!")</f>
        <v>#VALUE!</v>
      </c>
      <c r="H507" s="4" t="str">
        <f>IFERROR(__xludf.DUMMYFUNCTION("""COMPUTED_VALUE"""),"")</f>
        <v/>
      </c>
    </row>
    <row r="508">
      <c r="E508" s="4" t="str">
        <f>IFERROR(__xludf.DUMMYFUNCTION("""COMPUTED_VALUE"""),"#VALUE!")</f>
        <v>#VALUE!</v>
      </c>
      <c r="F508" s="4" t="str">
        <f>IFERROR(__xludf.DUMMYFUNCTION("""COMPUTED_VALUE"""),"")</f>
        <v/>
      </c>
      <c r="G508" s="4" t="str">
        <f>IFERROR(__xludf.DUMMYFUNCTION("""COMPUTED_VALUE"""),"#VALUE!")</f>
        <v>#VALUE!</v>
      </c>
      <c r="H508" s="4" t="str">
        <f>IFERROR(__xludf.DUMMYFUNCTION("""COMPUTED_VALUE"""),"")</f>
        <v/>
      </c>
    </row>
    <row r="509">
      <c r="E509" s="4" t="str">
        <f>IFERROR(__xludf.DUMMYFUNCTION("""COMPUTED_VALUE"""),"#VALUE!")</f>
        <v>#VALUE!</v>
      </c>
      <c r="F509" s="4" t="str">
        <f>IFERROR(__xludf.DUMMYFUNCTION("""COMPUTED_VALUE"""),"")</f>
        <v/>
      </c>
      <c r="G509" s="4" t="str">
        <f>IFERROR(__xludf.DUMMYFUNCTION("""COMPUTED_VALUE"""),"#VALUE!")</f>
        <v>#VALUE!</v>
      </c>
      <c r="H509" s="4" t="str">
        <f>IFERROR(__xludf.DUMMYFUNCTION("""COMPUTED_VALUE"""),"")</f>
        <v/>
      </c>
    </row>
    <row r="510">
      <c r="E510" s="4" t="str">
        <f>IFERROR(__xludf.DUMMYFUNCTION("""COMPUTED_VALUE"""),"#VALUE!")</f>
        <v>#VALUE!</v>
      </c>
      <c r="F510" s="4" t="str">
        <f>IFERROR(__xludf.DUMMYFUNCTION("""COMPUTED_VALUE"""),"")</f>
        <v/>
      </c>
      <c r="G510" s="4" t="str">
        <f>IFERROR(__xludf.DUMMYFUNCTION("""COMPUTED_VALUE"""),"#VALUE!")</f>
        <v>#VALUE!</v>
      </c>
      <c r="H510" s="4" t="str">
        <f>IFERROR(__xludf.DUMMYFUNCTION("""COMPUTED_VALUE"""),"")</f>
        <v/>
      </c>
    </row>
    <row r="511">
      <c r="E511" s="4" t="str">
        <f>IFERROR(__xludf.DUMMYFUNCTION("""COMPUTED_VALUE"""),"#VALUE!")</f>
        <v>#VALUE!</v>
      </c>
      <c r="F511" s="4" t="str">
        <f>IFERROR(__xludf.DUMMYFUNCTION("""COMPUTED_VALUE"""),"")</f>
        <v/>
      </c>
      <c r="G511" s="4" t="str">
        <f>IFERROR(__xludf.DUMMYFUNCTION("""COMPUTED_VALUE"""),"#VALUE!")</f>
        <v>#VALUE!</v>
      </c>
      <c r="H511" s="4" t="str">
        <f>IFERROR(__xludf.DUMMYFUNCTION("""COMPUTED_VALUE"""),"")</f>
        <v/>
      </c>
    </row>
    <row r="512">
      <c r="E512" s="4" t="str">
        <f>IFERROR(__xludf.DUMMYFUNCTION("""COMPUTED_VALUE"""),"#VALUE!")</f>
        <v>#VALUE!</v>
      </c>
      <c r="F512" s="4" t="str">
        <f>IFERROR(__xludf.DUMMYFUNCTION("""COMPUTED_VALUE"""),"")</f>
        <v/>
      </c>
      <c r="G512" s="4" t="str">
        <f>IFERROR(__xludf.DUMMYFUNCTION("""COMPUTED_VALUE"""),"#VALUE!")</f>
        <v>#VALUE!</v>
      </c>
      <c r="H512" s="4" t="str">
        <f>IFERROR(__xludf.DUMMYFUNCTION("""COMPUTED_VALUE"""),"")</f>
        <v/>
      </c>
    </row>
    <row r="513">
      <c r="E513" s="4" t="str">
        <f>IFERROR(__xludf.DUMMYFUNCTION("""COMPUTED_VALUE"""),"#VALUE!")</f>
        <v>#VALUE!</v>
      </c>
      <c r="F513" s="4" t="str">
        <f>IFERROR(__xludf.DUMMYFUNCTION("""COMPUTED_VALUE"""),"")</f>
        <v/>
      </c>
      <c r="G513" s="4" t="str">
        <f>IFERROR(__xludf.DUMMYFUNCTION("""COMPUTED_VALUE"""),"#VALUE!")</f>
        <v>#VALUE!</v>
      </c>
      <c r="H513" s="4" t="str">
        <f>IFERROR(__xludf.DUMMYFUNCTION("""COMPUTED_VALUE"""),"")</f>
        <v/>
      </c>
    </row>
    <row r="514">
      <c r="E514" s="4" t="str">
        <f>IFERROR(__xludf.DUMMYFUNCTION("""COMPUTED_VALUE"""),"#VALUE!")</f>
        <v>#VALUE!</v>
      </c>
      <c r="F514" s="4" t="str">
        <f>IFERROR(__xludf.DUMMYFUNCTION("""COMPUTED_VALUE"""),"")</f>
        <v/>
      </c>
      <c r="G514" s="4" t="str">
        <f>IFERROR(__xludf.DUMMYFUNCTION("""COMPUTED_VALUE"""),"#VALUE!")</f>
        <v>#VALUE!</v>
      </c>
      <c r="H514" s="4" t="str">
        <f>IFERROR(__xludf.DUMMYFUNCTION("""COMPUTED_VALUE"""),"")</f>
        <v/>
      </c>
    </row>
    <row r="515">
      <c r="E515" s="4" t="str">
        <f>IFERROR(__xludf.DUMMYFUNCTION("""COMPUTED_VALUE"""),"#VALUE!")</f>
        <v>#VALUE!</v>
      </c>
      <c r="F515" s="4" t="str">
        <f>IFERROR(__xludf.DUMMYFUNCTION("""COMPUTED_VALUE"""),"")</f>
        <v/>
      </c>
      <c r="G515" s="4" t="str">
        <f>IFERROR(__xludf.DUMMYFUNCTION("""COMPUTED_VALUE"""),"#VALUE!")</f>
        <v>#VALUE!</v>
      </c>
      <c r="H515" s="4" t="str">
        <f>IFERROR(__xludf.DUMMYFUNCTION("""COMPUTED_VALUE"""),"")</f>
        <v/>
      </c>
    </row>
    <row r="516">
      <c r="E516" s="4" t="str">
        <f>IFERROR(__xludf.DUMMYFUNCTION("""COMPUTED_VALUE"""),"#VALUE!")</f>
        <v>#VALUE!</v>
      </c>
      <c r="F516" s="4" t="str">
        <f>IFERROR(__xludf.DUMMYFUNCTION("""COMPUTED_VALUE"""),"")</f>
        <v/>
      </c>
      <c r="G516" s="4" t="str">
        <f>IFERROR(__xludf.DUMMYFUNCTION("""COMPUTED_VALUE"""),"#VALUE!")</f>
        <v>#VALUE!</v>
      </c>
      <c r="H516" s="4" t="str">
        <f>IFERROR(__xludf.DUMMYFUNCTION("""COMPUTED_VALUE"""),"")</f>
        <v/>
      </c>
    </row>
    <row r="517">
      <c r="E517" s="4" t="str">
        <f>IFERROR(__xludf.DUMMYFUNCTION("""COMPUTED_VALUE"""),"#VALUE!")</f>
        <v>#VALUE!</v>
      </c>
      <c r="F517" s="4" t="str">
        <f>IFERROR(__xludf.DUMMYFUNCTION("""COMPUTED_VALUE"""),"")</f>
        <v/>
      </c>
      <c r="G517" s="4" t="str">
        <f>IFERROR(__xludf.DUMMYFUNCTION("""COMPUTED_VALUE"""),"#VALUE!")</f>
        <v>#VALUE!</v>
      </c>
      <c r="H517" s="4" t="str">
        <f>IFERROR(__xludf.DUMMYFUNCTION("""COMPUTED_VALUE"""),"")</f>
        <v/>
      </c>
    </row>
    <row r="518">
      <c r="E518" s="4" t="str">
        <f>IFERROR(__xludf.DUMMYFUNCTION("""COMPUTED_VALUE"""),"#VALUE!")</f>
        <v>#VALUE!</v>
      </c>
      <c r="F518" s="4" t="str">
        <f>IFERROR(__xludf.DUMMYFUNCTION("""COMPUTED_VALUE"""),"")</f>
        <v/>
      </c>
      <c r="G518" s="4" t="str">
        <f>IFERROR(__xludf.DUMMYFUNCTION("""COMPUTED_VALUE"""),"#VALUE!")</f>
        <v>#VALUE!</v>
      </c>
      <c r="H518" s="4" t="str">
        <f>IFERROR(__xludf.DUMMYFUNCTION("""COMPUTED_VALUE"""),"")</f>
        <v/>
      </c>
    </row>
    <row r="519">
      <c r="E519" s="4" t="str">
        <f>IFERROR(__xludf.DUMMYFUNCTION("""COMPUTED_VALUE"""),"#VALUE!")</f>
        <v>#VALUE!</v>
      </c>
      <c r="F519" s="4" t="str">
        <f>IFERROR(__xludf.DUMMYFUNCTION("""COMPUTED_VALUE"""),"")</f>
        <v/>
      </c>
      <c r="G519" s="4" t="str">
        <f>IFERROR(__xludf.DUMMYFUNCTION("""COMPUTED_VALUE"""),"#VALUE!")</f>
        <v>#VALUE!</v>
      </c>
      <c r="H519" s="4" t="str">
        <f>IFERROR(__xludf.DUMMYFUNCTION("""COMPUTED_VALUE"""),"")</f>
        <v/>
      </c>
    </row>
    <row r="520">
      <c r="E520" s="4" t="str">
        <f>IFERROR(__xludf.DUMMYFUNCTION("""COMPUTED_VALUE"""),"#VALUE!")</f>
        <v>#VALUE!</v>
      </c>
      <c r="F520" s="4" t="str">
        <f>IFERROR(__xludf.DUMMYFUNCTION("""COMPUTED_VALUE"""),"")</f>
        <v/>
      </c>
      <c r="G520" s="4" t="str">
        <f>IFERROR(__xludf.DUMMYFUNCTION("""COMPUTED_VALUE"""),"#VALUE!")</f>
        <v>#VALUE!</v>
      </c>
      <c r="H520" s="4" t="str">
        <f>IFERROR(__xludf.DUMMYFUNCTION("""COMPUTED_VALUE"""),"")</f>
        <v/>
      </c>
    </row>
    <row r="521">
      <c r="E521" s="4" t="str">
        <f>IFERROR(__xludf.DUMMYFUNCTION("""COMPUTED_VALUE"""),"#VALUE!")</f>
        <v>#VALUE!</v>
      </c>
      <c r="F521" s="4" t="str">
        <f>IFERROR(__xludf.DUMMYFUNCTION("""COMPUTED_VALUE"""),"")</f>
        <v/>
      </c>
      <c r="G521" s="4" t="str">
        <f>IFERROR(__xludf.DUMMYFUNCTION("""COMPUTED_VALUE"""),"#VALUE!")</f>
        <v>#VALUE!</v>
      </c>
      <c r="H521" s="4" t="str">
        <f>IFERROR(__xludf.DUMMYFUNCTION("""COMPUTED_VALUE"""),"")</f>
        <v/>
      </c>
    </row>
    <row r="522">
      <c r="E522" s="4" t="str">
        <f>IFERROR(__xludf.DUMMYFUNCTION("""COMPUTED_VALUE"""),"#VALUE!")</f>
        <v>#VALUE!</v>
      </c>
      <c r="F522" s="4" t="str">
        <f>IFERROR(__xludf.DUMMYFUNCTION("""COMPUTED_VALUE"""),"")</f>
        <v/>
      </c>
      <c r="G522" s="4" t="str">
        <f>IFERROR(__xludf.DUMMYFUNCTION("""COMPUTED_VALUE"""),"#VALUE!")</f>
        <v>#VALUE!</v>
      </c>
      <c r="H522" s="4" t="str">
        <f>IFERROR(__xludf.DUMMYFUNCTION("""COMPUTED_VALUE"""),"")</f>
        <v/>
      </c>
    </row>
    <row r="523">
      <c r="E523" s="4" t="str">
        <f>IFERROR(__xludf.DUMMYFUNCTION("""COMPUTED_VALUE"""),"#VALUE!")</f>
        <v>#VALUE!</v>
      </c>
      <c r="F523" s="4" t="str">
        <f>IFERROR(__xludf.DUMMYFUNCTION("""COMPUTED_VALUE"""),"")</f>
        <v/>
      </c>
      <c r="G523" s="4" t="str">
        <f>IFERROR(__xludf.DUMMYFUNCTION("""COMPUTED_VALUE"""),"#VALUE!")</f>
        <v>#VALUE!</v>
      </c>
      <c r="H523" s="4" t="str">
        <f>IFERROR(__xludf.DUMMYFUNCTION("""COMPUTED_VALUE"""),"")</f>
        <v/>
      </c>
    </row>
    <row r="524">
      <c r="E524" s="4" t="str">
        <f>IFERROR(__xludf.DUMMYFUNCTION("""COMPUTED_VALUE"""),"#VALUE!")</f>
        <v>#VALUE!</v>
      </c>
      <c r="F524" s="4" t="str">
        <f>IFERROR(__xludf.DUMMYFUNCTION("""COMPUTED_VALUE"""),"")</f>
        <v/>
      </c>
      <c r="G524" s="4" t="str">
        <f>IFERROR(__xludf.DUMMYFUNCTION("""COMPUTED_VALUE"""),"#VALUE!")</f>
        <v>#VALUE!</v>
      </c>
      <c r="H524" s="4" t="str">
        <f>IFERROR(__xludf.DUMMYFUNCTION("""COMPUTED_VALUE"""),"")</f>
        <v/>
      </c>
    </row>
    <row r="525">
      <c r="E525" s="4" t="str">
        <f>IFERROR(__xludf.DUMMYFUNCTION("""COMPUTED_VALUE"""),"#VALUE!")</f>
        <v>#VALUE!</v>
      </c>
      <c r="F525" s="4" t="str">
        <f>IFERROR(__xludf.DUMMYFUNCTION("""COMPUTED_VALUE"""),"")</f>
        <v/>
      </c>
      <c r="G525" s="4" t="str">
        <f>IFERROR(__xludf.DUMMYFUNCTION("""COMPUTED_VALUE"""),"#VALUE!")</f>
        <v>#VALUE!</v>
      </c>
      <c r="H525" s="4" t="str">
        <f>IFERROR(__xludf.DUMMYFUNCTION("""COMPUTED_VALUE"""),"")</f>
        <v/>
      </c>
    </row>
    <row r="526">
      <c r="E526" s="4" t="str">
        <f>IFERROR(__xludf.DUMMYFUNCTION("""COMPUTED_VALUE"""),"#VALUE!")</f>
        <v>#VALUE!</v>
      </c>
      <c r="F526" s="4" t="str">
        <f>IFERROR(__xludf.DUMMYFUNCTION("""COMPUTED_VALUE"""),"")</f>
        <v/>
      </c>
      <c r="G526" s="4" t="str">
        <f>IFERROR(__xludf.DUMMYFUNCTION("""COMPUTED_VALUE"""),"#VALUE!")</f>
        <v>#VALUE!</v>
      </c>
      <c r="H526" s="4" t="str">
        <f>IFERROR(__xludf.DUMMYFUNCTION("""COMPUTED_VALUE"""),"")</f>
        <v/>
      </c>
    </row>
    <row r="527">
      <c r="E527" s="4" t="str">
        <f>IFERROR(__xludf.DUMMYFUNCTION("""COMPUTED_VALUE"""),"#VALUE!")</f>
        <v>#VALUE!</v>
      </c>
      <c r="F527" s="4" t="str">
        <f>IFERROR(__xludf.DUMMYFUNCTION("""COMPUTED_VALUE"""),"")</f>
        <v/>
      </c>
      <c r="G527" s="4" t="str">
        <f>IFERROR(__xludf.DUMMYFUNCTION("""COMPUTED_VALUE"""),"#VALUE!")</f>
        <v>#VALUE!</v>
      </c>
      <c r="H527" s="4" t="str">
        <f>IFERROR(__xludf.DUMMYFUNCTION("""COMPUTED_VALUE"""),"")</f>
        <v/>
      </c>
    </row>
    <row r="528">
      <c r="E528" s="4" t="str">
        <f>IFERROR(__xludf.DUMMYFUNCTION("""COMPUTED_VALUE"""),"#VALUE!")</f>
        <v>#VALUE!</v>
      </c>
      <c r="F528" s="4" t="str">
        <f>IFERROR(__xludf.DUMMYFUNCTION("""COMPUTED_VALUE"""),"")</f>
        <v/>
      </c>
      <c r="G528" s="4" t="str">
        <f>IFERROR(__xludf.DUMMYFUNCTION("""COMPUTED_VALUE"""),"#VALUE!")</f>
        <v>#VALUE!</v>
      </c>
      <c r="H528" s="4" t="str">
        <f>IFERROR(__xludf.DUMMYFUNCTION("""COMPUTED_VALUE"""),"")</f>
        <v/>
      </c>
    </row>
    <row r="529">
      <c r="E529" s="4" t="str">
        <f>IFERROR(__xludf.DUMMYFUNCTION("""COMPUTED_VALUE"""),"#VALUE!")</f>
        <v>#VALUE!</v>
      </c>
      <c r="F529" s="4" t="str">
        <f>IFERROR(__xludf.DUMMYFUNCTION("""COMPUTED_VALUE"""),"")</f>
        <v/>
      </c>
      <c r="G529" s="4" t="str">
        <f>IFERROR(__xludf.DUMMYFUNCTION("""COMPUTED_VALUE"""),"#VALUE!")</f>
        <v>#VALUE!</v>
      </c>
      <c r="H529" s="4" t="str">
        <f>IFERROR(__xludf.DUMMYFUNCTION("""COMPUTED_VALUE"""),"")</f>
        <v/>
      </c>
    </row>
    <row r="530">
      <c r="E530" s="4" t="str">
        <f>IFERROR(__xludf.DUMMYFUNCTION("""COMPUTED_VALUE"""),"#VALUE!")</f>
        <v>#VALUE!</v>
      </c>
      <c r="F530" s="4" t="str">
        <f>IFERROR(__xludf.DUMMYFUNCTION("""COMPUTED_VALUE"""),"")</f>
        <v/>
      </c>
      <c r="G530" s="4" t="str">
        <f>IFERROR(__xludf.DUMMYFUNCTION("""COMPUTED_VALUE"""),"#VALUE!")</f>
        <v>#VALUE!</v>
      </c>
      <c r="H530" s="4" t="str">
        <f>IFERROR(__xludf.DUMMYFUNCTION("""COMPUTED_VALUE"""),"")</f>
        <v/>
      </c>
    </row>
    <row r="531">
      <c r="E531" s="4" t="str">
        <f>IFERROR(__xludf.DUMMYFUNCTION("""COMPUTED_VALUE"""),"#VALUE!")</f>
        <v>#VALUE!</v>
      </c>
      <c r="F531" s="4" t="str">
        <f>IFERROR(__xludf.DUMMYFUNCTION("""COMPUTED_VALUE"""),"")</f>
        <v/>
      </c>
      <c r="G531" s="4" t="str">
        <f>IFERROR(__xludf.DUMMYFUNCTION("""COMPUTED_VALUE"""),"#VALUE!")</f>
        <v>#VALUE!</v>
      </c>
      <c r="H531" s="4" t="str">
        <f>IFERROR(__xludf.DUMMYFUNCTION("""COMPUTED_VALUE"""),"")</f>
        <v/>
      </c>
    </row>
    <row r="532">
      <c r="E532" s="4" t="str">
        <f>IFERROR(__xludf.DUMMYFUNCTION("""COMPUTED_VALUE"""),"#VALUE!")</f>
        <v>#VALUE!</v>
      </c>
      <c r="F532" s="4" t="str">
        <f>IFERROR(__xludf.DUMMYFUNCTION("""COMPUTED_VALUE"""),"")</f>
        <v/>
      </c>
      <c r="G532" s="4" t="str">
        <f>IFERROR(__xludf.DUMMYFUNCTION("""COMPUTED_VALUE"""),"#VALUE!")</f>
        <v>#VALUE!</v>
      </c>
      <c r="H532" s="4" t="str">
        <f>IFERROR(__xludf.DUMMYFUNCTION("""COMPUTED_VALUE"""),"")</f>
        <v/>
      </c>
    </row>
    <row r="533">
      <c r="E533" s="4" t="str">
        <f>IFERROR(__xludf.DUMMYFUNCTION("""COMPUTED_VALUE"""),"#VALUE!")</f>
        <v>#VALUE!</v>
      </c>
      <c r="F533" s="4" t="str">
        <f>IFERROR(__xludf.DUMMYFUNCTION("""COMPUTED_VALUE"""),"")</f>
        <v/>
      </c>
      <c r="G533" s="4" t="str">
        <f>IFERROR(__xludf.DUMMYFUNCTION("""COMPUTED_VALUE"""),"#VALUE!")</f>
        <v>#VALUE!</v>
      </c>
      <c r="H533" s="4" t="str">
        <f>IFERROR(__xludf.DUMMYFUNCTION("""COMPUTED_VALUE"""),"")</f>
        <v/>
      </c>
    </row>
    <row r="534">
      <c r="E534" s="4" t="str">
        <f>IFERROR(__xludf.DUMMYFUNCTION("""COMPUTED_VALUE"""),"#VALUE!")</f>
        <v>#VALUE!</v>
      </c>
      <c r="F534" s="4" t="str">
        <f>IFERROR(__xludf.DUMMYFUNCTION("""COMPUTED_VALUE"""),"")</f>
        <v/>
      </c>
      <c r="G534" s="4" t="str">
        <f>IFERROR(__xludf.DUMMYFUNCTION("""COMPUTED_VALUE"""),"#VALUE!")</f>
        <v>#VALUE!</v>
      </c>
      <c r="H534" s="4" t="str">
        <f>IFERROR(__xludf.DUMMYFUNCTION("""COMPUTED_VALUE"""),"")</f>
        <v/>
      </c>
    </row>
    <row r="535">
      <c r="E535" s="4" t="str">
        <f>IFERROR(__xludf.DUMMYFUNCTION("""COMPUTED_VALUE"""),"#VALUE!")</f>
        <v>#VALUE!</v>
      </c>
      <c r="F535" s="4" t="str">
        <f>IFERROR(__xludf.DUMMYFUNCTION("""COMPUTED_VALUE"""),"")</f>
        <v/>
      </c>
      <c r="G535" s="4" t="str">
        <f>IFERROR(__xludf.DUMMYFUNCTION("""COMPUTED_VALUE"""),"#VALUE!")</f>
        <v>#VALUE!</v>
      </c>
      <c r="H535" s="4" t="str">
        <f>IFERROR(__xludf.DUMMYFUNCTION("""COMPUTED_VALUE"""),"")</f>
        <v/>
      </c>
    </row>
    <row r="536">
      <c r="E536" s="4" t="str">
        <f>IFERROR(__xludf.DUMMYFUNCTION("""COMPUTED_VALUE"""),"#VALUE!")</f>
        <v>#VALUE!</v>
      </c>
      <c r="F536" s="4" t="str">
        <f>IFERROR(__xludf.DUMMYFUNCTION("""COMPUTED_VALUE"""),"")</f>
        <v/>
      </c>
      <c r="G536" s="4" t="str">
        <f>IFERROR(__xludf.DUMMYFUNCTION("""COMPUTED_VALUE"""),"#VALUE!")</f>
        <v>#VALUE!</v>
      </c>
      <c r="H536" s="4" t="str">
        <f>IFERROR(__xludf.DUMMYFUNCTION("""COMPUTED_VALUE"""),"")</f>
        <v/>
      </c>
    </row>
    <row r="537">
      <c r="E537" s="4" t="str">
        <f>IFERROR(__xludf.DUMMYFUNCTION("""COMPUTED_VALUE"""),"#VALUE!")</f>
        <v>#VALUE!</v>
      </c>
      <c r="F537" s="4" t="str">
        <f>IFERROR(__xludf.DUMMYFUNCTION("""COMPUTED_VALUE"""),"")</f>
        <v/>
      </c>
      <c r="G537" s="4" t="str">
        <f>IFERROR(__xludf.DUMMYFUNCTION("""COMPUTED_VALUE"""),"#VALUE!")</f>
        <v>#VALUE!</v>
      </c>
      <c r="H537" s="4" t="str">
        <f>IFERROR(__xludf.DUMMYFUNCTION("""COMPUTED_VALUE"""),"")</f>
        <v/>
      </c>
    </row>
    <row r="538">
      <c r="E538" s="4" t="str">
        <f>IFERROR(__xludf.DUMMYFUNCTION("""COMPUTED_VALUE"""),"#VALUE!")</f>
        <v>#VALUE!</v>
      </c>
      <c r="F538" s="4" t="str">
        <f>IFERROR(__xludf.DUMMYFUNCTION("""COMPUTED_VALUE"""),"")</f>
        <v/>
      </c>
      <c r="G538" s="4" t="str">
        <f>IFERROR(__xludf.DUMMYFUNCTION("""COMPUTED_VALUE"""),"#VALUE!")</f>
        <v>#VALUE!</v>
      </c>
      <c r="H538" s="4" t="str">
        <f>IFERROR(__xludf.DUMMYFUNCTION("""COMPUTED_VALUE"""),"")</f>
        <v/>
      </c>
    </row>
    <row r="539">
      <c r="E539" s="4" t="str">
        <f>IFERROR(__xludf.DUMMYFUNCTION("""COMPUTED_VALUE"""),"#VALUE!")</f>
        <v>#VALUE!</v>
      </c>
      <c r="F539" s="4" t="str">
        <f>IFERROR(__xludf.DUMMYFUNCTION("""COMPUTED_VALUE"""),"")</f>
        <v/>
      </c>
      <c r="G539" s="4" t="str">
        <f>IFERROR(__xludf.DUMMYFUNCTION("""COMPUTED_VALUE"""),"#VALUE!")</f>
        <v>#VALUE!</v>
      </c>
      <c r="H539" s="4" t="str">
        <f>IFERROR(__xludf.DUMMYFUNCTION("""COMPUTED_VALUE"""),"")</f>
        <v/>
      </c>
    </row>
    <row r="540">
      <c r="E540" s="4" t="str">
        <f>IFERROR(__xludf.DUMMYFUNCTION("""COMPUTED_VALUE"""),"#VALUE!")</f>
        <v>#VALUE!</v>
      </c>
      <c r="F540" s="4" t="str">
        <f>IFERROR(__xludf.DUMMYFUNCTION("""COMPUTED_VALUE"""),"")</f>
        <v/>
      </c>
      <c r="G540" s="4" t="str">
        <f>IFERROR(__xludf.DUMMYFUNCTION("""COMPUTED_VALUE"""),"#VALUE!")</f>
        <v>#VALUE!</v>
      </c>
      <c r="H540" s="4" t="str">
        <f>IFERROR(__xludf.DUMMYFUNCTION("""COMPUTED_VALUE"""),"")</f>
        <v/>
      </c>
    </row>
    <row r="541">
      <c r="E541" s="4" t="str">
        <f>IFERROR(__xludf.DUMMYFUNCTION("""COMPUTED_VALUE"""),"#VALUE!")</f>
        <v>#VALUE!</v>
      </c>
      <c r="F541" s="4" t="str">
        <f>IFERROR(__xludf.DUMMYFUNCTION("""COMPUTED_VALUE"""),"")</f>
        <v/>
      </c>
      <c r="G541" s="4" t="str">
        <f>IFERROR(__xludf.DUMMYFUNCTION("""COMPUTED_VALUE"""),"#VALUE!")</f>
        <v>#VALUE!</v>
      </c>
      <c r="H541" s="4" t="str">
        <f>IFERROR(__xludf.DUMMYFUNCTION("""COMPUTED_VALUE"""),"")</f>
        <v/>
      </c>
    </row>
    <row r="542">
      <c r="E542" s="4" t="str">
        <f>IFERROR(__xludf.DUMMYFUNCTION("""COMPUTED_VALUE"""),"#VALUE!")</f>
        <v>#VALUE!</v>
      </c>
      <c r="F542" s="4" t="str">
        <f>IFERROR(__xludf.DUMMYFUNCTION("""COMPUTED_VALUE"""),"")</f>
        <v/>
      </c>
      <c r="G542" s="4" t="str">
        <f>IFERROR(__xludf.DUMMYFUNCTION("""COMPUTED_VALUE"""),"#VALUE!")</f>
        <v>#VALUE!</v>
      </c>
      <c r="H542" s="4" t="str">
        <f>IFERROR(__xludf.DUMMYFUNCTION("""COMPUTED_VALUE"""),"")</f>
        <v/>
      </c>
    </row>
    <row r="543">
      <c r="E543" s="4" t="str">
        <f>IFERROR(__xludf.DUMMYFUNCTION("""COMPUTED_VALUE"""),"#VALUE!")</f>
        <v>#VALUE!</v>
      </c>
      <c r="F543" s="4" t="str">
        <f>IFERROR(__xludf.DUMMYFUNCTION("""COMPUTED_VALUE"""),"")</f>
        <v/>
      </c>
      <c r="G543" s="4" t="str">
        <f>IFERROR(__xludf.DUMMYFUNCTION("""COMPUTED_VALUE"""),"#VALUE!")</f>
        <v>#VALUE!</v>
      </c>
      <c r="H543" s="4" t="str">
        <f>IFERROR(__xludf.DUMMYFUNCTION("""COMPUTED_VALUE"""),"")</f>
        <v/>
      </c>
    </row>
    <row r="544">
      <c r="E544" s="4" t="str">
        <f>IFERROR(__xludf.DUMMYFUNCTION("""COMPUTED_VALUE"""),"#VALUE!")</f>
        <v>#VALUE!</v>
      </c>
      <c r="F544" s="4" t="str">
        <f>IFERROR(__xludf.DUMMYFUNCTION("""COMPUTED_VALUE"""),"")</f>
        <v/>
      </c>
      <c r="G544" s="4" t="str">
        <f>IFERROR(__xludf.DUMMYFUNCTION("""COMPUTED_VALUE"""),"#VALUE!")</f>
        <v>#VALUE!</v>
      </c>
      <c r="H544" s="4" t="str">
        <f>IFERROR(__xludf.DUMMYFUNCTION("""COMPUTED_VALUE"""),"")</f>
        <v/>
      </c>
    </row>
    <row r="545">
      <c r="E545" s="4" t="str">
        <f>IFERROR(__xludf.DUMMYFUNCTION("""COMPUTED_VALUE"""),"#VALUE!")</f>
        <v>#VALUE!</v>
      </c>
      <c r="F545" s="4" t="str">
        <f>IFERROR(__xludf.DUMMYFUNCTION("""COMPUTED_VALUE"""),"")</f>
        <v/>
      </c>
      <c r="G545" s="4" t="str">
        <f>IFERROR(__xludf.DUMMYFUNCTION("""COMPUTED_VALUE"""),"#VALUE!")</f>
        <v>#VALUE!</v>
      </c>
      <c r="H545" s="4" t="str">
        <f>IFERROR(__xludf.DUMMYFUNCTION("""COMPUTED_VALUE"""),"")</f>
        <v/>
      </c>
    </row>
    <row r="546">
      <c r="E546" s="4" t="str">
        <f>IFERROR(__xludf.DUMMYFUNCTION("""COMPUTED_VALUE"""),"#VALUE!")</f>
        <v>#VALUE!</v>
      </c>
      <c r="F546" s="4" t="str">
        <f>IFERROR(__xludf.DUMMYFUNCTION("""COMPUTED_VALUE"""),"")</f>
        <v/>
      </c>
      <c r="G546" s="4" t="str">
        <f>IFERROR(__xludf.DUMMYFUNCTION("""COMPUTED_VALUE"""),"#VALUE!")</f>
        <v>#VALUE!</v>
      </c>
      <c r="H546" s="4" t="str">
        <f>IFERROR(__xludf.DUMMYFUNCTION("""COMPUTED_VALUE"""),"")</f>
        <v/>
      </c>
    </row>
    <row r="547">
      <c r="E547" s="4" t="str">
        <f>IFERROR(__xludf.DUMMYFUNCTION("""COMPUTED_VALUE"""),"#VALUE!")</f>
        <v>#VALUE!</v>
      </c>
      <c r="F547" s="4" t="str">
        <f>IFERROR(__xludf.DUMMYFUNCTION("""COMPUTED_VALUE"""),"")</f>
        <v/>
      </c>
      <c r="G547" s="4" t="str">
        <f>IFERROR(__xludf.DUMMYFUNCTION("""COMPUTED_VALUE"""),"#VALUE!")</f>
        <v>#VALUE!</v>
      </c>
      <c r="H547" s="4" t="str">
        <f>IFERROR(__xludf.DUMMYFUNCTION("""COMPUTED_VALUE"""),"")</f>
        <v/>
      </c>
    </row>
    <row r="548">
      <c r="E548" s="4" t="str">
        <f>IFERROR(__xludf.DUMMYFUNCTION("""COMPUTED_VALUE"""),"#VALUE!")</f>
        <v>#VALUE!</v>
      </c>
      <c r="F548" s="4" t="str">
        <f>IFERROR(__xludf.DUMMYFUNCTION("""COMPUTED_VALUE"""),"")</f>
        <v/>
      </c>
      <c r="G548" s="4" t="str">
        <f>IFERROR(__xludf.DUMMYFUNCTION("""COMPUTED_VALUE"""),"#VALUE!")</f>
        <v>#VALUE!</v>
      </c>
      <c r="H548" s="4" t="str">
        <f>IFERROR(__xludf.DUMMYFUNCTION("""COMPUTED_VALUE"""),"")</f>
        <v/>
      </c>
    </row>
    <row r="549">
      <c r="E549" s="4" t="str">
        <f>IFERROR(__xludf.DUMMYFUNCTION("""COMPUTED_VALUE"""),"#VALUE!")</f>
        <v>#VALUE!</v>
      </c>
      <c r="F549" s="4" t="str">
        <f>IFERROR(__xludf.DUMMYFUNCTION("""COMPUTED_VALUE"""),"")</f>
        <v/>
      </c>
      <c r="G549" s="4" t="str">
        <f>IFERROR(__xludf.DUMMYFUNCTION("""COMPUTED_VALUE"""),"#VALUE!")</f>
        <v>#VALUE!</v>
      </c>
      <c r="H549" s="4" t="str">
        <f>IFERROR(__xludf.DUMMYFUNCTION("""COMPUTED_VALUE"""),"")</f>
        <v/>
      </c>
    </row>
    <row r="550">
      <c r="E550" s="4" t="str">
        <f>IFERROR(__xludf.DUMMYFUNCTION("""COMPUTED_VALUE"""),"#VALUE!")</f>
        <v>#VALUE!</v>
      </c>
      <c r="F550" s="4" t="str">
        <f>IFERROR(__xludf.DUMMYFUNCTION("""COMPUTED_VALUE"""),"")</f>
        <v/>
      </c>
      <c r="G550" s="4" t="str">
        <f>IFERROR(__xludf.DUMMYFUNCTION("""COMPUTED_VALUE"""),"#VALUE!")</f>
        <v>#VALUE!</v>
      </c>
      <c r="H550" s="4" t="str">
        <f>IFERROR(__xludf.DUMMYFUNCTION("""COMPUTED_VALUE"""),"")</f>
        <v/>
      </c>
    </row>
    <row r="551">
      <c r="E551" s="4" t="str">
        <f>IFERROR(__xludf.DUMMYFUNCTION("""COMPUTED_VALUE"""),"#VALUE!")</f>
        <v>#VALUE!</v>
      </c>
      <c r="F551" s="4" t="str">
        <f>IFERROR(__xludf.DUMMYFUNCTION("""COMPUTED_VALUE"""),"")</f>
        <v/>
      </c>
      <c r="G551" s="4" t="str">
        <f>IFERROR(__xludf.DUMMYFUNCTION("""COMPUTED_VALUE"""),"#VALUE!")</f>
        <v>#VALUE!</v>
      </c>
      <c r="H551" s="4" t="str">
        <f>IFERROR(__xludf.DUMMYFUNCTION("""COMPUTED_VALUE"""),"")</f>
        <v/>
      </c>
    </row>
    <row r="552">
      <c r="E552" s="4" t="str">
        <f>IFERROR(__xludf.DUMMYFUNCTION("""COMPUTED_VALUE"""),"#VALUE!")</f>
        <v>#VALUE!</v>
      </c>
      <c r="F552" s="4" t="str">
        <f>IFERROR(__xludf.DUMMYFUNCTION("""COMPUTED_VALUE"""),"")</f>
        <v/>
      </c>
      <c r="G552" s="4" t="str">
        <f>IFERROR(__xludf.DUMMYFUNCTION("""COMPUTED_VALUE"""),"#VALUE!")</f>
        <v>#VALUE!</v>
      </c>
      <c r="H552" s="4" t="str">
        <f>IFERROR(__xludf.DUMMYFUNCTION("""COMPUTED_VALUE"""),"")</f>
        <v/>
      </c>
    </row>
    <row r="553">
      <c r="E553" s="4" t="str">
        <f>IFERROR(__xludf.DUMMYFUNCTION("""COMPUTED_VALUE"""),"#VALUE!")</f>
        <v>#VALUE!</v>
      </c>
      <c r="F553" s="4" t="str">
        <f>IFERROR(__xludf.DUMMYFUNCTION("""COMPUTED_VALUE"""),"")</f>
        <v/>
      </c>
      <c r="G553" s="4" t="str">
        <f>IFERROR(__xludf.DUMMYFUNCTION("""COMPUTED_VALUE"""),"#VALUE!")</f>
        <v>#VALUE!</v>
      </c>
      <c r="H553" s="4" t="str">
        <f>IFERROR(__xludf.DUMMYFUNCTION("""COMPUTED_VALUE"""),"")</f>
        <v/>
      </c>
    </row>
    <row r="554">
      <c r="E554" s="4" t="str">
        <f>IFERROR(__xludf.DUMMYFUNCTION("""COMPUTED_VALUE"""),"#VALUE!")</f>
        <v>#VALUE!</v>
      </c>
      <c r="F554" s="4" t="str">
        <f>IFERROR(__xludf.DUMMYFUNCTION("""COMPUTED_VALUE"""),"")</f>
        <v/>
      </c>
      <c r="G554" s="4" t="str">
        <f>IFERROR(__xludf.DUMMYFUNCTION("""COMPUTED_VALUE"""),"#VALUE!")</f>
        <v>#VALUE!</v>
      </c>
      <c r="H554" s="4" t="str">
        <f>IFERROR(__xludf.DUMMYFUNCTION("""COMPUTED_VALUE"""),"")</f>
        <v/>
      </c>
    </row>
    <row r="555">
      <c r="E555" s="4" t="str">
        <f>IFERROR(__xludf.DUMMYFUNCTION("""COMPUTED_VALUE"""),"#VALUE!")</f>
        <v>#VALUE!</v>
      </c>
      <c r="F555" s="4" t="str">
        <f>IFERROR(__xludf.DUMMYFUNCTION("""COMPUTED_VALUE"""),"")</f>
        <v/>
      </c>
      <c r="G555" s="4" t="str">
        <f>IFERROR(__xludf.DUMMYFUNCTION("""COMPUTED_VALUE"""),"#VALUE!")</f>
        <v>#VALUE!</v>
      </c>
      <c r="H555" s="4" t="str">
        <f>IFERROR(__xludf.DUMMYFUNCTION("""COMPUTED_VALUE"""),"")</f>
        <v/>
      </c>
    </row>
    <row r="556">
      <c r="E556" s="4" t="str">
        <f>IFERROR(__xludf.DUMMYFUNCTION("""COMPUTED_VALUE"""),"#VALUE!")</f>
        <v>#VALUE!</v>
      </c>
      <c r="F556" s="4" t="str">
        <f>IFERROR(__xludf.DUMMYFUNCTION("""COMPUTED_VALUE"""),"")</f>
        <v/>
      </c>
      <c r="G556" s="4" t="str">
        <f>IFERROR(__xludf.DUMMYFUNCTION("""COMPUTED_VALUE"""),"#VALUE!")</f>
        <v>#VALUE!</v>
      </c>
      <c r="H556" s="4" t="str">
        <f>IFERROR(__xludf.DUMMYFUNCTION("""COMPUTED_VALUE"""),"")</f>
        <v/>
      </c>
    </row>
    <row r="557">
      <c r="E557" s="4" t="str">
        <f>IFERROR(__xludf.DUMMYFUNCTION("""COMPUTED_VALUE"""),"#VALUE!")</f>
        <v>#VALUE!</v>
      </c>
      <c r="F557" s="4" t="str">
        <f>IFERROR(__xludf.DUMMYFUNCTION("""COMPUTED_VALUE"""),"")</f>
        <v/>
      </c>
      <c r="G557" s="4" t="str">
        <f>IFERROR(__xludf.DUMMYFUNCTION("""COMPUTED_VALUE"""),"#VALUE!")</f>
        <v>#VALUE!</v>
      </c>
      <c r="H557" s="4" t="str">
        <f>IFERROR(__xludf.DUMMYFUNCTION("""COMPUTED_VALUE"""),"")</f>
        <v/>
      </c>
    </row>
    <row r="558">
      <c r="E558" s="4" t="str">
        <f>IFERROR(__xludf.DUMMYFUNCTION("""COMPUTED_VALUE"""),"#VALUE!")</f>
        <v>#VALUE!</v>
      </c>
      <c r="F558" s="4" t="str">
        <f>IFERROR(__xludf.DUMMYFUNCTION("""COMPUTED_VALUE"""),"")</f>
        <v/>
      </c>
      <c r="G558" s="4" t="str">
        <f>IFERROR(__xludf.DUMMYFUNCTION("""COMPUTED_VALUE"""),"#VALUE!")</f>
        <v>#VALUE!</v>
      </c>
      <c r="H558" s="4" t="str">
        <f>IFERROR(__xludf.DUMMYFUNCTION("""COMPUTED_VALUE"""),"")</f>
        <v/>
      </c>
    </row>
    <row r="559">
      <c r="E559" s="4" t="str">
        <f>IFERROR(__xludf.DUMMYFUNCTION("""COMPUTED_VALUE"""),"#VALUE!")</f>
        <v>#VALUE!</v>
      </c>
      <c r="F559" s="4" t="str">
        <f>IFERROR(__xludf.DUMMYFUNCTION("""COMPUTED_VALUE"""),"")</f>
        <v/>
      </c>
      <c r="G559" s="4" t="str">
        <f>IFERROR(__xludf.DUMMYFUNCTION("""COMPUTED_VALUE"""),"#VALUE!")</f>
        <v>#VALUE!</v>
      </c>
      <c r="H559" s="4" t="str">
        <f>IFERROR(__xludf.DUMMYFUNCTION("""COMPUTED_VALUE"""),"")</f>
        <v/>
      </c>
    </row>
    <row r="560">
      <c r="E560" s="4" t="str">
        <f>IFERROR(__xludf.DUMMYFUNCTION("""COMPUTED_VALUE"""),"#VALUE!")</f>
        <v>#VALUE!</v>
      </c>
      <c r="F560" s="4" t="str">
        <f>IFERROR(__xludf.DUMMYFUNCTION("""COMPUTED_VALUE"""),"")</f>
        <v/>
      </c>
      <c r="G560" s="4" t="str">
        <f>IFERROR(__xludf.DUMMYFUNCTION("""COMPUTED_VALUE"""),"#VALUE!")</f>
        <v>#VALUE!</v>
      </c>
      <c r="H560" s="4" t="str">
        <f>IFERROR(__xludf.DUMMYFUNCTION("""COMPUTED_VALUE"""),"")</f>
        <v/>
      </c>
    </row>
    <row r="561">
      <c r="E561" s="4" t="str">
        <f>IFERROR(__xludf.DUMMYFUNCTION("""COMPUTED_VALUE"""),"#VALUE!")</f>
        <v>#VALUE!</v>
      </c>
      <c r="F561" s="4" t="str">
        <f>IFERROR(__xludf.DUMMYFUNCTION("""COMPUTED_VALUE"""),"")</f>
        <v/>
      </c>
      <c r="G561" s="4" t="str">
        <f>IFERROR(__xludf.DUMMYFUNCTION("""COMPUTED_VALUE"""),"#VALUE!")</f>
        <v>#VALUE!</v>
      </c>
      <c r="H561" s="4" t="str">
        <f>IFERROR(__xludf.DUMMYFUNCTION("""COMPUTED_VALUE"""),"")</f>
        <v/>
      </c>
    </row>
    <row r="562">
      <c r="E562" s="4" t="str">
        <f>IFERROR(__xludf.DUMMYFUNCTION("""COMPUTED_VALUE"""),"#VALUE!")</f>
        <v>#VALUE!</v>
      </c>
      <c r="F562" s="4" t="str">
        <f>IFERROR(__xludf.DUMMYFUNCTION("""COMPUTED_VALUE"""),"")</f>
        <v/>
      </c>
      <c r="G562" s="4" t="str">
        <f>IFERROR(__xludf.DUMMYFUNCTION("""COMPUTED_VALUE"""),"#VALUE!")</f>
        <v>#VALUE!</v>
      </c>
      <c r="H562" s="4" t="str">
        <f>IFERROR(__xludf.DUMMYFUNCTION("""COMPUTED_VALUE"""),"")</f>
        <v/>
      </c>
    </row>
    <row r="563">
      <c r="E563" s="4" t="str">
        <f>IFERROR(__xludf.DUMMYFUNCTION("""COMPUTED_VALUE"""),"#VALUE!")</f>
        <v>#VALUE!</v>
      </c>
      <c r="F563" s="4" t="str">
        <f>IFERROR(__xludf.DUMMYFUNCTION("""COMPUTED_VALUE"""),"")</f>
        <v/>
      </c>
      <c r="G563" s="4" t="str">
        <f>IFERROR(__xludf.DUMMYFUNCTION("""COMPUTED_VALUE"""),"#VALUE!")</f>
        <v>#VALUE!</v>
      </c>
      <c r="H563" s="4" t="str">
        <f>IFERROR(__xludf.DUMMYFUNCTION("""COMPUTED_VALUE"""),"")</f>
        <v/>
      </c>
    </row>
    <row r="564">
      <c r="E564" s="4" t="str">
        <f>IFERROR(__xludf.DUMMYFUNCTION("""COMPUTED_VALUE"""),"#VALUE!")</f>
        <v>#VALUE!</v>
      </c>
      <c r="F564" s="4" t="str">
        <f>IFERROR(__xludf.DUMMYFUNCTION("""COMPUTED_VALUE"""),"")</f>
        <v/>
      </c>
      <c r="G564" s="4" t="str">
        <f>IFERROR(__xludf.DUMMYFUNCTION("""COMPUTED_VALUE"""),"#VALUE!")</f>
        <v>#VALUE!</v>
      </c>
      <c r="H564" s="4" t="str">
        <f>IFERROR(__xludf.DUMMYFUNCTION("""COMPUTED_VALUE"""),"")</f>
        <v/>
      </c>
    </row>
    <row r="565">
      <c r="E565" s="4" t="str">
        <f>IFERROR(__xludf.DUMMYFUNCTION("""COMPUTED_VALUE"""),"#VALUE!")</f>
        <v>#VALUE!</v>
      </c>
      <c r="F565" s="4" t="str">
        <f>IFERROR(__xludf.DUMMYFUNCTION("""COMPUTED_VALUE"""),"")</f>
        <v/>
      </c>
      <c r="G565" s="4" t="str">
        <f>IFERROR(__xludf.DUMMYFUNCTION("""COMPUTED_VALUE"""),"#VALUE!")</f>
        <v>#VALUE!</v>
      </c>
      <c r="H565" s="4" t="str">
        <f>IFERROR(__xludf.DUMMYFUNCTION("""COMPUTED_VALUE"""),"")</f>
        <v/>
      </c>
    </row>
    <row r="566">
      <c r="E566" s="4" t="str">
        <f>IFERROR(__xludf.DUMMYFUNCTION("""COMPUTED_VALUE"""),"#VALUE!")</f>
        <v>#VALUE!</v>
      </c>
      <c r="F566" s="4" t="str">
        <f>IFERROR(__xludf.DUMMYFUNCTION("""COMPUTED_VALUE"""),"")</f>
        <v/>
      </c>
      <c r="G566" s="4" t="str">
        <f>IFERROR(__xludf.DUMMYFUNCTION("""COMPUTED_VALUE"""),"#VALUE!")</f>
        <v>#VALUE!</v>
      </c>
      <c r="H566" s="4" t="str">
        <f>IFERROR(__xludf.DUMMYFUNCTION("""COMPUTED_VALUE"""),"")</f>
        <v/>
      </c>
    </row>
    <row r="567">
      <c r="E567" s="4" t="str">
        <f>IFERROR(__xludf.DUMMYFUNCTION("""COMPUTED_VALUE"""),"#VALUE!")</f>
        <v>#VALUE!</v>
      </c>
      <c r="F567" s="4" t="str">
        <f>IFERROR(__xludf.DUMMYFUNCTION("""COMPUTED_VALUE"""),"")</f>
        <v/>
      </c>
      <c r="G567" s="4" t="str">
        <f>IFERROR(__xludf.DUMMYFUNCTION("""COMPUTED_VALUE"""),"#VALUE!")</f>
        <v>#VALUE!</v>
      </c>
      <c r="H567" s="4" t="str">
        <f>IFERROR(__xludf.DUMMYFUNCTION("""COMPUTED_VALUE"""),"")</f>
        <v/>
      </c>
    </row>
    <row r="568">
      <c r="E568" s="4" t="str">
        <f>IFERROR(__xludf.DUMMYFUNCTION("""COMPUTED_VALUE"""),"#VALUE!")</f>
        <v>#VALUE!</v>
      </c>
      <c r="F568" s="4" t="str">
        <f>IFERROR(__xludf.DUMMYFUNCTION("""COMPUTED_VALUE"""),"")</f>
        <v/>
      </c>
      <c r="G568" s="4" t="str">
        <f>IFERROR(__xludf.DUMMYFUNCTION("""COMPUTED_VALUE"""),"#VALUE!")</f>
        <v>#VALUE!</v>
      </c>
      <c r="H568" s="4" t="str">
        <f>IFERROR(__xludf.DUMMYFUNCTION("""COMPUTED_VALUE"""),"")</f>
        <v/>
      </c>
    </row>
    <row r="569">
      <c r="E569" s="4" t="str">
        <f>IFERROR(__xludf.DUMMYFUNCTION("""COMPUTED_VALUE"""),"#VALUE!")</f>
        <v>#VALUE!</v>
      </c>
      <c r="F569" s="4" t="str">
        <f>IFERROR(__xludf.DUMMYFUNCTION("""COMPUTED_VALUE"""),"")</f>
        <v/>
      </c>
      <c r="G569" s="4" t="str">
        <f>IFERROR(__xludf.DUMMYFUNCTION("""COMPUTED_VALUE"""),"#VALUE!")</f>
        <v>#VALUE!</v>
      </c>
      <c r="H569" s="4" t="str">
        <f>IFERROR(__xludf.DUMMYFUNCTION("""COMPUTED_VALUE"""),"")</f>
        <v/>
      </c>
    </row>
    <row r="570">
      <c r="E570" s="4" t="str">
        <f>IFERROR(__xludf.DUMMYFUNCTION("""COMPUTED_VALUE"""),"#VALUE!")</f>
        <v>#VALUE!</v>
      </c>
      <c r="F570" s="4" t="str">
        <f>IFERROR(__xludf.DUMMYFUNCTION("""COMPUTED_VALUE"""),"")</f>
        <v/>
      </c>
      <c r="G570" s="4" t="str">
        <f>IFERROR(__xludf.DUMMYFUNCTION("""COMPUTED_VALUE"""),"#VALUE!")</f>
        <v>#VALUE!</v>
      </c>
      <c r="H570" s="4" t="str">
        <f>IFERROR(__xludf.DUMMYFUNCTION("""COMPUTED_VALUE"""),"")</f>
        <v/>
      </c>
    </row>
    <row r="571">
      <c r="E571" s="4" t="str">
        <f>IFERROR(__xludf.DUMMYFUNCTION("""COMPUTED_VALUE"""),"#VALUE!")</f>
        <v>#VALUE!</v>
      </c>
      <c r="F571" s="4" t="str">
        <f>IFERROR(__xludf.DUMMYFUNCTION("""COMPUTED_VALUE"""),"")</f>
        <v/>
      </c>
      <c r="G571" s="4" t="str">
        <f>IFERROR(__xludf.DUMMYFUNCTION("""COMPUTED_VALUE"""),"#VALUE!")</f>
        <v>#VALUE!</v>
      </c>
      <c r="H571" s="4" t="str">
        <f>IFERROR(__xludf.DUMMYFUNCTION("""COMPUTED_VALUE"""),"")</f>
        <v/>
      </c>
    </row>
    <row r="572">
      <c r="E572" s="4" t="str">
        <f>IFERROR(__xludf.DUMMYFUNCTION("""COMPUTED_VALUE"""),"#VALUE!")</f>
        <v>#VALUE!</v>
      </c>
      <c r="F572" s="4" t="str">
        <f>IFERROR(__xludf.DUMMYFUNCTION("""COMPUTED_VALUE"""),"")</f>
        <v/>
      </c>
      <c r="G572" s="4" t="str">
        <f>IFERROR(__xludf.DUMMYFUNCTION("""COMPUTED_VALUE"""),"#VALUE!")</f>
        <v>#VALUE!</v>
      </c>
      <c r="H572" s="4" t="str">
        <f>IFERROR(__xludf.DUMMYFUNCTION("""COMPUTED_VALUE"""),"")</f>
        <v/>
      </c>
    </row>
    <row r="573">
      <c r="E573" s="4" t="str">
        <f>IFERROR(__xludf.DUMMYFUNCTION("""COMPUTED_VALUE"""),"#VALUE!")</f>
        <v>#VALUE!</v>
      </c>
      <c r="F573" s="4" t="str">
        <f>IFERROR(__xludf.DUMMYFUNCTION("""COMPUTED_VALUE"""),"")</f>
        <v/>
      </c>
      <c r="G573" s="4" t="str">
        <f>IFERROR(__xludf.DUMMYFUNCTION("""COMPUTED_VALUE"""),"#VALUE!")</f>
        <v>#VALUE!</v>
      </c>
      <c r="H573" s="4" t="str">
        <f>IFERROR(__xludf.DUMMYFUNCTION("""COMPUTED_VALUE"""),"")</f>
        <v/>
      </c>
    </row>
    <row r="574">
      <c r="E574" s="4" t="str">
        <f>IFERROR(__xludf.DUMMYFUNCTION("""COMPUTED_VALUE"""),"#VALUE!")</f>
        <v>#VALUE!</v>
      </c>
      <c r="F574" s="4" t="str">
        <f>IFERROR(__xludf.DUMMYFUNCTION("""COMPUTED_VALUE"""),"")</f>
        <v/>
      </c>
      <c r="G574" s="4" t="str">
        <f>IFERROR(__xludf.DUMMYFUNCTION("""COMPUTED_VALUE"""),"#VALUE!")</f>
        <v>#VALUE!</v>
      </c>
      <c r="H574" s="4" t="str">
        <f>IFERROR(__xludf.DUMMYFUNCTION("""COMPUTED_VALUE"""),"")</f>
        <v/>
      </c>
    </row>
    <row r="575">
      <c r="E575" s="4" t="str">
        <f>IFERROR(__xludf.DUMMYFUNCTION("""COMPUTED_VALUE"""),"#VALUE!")</f>
        <v>#VALUE!</v>
      </c>
      <c r="F575" s="4" t="str">
        <f>IFERROR(__xludf.DUMMYFUNCTION("""COMPUTED_VALUE"""),"")</f>
        <v/>
      </c>
      <c r="G575" s="4" t="str">
        <f>IFERROR(__xludf.DUMMYFUNCTION("""COMPUTED_VALUE"""),"#VALUE!")</f>
        <v>#VALUE!</v>
      </c>
      <c r="H575" s="4" t="str">
        <f>IFERROR(__xludf.DUMMYFUNCTION("""COMPUTED_VALUE"""),"")</f>
        <v/>
      </c>
    </row>
    <row r="576">
      <c r="E576" s="4" t="str">
        <f>IFERROR(__xludf.DUMMYFUNCTION("""COMPUTED_VALUE"""),"#VALUE!")</f>
        <v>#VALUE!</v>
      </c>
      <c r="F576" s="4" t="str">
        <f>IFERROR(__xludf.DUMMYFUNCTION("""COMPUTED_VALUE"""),"")</f>
        <v/>
      </c>
      <c r="G576" s="4" t="str">
        <f>IFERROR(__xludf.DUMMYFUNCTION("""COMPUTED_VALUE"""),"#VALUE!")</f>
        <v>#VALUE!</v>
      </c>
      <c r="H576" s="4" t="str">
        <f>IFERROR(__xludf.DUMMYFUNCTION("""COMPUTED_VALUE"""),"")</f>
        <v/>
      </c>
    </row>
    <row r="577">
      <c r="E577" s="4" t="str">
        <f>IFERROR(__xludf.DUMMYFUNCTION("""COMPUTED_VALUE"""),"#VALUE!")</f>
        <v>#VALUE!</v>
      </c>
      <c r="F577" s="4" t="str">
        <f>IFERROR(__xludf.DUMMYFUNCTION("""COMPUTED_VALUE"""),"")</f>
        <v/>
      </c>
      <c r="G577" s="4" t="str">
        <f>IFERROR(__xludf.DUMMYFUNCTION("""COMPUTED_VALUE"""),"#VALUE!")</f>
        <v>#VALUE!</v>
      </c>
      <c r="H577" s="4" t="str">
        <f>IFERROR(__xludf.DUMMYFUNCTION("""COMPUTED_VALUE"""),"")</f>
        <v/>
      </c>
    </row>
    <row r="578">
      <c r="E578" s="4" t="str">
        <f>IFERROR(__xludf.DUMMYFUNCTION("""COMPUTED_VALUE"""),"#VALUE!")</f>
        <v>#VALUE!</v>
      </c>
      <c r="F578" s="4" t="str">
        <f>IFERROR(__xludf.DUMMYFUNCTION("""COMPUTED_VALUE"""),"")</f>
        <v/>
      </c>
      <c r="G578" s="4" t="str">
        <f>IFERROR(__xludf.DUMMYFUNCTION("""COMPUTED_VALUE"""),"#VALUE!")</f>
        <v>#VALUE!</v>
      </c>
      <c r="H578" s="4" t="str">
        <f>IFERROR(__xludf.DUMMYFUNCTION("""COMPUTED_VALUE"""),"")</f>
        <v/>
      </c>
    </row>
    <row r="579">
      <c r="E579" s="4" t="str">
        <f>IFERROR(__xludf.DUMMYFUNCTION("""COMPUTED_VALUE"""),"#VALUE!")</f>
        <v>#VALUE!</v>
      </c>
      <c r="F579" s="4" t="str">
        <f>IFERROR(__xludf.DUMMYFUNCTION("""COMPUTED_VALUE"""),"")</f>
        <v/>
      </c>
      <c r="G579" s="4" t="str">
        <f>IFERROR(__xludf.DUMMYFUNCTION("""COMPUTED_VALUE"""),"#VALUE!")</f>
        <v>#VALUE!</v>
      </c>
      <c r="H579" s="4" t="str">
        <f>IFERROR(__xludf.DUMMYFUNCTION("""COMPUTED_VALUE"""),"")</f>
        <v/>
      </c>
    </row>
    <row r="580">
      <c r="E580" s="4" t="str">
        <f>IFERROR(__xludf.DUMMYFUNCTION("""COMPUTED_VALUE"""),"#VALUE!")</f>
        <v>#VALUE!</v>
      </c>
      <c r="F580" s="4" t="str">
        <f>IFERROR(__xludf.DUMMYFUNCTION("""COMPUTED_VALUE"""),"")</f>
        <v/>
      </c>
      <c r="G580" s="4" t="str">
        <f>IFERROR(__xludf.DUMMYFUNCTION("""COMPUTED_VALUE"""),"#VALUE!")</f>
        <v>#VALUE!</v>
      </c>
      <c r="H580" s="4" t="str">
        <f>IFERROR(__xludf.DUMMYFUNCTION("""COMPUTED_VALUE"""),"")</f>
        <v/>
      </c>
    </row>
    <row r="581">
      <c r="E581" s="4" t="str">
        <f>IFERROR(__xludf.DUMMYFUNCTION("""COMPUTED_VALUE"""),"#VALUE!")</f>
        <v>#VALUE!</v>
      </c>
      <c r="F581" s="4" t="str">
        <f>IFERROR(__xludf.DUMMYFUNCTION("""COMPUTED_VALUE"""),"")</f>
        <v/>
      </c>
      <c r="G581" s="4" t="str">
        <f>IFERROR(__xludf.DUMMYFUNCTION("""COMPUTED_VALUE"""),"#VALUE!")</f>
        <v>#VALUE!</v>
      </c>
      <c r="H581" s="4" t="str">
        <f>IFERROR(__xludf.DUMMYFUNCTION("""COMPUTED_VALUE"""),"")</f>
        <v/>
      </c>
    </row>
    <row r="582">
      <c r="E582" s="4" t="str">
        <f>IFERROR(__xludf.DUMMYFUNCTION("""COMPUTED_VALUE"""),"#VALUE!")</f>
        <v>#VALUE!</v>
      </c>
      <c r="F582" s="4" t="str">
        <f>IFERROR(__xludf.DUMMYFUNCTION("""COMPUTED_VALUE"""),"")</f>
        <v/>
      </c>
      <c r="G582" s="4" t="str">
        <f>IFERROR(__xludf.DUMMYFUNCTION("""COMPUTED_VALUE"""),"#VALUE!")</f>
        <v>#VALUE!</v>
      </c>
      <c r="H582" s="4" t="str">
        <f>IFERROR(__xludf.DUMMYFUNCTION("""COMPUTED_VALUE"""),"")</f>
        <v/>
      </c>
    </row>
    <row r="583">
      <c r="E583" s="4" t="str">
        <f>IFERROR(__xludf.DUMMYFUNCTION("""COMPUTED_VALUE"""),"#VALUE!")</f>
        <v>#VALUE!</v>
      </c>
      <c r="F583" s="4" t="str">
        <f>IFERROR(__xludf.DUMMYFUNCTION("""COMPUTED_VALUE"""),"")</f>
        <v/>
      </c>
      <c r="G583" s="4" t="str">
        <f>IFERROR(__xludf.DUMMYFUNCTION("""COMPUTED_VALUE"""),"#VALUE!")</f>
        <v>#VALUE!</v>
      </c>
      <c r="H583" s="4" t="str">
        <f>IFERROR(__xludf.DUMMYFUNCTION("""COMPUTED_VALUE"""),"")</f>
        <v/>
      </c>
    </row>
    <row r="584">
      <c r="E584" s="4" t="str">
        <f>IFERROR(__xludf.DUMMYFUNCTION("""COMPUTED_VALUE"""),"#VALUE!")</f>
        <v>#VALUE!</v>
      </c>
      <c r="F584" s="4" t="str">
        <f>IFERROR(__xludf.DUMMYFUNCTION("""COMPUTED_VALUE"""),"")</f>
        <v/>
      </c>
      <c r="G584" s="4" t="str">
        <f>IFERROR(__xludf.DUMMYFUNCTION("""COMPUTED_VALUE"""),"#VALUE!")</f>
        <v>#VALUE!</v>
      </c>
      <c r="H584" s="4" t="str">
        <f>IFERROR(__xludf.DUMMYFUNCTION("""COMPUTED_VALUE"""),"")</f>
        <v/>
      </c>
    </row>
    <row r="585">
      <c r="E585" s="4" t="str">
        <f>IFERROR(__xludf.DUMMYFUNCTION("""COMPUTED_VALUE"""),"#VALUE!")</f>
        <v>#VALUE!</v>
      </c>
      <c r="F585" s="4" t="str">
        <f>IFERROR(__xludf.DUMMYFUNCTION("""COMPUTED_VALUE"""),"")</f>
        <v/>
      </c>
      <c r="G585" s="4" t="str">
        <f>IFERROR(__xludf.DUMMYFUNCTION("""COMPUTED_VALUE"""),"#VALUE!")</f>
        <v>#VALUE!</v>
      </c>
      <c r="H585" s="4" t="str">
        <f>IFERROR(__xludf.DUMMYFUNCTION("""COMPUTED_VALUE"""),"")</f>
        <v/>
      </c>
    </row>
    <row r="586">
      <c r="E586" s="4" t="str">
        <f>IFERROR(__xludf.DUMMYFUNCTION("""COMPUTED_VALUE"""),"#VALUE!")</f>
        <v>#VALUE!</v>
      </c>
      <c r="F586" s="4" t="str">
        <f>IFERROR(__xludf.DUMMYFUNCTION("""COMPUTED_VALUE"""),"")</f>
        <v/>
      </c>
      <c r="G586" s="4" t="str">
        <f>IFERROR(__xludf.DUMMYFUNCTION("""COMPUTED_VALUE"""),"#VALUE!")</f>
        <v>#VALUE!</v>
      </c>
      <c r="H586" s="4" t="str">
        <f>IFERROR(__xludf.DUMMYFUNCTION("""COMPUTED_VALUE"""),"")</f>
        <v/>
      </c>
    </row>
    <row r="587">
      <c r="E587" s="4" t="str">
        <f>IFERROR(__xludf.DUMMYFUNCTION("""COMPUTED_VALUE"""),"#VALUE!")</f>
        <v>#VALUE!</v>
      </c>
      <c r="F587" s="4" t="str">
        <f>IFERROR(__xludf.DUMMYFUNCTION("""COMPUTED_VALUE"""),"")</f>
        <v/>
      </c>
      <c r="G587" s="4" t="str">
        <f>IFERROR(__xludf.DUMMYFUNCTION("""COMPUTED_VALUE"""),"#VALUE!")</f>
        <v>#VALUE!</v>
      </c>
      <c r="H587" s="4" t="str">
        <f>IFERROR(__xludf.DUMMYFUNCTION("""COMPUTED_VALUE"""),"")</f>
        <v/>
      </c>
    </row>
    <row r="588">
      <c r="E588" s="4" t="str">
        <f>IFERROR(__xludf.DUMMYFUNCTION("""COMPUTED_VALUE"""),"#VALUE!")</f>
        <v>#VALUE!</v>
      </c>
      <c r="F588" s="4" t="str">
        <f>IFERROR(__xludf.DUMMYFUNCTION("""COMPUTED_VALUE"""),"")</f>
        <v/>
      </c>
      <c r="G588" s="4" t="str">
        <f>IFERROR(__xludf.DUMMYFUNCTION("""COMPUTED_VALUE"""),"#VALUE!")</f>
        <v>#VALUE!</v>
      </c>
      <c r="H588" s="4" t="str">
        <f>IFERROR(__xludf.DUMMYFUNCTION("""COMPUTED_VALUE"""),"")</f>
        <v/>
      </c>
    </row>
    <row r="589">
      <c r="E589" s="4" t="str">
        <f>IFERROR(__xludf.DUMMYFUNCTION("""COMPUTED_VALUE"""),"#VALUE!")</f>
        <v>#VALUE!</v>
      </c>
      <c r="F589" s="4" t="str">
        <f>IFERROR(__xludf.DUMMYFUNCTION("""COMPUTED_VALUE"""),"")</f>
        <v/>
      </c>
      <c r="G589" s="4" t="str">
        <f>IFERROR(__xludf.DUMMYFUNCTION("""COMPUTED_VALUE"""),"#VALUE!")</f>
        <v>#VALUE!</v>
      </c>
      <c r="H589" s="4" t="str">
        <f>IFERROR(__xludf.DUMMYFUNCTION("""COMPUTED_VALUE"""),"")</f>
        <v/>
      </c>
    </row>
    <row r="590">
      <c r="E590" s="4" t="str">
        <f>IFERROR(__xludf.DUMMYFUNCTION("""COMPUTED_VALUE"""),"#VALUE!")</f>
        <v>#VALUE!</v>
      </c>
      <c r="F590" s="4" t="str">
        <f>IFERROR(__xludf.DUMMYFUNCTION("""COMPUTED_VALUE"""),"")</f>
        <v/>
      </c>
      <c r="G590" s="4" t="str">
        <f>IFERROR(__xludf.DUMMYFUNCTION("""COMPUTED_VALUE"""),"#VALUE!")</f>
        <v>#VALUE!</v>
      </c>
      <c r="H590" s="4" t="str">
        <f>IFERROR(__xludf.DUMMYFUNCTION("""COMPUTED_VALUE"""),"")</f>
        <v/>
      </c>
    </row>
    <row r="591">
      <c r="E591" s="4" t="str">
        <f>IFERROR(__xludf.DUMMYFUNCTION("""COMPUTED_VALUE"""),"#VALUE!")</f>
        <v>#VALUE!</v>
      </c>
      <c r="F591" s="4" t="str">
        <f>IFERROR(__xludf.DUMMYFUNCTION("""COMPUTED_VALUE"""),"")</f>
        <v/>
      </c>
      <c r="G591" s="4" t="str">
        <f>IFERROR(__xludf.DUMMYFUNCTION("""COMPUTED_VALUE"""),"#VALUE!")</f>
        <v>#VALUE!</v>
      </c>
      <c r="H591" s="4" t="str">
        <f>IFERROR(__xludf.DUMMYFUNCTION("""COMPUTED_VALUE"""),"")</f>
        <v/>
      </c>
    </row>
    <row r="592">
      <c r="E592" s="4" t="str">
        <f>IFERROR(__xludf.DUMMYFUNCTION("""COMPUTED_VALUE"""),"#VALUE!")</f>
        <v>#VALUE!</v>
      </c>
      <c r="F592" s="4" t="str">
        <f>IFERROR(__xludf.DUMMYFUNCTION("""COMPUTED_VALUE"""),"")</f>
        <v/>
      </c>
      <c r="G592" s="4" t="str">
        <f>IFERROR(__xludf.DUMMYFUNCTION("""COMPUTED_VALUE"""),"#VALUE!")</f>
        <v>#VALUE!</v>
      </c>
      <c r="H592" s="4" t="str">
        <f>IFERROR(__xludf.DUMMYFUNCTION("""COMPUTED_VALUE"""),"")</f>
        <v/>
      </c>
    </row>
    <row r="593">
      <c r="E593" s="4" t="str">
        <f>IFERROR(__xludf.DUMMYFUNCTION("""COMPUTED_VALUE"""),"#VALUE!")</f>
        <v>#VALUE!</v>
      </c>
      <c r="F593" s="4" t="str">
        <f>IFERROR(__xludf.DUMMYFUNCTION("""COMPUTED_VALUE"""),"")</f>
        <v/>
      </c>
      <c r="G593" s="4" t="str">
        <f>IFERROR(__xludf.DUMMYFUNCTION("""COMPUTED_VALUE"""),"#VALUE!")</f>
        <v>#VALUE!</v>
      </c>
      <c r="H593" s="4" t="str">
        <f>IFERROR(__xludf.DUMMYFUNCTION("""COMPUTED_VALUE"""),"")</f>
        <v/>
      </c>
    </row>
    <row r="594">
      <c r="E594" s="4" t="str">
        <f>IFERROR(__xludf.DUMMYFUNCTION("""COMPUTED_VALUE"""),"#VALUE!")</f>
        <v>#VALUE!</v>
      </c>
      <c r="F594" s="4" t="str">
        <f>IFERROR(__xludf.DUMMYFUNCTION("""COMPUTED_VALUE"""),"")</f>
        <v/>
      </c>
      <c r="G594" s="4" t="str">
        <f>IFERROR(__xludf.DUMMYFUNCTION("""COMPUTED_VALUE"""),"#VALUE!")</f>
        <v>#VALUE!</v>
      </c>
      <c r="H594" s="4" t="str">
        <f>IFERROR(__xludf.DUMMYFUNCTION("""COMPUTED_VALUE"""),"")</f>
        <v/>
      </c>
    </row>
    <row r="595">
      <c r="E595" s="4" t="str">
        <f>IFERROR(__xludf.DUMMYFUNCTION("""COMPUTED_VALUE"""),"#VALUE!")</f>
        <v>#VALUE!</v>
      </c>
      <c r="F595" s="4" t="str">
        <f>IFERROR(__xludf.DUMMYFUNCTION("""COMPUTED_VALUE"""),"")</f>
        <v/>
      </c>
      <c r="G595" s="4" t="str">
        <f>IFERROR(__xludf.DUMMYFUNCTION("""COMPUTED_VALUE"""),"#VALUE!")</f>
        <v>#VALUE!</v>
      </c>
      <c r="H595" s="4" t="str">
        <f>IFERROR(__xludf.DUMMYFUNCTION("""COMPUTED_VALUE"""),"")</f>
        <v/>
      </c>
    </row>
    <row r="596">
      <c r="E596" s="4" t="str">
        <f>IFERROR(__xludf.DUMMYFUNCTION("""COMPUTED_VALUE"""),"#VALUE!")</f>
        <v>#VALUE!</v>
      </c>
      <c r="F596" s="4" t="str">
        <f>IFERROR(__xludf.DUMMYFUNCTION("""COMPUTED_VALUE"""),"")</f>
        <v/>
      </c>
      <c r="G596" s="4" t="str">
        <f>IFERROR(__xludf.DUMMYFUNCTION("""COMPUTED_VALUE"""),"#VALUE!")</f>
        <v>#VALUE!</v>
      </c>
      <c r="H596" s="4" t="str">
        <f>IFERROR(__xludf.DUMMYFUNCTION("""COMPUTED_VALUE"""),"")</f>
        <v/>
      </c>
    </row>
    <row r="597">
      <c r="E597" s="4" t="str">
        <f>IFERROR(__xludf.DUMMYFUNCTION("""COMPUTED_VALUE"""),"#VALUE!")</f>
        <v>#VALUE!</v>
      </c>
      <c r="F597" s="4" t="str">
        <f>IFERROR(__xludf.DUMMYFUNCTION("""COMPUTED_VALUE"""),"")</f>
        <v/>
      </c>
      <c r="G597" s="4" t="str">
        <f>IFERROR(__xludf.DUMMYFUNCTION("""COMPUTED_VALUE"""),"#VALUE!")</f>
        <v>#VALUE!</v>
      </c>
      <c r="H597" s="4" t="str">
        <f>IFERROR(__xludf.DUMMYFUNCTION("""COMPUTED_VALUE"""),"")</f>
        <v/>
      </c>
    </row>
    <row r="598">
      <c r="E598" s="4" t="str">
        <f>IFERROR(__xludf.DUMMYFUNCTION("""COMPUTED_VALUE"""),"#VALUE!")</f>
        <v>#VALUE!</v>
      </c>
      <c r="F598" s="4" t="str">
        <f>IFERROR(__xludf.DUMMYFUNCTION("""COMPUTED_VALUE"""),"")</f>
        <v/>
      </c>
      <c r="G598" s="4" t="str">
        <f>IFERROR(__xludf.DUMMYFUNCTION("""COMPUTED_VALUE"""),"#VALUE!")</f>
        <v>#VALUE!</v>
      </c>
      <c r="H598" s="4" t="str">
        <f>IFERROR(__xludf.DUMMYFUNCTION("""COMPUTED_VALUE"""),"")</f>
        <v/>
      </c>
    </row>
    <row r="599">
      <c r="E599" s="4" t="str">
        <f>IFERROR(__xludf.DUMMYFUNCTION("""COMPUTED_VALUE"""),"#VALUE!")</f>
        <v>#VALUE!</v>
      </c>
      <c r="F599" s="4" t="str">
        <f>IFERROR(__xludf.DUMMYFUNCTION("""COMPUTED_VALUE"""),"")</f>
        <v/>
      </c>
      <c r="G599" s="4" t="str">
        <f>IFERROR(__xludf.DUMMYFUNCTION("""COMPUTED_VALUE"""),"#VALUE!")</f>
        <v>#VALUE!</v>
      </c>
      <c r="H599" s="4" t="str">
        <f>IFERROR(__xludf.DUMMYFUNCTION("""COMPUTED_VALUE"""),"")</f>
        <v/>
      </c>
    </row>
    <row r="600">
      <c r="E600" s="4" t="str">
        <f>IFERROR(__xludf.DUMMYFUNCTION("""COMPUTED_VALUE"""),"#VALUE!")</f>
        <v>#VALUE!</v>
      </c>
      <c r="F600" s="4" t="str">
        <f>IFERROR(__xludf.DUMMYFUNCTION("""COMPUTED_VALUE"""),"")</f>
        <v/>
      </c>
      <c r="G600" s="4" t="str">
        <f>IFERROR(__xludf.DUMMYFUNCTION("""COMPUTED_VALUE"""),"#VALUE!")</f>
        <v>#VALUE!</v>
      </c>
      <c r="H600" s="4" t="str">
        <f>IFERROR(__xludf.DUMMYFUNCTION("""COMPUTED_VALUE"""),"")</f>
        <v/>
      </c>
    </row>
    <row r="601">
      <c r="E601" s="4" t="str">
        <f>IFERROR(__xludf.DUMMYFUNCTION("""COMPUTED_VALUE"""),"#VALUE!")</f>
        <v>#VALUE!</v>
      </c>
      <c r="F601" s="4" t="str">
        <f>IFERROR(__xludf.DUMMYFUNCTION("""COMPUTED_VALUE"""),"")</f>
        <v/>
      </c>
      <c r="G601" s="4" t="str">
        <f>IFERROR(__xludf.DUMMYFUNCTION("""COMPUTED_VALUE"""),"#VALUE!")</f>
        <v>#VALUE!</v>
      </c>
      <c r="H601" s="4" t="str">
        <f>IFERROR(__xludf.DUMMYFUNCTION("""COMPUTED_VALUE"""),"")</f>
        <v/>
      </c>
    </row>
    <row r="602">
      <c r="E602" s="4" t="str">
        <f>IFERROR(__xludf.DUMMYFUNCTION("""COMPUTED_VALUE"""),"#VALUE!")</f>
        <v>#VALUE!</v>
      </c>
      <c r="F602" s="4" t="str">
        <f>IFERROR(__xludf.DUMMYFUNCTION("""COMPUTED_VALUE"""),"")</f>
        <v/>
      </c>
      <c r="G602" s="4" t="str">
        <f>IFERROR(__xludf.DUMMYFUNCTION("""COMPUTED_VALUE"""),"#VALUE!")</f>
        <v>#VALUE!</v>
      </c>
      <c r="H602" s="4" t="str">
        <f>IFERROR(__xludf.DUMMYFUNCTION("""COMPUTED_VALUE"""),"")</f>
        <v/>
      </c>
    </row>
    <row r="603">
      <c r="E603" s="4" t="str">
        <f>IFERROR(__xludf.DUMMYFUNCTION("""COMPUTED_VALUE"""),"#VALUE!")</f>
        <v>#VALUE!</v>
      </c>
      <c r="F603" s="4" t="str">
        <f>IFERROR(__xludf.DUMMYFUNCTION("""COMPUTED_VALUE"""),"")</f>
        <v/>
      </c>
      <c r="G603" s="4" t="str">
        <f>IFERROR(__xludf.DUMMYFUNCTION("""COMPUTED_VALUE"""),"#VALUE!")</f>
        <v>#VALUE!</v>
      </c>
      <c r="H603" s="4" t="str">
        <f>IFERROR(__xludf.DUMMYFUNCTION("""COMPUTED_VALUE"""),"")</f>
        <v/>
      </c>
    </row>
    <row r="604">
      <c r="E604" s="4" t="str">
        <f>IFERROR(__xludf.DUMMYFUNCTION("""COMPUTED_VALUE"""),"#VALUE!")</f>
        <v>#VALUE!</v>
      </c>
      <c r="F604" s="4" t="str">
        <f>IFERROR(__xludf.DUMMYFUNCTION("""COMPUTED_VALUE"""),"")</f>
        <v/>
      </c>
      <c r="G604" s="4" t="str">
        <f>IFERROR(__xludf.DUMMYFUNCTION("""COMPUTED_VALUE"""),"#VALUE!")</f>
        <v>#VALUE!</v>
      </c>
      <c r="H604" s="4" t="str">
        <f>IFERROR(__xludf.DUMMYFUNCTION("""COMPUTED_VALUE"""),"")</f>
        <v/>
      </c>
    </row>
    <row r="605">
      <c r="E605" s="4" t="str">
        <f>IFERROR(__xludf.DUMMYFUNCTION("""COMPUTED_VALUE"""),"#VALUE!")</f>
        <v>#VALUE!</v>
      </c>
      <c r="F605" s="4" t="str">
        <f>IFERROR(__xludf.DUMMYFUNCTION("""COMPUTED_VALUE"""),"")</f>
        <v/>
      </c>
      <c r="G605" s="4" t="str">
        <f>IFERROR(__xludf.DUMMYFUNCTION("""COMPUTED_VALUE"""),"#VALUE!")</f>
        <v>#VALUE!</v>
      </c>
      <c r="H605" s="4" t="str">
        <f>IFERROR(__xludf.DUMMYFUNCTION("""COMPUTED_VALUE"""),"")</f>
        <v/>
      </c>
    </row>
    <row r="606">
      <c r="E606" s="4" t="str">
        <f>IFERROR(__xludf.DUMMYFUNCTION("""COMPUTED_VALUE"""),"#VALUE!")</f>
        <v>#VALUE!</v>
      </c>
      <c r="F606" s="4" t="str">
        <f>IFERROR(__xludf.DUMMYFUNCTION("""COMPUTED_VALUE"""),"")</f>
        <v/>
      </c>
      <c r="G606" s="4" t="str">
        <f>IFERROR(__xludf.DUMMYFUNCTION("""COMPUTED_VALUE"""),"#VALUE!")</f>
        <v>#VALUE!</v>
      </c>
      <c r="H606" s="4" t="str">
        <f>IFERROR(__xludf.DUMMYFUNCTION("""COMPUTED_VALUE"""),"")</f>
        <v/>
      </c>
    </row>
    <row r="607">
      <c r="E607" s="4" t="str">
        <f>IFERROR(__xludf.DUMMYFUNCTION("""COMPUTED_VALUE"""),"#VALUE!")</f>
        <v>#VALUE!</v>
      </c>
      <c r="F607" s="4" t="str">
        <f>IFERROR(__xludf.DUMMYFUNCTION("""COMPUTED_VALUE"""),"")</f>
        <v/>
      </c>
      <c r="G607" s="4" t="str">
        <f>IFERROR(__xludf.DUMMYFUNCTION("""COMPUTED_VALUE"""),"#VALUE!")</f>
        <v>#VALUE!</v>
      </c>
      <c r="H607" s="4" t="str">
        <f>IFERROR(__xludf.DUMMYFUNCTION("""COMPUTED_VALUE"""),"")</f>
        <v/>
      </c>
    </row>
    <row r="608">
      <c r="E608" s="4" t="str">
        <f>IFERROR(__xludf.DUMMYFUNCTION("""COMPUTED_VALUE"""),"#VALUE!")</f>
        <v>#VALUE!</v>
      </c>
      <c r="F608" s="4" t="str">
        <f>IFERROR(__xludf.DUMMYFUNCTION("""COMPUTED_VALUE"""),"")</f>
        <v/>
      </c>
      <c r="G608" s="4" t="str">
        <f>IFERROR(__xludf.DUMMYFUNCTION("""COMPUTED_VALUE"""),"#VALUE!")</f>
        <v>#VALUE!</v>
      </c>
      <c r="H608" s="4" t="str">
        <f>IFERROR(__xludf.DUMMYFUNCTION("""COMPUTED_VALUE"""),"")</f>
        <v/>
      </c>
    </row>
    <row r="609">
      <c r="E609" s="4" t="str">
        <f>IFERROR(__xludf.DUMMYFUNCTION("""COMPUTED_VALUE"""),"#VALUE!")</f>
        <v>#VALUE!</v>
      </c>
      <c r="F609" s="4" t="str">
        <f>IFERROR(__xludf.DUMMYFUNCTION("""COMPUTED_VALUE"""),"")</f>
        <v/>
      </c>
      <c r="G609" s="4" t="str">
        <f>IFERROR(__xludf.DUMMYFUNCTION("""COMPUTED_VALUE"""),"#VALUE!")</f>
        <v>#VALUE!</v>
      </c>
      <c r="H609" s="4" t="str">
        <f>IFERROR(__xludf.DUMMYFUNCTION("""COMPUTED_VALUE"""),"")</f>
        <v/>
      </c>
    </row>
    <row r="610">
      <c r="E610" s="4" t="str">
        <f>IFERROR(__xludf.DUMMYFUNCTION("""COMPUTED_VALUE"""),"#VALUE!")</f>
        <v>#VALUE!</v>
      </c>
      <c r="F610" s="4" t="str">
        <f>IFERROR(__xludf.DUMMYFUNCTION("""COMPUTED_VALUE"""),"")</f>
        <v/>
      </c>
      <c r="G610" s="4" t="str">
        <f>IFERROR(__xludf.DUMMYFUNCTION("""COMPUTED_VALUE"""),"#VALUE!")</f>
        <v>#VALUE!</v>
      </c>
      <c r="H610" s="4" t="str">
        <f>IFERROR(__xludf.DUMMYFUNCTION("""COMPUTED_VALUE"""),"")</f>
        <v/>
      </c>
    </row>
    <row r="611">
      <c r="E611" s="4" t="str">
        <f>IFERROR(__xludf.DUMMYFUNCTION("""COMPUTED_VALUE"""),"#VALUE!")</f>
        <v>#VALUE!</v>
      </c>
      <c r="F611" s="4" t="str">
        <f>IFERROR(__xludf.DUMMYFUNCTION("""COMPUTED_VALUE"""),"")</f>
        <v/>
      </c>
      <c r="G611" s="4" t="str">
        <f>IFERROR(__xludf.DUMMYFUNCTION("""COMPUTED_VALUE"""),"#VALUE!")</f>
        <v>#VALUE!</v>
      </c>
      <c r="H611" s="4" t="str">
        <f>IFERROR(__xludf.DUMMYFUNCTION("""COMPUTED_VALUE"""),"")</f>
        <v/>
      </c>
    </row>
    <row r="612">
      <c r="E612" s="4" t="str">
        <f>IFERROR(__xludf.DUMMYFUNCTION("""COMPUTED_VALUE"""),"#VALUE!")</f>
        <v>#VALUE!</v>
      </c>
      <c r="F612" s="4" t="str">
        <f>IFERROR(__xludf.DUMMYFUNCTION("""COMPUTED_VALUE"""),"")</f>
        <v/>
      </c>
      <c r="G612" s="4" t="str">
        <f>IFERROR(__xludf.DUMMYFUNCTION("""COMPUTED_VALUE"""),"#VALUE!")</f>
        <v>#VALUE!</v>
      </c>
      <c r="H612" s="4" t="str">
        <f>IFERROR(__xludf.DUMMYFUNCTION("""COMPUTED_VALUE"""),"")</f>
        <v/>
      </c>
    </row>
    <row r="613">
      <c r="E613" s="4" t="str">
        <f>IFERROR(__xludf.DUMMYFUNCTION("""COMPUTED_VALUE"""),"#VALUE!")</f>
        <v>#VALUE!</v>
      </c>
      <c r="F613" s="4" t="str">
        <f>IFERROR(__xludf.DUMMYFUNCTION("""COMPUTED_VALUE"""),"")</f>
        <v/>
      </c>
      <c r="G613" s="4" t="str">
        <f>IFERROR(__xludf.DUMMYFUNCTION("""COMPUTED_VALUE"""),"#VALUE!")</f>
        <v>#VALUE!</v>
      </c>
      <c r="H613" s="4" t="str">
        <f>IFERROR(__xludf.DUMMYFUNCTION("""COMPUTED_VALUE"""),"")</f>
        <v/>
      </c>
    </row>
    <row r="614">
      <c r="E614" s="4" t="str">
        <f>IFERROR(__xludf.DUMMYFUNCTION("""COMPUTED_VALUE"""),"#VALUE!")</f>
        <v>#VALUE!</v>
      </c>
      <c r="F614" s="4" t="str">
        <f>IFERROR(__xludf.DUMMYFUNCTION("""COMPUTED_VALUE"""),"")</f>
        <v/>
      </c>
      <c r="G614" s="4" t="str">
        <f>IFERROR(__xludf.DUMMYFUNCTION("""COMPUTED_VALUE"""),"#VALUE!")</f>
        <v>#VALUE!</v>
      </c>
      <c r="H614" s="4" t="str">
        <f>IFERROR(__xludf.DUMMYFUNCTION("""COMPUTED_VALUE"""),"")</f>
        <v/>
      </c>
    </row>
    <row r="615">
      <c r="E615" s="4" t="str">
        <f>IFERROR(__xludf.DUMMYFUNCTION("""COMPUTED_VALUE"""),"#VALUE!")</f>
        <v>#VALUE!</v>
      </c>
      <c r="F615" s="4" t="str">
        <f>IFERROR(__xludf.DUMMYFUNCTION("""COMPUTED_VALUE"""),"")</f>
        <v/>
      </c>
      <c r="G615" s="4" t="str">
        <f>IFERROR(__xludf.DUMMYFUNCTION("""COMPUTED_VALUE"""),"#VALUE!")</f>
        <v>#VALUE!</v>
      </c>
      <c r="H615" s="4" t="str">
        <f>IFERROR(__xludf.DUMMYFUNCTION("""COMPUTED_VALUE"""),"")</f>
        <v/>
      </c>
    </row>
    <row r="616">
      <c r="E616" s="4" t="str">
        <f>IFERROR(__xludf.DUMMYFUNCTION("""COMPUTED_VALUE"""),"#VALUE!")</f>
        <v>#VALUE!</v>
      </c>
      <c r="F616" s="4" t="str">
        <f>IFERROR(__xludf.DUMMYFUNCTION("""COMPUTED_VALUE"""),"")</f>
        <v/>
      </c>
      <c r="G616" s="4" t="str">
        <f>IFERROR(__xludf.DUMMYFUNCTION("""COMPUTED_VALUE"""),"#VALUE!")</f>
        <v>#VALUE!</v>
      </c>
      <c r="H616" s="4" t="str">
        <f>IFERROR(__xludf.DUMMYFUNCTION("""COMPUTED_VALUE"""),"")</f>
        <v/>
      </c>
    </row>
    <row r="617">
      <c r="E617" s="4" t="str">
        <f>IFERROR(__xludf.DUMMYFUNCTION("""COMPUTED_VALUE"""),"#VALUE!")</f>
        <v>#VALUE!</v>
      </c>
      <c r="F617" s="4" t="str">
        <f>IFERROR(__xludf.DUMMYFUNCTION("""COMPUTED_VALUE"""),"")</f>
        <v/>
      </c>
      <c r="G617" s="4" t="str">
        <f>IFERROR(__xludf.DUMMYFUNCTION("""COMPUTED_VALUE"""),"#VALUE!")</f>
        <v>#VALUE!</v>
      </c>
      <c r="H617" s="4" t="str">
        <f>IFERROR(__xludf.DUMMYFUNCTION("""COMPUTED_VALUE"""),"")</f>
        <v/>
      </c>
    </row>
    <row r="618">
      <c r="E618" s="4" t="str">
        <f>IFERROR(__xludf.DUMMYFUNCTION("""COMPUTED_VALUE"""),"#VALUE!")</f>
        <v>#VALUE!</v>
      </c>
      <c r="F618" s="4" t="str">
        <f>IFERROR(__xludf.DUMMYFUNCTION("""COMPUTED_VALUE"""),"")</f>
        <v/>
      </c>
      <c r="G618" s="4" t="str">
        <f>IFERROR(__xludf.DUMMYFUNCTION("""COMPUTED_VALUE"""),"#VALUE!")</f>
        <v>#VALUE!</v>
      </c>
      <c r="H618" s="4" t="str">
        <f>IFERROR(__xludf.DUMMYFUNCTION("""COMPUTED_VALUE"""),"")</f>
        <v/>
      </c>
    </row>
    <row r="619">
      <c r="E619" s="4" t="str">
        <f>IFERROR(__xludf.DUMMYFUNCTION("""COMPUTED_VALUE"""),"#VALUE!")</f>
        <v>#VALUE!</v>
      </c>
      <c r="F619" s="4" t="str">
        <f>IFERROR(__xludf.DUMMYFUNCTION("""COMPUTED_VALUE"""),"")</f>
        <v/>
      </c>
      <c r="G619" s="4" t="str">
        <f>IFERROR(__xludf.DUMMYFUNCTION("""COMPUTED_VALUE"""),"#VALUE!")</f>
        <v>#VALUE!</v>
      </c>
      <c r="H619" s="4" t="str">
        <f>IFERROR(__xludf.DUMMYFUNCTION("""COMPUTED_VALUE"""),"")</f>
        <v/>
      </c>
    </row>
    <row r="620">
      <c r="E620" s="4" t="str">
        <f>IFERROR(__xludf.DUMMYFUNCTION("""COMPUTED_VALUE"""),"#VALUE!")</f>
        <v>#VALUE!</v>
      </c>
      <c r="F620" s="4" t="str">
        <f>IFERROR(__xludf.DUMMYFUNCTION("""COMPUTED_VALUE"""),"")</f>
        <v/>
      </c>
      <c r="G620" s="4" t="str">
        <f>IFERROR(__xludf.DUMMYFUNCTION("""COMPUTED_VALUE"""),"#VALUE!")</f>
        <v>#VALUE!</v>
      </c>
      <c r="H620" s="4" t="str">
        <f>IFERROR(__xludf.DUMMYFUNCTION("""COMPUTED_VALUE"""),"")</f>
        <v/>
      </c>
    </row>
    <row r="621">
      <c r="E621" s="4" t="str">
        <f>IFERROR(__xludf.DUMMYFUNCTION("""COMPUTED_VALUE"""),"#VALUE!")</f>
        <v>#VALUE!</v>
      </c>
      <c r="F621" s="4" t="str">
        <f>IFERROR(__xludf.DUMMYFUNCTION("""COMPUTED_VALUE"""),"")</f>
        <v/>
      </c>
      <c r="G621" s="4" t="str">
        <f>IFERROR(__xludf.DUMMYFUNCTION("""COMPUTED_VALUE"""),"#VALUE!")</f>
        <v>#VALUE!</v>
      </c>
      <c r="H621" s="4" t="str">
        <f>IFERROR(__xludf.DUMMYFUNCTION("""COMPUTED_VALUE"""),"")</f>
        <v/>
      </c>
    </row>
    <row r="622">
      <c r="E622" s="4" t="str">
        <f>IFERROR(__xludf.DUMMYFUNCTION("""COMPUTED_VALUE"""),"#VALUE!")</f>
        <v>#VALUE!</v>
      </c>
      <c r="F622" s="4" t="str">
        <f>IFERROR(__xludf.DUMMYFUNCTION("""COMPUTED_VALUE"""),"")</f>
        <v/>
      </c>
      <c r="G622" s="4" t="str">
        <f>IFERROR(__xludf.DUMMYFUNCTION("""COMPUTED_VALUE"""),"#VALUE!")</f>
        <v>#VALUE!</v>
      </c>
      <c r="H622" s="4" t="str">
        <f>IFERROR(__xludf.DUMMYFUNCTION("""COMPUTED_VALUE"""),"")</f>
        <v/>
      </c>
    </row>
    <row r="623">
      <c r="E623" s="4" t="str">
        <f>IFERROR(__xludf.DUMMYFUNCTION("""COMPUTED_VALUE"""),"#VALUE!")</f>
        <v>#VALUE!</v>
      </c>
      <c r="F623" s="4" t="str">
        <f>IFERROR(__xludf.DUMMYFUNCTION("""COMPUTED_VALUE"""),"")</f>
        <v/>
      </c>
      <c r="G623" s="4" t="str">
        <f>IFERROR(__xludf.DUMMYFUNCTION("""COMPUTED_VALUE"""),"#VALUE!")</f>
        <v>#VALUE!</v>
      </c>
      <c r="H623" s="4" t="str">
        <f>IFERROR(__xludf.DUMMYFUNCTION("""COMPUTED_VALUE"""),"")</f>
        <v/>
      </c>
    </row>
    <row r="624">
      <c r="E624" s="4" t="str">
        <f>IFERROR(__xludf.DUMMYFUNCTION("""COMPUTED_VALUE"""),"#VALUE!")</f>
        <v>#VALUE!</v>
      </c>
      <c r="F624" s="4" t="str">
        <f>IFERROR(__xludf.DUMMYFUNCTION("""COMPUTED_VALUE"""),"")</f>
        <v/>
      </c>
      <c r="G624" s="4" t="str">
        <f>IFERROR(__xludf.DUMMYFUNCTION("""COMPUTED_VALUE"""),"#VALUE!")</f>
        <v>#VALUE!</v>
      </c>
      <c r="H624" s="4" t="str">
        <f>IFERROR(__xludf.DUMMYFUNCTION("""COMPUTED_VALUE"""),"")</f>
        <v/>
      </c>
    </row>
    <row r="625">
      <c r="E625" s="4" t="str">
        <f>IFERROR(__xludf.DUMMYFUNCTION("""COMPUTED_VALUE"""),"#VALUE!")</f>
        <v>#VALUE!</v>
      </c>
      <c r="F625" s="4" t="str">
        <f>IFERROR(__xludf.DUMMYFUNCTION("""COMPUTED_VALUE"""),"")</f>
        <v/>
      </c>
      <c r="G625" s="4" t="str">
        <f>IFERROR(__xludf.DUMMYFUNCTION("""COMPUTED_VALUE"""),"#VALUE!")</f>
        <v>#VALUE!</v>
      </c>
      <c r="H625" s="4" t="str">
        <f>IFERROR(__xludf.DUMMYFUNCTION("""COMPUTED_VALUE"""),"")</f>
        <v/>
      </c>
    </row>
    <row r="626">
      <c r="E626" s="4" t="str">
        <f>IFERROR(__xludf.DUMMYFUNCTION("""COMPUTED_VALUE"""),"#VALUE!")</f>
        <v>#VALUE!</v>
      </c>
      <c r="F626" s="4" t="str">
        <f>IFERROR(__xludf.DUMMYFUNCTION("""COMPUTED_VALUE"""),"")</f>
        <v/>
      </c>
      <c r="G626" s="4" t="str">
        <f>IFERROR(__xludf.DUMMYFUNCTION("""COMPUTED_VALUE"""),"#VALUE!")</f>
        <v>#VALUE!</v>
      </c>
      <c r="H626" s="4" t="str">
        <f>IFERROR(__xludf.DUMMYFUNCTION("""COMPUTED_VALUE"""),"")</f>
        <v/>
      </c>
    </row>
    <row r="627">
      <c r="E627" s="4" t="str">
        <f>IFERROR(__xludf.DUMMYFUNCTION("""COMPUTED_VALUE"""),"#VALUE!")</f>
        <v>#VALUE!</v>
      </c>
      <c r="F627" s="4" t="str">
        <f>IFERROR(__xludf.DUMMYFUNCTION("""COMPUTED_VALUE"""),"")</f>
        <v/>
      </c>
      <c r="G627" s="4" t="str">
        <f>IFERROR(__xludf.DUMMYFUNCTION("""COMPUTED_VALUE"""),"#VALUE!")</f>
        <v>#VALUE!</v>
      </c>
      <c r="H627" s="4" t="str">
        <f>IFERROR(__xludf.DUMMYFUNCTION("""COMPUTED_VALUE"""),"")</f>
        <v/>
      </c>
    </row>
    <row r="628">
      <c r="E628" s="4" t="str">
        <f>IFERROR(__xludf.DUMMYFUNCTION("""COMPUTED_VALUE"""),"#VALUE!")</f>
        <v>#VALUE!</v>
      </c>
      <c r="F628" s="4" t="str">
        <f>IFERROR(__xludf.DUMMYFUNCTION("""COMPUTED_VALUE"""),"")</f>
        <v/>
      </c>
      <c r="G628" s="4" t="str">
        <f>IFERROR(__xludf.DUMMYFUNCTION("""COMPUTED_VALUE"""),"#VALUE!")</f>
        <v>#VALUE!</v>
      </c>
      <c r="H628" s="4" t="str">
        <f>IFERROR(__xludf.DUMMYFUNCTION("""COMPUTED_VALUE"""),"")</f>
        <v/>
      </c>
    </row>
    <row r="629">
      <c r="E629" s="4" t="str">
        <f>IFERROR(__xludf.DUMMYFUNCTION("""COMPUTED_VALUE"""),"#VALUE!")</f>
        <v>#VALUE!</v>
      </c>
      <c r="F629" s="4" t="str">
        <f>IFERROR(__xludf.DUMMYFUNCTION("""COMPUTED_VALUE"""),"")</f>
        <v/>
      </c>
      <c r="G629" s="4" t="str">
        <f>IFERROR(__xludf.DUMMYFUNCTION("""COMPUTED_VALUE"""),"#VALUE!")</f>
        <v>#VALUE!</v>
      </c>
      <c r="H629" s="4" t="str">
        <f>IFERROR(__xludf.DUMMYFUNCTION("""COMPUTED_VALUE"""),"")</f>
        <v/>
      </c>
    </row>
    <row r="630">
      <c r="E630" s="4" t="str">
        <f>IFERROR(__xludf.DUMMYFUNCTION("""COMPUTED_VALUE"""),"#VALUE!")</f>
        <v>#VALUE!</v>
      </c>
      <c r="F630" s="4" t="str">
        <f>IFERROR(__xludf.DUMMYFUNCTION("""COMPUTED_VALUE"""),"")</f>
        <v/>
      </c>
      <c r="G630" s="4" t="str">
        <f>IFERROR(__xludf.DUMMYFUNCTION("""COMPUTED_VALUE"""),"#VALUE!")</f>
        <v>#VALUE!</v>
      </c>
      <c r="H630" s="4" t="str">
        <f>IFERROR(__xludf.DUMMYFUNCTION("""COMPUTED_VALUE"""),"")</f>
        <v/>
      </c>
    </row>
    <row r="631">
      <c r="E631" s="4" t="str">
        <f>IFERROR(__xludf.DUMMYFUNCTION("""COMPUTED_VALUE"""),"#VALUE!")</f>
        <v>#VALUE!</v>
      </c>
      <c r="F631" s="4" t="str">
        <f>IFERROR(__xludf.DUMMYFUNCTION("""COMPUTED_VALUE"""),"")</f>
        <v/>
      </c>
      <c r="G631" s="4" t="str">
        <f>IFERROR(__xludf.DUMMYFUNCTION("""COMPUTED_VALUE"""),"#VALUE!")</f>
        <v>#VALUE!</v>
      </c>
      <c r="H631" s="4" t="str">
        <f>IFERROR(__xludf.DUMMYFUNCTION("""COMPUTED_VALUE"""),"")</f>
        <v/>
      </c>
    </row>
    <row r="632">
      <c r="E632" s="4" t="str">
        <f>IFERROR(__xludf.DUMMYFUNCTION("""COMPUTED_VALUE"""),"#VALUE!")</f>
        <v>#VALUE!</v>
      </c>
      <c r="F632" s="4" t="str">
        <f>IFERROR(__xludf.DUMMYFUNCTION("""COMPUTED_VALUE"""),"")</f>
        <v/>
      </c>
      <c r="G632" s="4" t="str">
        <f>IFERROR(__xludf.DUMMYFUNCTION("""COMPUTED_VALUE"""),"#VALUE!")</f>
        <v>#VALUE!</v>
      </c>
      <c r="H632" s="4" t="str">
        <f>IFERROR(__xludf.DUMMYFUNCTION("""COMPUTED_VALUE"""),"")</f>
        <v/>
      </c>
    </row>
    <row r="633">
      <c r="E633" s="4" t="str">
        <f>IFERROR(__xludf.DUMMYFUNCTION("""COMPUTED_VALUE"""),"#VALUE!")</f>
        <v>#VALUE!</v>
      </c>
      <c r="F633" s="4" t="str">
        <f>IFERROR(__xludf.DUMMYFUNCTION("""COMPUTED_VALUE"""),"")</f>
        <v/>
      </c>
      <c r="G633" s="4" t="str">
        <f>IFERROR(__xludf.DUMMYFUNCTION("""COMPUTED_VALUE"""),"#VALUE!")</f>
        <v>#VALUE!</v>
      </c>
      <c r="H633" s="4" t="str">
        <f>IFERROR(__xludf.DUMMYFUNCTION("""COMPUTED_VALUE"""),"")</f>
        <v/>
      </c>
    </row>
    <row r="634">
      <c r="E634" s="4" t="str">
        <f>IFERROR(__xludf.DUMMYFUNCTION("""COMPUTED_VALUE"""),"#VALUE!")</f>
        <v>#VALUE!</v>
      </c>
      <c r="F634" s="4" t="str">
        <f>IFERROR(__xludf.DUMMYFUNCTION("""COMPUTED_VALUE"""),"")</f>
        <v/>
      </c>
      <c r="G634" s="4" t="str">
        <f>IFERROR(__xludf.DUMMYFUNCTION("""COMPUTED_VALUE"""),"#VALUE!")</f>
        <v>#VALUE!</v>
      </c>
      <c r="H634" s="4" t="str">
        <f>IFERROR(__xludf.DUMMYFUNCTION("""COMPUTED_VALUE"""),"")</f>
        <v/>
      </c>
    </row>
    <row r="635">
      <c r="E635" s="4" t="str">
        <f>IFERROR(__xludf.DUMMYFUNCTION("""COMPUTED_VALUE"""),"#VALUE!")</f>
        <v>#VALUE!</v>
      </c>
      <c r="F635" s="4" t="str">
        <f>IFERROR(__xludf.DUMMYFUNCTION("""COMPUTED_VALUE"""),"")</f>
        <v/>
      </c>
      <c r="G635" s="4" t="str">
        <f>IFERROR(__xludf.DUMMYFUNCTION("""COMPUTED_VALUE"""),"#VALUE!")</f>
        <v>#VALUE!</v>
      </c>
      <c r="H635" s="4" t="str">
        <f>IFERROR(__xludf.DUMMYFUNCTION("""COMPUTED_VALUE"""),"")</f>
        <v/>
      </c>
    </row>
    <row r="636">
      <c r="E636" s="4" t="str">
        <f>IFERROR(__xludf.DUMMYFUNCTION("""COMPUTED_VALUE"""),"#VALUE!")</f>
        <v>#VALUE!</v>
      </c>
      <c r="F636" s="4" t="str">
        <f>IFERROR(__xludf.DUMMYFUNCTION("""COMPUTED_VALUE"""),"")</f>
        <v/>
      </c>
      <c r="G636" s="4" t="str">
        <f>IFERROR(__xludf.DUMMYFUNCTION("""COMPUTED_VALUE"""),"#VALUE!")</f>
        <v>#VALUE!</v>
      </c>
      <c r="H636" s="4" t="str">
        <f>IFERROR(__xludf.DUMMYFUNCTION("""COMPUTED_VALUE"""),"")</f>
        <v/>
      </c>
    </row>
    <row r="637">
      <c r="E637" s="4" t="str">
        <f>IFERROR(__xludf.DUMMYFUNCTION("""COMPUTED_VALUE"""),"#VALUE!")</f>
        <v>#VALUE!</v>
      </c>
      <c r="F637" s="4" t="str">
        <f>IFERROR(__xludf.DUMMYFUNCTION("""COMPUTED_VALUE"""),"")</f>
        <v/>
      </c>
      <c r="G637" s="4" t="str">
        <f>IFERROR(__xludf.DUMMYFUNCTION("""COMPUTED_VALUE"""),"#VALUE!")</f>
        <v>#VALUE!</v>
      </c>
      <c r="H637" s="4" t="str">
        <f>IFERROR(__xludf.DUMMYFUNCTION("""COMPUTED_VALUE"""),"")</f>
        <v/>
      </c>
    </row>
    <row r="638">
      <c r="E638" s="4" t="str">
        <f>IFERROR(__xludf.DUMMYFUNCTION("""COMPUTED_VALUE"""),"#VALUE!")</f>
        <v>#VALUE!</v>
      </c>
      <c r="F638" s="4" t="str">
        <f>IFERROR(__xludf.DUMMYFUNCTION("""COMPUTED_VALUE"""),"")</f>
        <v/>
      </c>
      <c r="G638" s="4" t="str">
        <f>IFERROR(__xludf.DUMMYFUNCTION("""COMPUTED_VALUE"""),"#VALUE!")</f>
        <v>#VALUE!</v>
      </c>
      <c r="H638" s="4" t="str">
        <f>IFERROR(__xludf.DUMMYFUNCTION("""COMPUTED_VALUE"""),"")</f>
        <v/>
      </c>
    </row>
    <row r="639">
      <c r="E639" s="4" t="str">
        <f>IFERROR(__xludf.DUMMYFUNCTION("""COMPUTED_VALUE"""),"#VALUE!")</f>
        <v>#VALUE!</v>
      </c>
      <c r="F639" s="4" t="str">
        <f>IFERROR(__xludf.DUMMYFUNCTION("""COMPUTED_VALUE"""),"")</f>
        <v/>
      </c>
      <c r="G639" s="4" t="str">
        <f>IFERROR(__xludf.DUMMYFUNCTION("""COMPUTED_VALUE"""),"#VALUE!")</f>
        <v>#VALUE!</v>
      </c>
      <c r="H639" s="4" t="str">
        <f>IFERROR(__xludf.DUMMYFUNCTION("""COMPUTED_VALUE"""),"")</f>
        <v/>
      </c>
    </row>
    <row r="640">
      <c r="E640" s="4" t="str">
        <f>IFERROR(__xludf.DUMMYFUNCTION("""COMPUTED_VALUE"""),"#VALUE!")</f>
        <v>#VALUE!</v>
      </c>
      <c r="F640" s="4" t="str">
        <f>IFERROR(__xludf.DUMMYFUNCTION("""COMPUTED_VALUE"""),"")</f>
        <v/>
      </c>
      <c r="G640" s="4" t="str">
        <f>IFERROR(__xludf.DUMMYFUNCTION("""COMPUTED_VALUE"""),"#VALUE!")</f>
        <v>#VALUE!</v>
      </c>
      <c r="H640" s="4" t="str">
        <f>IFERROR(__xludf.DUMMYFUNCTION("""COMPUTED_VALUE"""),"")</f>
        <v/>
      </c>
    </row>
    <row r="641">
      <c r="E641" s="4" t="str">
        <f>IFERROR(__xludf.DUMMYFUNCTION("""COMPUTED_VALUE"""),"#VALUE!")</f>
        <v>#VALUE!</v>
      </c>
      <c r="F641" s="4" t="str">
        <f>IFERROR(__xludf.DUMMYFUNCTION("""COMPUTED_VALUE"""),"")</f>
        <v/>
      </c>
      <c r="G641" s="4" t="str">
        <f>IFERROR(__xludf.DUMMYFUNCTION("""COMPUTED_VALUE"""),"#VALUE!")</f>
        <v>#VALUE!</v>
      </c>
      <c r="H641" s="4" t="str">
        <f>IFERROR(__xludf.DUMMYFUNCTION("""COMPUTED_VALUE"""),"")</f>
        <v/>
      </c>
    </row>
    <row r="642">
      <c r="E642" s="4" t="str">
        <f>IFERROR(__xludf.DUMMYFUNCTION("""COMPUTED_VALUE"""),"#VALUE!")</f>
        <v>#VALUE!</v>
      </c>
      <c r="F642" s="4" t="str">
        <f>IFERROR(__xludf.DUMMYFUNCTION("""COMPUTED_VALUE"""),"")</f>
        <v/>
      </c>
      <c r="G642" s="4" t="str">
        <f>IFERROR(__xludf.DUMMYFUNCTION("""COMPUTED_VALUE"""),"#VALUE!")</f>
        <v>#VALUE!</v>
      </c>
      <c r="H642" s="4" t="str">
        <f>IFERROR(__xludf.DUMMYFUNCTION("""COMPUTED_VALUE"""),"")</f>
        <v/>
      </c>
    </row>
    <row r="643">
      <c r="E643" s="4" t="str">
        <f>IFERROR(__xludf.DUMMYFUNCTION("""COMPUTED_VALUE"""),"#VALUE!")</f>
        <v>#VALUE!</v>
      </c>
      <c r="F643" s="4" t="str">
        <f>IFERROR(__xludf.DUMMYFUNCTION("""COMPUTED_VALUE"""),"")</f>
        <v/>
      </c>
      <c r="G643" s="4" t="str">
        <f>IFERROR(__xludf.DUMMYFUNCTION("""COMPUTED_VALUE"""),"#VALUE!")</f>
        <v>#VALUE!</v>
      </c>
      <c r="H643" s="4" t="str">
        <f>IFERROR(__xludf.DUMMYFUNCTION("""COMPUTED_VALUE"""),"")</f>
        <v/>
      </c>
    </row>
    <row r="644">
      <c r="E644" s="4" t="str">
        <f>IFERROR(__xludf.DUMMYFUNCTION("""COMPUTED_VALUE"""),"#VALUE!")</f>
        <v>#VALUE!</v>
      </c>
      <c r="F644" s="4" t="str">
        <f>IFERROR(__xludf.DUMMYFUNCTION("""COMPUTED_VALUE"""),"")</f>
        <v/>
      </c>
      <c r="G644" s="4" t="str">
        <f>IFERROR(__xludf.DUMMYFUNCTION("""COMPUTED_VALUE"""),"#VALUE!")</f>
        <v>#VALUE!</v>
      </c>
      <c r="H644" s="4" t="str">
        <f>IFERROR(__xludf.DUMMYFUNCTION("""COMPUTED_VALUE"""),"")</f>
        <v/>
      </c>
    </row>
    <row r="645">
      <c r="E645" s="4" t="str">
        <f>IFERROR(__xludf.DUMMYFUNCTION("""COMPUTED_VALUE"""),"#VALUE!")</f>
        <v>#VALUE!</v>
      </c>
      <c r="F645" s="4" t="str">
        <f>IFERROR(__xludf.DUMMYFUNCTION("""COMPUTED_VALUE"""),"")</f>
        <v/>
      </c>
      <c r="G645" s="4" t="str">
        <f>IFERROR(__xludf.DUMMYFUNCTION("""COMPUTED_VALUE"""),"#VALUE!")</f>
        <v>#VALUE!</v>
      </c>
      <c r="H645" s="4" t="str">
        <f>IFERROR(__xludf.DUMMYFUNCTION("""COMPUTED_VALUE"""),"")</f>
        <v/>
      </c>
    </row>
    <row r="646">
      <c r="E646" s="4" t="str">
        <f>IFERROR(__xludf.DUMMYFUNCTION("""COMPUTED_VALUE"""),"#VALUE!")</f>
        <v>#VALUE!</v>
      </c>
      <c r="F646" s="4" t="str">
        <f>IFERROR(__xludf.DUMMYFUNCTION("""COMPUTED_VALUE"""),"")</f>
        <v/>
      </c>
      <c r="G646" s="4" t="str">
        <f>IFERROR(__xludf.DUMMYFUNCTION("""COMPUTED_VALUE"""),"#VALUE!")</f>
        <v>#VALUE!</v>
      </c>
      <c r="H646" s="4" t="str">
        <f>IFERROR(__xludf.DUMMYFUNCTION("""COMPUTED_VALUE"""),"")</f>
        <v/>
      </c>
    </row>
    <row r="647">
      <c r="E647" s="4" t="str">
        <f>IFERROR(__xludf.DUMMYFUNCTION("""COMPUTED_VALUE"""),"#VALUE!")</f>
        <v>#VALUE!</v>
      </c>
      <c r="F647" s="4" t="str">
        <f>IFERROR(__xludf.DUMMYFUNCTION("""COMPUTED_VALUE"""),"")</f>
        <v/>
      </c>
      <c r="G647" s="4" t="str">
        <f>IFERROR(__xludf.DUMMYFUNCTION("""COMPUTED_VALUE"""),"#VALUE!")</f>
        <v>#VALUE!</v>
      </c>
      <c r="H647" s="4" t="str">
        <f>IFERROR(__xludf.DUMMYFUNCTION("""COMPUTED_VALUE"""),"")</f>
        <v/>
      </c>
    </row>
    <row r="648">
      <c r="E648" s="4" t="str">
        <f>IFERROR(__xludf.DUMMYFUNCTION("""COMPUTED_VALUE"""),"#VALUE!")</f>
        <v>#VALUE!</v>
      </c>
      <c r="F648" s="4" t="str">
        <f>IFERROR(__xludf.DUMMYFUNCTION("""COMPUTED_VALUE"""),"")</f>
        <v/>
      </c>
      <c r="G648" s="4" t="str">
        <f>IFERROR(__xludf.DUMMYFUNCTION("""COMPUTED_VALUE"""),"#VALUE!")</f>
        <v>#VALUE!</v>
      </c>
      <c r="H648" s="4" t="str">
        <f>IFERROR(__xludf.DUMMYFUNCTION("""COMPUTED_VALUE"""),"")</f>
        <v/>
      </c>
    </row>
    <row r="649">
      <c r="E649" s="4" t="str">
        <f>IFERROR(__xludf.DUMMYFUNCTION("""COMPUTED_VALUE"""),"#VALUE!")</f>
        <v>#VALUE!</v>
      </c>
      <c r="F649" s="4" t="str">
        <f>IFERROR(__xludf.DUMMYFUNCTION("""COMPUTED_VALUE"""),"")</f>
        <v/>
      </c>
      <c r="G649" s="4" t="str">
        <f>IFERROR(__xludf.DUMMYFUNCTION("""COMPUTED_VALUE"""),"#VALUE!")</f>
        <v>#VALUE!</v>
      </c>
      <c r="H649" s="4" t="str">
        <f>IFERROR(__xludf.DUMMYFUNCTION("""COMPUTED_VALUE"""),"")</f>
        <v/>
      </c>
    </row>
    <row r="650">
      <c r="E650" s="4" t="str">
        <f>IFERROR(__xludf.DUMMYFUNCTION("""COMPUTED_VALUE"""),"#VALUE!")</f>
        <v>#VALUE!</v>
      </c>
      <c r="F650" s="4" t="str">
        <f>IFERROR(__xludf.DUMMYFUNCTION("""COMPUTED_VALUE"""),"")</f>
        <v/>
      </c>
      <c r="G650" s="4" t="str">
        <f>IFERROR(__xludf.DUMMYFUNCTION("""COMPUTED_VALUE"""),"#VALUE!")</f>
        <v>#VALUE!</v>
      </c>
      <c r="H650" s="4" t="str">
        <f>IFERROR(__xludf.DUMMYFUNCTION("""COMPUTED_VALUE"""),"")</f>
        <v/>
      </c>
    </row>
    <row r="651">
      <c r="E651" s="4" t="str">
        <f>IFERROR(__xludf.DUMMYFUNCTION("""COMPUTED_VALUE"""),"#VALUE!")</f>
        <v>#VALUE!</v>
      </c>
      <c r="F651" s="4" t="str">
        <f>IFERROR(__xludf.DUMMYFUNCTION("""COMPUTED_VALUE"""),"")</f>
        <v/>
      </c>
      <c r="G651" s="4" t="str">
        <f>IFERROR(__xludf.DUMMYFUNCTION("""COMPUTED_VALUE"""),"#VALUE!")</f>
        <v>#VALUE!</v>
      </c>
      <c r="H651" s="4" t="str">
        <f>IFERROR(__xludf.DUMMYFUNCTION("""COMPUTED_VALUE"""),"")</f>
        <v/>
      </c>
    </row>
    <row r="652">
      <c r="E652" s="4" t="str">
        <f>IFERROR(__xludf.DUMMYFUNCTION("""COMPUTED_VALUE"""),"#VALUE!")</f>
        <v>#VALUE!</v>
      </c>
      <c r="F652" s="4" t="str">
        <f>IFERROR(__xludf.DUMMYFUNCTION("""COMPUTED_VALUE"""),"")</f>
        <v/>
      </c>
      <c r="G652" s="4" t="str">
        <f>IFERROR(__xludf.DUMMYFUNCTION("""COMPUTED_VALUE"""),"#VALUE!")</f>
        <v>#VALUE!</v>
      </c>
      <c r="H652" s="4" t="str">
        <f>IFERROR(__xludf.DUMMYFUNCTION("""COMPUTED_VALUE"""),"")</f>
        <v/>
      </c>
    </row>
    <row r="653">
      <c r="E653" s="4" t="str">
        <f>IFERROR(__xludf.DUMMYFUNCTION("""COMPUTED_VALUE"""),"#VALUE!")</f>
        <v>#VALUE!</v>
      </c>
      <c r="F653" s="4" t="str">
        <f>IFERROR(__xludf.DUMMYFUNCTION("""COMPUTED_VALUE"""),"")</f>
        <v/>
      </c>
      <c r="G653" s="4" t="str">
        <f>IFERROR(__xludf.DUMMYFUNCTION("""COMPUTED_VALUE"""),"#VALUE!")</f>
        <v>#VALUE!</v>
      </c>
      <c r="H653" s="4" t="str">
        <f>IFERROR(__xludf.DUMMYFUNCTION("""COMPUTED_VALUE"""),"")</f>
        <v/>
      </c>
    </row>
    <row r="654">
      <c r="E654" s="4" t="str">
        <f>IFERROR(__xludf.DUMMYFUNCTION("""COMPUTED_VALUE"""),"#VALUE!")</f>
        <v>#VALUE!</v>
      </c>
      <c r="F654" s="4" t="str">
        <f>IFERROR(__xludf.DUMMYFUNCTION("""COMPUTED_VALUE"""),"")</f>
        <v/>
      </c>
      <c r="G654" s="4" t="str">
        <f>IFERROR(__xludf.DUMMYFUNCTION("""COMPUTED_VALUE"""),"#VALUE!")</f>
        <v>#VALUE!</v>
      </c>
      <c r="H654" s="4" t="str">
        <f>IFERROR(__xludf.DUMMYFUNCTION("""COMPUTED_VALUE"""),"")</f>
        <v/>
      </c>
    </row>
    <row r="655">
      <c r="E655" s="4" t="str">
        <f>IFERROR(__xludf.DUMMYFUNCTION("""COMPUTED_VALUE"""),"#VALUE!")</f>
        <v>#VALUE!</v>
      </c>
      <c r="F655" s="4" t="str">
        <f>IFERROR(__xludf.DUMMYFUNCTION("""COMPUTED_VALUE"""),"")</f>
        <v/>
      </c>
      <c r="G655" s="4" t="str">
        <f>IFERROR(__xludf.DUMMYFUNCTION("""COMPUTED_VALUE"""),"#VALUE!")</f>
        <v>#VALUE!</v>
      </c>
      <c r="H655" s="4" t="str">
        <f>IFERROR(__xludf.DUMMYFUNCTION("""COMPUTED_VALUE"""),"")</f>
        <v/>
      </c>
    </row>
    <row r="656">
      <c r="E656" s="4" t="str">
        <f>IFERROR(__xludf.DUMMYFUNCTION("""COMPUTED_VALUE"""),"#VALUE!")</f>
        <v>#VALUE!</v>
      </c>
      <c r="F656" s="4" t="str">
        <f>IFERROR(__xludf.DUMMYFUNCTION("""COMPUTED_VALUE"""),"")</f>
        <v/>
      </c>
      <c r="G656" s="4" t="str">
        <f>IFERROR(__xludf.DUMMYFUNCTION("""COMPUTED_VALUE"""),"#VALUE!")</f>
        <v>#VALUE!</v>
      </c>
      <c r="H656" s="4" t="str">
        <f>IFERROR(__xludf.DUMMYFUNCTION("""COMPUTED_VALUE"""),"")</f>
        <v/>
      </c>
    </row>
    <row r="657">
      <c r="E657" s="4" t="str">
        <f>IFERROR(__xludf.DUMMYFUNCTION("""COMPUTED_VALUE"""),"#VALUE!")</f>
        <v>#VALUE!</v>
      </c>
      <c r="F657" s="4" t="str">
        <f>IFERROR(__xludf.DUMMYFUNCTION("""COMPUTED_VALUE"""),"")</f>
        <v/>
      </c>
      <c r="G657" s="4" t="str">
        <f>IFERROR(__xludf.DUMMYFUNCTION("""COMPUTED_VALUE"""),"#VALUE!")</f>
        <v>#VALUE!</v>
      </c>
      <c r="H657" s="4" t="str">
        <f>IFERROR(__xludf.DUMMYFUNCTION("""COMPUTED_VALUE"""),"")</f>
        <v/>
      </c>
    </row>
    <row r="658">
      <c r="E658" s="4" t="str">
        <f>IFERROR(__xludf.DUMMYFUNCTION("""COMPUTED_VALUE"""),"#VALUE!")</f>
        <v>#VALUE!</v>
      </c>
      <c r="F658" s="4" t="str">
        <f>IFERROR(__xludf.DUMMYFUNCTION("""COMPUTED_VALUE"""),"")</f>
        <v/>
      </c>
      <c r="G658" s="4" t="str">
        <f>IFERROR(__xludf.DUMMYFUNCTION("""COMPUTED_VALUE"""),"#VALUE!")</f>
        <v>#VALUE!</v>
      </c>
      <c r="H658" s="4" t="str">
        <f>IFERROR(__xludf.DUMMYFUNCTION("""COMPUTED_VALUE"""),"")</f>
        <v/>
      </c>
    </row>
    <row r="659">
      <c r="E659" s="4" t="str">
        <f>IFERROR(__xludf.DUMMYFUNCTION("""COMPUTED_VALUE"""),"#VALUE!")</f>
        <v>#VALUE!</v>
      </c>
      <c r="F659" s="4" t="str">
        <f>IFERROR(__xludf.DUMMYFUNCTION("""COMPUTED_VALUE"""),"")</f>
        <v/>
      </c>
      <c r="G659" s="4" t="str">
        <f>IFERROR(__xludf.DUMMYFUNCTION("""COMPUTED_VALUE"""),"#VALUE!")</f>
        <v>#VALUE!</v>
      </c>
      <c r="H659" s="4" t="str">
        <f>IFERROR(__xludf.DUMMYFUNCTION("""COMPUTED_VALUE"""),"")</f>
        <v/>
      </c>
    </row>
    <row r="660">
      <c r="E660" s="4" t="str">
        <f>IFERROR(__xludf.DUMMYFUNCTION("""COMPUTED_VALUE"""),"#VALUE!")</f>
        <v>#VALUE!</v>
      </c>
      <c r="F660" s="4" t="str">
        <f>IFERROR(__xludf.DUMMYFUNCTION("""COMPUTED_VALUE"""),"")</f>
        <v/>
      </c>
      <c r="G660" s="4" t="str">
        <f>IFERROR(__xludf.DUMMYFUNCTION("""COMPUTED_VALUE"""),"#VALUE!")</f>
        <v>#VALUE!</v>
      </c>
      <c r="H660" s="4" t="str">
        <f>IFERROR(__xludf.DUMMYFUNCTION("""COMPUTED_VALUE"""),"")</f>
        <v/>
      </c>
    </row>
    <row r="661">
      <c r="E661" s="4" t="str">
        <f>IFERROR(__xludf.DUMMYFUNCTION("""COMPUTED_VALUE"""),"#VALUE!")</f>
        <v>#VALUE!</v>
      </c>
      <c r="F661" s="4" t="str">
        <f>IFERROR(__xludf.DUMMYFUNCTION("""COMPUTED_VALUE"""),"")</f>
        <v/>
      </c>
      <c r="G661" s="4" t="str">
        <f>IFERROR(__xludf.DUMMYFUNCTION("""COMPUTED_VALUE"""),"#VALUE!")</f>
        <v>#VALUE!</v>
      </c>
      <c r="H661" s="4" t="str">
        <f>IFERROR(__xludf.DUMMYFUNCTION("""COMPUTED_VALUE"""),"")</f>
        <v/>
      </c>
    </row>
    <row r="662">
      <c r="E662" s="4" t="str">
        <f>IFERROR(__xludf.DUMMYFUNCTION("""COMPUTED_VALUE"""),"#VALUE!")</f>
        <v>#VALUE!</v>
      </c>
      <c r="F662" s="4" t="str">
        <f>IFERROR(__xludf.DUMMYFUNCTION("""COMPUTED_VALUE"""),"")</f>
        <v/>
      </c>
      <c r="G662" s="4" t="str">
        <f>IFERROR(__xludf.DUMMYFUNCTION("""COMPUTED_VALUE"""),"#VALUE!")</f>
        <v>#VALUE!</v>
      </c>
      <c r="H662" s="4" t="str">
        <f>IFERROR(__xludf.DUMMYFUNCTION("""COMPUTED_VALUE"""),"")</f>
        <v/>
      </c>
    </row>
    <row r="663">
      <c r="E663" s="4" t="str">
        <f>IFERROR(__xludf.DUMMYFUNCTION("""COMPUTED_VALUE"""),"#VALUE!")</f>
        <v>#VALUE!</v>
      </c>
      <c r="F663" s="4" t="str">
        <f>IFERROR(__xludf.DUMMYFUNCTION("""COMPUTED_VALUE"""),"")</f>
        <v/>
      </c>
      <c r="G663" s="4" t="str">
        <f>IFERROR(__xludf.DUMMYFUNCTION("""COMPUTED_VALUE"""),"#VALUE!")</f>
        <v>#VALUE!</v>
      </c>
      <c r="H663" s="4" t="str">
        <f>IFERROR(__xludf.DUMMYFUNCTION("""COMPUTED_VALUE"""),"")</f>
        <v/>
      </c>
    </row>
    <row r="664">
      <c r="E664" s="4" t="str">
        <f>IFERROR(__xludf.DUMMYFUNCTION("""COMPUTED_VALUE"""),"#VALUE!")</f>
        <v>#VALUE!</v>
      </c>
      <c r="F664" s="4" t="str">
        <f>IFERROR(__xludf.DUMMYFUNCTION("""COMPUTED_VALUE"""),"")</f>
        <v/>
      </c>
      <c r="G664" s="4" t="str">
        <f>IFERROR(__xludf.DUMMYFUNCTION("""COMPUTED_VALUE"""),"#VALUE!")</f>
        <v>#VALUE!</v>
      </c>
      <c r="H664" s="4" t="str">
        <f>IFERROR(__xludf.DUMMYFUNCTION("""COMPUTED_VALUE"""),"")</f>
        <v/>
      </c>
    </row>
    <row r="665">
      <c r="E665" s="4" t="str">
        <f>IFERROR(__xludf.DUMMYFUNCTION("""COMPUTED_VALUE"""),"#VALUE!")</f>
        <v>#VALUE!</v>
      </c>
      <c r="F665" s="4" t="str">
        <f>IFERROR(__xludf.DUMMYFUNCTION("""COMPUTED_VALUE"""),"")</f>
        <v/>
      </c>
      <c r="G665" s="4" t="str">
        <f>IFERROR(__xludf.DUMMYFUNCTION("""COMPUTED_VALUE"""),"#VALUE!")</f>
        <v>#VALUE!</v>
      </c>
      <c r="H665" s="4" t="str">
        <f>IFERROR(__xludf.DUMMYFUNCTION("""COMPUTED_VALUE"""),"")</f>
        <v/>
      </c>
    </row>
    <row r="666">
      <c r="E666" s="4" t="str">
        <f>IFERROR(__xludf.DUMMYFUNCTION("""COMPUTED_VALUE"""),"#VALUE!")</f>
        <v>#VALUE!</v>
      </c>
      <c r="F666" s="4" t="str">
        <f>IFERROR(__xludf.DUMMYFUNCTION("""COMPUTED_VALUE"""),"")</f>
        <v/>
      </c>
      <c r="G666" s="4" t="str">
        <f>IFERROR(__xludf.DUMMYFUNCTION("""COMPUTED_VALUE"""),"#VALUE!")</f>
        <v>#VALUE!</v>
      </c>
      <c r="H666" s="4" t="str">
        <f>IFERROR(__xludf.DUMMYFUNCTION("""COMPUTED_VALUE"""),"")</f>
        <v/>
      </c>
    </row>
    <row r="667">
      <c r="E667" s="4" t="str">
        <f>IFERROR(__xludf.DUMMYFUNCTION("""COMPUTED_VALUE"""),"#VALUE!")</f>
        <v>#VALUE!</v>
      </c>
      <c r="F667" s="4" t="str">
        <f>IFERROR(__xludf.DUMMYFUNCTION("""COMPUTED_VALUE"""),"")</f>
        <v/>
      </c>
      <c r="G667" s="4" t="str">
        <f>IFERROR(__xludf.DUMMYFUNCTION("""COMPUTED_VALUE"""),"#VALUE!")</f>
        <v>#VALUE!</v>
      </c>
      <c r="H667" s="4" t="str">
        <f>IFERROR(__xludf.DUMMYFUNCTION("""COMPUTED_VALUE"""),"")</f>
        <v/>
      </c>
    </row>
    <row r="668">
      <c r="E668" s="4" t="str">
        <f>IFERROR(__xludf.DUMMYFUNCTION("""COMPUTED_VALUE"""),"#VALUE!")</f>
        <v>#VALUE!</v>
      </c>
      <c r="F668" s="4" t="str">
        <f>IFERROR(__xludf.DUMMYFUNCTION("""COMPUTED_VALUE"""),"")</f>
        <v/>
      </c>
      <c r="G668" s="4" t="str">
        <f>IFERROR(__xludf.DUMMYFUNCTION("""COMPUTED_VALUE"""),"#VALUE!")</f>
        <v>#VALUE!</v>
      </c>
      <c r="H668" s="4" t="str">
        <f>IFERROR(__xludf.DUMMYFUNCTION("""COMPUTED_VALUE"""),"")</f>
        <v/>
      </c>
    </row>
    <row r="669">
      <c r="E669" s="4" t="str">
        <f>IFERROR(__xludf.DUMMYFUNCTION("""COMPUTED_VALUE"""),"#VALUE!")</f>
        <v>#VALUE!</v>
      </c>
      <c r="F669" s="4" t="str">
        <f>IFERROR(__xludf.DUMMYFUNCTION("""COMPUTED_VALUE"""),"")</f>
        <v/>
      </c>
      <c r="G669" s="4" t="str">
        <f>IFERROR(__xludf.DUMMYFUNCTION("""COMPUTED_VALUE"""),"#VALUE!")</f>
        <v>#VALUE!</v>
      </c>
      <c r="H669" s="4" t="str">
        <f>IFERROR(__xludf.DUMMYFUNCTION("""COMPUTED_VALUE"""),"")</f>
        <v/>
      </c>
    </row>
    <row r="670">
      <c r="E670" s="4" t="str">
        <f>IFERROR(__xludf.DUMMYFUNCTION("""COMPUTED_VALUE"""),"#VALUE!")</f>
        <v>#VALUE!</v>
      </c>
      <c r="F670" s="4" t="str">
        <f>IFERROR(__xludf.DUMMYFUNCTION("""COMPUTED_VALUE"""),"")</f>
        <v/>
      </c>
      <c r="G670" s="4" t="str">
        <f>IFERROR(__xludf.DUMMYFUNCTION("""COMPUTED_VALUE"""),"#VALUE!")</f>
        <v>#VALUE!</v>
      </c>
      <c r="H670" s="4" t="str">
        <f>IFERROR(__xludf.DUMMYFUNCTION("""COMPUTED_VALUE"""),"")</f>
        <v/>
      </c>
    </row>
    <row r="671">
      <c r="E671" s="4" t="str">
        <f>IFERROR(__xludf.DUMMYFUNCTION("""COMPUTED_VALUE"""),"#VALUE!")</f>
        <v>#VALUE!</v>
      </c>
      <c r="F671" s="4" t="str">
        <f>IFERROR(__xludf.DUMMYFUNCTION("""COMPUTED_VALUE"""),"")</f>
        <v/>
      </c>
      <c r="G671" s="4" t="str">
        <f>IFERROR(__xludf.DUMMYFUNCTION("""COMPUTED_VALUE"""),"#VALUE!")</f>
        <v>#VALUE!</v>
      </c>
      <c r="H671" s="4" t="str">
        <f>IFERROR(__xludf.DUMMYFUNCTION("""COMPUTED_VALUE"""),"")</f>
        <v/>
      </c>
    </row>
    <row r="672">
      <c r="E672" s="4" t="str">
        <f>IFERROR(__xludf.DUMMYFUNCTION("""COMPUTED_VALUE"""),"#VALUE!")</f>
        <v>#VALUE!</v>
      </c>
      <c r="F672" s="4" t="str">
        <f>IFERROR(__xludf.DUMMYFUNCTION("""COMPUTED_VALUE"""),"")</f>
        <v/>
      </c>
      <c r="G672" s="4" t="str">
        <f>IFERROR(__xludf.DUMMYFUNCTION("""COMPUTED_VALUE"""),"#VALUE!")</f>
        <v>#VALUE!</v>
      </c>
      <c r="H672" s="4" t="str">
        <f>IFERROR(__xludf.DUMMYFUNCTION("""COMPUTED_VALUE"""),"")</f>
        <v/>
      </c>
    </row>
    <row r="673">
      <c r="E673" s="4" t="str">
        <f>IFERROR(__xludf.DUMMYFUNCTION("""COMPUTED_VALUE"""),"#VALUE!")</f>
        <v>#VALUE!</v>
      </c>
      <c r="F673" s="4" t="str">
        <f>IFERROR(__xludf.DUMMYFUNCTION("""COMPUTED_VALUE"""),"")</f>
        <v/>
      </c>
      <c r="G673" s="4" t="str">
        <f>IFERROR(__xludf.DUMMYFUNCTION("""COMPUTED_VALUE"""),"#VALUE!")</f>
        <v>#VALUE!</v>
      </c>
      <c r="H673" s="4" t="str">
        <f>IFERROR(__xludf.DUMMYFUNCTION("""COMPUTED_VALUE"""),"")</f>
        <v/>
      </c>
    </row>
    <row r="674">
      <c r="E674" s="4" t="str">
        <f>IFERROR(__xludf.DUMMYFUNCTION("""COMPUTED_VALUE"""),"#VALUE!")</f>
        <v>#VALUE!</v>
      </c>
      <c r="F674" s="4" t="str">
        <f>IFERROR(__xludf.DUMMYFUNCTION("""COMPUTED_VALUE"""),"")</f>
        <v/>
      </c>
      <c r="G674" s="4" t="str">
        <f>IFERROR(__xludf.DUMMYFUNCTION("""COMPUTED_VALUE"""),"#VALUE!")</f>
        <v>#VALUE!</v>
      </c>
      <c r="H674" s="4" t="str">
        <f>IFERROR(__xludf.DUMMYFUNCTION("""COMPUTED_VALUE"""),"")</f>
        <v/>
      </c>
    </row>
    <row r="675">
      <c r="E675" s="4" t="str">
        <f>IFERROR(__xludf.DUMMYFUNCTION("""COMPUTED_VALUE"""),"#VALUE!")</f>
        <v>#VALUE!</v>
      </c>
      <c r="F675" s="4" t="str">
        <f>IFERROR(__xludf.DUMMYFUNCTION("""COMPUTED_VALUE"""),"")</f>
        <v/>
      </c>
      <c r="G675" s="4" t="str">
        <f>IFERROR(__xludf.DUMMYFUNCTION("""COMPUTED_VALUE"""),"#VALUE!")</f>
        <v>#VALUE!</v>
      </c>
      <c r="H675" s="4" t="str">
        <f>IFERROR(__xludf.DUMMYFUNCTION("""COMPUTED_VALUE"""),"")</f>
        <v/>
      </c>
    </row>
    <row r="676">
      <c r="E676" s="4" t="str">
        <f>IFERROR(__xludf.DUMMYFUNCTION("""COMPUTED_VALUE"""),"#VALUE!")</f>
        <v>#VALUE!</v>
      </c>
      <c r="F676" s="4" t="str">
        <f>IFERROR(__xludf.DUMMYFUNCTION("""COMPUTED_VALUE"""),"")</f>
        <v/>
      </c>
      <c r="G676" s="4" t="str">
        <f>IFERROR(__xludf.DUMMYFUNCTION("""COMPUTED_VALUE"""),"#VALUE!")</f>
        <v>#VALUE!</v>
      </c>
      <c r="H676" s="4" t="str">
        <f>IFERROR(__xludf.DUMMYFUNCTION("""COMPUTED_VALUE"""),"")</f>
        <v/>
      </c>
    </row>
    <row r="677">
      <c r="E677" s="4" t="str">
        <f>IFERROR(__xludf.DUMMYFUNCTION("""COMPUTED_VALUE"""),"#VALUE!")</f>
        <v>#VALUE!</v>
      </c>
      <c r="F677" s="4" t="str">
        <f>IFERROR(__xludf.DUMMYFUNCTION("""COMPUTED_VALUE"""),"")</f>
        <v/>
      </c>
      <c r="G677" s="4" t="str">
        <f>IFERROR(__xludf.DUMMYFUNCTION("""COMPUTED_VALUE"""),"#VALUE!")</f>
        <v>#VALUE!</v>
      </c>
      <c r="H677" s="4" t="str">
        <f>IFERROR(__xludf.DUMMYFUNCTION("""COMPUTED_VALUE"""),"")</f>
        <v/>
      </c>
    </row>
    <row r="678">
      <c r="E678" s="4" t="str">
        <f>IFERROR(__xludf.DUMMYFUNCTION("""COMPUTED_VALUE"""),"#VALUE!")</f>
        <v>#VALUE!</v>
      </c>
      <c r="F678" s="4" t="str">
        <f>IFERROR(__xludf.DUMMYFUNCTION("""COMPUTED_VALUE"""),"")</f>
        <v/>
      </c>
      <c r="G678" s="4" t="str">
        <f>IFERROR(__xludf.DUMMYFUNCTION("""COMPUTED_VALUE"""),"#VALUE!")</f>
        <v>#VALUE!</v>
      </c>
      <c r="H678" s="4" t="str">
        <f>IFERROR(__xludf.DUMMYFUNCTION("""COMPUTED_VALUE"""),"")</f>
        <v/>
      </c>
    </row>
    <row r="679">
      <c r="E679" s="4" t="str">
        <f>IFERROR(__xludf.DUMMYFUNCTION("""COMPUTED_VALUE"""),"#VALUE!")</f>
        <v>#VALUE!</v>
      </c>
      <c r="F679" s="4" t="str">
        <f>IFERROR(__xludf.DUMMYFUNCTION("""COMPUTED_VALUE"""),"")</f>
        <v/>
      </c>
      <c r="G679" s="4" t="str">
        <f>IFERROR(__xludf.DUMMYFUNCTION("""COMPUTED_VALUE"""),"#VALUE!")</f>
        <v>#VALUE!</v>
      </c>
      <c r="H679" s="4" t="str">
        <f>IFERROR(__xludf.DUMMYFUNCTION("""COMPUTED_VALUE"""),"")</f>
        <v/>
      </c>
    </row>
    <row r="680">
      <c r="E680" s="4" t="str">
        <f>IFERROR(__xludf.DUMMYFUNCTION("""COMPUTED_VALUE"""),"#VALUE!")</f>
        <v>#VALUE!</v>
      </c>
      <c r="F680" s="4" t="str">
        <f>IFERROR(__xludf.DUMMYFUNCTION("""COMPUTED_VALUE"""),"")</f>
        <v/>
      </c>
      <c r="G680" s="4" t="str">
        <f>IFERROR(__xludf.DUMMYFUNCTION("""COMPUTED_VALUE"""),"#VALUE!")</f>
        <v>#VALUE!</v>
      </c>
      <c r="H680" s="4" t="str">
        <f>IFERROR(__xludf.DUMMYFUNCTION("""COMPUTED_VALUE"""),"")</f>
        <v/>
      </c>
    </row>
    <row r="681">
      <c r="E681" s="4" t="str">
        <f>IFERROR(__xludf.DUMMYFUNCTION("""COMPUTED_VALUE"""),"#VALUE!")</f>
        <v>#VALUE!</v>
      </c>
      <c r="F681" s="4" t="str">
        <f>IFERROR(__xludf.DUMMYFUNCTION("""COMPUTED_VALUE"""),"")</f>
        <v/>
      </c>
      <c r="G681" s="4" t="str">
        <f>IFERROR(__xludf.DUMMYFUNCTION("""COMPUTED_VALUE"""),"#VALUE!")</f>
        <v>#VALUE!</v>
      </c>
      <c r="H681" s="4" t="str">
        <f>IFERROR(__xludf.DUMMYFUNCTION("""COMPUTED_VALUE"""),"")</f>
        <v/>
      </c>
    </row>
    <row r="682">
      <c r="E682" s="4" t="str">
        <f>IFERROR(__xludf.DUMMYFUNCTION("""COMPUTED_VALUE"""),"#VALUE!")</f>
        <v>#VALUE!</v>
      </c>
      <c r="F682" s="4" t="str">
        <f>IFERROR(__xludf.DUMMYFUNCTION("""COMPUTED_VALUE"""),"")</f>
        <v/>
      </c>
      <c r="G682" s="4" t="str">
        <f>IFERROR(__xludf.DUMMYFUNCTION("""COMPUTED_VALUE"""),"#VALUE!")</f>
        <v>#VALUE!</v>
      </c>
      <c r="H682" s="4" t="str">
        <f>IFERROR(__xludf.DUMMYFUNCTION("""COMPUTED_VALUE"""),"")</f>
        <v/>
      </c>
    </row>
    <row r="683">
      <c r="E683" s="4" t="str">
        <f>IFERROR(__xludf.DUMMYFUNCTION("""COMPUTED_VALUE"""),"#VALUE!")</f>
        <v>#VALUE!</v>
      </c>
      <c r="F683" s="4" t="str">
        <f>IFERROR(__xludf.DUMMYFUNCTION("""COMPUTED_VALUE"""),"")</f>
        <v/>
      </c>
      <c r="G683" s="4" t="str">
        <f>IFERROR(__xludf.DUMMYFUNCTION("""COMPUTED_VALUE"""),"#VALUE!")</f>
        <v>#VALUE!</v>
      </c>
      <c r="H683" s="4" t="str">
        <f>IFERROR(__xludf.DUMMYFUNCTION("""COMPUTED_VALUE"""),"")</f>
        <v/>
      </c>
    </row>
    <row r="684">
      <c r="E684" s="4" t="str">
        <f>IFERROR(__xludf.DUMMYFUNCTION("""COMPUTED_VALUE"""),"#VALUE!")</f>
        <v>#VALUE!</v>
      </c>
      <c r="F684" s="4" t="str">
        <f>IFERROR(__xludf.DUMMYFUNCTION("""COMPUTED_VALUE"""),"")</f>
        <v/>
      </c>
      <c r="G684" s="4" t="str">
        <f>IFERROR(__xludf.DUMMYFUNCTION("""COMPUTED_VALUE"""),"#VALUE!")</f>
        <v>#VALUE!</v>
      </c>
      <c r="H684" s="4" t="str">
        <f>IFERROR(__xludf.DUMMYFUNCTION("""COMPUTED_VALUE"""),"")</f>
        <v/>
      </c>
    </row>
    <row r="685">
      <c r="E685" s="4" t="str">
        <f>IFERROR(__xludf.DUMMYFUNCTION("""COMPUTED_VALUE"""),"#VALUE!")</f>
        <v>#VALUE!</v>
      </c>
      <c r="F685" s="4" t="str">
        <f>IFERROR(__xludf.DUMMYFUNCTION("""COMPUTED_VALUE"""),"")</f>
        <v/>
      </c>
      <c r="G685" s="4" t="str">
        <f>IFERROR(__xludf.DUMMYFUNCTION("""COMPUTED_VALUE"""),"#VALUE!")</f>
        <v>#VALUE!</v>
      </c>
      <c r="H685" s="4" t="str">
        <f>IFERROR(__xludf.DUMMYFUNCTION("""COMPUTED_VALUE"""),"")</f>
        <v/>
      </c>
    </row>
    <row r="686">
      <c r="E686" s="4" t="str">
        <f>IFERROR(__xludf.DUMMYFUNCTION("""COMPUTED_VALUE"""),"#VALUE!")</f>
        <v>#VALUE!</v>
      </c>
      <c r="F686" s="4" t="str">
        <f>IFERROR(__xludf.DUMMYFUNCTION("""COMPUTED_VALUE"""),"")</f>
        <v/>
      </c>
      <c r="G686" s="4" t="str">
        <f>IFERROR(__xludf.DUMMYFUNCTION("""COMPUTED_VALUE"""),"#VALUE!")</f>
        <v>#VALUE!</v>
      </c>
      <c r="H686" s="4" t="str">
        <f>IFERROR(__xludf.DUMMYFUNCTION("""COMPUTED_VALUE"""),"")</f>
        <v/>
      </c>
    </row>
    <row r="687">
      <c r="E687" s="4" t="str">
        <f>IFERROR(__xludf.DUMMYFUNCTION("""COMPUTED_VALUE"""),"#VALUE!")</f>
        <v>#VALUE!</v>
      </c>
      <c r="F687" s="4" t="str">
        <f>IFERROR(__xludf.DUMMYFUNCTION("""COMPUTED_VALUE"""),"")</f>
        <v/>
      </c>
      <c r="G687" s="4" t="str">
        <f>IFERROR(__xludf.DUMMYFUNCTION("""COMPUTED_VALUE"""),"#VALUE!")</f>
        <v>#VALUE!</v>
      </c>
      <c r="H687" s="4" t="str">
        <f>IFERROR(__xludf.DUMMYFUNCTION("""COMPUTED_VALUE"""),"")</f>
        <v/>
      </c>
    </row>
    <row r="688">
      <c r="E688" s="4" t="str">
        <f>IFERROR(__xludf.DUMMYFUNCTION("""COMPUTED_VALUE"""),"#VALUE!")</f>
        <v>#VALUE!</v>
      </c>
      <c r="F688" s="4" t="str">
        <f>IFERROR(__xludf.DUMMYFUNCTION("""COMPUTED_VALUE"""),"")</f>
        <v/>
      </c>
      <c r="G688" s="4" t="str">
        <f>IFERROR(__xludf.DUMMYFUNCTION("""COMPUTED_VALUE"""),"#VALUE!")</f>
        <v>#VALUE!</v>
      </c>
      <c r="H688" s="4" t="str">
        <f>IFERROR(__xludf.DUMMYFUNCTION("""COMPUTED_VALUE"""),"")</f>
        <v/>
      </c>
    </row>
    <row r="689">
      <c r="E689" s="4" t="str">
        <f>IFERROR(__xludf.DUMMYFUNCTION("""COMPUTED_VALUE"""),"#VALUE!")</f>
        <v>#VALUE!</v>
      </c>
      <c r="F689" s="4" t="str">
        <f>IFERROR(__xludf.DUMMYFUNCTION("""COMPUTED_VALUE"""),"")</f>
        <v/>
      </c>
      <c r="G689" s="4" t="str">
        <f>IFERROR(__xludf.DUMMYFUNCTION("""COMPUTED_VALUE"""),"#VALUE!")</f>
        <v>#VALUE!</v>
      </c>
      <c r="H689" s="4" t="str">
        <f>IFERROR(__xludf.DUMMYFUNCTION("""COMPUTED_VALUE"""),"")</f>
        <v/>
      </c>
    </row>
    <row r="690">
      <c r="E690" s="4" t="str">
        <f>IFERROR(__xludf.DUMMYFUNCTION("""COMPUTED_VALUE"""),"#VALUE!")</f>
        <v>#VALUE!</v>
      </c>
      <c r="F690" s="4" t="str">
        <f>IFERROR(__xludf.DUMMYFUNCTION("""COMPUTED_VALUE"""),"")</f>
        <v/>
      </c>
      <c r="G690" s="4" t="str">
        <f>IFERROR(__xludf.DUMMYFUNCTION("""COMPUTED_VALUE"""),"#VALUE!")</f>
        <v>#VALUE!</v>
      </c>
      <c r="H690" s="4" t="str">
        <f>IFERROR(__xludf.DUMMYFUNCTION("""COMPUTED_VALUE"""),"")</f>
        <v/>
      </c>
    </row>
    <row r="691">
      <c r="E691" s="4" t="str">
        <f>IFERROR(__xludf.DUMMYFUNCTION("""COMPUTED_VALUE"""),"#VALUE!")</f>
        <v>#VALUE!</v>
      </c>
      <c r="F691" s="4" t="str">
        <f>IFERROR(__xludf.DUMMYFUNCTION("""COMPUTED_VALUE"""),"")</f>
        <v/>
      </c>
      <c r="G691" s="4" t="str">
        <f>IFERROR(__xludf.DUMMYFUNCTION("""COMPUTED_VALUE"""),"#VALUE!")</f>
        <v>#VALUE!</v>
      </c>
      <c r="H691" s="4" t="str">
        <f>IFERROR(__xludf.DUMMYFUNCTION("""COMPUTED_VALUE"""),"")</f>
        <v/>
      </c>
    </row>
    <row r="692">
      <c r="E692" s="4" t="str">
        <f>IFERROR(__xludf.DUMMYFUNCTION("""COMPUTED_VALUE"""),"#VALUE!")</f>
        <v>#VALUE!</v>
      </c>
      <c r="F692" s="4" t="str">
        <f>IFERROR(__xludf.DUMMYFUNCTION("""COMPUTED_VALUE"""),"")</f>
        <v/>
      </c>
      <c r="G692" s="4" t="str">
        <f>IFERROR(__xludf.DUMMYFUNCTION("""COMPUTED_VALUE"""),"#VALUE!")</f>
        <v>#VALUE!</v>
      </c>
      <c r="H692" s="4" t="str">
        <f>IFERROR(__xludf.DUMMYFUNCTION("""COMPUTED_VALUE"""),"")</f>
        <v/>
      </c>
    </row>
    <row r="693">
      <c r="E693" s="4" t="str">
        <f>IFERROR(__xludf.DUMMYFUNCTION("""COMPUTED_VALUE"""),"#VALUE!")</f>
        <v>#VALUE!</v>
      </c>
      <c r="F693" s="4" t="str">
        <f>IFERROR(__xludf.DUMMYFUNCTION("""COMPUTED_VALUE"""),"")</f>
        <v/>
      </c>
      <c r="G693" s="4" t="str">
        <f>IFERROR(__xludf.DUMMYFUNCTION("""COMPUTED_VALUE"""),"#VALUE!")</f>
        <v>#VALUE!</v>
      </c>
      <c r="H693" s="4" t="str">
        <f>IFERROR(__xludf.DUMMYFUNCTION("""COMPUTED_VALUE"""),"")</f>
        <v/>
      </c>
    </row>
    <row r="694">
      <c r="E694" s="4" t="str">
        <f>IFERROR(__xludf.DUMMYFUNCTION("""COMPUTED_VALUE"""),"#VALUE!")</f>
        <v>#VALUE!</v>
      </c>
      <c r="F694" s="4" t="str">
        <f>IFERROR(__xludf.DUMMYFUNCTION("""COMPUTED_VALUE"""),"")</f>
        <v/>
      </c>
      <c r="G694" s="4" t="str">
        <f>IFERROR(__xludf.DUMMYFUNCTION("""COMPUTED_VALUE"""),"#VALUE!")</f>
        <v>#VALUE!</v>
      </c>
      <c r="H694" s="4" t="str">
        <f>IFERROR(__xludf.DUMMYFUNCTION("""COMPUTED_VALUE"""),"")</f>
        <v/>
      </c>
    </row>
    <row r="695">
      <c r="E695" s="4" t="str">
        <f>IFERROR(__xludf.DUMMYFUNCTION("""COMPUTED_VALUE"""),"#VALUE!")</f>
        <v>#VALUE!</v>
      </c>
      <c r="F695" s="4" t="str">
        <f>IFERROR(__xludf.DUMMYFUNCTION("""COMPUTED_VALUE"""),"")</f>
        <v/>
      </c>
      <c r="G695" s="4" t="str">
        <f>IFERROR(__xludf.DUMMYFUNCTION("""COMPUTED_VALUE"""),"#VALUE!")</f>
        <v>#VALUE!</v>
      </c>
      <c r="H695" s="4" t="str">
        <f>IFERROR(__xludf.DUMMYFUNCTION("""COMPUTED_VALUE"""),"")</f>
        <v/>
      </c>
    </row>
    <row r="696">
      <c r="E696" s="4" t="str">
        <f>IFERROR(__xludf.DUMMYFUNCTION("""COMPUTED_VALUE"""),"#VALUE!")</f>
        <v>#VALUE!</v>
      </c>
      <c r="F696" s="4" t="str">
        <f>IFERROR(__xludf.DUMMYFUNCTION("""COMPUTED_VALUE"""),"")</f>
        <v/>
      </c>
      <c r="G696" s="4" t="str">
        <f>IFERROR(__xludf.DUMMYFUNCTION("""COMPUTED_VALUE"""),"#VALUE!")</f>
        <v>#VALUE!</v>
      </c>
      <c r="H696" s="4" t="str">
        <f>IFERROR(__xludf.DUMMYFUNCTION("""COMPUTED_VALUE"""),"")</f>
        <v/>
      </c>
    </row>
    <row r="697">
      <c r="E697" s="4" t="str">
        <f>IFERROR(__xludf.DUMMYFUNCTION("""COMPUTED_VALUE"""),"#VALUE!")</f>
        <v>#VALUE!</v>
      </c>
      <c r="F697" s="4" t="str">
        <f>IFERROR(__xludf.DUMMYFUNCTION("""COMPUTED_VALUE"""),"")</f>
        <v/>
      </c>
      <c r="G697" s="4" t="str">
        <f>IFERROR(__xludf.DUMMYFUNCTION("""COMPUTED_VALUE"""),"#VALUE!")</f>
        <v>#VALUE!</v>
      </c>
      <c r="H697" s="4" t="str">
        <f>IFERROR(__xludf.DUMMYFUNCTION("""COMPUTED_VALUE"""),"")</f>
        <v/>
      </c>
    </row>
    <row r="698">
      <c r="E698" s="4" t="str">
        <f>IFERROR(__xludf.DUMMYFUNCTION("""COMPUTED_VALUE"""),"#VALUE!")</f>
        <v>#VALUE!</v>
      </c>
      <c r="F698" s="4" t="str">
        <f>IFERROR(__xludf.DUMMYFUNCTION("""COMPUTED_VALUE"""),"")</f>
        <v/>
      </c>
      <c r="G698" s="4" t="str">
        <f>IFERROR(__xludf.DUMMYFUNCTION("""COMPUTED_VALUE"""),"#VALUE!")</f>
        <v>#VALUE!</v>
      </c>
      <c r="H698" s="4" t="str">
        <f>IFERROR(__xludf.DUMMYFUNCTION("""COMPUTED_VALUE"""),"")</f>
        <v/>
      </c>
    </row>
    <row r="699">
      <c r="E699" s="4" t="str">
        <f>IFERROR(__xludf.DUMMYFUNCTION("""COMPUTED_VALUE"""),"#VALUE!")</f>
        <v>#VALUE!</v>
      </c>
      <c r="F699" s="4" t="str">
        <f>IFERROR(__xludf.DUMMYFUNCTION("""COMPUTED_VALUE"""),"")</f>
        <v/>
      </c>
      <c r="G699" s="4" t="str">
        <f>IFERROR(__xludf.DUMMYFUNCTION("""COMPUTED_VALUE"""),"#VALUE!")</f>
        <v>#VALUE!</v>
      </c>
      <c r="H699" s="4" t="str">
        <f>IFERROR(__xludf.DUMMYFUNCTION("""COMPUTED_VALUE"""),"")</f>
        <v/>
      </c>
    </row>
    <row r="700">
      <c r="E700" s="4" t="str">
        <f>IFERROR(__xludf.DUMMYFUNCTION("""COMPUTED_VALUE"""),"#VALUE!")</f>
        <v>#VALUE!</v>
      </c>
      <c r="F700" s="4" t="str">
        <f>IFERROR(__xludf.DUMMYFUNCTION("""COMPUTED_VALUE"""),"")</f>
        <v/>
      </c>
      <c r="G700" s="4" t="str">
        <f>IFERROR(__xludf.DUMMYFUNCTION("""COMPUTED_VALUE"""),"#VALUE!")</f>
        <v>#VALUE!</v>
      </c>
      <c r="H700" s="4" t="str">
        <f>IFERROR(__xludf.DUMMYFUNCTION("""COMPUTED_VALUE"""),"")</f>
        <v/>
      </c>
    </row>
    <row r="701">
      <c r="E701" s="4" t="str">
        <f>IFERROR(__xludf.DUMMYFUNCTION("""COMPUTED_VALUE"""),"#VALUE!")</f>
        <v>#VALUE!</v>
      </c>
      <c r="F701" s="4" t="str">
        <f>IFERROR(__xludf.DUMMYFUNCTION("""COMPUTED_VALUE"""),"")</f>
        <v/>
      </c>
      <c r="G701" s="4" t="str">
        <f>IFERROR(__xludf.DUMMYFUNCTION("""COMPUTED_VALUE"""),"#VALUE!")</f>
        <v>#VALUE!</v>
      </c>
      <c r="H701" s="4" t="str">
        <f>IFERROR(__xludf.DUMMYFUNCTION("""COMPUTED_VALUE"""),"")</f>
        <v/>
      </c>
    </row>
    <row r="702">
      <c r="E702" s="4" t="str">
        <f>IFERROR(__xludf.DUMMYFUNCTION("""COMPUTED_VALUE"""),"#VALUE!")</f>
        <v>#VALUE!</v>
      </c>
      <c r="F702" s="4" t="str">
        <f>IFERROR(__xludf.DUMMYFUNCTION("""COMPUTED_VALUE"""),"")</f>
        <v/>
      </c>
      <c r="G702" s="4" t="str">
        <f>IFERROR(__xludf.DUMMYFUNCTION("""COMPUTED_VALUE"""),"#VALUE!")</f>
        <v>#VALUE!</v>
      </c>
      <c r="H702" s="4" t="str">
        <f>IFERROR(__xludf.DUMMYFUNCTION("""COMPUTED_VALUE"""),"")</f>
        <v/>
      </c>
    </row>
    <row r="703">
      <c r="E703" s="4" t="str">
        <f>IFERROR(__xludf.DUMMYFUNCTION("""COMPUTED_VALUE"""),"#VALUE!")</f>
        <v>#VALUE!</v>
      </c>
      <c r="F703" s="4" t="str">
        <f>IFERROR(__xludf.DUMMYFUNCTION("""COMPUTED_VALUE"""),"")</f>
        <v/>
      </c>
      <c r="G703" s="4" t="str">
        <f>IFERROR(__xludf.DUMMYFUNCTION("""COMPUTED_VALUE"""),"#VALUE!")</f>
        <v>#VALUE!</v>
      </c>
      <c r="H703" s="4" t="str">
        <f>IFERROR(__xludf.DUMMYFUNCTION("""COMPUTED_VALUE"""),"")</f>
        <v/>
      </c>
    </row>
    <row r="704">
      <c r="E704" s="4" t="str">
        <f>IFERROR(__xludf.DUMMYFUNCTION("""COMPUTED_VALUE"""),"#VALUE!")</f>
        <v>#VALUE!</v>
      </c>
      <c r="F704" s="4" t="str">
        <f>IFERROR(__xludf.DUMMYFUNCTION("""COMPUTED_VALUE"""),"")</f>
        <v/>
      </c>
      <c r="G704" s="4" t="str">
        <f>IFERROR(__xludf.DUMMYFUNCTION("""COMPUTED_VALUE"""),"#VALUE!")</f>
        <v>#VALUE!</v>
      </c>
      <c r="H704" s="4" t="str">
        <f>IFERROR(__xludf.DUMMYFUNCTION("""COMPUTED_VALUE"""),"")</f>
        <v/>
      </c>
    </row>
    <row r="705">
      <c r="E705" s="4" t="str">
        <f>IFERROR(__xludf.DUMMYFUNCTION("""COMPUTED_VALUE"""),"#VALUE!")</f>
        <v>#VALUE!</v>
      </c>
      <c r="F705" s="4" t="str">
        <f>IFERROR(__xludf.DUMMYFUNCTION("""COMPUTED_VALUE"""),"")</f>
        <v/>
      </c>
      <c r="G705" s="4" t="str">
        <f>IFERROR(__xludf.DUMMYFUNCTION("""COMPUTED_VALUE"""),"#VALUE!")</f>
        <v>#VALUE!</v>
      </c>
      <c r="H705" s="4" t="str">
        <f>IFERROR(__xludf.DUMMYFUNCTION("""COMPUTED_VALUE"""),"")</f>
        <v/>
      </c>
    </row>
    <row r="706">
      <c r="E706" s="4" t="str">
        <f>IFERROR(__xludf.DUMMYFUNCTION("""COMPUTED_VALUE"""),"#VALUE!")</f>
        <v>#VALUE!</v>
      </c>
      <c r="F706" s="4" t="str">
        <f>IFERROR(__xludf.DUMMYFUNCTION("""COMPUTED_VALUE"""),"")</f>
        <v/>
      </c>
      <c r="G706" s="4" t="str">
        <f>IFERROR(__xludf.DUMMYFUNCTION("""COMPUTED_VALUE"""),"#VALUE!")</f>
        <v>#VALUE!</v>
      </c>
      <c r="H706" s="4" t="str">
        <f>IFERROR(__xludf.DUMMYFUNCTION("""COMPUTED_VALUE"""),"")</f>
        <v/>
      </c>
    </row>
    <row r="707">
      <c r="E707" s="4" t="str">
        <f>IFERROR(__xludf.DUMMYFUNCTION("""COMPUTED_VALUE"""),"#VALUE!")</f>
        <v>#VALUE!</v>
      </c>
      <c r="F707" s="4" t="str">
        <f>IFERROR(__xludf.DUMMYFUNCTION("""COMPUTED_VALUE"""),"")</f>
        <v/>
      </c>
      <c r="G707" s="4" t="str">
        <f>IFERROR(__xludf.DUMMYFUNCTION("""COMPUTED_VALUE"""),"#VALUE!")</f>
        <v>#VALUE!</v>
      </c>
      <c r="H707" s="4" t="str">
        <f>IFERROR(__xludf.DUMMYFUNCTION("""COMPUTED_VALUE"""),"")</f>
        <v/>
      </c>
    </row>
    <row r="708">
      <c r="E708" s="4" t="str">
        <f>IFERROR(__xludf.DUMMYFUNCTION("""COMPUTED_VALUE"""),"#VALUE!")</f>
        <v>#VALUE!</v>
      </c>
      <c r="F708" s="4" t="str">
        <f>IFERROR(__xludf.DUMMYFUNCTION("""COMPUTED_VALUE"""),"")</f>
        <v/>
      </c>
      <c r="G708" s="4" t="str">
        <f>IFERROR(__xludf.DUMMYFUNCTION("""COMPUTED_VALUE"""),"#VALUE!")</f>
        <v>#VALUE!</v>
      </c>
      <c r="H708" s="4" t="str">
        <f>IFERROR(__xludf.DUMMYFUNCTION("""COMPUTED_VALUE"""),"")</f>
        <v/>
      </c>
    </row>
    <row r="709">
      <c r="E709" s="4" t="str">
        <f>IFERROR(__xludf.DUMMYFUNCTION("""COMPUTED_VALUE"""),"#VALUE!")</f>
        <v>#VALUE!</v>
      </c>
      <c r="F709" s="4" t="str">
        <f>IFERROR(__xludf.DUMMYFUNCTION("""COMPUTED_VALUE"""),"")</f>
        <v/>
      </c>
      <c r="G709" s="4" t="str">
        <f>IFERROR(__xludf.DUMMYFUNCTION("""COMPUTED_VALUE"""),"#VALUE!")</f>
        <v>#VALUE!</v>
      </c>
      <c r="H709" s="4" t="str">
        <f>IFERROR(__xludf.DUMMYFUNCTION("""COMPUTED_VALUE"""),"")</f>
        <v/>
      </c>
    </row>
    <row r="710">
      <c r="E710" s="4" t="str">
        <f>IFERROR(__xludf.DUMMYFUNCTION("""COMPUTED_VALUE"""),"#VALUE!")</f>
        <v>#VALUE!</v>
      </c>
      <c r="F710" s="4" t="str">
        <f>IFERROR(__xludf.DUMMYFUNCTION("""COMPUTED_VALUE"""),"")</f>
        <v/>
      </c>
      <c r="G710" s="4" t="str">
        <f>IFERROR(__xludf.DUMMYFUNCTION("""COMPUTED_VALUE"""),"#VALUE!")</f>
        <v>#VALUE!</v>
      </c>
      <c r="H710" s="4" t="str">
        <f>IFERROR(__xludf.DUMMYFUNCTION("""COMPUTED_VALUE"""),"")</f>
        <v/>
      </c>
    </row>
    <row r="711">
      <c r="E711" s="4" t="str">
        <f>IFERROR(__xludf.DUMMYFUNCTION("""COMPUTED_VALUE"""),"#VALUE!")</f>
        <v>#VALUE!</v>
      </c>
      <c r="F711" s="4" t="str">
        <f>IFERROR(__xludf.DUMMYFUNCTION("""COMPUTED_VALUE"""),"")</f>
        <v/>
      </c>
      <c r="G711" s="4" t="str">
        <f>IFERROR(__xludf.DUMMYFUNCTION("""COMPUTED_VALUE"""),"#VALUE!")</f>
        <v>#VALUE!</v>
      </c>
      <c r="H711" s="4" t="str">
        <f>IFERROR(__xludf.DUMMYFUNCTION("""COMPUTED_VALUE"""),"")</f>
        <v/>
      </c>
    </row>
    <row r="712">
      <c r="E712" s="4" t="str">
        <f>IFERROR(__xludf.DUMMYFUNCTION("""COMPUTED_VALUE"""),"#VALUE!")</f>
        <v>#VALUE!</v>
      </c>
      <c r="F712" s="4" t="str">
        <f>IFERROR(__xludf.DUMMYFUNCTION("""COMPUTED_VALUE"""),"")</f>
        <v/>
      </c>
      <c r="G712" s="4" t="str">
        <f>IFERROR(__xludf.DUMMYFUNCTION("""COMPUTED_VALUE"""),"#VALUE!")</f>
        <v>#VALUE!</v>
      </c>
      <c r="H712" s="4" t="str">
        <f>IFERROR(__xludf.DUMMYFUNCTION("""COMPUTED_VALUE"""),"")</f>
        <v/>
      </c>
    </row>
    <row r="713">
      <c r="E713" s="4" t="str">
        <f>IFERROR(__xludf.DUMMYFUNCTION("""COMPUTED_VALUE"""),"#VALUE!")</f>
        <v>#VALUE!</v>
      </c>
      <c r="F713" s="4" t="str">
        <f>IFERROR(__xludf.DUMMYFUNCTION("""COMPUTED_VALUE"""),"")</f>
        <v/>
      </c>
      <c r="G713" s="4" t="str">
        <f>IFERROR(__xludf.DUMMYFUNCTION("""COMPUTED_VALUE"""),"#VALUE!")</f>
        <v>#VALUE!</v>
      </c>
      <c r="H713" s="4" t="str">
        <f>IFERROR(__xludf.DUMMYFUNCTION("""COMPUTED_VALUE"""),"")</f>
        <v/>
      </c>
    </row>
    <row r="714">
      <c r="E714" s="4" t="str">
        <f>IFERROR(__xludf.DUMMYFUNCTION("""COMPUTED_VALUE"""),"#VALUE!")</f>
        <v>#VALUE!</v>
      </c>
      <c r="F714" s="4" t="str">
        <f>IFERROR(__xludf.DUMMYFUNCTION("""COMPUTED_VALUE"""),"")</f>
        <v/>
      </c>
      <c r="G714" s="4" t="str">
        <f>IFERROR(__xludf.DUMMYFUNCTION("""COMPUTED_VALUE"""),"#VALUE!")</f>
        <v>#VALUE!</v>
      </c>
      <c r="H714" s="4" t="str">
        <f>IFERROR(__xludf.DUMMYFUNCTION("""COMPUTED_VALUE"""),"")</f>
        <v/>
      </c>
    </row>
    <row r="715">
      <c r="E715" s="4" t="str">
        <f>IFERROR(__xludf.DUMMYFUNCTION("""COMPUTED_VALUE"""),"#VALUE!")</f>
        <v>#VALUE!</v>
      </c>
      <c r="F715" s="4" t="str">
        <f>IFERROR(__xludf.DUMMYFUNCTION("""COMPUTED_VALUE"""),"")</f>
        <v/>
      </c>
      <c r="G715" s="4" t="str">
        <f>IFERROR(__xludf.DUMMYFUNCTION("""COMPUTED_VALUE"""),"#VALUE!")</f>
        <v>#VALUE!</v>
      </c>
      <c r="H715" s="4" t="str">
        <f>IFERROR(__xludf.DUMMYFUNCTION("""COMPUTED_VALUE"""),"")</f>
        <v/>
      </c>
    </row>
    <row r="716">
      <c r="E716" s="4" t="str">
        <f>IFERROR(__xludf.DUMMYFUNCTION("""COMPUTED_VALUE"""),"#VALUE!")</f>
        <v>#VALUE!</v>
      </c>
      <c r="F716" s="4" t="str">
        <f>IFERROR(__xludf.DUMMYFUNCTION("""COMPUTED_VALUE"""),"")</f>
        <v/>
      </c>
      <c r="G716" s="4" t="str">
        <f>IFERROR(__xludf.DUMMYFUNCTION("""COMPUTED_VALUE"""),"#VALUE!")</f>
        <v>#VALUE!</v>
      </c>
      <c r="H716" s="4" t="str">
        <f>IFERROR(__xludf.DUMMYFUNCTION("""COMPUTED_VALUE"""),"")</f>
        <v/>
      </c>
    </row>
    <row r="717">
      <c r="E717" s="4" t="str">
        <f>IFERROR(__xludf.DUMMYFUNCTION("""COMPUTED_VALUE"""),"#VALUE!")</f>
        <v>#VALUE!</v>
      </c>
      <c r="F717" s="4" t="str">
        <f>IFERROR(__xludf.DUMMYFUNCTION("""COMPUTED_VALUE"""),"")</f>
        <v/>
      </c>
      <c r="G717" s="4" t="str">
        <f>IFERROR(__xludf.DUMMYFUNCTION("""COMPUTED_VALUE"""),"#VALUE!")</f>
        <v>#VALUE!</v>
      </c>
      <c r="H717" s="4" t="str">
        <f>IFERROR(__xludf.DUMMYFUNCTION("""COMPUTED_VALUE"""),"")</f>
        <v/>
      </c>
    </row>
    <row r="718">
      <c r="E718" s="4" t="str">
        <f>IFERROR(__xludf.DUMMYFUNCTION("""COMPUTED_VALUE"""),"#VALUE!")</f>
        <v>#VALUE!</v>
      </c>
      <c r="F718" s="4" t="str">
        <f>IFERROR(__xludf.DUMMYFUNCTION("""COMPUTED_VALUE"""),"")</f>
        <v/>
      </c>
      <c r="G718" s="4" t="str">
        <f>IFERROR(__xludf.DUMMYFUNCTION("""COMPUTED_VALUE"""),"#VALUE!")</f>
        <v>#VALUE!</v>
      </c>
      <c r="H718" s="4" t="str">
        <f>IFERROR(__xludf.DUMMYFUNCTION("""COMPUTED_VALUE"""),"")</f>
        <v/>
      </c>
    </row>
    <row r="719">
      <c r="E719" s="4" t="str">
        <f>IFERROR(__xludf.DUMMYFUNCTION("""COMPUTED_VALUE"""),"#VALUE!")</f>
        <v>#VALUE!</v>
      </c>
      <c r="F719" s="4" t="str">
        <f>IFERROR(__xludf.DUMMYFUNCTION("""COMPUTED_VALUE"""),"")</f>
        <v/>
      </c>
      <c r="G719" s="4" t="str">
        <f>IFERROR(__xludf.DUMMYFUNCTION("""COMPUTED_VALUE"""),"#VALUE!")</f>
        <v>#VALUE!</v>
      </c>
      <c r="H719" s="4" t="str">
        <f>IFERROR(__xludf.DUMMYFUNCTION("""COMPUTED_VALUE"""),"")</f>
        <v/>
      </c>
    </row>
    <row r="720">
      <c r="E720" s="4" t="str">
        <f>IFERROR(__xludf.DUMMYFUNCTION("""COMPUTED_VALUE"""),"#VALUE!")</f>
        <v>#VALUE!</v>
      </c>
      <c r="F720" s="4" t="str">
        <f>IFERROR(__xludf.DUMMYFUNCTION("""COMPUTED_VALUE"""),"")</f>
        <v/>
      </c>
      <c r="G720" s="4" t="str">
        <f>IFERROR(__xludf.DUMMYFUNCTION("""COMPUTED_VALUE"""),"#VALUE!")</f>
        <v>#VALUE!</v>
      </c>
      <c r="H720" s="4" t="str">
        <f>IFERROR(__xludf.DUMMYFUNCTION("""COMPUTED_VALUE"""),"")</f>
        <v/>
      </c>
    </row>
    <row r="721">
      <c r="E721" s="4" t="str">
        <f>IFERROR(__xludf.DUMMYFUNCTION("""COMPUTED_VALUE"""),"#VALUE!")</f>
        <v>#VALUE!</v>
      </c>
      <c r="F721" s="4" t="str">
        <f>IFERROR(__xludf.DUMMYFUNCTION("""COMPUTED_VALUE"""),"")</f>
        <v/>
      </c>
      <c r="G721" s="4" t="str">
        <f>IFERROR(__xludf.DUMMYFUNCTION("""COMPUTED_VALUE"""),"#VALUE!")</f>
        <v>#VALUE!</v>
      </c>
      <c r="H721" s="4" t="str">
        <f>IFERROR(__xludf.DUMMYFUNCTION("""COMPUTED_VALUE"""),"")</f>
        <v/>
      </c>
    </row>
    <row r="722">
      <c r="E722" s="4" t="str">
        <f>IFERROR(__xludf.DUMMYFUNCTION("""COMPUTED_VALUE"""),"#VALUE!")</f>
        <v>#VALUE!</v>
      </c>
      <c r="F722" s="4" t="str">
        <f>IFERROR(__xludf.DUMMYFUNCTION("""COMPUTED_VALUE"""),"")</f>
        <v/>
      </c>
      <c r="G722" s="4" t="str">
        <f>IFERROR(__xludf.DUMMYFUNCTION("""COMPUTED_VALUE"""),"#VALUE!")</f>
        <v>#VALUE!</v>
      </c>
      <c r="H722" s="4" t="str">
        <f>IFERROR(__xludf.DUMMYFUNCTION("""COMPUTED_VALUE"""),"")</f>
        <v/>
      </c>
    </row>
    <row r="723">
      <c r="E723" s="4" t="str">
        <f>IFERROR(__xludf.DUMMYFUNCTION("""COMPUTED_VALUE"""),"#VALUE!")</f>
        <v>#VALUE!</v>
      </c>
      <c r="F723" s="4" t="str">
        <f>IFERROR(__xludf.DUMMYFUNCTION("""COMPUTED_VALUE"""),"")</f>
        <v/>
      </c>
      <c r="G723" s="4" t="str">
        <f>IFERROR(__xludf.DUMMYFUNCTION("""COMPUTED_VALUE"""),"#VALUE!")</f>
        <v>#VALUE!</v>
      </c>
      <c r="H723" s="4" t="str">
        <f>IFERROR(__xludf.DUMMYFUNCTION("""COMPUTED_VALUE"""),"")</f>
        <v/>
      </c>
    </row>
    <row r="724">
      <c r="E724" s="4" t="str">
        <f>IFERROR(__xludf.DUMMYFUNCTION("""COMPUTED_VALUE"""),"#VALUE!")</f>
        <v>#VALUE!</v>
      </c>
      <c r="F724" s="4" t="str">
        <f>IFERROR(__xludf.DUMMYFUNCTION("""COMPUTED_VALUE"""),"")</f>
        <v/>
      </c>
      <c r="G724" s="4" t="str">
        <f>IFERROR(__xludf.DUMMYFUNCTION("""COMPUTED_VALUE"""),"#VALUE!")</f>
        <v>#VALUE!</v>
      </c>
      <c r="H724" s="4" t="str">
        <f>IFERROR(__xludf.DUMMYFUNCTION("""COMPUTED_VALUE"""),"")</f>
        <v/>
      </c>
    </row>
    <row r="725">
      <c r="E725" s="4" t="str">
        <f>IFERROR(__xludf.DUMMYFUNCTION("""COMPUTED_VALUE"""),"#VALUE!")</f>
        <v>#VALUE!</v>
      </c>
      <c r="F725" s="4" t="str">
        <f>IFERROR(__xludf.DUMMYFUNCTION("""COMPUTED_VALUE"""),"")</f>
        <v/>
      </c>
      <c r="G725" s="4" t="str">
        <f>IFERROR(__xludf.DUMMYFUNCTION("""COMPUTED_VALUE"""),"#VALUE!")</f>
        <v>#VALUE!</v>
      </c>
      <c r="H725" s="4" t="str">
        <f>IFERROR(__xludf.DUMMYFUNCTION("""COMPUTED_VALUE"""),"")</f>
        <v/>
      </c>
    </row>
    <row r="726">
      <c r="E726" s="4" t="str">
        <f>IFERROR(__xludf.DUMMYFUNCTION("""COMPUTED_VALUE"""),"#VALUE!")</f>
        <v>#VALUE!</v>
      </c>
      <c r="F726" s="4" t="str">
        <f>IFERROR(__xludf.DUMMYFUNCTION("""COMPUTED_VALUE"""),"")</f>
        <v/>
      </c>
      <c r="G726" s="4" t="str">
        <f>IFERROR(__xludf.DUMMYFUNCTION("""COMPUTED_VALUE"""),"#VALUE!")</f>
        <v>#VALUE!</v>
      </c>
      <c r="H726" s="4" t="str">
        <f>IFERROR(__xludf.DUMMYFUNCTION("""COMPUTED_VALUE"""),"")</f>
        <v/>
      </c>
    </row>
    <row r="727">
      <c r="E727" s="4" t="str">
        <f>IFERROR(__xludf.DUMMYFUNCTION("""COMPUTED_VALUE"""),"#VALUE!")</f>
        <v>#VALUE!</v>
      </c>
      <c r="F727" s="4" t="str">
        <f>IFERROR(__xludf.DUMMYFUNCTION("""COMPUTED_VALUE"""),"")</f>
        <v/>
      </c>
      <c r="G727" s="4" t="str">
        <f>IFERROR(__xludf.DUMMYFUNCTION("""COMPUTED_VALUE"""),"#VALUE!")</f>
        <v>#VALUE!</v>
      </c>
      <c r="H727" s="4" t="str">
        <f>IFERROR(__xludf.DUMMYFUNCTION("""COMPUTED_VALUE"""),"")</f>
        <v/>
      </c>
    </row>
    <row r="728">
      <c r="E728" s="4" t="str">
        <f>IFERROR(__xludf.DUMMYFUNCTION("""COMPUTED_VALUE"""),"#VALUE!")</f>
        <v>#VALUE!</v>
      </c>
      <c r="F728" s="4" t="str">
        <f>IFERROR(__xludf.DUMMYFUNCTION("""COMPUTED_VALUE"""),"")</f>
        <v/>
      </c>
      <c r="G728" s="4" t="str">
        <f>IFERROR(__xludf.DUMMYFUNCTION("""COMPUTED_VALUE"""),"#VALUE!")</f>
        <v>#VALUE!</v>
      </c>
      <c r="H728" s="4" t="str">
        <f>IFERROR(__xludf.DUMMYFUNCTION("""COMPUTED_VALUE"""),"")</f>
        <v/>
      </c>
    </row>
    <row r="729">
      <c r="E729" s="4" t="str">
        <f>IFERROR(__xludf.DUMMYFUNCTION("""COMPUTED_VALUE"""),"#VALUE!")</f>
        <v>#VALUE!</v>
      </c>
      <c r="F729" s="4" t="str">
        <f>IFERROR(__xludf.DUMMYFUNCTION("""COMPUTED_VALUE"""),"")</f>
        <v/>
      </c>
      <c r="G729" s="4" t="str">
        <f>IFERROR(__xludf.DUMMYFUNCTION("""COMPUTED_VALUE"""),"#VALUE!")</f>
        <v>#VALUE!</v>
      </c>
      <c r="H729" s="4" t="str">
        <f>IFERROR(__xludf.DUMMYFUNCTION("""COMPUTED_VALUE"""),"")</f>
        <v/>
      </c>
    </row>
    <row r="730">
      <c r="E730" s="4" t="str">
        <f>IFERROR(__xludf.DUMMYFUNCTION("""COMPUTED_VALUE"""),"#VALUE!")</f>
        <v>#VALUE!</v>
      </c>
      <c r="F730" s="4" t="str">
        <f>IFERROR(__xludf.DUMMYFUNCTION("""COMPUTED_VALUE"""),"")</f>
        <v/>
      </c>
      <c r="G730" s="4" t="str">
        <f>IFERROR(__xludf.DUMMYFUNCTION("""COMPUTED_VALUE"""),"#VALUE!")</f>
        <v>#VALUE!</v>
      </c>
      <c r="H730" s="4" t="str">
        <f>IFERROR(__xludf.DUMMYFUNCTION("""COMPUTED_VALUE"""),"")</f>
        <v/>
      </c>
    </row>
    <row r="731">
      <c r="E731" s="4" t="str">
        <f>IFERROR(__xludf.DUMMYFUNCTION("""COMPUTED_VALUE"""),"#VALUE!")</f>
        <v>#VALUE!</v>
      </c>
      <c r="F731" s="4" t="str">
        <f>IFERROR(__xludf.DUMMYFUNCTION("""COMPUTED_VALUE"""),"")</f>
        <v/>
      </c>
      <c r="G731" s="4" t="str">
        <f>IFERROR(__xludf.DUMMYFUNCTION("""COMPUTED_VALUE"""),"#VALUE!")</f>
        <v>#VALUE!</v>
      </c>
      <c r="H731" s="4" t="str">
        <f>IFERROR(__xludf.DUMMYFUNCTION("""COMPUTED_VALUE"""),"")</f>
        <v/>
      </c>
    </row>
    <row r="732">
      <c r="E732" s="4" t="str">
        <f>IFERROR(__xludf.DUMMYFUNCTION("""COMPUTED_VALUE"""),"#VALUE!")</f>
        <v>#VALUE!</v>
      </c>
      <c r="F732" s="4" t="str">
        <f>IFERROR(__xludf.DUMMYFUNCTION("""COMPUTED_VALUE"""),"")</f>
        <v/>
      </c>
      <c r="G732" s="4" t="str">
        <f>IFERROR(__xludf.DUMMYFUNCTION("""COMPUTED_VALUE"""),"#VALUE!")</f>
        <v>#VALUE!</v>
      </c>
      <c r="H732" s="4" t="str">
        <f>IFERROR(__xludf.DUMMYFUNCTION("""COMPUTED_VALUE"""),"")</f>
        <v/>
      </c>
    </row>
    <row r="733">
      <c r="E733" s="4" t="str">
        <f>IFERROR(__xludf.DUMMYFUNCTION("""COMPUTED_VALUE"""),"#VALUE!")</f>
        <v>#VALUE!</v>
      </c>
      <c r="F733" s="4" t="str">
        <f>IFERROR(__xludf.DUMMYFUNCTION("""COMPUTED_VALUE"""),"")</f>
        <v/>
      </c>
      <c r="G733" s="4" t="str">
        <f>IFERROR(__xludf.DUMMYFUNCTION("""COMPUTED_VALUE"""),"#VALUE!")</f>
        <v>#VALUE!</v>
      </c>
      <c r="H733" s="4" t="str">
        <f>IFERROR(__xludf.DUMMYFUNCTION("""COMPUTED_VALUE"""),"")</f>
        <v/>
      </c>
    </row>
    <row r="734">
      <c r="E734" s="4" t="str">
        <f>IFERROR(__xludf.DUMMYFUNCTION("""COMPUTED_VALUE"""),"#VALUE!")</f>
        <v>#VALUE!</v>
      </c>
      <c r="F734" s="4" t="str">
        <f>IFERROR(__xludf.DUMMYFUNCTION("""COMPUTED_VALUE"""),"")</f>
        <v/>
      </c>
      <c r="G734" s="4" t="str">
        <f>IFERROR(__xludf.DUMMYFUNCTION("""COMPUTED_VALUE"""),"#VALUE!")</f>
        <v>#VALUE!</v>
      </c>
      <c r="H734" s="4" t="str">
        <f>IFERROR(__xludf.DUMMYFUNCTION("""COMPUTED_VALUE"""),"")</f>
        <v/>
      </c>
    </row>
    <row r="735">
      <c r="E735" s="4" t="str">
        <f>IFERROR(__xludf.DUMMYFUNCTION("""COMPUTED_VALUE"""),"#VALUE!")</f>
        <v>#VALUE!</v>
      </c>
      <c r="F735" s="4" t="str">
        <f>IFERROR(__xludf.DUMMYFUNCTION("""COMPUTED_VALUE"""),"")</f>
        <v/>
      </c>
      <c r="G735" s="4" t="str">
        <f>IFERROR(__xludf.DUMMYFUNCTION("""COMPUTED_VALUE"""),"#VALUE!")</f>
        <v>#VALUE!</v>
      </c>
      <c r="H735" s="4" t="str">
        <f>IFERROR(__xludf.DUMMYFUNCTION("""COMPUTED_VALUE"""),"")</f>
        <v/>
      </c>
    </row>
    <row r="736">
      <c r="E736" s="4" t="str">
        <f>IFERROR(__xludf.DUMMYFUNCTION("""COMPUTED_VALUE"""),"#VALUE!")</f>
        <v>#VALUE!</v>
      </c>
      <c r="F736" s="4" t="str">
        <f>IFERROR(__xludf.DUMMYFUNCTION("""COMPUTED_VALUE"""),"")</f>
        <v/>
      </c>
      <c r="G736" s="4" t="str">
        <f>IFERROR(__xludf.DUMMYFUNCTION("""COMPUTED_VALUE"""),"#VALUE!")</f>
        <v>#VALUE!</v>
      </c>
      <c r="H736" s="4" t="str">
        <f>IFERROR(__xludf.DUMMYFUNCTION("""COMPUTED_VALUE"""),"")</f>
        <v/>
      </c>
    </row>
    <row r="737">
      <c r="E737" s="4" t="str">
        <f>IFERROR(__xludf.DUMMYFUNCTION("""COMPUTED_VALUE"""),"#VALUE!")</f>
        <v>#VALUE!</v>
      </c>
      <c r="F737" s="4" t="str">
        <f>IFERROR(__xludf.DUMMYFUNCTION("""COMPUTED_VALUE"""),"")</f>
        <v/>
      </c>
      <c r="G737" s="4" t="str">
        <f>IFERROR(__xludf.DUMMYFUNCTION("""COMPUTED_VALUE"""),"#VALUE!")</f>
        <v>#VALUE!</v>
      </c>
      <c r="H737" s="4" t="str">
        <f>IFERROR(__xludf.DUMMYFUNCTION("""COMPUTED_VALUE"""),"")</f>
        <v/>
      </c>
    </row>
    <row r="738">
      <c r="E738" s="4" t="str">
        <f>IFERROR(__xludf.DUMMYFUNCTION("""COMPUTED_VALUE"""),"#VALUE!")</f>
        <v>#VALUE!</v>
      </c>
      <c r="F738" s="4" t="str">
        <f>IFERROR(__xludf.DUMMYFUNCTION("""COMPUTED_VALUE"""),"")</f>
        <v/>
      </c>
      <c r="G738" s="4" t="str">
        <f>IFERROR(__xludf.DUMMYFUNCTION("""COMPUTED_VALUE"""),"#VALUE!")</f>
        <v>#VALUE!</v>
      </c>
      <c r="H738" s="4" t="str">
        <f>IFERROR(__xludf.DUMMYFUNCTION("""COMPUTED_VALUE"""),"")</f>
        <v/>
      </c>
    </row>
    <row r="739">
      <c r="E739" s="4" t="str">
        <f>IFERROR(__xludf.DUMMYFUNCTION("""COMPUTED_VALUE"""),"#VALUE!")</f>
        <v>#VALUE!</v>
      </c>
      <c r="F739" s="4" t="str">
        <f>IFERROR(__xludf.DUMMYFUNCTION("""COMPUTED_VALUE"""),"")</f>
        <v/>
      </c>
      <c r="G739" s="4" t="str">
        <f>IFERROR(__xludf.DUMMYFUNCTION("""COMPUTED_VALUE"""),"#VALUE!")</f>
        <v>#VALUE!</v>
      </c>
      <c r="H739" s="4" t="str">
        <f>IFERROR(__xludf.DUMMYFUNCTION("""COMPUTED_VALUE"""),"")</f>
        <v/>
      </c>
    </row>
    <row r="740">
      <c r="E740" s="4" t="str">
        <f>IFERROR(__xludf.DUMMYFUNCTION("""COMPUTED_VALUE"""),"#VALUE!")</f>
        <v>#VALUE!</v>
      </c>
      <c r="F740" s="4" t="str">
        <f>IFERROR(__xludf.DUMMYFUNCTION("""COMPUTED_VALUE"""),"")</f>
        <v/>
      </c>
      <c r="G740" s="4" t="str">
        <f>IFERROR(__xludf.DUMMYFUNCTION("""COMPUTED_VALUE"""),"#VALUE!")</f>
        <v>#VALUE!</v>
      </c>
      <c r="H740" s="4" t="str">
        <f>IFERROR(__xludf.DUMMYFUNCTION("""COMPUTED_VALUE"""),"")</f>
        <v/>
      </c>
    </row>
    <row r="741">
      <c r="E741" s="4" t="str">
        <f>IFERROR(__xludf.DUMMYFUNCTION("""COMPUTED_VALUE"""),"#VALUE!")</f>
        <v>#VALUE!</v>
      </c>
      <c r="F741" s="4" t="str">
        <f>IFERROR(__xludf.DUMMYFUNCTION("""COMPUTED_VALUE"""),"")</f>
        <v/>
      </c>
      <c r="G741" s="4" t="str">
        <f>IFERROR(__xludf.DUMMYFUNCTION("""COMPUTED_VALUE"""),"#VALUE!")</f>
        <v>#VALUE!</v>
      </c>
      <c r="H741" s="4" t="str">
        <f>IFERROR(__xludf.DUMMYFUNCTION("""COMPUTED_VALUE"""),"")</f>
        <v/>
      </c>
    </row>
    <row r="742">
      <c r="E742" s="4" t="str">
        <f>IFERROR(__xludf.DUMMYFUNCTION("""COMPUTED_VALUE"""),"#VALUE!")</f>
        <v>#VALUE!</v>
      </c>
      <c r="F742" s="4" t="str">
        <f>IFERROR(__xludf.DUMMYFUNCTION("""COMPUTED_VALUE"""),"")</f>
        <v/>
      </c>
      <c r="G742" s="4" t="str">
        <f>IFERROR(__xludf.DUMMYFUNCTION("""COMPUTED_VALUE"""),"#VALUE!")</f>
        <v>#VALUE!</v>
      </c>
      <c r="H742" s="4" t="str">
        <f>IFERROR(__xludf.DUMMYFUNCTION("""COMPUTED_VALUE"""),"")</f>
        <v/>
      </c>
    </row>
    <row r="743">
      <c r="E743" s="4" t="str">
        <f>IFERROR(__xludf.DUMMYFUNCTION("""COMPUTED_VALUE"""),"#VALUE!")</f>
        <v>#VALUE!</v>
      </c>
      <c r="F743" s="4" t="str">
        <f>IFERROR(__xludf.DUMMYFUNCTION("""COMPUTED_VALUE"""),"")</f>
        <v/>
      </c>
      <c r="G743" s="4" t="str">
        <f>IFERROR(__xludf.DUMMYFUNCTION("""COMPUTED_VALUE"""),"#VALUE!")</f>
        <v>#VALUE!</v>
      </c>
      <c r="H743" s="4" t="str">
        <f>IFERROR(__xludf.DUMMYFUNCTION("""COMPUTED_VALUE"""),"")</f>
        <v/>
      </c>
    </row>
    <row r="744">
      <c r="E744" s="4" t="str">
        <f>IFERROR(__xludf.DUMMYFUNCTION("""COMPUTED_VALUE"""),"#VALUE!")</f>
        <v>#VALUE!</v>
      </c>
      <c r="F744" s="4" t="str">
        <f>IFERROR(__xludf.DUMMYFUNCTION("""COMPUTED_VALUE"""),"")</f>
        <v/>
      </c>
      <c r="G744" s="4" t="str">
        <f>IFERROR(__xludf.DUMMYFUNCTION("""COMPUTED_VALUE"""),"#VALUE!")</f>
        <v>#VALUE!</v>
      </c>
      <c r="H744" s="4" t="str">
        <f>IFERROR(__xludf.DUMMYFUNCTION("""COMPUTED_VALUE"""),"")</f>
        <v/>
      </c>
    </row>
    <row r="745">
      <c r="E745" s="4" t="str">
        <f>IFERROR(__xludf.DUMMYFUNCTION("""COMPUTED_VALUE"""),"#VALUE!")</f>
        <v>#VALUE!</v>
      </c>
      <c r="F745" s="4" t="str">
        <f>IFERROR(__xludf.DUMMYFUNCTION("""COMPUTED_VALUE"""),"")</f>
        <v/>
      </c>
      <c r="G745" s="4" t="str">
        <f>IFERROR(__xludf.DUMMYFUNCTION("""COMPUTED_VALUE"""),"#VALUE!")</f>
        <v>#VALUE!</v>
      </c>
      <c r="H745" s="4" t="str">
        <f>IFERROR(__xludf.DUMMYFUNCTION("""COMPUTED_VALUE"""),"")</f>
        <v/>
      </c>
    </row>
    <row r="746">
      <c r="E746" s="4" t="str">
        <f>IFERROR(__xludf.DUMMYFUNCTION("""COMPUTED_VALUE"""),"#VALUE!")</f>
        <v>#VALUE!</v>
      </c>
      <c r="F746" s="4" t="str">
        <f>IFERROR(__xludf.DUMMYFUNCTION("""COMPUTED_VALUE"""),"")</f>
        <v/>
      </c>
      <c r="G746" s="4" t="str">
        <f>IFERROR(__xludf.DUMMYFUNCTION("""COMPUTED_VALUE"""),"#VALUE!")</f>
        <v>#VALUE!</v>
      </c>
      <c r="H746" s="4" t="str">
        <f>IFERROR(__xludf.DUMMYFUNCTION("""COMPUTED_VALUE"""),"")</f>
        <v/>
      </c>
    </row>
    <row r="747">
      <c r="E747" s="4" t="str">
        <f>IFERROR(__xludf.DUMMYFUNCTION("""COMPUTED_VALUE"""),"#VALUE!")</f>
        <v>#VALUE!</v>
      </c>
      <c r="F747" s="4" t="str">
        <f>IFERROR(__xludf.DUMMYFUNCTION("""COMPUTED_VALUE"""),"")</f>
        <v/>
      </c>
      <c r="G747" s="4" t="str">
        <f>IFERROR(__xludf.DUMMYFUNCTION("""COMPUTED_VALUE"""),"#VALUE!")</f>
        <v>#VALUE!</v>
      </c>
      <c r="H747" s="4" t="str">
        <f>IFERROR(__xludf.DUMMYFUNCTION("""COMPUTED_VALUE"""),"")</f>
        <v/>
      </c>
    </row>
    <row r="748">
      <c r="E748" s="4" t="str">
        <f>IFERROR(__xludf.DUMMYFUNCTION("""COMPUTED_VALUE"""),"#VALUE!")</f>
        <v>#VALUE!</v>
      </c>
      <c r="F748" s="4" t="str">
        <f>IFERROR(__xludf.DUMMYFUNCTION("""COMPUTED_VALUE"""),"")</f>
        <v/>
      </c>
      <c r="G748" s="4" t="str">
        <f>IFERROR(__xludf.DUMMYFUNCTION("""COMPUTED_VALUE"""),"#VALUE!")</f>
        <v>#VALUE!</v>
      </c>
      <c r="H748" s="4" t="str">
        <f>IFERROR(__xludf.DUMMYFUNCTION("""COMPUTED_VALUE"""),"")</f>
        <v/>
      </c>
    </row>
    <row r="749">
      <c r="E749" s="4" t="str">
        <f>IFERROR(__xludf.DUMMYFUNCTION("""COMPUTED_VALUE"""),"#VALUE!")</f>
        <v>#VALUE!</v>
      </c>
      <c r="F749" s="4" t="str">
        <f>IFERROR(__xludf.DUMMYFUNCTION("""COMPUTED_VALUE"""),"")</f>
        <v/>
      </c>
      <c r="G749" s="4" t="str">
        <f>IFERROR(__xludf.DUMMYFUNCTION("""COMPUTED_VALUE"""),"#VALUE!")</f>
        <v>#VALUE!</v>
      </c>
      <c r="H749" s="4" t="str">
        <f>IFERROR(__xludf.DUMMYFUNCTION("""COMPUTED_VALUE"""),"")</f>
        <v/>
      </c>
    </row>
    <row r="750">
      <c r="E750" s="4" t="str">
        <f>IFERROR(__xludf.DUMMYFUNCTION("""COMPUTED_VALUE"""),"#VALUE!")</f>
        <v>#VALUE!</v>
      </c>
      <c r="F750" s="4" t="str">
        <f>IFERROR(__xludf.DUMMYFUNCTION("""COMPUTED_VALUE"""),"")</f>
        <v/>
      </c>
      <c r="G750" s="4" t="str">
        <f>IFERROR(__xludf.DUMMYFUNCTION("""COMPUTED_VALUE"""),"#VALUE!")</f>
        <v>#VALUE!</v>
      </c>
      <c r="H750" s="4" t="str">
        <f>IFERROR(__xludf.DUMMYFUNCTION("""COMPUTED_VALUE"""),"")</f>
        <v/>
      </c>
    </row>
    <row r="751">
      <c r="E751" s="4" t="str">
        <f>IFERROR(__xludf.DUMMYFUNCTION("""COMPUTED_VALUE"""),"#VALUE!")</f>
        <v>#VALUE!</v>
      </c>
      <c r="F751" s="4" t="str">
        <f>IFERROR(__xludf.DUMMYFUNCTION("""COMPUTED_VALUE"""),"")</f>
        <v/>
      </c>
      <c r="G751" s="4" t="str">
        <f>IFERROR(__xludf.DUMMYFUNCTION("""COMPUTED_VALUE"""),"#VALUE!")</f>
        <v>#VALUE!</v>
      </c>
      <c r="H751" s="4" t="str">
        <f>IFERROR(__xludf.DUMMYFUNCTION("""COMPUTED_VALUE"""),"")</f>
        <v/>
      </c>
    </row>
    <row r="752">
      <c r="E752" s="4" t="str">
        <f>IFERROR(__xludf.DUMMYFUNCTION("""COMPUTED_VALUE"""),"#VALUE!")</f>
        <v>#VALUE!</v>
      </c>
      <c r="F752" s="4" t="str">
        <f>IFERROR(__xludf.DUMMYFUNCTION("""COMPUTED_VALUE"""),"")</f>
        <v/>
      </c>
      <c r="G752" s="4" t="str">
        <f>IFERROR(__xludf.DUMMYFUNCTION("""COMPUTED_VALUE"""),"#VALUE!")</f>
        <v>#VALUE!</v>
      </c>
      <c r="H752" s="4" t="str">
        <f>IFERROR(__xludf.DUMMYFUNCTION("""COMPUTED_VALUE"""),"")</f>
        <v/>
      </c>
    </row>
    <row r="753">
      <c r="E753" s="4" t="str">
        <f>IFERROR(__xludf.DUMMYFUNCTION("""COMPUTED_VALUE"""),"#VALUE!")</f>
        <v>#VALUE!</v>
      </c>
      <c r="F753" s="4" t="str">
        <f>IFERROR(__xludf.DUMMYFUNCTION("""COMPUTED_VALUE"""),"")</f>
        <v/>
      </c>
      <c r="G753" s="4" t="str">
        <f>IFERROR(__xludf.DUMMYFUNCTION("""COMPUTED_VALUE"""),"#VALUE!")</f>
        <v>#VALUE!</v>
      </c>
      <c r="H753" s="4" t="str">
        <f>IFERROR(__xludf.DUMMYFUNCTION("""COMPUTED_VALUE"""),"")</f>
        <v/>
      </c>
    </row>
    <row r="754">
      <c r="E754" s="4" t="str">
        <f>IFERROR(__xludf.DUMMYFUNCTION("""COMPUTED_VALUE"""),"#VALUE!")</f>
        <v>#VALUE!</v>
      </c>
      <c r="F754" s="4" t="str">
        <f>IFERROR(__xludf.DUMMYFUNCTION("""COMPUTED_VALUE"""),"")</f>
        <v/>
      </c>
      <c r="G754" s="4" t="str">
        <f>IFERROR(__xludf.DUMMYFUNCTION("""COMPUTED_VALUE"""),"#VALUE!")</f>
        <v>#VALUE!</v>
      </c>
      <c r="H754" s="4" t="str">
        <f>IFERROR(__xludf.DUMMYFUNCTION("""COMPUTED_VALUE"""),"")</f>
        <v/>
      </c>
    </row>
    <row r="755">
      <c r="E755" s="4" t="str">
        <f>IFERROR(__xludf.DUMMYFUNCTION("""COMPUTED_VALUE"""),"#VALUE!")</f>
        <v>#VALUE!</v>
      </c>
      <c r="F755" s="4" t="str">
        <f>IFERROR(__xludf.DUMMYFUNCTION("""COMPUTED_VALUE"""),"")</f>
        <v/>
      </c>
      <c r="G755" s="4" t="str">
        <f>IFERROR(__xludf.DUMMYFUNCTION("""COMPUTED_VALUE"""),"#VALUE!")</f>
        <v>#VALUE!</v>
      </c>
      <c r="H755" s="4" t="str">
        <f>IFERROR(__xludf.DUMMYFUNCTION("""COMPUTED_VALUE"""),"")</f>
        <v/>
      </c>
    </row>
    <row r="756">
      <c r="E756" s="4" t="str">
        <f>IFERROR(__xludf.DUMMYFUNCTION("""COMPUTED_VALUE"""),"#VALUE!")</f>
        <v>#VALUE!</v>
      </c>
      <c r="F756" s="4" t="str">
        <f>IFERROR(__xludf.DUMMYFUNCTION("""COMPUTED_VALUE"""),"")</f>
        <v/>
      </c>
      <c r="G756" s="4" t="str">
        <f>IFERROR(__xludf.DUMMYFUNCTION("""COMPUTED_VALUE"""),"#VALUE!")</f>
        <v>#VALUE!</v>
      </c>
      <c r="H756" s="4" t="str">
        <f>IFERROR(__xludf.DUMMYFUNCTION("""COMPUTED_VALUE"""),"")</f>
        <v/>
      </c>
    </row>
    <row r="757">
      <c r="E757" s="4" t="str">
        <f>IFERROR(__xludf.DUMMYFUNCTION("""COMPUTED_VALUE"""),"#VALUE!")</f>
        <v>#VALUE!</v>
      </c>
      <c r="F757" s="4" t="str">
        <f>IFERROR(__xludf.DUMMYFUNCTION("""COMPUTED_VALUE"""),"")</f>
        <v/>
      </c>
      <c r="G757" s="4" t="str">
        <f>IFERROR(__xludf.DUMMYFUNCTION("""COMPUTED_VALUE"""),"#VALUE!")</f>
        <v>#VALUE!</v>
      </c>
      <c r="H757" s="4" t="str">
        <f>IFERROR(__xludf.DUMMYFUNCTION("""COMPUTED_VALUE"""),"")</f>
        <v/>
      </c>
    </row>
    <row r="758">
      <c r="E758" s="4" t="str">
        <f>IFERROR(__xludf.DUMMYFUNCTION("""COMPUTED_VALUE"""),"#VALUE!")</f>
        <v>#VALUE!</v>
      </c>
      <c r="F758" s="4" t="str">
        <f>IFERROR(__xludf.DUMMYFUNCTION("""COMPUTED_VALUE"""),"")</f>
        <v/>
      </c>
      <c r="G758" s="4" t="str">
        <f>IFERROR(__xludf.DUMMYFUNCTION("""COMPUTED_VALUE"""),"#VALUE!")</f>
        <v>#VALUE!</v>
      </c>
      <c r="H758" s="4" t="str">
        <f>IFERROR(__xludf.DUMMYFUNCTION("""COMPUTED_VALUE"""),"")</f>
        <v/>
      </c>
    </row>
    <row r="759">
      <c r="E759" s="4" t="str">
        <f>IFERROR(__xludf.DUMMYFUNCTION("""COMPUTED_VALUE"""),"#VALUE!")</f>
        <v>#VALUE!</v>
      </c>
      <c r="F759" s="4" t="str">
        <f>IFERROR(__xludf.DUMMYFUNCTION("""COMPUTED_VALUE"""),"")</f>
        <v/>
      </c>
      <c r="G759" s="4" t="str">
        <f>IFERROR(__xludf.DUMMYFUNCTION("""COMPUTED_VALUE"""),"#VALUE!")</f>
        <v>#VALUE!</v>
      </c>
      <c r="H759" s="4" t="str">
        <f>IFERROR(__xludf.DUMMYFUNCTION("""COMPUTED_VALUE"""),"")</f>
        <v/>
      </c>
    </row>
    <row r="760">
      <c r="E760" s="4" t="str">
        <f>IFERROR(__xludf.DUMMYFUNCTION("""COMPUTED_VALUE"""),"#VALUE!")</f>
        <v>#VALUE!</v>
      </c>
      <c r="F760" s="4" t="str">
        <f>IFERROR(__xludf.DUMMYFUNCTION("""COMPUTED_VALUE"""),"")</f>
        <v/>
      </c>
      <c r="G760" s="4" t="str">
        <f>IFERROR(__xludf.DUMMYFUNCTION("""COMPUTED_VALUE"""),"#VALUE!")</f>
        <v>#VALUE!</v>
      </c>
      <c r="H760" s="4" t="str">
        <f>IFERROR(__xludf.DUMMYFUNCTION("""COMPUTED_VALUE"""),"")</f>
        <v/>
      </c>
    </row>
    <row r="761">
      <c r="E761" s="4" t="str">
        <f>IFERROR(__xludf.DUMMYFUNCTION("""COMPUTED_VALUE"""),"#VALUE!")</f>
        <v>#VALUE!</v>
      </c>
      <c r="F761" s="4" t="str">
        <f>IFERROR(__xludf.DUMMYFUNCTION("""COMPUTED_VALUE"""),"")</f>
        <v/>
      </c>
      <c r="G761" s="4" t="str">
        <f>IFERROR(__xludf.DUMMYFUNCTION("""COMPUTED_VALUE"""),"#VALUE!")</f>
        <v>#VALUE!</v>
      </c>
      <c r="H761" s="4" t="str">
        <f>IFERROR(__xludf.DUMMYFUNCTION("""COMPUTED_VALUE"""),"")</f>
        <v/>
      </c>
    </row>
    <row r="762">
      <c r="E762" s="4" t="str">
        <f>IFERROR(__xludf.DUMMYFUNCTION("""COMPUTED_VALUE"""),"#VALUE!")</f>
        <v>#VALUE!</v>
      </c>
      <c r="F762" s="4" t="str">
        <f>IFERROR(__xludf.DUMMYFUNCTION("""COMPUTED_VALUE"""),"")</f>
        <v/>
      </c>
      <c r="G762" s="4" t="str">
        <f>IFERROR(__xludf.DUMMYFUNCTION("""COMPUTED_VALUE"""),"#VALUE!")</f>
        <v>#VALUE!</v>
      </c>
      <c r="H762" s="4" t="str">
        <f>IFERROR(__xludf.DUMMYFUNCTION("""COMPUTED_VALUE"""),"")</f>
        <v/>
      </c>
    </row>
    <row r="763">
      <c r="E763" s="4" t="str">
        <f>IFERROR(__xludf.DUMMYFUNCTION("""COMPUTED_VALUE"""),"#VALUE!")</f>
        <v>#VALUE!</v>
      </c>
      <c r="F763" s="4" t="str">
        <f>IFERROR(__xludf.DUMMYFUNCTION("""COMPUTED_VALUE"""),"")</f>
        <v/>
      </c>
      <c r="G763" s="4" t="str">
        <f>IFERROR(__xludf.DUMMYFUNCTION("""COMPUTED_VALUE"""),"#VALUE!")</f>
        <v>#VALUE!</v>
      </c>
      <c r="H763" s="4" t="str">
        <f>IFERROR(__xludf.DUMMYFUNCTION("""COMPUTED_VALUE"""),"")</f>
        <v/>
      </c>
    </row>
    <row r="764">
      <c r="E764" s="4" t="str">
        <f>IFERROR(__xludf.DUMMYFUNCTION("""COMPUTED_VALUE"""),"#VALUE!")</f>
        <v>#VALUE!</v>
      </c>
      <c r="F764" s="4" t="str">
        <f>IFERROR(__xludf.DUMMYFUNCTION("""COMPUTED_VALUE"""),"")</f>
        <v/>
      </c>
      <c r="G764" s="4" t="str">
        <f>IFERROR(__xludf.DUMMYFUNCTION("""COMPUTED_VALUE"""),"#VALUE!")</f>
        <v>#VALUE!</v>
      </c>
      <c r="H764" s="4" t="str">
        <f>IFERROR(__xludf.DUMMYFUNCTION("""COMPUTED_VALUE"""),"")</f>
        <v/>
      </c>
    </row>
    <row r="765">
      <c r="E765" s="4" t="str">
        <f>IFERROR(__xludf.DUMMYFUNCTION("""COMPUTED_VALUE"""),"#VALUE!")</f>
        <v>#VALUE!</v>
      </c>
      <c r="F765" s="4" t="str">
        <f>IFERROR(__xludf.DUMMYFUNCTION("""COMPUTED_VALUE"""),"")</f>
        <v/>
      </c>
      <c r="G765" s="4" t="str">
        <f>IFERROR(__xludf.DUMMYFUNCTION("""COMPUTED_VALUE"""),"#VALUE!")</f>
        <v>#VALUE!</v>
      </c>
      <c r="H765" s="4" t="str">
        <f>IFERROR(__xludf.DUMMYFUNCTION("""COMPUTED_VALUE"""),"")</f>
        <v/>
      </c>
    </row>
    <row r="766">
      <c r="E766" s="4" t="str">
        <f>IFERROR(__xludf.DUMMYFUNCTION("""COMPUTED_VALUE"""),"#VALUE!")</f>
        <v>#VALUE!</v>
      </c>
      <c r="F766" s="4" t="str">
        <f>IFERROR(__xludf.DUMMYFUNCTION("""COMPUTED_VALUE"""),"")</f>
        <v/>
      </c>
      <c r="G766" s="4" t="str">
        <f>IFERROR(__xludf.DUMMYFUNCTION("""COMPUTED_VALUE"""),"#VALUE!")</f>
        <v>#VALUE!</v>
      </c>
      <c r="H766" s="4" t="str">
        <f>IFERROR(__xludf.DUMMYFUNCTION("""COMPUTED_VALUE"""),"")</f>
        <v/>
      </c>
    </row>
    <row r="767">
      <c r="E767" s="4" t="str">
        <f>IFERROR(__xludf.DUMMYFUNCTION("""COMPUTED_VALUE"""),"#VALUE!")</f>
        <v>#VALUE!</v>
      </c>
      <c r="F767" s="4" t="str">
        <f>IFERROR(__xludf.DUMMYFUNCTION("""COMPUTED_VALUE"""),"")</f>
        <v/>
      </c>
      <c r="G767" s="4" t="str">
        <f>IFERROR(__xludf.DUMMYFUNCTION("""COMPUTED_VALUE"""),"#VALUE!")</f>
        <v>#VALUE!</v>
      </c>
      <c r="H767" s="4" t="str">
        <f>IFERROR(__xludf.DUMMYFUNCTION("""COMPUTED_VALUE"""),"")</f>
        <v/>
      </c>
    </row>
    <row r="768">
      <c r="E768" s="4" t="str">
        <f>IFERROR(__xludf.DUMMYFUNCTION("""COMPUTED_VALUE"""),"#VALUE!")</f>
        <v>#VALUE!</v>
      </c>
      <c r="F768" s="4" t="str">
        <f>IFERROR(__xludf.DUMMYFUNCTION("""COMPUTED_VALUE"""),"")</f>
        <v/>
      </c>
      <c r="G768" s="4" t="str">
        <f>IFERROR(__xludf.DUMMYFUNCTION("""COMPUTED_VALUE"""),"#VALUE!")</f>
        <v>#VALUE!</v>
      </c>
      <c r="H768" s="4" t="str">
        <f>IFERROR(__xludf.DUMMYFUNCTION("""COMPUTED_VALUE"""),"")</f>
        <v/>
      </c>
    </row>
    <row r="769">
      <c r="E769" s="4" t="str">
        <f>IFERROR(__xludf.DUMMYFUNCTION("""COMPUTED_VALUE"""),"#VALUE!")</f>
        <v>#VALUE!</v>
      </c>
      <c r="F769" s="4" t="str">
        <f>IFERROR(__xludf.DUMMYFUNCTION("""COMPUTED_VALUE"""),"")</f>
        <v/>
      </c>
      <c r="G769" s="4" t="str">
        <f>IFERROR(__xludf.DUMMYFUNCTION("""COMPUTED_VALUE"""),"#VALUE!")</f>
        <v>#VALUE!</v>
      </c>
      <c r="H769" s="4" t="str">
        <f>IFERROR(__xludf.DUMMYFUNCTION("""COMPUTED_VALUE"""),"")</f>
        <v/>
      </c>
    </row>
    <row r="770">
      <c r="E770" s="4" t="str">
        <f>IFERROR(__xludf.DUMMYFUNCTION("""COMPUTED_VALUE"""),"#VALUE!")</f>
        <v>#VALUE!</v>
      </c>
      <c r="F770" s="4" t="str">
        <f>IFERROR(__xludf.DUMMYFUNCTION("""COMPUTED_VALUE"""),"")</f>
        <v/>
      </c>
      <c r="G770" s="4" t="str">
        <f>IFERROR(__xludf.DUMMYFUNCTION("""COMPUTED_VALUE"""),"#VALUE!")</f>
        <v>#VALUE!</v>
      </c>
      <c r="H770" s="4" t="str">
        <f>IFERROR(__xludf.DUMMYFUNCTION("""COMPUTED_VALUE"""),"")</f>
        <v/>
      </c>
    </row>
    <row r="771">
      <c r="E771" s="4" t="str">
        <f>IFERROR(__xludf.DUMMYFUNCTION("""COMPUTED_VALUE"""),"#VALUE!")</f>
        <v>#VALUE!</v>
      </c>
      <c r="F771" s="4" t="str">
        <f>IFERROR(__xludf.DUMMYFUNCTION("""COMPUTED_VALUE"""),"")</f>
        <v/>
      </c>
      <c r="G771" s="4" t="str">
        <f>IFERROR(__xludf.DUMMYFUNCTION("""COMPUTED_VALUE"""),"#VALUE!")</f>
        <v>#VALUE!</v>
      </c>
      <c r="H771" s="4" t="str">
        <f>IFERROR(__xludf.DUMMYFUNCTION("""COMPUTED_VALUE"""),"")</f>
        <v/>
      </c>
    </row>
    <row r="772">
      <c r="E772" s="4" t="str">
        <f>IFERROR(__xludf.DUMMYFUNCTION("""COMPUTED_VALUE"""),"#VALUE!")</f>
        <v>#VALUE!</v>
      </c>
      <c r="F772" s="4" t="str">
        <f>IFERROR(__xludf.DUMMYFUNCTION("""COMPUTED_VALUE"""),"")</f>
        <v/>
      </c>
      <c r="G772" s="4" t="str">
        <f>IFERROR(__xludf.DUMMYFUNCTION("""COMPUTED_VALUE"""),"#VALUE!")</f>
        <v>#VALUE!</v>
      </c>
      <c r="H772" s="4" t="str">
        <f>IFERROR(__xludf.DUMMYFUNCTION("""COMPUTED_VALUE"""),"")</f>
        <v/>
      </c>
    </row>
    <row r="773">
      <c r="E773" s="4" t="str">
        <f>IFERROR(__xludf.DUMMYFUNCTION("""COMPUTED_VALUE"""),"#VALUE!")</f>
        <v>#VALUE!</v>
      </c>
      <c r="F773" s="4" t="str">
        <f>IFERROR(__xludf.DUMMYFUNCTION("""COMPUTED_VALUE"""),"")</f>
        <v/>
      </c>
      <c r="G773" s="4" t="str">
        <f>IFERROR(__xludf.DUMMYFUNCTION("""COMPUTED_VALUE"""),"#VALUE!")</f>
        <v>#VALUE!</v>
      </c>
      <c r="H773" s="4" t="str">
        <f>IFERROR(__xludf.DUMMYFUNCTION("""COMPUTED_VALUE"""),"")</f>
        <v/>
      </c>
    </row>
    <row r="774">
      <c r="E774" s="4" t="str">
        <f>IFERROR(__xludf.DUMMYFUNCTION("""COMPUTED_VALUE"""),"#VALUE!")</f>
        <v>#VALUE!</v>
      </c>
      <c r="F774" s="4" t="str">
        <f>IFERROR(__xludf.DUMMYFUNCTION("""COMPUTED_VALUE"""),"")</f>
        <v/>
      </c>
      <c r="G774" s="4" t="str">
        <f>IFERROR(__xludf.DUMMYFUNCTION("""COMPUTED_VALUE"""),"#VALUE!")</f>
        <v>#VALUE!</v>
      </c>
      <c r="H774" s="4" t="str">
        <f>IFERROR(__xludf.DUMMYFUNCTION("""COMPUTED_VALUE"""),"")</f>
        <v/>
      </c>
    </row>
    <row r="775">
      <c r="E775" s="4" t="str">
        <f>IFERROR(__xludf.DUMMYFUNCTION("""COMPUTED_VALUE"""),"#VALUE!")</f>
        <v>#VALUE!</v>
      </c>
      <c r="F775" s="4" t="str">
        <f>IFERROR(__xludf.DUMMYFUNCTION("""COMPUTED_VALUE"""),"")</f>
        <v/>
      </c>
      <c r="G775" s="4" t="str">
        <f>IFERROR(__xludf.DUMMYFUNCTION("""COMPUTED_VALUE"""),"#VALUE!")</f>
        <v>#VALUE!</v>
      </c>
      <c r="H775" s="4" t="str">
        <f>IFERROR(__xludf.DUMMYFUNCTION("""COMPUTED_VALUE"""),"")</f>
        <v/>
      </c>
    </row>
    <row r="776">
      <c r="E776" s="4" t="str">
        <f>IFERROR(__xludf.DUMMYFUNCTION("""COMPUTED_VALUE"""),"#VALUE!")</f>
        <v>#VALUE!</v>
      </c>
      <c r="F776" s="4" t="str">
        <f>IFERROR(__xludf.DUMMYFUNCTION("""COMPUTED_VALUE"""),"")</f>
        <v/>
      </c>
      <c r="G776" s="4" t="str">
        <f>IFERROR(__xludf.DUMMYFUNCTION("""COMPUTED_VALUE"""),"#VALUE!")</f>
        <v>#VALUE!</v>
      </c>
      <c r="H776" s="4" t="str">
        <f>IFERROR(__xludf.DUMMYFUNCTION("""COMPUTED_VALUE"""),"")</f>
        <v/>
      </c>
    </row>
    <row r="777">
      <c r="E777" s="4" t="str">
        <f>IFERROR(__xludf.DUMMYFUNCTION("""COMPUTED_VALUE"""),"#VALUE!")</f>
        <v>#VALUE!</v>
      </c>
      <c r="F777" s="4" t="str">
        <f>IFERROR(__xludf.DUMMYFUNCTION("""COMPUTED_VALUE"""),"")</f>
        <v/>
      </c>
      <c r="G777" s="4" t="str">
        <f>IFERROR(__xludf.DUMMYFUNCTION("""COMPUTED_VALUE"""),"#VALUE!")</f>
        <v>#VALUE!</v>
      </c>
      <c r="H777" s="4" t="str">
        <f>IFERROR(__xludf.DUMMYFUNCTION("""COMPUTED_VALUE"""),"")</f>
        <v/>
      </c>
    </row>
    <row r="778">
      <c r="E778" s="4" t="str">
        <f>IFERROR(__xludf.DUMMYFUNCTION("""COMPUTED_VALUE"""),"#VALUE!")</f>
        <v>#VALUE!</v>
      </c>
      <c r="F778" s="4" t="str">
        <f>IFERROR(__xludf.DUMMYFUNCTION("""COMPUTED_VALUE"""),"")</f>
        <v/>
      </c>
      <c r="G778" s="4" t="str">
        <f>IFERROR(__xludf.DUMMYFUNCTION("""COMPUTED_VALUE"""),"#VALUE!")</f>
        <v>#VALUE!</v>
      </c>
      <c r="H778" s="4" t="str">
        <f>IFERROR(__xludf.DUMMYFUNCTION("""COMPUTED_VALUE"""),"")</f>
        <v/>
      </c>
    </row>
    <row r="779">
      <c r="E779" s="4" t="str">
        <f>IFERROR(__xludf.DUMMYFUNCTION("""COMPUTED_VALUE"""),"#VALUE!")</f>
        <v>#VALUE!</v>
      </c>
      <c r="F779" s="4" t="str">
        <f>IFERROR(__xludf.DUMMYFUNCTION("""COMPUTED_VALUE"""),"")</f>
        <v/>
      </c>
      <c r="G779" s="4" t="str">
        <f>IFERROR(__xludf.DUMMYFUNCTION("""COMPUTED_VALUE"""),"#VALUE!")</f>
        <v>#VALUE!</v>
      </c>
      <c r="H779" s="4" t="str">
        <f>IFERROR(__xludf.DUMMYFUNCTION("""COMPUTED_VALUE"""),"")</f>
        <v/>
      </c>
    </row>
    <row r="780">
      <c r="E780" s="4" t="str">
        <f>IFERROR(__xludf.DUMMYFUNCTION("""COMPUTED_VALUE"""),"#VALUE!")</f>
        <v>#VALUE!</v>
      </c>
      <c r="F780" s="4" t="str">
        <f>IFERROR(__xludf.DUMMYFUNCTION("""COMPUTED_VALUE"""),"")</f>
        <v/>
      </c>
      <c r="G780" s="4" t="str">
        <f>IFERROR(__xludf.DUMMYFUNCTION("""COMPUTED_VALUE"""),"#VALUE!")</f>
        <v>#VALUE!</v>
      </c>
      <c r="H780" s="4" t="str">
        <f>IFERROR(__xludf.DUMMYFUNCTION("""COMPUTED_VALUE"""),"")</f>
        <v/>
      </c>
    </row>
    <row r="781">
      <c r="E781" s="4" t="str">
        <f>IFERROR(__xludf.DUMMYFUNCTION("""COMPUTED_VALUE"""),"#VALUE!")</f>
        <v>#VALUE!</v>
      </c>
      <c r="F781" s="4" t="str">
        <f>IFERROR(__xludf.DUMMYFUNCTION("""COMPUTED_VALUE"""),"")</f>
        <v/>
      </c>
      <c r="G781" s="4" t="str">
        <f>IFERROR(__xludf.DUMMYFUNCTION("""COMPUTED_VALUE"""),"#VALUE!")</f>
        <v>#VALUE!</v>
      </c>
      <c r="H781" s="4" t="str">
        <f>IFERROR(__xludf.DUMMYFUNCTION("""COMPUTED_VALUE"""),"")</f>
        <v/>
      </c>
    </row>
    <row r="782">
      <c r="E782" s="4" t="str">
        <f>IFERROR(__xludf.DUMMYFUNCTION("""COMPUTED_VALUE"""),"#VALUE!")</f>
        <v>#VALUE!</v>
      </c>
      <c r="F782" s="4" t="str">
        <f>IFERROR(__xludf.DUMMYFUNCTION("""COMPUTED_VALUE"""),"")</f>
        <v/>
      </c>
      <c r="G782" s="4" t="str">
        <f>IFERROR(__xludf.DUMMYFUNCTION("""COMPUTED_VALUE"""),"#VALUE!")</f>
        <v>#VALUE!</v>
      </c>
      <c r="H782" s="4" t="str">
        <f>IFERROR(__xludf.DUMMYFUNCTION("""COMPUTED_VALUE"""),"")</f>
        <v/>
      </c>
    </row>
    <row r="783">
      <c r="E783" s="4" t="str">
        <f>IFERROR(__xludf.DUMMYFUNCTION("""COMPUTED_VALUE"""),"#VALUE!")</f>
        <v>#VALUE!</v>
      </c>
      <c r="F783" s="4" t="str">
        <f>IFERROR(__xludf.DUMMYFUNCTION("""COMPUTED_VALUE"""),"")</f>
        <v/>
      </c>
      <c r="G783" s="4" t="str">
        <f>IFERROR(__xludf.DUMMYFUNCTION("""COMPUTED_VALUE"""),"#VALUE!")</f>
        <v>#VALUE!</v>
      </c>
      <c r="H783" s="4" t="str">
        <f>IFERROR(__xludf.DUMMYFUNCTION("""COMPUTED_VALUE"""),"")</f>
        <v/>
      </c>
    </row>
    <row r="784">
      <c r="E784" s="4" t="str">
        <f>IFERROR(__xludf.DUMMYFUNCTION("""COMPUTED_VALUE"""),"#VALUE!")</f>
        <v>#VALUE!</v>
      </c>
      <c r="F784" s="4" t="str">
        <f>IFERROR(__xludf.DUMMYFUNCTION("""COMPUTED_VALUE"""),"")</f>
        <v/>
      </c>
      <c r="G784" s="4" t="str">
        <f>IFERROR(__xludf.DUMMYFUNCTION("""COMPUTED_VALUE"""),"#VALUE!")</f>
        <v>#VALUE!</v>
      </c>
      <c r="H784" s="4" t="str">
        <f>IFERROR(__xludf.DUMMYFUNCTION("""COMPUTED_VALUE"""),"")</f>
        <v/>
      </c>
    </row>
    <row r="785">
      <c r="E785" s="4" t="str">
        <f>IFERROR(__xludf.DUMMYFUNCTION("""COMPUTED_VALUE"""),"#VALUE!")</f>
        <v>#VALUE!</v>
      </c>
      <c r="F785" s="4" t="str">
        <f>IFERROR(__xludf.DUMMYFUNCTION("""COMPUTED_VALUE"""),"")</f>
        <v/>
      </c>
      <c r="G785" s="4" t="str">
        <f>IFERROR(__xludf.DUMMYFUNCTION("""COMPUTED_VALUE"""),"#VALUE!")</f>
        <v>#VALUE!</v>
      </c>
      <c r="H785" s="4" t="str">
        <f>IFERROR(__xludf.DUMMYFUNCTION("""COMPUTED_VALUE"""),"")</f>
        <v/>
      </c>
    </row>
    <row r="786">
      <c r="E786" s="4" t="str">
        <f>IFERROR(__xludf.DUMMYFUNCTION("""COMPUTED_VALUE"""),"#VALUE!")</f>
        <v>#VALUE!</v>
      </c>
      <c r="F786" s="4" t="str">
        <f>IFERROR(__xludf.DUMMYFUNCTION("""COMPUTED_VALUE"""),"")</f>
        <v/>
      </c>
      <c r="G786" s="4" t="str">
        <f>IFERROR(__xludf.DUMMYFUNCTION("""COMPUTED_VALUE"""),"#VALUE!")</f>
        <v>#VALUE!</v>
      </c>
      <c r="H786" s="4" t="str">
        <f>IFERROR(__xludf.DUMMYFUNCTION("""COMPUTED_VALUE"""),"")</f>
        <v/>
      </c>
    </row>
    <row r="787">
      <c r="E787" s="4" t="str">
        <f>IFERROR(__xludf.DUMMYFUNCTION("""COMPUTED_VALUE"""),"#VALUE!")</f>
        <v>#VALUE!</v>
      </c>
      <c r="F787" s="4" t="str">
        <f>IFERROR(__xludf.DUMMYFUNCTION("""COMPUTED_VALUE"""),"")</f>
        <v/>
      </c>
      <c r="G787" s="4" t="str">
        <f>IFERROR(__xludf.DUMMYFUNCTION("""COMPUTED_VALUE"""),"#VALUE!")</f>
        <v>#VALUE!</v>
      </c>
      <c r="H787" s="4" t="str">
        <f>IFERROR(__xludf.DUMMYFUNCTION("""COMPUTED_VALUE"""),"")</f>
        <v/>
      </c>
    </row>
    <row r="788">
      <c r="E788" s="4" t="str">
        <f>IFERROR(__xludf.DUMMYFUNCTION("""COMPUTED_VALUE"""),"#VALUE!")</f>
        <v>#VALUE!</v>
      </c>
      <c r="F788" s="4" t="str">
        <f>IFERROR(__xludf.DUMMYFUNCTION("""COMPUTED_VALUE"""),"")</f>
        <v/>
      </c>
      <c r="G788" s="4" t="str">
        <f>IFERROR(__xludf.DUMMYFUNCTION("""COMPUTED_VALUE"""),"#VALUE!")</f>
        <v>#VALUE!</v>
      </c>
      <c r="H788" s="4" t="str">
        <f>IFERROR(__xludf.DUMMYFUNCTION("""COMPUTED_VALUE"""),"")</f>
        <v/>
      </c>
    </row>
    <row r="789">
      <c r="E789" s="4" t="str">
        <f>IFERROR(__xludf.DUMMYFUNCTION("""COMPUTED_VALUE"""),"#VALUE!")</f>
        <v>#VALUE!</v>
      </c>
      <c r="F789" s="4" t="str">
        <f>IFERROR(__xludf.DUMMYFUNCTION("""COMPUTED_VALUE"""),"")</f>
        <v/>
      </c>
      <c r="G789" s="4" t="str">
        <f>IFERROR(__xludf.DUMMYFUNCTION("""COMPUTED_VALUE"""),"#VALUE!")</f>
        <v>#VALUE!</v>
      </c>
      <c r="H789" s="4" t="str">
        <f>IFERROR(__xludf.DUMMYFUNCTION("""COMPUTED_VALUE"""),"")</f>
        <v/>
      </c>
    </row>
    <row r="790">
      <c r="E790" s="4" t="str">
        <f>IFERROR(__xludf.DUMMYFUNCTION("""COMPUTED_VALUE"""),"#VALUE!")</f>
        <v>#VALUE!</v>
      </c>
      <c r="F790" s="4" t="str">
        <f>IFERROR(__xludf.DUMMYFUNCTION("""COMPUTED_VALUE"""),"")</f>
        <v/>
      </c>
      <c r="G790" s="4" t="str">
        <f>IFERROR(__xludf.DUMMYFUNCTION("""COMPUTED_VALUE"""),"#VALUE!")</f>
        <v>#VALUE!</v>
      </c>
      <c r="H790" s="4" t="str">
        <f>IFERROR(__xludf.DUMMYFUNCTION("""COMPUTED_VALUE"""),"")</f>
        <v/>
      </c>
    </row>
    <row r="791">
      <c r="E791" s="4" t="str">
        <f>IFERROR(__xludf.DUMMYFUNCTION("""COMPUTED_VALUE"""),"#VALUE!")</f>
        <v>#VALUE!</v>
      </c>
      <c r="F791" s="4" t="str">
        <f>IFERROR(__xludf.DUMMYFUNCTION("""COMPUTED_VALUE"""),"")</f>
        <v/>
      </c>
      <c r="G791" s="4" t="str">
        <f>IFERROR(__xludf.DUMMYFUNCTION("""COMPUTED_VALUE"""),"#VALUE!")</f>
        <v>#VALUE!</v>
      </c>
      <c r="H791" s="4" t="str">
        <f>IFERROR(__xludf.DUMMYFUNCTION("""COMPUTED_VALUE"""),"")</f>
        <v/>
      </c>
    </row>
    <row r="792">
      <c r="E792" s="4" t="str">
        <f>IFERROR(__xludf.DUMMYFUNCTION("""COMPUTED_VALUE"""),"#VALUE!")</f>
        <v>#VALUE!</v>
      </c>
      <c r="F792" s="4" t="str">
        <f>IFERROR(__xludf.DUMMYFUNCTION("""COMPUTED_VALUE"""),"")</f>
        <v/>
      </c>
      <c r="G792" s="4" t="str">
        <f>IFERROR(__xludf.DUMMYFUNCTION("""COMPUTED_VALUE"""),"#VALUE!")</f>
        <v>#VALUE!</v>
      </c>
      <c r="H792" s="4" t="str">
        <f>IFERROR(__xludf.DUMMYFUNCTION("""COMPUTED_VALUE"""),"")</f>
        <v/>
      </c>
    </row>
    <row r="793">
      <c r="E793" s="4" t="str">
        <f>IFERROR(__xludf.DUMMYFUNCTION("""COMPUTED_VALUE"""),"#VALUE!")</f>
        <v>#VALUE!</v>
      </c>
      <c r="F793" s="4" t="str">
        <f>IFERROR(__xludf.DUMMYFUNCTION("""COMPUTED_VALUE"""),"")</f>
        <v/>
      </c>
      <c r="G793" s="4" t="str">
        <f>IFERROR(__xludf.DUMMYFUNCTION("""COMPUTED_VALUE"""),"#VALUE!")</f>
        <v>#VALUE!</v>
      </c>
      <c r="H793" s="4" t="str">
        <f>IFERROR(__xludf.DUMMYFUNCTION("""COMPUTED_VALUE"""),"")</f>
        <v/>
      </c>
    </row>
    <row r="794">
      <c r="E794" s="4" t="str">
        <f>IFERROR(__xludf.DUMMYFUNCTION("""COMPUTED_VALUE"""),"#VALUE!")</f>
        <v>#VALUE!</v>
      </c>
      <c r="F794" s="4" t="str">
        <f>IFERROR(__xludf.DUMMYFUNCTION("""COMPUTED_VALUE"""),"")</f>
        <v/>
      </c>
      <c r="G794" s="4" t="str">
        <f>IFERROR(__xludf.DUMMYFUNCTION("""COMPUTED_VALUE"""),"#VALUE!")</f>
        <v>#VALUE!</v>
      </c>
      <c r="H794" s="4" t="str">
        <f>IFERROR(__xludf.DUMMYFUNCTION("""COMPUTED_VALUE"""),"")</f>
        <v/>
      </c>
    </row>
    <row r="795">
      <c r="E795" s="4" t="str">
        <f>IFERROR(__xludf.DUMMYFUNCTION("""COMPUTED_VALUE"""),"#VALUE!")</f>
        <v>#VALUE!</v>
      </c>
      <c r="F795" s="4" t="str">
        <f>IFERROR(__xludf.DUMMYFUNCTION("""COMPUTED_VALUE"""),"")</f>
        <v/>
      </c>
      <c r="G795" s="4" t="str">
        <f>IFERROR(__xludf.DUMMYFUNCTION("""COMPUTED_VALUE"""),"#VALUE!")</f>
        <v>#VALUE!</v>
      </c>
      <c r="H795" s="4" t="str">
        <f>IFERROR(__xludf.DUMMYFUNCTION("""COMPUTED_VALUE"""),"")</f>
        <v/>
      </c>
    </row>
    <row r="796">
      <c r="E796" s="4" t="str">
        <f>IFERROR(__xludf.DUMMYFUNCTION("""COMPUTED_VALUE"""),"#VALUE!")</f>
        <v>#VALUE!</v>
      </c>
      <c r="F796" s="4" t="str">
        <f>IFERROR(__xludf.DUMMYFUNCTION("""COMPUTED_VALUE"""),"")</f>
        <v/>
      </c>
      <c r="G796" s="4" t="str">
        <f>IFERROR(__xludf.DUMMYFUNCTION("""COMPUTED_VALUE"""),"#VALUE!")</f>
        <v>#VALUE!</v>
      </c>
      <c r="H796" s="4" t="str">
        <f>IFERROR(__xludf.DUMMYFUNCTION("""COMPUTED_VALUE"""),"")</f>
        <v/>
      </c>
    </row>
    <row r="797">
      <c r="E797" s="4" t="str">
        <f>IFERROR(__xludf.DUMMYFUNCTION("""COMPUTED_VALUE"""),"#VALUE!")</f>
        <v>#VALUE!</v>
      </c>
      <c r="F797" s="4" t="str">
        <f>IFERROR(__xludf.DUMMYFUNCTION("""COMPUTED_VALUE"""),"")</f>
        <v/>
      </c>
      <c r="G797" s="4" t="str">
        <f>IFERROR(__xludf.DUMMYFUNCTION("""COMPUTED_VALUE"""),"#VALUE!")</f>
        <v>#VALUE!</v>
      </c>
      <c r="H797" s="4" t="str">
        <f>IFERROR(__xludf.DUMMYFUNCTION("""COMPUTED_VALUE"""),"")</f>
        <v/>
      </c>
    </row>
    <row r="798">
      <c r="E798" s="4" t="str">
        <f>IFERROR(__xludf.DUMMYFUNCTION("""COMPUTED_VALUE"""),"#VALUE!")</f>
        <v>#VALUE!</v>
      </c>
      <c r="F798" s="4" t="str">
        <f>IFERROR(__xludf.DUMMYFUNCTION("""COMPUTED_VALUE"""),"")</f>
        <v/>
      </c>
      <c r="G798" s="4" t="str">
        <f>IFERROR(__xludf.DUMMYFUNCTION("""COMPUTED_VALUE"""),"#VALUE!")</f>
        <v>#VALUE!</v>
      </c>
      <c r="H798" s="4" t="str">
        <f>IFERROR(__xludf.DUMMYFUNCTION("""COMPUTED_VALUE"""),"")</f>
        <v/>
      </c>
    </row>
    <row r="799">
      <c r="E799" s="4" t="str">
        <f>IFERROR(__xludf.DUMMYFUNCTION("""COMPUTED_VALUE"""),"#VALUE!")</f>
        <v>#VALUE!</v>
      </c>
      <c r="F799" s="4" t="str">
        <f>IFERROR(__xludf.DUMMYFUNCTION("""COMPUTED_VALUE"""),"")</f>
        <v/>
      </c>
      <c r="G799" s="4" t="str">
        <f>IFERROR(__xludf.DUMMYFUNCTION("""COMPUTED_VALUE"""),"#VALUE!")</f>
        <v>#VALUE!</v>
      </c>
      <c r="H799" s="4" t="str">
        <f>IFERROR(__xludf.DUMMYFUNCTION("""COMPUTED_VALUE"""),"")</f>
        <v/>
      </c>
    </row>
    <row r="800">
      <c r="E800" s="4" t="str">
        <f>IFERROR(__xludf.DUMMYFUNCTION("""COMPUTED_VALUE"""),"#VALUE!")</f>
        <v>#VALUE!</v>
      </c>
      <c r="F800" s="4" t="str">
        <f>IFERROR(__xludf.DUMMYFUNCTION("""COMPUTED_VALUE"""),"")</f>
        <v/>
      </c>
      <c r="G800" s="4" t="str">
        <f>IFERROR(__xludf.DUMMYFUNCTION("""COMPUTED_VALUE"""),"#VALUE!")</f>
        <v>#VALUE!</v>
      </c>
      <c r="H800" s="4" t="str">
        <f>IFERROR(__xludf.DUMMYFUNCTION("""COMPUTED_VALUE"""),"")</f>
        <v/>
      </c>
    </row>
    <row r="801">
      <c r="E801" s="4" t="str">
        <f>IFERROR(__xludf.DUMMYFUNCTION("""COMPUTED_VALUE"""),"#VALUE!")</f>
        <v>#VALUE!</v>
      </c>
      <c r="F801" s="4" t="str">
        <f>IFERROR(__xludf.DUMMYFUNCTION("""COMPUTED_VALUE"""),"")</f>
        <v/>
      </c>
      <c r="G801" s="4" t="str">
        <f>IFERROR(__xludf.DUMMYFUNCTION("""COMPUTED_VALUE"""),"#VALUE!")</f>
        <v>#VALUE!</v>
      </c>
      <c r="H801" s="4" t="str">
        <f>IFERROR(__xludf.DUMMYFUNCTION("""COMPUTED_VALUE"""),"")</f>
        <v/>
      </c>
    </row>
    <row r="802">
      <c r="E802" s="4" t="str">
        <f>IFERROR(__xludf.DUMMYFUNCTION("""COMPUTED_VALUE"""),"#VALUE!")</f>
        <v>#VALUE!</v>
      </c>
      <c r="F802" s="4" t="str">
        <f>IFERROR(__xludf.DUMMYFUNCTION("""COMPUTED_VALUE"""),"")</f>
        <v/>
      </c>
      <c r="G802" s="4" t="str">
        <f>IFERROR(__xludf.DUMMYFUNCTION("""COMPUTED_VALUE"""),"#VALUE!")</f>
        <v>#VALUE!</v>
      </c>
      <c r="H802" s="4" t="str">
        <f>IFERROR(__xludf.DUMMYFUNCTION("""COMPUTED_VALUE"""),"")</f>
        <v/>
      </c>
    </row>
    <row r="803">
      <c r="E803" s="4" t="str">
        <f>IFERROR(__xludf.DUMMYFUNCTION("""COMPUTED_VALUE"""),"#VALUE!")</f>
        <v>#VALUE!</v>
      </c>
      <c r="F803" s="4" t="str">
        <f>IFERROR(__xludf.DUMMYFUNCTION("""COMPUTED_VALUE"""),"")</f>
        <v/>
      </c>
      <c r="G803" s="4" t="str">
        <f>IFERROR(__xludf.DUMMYFUNCTION("""COMPUTED_VALUE"""),"#VALUE!")</f>
        <v>#VALUE!</v>
      </c>
      <c r="H803" s="4" t="str">
        <f>IFERROR(__xludf.DUMMYFUNCTION("""COMPUTED_VALUE"""),"")</f>
        <v/>
      </c>
    </row>
    <row r="804">
      <c r="E804" s="4" t="str">
        <f>IFERROR(__xludf.DUMMYFUNCTION("""COMPUTED_VALUE"""),"#VALUE!")</f>
        <v>#VALUE!</v>
      </c>
      <c r="F804" s="4" t="str">
        <f>IFERROR(__xludf.DUMMYFUNCTION("""COMPUTED_VALUE"""),"")</f>
        <v/>
      </c>
      <c r="G804" s="4" t="str">
        <f>IFERROR(__xludf.DUMMYFUNCTION("""COMPUTED_VALUE"""),"#VALUE!")</f>
        <v>#VALUE!</v>
      </c>
      <c r="H804" s="4" t="str">
        <f>IFERROR(__xludf.DUMMYFUNCTION("""COMPUTED_VALUE"""),"")</f>
        <v/>
      </c>
    </row>
    <row r="805">
      <c r="E805" s="4" t="str">
        <f>IFERROR(__xludf.DUMMYFUNCTION("""COMPUTED_VALUE"""),"#VALUE!")</f>
        <v>#VALUE!</v>
      </c>
      <c r="F805" s="4" t="str">
        <f>IFERROR(__xludf.DUMMYFUNCTION("""COMPUTED_VALUE"""),"")</f>
        <v/>
      </c>
      <c r="G805" s="4" t="str">
        <f>IFERROR(__xludf.DUMMYFUNCTION("""COMPUTED_VALUE"""),"#VALUE!")</f>
        <v>#VALUE!</v>
      </c>
      <c r="H805" s="4" t="str">
        <f>IFERROR(__xludf.DUMMYFUNCTION("""COMPUTED_VALUE"""),"")</f>
        <v/>
      </c>
    </row>
    <row r="806">
      <c r="E806" s="4" t="str">
        <f>IFERROR(__xludf.DUMMYFUNCTION("""COMPUTED_VALUE"""),"#VALUE!")</f>
        <v>#VALUE!</v>
      </c>
      <c r="F806" s="4" t="str">
        <f>IFERROR(__xludf.DUMMYFUNCTION("""COMPUTED_VALUE"""),"")</f>
        <v/>
      </c>
      <c r="G806" s="4" t="str">
        <f>IFERROR(__xludf.DUMMYFUNCTION("""COMPUTED_VALUE"""),"#VALUE!")</f>
        <v>#VALUE!</v>
      </c>
      <c r="H806" s="4" t="str">
        <f>IFERROR(__xludf.DUMMYFUNCTION("""COMPUTED_VALUE"""),"")</f>
        <v/>
      </c>
    </row>
    <row r="807">
      <c r="E807" s="4" t="str">
        <f>IFERROR(__xludf.DUMMYFUNCTION("""COMPUTED_VALUE"""),"#VALUE!")</f>
        <v>#VALUE!</v>
      </c>
      <c r="F807" s="4" t="str">
        <f>IFERROR(__xludf.DUMMYFUNCTION("""COMPUTED_VALUE"""),"")</f>
        <v/>
      </c>
      <c r="G807" s="4" t="str">
        <f>IFERROR(__xludf.DUMMYFUNCTION("""COMPUTED_VALUE"""),"#VALUE!")</f>
        <v>#VALUE!</v>
      </c>
      <c r="H807" s="4" t="str">
        <f>IFERROR(__xludf.DUMMYFUNCTION("""COMPUTED_VALUE"""),"")</f>
        <v/>
      </c>
    </row>
    <row r="808">
      <c r="E808" s="4" t="str">
        <f>IFERROR(__xludf.DUMMYFUNCTION("""COMPUTED_VALUE"""),"#VALUE!")</f>
        <v>#VALUE!</v>
      </c>
      <c r="F808" s="4" t="str">
        <f>IFERROR(__xludf.DUMMYFUNCTION("""COMPUTED_VALUE"""),"")</f>
        <v/>
      </c>
      <c r="G808" s="4" t="str">
        <f>IFERROR(__xludf.DUMMYFUNCTION("""COMPUTED_VALUE"""),"#VALUE!")</f>
        <v>#VALUE!</v>
      </c>
      <c r="H808" s="4" t="str">
        <f>IFERROR(__xludf.DUMMYFUNCTION("""COMPUTED_VALUE"""),"")</f>
        <v/>
      </c>
    </row>
    <row r="809">
      <c r="E809" s="4" t="str">
        <f>IFERROR(__xludf.DUMMYFUNCTION("""COMPUTED_VALUE"""),"#VALUE!")</f>
        <v>#VALUE!</v>
      </c>
      <c r="F809" s="4" t="str">
        <f>IFERROR(__xludf.DUMMYFUNCTION("""COMPUTED_VALUE"""),"")</f>
        <v/>
      </c>
      <c r="G809" s="4" t="str">
        <f>IFERROR(__xludf.DUMMYFUNCTION("""COMPUTED_VALUE"""),"#VALUE!")</f>
        <v>#VALUE!</v>
      </c>
      <c r="H809" s="4" t="str">
        <f>IFERROR(__xludf.DUMMYFUNCTION("""COMPUTED_VALUE"""),"")</f>
        <v/>
      </c>
    </row>
    <row r="810">
      <c r="E810" s="4" t="str">
        <f>IFERROR(__xludf.DUMMYFUNCTION("""COMPUTED_VALUE"""),"#VALUE!")</f>
        <v>#VALUE!</v>
      </c>
      <c r="F810" s="4" t="str">
        <f>IFERROR(__xludf.DUMMYFUNCTION("""COMPUTED_VALUE"""),"")</f>
        <v/>
      </c>
      <c r="G810" s="4" t="str">
        <f>IFERROR(__xludf.DUMMYFUNCTION("""COMPUTED_VALUE"""),"#VALUE!")</f>
        <v>#VALUE!</v>
      </c>
      <c r="H810" s="4" t="str">
        <f>IFERROR(__xludf.DUMMYFUNCTION("""COMPUTED_VALUE"""),"")</f>
        <v/>
      </c>
    </row>
    <row r="811">
      <c r="E811" s="4" t="str">
        <f>IFERROR(__xludf.DUMMYFUNCTION("""COMPUTED_VALUE"""),"#VALUE!")</f>
        <v>#VALUE!</v>
      </c>
      <c r="F811" s="4" t="str">
        <f>IFERROR(__xludf.DUMMYFUNCTION("""COMPUTED_VALUE"""),"")</f>
        <v/>
      </c>
      <c r="G811" s="4" t="str">
        <f>IFERROR(__xludf.DUMMYFUNCTION("""COMPUTED_VALUE"""),"#VALUE!")</f>
        <v>#VALUE!</v>
      </c>
      <c r="H811" s="4" t="str">
        <f>IFERROR(__xludf.DUMMYFUNCTION("""COMPUTED_VALUE"""),"")</f>
        <v/>
      </c>
    </row>
    <row r="812">
      <c r="E812" s="4" t="str">
        <f>IFERROR(__xludf.DUMMYFUNCTION("""COMPUTED_VALUE"""),"#VALUE!")</f>
        <v>#VALUE!</v>
      </c>
      <c r="F812" s="4" t="str">
        <f>IFERROR(__xludf.DUMMYFUNCTION("""COMPUTED_VALUE"""),"")</f>
        <v/>
      </c>
      <c r="G812" s="4" t="str">
        <f>IFERROR(__xludf.DUMMYFUNCTION("""COMPUTED_VALUE"""),"#VALUE!")</f>
        <v>#VALUE!</v>
      </c>
      <c r="H812" s="4" t="str">
        <f>IFERROR(__xludf.DUMMYFUNCTION("""COMPUTED_VALUE"""),"")</f>
        <v/>
      </c>
    </row>
    <row r="813">
      <c r="E813" s="4" t="str">
        <f>IFERROR(__xludf.DUMMYFUNCTION("""COMPUTED_VALUE"""),"#VALUE!")</f>
        <v>#VALUE!</v>
      </c>
      <c r="F813" s="4" t="str">
        <f>IFERROR(__xludf.DUMMYFUNCTION("""COMPUTED_VALUE"""),"")</f>
        <v/>
      </c>
      <c r="G813" s="4" t="str">
        <f>IFERROR(__xludf.DUMMYFUNCTION("""COMPUTED_VALUE"""),"#VALUE!")</f>
        <v>#VALUE!</v>
      </c>
      <c r="H813" s="4" t="str">
        <f>IFERROR(__xludf.DUMMYFUNCTION("""COMPUTED_VALUE"""),"")</f>
        <v/>
      </c>
    </row>
    <row r="814">
      <c r="E814" s="4" t="str">
        <f>IFERROR(__xludf.DUMMYFUNCTION("""COMPUTED_VALUE"""),"#VALUE!")</f>
        <v>#VALUE!</v>
      </c>
      <c r="F814" s="4" t="str">
        <f>IFERROR(__xludf.DUMMYFUNCTION("""COMPUTED_VALUE"""),"")</f>
        <v/>
      </c>
      <c r="G814" s="4" t="str">
        <f>IFERROR(__xludf.DUMMYFUNCTION("""COMPUTED_VALUE"""),"#VALUE!")</f>
        <v>#VALUE!</v>
      </c>
      <c r="H814" s="4" t="str">
        <f>IFERROR(__xludf.DUMMYFUNCTION("""COMPUTED_VALUE"""),"")</f>
        <v/>
      </c>
    </row>
    <row r="815">
      <c r="E815" s="4" t="str">
        <f>IFERROR(__xludf.DUMMYFUNCTION("""COMPUTED_VALUE"""),"#VALUE!")</f>
        <v>#VALUE!</v>
      </c>
      <c r="F815" s="4" t="str">
        <f>IFERROR(__xludf.DUMMYFUNCTION("""COMPUTED_VALUE"""),"")</f>
        <v/>
      </c>
      <c r="G815" s="4" t="str">
        <f>IFERROR(__xludf.DUMMYFUNCTION("""COMPUTED_VALUE"""),"#VALUE!")</f>
        <v>#VALUE!</v>
      </c>
      <c r="H815" s="4" t="str">
        <f>IFERROR(__xludf.DUMMYFUNCTION("""COMPUTED_VALUE"""),"")</f>
        <v/>
      </c>
    </row>
    <row r="816">
      <c r="E816" s="4" t="str">
        <f>IFERROR(__xludf.DUMMYFUNCTION("""COMPUTED_VALUE"""),"#VALUE!")</f>
        <v>#VALUE!</v>
      </c>
      <c r="F816" s="4" t="str">
        <f>IFERROR(__xludf.DUMMYFUNCTION("""COMPUTED_VALUE"""),"")</f>
        <v/>
      </c>
      <c r="G816" s="4" t="str">
        <f>IFERROR(__xludf.DUMMYFUNCTION("""COMPUTED_VALUE"""),"#VALUE!")</f>
        <v>#VALUE!</v>
      </c>
      <c r="H816" s="4" t="str">
        <f>IFERROR(__xludf.DUMMYFUNCTION("""COMPUTED_VALUE"""),"")</f>
        <v/>
      </c>
    </row>
    <row r="817">
      <c r="E817" s="4" t="str">
        <f>IFERROR(__xludf.DUMMYFUNCTION("""COMPUTED_VALUE"""),"#VALUE!")</f>
        <v>#VALUE!</v>
      </c>
      <c r="F817" s="4" t="str">
        <f>IFERROR(__xludf.DUMMYFUNCTION("""COMPUTED_VALUE"""),"")</f>
        <v/>
      </c>
      <c r="G817" s="4" t="str">
        <f>IFERROR(__xludf.DUMMYFUNCTION("""COMPUTED_VALUE"""),"#VALUE!")</f>
        <v>#VALUE!</v>
      </c>
      <c r="H817" s="4" t="str">
        <f>IFERROR(__xludf.DUMMYFUNCTION("""COMPUTED_VALUE"""),"")</f>
        <v/>
      </c>
    </row>
    <row r="818">
      <c r="E818" s="4" t="str">
        <f>IFERROR(__xludf.DUMMYFUNCTION("""COMPUTED_VALUE"""),"#VALUE!")</f>
        <v>#VALUE!</v>
      </c>
      <c r="F818" s="4" t="str">
        <f>IFERROR(__xludf.DUMMYFUNCTION("""COMPUTED_VALUE"""),"")</f>
        <v/>
      </c>
      <c r="G818" s="4" t="str">
        <f>IFERROR(__xludf.DUMMYFUNCTION("""COMPUTED_VALUE"""),"#VALUE!")</f>
        <v>#VALUE!</v>
      </c>
      <c r="H818" s="4" t="str">
        <f>IFERROR(__xludf.DUMMYFUNCTION("""COMPUTED_VALUE"""),"")</f>
        <v/>
      </c>
    </row>
    <row r="819">
      <c r="E819" s="4" t="str">
        <f>IFERROR(__xludf.DUMMYFUNCTION("""COMPUTED_VALUE"""),"#VALUE!")</f>
        <v>#VALUE!</v>
      </c>
      <c r="F819" s="4" t="str">
        <f>IFERROR(__xludf.DUMMYFUNCTION("""COMPUTED_VALUE"""),"")</f>
        <v/>
      </c>
      <c r="G819" s="4" t="str">
        <f>IFERROR(__xludf.DUMMYFUNCTION("""COMPUTED_VALUE"""),"#VALUE!")</f>
        <v>#VALUE!</v>
      </c>
      <c r="H819" s="4" t="str">
        <f>IFERROR(__xludf.DUMMYFUNCTION("""COMPUTED_VALUE"""),"")</f>
        <v/>
      </c>
    </row>
    <row r="820">
      <c r="E820" s="4" t="str">
        <f>IFERROR(__xludf.DUMMYFUNCTION("""COMPUTED_VALUE"""),"#VALUE!")</f>
        <v>#VALUE!</v>
      </c>
      <c r="F820" s="4" t="str">
        <f>IFERROR(__xludf.DUMMYFUNCTION("""COMPUTED_VALUE"""),"")</f>
        <v/>
      </c>
      <c r="G820" s="4" t="str">
        <f>IFERROR(__xludf.DUMMYFUNCTION("""COMPUTED_VALUE"""),"#VALUE!")</f>
        <v>#VALUE!</v>
      </c>
      <c r="H820" s="4" t="str">
        <f>IFERROR(__xludf.DUMMYFUNCTION("""COMPUTED_VALUE"""),"")</f>
        <v/>
      </c>
    </row>
    <row r="821">
      <c r="E821" s="4" t="str">
        <f>IFERROR(__xludf.DUMMYFUNCTION("""COMPUTED_VALUE"""),"#VALUE!")</f>
        <v>#VALUE!</v>
      </c>
      <c r="F821" s="4" t="str">
        <f>IFERROR(__xludf.DUMMYFUNCTION("""COMPUTED_VALUE"""),"")</f>
        <v/>
      </c>
      <c r="G821" s="4" t="str">
        <f>IFERROR(__xludf.DUMMYFUNCTION("""COMPUTED_VALUE"""),"#VALUE!")</f>
        <v>#VALUE!</v>
      </c>
      <c r="H821" s="4" t="str">
        <f>IFERROR(__xludf.DUMMYFUNCTION("""COMPUTED_VALUE"""),"")</f>
        <v/>
      </c>
    </row>
    <row r="822">
      <c r="E822" s="4" t="str">
        <f>IFERROR(__xludf.DUMMYFUNCTION("""COMPUTED_VALUE"""),"#VALUE!")</f>
        <v>#VALUE!</v>
      </c>
      <c r="F822" s="4" t="str">
        <f>IFERROR(__xludf.DUMMYFUNCTION("""COMPUTED_VALUE"""),"")</f>
        <v/>
      </c>
      <c r="G822" s="4" t="str">
        <f>IFERROR(__xludf.DUMMYFUNCTION("""COMPUTED_VALUE"""),"#VALUE!")</f>
        <v>#VALUE!</v>
      </c>
      <c r="H822" s="4" t="str">
        <f>IFERROR(__xludf.DUMMYFUNCTION("""COMPUTED_VALUE"""),"")</f>
        <v/>
      </c>
    </row>
    <row r="823">
      <c r="E823" s="4" t="str">
        <f>IFERROR(__xludf.DUMMYFUNCTION("""COMPUTED_VALUE"""),"#VALUE!")</f>
        <v>#VALUE!</v>
      </c>
      <c r="F823" s="4" t="str">
        <f>IFERROR(__xludf.DUMMYFUNCTION("""COMPUTED_VALUE"""),"")</f>
        <v/>
      </c>
      <c r="G823" s="4" t="str">
        <f>IFERROR(__xludf.DUMMYFUNCTION("""COMPUTED_VALUE"""),"#VALUE!")</f>
        <v>#VALUE!</v>
      </c>
      <c r="H823" s="4" t="str">
        <f>IFERROR(__xludf.DUMMYFUNCTION("""COMPUTED_VALUE"""),"")</f>
        <v/>
      </c>
    </row>
    <row r="824">
      <c r="E824" s="4" t="str">
        <f>IFERROR(__xludf.DUMMYFUNCTION("""COMPUTED_VALUE"""),"#VALUE!")</f>
        <v>#VALUE!</v>
      </c>
      <c r="F824" s="4" t="str">
        <f>IFERROR(__xludf.DUMMYFUNCTION("""COMPUTED_VALUE"""),"")</f>
        <v/>
      </c>
      <c r="G824" s="4" t="str">
        <f>IFERROR(__xludf.DUMMYFUNCTION("""COMPUTED_VALUE"""),"#VALUE!")</f>
        <v>#VALUE!</v>
      </c>
      <c r="H824" s="4" t="str">
        <f>IFERROR(__xludf.DUMMYFUNCTION("""COMPUTED_VALUE"""),"")</f>
        <v/>
      </c>
    </row>
    <row r="825">
      <c r="E825" s="4" t="str">
        <f>IFERROR(__xludf.DUMMYFUNCTION("""COMPUTED_VALUE"""),"#VALUE!")</f>
        <v>#VALUE!</v>
      </c>
      <c r="F825" s="4" t="str">
        <f>IFERROR(__xludf.DUMMYFUNCTION("""COMPUTED_VALUE"""),"")</f>
        <v/>
      </c>
      <c r="G825" s="4" t="str">
        <f>IFERROR(__xludf.DUMMYFUNCTION("""COMPUTED_VALUE"""),"#VALUE!")</f>
        <v>#VALUE!</v>
      </c>
      <c r="H825" s="4" t="str">
        <f>IFERROR(__xludf.DUMMYFUNCTION("""COMPUTED_VALUE"""),"")</f>
        <v/>
      </c>
    </row>
    <row r="826">
      <c r="E826" s="4" t="str">
        <f>IFERROR(__xludf.DUMMYFUNCTION("""COMPUTED_VALUE"""),"#VALUE!")</f>
        <v>#VALUE!</v>
      </c>
      <c r="F826" s="4" t="str">
        <f>IFERROR(__xludf.DUMMYFUNCTION("""COMPUTED_VALUE"""),"")</f>
        <v/>
      </c>
      <c r="G826" s="4" t="str">
        <f>IFERROR(__xludf.DUMMYFUNCTION("""COMPUTED_VALUE"""),"#VALUE!")</f>
        <v>#VALUE!</v>
      </c>
      <c r="H826" s="4" t="str">
        <f>IFERROR(__xludf.DUMMYFUNCTION("""COMPUTED_VALUE"""),"")</f>
        <v/>
      </c>
    </row>
    <row r="827">
      <c r="E827" s="4" t="str">
        <f>IFERROR(__xludf.DUMMYFUNCTION("""COMPUTED_VALUE"""),"#VALUE!")</f>
        <v>#VALUE!</v>
      </c>
      <c r="F827" s="4" t="str">
        <f>IFERROR(__xludf.DUMMYFUNCTION("""COMPUTED_VALUE"""),"")</f>
        <v/>
      </c>
      <c r="G827" s="4" t="str">
        <f>IFERROR(__xludf.DUMMYFUNCTION("""COMPUTED_VALUE"""),"#VALUE!")</f>
        <v>#VALUE!</v>
      </c>
      <c r="H827" s="4" t="str">
        <f>IFERROR(__xludf.DUMMYFUNCTION("""COMPUTED_VALUE"""),"")</f>
        <v/>
      </c>
    </row>
    <row r="828">
      <c r="E828" s="4" t="str">
        <f>IFERROR(__xludf.DUMMYFUNCTION("""COMPUTED_VALUE"""),"#VALUE!")</f>
        <v>#VALUE!</v>
      </c>
      <c r="F828" s="4" t="str">
        <f>IFERROR(__xludf.DUMMYFUNCTION("""COMPUTED_VALUE"""),"")</f>
        <v/>
      </c>
      <c r="G828" s="4" t="str">
        <f>IFERROR(__xludf.DUMMYFUNCTION("""COMPUTED_VALUE"""),"#VALUE!")</f>
        <v>#VALUE!</v>
      </c>
      <c r="H828" s="4" t="str">
        <f>IFERROR(__xludf.DUMMYFUNCTION("""COMPUTED_VALUE"""),"")</f>
        <v/>
      </c>
    </row>
    <row r="829">
      <c r="E829" s="4" t="str">
        <f>IFERROR(__xludf.DUMMYFUNCTION("""COMPUTED_VALUE"""),"#VALUE!")</f>
        <v>#VALUE!</v>
      </c>
      <c r="F829" s="4" t="str">
        <f>IFERROR(__xludf.DUMMYFUNCTION("""COMPUTED_VALUE"""),"")</f>
        <v/>
      </c>
      <c r="G829" s="4" t="str">
        <f>IFERROR(__xludf.DUMMYFUNCTION("""COMPUTED_VALUE"""),"#VALUE!")</f>
        <v>#VALUE!</v>
      </c>
      <c r="H829" s="4" t="str">
        <f>IFERROR(__xludf.DUMMYFUNCTION("""COMPUTED_VALUE"""),"")</f>
        <v/>
      </c>
    </row>
    <row r="830">
      <c r="E830" s="4" t="str">
        <f>IFERROR(__xludf.DUMMYFUNCTION("""COMPUTED_VALUE"""),"#VALUE!")</f>
        <v>#VALUE!</v>
      </c>
      <c r="F830" s="4" t="str">
        <f>IFERROR(__xludf.DUMMYFUNCTION("""COMPUTED_VALUE"""),"")</f>
        <v/>
      </c>
      <c r="G830" s="4" t="str">
        <f>IFERROR(__xludf.DUMMYFUNCTION("""COMPUTED_VALUE"""),"#VALUE!")</f>
        <v>#VALUE!</v>
      </c>
      <c r="H830" s="4" t="str">
        <f>IFERROR(__xludf.DUMMYFUNCTION("""COMPUTED_VALUE"""),"")</f>
        <v/>
      </c>
    </row>
    <row r="831">
      <c r="E831" s="4" t="str">
        <f>IFERROR(__xludf.DUMMYFUNCTION("""COMPUTED_VALUE"""),"#VALUE!")</f>
        <v>#VALUE!</v>
      </c>
      <c r="F831" s="4" t="str">
        <f>IFERROR(__xludf.DUMMYFUNCTION("""COMPUTED_VALUE"""),"")</f>
        <v/>
      </c>
      <c r="G831" s="4" t="str">
        <f>IFERROR(__xludf.DUMMYFUNCTION("""COMPUTED_VALUE"""),"#VALUE!")</f>
        <v>#VALUE!</v>
      </c>
      <c r="H831" s="4" t="str">
        <f>IFERROR(__xludf.DUMMYFUNCTION("""COMPUTED_VALUE"""),"")</f>
        <v/>
      </c>
    </row>
    <row r="832">
      <c r="E832" s="4" t="str">
        <f>IFERROR(__xludf.DUMMYFUNCTION("""COMPUTED_VALUE"""),"#VALUE!")</f>
        <v>#VALUE!</v>
      </c>
      <c r="F832" s="4" t="str">
        <f>IFERROR(__xludf.DUMMYFUNCTION("""COMPUTED_VALUE"""),"")</f>
        <v/>
      </c>
      <c r="G832" s="4" t="str">
        <f>IFERROR(__xludf.DUMMYFUNCTION("""COMPUTED_VALUE"""),"#VALUE!")</f>
        <v>#VALUE!</v>
      </c>
      <c r="H832" s="4" t="str">
        <f>IFERROR(__xludf.DUMMYFUNCTION("""COMPUTED_VALUE"""),"")</f>
        <v/>
      </c>
    </row>
    <row r="833">
      <c r="E833" s="4" t="str">
        <f>IFERROR(__xludf.DUMMYFUNCTION("""COMPUTED_VALUE"""),"#VALUE!")</f>
        <v>#VALUE!</v>
      </c>
      <c r="F833" s="4" t="str">
        <f>IFERROR(__xludf.DUMMYFUNCTION("""COMPUTED_VALUE"""),"")</f>
        <v/>
      </c>
      <c r="G833" s="4" t="str">
        <f>IFERROR(__xludf.DUMMYFUNCTION("""COMPUTED_VALUE"""),"#VALUE!")</f>
        <v>#VALUE!</v>
      </c>
      <c r="H833" s="4" t="str">
        <f>IFERROR(__xludf.DUMMYFUNCTION("""COMPUTED_VALUE"""),"")</f>
        <v/>
      </c>
    </row>
    <row r="834">
      <c r="E834" s="4" t="str">
        <f>IFERROR(__xludf.DUMMYFUNCTION("""COMPUTED_VALUE"""),"#VALUE!")</f>
        <v>#VALUE!</v>
      </c>
      <c r="F834" s="4" t="str">
        <f>IFERROR(__xludf.DUMMYFUNCTION("""COMPUTED_VALUE"""),"")</f>
        <v/>
      </c>
      <c r="G834" s="4" t="str">
        <f>IFERROR(__xludf.DUMMYFUNCTION("""COMPUTED_VALUE"""),"#VALUE!")</f>
        <v>#VALUE!</v>
      </c>
      <c r="H834" s="4" t="str">
        <f>IFERROR(__xludf.DUMMYFUNCTION("""COMPUTED_VALUE"""),"")</f>
        <v/>
      </c>
    </row>
    <row r="835">
      <c r="E835" s="4" t="str">
        <f>IFERROR(__xludf.DUMMYFUNCTION("""COMPUTED_VALUE"""),"#VALUE!")</f>
        <v>#VALUE!</v>
      </c>
      <c r="F835" s="4" t="str">
        <f>IFERROR(__xludf.DUMMYFUNCTION("""COMPUTED_VALUE"""),"")</f>
        <v/>
      </c>
      <c r="G835" s="4" t="str">
        <f>IFERROR(__xludf.DUMMYFUNCTION("""COMPUTED_VALUE"""),"#VALUE!")</f>
        <v>#VALUE!</v>
      </c>
      <c r="H835" s="4" t="str">
        <f>IFERROR(__xludf.DUMMYFUNCTION("""COMPUTED_VALUE"""),"")</f>
        <v/>
      </c>
    </row>
    <row r="836">
      <c r="E836" s="4" t="str">
        <f>IFERROR(__xludf.DUMMYFUNCTION("""COMPUTED_VALUE"""),"#VALUE!")</f>
        <v>#VALUE!</v>
      </c>
      <c r="F836" s="4" t="str">
        <f>IFERROR(__xludf.DUMMYFUNCTION("""COMPUTED_VALUE"""),"")</f>
        <v/>
      </c>
      <c r="G836" s="4" t="str">
        <f>IFERROR(__xludf.DUMMYFUNCTION("""COMPUTED_VALUE"""),"#VALUE!")</f>
        <v>#VALUE!</v>
      </c>
      <c r="H836" s="4" t="str">
        <f>IFERROR(__xludf.DUMMYFUNCTION("""COMPUTED_VALUE"""),"")</f>
        <v/>
      </c>
    </row>
    <row r="837">
      <c r="E837" s="4" t="str">
        <f>IFERROR(__xludf.DUMMYFUNCTION("""COMPUTED_VALUE"""),"#VALUE!")</f>
        <v>#VALUE!</v>
      </c>
      <c r="F837" s="4" t="str">
        <f>IFERROR(__xludf.DUMMYFUNCTION("""COMPUTED_VALUE"""),"")</f>
        <v/>
      </c>
      <c r="G837" s="4" t="str">
        <f>IFERROR(__xludf.DUMMYFUNCTION("""COMPUTED_VALUE"""),"#VALUE!")</f>
        <v>#VALUE!</v>
      </c>
      <c r="H837" s="4" t="str">
        <f>IFERROR(__xludf.DUMMYFUNCTION("""COMPUTED_VALUE"""),"")</f>
        <v/>
      </c>
    </row>
    <row r="838">
      <c r="E838" s="4" t="str">
        <f>IFERROR(__xludf.DUMMYFUNCTION("""COMPUTED_VALUE"""),"#VALUE!")</f>
        <v>#VALUE!</v>
      </c>
      <c r="F838" s="4" t="str">
        <f>IFERROR(__xludf.DUMMYFUNCTION("""COMPUTED_VALUE"""),"")</f>
        <v/>
      </c>
      <c r="G838" s="4" t="str">
        <f>IFERROR(__xludf.DUMMYFUNCTION("""COMPUTED_VALUE"""),"#VALUE!")</f>
        <v>#VALUE!</v>
      </c>
      <c r="H838" s="4" t="str">
        <f>IFERROR(__xludf.DUMMYFUNCTION("""COMPUTED_VALUE"""),"")</f>
        <v/>
      </c>
    </row>
    <row r="839">
      <c r="E839" s="4" t="str">
        <f>IFERROR(__xludf.DUMMYFUNCTION("""COMPUTED_VALUE"""),"#VALUE!")</f>
        <v>#VALUE!</v>
      </c>
      <c r="F839" s="4" t="str">
        <f>IFERROR(__xludf.DUMMYFUNCTION("""COMPUTED_VALUE"""),"")</f>
        <v/>
      </c>
      <c r="G839" s="4" t="str">
        <f>IFERROR(__xludf.DUMMYFUNCTION("""COMPUTED_VALUE"""),"#VALUE!")</f>
        <v>#VALUE!</v>
      </c>
      <c r="H839" s="4" t="str">
        <f>IFERROR(__xludf.DUMMYFUNCTION("""COMPUTED_VALUE"""),"")</f>
        <v/>
      </c>
    </row>
    <row r="840">
      <c r="E840" s="4" t="str">
        <f>IFERROR(__xludf.DUMMYFUNCTION("""COMPUTED_VALUE"""),"#VALUE!")</f>
        <v>#VALUE!</v>
      </c>
      <c r="F840" s="4" t="str">
        <f>IFERROR(__xludf.DUMMYFUNCTION("""COMPUTED_VALUE"""),"")</f>
        <v/>
      </c>
      <c r="G840" s="4" t="str">
        <f>IFERROR(__xludf.DUMMYFUNCTION("""COMPUTED_VALUE"""),"#VALUE!")</f>
        <v>#VALUE!</v>
      </c>
      <c r="H840" s="4" t="str">
        <f>IFERROR(__xludf.DUMMYFUNCTION("""COMPUTED_VALUE"""),"")</f>
        <v/>
      </c>
    </row>
    <row r="841">
      <c r="E841" s="4" t="str">
        <f>IFERROR(__xludf.DUMMYFUNCTION("""COMPUTED_VALUE"""),"#VALUE!")</f>
        <v>#VALUE!</v>
      </c>
      <c r="F841" s="4" t="str">
        <f>IFERROR(__xludf.DUMMYFUNCTION("""COMPUTED_VALUE"""),"")</f>
        <v/>
      </c>
      <c r="G841" s="4" t="str">
        <f>IFERROR(__xludf.DUMMYFUNCTION("""COMPUTED_VALUE"""),"#VALUE!")</f>
        <v>#VALUE!</v>
      </c>
      <c r="H841" s="4" t="str">
        <f>IFERROR(__xludf.DUMMYFUNCTION("""COMPUTED_VALUE"""),"")</f>
        <v/>
      </c>
    </row>
    <row r="842">
      <c r="E842" s="4" t="str">
        <f>IFERROR(__xludf.DUMMYFUNCTION("""COMPUTED_VALUE"""),"#VALUE!")</f>
        <v>#VALUE!</v>
      </c>
      <c r="F842" s="4" t="str">
        <f>IFERROR(__xludf.DUMMYFUNCTION("""COMPUTED_VALUE"""),"")</f>
        <v/>
      </c>
      <c r="G842" s="4" t="str">
        <f>IFERROR(__xludf.DUMMYFUNCTION("""COMPUTED_VALUE"""),"#VALUE!")</f>
        <v>#VALUE!</v>
      </c>
      <c r="H842" s="4" t="str">
        <f>IFERROR(__xludf.DUMMYFUNCTION("""COMPUTED_VALUE"""),"")</f>
        <v/>
      </c>
    </row>
    <row r="843">
      <c r="E843" s="4" t="str">
        <f>IFERROR(__xludf.DUMMYFUNCTION("""COMPUTED_VALUE"""),"#VALUE!")</f>
        <v>#VALUE!</v>
      </c>
      <c r="F843" s="4" t="str">
        <f>IFERROR(__xludf.DUMMYFUNCTION("""COMPUTED_VALUE"""),"")</f>
        <v/>
      </c>
      <c r="G843" s="4" t="str">
        <f>IFERROR(__xludf.DUMMYFUNCTION("""COMPUTED_VALUE"""),"#VALUE!")</f>
        <v>#VALUE!</v>
      </c>
      <c r="H843" s="4" t="str">
        <f>IFERROR(__xludf.DUMMYFUNCTION("""COMPUTED_VALUE"""),"")</f>
        <v/>
      </c>
    </row>
    <row r="844">
      <c r="E844" s="4" t="str">
        <f>IFERROR(__xludf.DUMMYFUNCTION("""COMPUTED_VALUE"""),"#VALUE!")</f>
        <v>#VALUE!</v>
      </c>
      <c r="F844" s="4" t="str">
        <f>IFERROR(__xludf.DUMMYFUNCTION("""COMPUTED_VALUE"""),"")</f>
        <v/>
      </c>
      <c r="G844" s="4" t="str">
        <f>IFERROR(__xludf.DUMMYFUNCTION("""COMPUTED_VALUE"""),"#VALUE!")</f>
        <v>#VALUE!</v>
      </c>
      <c r="H844" s="4" t="str">
        <f>IFERROR(__xludf.DUMMYFUNCTION("""COMPUTED_VALUE"""),"")</f>
        <v/>
      </c>
    </row>
    <row r="845">
      <c r="E845" s="4" t="str">
        <f>IFERROR(__xludf.DUMMYFUNCTION("""COMPUTED_VALUE"""),"#VALUE!")</f>
        <v>#VALUE!</v>
      </c>
      <c r="F845" s="4" t="str">
        <f>IFERROR(__xludf.DUMMYFUNCTION("""COMPUTED_VALUE"""),"")</f>
        <v/>
      </c>
      <c r="G845" s="4" t="str">
        <f>IFERROR(__xludf.DUMMYFUNCTION("""COMPUTED_VALUE"""),"#VALUE!")</f>
        <v>#VALUE!</v>
      </c>
      <c r="H845" s="4" t="str">
        <f>IFERROR(__xludf.DUMMYFUNCTION("""COMPUTED_VALUE"""),"")</f>
        <v/>
      </c>
    </row>
    <row r="846">
      <c r="E846" s="4" t="str">
        <f>IFERROR(__xludf.DUMMYFUNCTION("""COMPUTED_VALUE"""),"#VALUE!")</f>
        <v>#VALUE!</v>
      </c>
      <c r="F846" s="4" t="str">
        <f>IFERROR(__xludf.DUMMYFUNCTION("""COMPUTED_VALUE"""),"")</f>
        <v/>
      </c>
      <c r="G846" s="4" t="str">
        <f>IFERROR(__xludf.DUMMYFUNCTION("""COMPUTED_VALUE"""),"#VALUE!")</f>
        <v>#VALUE!</v>
      </c>
      <c r="H846" s="4" t="str">
        <f>IFERROR(__xludf.DUMMYFUNCTION("""COMPUTED_VALUE"""),"")</f>
        <v/>
      </c>
    </row>
    <row r="847">
      <c r="E847" s="4" t="str">
        <f>IFERROR(__xludf.DUMMYFUNCTION("""COMPUTED_VALUE"""),"#VALUE!")</f>
        <v>#VALUE!</v>
      </c>
      <c r="F847" s="4" t="str">
        <f>IFERROR(__xludf.DUMMYFUNCTION("""COMPUTED_VALUE"""),"")</f>
        <v/>
      </c>
      <c r="G847" s="4" t="str">
        <f>IFERROR(__xludf.DUMMYFUNCTION("""COMPUTED_VALUE"""),"#VALUE!")</f>
        <v>#VALUE!</v>
      </c>
      <c r="H847" s="4" t="str">
        <f>IFERROR(__xludf.DUMMYFUNCTION("""COMPUTED_VALUE"""),"")</f>
        <v/>
      </c>
    </row>
    <row r="848">
      <c r="E848" s="4" t="str">
        <f>IFERROR(__xludf.DUMMYFUNCTION("""COMPUTED_VALUE"""),"#VALUE!")</f>
        <v>#VALUE!</v>
      </c>
      <c r="F848" s="4" t="str">
        <f>IFERROR(__xludf.DUMMYFUNCTION("""COMPUTED_VALUE"""),"")</f>
        <v/>
      </c>
      <c r="G848" s="4" t="str">
        <f>IFERROR(__xludf.DUMMYFUNCTION("""COMPUTED_VALUE"""),"#VALUE!")</f>
        <v>#VALUE!</v>
      </c>
      <c r="H848" s="4" t="str">
        <f>IFERROR(__xludf.DUMMYFUNCTION("""COMPUTED_VALUE"""),"")</f>
        <v/>
      </c>
    </row>
    <row r="849">
      <c r="E849" s="4" t="str">
        <f>IFERROR(__xludf.DUMMYFUNCTION("""COMPUTED_VALUE"""),"#VALUE!")</f>
        <v>#VALUE!</v>
      </c>
      <c r="F849" s="4" t="str">
        <f>IFERROR(__xludf.DUMMYFUNCTION("""COMPUTED_VALUE"""),"")</f>
        <v/>
      </c>
      <c r="G849" s="4" t="str">
        <f>IFERROR(__xludf.DUMMYFUNCTION("""COMPUTED_VALUE"""),"#VALUE!")</f>
        <v>#VALUE!</v>
      </c>
      <c r="H849" s="4" t="str">
        <f>IFERROR(__xludf.DUMMYFUNCTION("""COMPUTED_VALUE"""),"")</f>
        <v/>
      </c>
    </row>
    <row r="850">
      <c r="E850" s="4" t="str">
        <f>IFERROR(__xludf.DUMMYFUNCTION("""COMPUTED_VALUE"""),"#VALUE!")</f>
        <v>#VALUE!</v>
      </c>
      <c r="F850" s="4" t="str">
        <f>IFERROR(__xludf.DUMMYFUNCTION("""COMPUTED_VALUE"""),"")</f>
        <v/>
      </c>
      <c r="G850" s="4" t="str">
        <f>IFERROR(__xludf.DUMMYFUNCTION("""COMPUTED_VALUE"""),"#VALUE!")</f>
        <v>#VALUE!</v>
      </c>
      <c r="H850" s="4" t="str">
        <f>IFERROR(__xludf.DUMMYFUNCTION("""COMPUTED_VALUE"""),"")</f>
        <v/>
      </c>
    </row>
    <row r="851">
      <c r="E851" s="4" t="str">
        <f>IFERROR(__xludf.DUMMYFUNCTION("""COMPUTED_VALUE"""),"#VALUE!")</f>
        <v>#VALUE!</v>
      </c>
      <c r="F851" s="4" t="str">
        <f>IFERROR(__xludf.DUMMYFUNCTION("""COMPUTED_VALUE"""),"")</f>
        <v/>
      </c>
      <c r="G851" s="4" t="str">
        <f>IFERROR(__xludf.DUMMYFUNCTION("""COMPUTED_VALUE"""),"#VALUE!")</f>
        <v>#VALUE!</v>
      </c>
      <c r="H851" s="4" t="str">
        <f>IFERROR(__xludf.DUMMYFUNCTION("""COMPUTED_VALUE"""),"")</f>
        <v/>
      </c>
    </row>
    <row r="852">
      <c r="E852" s="4" t="str">
        <f>IFERROR(__xludf.DUMMYFUNCTION("""COMPUTED_VALUE"""),"#VALUE!")</f>
        <v>#VALUE!</v>
      </c>
      <c r="F852" s="4" t="str">
        <f>IFERROR(__xludf.DUMMYFUNCTION("""COMPUTED_VALUE"""),"")</f>
        <v/>
      </c>
      <c r="G852" s="4" t="str">
        <f>IFERROR(__xludf.DUMMYFUNCTION("""COMPUTED_VALUE"""),"#VALUE!")</f>
        <v>#VALUE!</v>
      </c>
      <c r="H852" s="4" t="str">
        <f>IFERROR(__xludf.DUMMYFUNCTION("""COMPUTED_VALUE"""),"")</f>
        <v/>
      </c>
    </row>
    <row r="853">
      <c r="E853" s="4" t="str">
        <f>IFERROR(__xludf.DUMMYFUNCTION("""COMPUTED_VALUE"""),"#VALUE!")</f>
        <v>#VALUE!</v>
      </c>
      <c r="F853" s="4" t="str">
        <f>IFERROR(__xludf.DUMMYFUNCTION("""COMPUTED_VALUE"""),"")</f>
        <v/>
      </c>
      <c r="G853" s="4" t="str">
        <f>IFERROR(__xludf.DUMMYFUNCTION("""COMPUTED_VALUE"""),"#VALUE!")</f>
        <v>#VALUE!</v>
      </c>
      <c r="H853" s="4" t="str">
        <f>IFERROR(__xludf.DUMMYFUNCTION("""COMPUTED_VALUE"""),"")</f>
        <v/>
      </c>
    </row>
    <row r="854">
      <c r="E854" s="4" t="str">
        <f>IFERROR(__xludf.DUMMYFUNCTION("""COMPUTED_VALUE"""),"#VALUE!")</f>
        <v>#VALUE!</v>
      </c>
      <c r="F854" s="4" t="str">
        <f>IFERROR(__xludf.DUMMYFUNCTION("""COMPUTED_VALUE"""),"")</f>
        <v/>
      </c>
      <c r="G854" s="4" t="str">
        <f>IFERROR(__xludf.DUMMYFUNCTION("""COMPUTED_VALUE"""),"#VALUE!")</f>
        <v>#VALUE!</v>
      </c>
      <c r="H854" s="4" t="str">
        <f>IFERROR(__xludf.DUMMYFUNCTION("""COMPUTED_VALUE"""),"")</f>
        <v/>
      </c>
    </row>
    <row r="855">
      <c r="E855" s="4" t="str">
        <f>IFERROR(__xludf.DUMMYFUNCTION("""COMPUTED_VALUE"""),"#VALUE!")</f>
        <v>#VALUE!</v>
      </c>
      <c r="F855" s="4" t="str">
        <f>IFERROR(__xludf.DUMMYFUNCTION("""COMPUTED_VALUE"""),"")</f>
        <v/>
      </c>
      <c r="G855" s="4" t="str">
        <f>IFERROR(__xludf.DUMMYFUNCTION("""COMPUTED_VALUE"""),"#VALUE!")</f>
        <v>#VALUE!</v>
      </c>
      <c r="H855" s="4" t="str">
        <f>IFERROR(__xludf.DUMMYFUNCTION("""COMPUTED_VALUE"""),"")</f>
        <v/>
      </c>
    </row>
    <row r="856">
      <c r="E856" s="4" t="str">
        <f>IFERROR(__xludf.DUMMYFUNCTION("""COMPUTED_VALUE"""),"#VALUE!")</f>
        <v>#VALUE!</v>
      </c>
      <c r="F856" s="4" t="str">
        <f>IFERROR(__xludf.DUMMYFUNCTION("""COMPUTED_VALUE"""),"")</f>
        <v/>
      </c>
      <c r="G856" s="4" t="str">
        <f>IFERROR(__xludf.DUMMYFUNCTION("""COMPUTED_VALUE"""),"#VALUE!")</f>
        <v>#VALUE!</v>
      </c>
      <c r="H856" s="4" t="str">
        <f>IFERROR(__xludf.DUMMYFUNCTION("""COMPUTED_VALUE"""),"")</f>
        <v/>
      </c>
    </row>
    <row r="857">
      <c r="E857" s="4" t="str">
        <f>IFERROR(__xludf.DUMMYFUNCTION("""COMPUTED_VALUE"""),"#VALUE!")</f>
        <v>#VALUE!</v>
      </c>
      <c r="F857" s="4" t="str">
        <f>IFERROR(__xludf.DUMMYFUNCTION("""COMPUTED_VALUE"""),"")</f>
        <v/>
      </c>
      <c r="G857" s="4" t="str">
        <f>IFERROR(__xludf.DUMMYFUNCTION("""COMPUTED_VALUE"""),"#VALUE!")</f>
        <v>#VALUE!</v>
      </c>
      <c r="H857" s="4" t="str">
        <f>IFERROR(__xludf.DUMMYFUNCTION("""COMPUTED_VALUE"""),"")</f>
        <v/>
      </c>
    </row>
    <row r="858">
      <c r="E858" s="4" t="str">
        <f>IFERROR(__xludf.DUMMYFUNCTION("""COMPUTED_VALUE"""),"#VALUE!")</f>
        <v>#VALUE!</v>
      </c>
      <c r="F858" s="4" t="str">
        <f>IFERROR(__xludf.DUMMYFUNCTION("""COMPUTED_VALUE"""),"")</f>
        <v/>
      </c>
      <c r="G858" s="4" t="str">
        <f>IFERROR(__xludf.DUMMYFUNCTION("""COMPUTED_VALUE"""),"#VALUE!")</f>
        <v>#VALUE!</v>
      </c>
      <c r="H858" s="4" t="str">
        <f>IFERROR(__xludf.DUMMYFUNCTION("""COMPUTED_VALUE"""),"")</f>
        <v/>
      </c>
    </row>
    <row r="859">
      <c r="E859" s="4" t="str">
        <f>IFERROR(__xludf.DUMMYFUNCTION("""COMPUTED_VALUE"""),"#VALUE!")</f>
        <v>#VALUE!</v>
      </c>
      <c r="F859" s="4" t="str">
        <f>IFERROR(__xludf.DUMMYFUNCTION("""COMPUTED_VALUE"""),"")</f>
        <v/>
      </c>
      <c r="G859" s="4" t="str">
        <f>IFERROR(__xludf.DUMMYFUNCTION("""COMPUTED_VALUE"""),"#VALUE!")</f>
        <v>#VALUE!</v>
      </c>
      <c r="H859" s="4" t="str">
        <f>IFERROR(__xludf.DUMMYFUNCTION("""COMPUTED_VALUE"""),"")</f>
        <v/>
      </c>
    </row>
    <row r="860">
      <c r="E860" s="4" t="str">
        <f>IFERROR(__xludf.DUMMYFUNCTION("""COMPUTED_VALUE"""),"#VALUE!")</f>
        <v>#VALUE!</v>
      </c>
      <c r="F860" s="4" t="str">
        <f>IFERROR(__xludf.DUMMYFUNCTION("""COMPUTED_VALUE"""),"")</f>
        <v/>
      </c>
      <c r="G860" s="4" t="str">
        <f>IFERROR(__xludf.DUMMYFUNCTION("""COMPUTED_VALUE"""),"#VALUE!")</f>
        <v>#VALUE!</v>
      </c>
      <c r="H860" s="4" t="str">
        <f>IFERROR(__xludf.DUMMYFUNCTION("""COMPUTED_VALUE"""),"")</f>
        <v/>
      </c>
    </row>
    <row r="861">
      <c r="E861" s="4" t="str">
        <f>IFERROR(__xludf.DUMMYFUNCTION("""COMPUTED_VALUE"""),"#VALUE!")</f>
        <v>#VALUE!</v>
      </c>
      <c r="F861" s="4" t="str">
        <f>IFERROR(__xludf.DUMMYFUNCTION("""COMPUTED_VALUE"""),"")</f>
        <v/>
      </c>
      <c r="G861" s="4" t="str">
        <f>IFERROR(__xludf.DUMMYFUNCTION("""COMPUTED_VALUE"""),"#VALUE!")</f>
        <v>#VALUE!</v>
      </c>
      <c r="H861" s="4" t="str">
        <f>IFERROR(__xludf.DUMMYFUNCTION("""COMPUTED_VALUE"""),"")</f>
        <v/>
      </c>
    </row>
    <row r="862">
      <c r="E862" s="4" t="str">
        <f>IFERROR(__xludf.DUMMYFUNCTION("""COMPUTED_VALUE"""),"#VALUE!")</f>
        <v>#VALUE!</v>
      </c>
      <c r="F862" s="4" t="str">
        <f>IFERROR(__xludf.DUMMYFUNCTION("""COMPUTED_VALUE"""),"")</f>
        <v/>
      </c>
      <c r="G862" s="4" t="str">
        <f>IFERROR(__xludf.DUMMYFUNCTION("""COMPUTED_VALUE"""),"#VALUE!")</f>
        <v>#VALUE!</v>
      </c>
      <c r="H862" s="4" t="str">
        <f>IFERROR(__xludf.DUMMYFUNCTION("""COMPUTED_VALUE"""),"")</f>
        <v/>
      </c>
    </row>
    <row r="863">
      <c r="E863" s="4" t="str">
        <f>IFERROR(__xludf.DUMMYFUNCTION("""COMPUTED_VALUE"""),"#VALUE!")</f>
        <v>#VALUE!</v>
      </c>
      <c r="F863" s="4" t="str">
        <f>IFERROR(__xludf.DUMMYFUNCTION("""COMPUTED_VALUE"""),"")</f>
        <v/>
      </c>
      <c r="G863" s="4" t="str">
        <f>IFERROR(__xludf.DUMMYFUNCTION("""COMPUTED_VALUE"""),"#VALUE!")</f>
        <v>#VALUE!</v>
      </c>
      <c r="H863" s="4" t="str">
        <f>IFERROR(__xludf.DUMMYFUNCTION("""COMPUTED_VALUE"""),"")</f>
        <v/>
      </c>
    </row>
    <row r="864">
      <c r="E864" s="4" t="str">
        <f>IFERROR(__xludf.DUMMYFUNCTION("""COMPUTED_VALUE"""),"#VALUE!")</f>
        <v>#VALUE!</v>
      </c>
      <c r="F864" s="4" t="str">
        <f>IFERROR(__xludf.DUMMYFUNCTION("""COMPUTED_VALUE"""),"")</f>
        <v/>
      </c>
      <c r="G864" s="4" t="str">
        <f>IFERROR(__xludf.DUMMYFUNCTION("""COMPUTED_VALUE"""),"#VALUE!")</f>
        <v>#VALUE!</v>
      </c>
      <c r="H864" s="4" t="str">
        <f>IFERROR(__xludf.DUMMYFUNCTION("""COMPUTED_VALUE"""),"")</f>
        <v/>
      </c>
    </row>
    <row r="865">
      <c r="E865" s="4" t="str">
        <f>IFERROR(__xludf.DUMMYFUNCTION("""COMPUTED_VALUE"""),"#VALUE!")</f>
        <v>#VALUE!</v>
      </c>
      <c r="F865" s="4" t="str">
        <f>IFERROR(__xludf.DUMMYFUNCTION("""COMPUTED_VALUE"""),"")</f>
        <v/>
      </c>
      <c r="G865" s="4" t="str">
        <f>IFERROR(__xludf.DUMMYFUNCTION("""COMPUTED_VALUE"""),"#VALUE!")</f>
        <v>#VALUE!</v>
      </c>
      <c r="H865" s="4" t="str">
        <f>IFERROR(__xludf.DUMMYFUNCTION("""COMPUTED_VALUE"""),"")</f>
        <v/>
      </c>
    </row>
    <row r="866">
      <c r="E866" s="4" t="str">
        <f>IFERROR(__xludf.DUMMYFUNCTION("""COMPUTED_VALUE"""),"#VALUE!")</f>
        <v>#VALUE!</v>
      </c>
      <c r="F866" s="4" t="str">
        <f>IFERROR(__xludf.DUMMYFUNCTION("""COMPUTED_VALUE"""),"")</f>
        <v/>
      </c>
      <c r="G866" s="4" t="str">
        <f>IFERROR(__xludf.DUMMYFUNCTION("""COMPUTED_VALUE"""),"#VALUE!")</f>
        <v>#VALUE!</v>
      </c>
      <c r="H866" s="4" t="str">
        <f>IFERROR(__xludf.DUMMYFUNCTION("""COMPUTED_VALUE"""),"")</f>
        <v/>
      </c>
    </row>
    <row r="867">
      <c r="E867" s="4" t="str">
        <f>IFERROR(__xludf.DUMMYFUNCTION("""COMPUTED_VALUE"""),"#VALUE!")</f>
        <v>#VALUE!</v>
      </c>
      <c r="F867" s="4" t="str">
        <f>IFERROR(__xludf.DUMMYFUNCTION("""COMPUTED_VALUE"""),"")</f>
        <v/>
      </c>
      <c r="G867" s="4" t="str">
        <f>IFERROR(__xludf.DUMMYFUNCTION("""COMPUTED_VALUE"""),"#VALUE!")</f>
        <v>#VALUE!</v>
      </c>
      <c r="H867" s="4" t="str">
        <f>IFERROR(__xludf.DUMMYFUNCTION("""COMPUTED_VALUE"""),"")</f>
        <v/>
      </c>
    </row>
    <row r="868">
      <c r="E868" s="4" t="str">
        <f>IFERROR(__xludf.DUMMYFUNCTION("""COMPUTED_VALUE"""),"#VALUE!")</f>
        <v>#VALUE!</v>
      </c>
      <c r="F868" s="4" t="str">
        <f>IFERROR(__xludf.DUMMYFUNCTION("""COMPUTED_VALUE"""),"")</f>
        <v/>
      </c>
      <c r="G868" s="4" t="str">
        <f>IFERROR(__xludf.DUMMYFUNCTION("""COMPUTED_VALUE"""),"#VALUE!")</f>
        <v>#VALUE!</v>
      </c>
      <c r="H868" s="4" t="str">
        <f>IFERROR(__xludf.DUMMYFUNCTION("""COMPUTED_VALUE"""),"")</f>
        <v/>
      </c>
    </row>
    <row r="869">
      <c r="E869" s="4" t="str">
        <f>IFERROR(__xludf.DUMMYFUNCTION("""COMPUTED_VALUE"""),"#VALUE!")</f>
        <v>#VALUE!</v>
      </c>
      <c r="F869" s="4" t="str">
        <f>IFERROR(__xludf.DUMMYFUNCTION("""COMPUTED_VALUE"""),"")</f>
        <v/>
      </c>
      <c r="G869" s="4" t="str">
        <f>IFERROR(__xludf.DUMMYFUNCTION("""COMPUTED_VALUE"""),"#VALUE!")</f>
        <v>#VALUE!</v>
      </c>
      <c r="H869" s="4" t="str">
        <f>IFERROR(__xludf.DUMMYFUNCTION("""COMPUTED_VALUE"""),"")</f>
        <v/>
      </c>
    </row>
    <row r="870">
      <c r="E870" s="4" t="str">
        <f>IFERROR(__xludf.DUMMYFUNCTION("""COMPUTED_VALUE"""),"#VALUE!")</f>
        <v>#VALUE!</v>
      </c>
      <c r="F870" s="4" t="str">
        <f>IFERROR(__xludf.DUMMYFUNCTION("""COMPUTED_VALUE"""),"")</f>
        <v/>
      </c>
      <c r="G870" s="4" t="str">
        <f>IFERROR(__xludf.DUMMYFUNCTION("""COMPUTED_VALUE"""),"#VALUE!")</f>
        <v>#VALUE!</v>
      </c>
      <c r="H870" s="4" t="str">
        <f>IFERROR(__xludf.DUMMYFUNCTION("""COMPUTED_VALUE"""),"")</f>
        <v/>
      </c>
    </row>
    <row r="871">
      <c r="E871" s="4" t="str">
        <f>IFERROR(__xludf.DUMMYFUNCTION("""COMPUTED_VALUE"""),"#VALUE!")</f>
        <v>#VALUE!</v>
      </c>
      <c r="F871" s="4" t="str">
        <f>IFERROR(__xludf.DUMMYFUNCTION("""COMPUTED_VALUE"""),"")</f>
        <v/>
      </c>
      <c r="G871" s="4" t="str">
        <f>IFERROR(__xludf.DUMMYFUNCTION("""COMPUTED_VALUE"""),"#VALUE!")</f>
        <v>#VALUE!</v>
      </c>
      <c r="H871" s="4" t="str">
        <f>IFERROR(__xludf.DUMMYFUNCTION("""COMPUTED_VALUE"""),"")</f>
        <v/>
      </c>
    </row>
    <row r="872">
      <c r="E872" s="4" t="str">
        <f>IFERROR(__xludf.DUMMYFUNCTION("""COMPUTED_VALUE"""),"#VALUE!")</f>
        <v>#VALUE!</v>
      </c>
      <c r="F872" s="4" t="str">
        <f>IFERROR(__xludf.DUMMYFUNCTION("""COMPUTED_VALUE"""),"")</f>
        <v/>
      </c>
      <c r="G872" s="4" t="str">
        <f>IFERROR(__xludf.DUMMYFUNCTION("""COMPUTED_VALUE"""),"#VALUE!")</f>
        <v>#VALUE!</v>
      </c>
      <c r="H872" s="4" t="str">
        <f>IFERROR(__xludf.DUMMYFUNCTION("""COMPUTED_VALUE"""),"")</f>
        <v/>
      </c>
    </row>
    <row r="873">
      <c r="E873" s="4" t="str">
        <f>IFERROR(__xludf.DUMMYFUNCTION("""COMPUTED_VALUE"""),"#VALUE!")</f>
        <v>#VALUE!</v>
      </c>
      <c r="F873" s="4" t="str">
        <f>IFERROR(__xludf.DUMMYFUNCTION("""COMPUTED_VALUE"""),"")</f>
        <v/>
      </c>
      <c r="G873" s="4" t="str">
        <f>IFERROR(__xludf.DUMMYFUNCTION("""COMPUTED_VALUE"""),"#VALUE!")</f>
        <v>#VALUE!</v>
      </c>
      <c r="H873" s="4" t="str">
        <f>IFERROR(__xludf.DUMMYFUNCTION("""COMPUTED_VALUE"""),"")</f>
        <v/>
      </c>
    </row>
    <row r="874">
      <c r="E874" s="4" t="str">
        <f>IFERROR(__xludf.DUMMYFUNCTION("""COMPUTED_VALUE"""),"#VALUE!")</f>
        <v>#VALUE!</v>
      </c>
      <c r="F874" s="4" t="str">
        <f>IFERROR(__xludf.DUMMYFUNCTION("""COMPUTED_VALUE"""),"")</f>
        <v/>
      </c>
      <c r="G874" s="4" t="str">
        <f>IFERROR(__xludf.DUMMYFUNCTION("""COMPUTED_VALUE"""),"#VALUE!")</f>
        <v>#VALUE!</v>
      </c>
      <c r="H874" s="4" t="str">
        <f>IFERROR(__xludf.DUMMYFUNCTION("""COMPUTED_VALUE"""),"")</f>
        <v/>
      </c>
    </row>
    <row r="875">
      <c r="E875" s="4" t="str">
        <f>IFERROR(__xludf.DUMMYFUNCTION("""COMPUTED_VALUE"""),"#VALUE!")</f>
        <v>#VALUE!</v>
      </c>
      <c r="F875" s="4" t="str">
        <f>IFERROR(__xludf.DUMMYFUNCTION("""COMPUTED_VALUE"""),"")</f>
        <v/>
      </c>
      <c r="G875" s="4" t="str">
        <f>IFERROR(__xludf.DUMMYFUNCTION("""COMPUTED_VALUE"""),"#VALUE!")</f>
        <v>#VALUE!</v>
      </c>
      <c r="H875" s="4" t="str">
        <f>IFERROR(__xludf.DUMMYFUNCTION("""COMPUTED_VALUE"""),"")</f>
        <v/>
      </c>
    </row>
    <row r="876">
      <c r="E876" s="4" t="str">
        <f>IFERROR(__xludf.DUMMYFUNCTION("""COMPUTED_VALUE"""),"#VALUE!")</f>
        <v>#VALUE!</v>
      </c>
      <c r="F876" s="4" t="str">
        <f>IFERROR(__xludf.DUMMYFUNCTION("""COMPUTED_VALUE"""),"")</f>
        <v/>
      </c>
      <c r="G876" s="4" t="str">
        <f>IFERROR(__xludf.DUMMYFUNCTION("""COMPUTED_VALUE"""),"#VALUE!")</f>
        <v>#VALUE!</v>
      </c>
      <c r="H876" s="4" t="str">
        <f>IFERROR(__xludf.DUMMYFUNCTION("""COMPUTED_VALUE"""),"")</f>
        <v/>
      </c>
    </row>
    <row r="877">
      <c r="E877" s="4" t="str">
        <f>IFERROR(__xludf.DUMMYFUNCTION("""COMPUTED_VALUE"""),"#VALUE!")</f>
        <v>#VALUE!</v>
      </c>
      <c r="F877" s="4" t="str">
        <f>IFERROR(__xludf.DUMMYFUNCTION("""COMPUTED_VALUE"""),"")</f>
        <v/>
      </c>
      <c r="G877" s="4" t="str">
        <f>IFERROR(__xludf.DUMMYFUNCTION("""COMPUTED_VALUE"""),"#VALUE!")</f>
        <v>#VALUE!</v>
      </c>
      <c r="H877" s="4" t="str">
        <f>IFERROR(__xludf.DUMMYFUNCTION("""COMPUTED_VALUE"""),"")</f>
        <v/>
      </c>
    </row>
    <row r="878">
      <c r="E878" s="4" t="str">
        <f>IFERROR(__xludf.DUMMYFUNCTION("""COMPUTED_VALUE"""),"#VALUE!")</f>
        <v>#VALUE!</v>
      </c>
      <c r="F878" s="4" t="str">
        <f>IFERROR(__xludf.DUMMYFUNCTION("""COMPUTED_VALUE"""),"")</f>
        <v/>
      </c>
      <c r="G878" s="4" t="str">
        <f>IFERROR(__xludf.DUMMYFUNCTION("""COMPUTED_VALUE"""),"#VALUE!")</f>
        <v>#VALUE!</v>
      </c>
      <c r="H878" s="4" t="str">
        <f>IFERROR(__xludf.DUMMYFUNCTION("""COMPUTED_VALUE"""),"")</f>
        <v/>
      </c>
    </row>
    <row r="879">
      <c r="E879" s="4" t="str">
        <f>IFERROR(__xludf.DUMMYFUNCTION("""COMPUTED_VALUE"""),"#VALUE!")</f>
        <v>#VALUE!</v>
      </c>
      <c r="F879" s="4" t="str">
        <f>IFERROR(__xludf.DUMMYFUNCTION("""COMPUTED_VALUE"""),"")</f>
        <v/>
      </c>
      <c r="G879" s="4" t="str">
        <f>IFERROR(__xludf.DUMMYFUNCTION("""COMPUTED_VALUE"""),"#VALUE!")</f>
        <v>#VALUE!</v>
      </c>
      <c r="H879" s="4" t="str">
        <f>IFERROR(__xludf.DUMMYFUNCTION("""COMPUTED_VALUE"""),"")</f>
        <v/>
      </c>
    </row>
    <row r="880">
      <c r="E880" s="4" t="str">
        <f>IFERROR(__xludf.DUMMYFUNCTION("""COMPUTED_VALUE"""),"#VALUE!")</f>
        <v>#VALUE!</v>
      </c>
      <c r="F880" s="4" t="str">
        <f>IFERROR(__xludf.DUMMYFUNCTION("""COMPUTED_VALUE"""),"")</f>
        <v/>
      </c>
      <c r="G880" s="4" t="str">
        <f>IFERROR(__xludf.DUMMYFUNCTION("""COMPUTED_VALUE"""),"#VALUE!")</f>
        <v>#VALUE!</v>
      </c>
      <c r="H880" s="4" t="str">
        <f>IFERROR(__xludf.DUMMYFUNCTION("""COMPUTED_VALUE"""),"")</f>
        <v/>
      </c>
    </row>
    <row r="881">
      <c r="E881" s="4" t="str">
        <f>IFERROR(__xludf.DUMMYFUNCTION("""COMPUTED_VALUE"""),"#VALUE!")</f>
        <v>#VALUE!</v>
      </c>
      <c r="F881" s="4" t="str">
        <f>IFERROR(__xludf.DUMMYFUNCTION("""COMPUTED_VALUE"""),"")</f>
        <v/>
      </c>
      <c r="G881" s="4" t="str">
        <f>IFERROR(__xludf.DUMMYFUNCTION("""COMPUTED_VALUE"""),"#VALUE!")</f>
        <v>#VALUE!</v>
      </c>
      <c r="H881" s="4" t="str">
        <f>IFERROR(__xludf.DUMMYFUNCTION("""COMPUTED_VALUE"""),"")</f>
        <v/>
      </c>
    </row>
    <row r="882">
      <c r="E882" s="4" t="str">
        <f>IFERROR(__xludf.DUMMYFUNCTION("""COMPUTED_VALUE"""),"#VALUE!")</f>
        <v>#VALUE!</v>
      </c>
      <c r="F882" s="4" t="str">
        <f>IFERROR(__xludf.DUMMYFUNCTION("""COMPUTED_VALUE"""),"")</f>
        <v/>
      </c>
      <c r="G882" s="4" t="str">
        <f>IFERROR(__xludf.DUMMYFUNCTION("""COMPUTED_VALUE"""),"#VALUE!")</f>
        <v>#VALUE!</v>
      </c>
      <c r="H882" s="4" t="str">
        <f>IFERROR(__xludf.DUMMYFUNCTION("""COMPUTED_VALUE"""),"")</f>
        <v/>
      </c>
    </row>
    <row r="883">
      <c r="E883" s="4" t="str">
        <f>IFERROR(__xludf.DUMMYFUNCTION("""COMPUTED_VALUE"""),"#VALUE!")</f>
        <v>#VALUE!</v>
      </c>
      <c r="F883" s="4" t="str">
        <f>IFERROR(__xludf.DUMMYFUNCTION("""COMPUTED_VALUE"""),"")</f>
        <v/>
      </c>
      <c r="G883" s="4" t="str">
        <f>IFERROR(__xludf.DUMMYFUNCTION("""COMPUTED_VALUE"""),"#VALUE!")</f>
        <v>#VALUE!</v>
      </c>
      <c r="H883" s="4" t="str">
        <f>IFERROR(__xludf.DUMMYFUNCTION("""COMPUTED_VALUE"""),"")</f>
        <v/>
      </c>
    </row>
    <row r="884">
      <c r="E884" s="4" t="str">
        <f>IFERROR(__xludf.DUMMYFUNCTION("""COMPUTED_VALUE"""),"#VALUE!")</f>
        <v>#VALUE!</v>
      </c>
      <c r="F884" s="4" t="str">
        <f>IFERROR(__xludf.DUMMYFUNCTION("""COMPUTED_VALUE"""),"")</f>
        <v/>
      </c>
      <c r="G884" s="4" t="str">
        <f>IFERROR(__xludf.DUMMYFUNCTION("""COMPUTED_VALUE"""),"#VALUE!")</f>
        <v>#VALUE!</v>
      </c>
      <c r="H884" s="4" t="str">
        <f>IFERROR(__xludf.DUMMYFUNCTION("""COMPUTED_VALUE"""),"")</f>
        <v/>
      </c>
    </row>
    <row r="885">
      <c r="E885" s="4" t="str">
        <f>IFERROR(__xludf.DUMMYFUNCTION("""COMPUTED_VALUE"""),"#VALUE!")</f>
        <v>#VALUE!</v>
      </c>
      <c r="F885" s="4" t="str">
        <f>IFERROR(__xludf.DUMMYFUNCTION("""COMPUTED_VALUE"""),"")</f>
        <v/>
      </c>
      <c r="G885" s="4" t="str">
        <f>IFERROR(__xludf.DUMMYFUNCTION("""COMPUTED_VALUE"""),"#VALUE!")</f>
        <v>#VALUE!</v>
      </c>
      <c r="H885" s="4" t="str">
        <f>IFERROR(__xludf.DUMMYFUNCTION("""COMPUTED_VALUE"""),"")</f>
        <v/>
      </c>
    </row>
    <row r="886">
      <c r="E886" s="4" t="str">
        <f>IFERROR(__xludf.DUMMYFUNCTION("""COMPUTED_VALUE"""),"#VALUE!")</f>
        <v>#VALUE!</v>
      </c>
      <c r="F886" s="4" t="str">
        <f>IFERROR(__xludf.DUMMYFUNCTION("""COMPUTED_VALUE"""),"")</f>
        <v/>
      </c>
      <c r="G886" s="4" t="str">
        <f>IFERROR(__xludf.DUMMYFUNCTION("""COMPUTED_VALUE"""),"#VALUE!")</f>
        <v>#VALUE!</v>
      </c>
      <c r="H886" s="4" t="str">
        <f>IFERROR(__xludf.DUMMYFUNCTION("""COMPUTED_VALUE"""),"")</f>
        <v/>
      </c>
    </row>
    <row r="887">
      <c r="E887" s="4" t="str">
        <f>IFERROR(__xludf.DUMMYFUNCTION("""COMPUTED_VALUE"""),"#VALUE!")</f>
        <v>#VALUE!</v>
      </c>
      <c r="F887" s="4" t="str">
        <f>IFERROR(__xludf.DUMMYFUNCTION("""COMPUTED_VALUE"""),"")</f>
        <v/>
      </c>
      <c r="G887" s="4" t="str">
        <f>IFERROR(__xludf.DUMMYFUNCTION("""COMPUTED_VALUE"""),"#VALUE!")</f>
        <v>#VALUE!</v>
      </c>
      <c r="H887" s="4" t="str">
        <f>IFERROR(__xludf.DUMMYFUNCTION("""COMPUTED_VALUE"""),"")</f>
        <v/>
      </c>
    </row>
    <row r="888">
      <c r="E888" s="4" t="str">
        <f>IFERROR(__xludf.DUMMYFUNCTION("""COMPUTED_VALUE"""),"#VALUE!")</f>
        <v>#VALUE!</v>
      </c>
      <c r="F888" s="4" t="str">
        <f>IFERROR(__xludf.DUMMYFUNCTION("""COMPUTED_VALUE"""),"")</f>
        <v/>
      </c>
      <c r="G888" s="4" t="str">
        <f>IFERROR(__xludf.DUMMYFUNCTION("""COMPUTED_VALUE"""),"#VALUE!")</f>
        <v>#VALUE!</v>
      </c>
      <c r="H888" s="4" t="str">
        <f>IFERROR(__xludf.DUMMYFUNCTION("""COMPUTED_VALUE"""),"")</f>
        <v/>
      </c>
    </row>
    <row r="889">
      <c r="E889" s="4" t="str">
        <f>IFERROR(__xludf.DUMMYFUNCTION("""COMPUTED_VALUE"""),"#VALUE!")</f>
        <v>#VALUE!</v>
      </c>
      <c r="F889" s="4" t="str">
        <f>IFERROR(__xludf.DUMMYFUNCTION("""COMPUTED_VALUE"""),"")</f>
        <v/>
      </c>
      <c r="G889" s="4" t="str">
        <f>IFERROR(__xludf.DUMMYFUNCTION("""COMPUTED_VALUE"""),"#VALUE!")</f>
        <v>#VALUE!</v>
      </c>
      <c r="H889" s="4" t="str">
        <f>IFERROR(__xludf.DUMMYFUNCTION("""COMPUTED_VALUE"""),"")</f>
        <v/>
      </c>
    </row>
    <row r="890">
      <c r="E890" s="4" t="str">
        <f>IFERROR(__xludf.DUMMYFUNCTION("""COMPUTED_VALUE"""),"#VALUE!")</f>
        <v>#VALUE!</v>
      </c>
      <c r="F890" s="4" t="str">
        <f>IFERROR(__xludf.DUMMYFUNCTION("""COMPUTED_VALUE"""),"")</f>
        <v/>
      </c>
      <c r="G890" s="4" t="str">
        <f>IFERROR(__xludf.DUMMYFUNCTION("""COMPUTED_VALUE"""),"#VALUE!")</f>
        <v>#VALUE!</v>
      </c>
      <c r="H890" s="4" t="str">
        <f>IFERROR(__xludf.DUMMYFUNCTION("""COMPUTED_VALUE"""),"")</f>
        <v/>
      </c>
    </row>
    <row r="891">
      <c r="E891" s="4" t="str">
        <f>IFERROR(__xludf.DUMMYFUNCTION("""COMPUTED_VALUE"""),"#VALUE!")</f>
        <v>#VALUE!</v>
      </c>
      <c r="F891" s="4" t="str">
        <f>IFERROR(__xludf.DUMMYFUNCTION("""COMPUTED_VALUE"""),"")</f>
        <v/>
      </c>
      <c r="G891" s="4" t="str">
        <f>IFERROR(__xludf.DUMMYFUNCTION("""COMPUTED_VALUE"""),"#VALUE!")</f>
        <v>#VALUE!</v>
      </c>
      <c r="H891" s="4" t="str">
        <f>IFERROR(__xludf.DUMMYFUNCTION("""COMPUTED_VALUE"""),"")</f>
        <v/>
      </c>
    </row>
    <row r="892">
      <c r="E892" s="4" t="str">
        <f>IFERROR(__xludf.DUMMYFUNCTION("""COMPUTED_VALUE"""),"#VALUE!")</f>
        <v>#VALUE!</v>
      </c>
      <c r="F892" s="4" t="str">
        <f>IFERROR(__xludf.DUMMYFUNCTION("""COMPUTED_VALUE"""),"")</f>
        <v/>
      </c>
      <c r="G892" s="4" t="str">
        <f>IFERROR(__xludf.DUMMYFUNCTION("""COMPUTED_VALUE"""),"#VALUE!")</f>
        <v>#VALUE!</v>
      </c>
      <c r="H892" s="4" t="str">
        <f>IFERROR(__xludf.DUMMYFUNCTION("""COMPUTED_VALUE"""),"")</f>
        <v/>
      </c>
    </row>
    <row r="893">
      <c r="E893" s="4" t="str">
        <f>IFERROR(__xludf.DUMMYFUNCTION("""COMPUTED_VALUE"""),"#VALUE!")</f>
        <v>#VALUE!</v>
      </c>
      <c r="F893" s="4" t="str">
        <f>IFERROR(__xludf.DUMMYFUNCTION("""COMPUTED_VALUE"""),"")</f>
        <v/>
      </c>
      <c r="G893" s="4" t="str">
        <f>IFERROR(__xludf.DUMMYFUNCTION("""COMPUTED_VALUE"""),"#VALUE!")</f>
        <v>#VALUE!</v>
      </c>
      <c r="H893" s="4" t="str">
        <f>IFERROR(__xludf.DUMMYFUNCTION("""COMPUTED_VALUE"""),"")</f>
        <v/>
      </c>
    </row>
    <row r="894">
      <c r="E894" s="4" t="str">
        <f>IFERROR(__xludf.DUMMYFUNCTION("""COMPUTED_VALUE"""),"#VALUE!")</f>
        <v>#VALUE!</v>
      </c>
      <c r="F894" s="4" t="str">
        <f>IFERROR(__xludf.DUMMYFUNCTION("""COMPUTED_VALUE"""),"")</f>
        <v/>
      </c>
      <c r="G894" s="4" t="str">
        <f>IFERROR(__xludf.DUMMYFUNCTION("""COMPUTED_VALUE"""),"#VALUE!")</f>
        <v>#VALUE!</v>
      </c>
      <c r="H894" s="4" t="str">
        <f>IFERROR(__xludf.DUMMYFUNCTION("""COMPUTED_VALUE"""),"")</f>
        <v/>
      </c>
    </row>
    <row r="895">
      <c r="E895" s="4" t="str">
        <f>IFERROR(__xludf.DUMMYFUNCTION("""COMPUTED_VALUE"""),"#VALUE!")</f>
        <v>#VALUE!</v>
      </c>
      <c r="F895" s="4" t="str">
        <f>IFERROR(__xludf.DUMMYFUNCTION("""COMPUTED_VALUE"""),"")</f>
        <v/>
      </c>
      <c r="G895" s="4" t="str">
        <f>IFERROR(__xludf.DUMMYFUNCTION("""COMPUTED_VALUE"""),"#VALUE!")</f>
        <v>#VALUE!</v>
      </c>
      <c r="H895" s="4" t="str">
        <f>IFERROR(__xludf.DUMMYFUNCTION("""COMPUTED_VALUE"""),"")</f>
        <v/>
      </c>
    </row>
    <row r="896">
      <c r="E896" s="4" t="str">
        <f>IFERROR(__xludf.DUMMYFUNCTION("""COMPUTED_VALUE"""),"#VALUE!")</f>
        <v>#VALUE!</v>
      </c>
      <c r="F896" s="4" t="str">
        <f>IFERROR(__xludf.DUMMYFUNCTION("""COMPUTED_VALUE"""),"")</f>
        <v/>
      </c>
      <c r="G896" s="4" t="str">
        <f>IFERROR(__xludf.DUMMYFUNCTION("""COMPUTED_VALUE"""),"#VALUE!")</f>
        <v>#VALUE!</v>
      </c>
      <c r="H896" s="4" t="str">
        <f>IFERROR(__xludf.DUMMYFUNCTION("""COMPUTED_VALUE"""),"")</f>
        <v/>
      </c>
    </row>
    <row r="897">
      <c r="E897" s="4" t="str">
        <f>IFERROR(__xludf.DUMMYFUNCTION("""COMPUTED_VALUE"""),"#VALUE!")</f>
        <v>#VALUE!</v>
      </c>
      <c r="F897" s="4" t="str">
        <f>IFERROR(__xludf.DUMMYFUNCTION("""COMPUTED_VALUE"""),"")</f>
        <v/>
      </c>
      <c r="G897" s="4" t="str">
        <f>IFERROR(__xludf.DUMMYFUNCTION("""COMPUTED_VALUE"""),"#VALUE!")</f>
        <v>#VALUE!</v>
      </c>
      <c r="H897" s="4" t="str">
        <f>IFERROR(__xludf.DUMMYFUNCTION("""COMPUTED_VALUE"""),"")</f>
        <v/>
      </c>
    </row>
    <row r="898">
      <c r="E898" s="4" t="str">
        <f>IFERROR(__xludf.DUMMYFUNCTION("""COMPUTED_VALUE"""),"#VALUE!")</f>
        <v>#VALUE!</v>
      </c>
      <c r="F898" s="4" t="str">
        <f>IFERROR(__xludf.DUMMYFUNCTION("""COMPUTED_VALUE"""),"")</f>
        <v/>
      </c>
      <c r="G898" s="4" t="str">
        <f>IFERROR(__xludf.DUMMYFUNCTION("""COMPUTED_VALUE"""),"#VALUE!")</f>
        <v>#VALUE!</v>
      </c>
      <c r="H898" s="4" t="str">
        <f>IFERROR(__xludf.DUMMYFUNCTION("""COMPUTED_VALUE"""),"")</f>
        <v/>
      </c>
    </row>
    <row r="899">
      <c r="E899" s="4" t="str">
        <f>IFERROR(__xludf.DUMMYFUNCTION("""COMPUTED_VALUE"""),"#VALUE!")</f>
        <v>#VALUE!</v>
      </c>
      <c r="F899" s="4" t="str">
        <f>IFERROR(__xludf.DUMMYFUNCTION("""COMPUTED_VALUE"""),"")</f>
        <v/>
      </c>
      <c r="G899" s="4" t="str">
        <f>IFERROR(__xludf.DUMMYFUNCTION("""COMPUTED_VALUE"""),"#VALUE!")</f>
        <v>#VALUE!</v>
      </c>
      <c r="H899" s="4" t="str">
        <f>IFERROR(__xludf.DUMMYFUNCTION("""COMPUTED_VALUE"""),"")</f>
        <v/>
      </c>
    </row>
    <row r="900">
      <c r="E900" s="4" t="str">
        <f>IFERROR(__xludf.DUMMYFUNCTION("""COMPUTED_VALUE"""),"#VALUE!")</f>
        <v>#VALUE!</v>
      </c>
      <c r="F900" s="4" t="str">
        <f>IFERROR(__xludf.DUMMYFUNCTION("""COMPUTED_VALUE"""),"")</f>
        <v/>
      </c>
      <c r="G900" s="4" t="str">
        <f>IFERROR(__xludf.DUMMYFUNCTION("""COMPUTED_VALUE"""),"#VALUE!")</f>
        <v>#VALUE!</v>
      </c>
      <c r="H900" s="4" t="str">
        <f>IFERROR(__xludf.DUMMYFUNCTION("""COMPUTED_VALUE"""),"")</f>
        <v/>
      </c>
    </row>
    <row r="901">
      <c r="E901" s="4" t="str">
        <f>IFERROR(__xludf.DUMMYFUNCTION("""COMPUTED_VALUE"""),"#VALUE!")</f>
        <v>#VALUE!</v>
      </c>
      <c r="F901" s="4" t="str">
        <f>IFERROR(__xludf.DUMMYFUNCTION("""COMPUTED_VALUE"""),"")</f>
        <v/>
      </c>
      <c r="G901" s="4" t="str">
        <f>IFERROR(__xludf.DUMMYFUNCTION("""COMPUTED_VALUE"""),"#VALUE!")</f>
        <v>#VALUE!</v>
      </c>
      <c r="H901" s="4" t="str">
        <f>IFERROR(__xludf.DUMMYFUNCTION("""COMPUTED_VALUE"""),"")</f>
        <v/>
      </c>
    </row>
    <row r="902">
      <c r="E902" s="4" t="str">
        <f>IFERROR(__xludf.DUMMYFUNCTION("""COMPUTED_VALUE"""),"#VALUE!")</f>
        <v>#VALUE!</v>
      </c>
      <c r="F902" s="4" t="str">
        <f>IFERROR(__xludf.DUMMYFUNCTION("""COMPUTED_VALUE"""),"")</f>
        <v/>
      </c>
      <c r="G902" s="4" t="str">
        <f>IFERROR(__xludf.DUMMYFUNCTION("""COMPUTED_VALUE"""),"#VALUE!")</f>
        <v>#VALUE!</v>
      </c>
      <c r="H902" s="4" t="str">
        <f>IFERROR(__xludf.DUMMYFUNCTION("""COMPUTED_VALUE"""),"")</f>
        <v/>
      </c>
    </row>
    <row r="903">
      <c r="E903" s="4" t="str">
        <f>IFERROR(__xludf.DUMMYFUNCTION("""COMPUTED_VALUE"""),"#VALUE!")</f>
        <v>#VALUE!</v>
      </c>
      <c r="F903" s="4" t="str">
        <f>IFERROR(__xludf.DUMMYFUNCTION("""COMPUTED_VALUE"""),"")</f>
        <v/>
      </c>
      <c r="G903" s="4" t="str">
        <f>IFERROR(__xludf.DUMMYFUNCTION("""COMPUTED_VALUE"""),"#VALUE!")</f>
        <v>#VALUE!</v>
      </c>
      <c r="H903" s="4" t="str">
        <f>IFERROR(__xludf.DUMMYFUNCTION("""COMPUTED_VALUE"""),"")</f>
        <v/>
      </c>
    </row>
    <row r="904">
      <c r="E904" s="4" t="str">
        <f>IFERROR(__xludf.DUMMYFUNCTION("""COMPUTED_VALUE"""),"#VALUE!")</f>
        <v>#VALUE!</v>
      </c>
      <c r="F904" s="4" t="str">
        <f>IFERROR(__xludf.DUMMYFUNCTION("""COMPUTED_VALUE"""),"")</f>
        <v/>
      </c>
      <c r="G904" s="4" t="str">
        <f>IFERROR(__xludf.DUMMYFUNCTION("""COMPUTED_VALUE"""),"#VALUE!")</f>
        <v>#VALUE!</v>
      </c>
      <c r="H904" s="4" t="str">
        <f>IFERROR(__xludf.DUMMYFUNCTION("""COMPUTED_VALUE"""),"")</f>
        <v/>
      </c>
    </row>
    <row r="905">
      <c r="E905" s="4" t="str">
        <f>IFERROR(__xludf.DUMMYFUNCTION("""COMPUTED_VALUE"""),"#VALUE!")</f>
        <v>#VALUE!</v>
      </c>
      <c r="F905" s="4" t="str">
        <f>IFERROR(__xludf.DUMMYFUNCTION("""COMPUTED_VALUE"""),"")</f>
        <v/>
      </c>
      <c r="G905" s="4" t="str">
        <f>IFERROR(__xludf.DUMMYFUNCTION("""COMPUTED_VALUE"""),"#VALUE!")</f>
        <v>#VALUE!</v>
      </c>
      <c r="H905" s="4" t="str">
        <f>IFERROR(__xludf.DUMMYFUNCTION("""COMPUTED_VALUE"""),"")</f>
        <v/>
      </c>
    </row>
    <row r="906">
      <c r="E906" s="4" t="str">
        <f>IFERROR(__xludf.DUMMYFUNCTION("""COMPUTED_VALUE"""),"#VALUE!")</f>
        <v>#VALUE!</v>
      </c>
      <c r="F906" s="4" t="str">
        <f>IFERROR(__xludf.DUMMYFUNCTION("""COMPUTED_VALUE"""),"")</f>
        <v/>
      </c>
      <c r="G906" s="4" t="str">
        <f>IFERROR(__xludf.DUMMYFUNCTION("""COMPUTED_VALUE"""),"#VALUE!")</f>
        <v>#VALUE!</v>
      </c>
      <c r="H906" s="4" t="str">
        <f>IFERROR(__xludf.DUMMYFUNCTION("""COMPUTED_VALUE"""),"")</f>
        <v/>
      </c>
    </row>
    <row r="907">
      <c r="E907" s="4" t="str">
        <f>IFERROR(__xludf.DUMMYFUNCTION("""COMPUTED_VALUE"""),"#VALUE!")</f>
        <v>#VALUE!</v>
      </c>
      <c r="F907" s="4" t="str">
        <f>IFERROR(__xludf.DUMMYFUNCTION("""COMPUTED_VALUE"""),"")</f>
        <v/>
      </c>
      <c r="G907" s="4" t="str">
        <f>IFERROR(__xludf.DUMMYFUNCTION("""COMPUTED_VALUE"""),"#VALUE!")</f>
        <v>#VALUE!</v>
      </c>
      <c r="H907" s="4" t="str">
        <f>IFERROR(__xludf.DUMMYFUNCTION("""COMPUTED_VALUE"""),"")</f>
        <v/>
      </c>
    </row>
    <row r="908">
      <c r="E908" s="4" t="str">
        <f>IFERROR(__xludf.DUMMYFUNCTION("""COMPUTED_VALUE"""),"#VALUE!")</f>
        <v>#VALUE!</v>
      </c>
      <c r="F908" s="4" t="str">
        <f>IFERROR(__xludf.DUMMYFUNCTION("""COMPUTED_VALUE"""),"")</f>
        <v/>
      </c>
      <c r="G908" s="4" t="str">
        <f>IFERROR(__xludf.DUMMYFUNCTION("""COMPUTED_VALUE"""),"#VALUE!")</f>
        <v>#VALUE!</v>
      </c>
      <c r="H908" s="4" t="str">
        <f>IFERROR(__xludf.DUMMYFUNCTION("""COMPUTED_VALUE"""),"")</f>
        <v/>
      </c>
    </row>
    <row r="909">
      <c r="E909" s="4" t="str">
        <f>IFERROR(__xludf.DUMMYFUNCTION("""COMPUTED_VALUE"""),"#VALUE!")</f>
        <v>#VALUE!</v>
      </c>
      <c r="F909" s="4" t="str">
        <f>IFERROR(__xludf.DUMMYFUNCTION("""COMPUTED_VALUE"""),"")</f>
        <v/>
      </c>
      <c r="G909" s="4" t="str">
        <f>IFERROR(__xludf.DUMMYFUNCTION("""COMPUTED_VALUE"""),"#VALUE!")</f>
        <v>#VALUE!</v>
      </c>
      <c r="H909" s="4" t="str">
        <f>IFERROR(__xludf.DUMMYFUNCTION("""COMPUTED_VALUE"""),"")</f>
        <v/>
      </c>
    </row>
    <row r="910">
      <c r="E910" s="4" t="str">
        <f>IFERROR(__xludf.DUMMYFUNCTION("""COMPUTED_VALUE"""),"#VALUE!")</f>
        <v>#VALUE!</v>
      </c>
      <c r="F910" s="4" t="str">
        <f>IFERROR(__xludf.DUMMYFUNCTION("""COMPUTED_VALUE"""),"")</f>
        <v/>
      </c>
      <c r="G910" s="4" t="str">
        <f>IFERROR(__xludf.DUMMYFUNCTION("""COMPUTED_VALUE"""),"#VALUE!")</f>
        <v>#VALUE!</v>
      </c>
      <c r="H910" s="4" t="str">
        <f>IFERROR(__xludf.DUMMYFUNCTION("""COMPUTED_VALUE"""),"")</f>
        <v/>
      </c>
    </row>
    <row r="911">
      <c r="E911" s="4" t="str">
        <f>IFERROR(__xludf.DUMMYFUNCTION("""COMPUTED_VALUE"""),"#VALUE!")</f>
        <v>#VALUE!</v>
      </c>
      <c r="F911" s="4" t="str">
        <f>IFERROR(__xludf.DUMMYFUNCTION("""COMPUTED_VALUE"""),"")</f>
        <v/>
      </c>
      <c r="G911" s="4" t="str">
        <f>IFERROR(__xludf.DUMMYFUNCTION("""COMPUTED_VALUE"""),"#VALUE!")</f>
        <v>#VALUE!</v>
      </c>
      <c r="H911" s="4" t="str">
        <f>IFERROR(__xludf.DUMMYFUNCTION("""COMPUTED_VALUE"""),"")</f>
        <v/>
      </c>
    </row>
    <row r="912">
      <c r="E912" s="4" t="str">
        <f>IFERROR(__xludf.DUMMYFUNCTION("""COMPUTED_VALUE"""),"#VALUE!")</f>
        <v>#VALUE!</v>
      </c>
      <c r="F912" s="4" t="str">
        <f>IFERROR(__xludf.DUMMYFUNCTION("""COMPUTED_VALUE"""),"")</f>
        <v/>
      </c>
      <c r="G912" s="4" t="str">
        <f>IFERROR(__xludf.DUMMYFUNCTION("""COMPUTED_VALUE"""),"#VALUE!")</f>
        <v>#VALUE!</v>
      </c>
      <c r="H912" s="4" t="str">
        <f>IFERROR(__xludf.DUMMYFUNCTION("""COMPUTED_VALUE"""),"")</f>
        <v/>
      </c>
    </row>
    <row r="913">
      <c r="E913" s="4" t="str">
        <f>IFERROR(__xludf.DUMMYFUNCTION("""COMPUTED_VALUE"""),"#VALUE!")</f>
        <v>#VALUE!</v>
      </c>
      <c r="F913" s="4" t="str">
        <f>IFERROR(__xludf.DUMMYFUNCTION("""COMPUTED_VALUE"""),"")</f>
        <v/>
      </c>
      <c r="G913" s="4" t="str">
        <f>IFERROR(__xludf.DUMMYFUNCTION("""COMPUTED_VALUE"""),"#VALUE!")</f>
        <v>#VALUE!</v>
      </c>
      <c r="H913" s="4" t="str">
        <f>IFERROR(__xludf.DUMMYFUNCTION("""COMPUTED_VALUE"""),"")</f>
        <v/>
      </c>
    </row>
    <row r="914">
      <c r="E914" s="4" t="str">
        <f>IFERROR(__xludf.DUMMYFUNCTION("""COMPUTED_VALUE"""),"#VALUE!")</f>
        <v>#VALUE!</v>
      </c>
      <c r="F914" s="4" t="str">
        <f>IFERROR(__xludf.DUMMYFUNCTION("""COMPUTED_VALUE"""),"")</f>
        <v/>
      </c>
      <c r="G914" s="4" t="str">
        <f>IFERROR(__xludf.DUMMYFUNCTION("""COMPUTED_VALUE"""),"#VALUE!")</f>
        <v>#VALUE!</v>
      </c>
      <c r="H914" s="4" t="str">
        <f>IFERROR(__xludf.DUMMYFUNCTION("""COMPUTED_VALUE"""),"")</f>
        <v/>
      </c>
    </row>
    <row r="915">
      <c r="E915" s="4" t="str">
        <f>IFERROR(__xludf.DUMMYFUNCTION("""COMPUTED_VALUE"""),"#VALUE!")</f>
        <v>#VALUE!</v>
      </c>
      <c r="F915" s="4" t="str">
        <f>IFERROR(__xludf.DUMMYFUNCTION("""COMPUTED_VALUE"""),"")</f>
        <v/>
      </c>
      <c r="G915" s="4" t="str">
        <f>IFERROR(__xludf.DUMMYFUNCTION("""COMPUTED_VALUE"""),"#VALUE!")</f>
        <v>#VALUE!</v>
      </c>
      <c r="H915" s="4" t="str">
        <f>IFERROR(__xludf.DUMMYFUNCTION("""COMPUTED_VALUE"""),"")</f>
        <v/>
      </c>
    </row>
    <row r="916">
      <c r="E916" s="4" t="str">
        <f>IFERROR(__xludf.DUMMYFUNCTION("""COMPUTED_VALUE"""),"#VALUE!")</f>
        <v>#VALUE!</v>
      </c>
      <c r="F916" s="4" t="str">
        <f>IFERROR(__xludf.DUMMYFUNCTION("""COMPUTED_VALUE"""),"")</f>
        <v/>
      </c>
      <c r="G916" s="4" t="str">
        <f>IFERROR(__xludf.DUMMYFUNCTION("""COMPUTED_VALUE"""),"#VALUE!")</f>
        <v>#VALUE!</v>
      </c>
      <c r="H916" s="4" t="str">
        <f>IFERROR(__xludf.DUMMYFUNCTION("""COMPUTED_VALUE"""),"")</f>
        <v/>
      </c>
    </row>
    <row r="917">
      <c r="E917" s="4" t="str">
        <f>IFERROR(__xludf.DUMMYFUNCTION("""COMPUTED_VALUE"""),"#VALUE!")</f>
        <v>#VALUE!</v>
      </c>
      <c r="F917" s="4" t="str">
        <f>IFERROR(__xludf.DUMMYFUNCTION("""COMPUTED_VALUE"""),"")</f>
        <v/>
      </c>
      <c r="G917" s="4" t="str">
        <f>IFERROR(__xludf.DUMMYFUNCTION("""COMPUTED_VALUE"""),"#VALUE!")</f>
        <v>#VALUE!</v>
      </c>
      <c r="H917" s="4" t="str">
        <f>IFERROR(__xludf.DUMMYFUNCTION("""COMPUTED_VALUE"""),"")</f>
        <v/>
      </c>
    </row>
    <row r="918">
      <c r="E918" s="4" t="str">
        <f>IFERROR(__xludf.DUMMYFUNCTION("""COMPUTED_VALUE"""),"#VALUE!")</f>
        <v>#VALUE!</v>
      </c>
      <c r="F918" s="4" t="str">
        <f>IFERROR(__xludf.DUMMYFUNCTION("""COMPUTED_VALUE"""),"")</f>
        <v/>
      </c>
      <c r="G918" s="4" t="str">
        <f>IFERROR(__xludf.DUMMYFUNCTION("""COMPUTED_VALUE"""),"#VALUE!")</f>
        <v>#VALUE!</v>
      </c>
      <c r="H918" s="4" t="str">
        <f>IFERROR(__xludf.DUMMYFUNCTION("""COMPUTED_VALUE"""),"")</f>
        <v/>
      </c>
    </row>
    <row r="919">
      <c r="E919" s="4" t="str">
        <f>IFERROR(__xludf.DUMMYFUNCTION("""COMPUTED_VALUE"""),"#VALUE!")</f>
        <v>#VALUE!</v>
      </c>
      <c r="F919" s="4" t="str">
        <f>IFERROR(__xludf.DUMMYFUNCTION("""COMPUTED_VALUE"""),"")</f>
        <v/>
      </c>
      <c r="G919" s="4" t="str">
        <f>IFERROR(__xludf.DUMMYFUNCTION("""COMPUTED_VALUE"""),"#VALUE!")</f>
        <v>#VALUE!</v>
      </c>
      <c r="H919" s="4" t="str">
        <f>IFERROR(__xludf.DUMMYFUNCTION("""COMPUTED_VALUE"""),"")</f>
        <v/>
      </c>
    </row>
    <row r="920">
      <c r="E920" s="4" t="str">
        <f>IFERROR(__xludf.DUMMYFUNCTION("""COMPUTED_VALUE"""),"#VALUE!")</f>
        <v>#VALUE!</v>
      </c>
      <c r="F920" s="4" t="str">
        <f>IFERROR(__xludf.DUMMYFUNCTION("""COMPUTED_VALUE"""),"")</f>
        <v/>
      </c>
      <c r="G920" s="4" t="str">
        <f>IFERROR(__xludf.DUMMYFUNCTION("""COMPUTED_VALUE"""),"#VALUE!")</f>
        <v>#VALUE!</v>
      </c>
      <c r="H920" s="4" t="str">
        <f>IFERROR(__xludf.DUMMYFUNCTION("""COMPUTED_VALUE"""),"")</f>
        <v/>
      </c>
    </row>
    <row r="921">
      <c r="E921" s="4" t="str">
        <f>IFERROR(__xludf.DUMMYFUNCTION("""COMPUTED_VALUE"""),"#VALUE!")</f>
        <v>#VALUE!</v>
      </c>
      <c r="F921" s="4" t="str">
        <f>IFERROR(__xludf.DUMMYFUNCTION("""COMPUTED_VALUE"""),"")</f>
        <v/>
      </c>
      <c r="G921" s="4" t="str">
        <f>IFERROR(__xludf.DUMMYFUNCTION("""COMPUTED_VALUE"""),"#VALUE!")</f>
        <v>#VALUE!</v>
      </c>
      <c r="H921" s="4" t="str">
        <f>IFERROR(__xludf.DUMMYFUNCTION("""COMPUTED_VALUE"""),"")</f>
        <v/>
      </c>
    </row>
    <row r="922">
      <c r="E922" s="4" t="str">
        <f>IFERROR(__xludf.DUMMYFUNCTION("""COMPUTED_VALUE"""),"#VALUE!")</f>
        <v>#VALUE!</v>
      </c>
      <c r="F922" s="4" t="str">
        <f>IFERROR(__xludf.DUMMYFUNCTION("""COMPUTED_VALUE"""),"")</f>
        <v/>
      </c>
      <c r="G922" s="4" t="str">
        <f>IFERROR(__xludf.DUMMYFUNCTION("""COMPUTED_VALUE"""),"#VALUE!")</f>
        <v>#VALUE!</v>
      </c>
      <c r="H922" s="4" t="str">
        <f>IFERROR(__xludf.DUMMYFUNCTION("""COMPUTED_VALUE"""),"")</f>
        <v/>
      </c>
    </row>
    <row r="923">
      <c r="E923" s="4" t="str">
        <f>IFERROR(__xludf.DUMMYFUNCTION("""COMPUTED_VALUE"""),"#VALUE!")</f>
        <v>#VALUE!</v>
      </c>
      <c r="F923" s="4" t="str">
        <f>IFERROR(__xludf.DUMMYFUNCTION("""COMPUTED_VALUE"""),"")</f>
        <v/>
      </c>
      <c r="G923" s="4" t="str">
        <f>IFERROR(__xludf.DUMMYFUNCTION("""COMPUTED_VALUE"""),"#VALUE!")</f>
        <v>#VALUE!</v>
      </c>
      <c r="H923" s="4" t="str">
        <f>IFERROR(__xludf.DUMMYFUNCTION("""COMPUTED_VALUE"""),"")</f>
        <v/>
      </c>
    </row>
    <row r="924">
      <c r="E924" s="4" t="str">
        <f>IFERROR(__xludf.DUMMYFUNCTION("""COMPUTED_VALUE"""),"#VALUE!")</f>
        <v>#VALUE!</v>
      </c>
      <c r="F924" s="4" t="str">
        <f>IFERROR(__xludf.DUMMYFUNCTION("""COMPUTED_VALUE"""),"")</f>
        <v/>
      </c>
      <c r="G924" s="4" t="str">
        <f>IFERROR(__xludf.DUMMYFUNCTION("""COMPUTED_VALUE"""),"#VALUE!")</f>
        <v>#VALUE!</v>
      </c>
      <c r="H924" s="4" t="str">
        <f>IFERROR(__xludf.DUMMYFUNCTION("""COMPUTED_VALUE"""),"")</f>
        <v/>
      </c>
    </row>
    <row r="925">
      <c r="E925" s="4" t="str">
        <f>IFERROR(__xludf.DUMMYFUNCTION("""COMPUTED_VALUE"""),"#VALUE!")</f>
        <v>#VALUE!</v>
      </c>
      <c r="F925" s="4" t="str">
        <f>IFERROR(__xludf.DUMMYFUNCTION("""COMPUTED_VALUE"""),"")</f>
        <v/>
      </c>
      <c r="G925" s="4" t="str">
        <f>IFERROR(__xludf.DUMMYFUNCTION("""COMPUTED_VALUE"""),"#VALUE!")</f>
        <v>#VALUE!</v>
      </c>
      <c r="H925" s="4" t="str">
        <f>IFERROR(__xludf.DUMMYFUNCTION("""COMPUTED_VALUE"""),"")</f>
        <v/>
      </c>
    </row>
    <row r="926">
      <c r="E926" s="4" t="str">
        <f>IFERROR(__xludf.DUMMYFUNCTION("""COMPUTED_VALUE"""),"#VALUE!")</f>
        <v>#VALUE!</v>
      </c>
      <c r="F926" s="4" t="str">
        <f>IFERROR(__xludf.DUMMYFUNCTION("""COMPUTED_VALUE"""),"")</f>
        <v/>
      </c>
      <c r="G926" s="4" t="str">
        <f>IFERROR(__xludf.DUMMYFUNCTION("""COMPUTED_VALUE"""),"#VALUE!")</f>
        <v>#VALUE!</v>
      </c>
      <c r="H926" s="4" t="str">
        <f>IFERROR(__xludf.DUMMYFUNCTION("""COMPUTED_VALUE"""),"")</f>
        <v/>
      </c>
    </row>
    <row r="927">
      <c r="E927" s="4" t="str">
        <f>IFERROR(__xludf.DUMMYFUNCTION("""COMPUTED_VALUE"""),"#VALUE!")</f>
        <v>#VALUE!</v>
      </c>
      <c r="F927" s="4" t="str">
        <f>IFERROR(__xludf.DUMMYFUNCTION("""COMPUTED_VALUE"""),"")</f>
        <v/>
      </c>
      <c r="G927" s="4" t="str">
        <f>IFERROR(__xludf.DUMMYFUNCTION("""COMPUTED_VALUE"""),"#VALUE!")</f>
        <v>#VALUE!</v>
      </c>
      <c r="H927" s="4" t="str">
        <f>IFERROR(__xludf.DUMMYFUNCTION("""COMPUTED_VALUE"""),"")</f>
        <v/>
      </c>
    </row>
    <row r="928">
      <c r="E928" s="4" t="str">
        <f>IFERROR(__xludf.DUMMYFUNCTION("""COMPUTED_VALUE"""),"#VALUE!")</f>
        <v>#VALUE!</v>
      </c>
      <c r="F928" s="4" t="str">
        <f>IFERROR(__xludf.DUMMYFUNCTION("""COMPUTED_VALUE"""),"")</f>
        <v/>
      </c>
      <c r="G928" s="4" t="str">
        <f>IFERROR(__xludf.DUMMYFUNCTION("""COMPUTED_VALUE"""),"#VALUE!")</f>
        <v>#VALUE!</v>
      </c>
      <c r="H928" s="4" t="str">
        <f>IFERROR(__xludf.DUMMYFUNCTION("""COMPUTED_VALUE"""),"")</f>
        <v/>
      </c>
    </row>
    <row r="929">
      <c r="E929" s="4" t="str">
        <f>IFERROR(__xludf.DUMMYFUNCTION("""COMPUTED_VALUE"""),"#VALUE!")</f>
        <v>#VALUE!</v>
      </c>
      <c r="F929" s="4" t="str">
        <f>IFERROR(__xludf.DUMMYFUNCTION("""COMPUTED_VALUE"""),"")</f>
        <v/>
      </c>
      <c r="G929" s="4" t="str">
        <f>IFERROR(__xludf.DUMMYFUNCTION("""COMPUTED_VALUE"""),"#VALUE!")</f>
        <v>#VALUE!</v>
      </c>
      <c r="H929" s="4" t="str">
        <f>IFERROR(__xludf.DUMMYFUNCTION("""COMPUTED_VALUE"""),"")</f>
        <v/>
      </c>
    </row>
    <row r="930">
      <c r="E930" s="4" t="str">
        <f>IFERROR(__xludf.DUMMYFUNCTION("""COMPUTED_VALUE"""),"#VALUE!")</f>
        <v>#VALUE!</v>
      </c>
      <c r="F930" s="4" t="str">
        <f>IFERROR(__xludf.DUMMYFUNCTION("""COMPUTED_VALUE"""),"")</f>
        <v/>
      </c>
      <c r="G930" s="4" t="str">
        <f>IFERROR(__xludf.DUMMYFUNCTION("""COMPUTED_VALUE"""),"#VALUE!")</f>
        <v>#VALUE!</v>
      </c>
      <c r="H930" s="4" t="str">
        <f>IFERROR(__xludf.DUMMYFUNCTION("""COMPUTED_VALUE"""),"")</f>
        <v/>
      </c>
    </row>
    <row r="931">
      <c r="E931" s="4" t="str">
        <f>IFERROR(__xludf.DUMMYFUNCTION("""COMPUTED_VALUE"""),"#VALUE!")</f>
        <v>#VALUE!</v>
      </c>
      <c r="F931" s="4" t="str">
        <f>IFERROR(__xludf.DUMMYFUNCTION("""COMPUTED_VALUE"""),"")</f>
        <v/>
      </c>
      <c r="G931" s="4" t="str">
        <f>IFERROR(__xludf.DUMMYFUNCTION("""COMPUTED_VALUE"""),"#VALUE!")</f>
        <v>#VALUE!</v>
      </c>
      <c r="H931" s="4" t="str">
        <f>IFERROR(__xludf.DUMMYFUNCTION("""COMPUTED_VALUE"""),"")</f>
        <v/>
      </c>
    </row>
    <row r="932">
      <c r="E932" s="4" t="str">
        <f>IFERROR(__xludf.DUMMYFUNCTION("""COMPUTED_VALUE"""),"#VALUE!")</f>
        <v>#VALUE!</v>
      </c>
      <c r="F932" s="4" t="str">
        <f>IFERROR(__xludf.DUMMYFUNCTION("""COMPUTED_VALUE"""),"")</f>
        <v/>
      </c>
      <c r="G932" s="4" t="str">
        <f>IFERROR(__xludf.DUMMYFUNCTION("""COMPUTED_VALUE"""),"#VALUE!")</f>
        <v>#VALUE!</v>
      </c>
      <c r="H932" s="4" t="str">
        <f>IFERROR(__xludf.DUMMYFUNCTION("""COMPUTED_VALUE"""),"")</f>
        <v/>
      </c>
    </row>
    <row r="933">
      <c r="E933" s="4" t="str">
        <f>IFERROR(__xludf.DUMMYFUNCTION("""COMPUTED_VALUE"""),"#VALUE!")</f>
        <v>#VALUE!</v>
      </c>
      <c r="F933" s="4" t="str">
        <f>IFERROR(__xludf.DUMMYFUNCTION("""COMPUTED_VALUE"""),"")</f>
        <v/>
      </c>
      <c r="G933" s="4" t="str">
        <f>IFERROR(__xludf.DUMMYFUNCTION("""COMPUTED_VALUE"""),"#VALUE!")</f>
        <v>#VALUE!</v>
      </c>
      <c r="H933" s="4" t="str">
        <f>IFERROR(__xludf.DUMMYFUNCTION("""COMPUTED_VALUE"""),"")</f>
        <v/>
      </c>
    </row>
    <row r="934">
      <c r="E934" s="4" t="str">
        <f>IFERROR(__xludf.DUMMYFUNCTION("""COMPUTED_VALUE"""),"#VALUE!")</f>
        <v>#VALUE!</v>
      </c>
      <c r="F934" s="4" t="str">
        <f>IFERROR(__xludf.DUMMYFUNCTION("""COMPUTED_VALUE"""),"")</f>
        <v/>
      </c>
      <c r="G934" s="4" t="str">
        <f>IFERROR(__xludf.DUMMYFUNCTION("""COMPUTED_VALUE"""),"#VALUE!")</f>
        <v>#VALUE!</v>
      </c>
      <c r="H934" s="4" t="str">
        <f>IFERROR(__xludf.DUMMYFUNCTION("""COMPUTED_VALUE"""),"")</f>
        <v/>
      </c>
    </row>
    <row r="935">
      <c r="E935" s="4" t="str">
        <f>IFERROR(__xludf.DUMMYFUNCTION("""COMPUTED_VALUE"""),"#VALUE!")</f>
        <v>#VALUE!</v>
      </c>
      <c r="F935" s="4" t="str">
        <f>IFERROR(__xludf.DUMMYFUNCTION("""COMPUTED_VALUE"""),"")</f>
        <v/>
      </c>
      <c r="G935" s="4" t="str">
        <f>IFERROR(__xludf.DUMMYFUNCTION("""COMPUTED_VALUE"""),"#VALUE!")</f>
        <v>#VALUE!</v>
      </c>
      <c r="H935" s="4" t="str">
        <f>IFERROR(__xludf.DUMMYFUNCTION("""COMPUTED_VALUE"""),"")</f>
        <v/>
      </c>
    </row>
    <row r="936">
      <c r="E936" s="4" t="str">
        <f>IFERROR(__xludf.DUMMYFUNCTION("""COMPUTED_VALUE"""),"#VALUE!")</f>
        <v>#VALUE!</v>
      </c>
      <c r="F936" s="4" t="str">
        <f>IFERROR(__xludf.DUMMYFUNCTION("""COMPUTED_VALUE"""),"")</f>
        <v/>
      </c>
      <c r="G936" s="4" t="str">
        <f>IFERROR(__xludf.DUMMYFUNCTION("""COMPUTED_VALUE"""),"#VALUE!")</f>
        <v>#VALUE!</v>
      </c>
      <c r="H936" s="4" t="str">
        <f>IFERROR(__xludf.DUMMYFUNCTION("""COMPUTED_VALUE"""),"")</f>
        <v/>
      </c>
    </row>
    <row r="937">
      <c r="E937" s="4" t="str">
        <f>IFERROR(__xludf.DUMMYFUNCTION("""COMPUTED_VALUE"""),"#VALUE!")</f>
        <v>#VALUE!</v>
      </c>
      <c r="F937" s="4" t="str">
        <f>IFERROR(__xludf.DUMMYFUNCTION("""COMPUTED_VALUE"""),"")</f>
        <v/>
      </c>
      <c r="G937" s="4" t="str">
        <f>IFERROR(__xludf.DUMMYFUNCTION("""COMPUTED_VALUE"""),"#VALUE!")</f>
        <v>#VALUE!</v>
      </c>
      <c r="H937" s="4" t="str">
        <f>IFERROR(__xludf.DUMMYFUNCTION("""COMPUTED_VALUE"""),"")</f>
        <v/>
      </c>
    </row>
    <row r="938">
      <c r="E938" s="4" t="str">
        <f>IFERROR(__xludf.DUMMYFUNCTION("""COMPUTED_VALUE"""),"#VALUE!")</f>
        <v>#VALUE!</v>
      </c>
      <c r="F938" s="4" t="str">
        <f>IFERROR(__xludf.DUMMYFUNCTION("""COMPUTED_VALUE"""),"")</f>
        <v/>
      </c>
      <c r="G938" s="4" t="str">
        <f>IFERROR(__xludf.DUMMYFUNCTION("""COMPUTED_VALUE"""),"#VALUE!")</f>
        <v>#VALUE!</v>
      </c>
      <c r="H938" s="4" t="str">
        <f>IFERROR(__xludf.DUMMYFUNCTION("""COMPUTED_VALUE"""),"")</f>
        <v/>
      </c>
    </row>
    <row r="939">
      <c r="E939" s="4" t="str">
        <f>IFERROR(__xludf.DUMMYFUNCTION("""COMPUTED_VALUE"""),"#VALUE!")</f>
        <v>#VALUE!</v>
      </c>
      <c r="F939" s="4" t="str">
        <f>IFERROR(__xludf.DUMMYFUNCTION("""COMPUTED_VALUE"""),"")</f>
        <v/>
      </c>
      <c r="G939" s="4" t="str">
        <f>IFERROR(__xludf.DUMMYFUNCTION("""COMPUTED_VALUE"""),"#VALUE!")</f>
        <v>#VALUE!</v>
      </c>
      <c r="H939" s="4" t="str">
        <f>IFERROR(__xludf.DUMMYFUNCTION("""COMPUTED_VALUE"""),"")</f>
        <v/>
      </c>
    </row>
    <row r="940">
      <c r="E940" s="4" t="str">
        <f>IFERROR(__xludf.DUMMYFUNCTION("""COMPUTED_VALUE"""),"#VALUE!")</f>
        <v>#VALUE!</v>
      </c>
      <c r="F940" s="4" t="str">
        <f>IFERROR(__xludf.DUMMYFUNCTION("""COMPUTED_VALUE"""),"")</f>
        <v/>
      </c>
      <c r="G940" s="4" t="str">
        <f>IFERROR(__xludf.DUMMYFUNCTION("""COMPUTED_VALUE"""),"#VALUE!")</f>
        <v>#VALUE!</v>
      </c>
      <c r="H940" s="4" t="str">
        <f>IFERROR(__xludf.DUMMYFUNCTION("""COMPUTED_VALUE"""),"")</f>
        <v/>
      </c>
    </row>
    <row r="941">
      <c r="E941" s="4" t="str">
        <f>IFERROR(__xludf.DUMMYFUNCTION("""COMPUTED_VALUE"""),"#VALUE!")</f>
        <v>#VALUE!</v>
      </c>
      <c r="F941" s="4" t="str">
        <f>IFERROR(__xludf.DUMMYFUNCTION("""COMPUTED_VALUE"""),"")</f>
        <v/>
      </c>
      <c r="G941" s="4" t="str">
        <f>IFERROR(__xludf.DUMMYFUNCTION("""COMPUTED_VALUE"""),"#VALUE!")</f>
        <v>#VALUE!</v>
      </c>
      <c r="H941" s="4" t="str">
        <f>IFERROR(__xludf.DUMMYFUNCTION("""COMPUTED_VALUE"""),"")</f>
        <v/>
      </c>
    </row>
    <row r="942">
      <c r="E942" s="4" t="str">
        <f>IFERROR(__xludf.DUMMYFUNCTION("""COMPUTED_VALUE"""),"#VALUE!")</f>
        <v>#VALUE!</v>
      </c>
      <c r="F942" s="4" t="str">
        <f>IFERROR(__xludf.DUMMYFUNCTION("""COMPUTED_VALUE"""),"")</f>
        <v/>
      </c>
      <c r="G942" s="4" t="str">
        <f>IFERROR(__xludf.DUMMYFUNCTION("""COMPUTED_VALUE"""),"#VALUE!")</f>
        <v>#VALUE!</v>
      </c>
      <c r="H942" s="4" t="str">
        <f>IFERROR(__xludf.DUMMYFUNCTION("""COMPUTED_VALUE"""),"")</f>
        <v/>
      </c>
    </row>
    <row r="943">
      <c r="E943" s="4" t="str">
        <f>IFERROR(__xludf.DUMMYFUNCTION("""COMPUTED_VALUE"""),"#VALUE!")</f>
        <v>#VALUE!</v>
      </c>
      <c r="F943" s="4" t="str">
        <f>IFERROR(__xludf.DUMMYFUNCTION("""COMPUTED_VALUE"""),"")</f>
        <v/>
      </c>
      <c r="G943" s="4" t="str">
        <f>IFERROR(__xludf.DUMMYFUNCTION("""COMPUTED_VALUE"""),"#VALUE!")</f>
        <v>#VALUE!</v>
      </c>
      <c r="H943" s="4" t="str">
        <f>IFERROR(__xludf.DUMMYFUNCTION("""COMPUTED_VALUE"""),"")</f>
        <v/>
      </c>
    </row>
    <row r="944">
      <c r="E944" s="4" t="str">
        <f>IFERROR(__xludf.DUMMYFUNCTION("""COMPUTED_VALUE"""),"#VALUE!")</f>
        <v>#VALUE!</v>
      </c>
      <c r="F944" s="4" t="str">
        <f>IFERROR(__xludf.DUMMYFUNCTION("""COMPUTED_VALUE"""),"")</f>
        <v/>
      </c>
      <c r="G944" s="4" t="str">
        <f>IFERROR(__xludf.DUMMYFUNCTION("""COMPUTED_VALUE"""),"#VALUE!")</f>
        <v>#VALUE!</v>
      </c>
      <c r="H944" s="4" t="str">
        <f>IFERROR(__xludf.DUMMYFUNCTION("""COMPUTED_VALUE"""),"")</f>
        <v/>
      </c>
    </row>
    <row r="945">
      <c r="E945" s="4" t="str">
        <f>IFERROR(__xludf.DUMMYFUNCTION("""COMPUTED_VALUE"""),"#VALUE!")</f>
        <v>#VALUE!</v>
      </c>
      <c r="F945" s="4" t="str">
        <f>IFERROR(__xludf.DUMMYFUNCTION("""COMPUTED_VALUE"""),"")</f>
        <v/>
      </c>
      <c r="G945" s="4" t="str">
        <f>IFERROR(__xludf.DUMMYFUNCTION("""COMPUTED_VALUE"""),"#VALUE!")</f>
        <v>#VALUE!</v>
      </c>
      <c r="H945" s="4" t="str">
        <f>IFERROR(__xludf.DUMMYFUNCTION("""COMPUTED_VALUE"""),"")</f>
        <v/>
      </c>
    </row>
    <row r="946">
      <c r="E946" s="4" t="str">
        <f>IFERROR(__xludf.DUMMYFUNCTION("""COMPUTED_VALUE"""),"#VALUE!")</f>
        <v>#VALUE!</v>
      </c>
      <c r="F946" s="4" t="str">
        <f>IFERROR(__xludf.DUMMYFUNCTION("""COMPUTED_VALUE"""),"")</f>
        <v/>
      </c>
      <c r="G946" s="4" t="str">
        <f>IFERROR(__xludf.DUMMYFUNCTION("""COMPUTED_VALUE"""),"#VALUE!")</f>
        <v>#VALUE!</v>
      </c>
      <c r="H946" s="4" t="str">
        <f>IFERROR(__xludf.DUMMYFUNCTION("""COMPUTED_VALUE"""),"")</f>
        <v/>
      </c>
    </row>
    <row r="947">
      <c r="E947" s="4" t="str">
        <f>IFERROR(__xludf.DUMMYFUNCTION("""COMPUTED_VALUE"""),"#VALUE!")</f>
        <v>#VALUE!</v>
      </c>
      <c r="F947" s="4" t="str">
        <f>IFERROR(__xludf.DUMMYFUNCTION("""COMPUTED_VALUE"""),"")</f>
        <v/>
      </c>
      <c r="G947" s="4" t="str">
        <f>IFERROR(__xludf.DUMMYFUNCTION("""COMPUTED_VALUE"""),"#VALUE!")</f>
        <v>#VALUE!</v>
      </c>
      <c r="H947" s="4" t="str">
        <f>IFERROR(__xludf.DUMMYFUNCTION("""COMPUTED_VALUE"""),"")</f>
        <v/>
      </c>
    </row>
    <row r="948">
      <c r="E948" s="4" t="str">
        <f>IFERROR(__xludf.DUMMYFUNCTION("""COMPUTED_VALUE"""),"#VALUE!")</f>
        <v>#VALUE!</v>
      </c>
      <c r="F948" s="4" t="str">
        <f>IFERROR(__xludf.DUMMYFUNCTION("""COMPUTED_VALUE"""),"")</f>
        <v/>
      </c>
      <c r="G948" s="4" t="str">
        <f>IFERROR(__xludf.DUMMYFUNCTION("""COMPUTED_VALUE"""),"#VALUE!")</f>
        <v>#VALUE!</v>
      </c>
      <c r="H948" s="4" t="str">
        <f>IFERROR(__xludf.DUMMYFUNCTION("""COMPUTED_VALUE"""),"")</f>
        <v/>
      </c>
    </row>
    <row r="949">
      <c r="E949" s="4" t="str">
        <f>IFERROR(__xludf.DUMMYFUNCTION("""COMPUTED_VALUE"""),"#VALUE!")</f>
        <v>#VALUE!</v>
      </c>
      <c r="F949" s="4" t="str">
        <f>IFERROR(__xludf.DUMMYFUNCTION("""COMPUTED_VALUE"""),"")</f>
        <v/>
      </c>
      <c r="G949" s="4" t="str">
        <f>IFERROR(__xludf.DUMMYFUNCTION("""COMPUTED_VALUE"""),"#VALUE!")</f>
        <v>#VALUE!</v>
      </c>
      <c r="H949" s="4" t="str">
        <f>IFERROR(__xludf.DUMMYFUNCTION("""COMPUTED_VALUE"""),"")</f>
        <v/>
      </c>
    </row>
    <row r="950">
      <c r="E950" s="4" t="str">
        <f>IFERROR(__xludf.DUMMYFUNCTION("""COMPUTED_VALUE"""),"#VALUE!")</f>
        <v>#VALUE!</v>
      </c>
      <c r="F950" s="4" t="str">
        <f>IFERROR(__xludf.DUMMYFUNCTION("""COMPUTED_VALUE"""),"")</f>
        <v/>
      </c>
      <c r="G950" s="4" t="str">
        <f>IFERROR(__xludf.DUMMYFUNCTION("""COMPUTED_VALUE"""),"#VALUE!")</f>
        <v>#VALUE!</v>
      </c>
      <c r="H950" s="4" t="str">
        <f>IFERROR(__xludf.DUMMYFUNCTION("""COMPUTED_VALUE"""),"")</f>
        <v/>
      </c>
    </row>
    <row r="951">
      <c r="E951" s="4" t="str">
        <f>IFERROR(__xludf.DUMMYFUNCTION("""COMPUTED_VALUE"""),"#VALUE!")</f>
        <v>#VALUE!</v>
      </c>
      <c r="F951" s="4" t="str">
        <f>IFERROR(__xludf.DUMMYFUNCTION("""COMPUTED_VALUE"""),"")</f>
        <v/>
      </c>
      <c r="G951" s="4" t="str">
        <f>IFERROR(__xludf.DUMMYFUNCTION("""COMPUTED_VALUE"""),"#VALUE!")</f>
        <v>#VALUE!</v>
      </c>
      <c r="H951" s="4" t="str">
        <f>IFERROR(__xludf.DUMMYFUNCTION("""COMPUTED_VALUE"""),"")</f>
        <v/>
      </c>
    </row>
    <row r="952">
      <c r="E952" s="4" t="str">
        <f>IFERROR(__xludf.DUMMYFUNCTION("""COMPUTED_VALUE"""),"#VALUE!")</f>
        <v>#VALUE!</v>
      </c>
      <c r="F952" s="4" t="str">
        <f>IFERROR(__xludf.DUMMYFUNCTION("""COMPUTED_VALUE"""),"")</f>
        <v/>
      </c>
      <c r="G952" s="4" t="str">
        <f>IFERROR(__xludf.DUMMYFUNCTION("""COMPUTED_VALUE"""),"#VALUE!")</f>
        <v>#VALUE!</v>
      </c>
      <c r="H952" s="4" t="str">
        <f>IFERROR(__xludf.DUMMYFUNCTION("""COMPUTED_VALUE"""),"")</f>
        <v/>
      </c>
    </row>
    <row r="953">
      <c r="E953" s="4" t="str">
        <f>IFERROR(__xludf.DUMMYFUNCTION("""COMPUTED_VALUE"""),"#VALUE!")</f>
        <v>#VALUE!</v>
      </c>
      <c r="F953" s="4" t="str">
        <f>IFERROR(__xludf.DUMMYFUNCTION("""COMPUTED_VALUE"""),"")</f>
        <v/>
      </c>
      <c r="G953" s="4" t="str">
        <f>IFERROR(__xludf.DUMMYFUNCTION("""COMPUTED_VALUE"""),"#VALUE!")</f>
        <v>#VALUE!</v>
      </c>
      <c r="H953" s="4" t="str">
        <f>IFERROR(__xludf.DUMMYFUNCTION("""COMPUTED_VALUE"""),"")</f>
        <v/>
      </c>
    </row>
    <row r="954">
      <c r="E954" s="4" t="str">
        <f>IFERROR(__xludf.DUMMYFUNCTION("""COMPUTED_VALUE"""),"#VALUE!")</f>
        <v>#VALUE!</v>
      </c>
      <c r="F954" s="4" t="str">
        <f>IFERROR(__xludf.DUMMYFUNCTION("""COMPUTED_VALUE"""),"")</f>
        <v/>
      </c>
      <c r="G954" s="4" t="str">
        <f>IFERROR(__xludf.DUMMYFUNCTION("""COMPUTED_VALUE"""),"#VALUE!")</f>
        <v>#VALUE!</v>
      </c>
      <c r="H954" s="4" t="str">
        <f>IFERROR(__xludf.DUMMYFUNCTION("""COMPUTED_VALUE"""),"")</f>
        <v/>
      </c>
    </row>
    <row r="955">
      <c r="E955" s="4" t="str">
        <f>IFERROR(__xludf.DUMMYFUNCTION("""COMPUTED_VALUE"""),"#VALUE!")</f>
        <v>#VALUE!</v>
      </c>
      <c r="F955" s="4" t="str">
        <f>IFERROR(__xludf.DUMMYFUNCTION("""COMPUTED_VALUE"""),"")</f>
        <v/>
      </c>
      <c r="G955" s="4" t="str">
        <f>IFERROR(__xludf.DUMMYFUNCTION("""COMPUTED_VALUE"""),"#VALUE!")</f>
        <v>#VALUE!</v>
      </c>
      <c r="H955" s="4" t="str">
        <f>IFERROR(__xludf.DUMMYFUNCTION("""COMPUTED_VALUE"""),"")</f>
        <v/>
      </c>
    </row>
    <row r="956">
      <c r="E956" s="4" t="str">
        <f>IFERROR(__xludf.DUMMYFUNCTION("""COMPUTED_VALUE"""),"#VALUE!")</f>
        <v>#VALUE!</v>
      </c>
      <c r="F956" s="4" t="str">
        <f>IFERROR(__xludf.DUMMYFUNCTION("""COMPUTED_VALUE"""),"")</f>
        <v/>
      </c>
      <c r="G956" s="4" t="str">
        <f>IFERROR(__xludf.DUMMYFUNCTION("""COMPUTED_VALUE"""),"#VALUE!")</f>
        <v>#VALUE!</v>
      </c>
      <c r="H956" s="4" t="str">
        <f>IFERROR(__xludf.DUMMYFUNCTION("""COMPUTED_VALUE"""),"")</f>
        <v/>
      </c>
    </row>
    <row r="957">
      <c r="E957" s="4" t="str">
        <f>IFERROR(__xludf.DUMMYFUNCTION("""COMPUTED_VALUE"""),"#VALUE!")</f>
        <v>#VALUE!</v>
      </c>
      <c r="F957" s="4" t="str">
        <f>IFERROR(__xludf.DUMMYFUNCTION("""COMPUTED_VALUE"""),"")</f>
        <v/>
      </c>
      <c r="G957" s="4" t="str">
        <f>IFERROR(__xludf.DUMMYFUNCTION("""COMPUTED_VALUE"""),"#VALUE!")</f>
        <v>#VALUE!</v>
      </c>
      <c r="H957" s="4" t="str">
        <f>IFERROR(__xludf.DUMMYFUNCTION("""COMPUTED_VALUE"""),"")</f>
        <v/>
      </c>
    </row>
    <row r="958">
      <c r="E958" s="4" t="str">
        <f>IFERROR(__xludf.DUMMYFUNCTION("""COMPUTED_VALUE"""),"#VALUE!")</f>
        <v>#VALUE!</v>
      </c>
      <c r="F958" s="4" t="str">
        <f>IFERROR(__xludf.DUMMYFUNCTION("""COMPUTED_VALUE"""),"")</f>
        <v/>
      </c>
      <c r="G958" s="4" t="str">
        <f>IFERROR(__xludf.DUMMYFUNCTION("""COMPUTED_VALUE"""),"#VALUE!")</f>
        <v>#VALUE!</v>
      </c>
      <c r="H958" s="4" t="str">
        <f>IFERROR(__xludf.DUMMYFUNCTION("""COMPUTED_VALUE"""),"")</f>
        <v/>
      </c>
    </row>
    <row r="959">
      <c r="E959" s="4" t="str">
        <f>IFERROR(__xludf.DUMMYFUNCTION("""COMPUTED_VALUE"""),"#VALUE!")</f>
        <v>#VALUE!</v>
      </c>
      <c r="F959" s="4" t="str">
        <f>IFERROR(__xludf.DUMMYFUNCTION("""COMPUTED_VALUE"""),"")</f>
        <v/>
      </c>
      <c r="G959" s="4" t="str">
        <f>IFERROR(__xludf.DUMMYFUNCTION("""COMPUTED_VALUE"""),"#VALUE!")</f>
        <v>#VALUE!</v>
      </c>
      <c r="H959" s="4" t="str">
        <f>IFERROR(__xludf.DUMMYFUNCTION("""COMPUTED_VALUE"""),"")</f>
        <v/>
      </c>
    </row>
    <row r="960">
      <c r="E960" s="4" t="str">
        <f>IFERROR(__xludf.DUMMYFUNCTION("""COMPUTED_VALUE"""),"#VALUE!")</f>
        <v>#VALUE!</v>
      </c>
      <c r="F960" s="4" t="str">
        <f>IFERROR(__xludf.DUMMYFUNCTION("""COMPUTED_VALUE"""),"")</f>
        <v/>
      </c>
      <c r="G960" s="4" t="str">
        <f>IFERROR(__xludf.DUMMYFUNCTION("""COMPUTED_VALUE"""),"#VALUE!")</f>
        <v>#VALUE!</v>
      </c>
      <c r="H960" s="4" t="str">
        <f>IFERROR(__xludf.DUMMYFUNCTION("""COMPUTED_VALUE"""),"")</f>
        <v/>
      </c>
    </row>
    <row r="961">
      <c r="E961" s="4" t="str">
        <f>IFERROR(__xludf.DUMMYFUNCTION("""COMPUTED_VALUE"""),"#VALUE!")</f>
        <v>#VALUE!</v>
      </c>
      <c r="F961" s="4" t="str">
        <f>IFERROR(__xludf.DUMMYFUNCTION("""COMPUTED_VALUE"""),"")</f>
        <v/>
      </c>
      <c r="G961" s="4" t="str">
        <f>IFERROR(__xludf.DUMMYFUNCTION("""COMPUTED_VALUE"""),"#VALUE!")</f>
        <v>#VALUE!</v>
      </c>
      <c r="H961" s="4" t="str">
        <f>IFERROR(__xludf.DUMMYFUNCTION("""COMPUTED_VALUE"""),"")</f>
        <v/>
      </c>
    </row>
    <row r="962">
      <c r="E962" s="4" t="str">
        <f>IFERROR(__xludf.DUMMYFUNCTION("""COMPUTED_VALUE"""),"#VALUE!")</f>
        <v>#VALUE!</v>
      </c>
      <c r="F962" s="4" t="str">
        <f>IFERROR(__xludf.DUMMYFUNCTION("""COMPUTED_VALUE"""),"")</f>
        <v/>
      </c>
      <c r="G962" s="4" t="str">
        <f>IFERROR(__xludf.DUMMYFUNCTION("""COMPUTED_VALUE"""),"#VALUE!")</f>
        <v>#VALUE!</v>
      </c>
      <c r="H962" s="4" t="str">
        <f>IFERROR(__xludf.DUMMYFUNCTION("""COMPUTED_VALUE"""),"")</f>
        <v/>
      </c>
    </row>
    <row r="963">
      <c r="E963" s="4" t="str">
        <f>IFERROR(__xludf.DUMMYFUNCTION("""COMPUTED_VALUE"""),"#VALUE!")</f>
        <v>#VALUE!</v>
      </c>
      <c r="F963" s="4" t="str">
        <f>IFERROR(__xludf.DUMMYFUNCTION("""COMPUTED_VALUE"""),"")</f>
        <v/>
      </c>
      <c r="G963" s="4" t="str">
        <f>IFERROR(__xludf.DUMMYFUNCTION("""COMPUTED_VALUE"""),"#VALUE!")</f>
        <v>#VALUE!</v>
      </c>
      <c r="H963" s="4" t="str">
        <f>IFERROR(__xludf.DUMMYFUNCTION("""COMPUTED_VALUE"""),"")</f>
        <v/>
      </c>
    </row>
    <row r="964">
      <c r="E964" s="4" t="str">
        <f>IFERROR(__xludf.DUMMYFUNCTION("""COMPUTED_VALUE"""),"#VALUE!")</f>
        <v>#VALUE!</v>
      </c>
      <c r="F964" s="4" t="str">
        <f>IFERROR(__xludf.DUMMYFUNCTION("""COMPUTED_VALUE"""),"")</f>
        <v/>
      </c>
      <c r="G964" s="4" t="str">
        <f>IFERROR(__xludf.DUMMYFUNCTION("""COMPUTED_VALUE"""),"#VALUE!")</f>
        <v>#VALUE!</v>
      </c>
      <c r="H964" s="4" t="str">
        <f>IFERROR(__xludf.DUMMYFUNCTION("""COMPUTED_VALUE"""),"")</f>
        <v/>
      </c>
    </row>
    <row r="965">
      <c r="E965" s="4" t="str">
        <f>IFERROR(__xludf.DUMMYFUNCTION("""COMPUTED_VALUE"""),"#VALUE!")</f>
        <v>#VALUE!</v>
      </c>
      <c r="F965" s="4" t="str">
        <f>IFERROR(__xludf.DUMMYFUNCTION("""COMPUTED_VALUE"""),"")</f>
        <v/>
      </c>
      <c r="G965" s="4" t="str">
        <f>IFERROR(__xludf.DUMMYFUNCTION("""COMPUTED_VALUE"""),"#VALUE!")</f>
        <v>#VALUE!</v>
      </c>
      <c r="H965" s="4" t="str">
        <f>IFERROR(__xludf.DUMMYFUNCTION("""COMPUTED_VALUE"""),"")</f>
        <v/>
      </c>
    </row>
    <row r="966">
      <c r="E966" s="4" t="str">
        <f>IFERROR(__xludf.DUMMYFUNCTION("""COMPUTED_VALUE"""),"#VALUE!")</f>
        <v>#VALUE!</v>
      </c>
      <c r="F966" s="4" t="str">
        <f>IFERROR(__xludf.DUMMYFUNCTION("""COMPUTED_VALUE"""),"")</f>
        <v/>
      </c>
      <c r="G966" s="4" t="str">
        <f>IFERROR(__xludf.DUMMYFUNCTION("""COMPUTED_VALUE"""),"#VALUE!")</f>
        <v>#VALUE!</v>
      </c>
      <c r="H966" s="4" t="str">
        <f>IFERROR(__xludf.DUMMYFUNCTION("""COMPUTED_VALUE"""),"")</f>
        <v/>
      </c>
    </row>
    <row r="967">
      <c r="E967" s="4" t="str">
        <f>IFERROR(__xludf.DUMMYFUNCTION("""COMPUTED_VALUE"""),"#VALUE!")</f>
        <v>#VALUE!</v>
      </c>
      <c r="F967" s="4" t="str">
        <f>IFERROR(__xludf.DUMMYFUNCTION("""COMPUTED_VALUE"""),"")</f>
        <v/>
      </c>
      <c r="G967" s="4" t="str">
        <f>IFERROR(__xludf.DUMMYFUNCTION("""COMPUTED_VALUE"""),"#VALUE!")</f>
        <v>#VALUE!</v>
      </c>
      <c r="H967" s="4" t="str">
        <f>IFERROR(__xludf.DUMMYFUNCTION("""COMPUTED_VALUE"""),"")</f>
        <v/>
      </c>
    </row>
    <row r="968">
      <c r="E968" s="4" t="str">
        <f>IFERROR(__xludf.DUMMYFUNCTION("""COMPUTED_VALUE"""),"#VALUE!")</f>
        <v>#VALUE!</v>
      </c>
      <c r="F968" s="4" t="str">
        <f>IFERROR(__xludf.DUMMYFUNCTION("""COMPUTED_VALUE"""),"")</f>
        <v/>
      </c>
      <c r="G968" s="4" t="str">
        <f>IFERROR(__xludf.DUMMYFUNCTION("""COMPUTED_VALUE"""),"#VALUE!")</f>
        <v>#VALUE!</v>
      </c>
      <c r="H968" s="4" t="str">
        <f>IFERROR(__xludf.DUMMYFUNCTION("""COMPUTED_VALUE"""),"")</f>
        <v/>
      </c>
    </row>
    <row r="969">
      <c r="E969" s="4" t="str">
        <f>IFERROR(__xludf.DUMMYFUNCTION("""COMPUTED_VALUE"""),"#VALUE!")</f>
        <v>#VALUE!</v>
      </c>
      <c r="F969" s="4" t="str">
        <f>IFERROR(__xludf.DUMMYFUNCTION("""COMPUTED_VALUE"""),"")</f>
        <v/>
      </c>
      <c r="G969" s="4" t="str">
        <f>IFERROR(__xludf.DUMMYFUNCTION("""COMPUTED_VALUE"""),"#VALUE!")</f>
        <v>#VALUE!</v>
      </c>
      <c r="H969" s="4" t="str">
        <f>IFERROR(__xludf.DUMMYFUNCTION("""COMPUTED_VALUE"""),"")</f>
        <v/>
      </c>
    </row>
    <row r="970">
      <c r="E970" s="4" t="str">
        <f>IFERROR(__xludf.DUMMYFUNCTION("""COMPUTED_VALUE"""),"#VALUE!")</f>
        <v>#VALUE!</v>
      </c>
      <c r="F970" s="4" t="str">
        <f>IFERROR(__xludf.DUMMYFUNCTION("""COMPUTED_VALUE"""),"")</f>
        <v/>
      </c>
      <c r="G970" s="4" t="str">
        <f>IFERROR(__xludf.DUMMYFUNCTION("""COMPUTED_VALUE"""),"#VALUE!")</f>
        <v>#VALUE!</v>
      </c>
      <c r="H970" s="4" t="str">
        <f>IFERROR(__xludf.DUMMYFUNCTION("""COMPUTED_VALUE"""),"")</f>
        <v/>
      </c>
    </row>
    <row r="971">
      <c r="E971" s="4" t="str">
        <f>IFERROR(__xludf.DUMMYFUNCTION("""COMPUTED_VALUE"""),"#VALUE!")</f>
        <v>#VALUE!</v>
      </c>
      <c r="F971" s="4" t="str">
        <f>IFERROR(__xludf.DUMMYFUNCTION("""COMPUTED_VALUE"""),"")</f>
        <v/>
      </c>
      <c r="G971" s="4" t="str">
        <f>IFERROR(__xludf.DUMMYFUNCTION("""COMPUTED_VALUE"""),"#VALUE!")</f>
        <v>#VALUE!</v>
      </c>
      <c r="H971" s="4" t="str">
        <f>IFERROR(__xludf.DUMMYFUNCTION("""COMPUTED_VALUE"""),"")</f>
        <v/>
      </c>
    </row>
    <row r="972">
      <c r="E972" s="4" t="str">
        <f>IFERROR(__xludf.DUMMYFUNCTION("""COMPUTED_VALUE"""),"#VALUE!")</f>
        <v>#VALUE!</v>
      </c>
      <c r="F972" s="4" t="str">
        <f>IFERROR(__xludf.DUMMYFUNCTION("""COMPUTED_VALUE"""),"")</f>
        <v/>
      </c>
      <c r="G972" s="4" t="str">
        <f>IFERROR(__xludf.DUMMYFUNCTION("""COMPUTED_VALUE"""),"#VALUE!")</f>
        <v>#VALUE!</v>
      </c>
      <c r="H972" s="4" t="str">
        <f>IFERROR(__xludf.DUMMYFUNCTION("""COMPUTED_VALUE"""),"")</f>
        <v/>
      </c>
    </row>
    <row r="973">
      <c r="E973" s="4" t="str">
        <f>IFERROR(__xludf.DUMMYFUNCTION("""COMPUTED_VALUE"""),"#VALUE!")</f>
        <v>#VALUE!</v>
      </c>
      <c r="F973" s="4" t="str">
        <f>IFERROR(__xludf.DUMMYFUNCTION("""COMPUTED_VALUE"""),"")</f>
        <v/>
      </c>
      <c r="G973" s="4" t="str">
        <f>IFERROR(__xludf.DUMMYFUNCTION("""COMPUTED_VALUE"""),"#VALUE!")</f>
        <v>#VALUE!</v>
      </c>
      <c r="H973" s="4" t="str">
        <f>IFERROR(__xludf.DUMMYFUNCTION("""COMPUTED_VALUE"""),"")</f>
        <v/>
      </c>
    </row>
    <row r="974">
      <c r="E974" s="4" t="str">
        <f>IFERROR(__xludf.DUMMYFUNCTION("""COMPUTED_VALUE"""),"#VALUE!")</f>
        <v>#VALUE!</v>
      </c>
      <c r="F974" s="4" t="str">
        <f>IFERROR(__xludf.DUMMYFUNCTION("""COMPUTED_VALUE"""),"")</f>
        <v/>
      </c>
      <c r="G974" s="4" t="str">
        <f>IFERROR(__xludf.DUMMYFUNCTION("""COMPUTED_VALUE"""),"#VALUE!")</f>
        <v>#VALUE!</v>
      </c>
      <c r="H974" s="4" t="str">
        <f>IFERROR(__xludf.DUMMYFUNCTION("""COMPUTED_VALUE"""),"")</f>
        <v/>
      </c>
    </row>
    <row r="975">
      <c r="E975" s="4" t="str">
        <f>IFERROR(__xludf.DUMMYFUNCTION("""COMPUTED_VALUE"""),"#VALUE!")</f>
        <v>#VALUE!</v>
      </c>
      <c r="F975" s="4" t="str">
        <f>IFERROR(__xludf.DUMMYFUNCTION("""COMPUTED_VALUE"""),"")</f>
        <v/>
      </c>
      <c r="G975" s="4" t="str">
        <f>IFERROR(__xludf.DUMMYFUNCTION("""COMPUTED_VALUE"""),"#VALUE!")</f>
        <v>#VALUE!</v>
      </c>
      <c r="H975" s="4" t="str">
        <f>IFERROR(__xludf.DUMMYFUNCTION("""COMPUTED_VALUE"""),"")</f>
        <v/>
      </c>
    </row>
    <row r="976">
      <c r="E976" s="4" t="str">
        <f>IFERROR(__xludf.DUMMYFUNCTION("""COMPUTED_VALUE"""),"#VALUE!")</f>
        <v>#VALUE!</v>
      </c>
      <c r="F976" s="4" t="str">
        <f>IFERROR(__xludf.DUMMYFUNCTION("""COMPUTED_VALUE"""),"")</f>
        <v/>
      </c>
      <c r="G976" s="4" t="str">
        <f>IFERROR(__xludf.DUMMYFUNCTION("""COMPUTED_VALUE"""),"#VALUE!")</f>
        <v>#VALUE!</v>
      </c>
      <c r="H976" s="4" t="str">
        <f>IFERROR(__xludf.DUMMYFUNCTION("""COMPUTED_VALUE"""),"")</f>
        <v/>
      </c>
    </row>
    <row r="977">
      <c r="E977" s="4" t="str">
        <f>IFERROR(__xludf.DUMMYFUNCTION("""COMPUTED_VALUE"""),"#VALUE!")</f>
        <v>#VALUE!</v>
      </c>
      <c r="F977" s="4" t="str">
        <f>IFERROR(__xludf.DUMMYFUNCTION("""COMPUTED_VALUE"""),"")</f>
        <v/>
      </c>
      <c r="G977" s="4" t="str">
        <f>IFERROR(__xludf.DUMMYFUNCTION("""COMPUTED_VALUE"""),"#VALUE!")</f>
        <v>#VALUE!</v>
      </c>
      <c r="H977" s="4" t="str">
        <f>IFERROR(__xludf.DUMMYFUNCTION("""COMPUTED_VALUE"""),"")</f>
        <v/>
      </c>
    </row>
    <row r="978">
      <c r="E978" s="4" t="str">
        <f>IFERROR(__xludf.DUMMYFUNCTION("""COMPUTED_VALUE"""),"#VALUE!")</f>
        <v>#VALUE!</v>
      </c>
      <c r="F978" s="4" t="str">
        <f>IFERROR(__xludf.DUMMYFUNCTION("""COMPUTED_VALUE"""),"")</f>
        <v/>
      </c>
      <c r="G978" s="4" t="str">
        <f>IFERROR(__xludf.DUMMYFUNCTION("""COMPUTED_VALUE"""),"#VALUE!")</f>
        <v>#VALUE!</v>
      </c>
      <c r="H978" s="4" t="str">
        <f>IFERROR(__xludf.DUMMYFUNCTION("""COMPUTED_VALUE"""),"")</f>
        <v/>
      </c>
    </row>
    <row r="979">
      <c r="E979" s="4" t="str">
        <f>IFERROR(__xludf.DUMMYFUNCTION("""COMPUTED_VALUE"""),"#VALUE!")</f>
        <v>#VALUE!</v>
      </c>
      <c r="F979" s="4" t="str">
        <f>IFERROR(__xludf.DUMMYFUNCTION("""COMPUTED_VALUE"""),"")</f>
        <v/>
      </c>
      <c r="G979" s="4" t="str">
        <f>IFERROR(__xludf.DUMMYFUNCTION("""COMPUTED_VALUE"""),"#VALUE!")</f>
        <v>#VALUE!</v>
      </c>
      <c r="H979" s="4" t="str">
        <f>IFERROR(__xludf.DUMMYFUNCTION("""COMPUTED_VALUE"""),"")</f>
        <v/>
      </c>
    </row>
    <row r="980">
      <c r="E980" s="4" t="str">
        <f>IFERROR(__xludf.DUMMYFUNCTION("""COMPUTED_VALUE"""),"#VALUE!")</f>
        <v>#VALUE!</v>
      </c>
      <c r="F980" s="4" t="str">
        <f>IFERROR(__xludf.DUMMYFUNCTION("""COMPUTED_VALUE"""),"")</f>
        <v/>
      </c>
      <c r="G980" s="4" t="str">
        <f>IFERROR(__xludf.DUMMYFUNCTION("""COMPUTED_VALUE"""),"#VALUE!")</f>
        <v>#VALUE!</v>
      </c>
      <c r="H980" s="4" t="str">
        <f>IFERROR(__xludf.DUMMYFUNCTION("""COMPUTED_VALUE"""),"")</f>
        <v/>
      </c>
    </row>
    <row r="981">
      <c r="E981" s="4" t="str">
        <f>IFERROR(__xludf.DUMMYFUNCTION("""COMPUTED_VALUE"""),"#VALUE!")</f>
        <v>#VALUE!</v>
      </c>
      <c r="F981" s="4" t="str">
        <f>IFERROR(__xludf.DUMMYFUNCTION("""COMPUTED_VALUE"""),"")</f>
        <v/>
      </c>
      <c r="G981" s="4" t="str">
        <f>IFERROR(__xludf.DUMMYFUNCTION("""COMPUTED_VALUE"""),"#VALUE!")</f>
        <v>#VALUE!</v>
      </c>
      <c r="H981" s="4" t="str">
        <f>IFERROR(__xludf.DUMMYFUNCTION("""COMPUTED_VALUE"""),"")</f>
        <v/>
      </c>
    </row>
    <row r="982">
      <c r="E982" s="4" t="str">
        <f>IFERROR(__xludf.DUMMYFUNCTION("""COMPUTED_VALUE"""),"#VALUE!")</f>
        <v>#VALUE!</v>
      </c>
      <c r="F982" s="4" t="str">
        <f>IFERROR(__xludf.DUMMYFUNCTION("""COMPUTED_VALUE"""),"")</f>
        <v/>
      </c>
      <c r="G982" s="4" t="str">
        <f>IFERROR(__xludf.DUMMYFUNCTION("""COMPUTED_VALUE"""),"#VALUE!")</f>
        <v>#VALUE!</v>
      </c>
      <c r="H982" s="4" t="str">
        <f>IFERROR(__xludf.DUMMYFUNCTION("""COMPUTED_VALUE"""),"")</f>
        <v/>
      </c>
    </row>
    <row r="983">
      <c r="E983" s="4" t="str">
        <f>IFERROR(__xludf.DUMMYFUNCTION("""COMPUTED_VALUE"""),"#VALUE!")</f>
        <v>#VALUE!</v>
      </c>
      <c r="F983" s="4" t="str">
        <f>IFERROR(__xludf.DUMMYFUNCTION("""COMPUTED_VALUE"""),"")</f>
        <v/>
      </c>
      <c r="G983" s="4" t="str">
        <f>IFERROR(__xludf.DUMMYFUNCTION("""COMPUTED_VALUE"""),"#VALUE!")</f>
        <v>#VALUE!</v>
      </c>
      <c r="H983" s="4" t="str">
        <f>IFERROR(__xludf.DUMMYFUNCTION("""COMPUTED_VALUE"""),"")</f>
        <v/>
      </c>
    </row>
    <row r="984">
      <c r="E984" s="4" t="str">
        <f>IFERROR(__xludf.DUMMYFUNCTION("""COMPUTED_VALUE"""),"#VALUE!")</f>
        <v>#VALUE!</v>
      </c>
      <c r="F984" s="4" t="str">
        <f>IFERROR(__xludf.DUMMYFUNCTION("""COMPUTED_VALUE"""),"")</f>
        <v/>
      </c>
      <c r="G984" s="4" t="str">
        <f>IFERROR(__xludf.DUMMYFUNCTION("""COMPUTED_VALUE"""),"#VALUE!")</f>
        <v>#VALUE!</v>
      </c>
      <c r="H984" s="4" t="str">
        <f>IFERROR(__xludf.DUMMYFUNCTION("""COMPUTED_VALUE"""),"")</f>
        <v/>
      </c>
    </row>
    <row r="985">
      <c r="E985" s="4" t="str">
        <f>IFERROR(__xludf.DUMMYFUNCTION("""COMPUTED_VALUE"""),"#VALUE!")</f>
        <v>#VALUE!</v>
      </c>
      <c r="F985" s="4" t="str">
        <f>IFERROR(__xludf.DUMMYFUNCTION("""COMPUTED_VALUE"""),"")</f>
        <v/>
      </c>
      <c r="G985" s="4" t="str">
        <f>IFERROR(__xludf.DUMMYFUNCTION("""COMPUTED_VALUE"""),"#VALUE!")</f>
        <v>#VALUE!</v>
      </c>
      <c r="H985" s="4" t="str">
        <f>IFERROR(__xludf.DUMMYFUNCTION("""COMPUTED_VALUE"""),"")</f>
        <v/>
      </c>
    </row>
    <row r="986">
      <c r="E986" s="4" t="str">
        <f>IFERROR(__xludf.DUMMYFUNCTION("""COMPUTED_VALUE"""),"#VALUE!")</f>
        <v>#VALUE!</v>
      </c>
      <c r="F986" s="4" t="str">
        <f>IFERROR(__xludf.DUMMYFUNCTION("""COMPUTED_VALUE"""),"")</f>
        <v/>
      </c>
      <c r="G986" s="4" t="str">
        <f>IFERROR(__xludf.DUMMYFUNCTION("""COMPUTED_VALUE"""),"#VALUE!")</f>
        <v>#VALUE!</v>
      </c>
      <c r="H986" s="4" t="str">
        <f>IFERROR(__xludf.DUMMYFUNCTION("""COMPUTED_VALUE"""),"")</f>
        <v/>
      </c>
    </row>
    <row r="987">
      <c r="E987" s="4" t="str">
        <f>IFERROR(__xludf.DUMMYFUNCTION("""COMPUTED_VALUE"""),"#VALUE!")</f>
        <v>#VALUE!</v>
      </c>
      <c r="F987" s="4" t="str">
        <f>IFERROR(__xludf.DUMMYFUNCTION("""COMPUTED_VALUE"""),"")</f>
        <v/>
      </c>
      <c r="G987" s="4" t="str">
        <f>IFERROR(__xludf.DUMMYFUNCTION("""COMPUTED_VALUE"""),"#VALUE!")</f>
        <v>#VALUE!</v>
      </c>
      <c r="H987" s="4" t="str">
        <f>IFERROR(__xludf.DUMMYFUNCTION("""COMPUTED_VALUE"""),"")</f>
        <v/>
      </c>
    </row>
    <row r="988">
      <c r="E988" s="4" t="str">
        <f>IFERROR(__xludf.DUMMYFUNCTION("""COMPUTED_VALUE"""),"#VALUE!")</f>
        <v>#VALUE!</v>
      </c>
      <c r="F988" s="4" t="str">
        <f>IFERROR(__xludf.DUMMYFUNCTION("""COMPUTED_VALUE"""),"")</f>
        <v/>
      </c>
      <c r="G988" s="4" t="str">
        <f>IFERROR(__xludf.DUMMYFUNCTION("""COMPUTED_VALUE"""),"#VALUE!")</f>
        <v>#VALUE!</v>
      </c>
      <c r="H988" s="4" t="str">
        <f>IFERROR(__xludf.DUMMYFUNCTION("""COMPUTED_VALUE"""),"")</f>
        <v/>
      </c>
    </row>
    <row r="989">
      <c r="E989" s="4" t="str">
        <f>IFERROR(__xludf.DUMMYFUNCTION("""COMPUTED_VALUE"""),"#VALUE!")</f>
        <v>#VALUE!</v>
      </c>
      <c r="F989" s="4" t="str">
        <f>IFERROR(__xludf.DUMMYFUNCTION("""COMPUTED_VALUE"""),"")</f>
        <v/>
      </c>
      <c r="G989" s="4" t="str">
        <f>IFERROR(__xludf.DUMMYFUNCTION("""COMPUTED_VALUE"""),"#VALUE!")</f>
        <v>#VALUE!</v>
      </c>
      <c r="H989" s="4" t="str">
        <f>IFERROR(__xludf.DUMMYFUNCTION("""COMPUTED_VALUE"""),"")</f>
        <v/>
      </c>
    </row>
    <row r="990">
      <c r="E990" s="4" t="str">
        <f>IFERROR(__xludf.DUMMYFUNCTION("""COMPUTED_VALUE"""),"#VALUE!")</f>
        <v>#VALUE!</v>
      </c>
      <c r="F990" s="4" t="str">
        <f>IFERROR(__xludf.DUMMYFUNCTION("""COMPUTED_VALUE"""),"")</f>
        <v/>
      </c>
      <c r="G990" s="4" t="str">
        <f>IFERROR(__xludf.DUMMYFUNCTION("""COMPUTED_VALUE"""),"#VALUE!")</f>
        <v>#VALUE!</v>
      </c>
      <c r="H990" s="4" t="str">
        <f>IFERROR(__xludf.DUMMYFUNCTION("""COMPUTED_VALUE"""),"")</f>
        <v/>
      </c>
    </row>
    <row r="991">
      <c r="E991" s="4" t="str">
        <f>IFERROR(__xludf.DUMMYFUNCTION("""COMPUTED_VALUE"""),"#VALUE!")</f>
        <v>#VALUE!</v>
      </c>
      <c r="F991" s="4" t="str">
        <f>IFERROR(__xludf.DUMMYFUNCTION("""COMPUTED_VALUE"""),"")</f>
        <v/>
      </c>
      <c r="G991" s="4" t="str">
        <f>IFERROR(__xludf.DUMMYFUNCTION("""COMPUTED_VALUE"""),"#VALUE!")</f>
        <v>#VALUE!</v>
      </c>
      <c r="H991" s="4" t="str">
        <f>IFERROR(__xludf.DUMMYFUNCTION("""COMPUTED_VALUE"""),"")</f>
        <v/>
      </c>
    </row>
    <row r="992">
      <c r="E992" s="4" t="str">
        <f>IFERROR(__xludf.DUMMYFUNCTION("""COMPUTED_VALUE"""),"#VALUE!")</f>
        <v>#VALUE!</v>
      </c>
      <c r="F992" s="4" t="str">
        <f>IFERROR(__xludf.DUMMYFUNCTION("""COMPUTED_VALUE"""),"")</f>
        <v/>
      </c>
      <c r="G992" s="4" t="str">
        <f>IFERROR(__xludf.DUMMYFUNCTION("""COMPUTED_VALUE"""),"#VALUE!")</f>
        <v>#VALUE!</v>
      </c>
      <c r="H992" s="4" t="str">
        <f>IFERROR(__xludf.DUMMYFUNCTION("""COMPUTED_VALUE"""),"")</f>
        <v/>
      </c>
    </row>
    <row r="993">
      <c r="E993" s="4" t="str">
        <f>IFERROR(__xludf.DUMMYFUNCTION("""COMPUTED_VALUE"""),"#VALUE!")</f>
        <v>#VALUE!</v>
      </c>
      <c r="F993" s="4" t="str">
        <f>IFERROR(__xludf.DUMMYFUNCTION("""COMPUTED_VALUE"""),"")</f>
        <v/>
      </c>
      <c r="G993" s="4" t="str">
        <f>IFERROR(__xludf.DUMMYFUNCTION("""COMPUTED_VALUE"""),"#VALUE!")</f>
        <v>#VALUE!</v>
      </c>
      <c r="H993" s="4" t="str">
        <f>IFERROR(__xludf.DUMMYFUNCTION("""COMPUTED_VALUE"""),"")</f>
        <v/>
      </c>
    </row>
    <row r="994">
      <c r="E994" s="4" t="str">
        <f>IFERROR(__xludf.DUMMYFUNCTION("""COMPUTED_VALUE"""),"#VALUE!")</f>
        <v>#VALUE!</v>
      </c>
      <c r="F994" s="4" t="str">
        <f>IFERROR(__xludf.DUMMYFUNCTION("""COMPUTED_VALUE"""),"")</f>
        <v/>
      </c>
      <c r="G994" s="4" t="str">
        <f>IFERROR(__xludf.DUMMYFUNCTION("""COMPUTED_VALUE"""),"#VALUE!")</f>
        <v>#VALUE!</v>
      </c>
      <c r="H994" s="4" t="str">
        <f>IFERROR(__xludf.DUMMYFUNCTION("""COMPUTED_VALUE"""),"")</f>
        <v/>
      </c>
    </row>
    <row r="995">
      <c r="E995" s="4" t="str">
        <f>IFERROR(__xludf.DUMMYFUNCTION("""COMPUTED_VALUE"""),"#VALUE!")</f>
        <v>#VALUE!</v>
      </c>
      <c r="F995" s="4" t="str">
        <f>IFERROR(__xludf.DUMMYFUNCTION("""COMPUTED_VALUE"""),"")</f>
        <v/>
      </c>
      <c r="G995" s="4" t="str">
        <f>IFERROR(__xludf.DUMMYFUNCTION("""COMPUTED_VALUE"""),"#VALUE!")</f>
        <v>#VALUE!</v>
      </c>
      <c r="H995" s="4" t="str">
        <f>IFERROR(__xludf.DUMMYFUNCTION("""COMPUTED_VALUE"""),"")</f>
        <v/>
      </c>
    </row>
    <row r="996">
      <c r="E996" s="4" t="str">
        <f>IFERROR(__xludf.DUMMYFUNCTION("""COMPUTED_VALUE"""),"#VALUE!")</f>
        <v>#VALUE!</v>
      </c>
      <c r="F996" s="4" t="str">
        <f>IFERROR(__xludf.DUMMYFUNCTION("""COMPUTED_VALUE"""),"")</f>
        <v/>
      </c>
      <c r="G996" s="4" t="str">
        <f>IFERROR(__xludf.DUMMYFUNCTION("""COMPUTED_VALUE"""),"#VALUE!")</f>
        <v>#VALUE!</v>
      </c>
      <c r="H996" s="4" t="str">
        <f>IFERROR(__xludf.DUMMYFUNCTION("""COMPUTED_VALUE"""),"")</f>
        <v/>
      </c>
    </row>
    <row r="997">
      <c r="E997" s="4" t="str">
        <f>IFERROR(__xludf.DUMMYFUNCTION("""COMPUTED_VALUE"""),"#VALUE!")</f>
        <v>#VALUE!</v>
      </c>
      <c r="F997" s="4" t="str">
        <f>IFERROR(__xludf.DUMMYFUNCTION("""COMPUTED_VALUE"""),"")</f>
        <v/>
      </c>
      <c r="G997" s="4" t="str">
        <f>IFERROR(__xludf.DUMMYFUNCTION("""COMPUTED_VALUE"""),"#VALUE!")</f>
        <v>#VALUE!</v>
      </c>
      <c r="H997" s="4" t="str">
        <f>IFERROR(__xludf.DUMMYFUNCTION("""COMPUTED_VALUE"""),"")</f>
        <v/>
      </c>
    </row>
    <row r="998">
      <c r="E998" s="4" t="str">
        <f>IFERROR(__xludf.DUMMYFUNCTION("""COMPUTED_VALUE"""),"#VALUE!")</f>
        <v>#VALUE!</v>
      </c>
      <c r="F998" s="4" t="str">
        <f>IFERROR(__xludf.DUMMYFUNCTION("""COMPUTED_VALUE"""),"")</f>
        <v/>
      </c>
      <c r="G998" s="4" t="str">
        <f>IFERROR(__xludf.DUMMYFUNCTION("""COMPUTED_VALUE"""),"#VALUE!")</f>
        <v>#VALUE!</v>
      </c>
      <c r="H998" s="4" t="str">
        <f>IFERROR(__xludf.DUMMYFUNCTION("""COMPUTED_VALUE"""),"")</f>
        <v/>
      </c>
    </row>
    <row r="999">
      <c r="E999" s="4" t="str">
        <f>IFERROR(__xludf.DUMMYFUNCTION("""COMPUTED_VALUE"""),"#VALUE!")</f>
        <v>#VALUE!</v>
      </c>
      <c r="F999" s="4" t="str">
        <f>IFERROR(__xludf.DUMMYFUNCTION("""COMPUTED_VALUE"""),"")</f>
        <v/>
      </c>
      <c r="G999" s="4" t="str">
        <f>IFERROR(__xludf.DUMMYFUNCTION("""COMPUTED_VALUE"""),"#VALUE!")</f>
        <v>#VALUE!</v>
      </c>
      <c r="H999" s="4" t="str">
        <f>IFERROR(__xludf.DUMMYFUNCTION("""COMPUTED_VALUE"""),"")</f>
        <v/>
      </c>
    </row>
    <row r="1000">
      <c r="E1000" s="4" t="str">
        <f>IFERROR(__xludf.DUMMYFUNCTION("""COMPUTED_VALUE"""),"#VALUE!")</f>
        <v>#VALUE!</v>
      </c>
      <c r="F1000" s="4" t="str">
        <f>IFERROR(__xludf.DUMMYFUNCTION("""COMPUTED_VALUE"""),"")</f>
        <v/>
      </c>
      <c r="G1000" s="4" t="str">
        <f>IFERROR(__xludf.DUMMYFUNCTION("""COMPUTED_VALUE"""),"#VALUE!")</f>
        <v>#VALUE!</v>
      </c>
      <c r="H1000" s="4" t="str">
        <f>IFERROR(__xludf.DUMMYFUNCTION("""COMPUTED_VALUE"""),"")</f>
        <v/>
      </c>
    </row>
  </sheetData>
  <drawing r:id="rId1"/>
  <tableParts count="1">
    <tablePart r:id="rId3"/>
  </tableParts>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1" max="1" width="45.29"/>
    <col customWidth="1" min="2" max="2" width="21.71"/>
    <col customWidth="1" min="3" max="3" width="107.29"/>
    <col hidden="1" min="4" max="5" width="14.43"/>
    <col customWidth="1" min="6" max="6" width="36.71"/>
    <col hidden="1" min="9" max="9" width="14.43"/>
  </cols>
  <sheetData>
    <row r="1">
      <c r="A1" s="86" t="s">
        <v>79</v>
      </c>
      <c r="B1" s="46" t="s">
        <v>80</v>
      </c>
      <c r="C1" s="46" t="s">
        <v>81</v>
      </c>
      <c r="D1" s="46" t="s">
        <v>82</v>
      </c>
      <c r="E1" s="46" t="s">
        <v>83</v>
      </c>
      <c r="F1" s="46" t="s">
        <v>84</v>
      </c>
      <c r="G1" s="46" t="s">
        <v>85</v>
      </c>
      <c r="H1" s="46" t="s">
        <v>86</v>
      </c>
      <c r="I1" s="46" t="s">
        <v>87</v>
      </c>
      <c r="J1" s="46" t="s">
        <v>88</v>
      </c>
      <c r="K1" s="46" t="s">
        <v>89</v>
      </c>
      <c r="L1" s="46" t="s">
        <v>90</v>
      </c>
      <c r="M1" s="46" t="s">
        <v>91</v>
      </c>
      <c r="N1" s="46" t="s">
        <v>92</v>
      </c>
      <c r="O1" s="50" t="s">
        <v>93</v>
      </c>
      <c r="P1" s="50" t="s">
        <v>94</v>
      </c>
      <c r="Q1" s="50" t="s">
        <v>95</v>
      </c>
    </row>
    <row r="2">
      <c r="A2" s="87" t="s">
        <v>25</v>
      </c>
      <c r="B2" s="62" t="s">
        <v>40</v>
      </c>
      <c r="C2" s="88" t="s">
        <v>430</v>
      </c>
      <c r="D2" s="51" t="s">
        <v>431</v>
      </c>
      <c r="E2" s="51" t="s">
        <v>432</v>
      </c>
      <c r="F2" s="51"/>
      <c r="G2" s="89">
        <v>43775.0</v>
      </c>
      <c r="H2" s="81">
        <v>0.4270833333333333</v>
      </c>
      <c r="I2" s="61">
        <f>IFERROR(__xludf.DUMMYFUNCTION("ARRAYFORMULA(SPLIT(E2:E12,"" ""))"),43775.0)</f>
        <v>43775</v>
      </c>
      <c r="J2" s="60">
        <f>IFERROR(__xludf.DUMMYFUNCTION("""COMPUTED_VALUE"""),0.46875)</f>
        <v>0.46875</v>
      </c>
      <c r="K2" s="60">
        <f t="shared" ref="K2:K12" si="1">J2-H2</f>
        <v>0.04166666667</v>
      </c>
      <c r="L2" s="51" t="str">
        <f t="array" ref="L2:L12">TEXT(K2:K12,"hhmmss")</f>
        <v>010000</v>
      </c>
      <c r="M2" s="62" t="s">
        <v>490</v>
      </c>
      <c r="N2" s="62" t="str">
        <f>CONCATENATE(M2,"_",F2,"_","000000_000000.mp4")</f>
        <v>SS8_6_1__000000_000000.mp4</v>
      </c>
      <c r="O2" s="50"/>
      <c r="P2" s="50"/>
      <c r="Q2" s="63"/>
    </row>
    <row r="3">
      <c r="A3" s="87" t="s">
        <v>40</v>
      </c>
      <c r="B3" s="62" t="s">
        <v>40</v>
      </c>
      <c r="C3" s="88" t="s">
        <v>436</v>
      </c>
      <c r="D3" s="51" t="s">
        <v>432</v>
      </c>
      <c r="E3" s="51" t="s">
        <v>437</v>
      </c>
      <c r="F3" s="51"/>
      <c r="G3" s="89">
        <v>43775.0</v>
      </c>
      <c r="H3" s="81">
        <v>0.46875</v>
      </c>
      <c r="I3" s="58">
        <f>IFERROR(__xludf.DUMMYFUNCTION("""COMPUTED_VALUE"""),43775.0)</f>
        <v>43775</v>
      </c>
      <c r="J3" s="60">
        <f>IFERROR(__xludf.DUMMYFUNCTION("""COMPUTED_VALUE"""),0.5104166666666666)</f>
        <v>0.5104166667</v>
      </c>
      <c r="K3" s="60">
        <f t="shared" si="1"/>
        <v>0.04166666667</v>
      </c>
      <c r="L3" s="51" t="s">
        <v>236</v>
      </c>
      <c r="M3" s="51"/>
      <c r="N3" s="51"/>
      <c r="O3" s="50"/>
      <c r="P3" s="50"/>
      <c r="Q3" s="63"/>
    </row>
    <row r="4">
      <c r="A4" s="87" t="s">
        <v>64</v>
      </c>
      <c r="B4" s="62" t="s">
        <v>40</v>
      </c>
      <c r="C4" s="88" t="s">
        <v>440</v>
      </c>
      <c r="D4" s="51" t="s">
        <v>437</v>
      </c>
      <c r="E4" s="51" t="s">
        <v>441</v>
      </c>
      <c r="F4" s="51"/>
      <c r="G4" s="89">
        <v>43775.0</v>
      </c>
      <c r="H4" s="81">
        <v>0.5104166666666666</v>
      </c>
      <c r="I4" s="58">
        <f>IFERROR(__xludf.DUMMYFUNCTION("""COMPUTED_VALUE"""),43775.0)</f>
        <v>43775</v>
      </c>
      <c r="J4" s="60">
        <f>IFERROR(__xludf.DUMMYFUNCTION("""COMPUTED_VALUE"""),0.5520833333333334)</f>
        <v>0.5520833333</v>
      </c>
      <c r="K4" s="60">
        <f t="shared" si="1"/>
        <v>0.04166666667</v>
      </c>
      <c r="L4" s="51" t="s">
        <v>236</v>
      </c>
      <c r="M4" s="51"/>
      <c r="N4" s="51"/>
      <c r="O4" s="50"/>
      <c r="P4" s="50"/>
      <c r="Q4" s="63"/>
    </row>
    <row r="5">
      <c r="A5" s="87" t="s">
        <v>491</v>
      </c>
      <c r="B5" s="62" t="s">
        <v>40</v>
      </c>
      <c r="C5" s="82" t="s">
        <v>443</v>
      </c>
      <c r="D5" s="51" t="s">
        <v>444</v>
      </c>
      <c r="E5" s="51" t="s">
        <v>445</v>
      </c>
      <c r="F5" s="51"/>
      <c r="G5" s="89">
        <v>43775.0</v>
      </c>
      <c r="H5" s="81">
        <v>0.59375</v>
      </c>
      <c r="I5" s="58">
        <f>IFERROR(__xludf.DUMMYFUNCTION("""COMPUTED_VALUE"""),43775.0)</f>
        <v>43775</v>
      </c>
      <c r="J5" s="60">
        <f>IFERROR(__xludf.DUMMYFUNCTION("""COMPUTED_VALUE"""),0.6354166666666666)</f>
        <v>0.6354166667</v>
      </c>
      <c r="K5" s="60">
        <f t="shared" si="1"/>
        <v>0.04166666667</v>
      </c>
      <c r="L5" s="51" t="s">
        <v>236</v>
      </c>
      <c r="M5" s="51"/>
      <c r="N5" s="51"/>
      <c r="O5" s="50"/>
      <c r="P5" s="50"/>
      <c r="Q5" s="63"/>
    </row>
    <row r="6">
      <c r="A6" s="87" t="s">
        <v>492</v>
      </c>
      <c r="B6" s="62" t="s">
        <v>40</v>
      </c>
      <c r="C6" s="88" t="s">
        <v>447</v>
      </c>
      <c r="D6" s="51" t="s">
        <v>445</v>
      </c>
      <c r="E6" s="51" t="s">
        <v>448</v>
      </c>
      <c r="F6" s="51"/>
      <c r="G6" s="89">
        <v>43775.0</v>
      </c>
      <c r="H6" s="81">
        <v>0.6354166666666666</v>
      </c>
      <c r="I6" s="58">
        <f>IFERROR(__xludf.DUMMYFUNCTION("""COMPUTED_VALUE"""),43775.0)</f>
        <v>43775</v>
      </c>
      <c r="J6" s="60">
        <f>IFERROR(__xludf.DUMMYFUNCTION("""COMPUTED_VALUE"""),0.6770833333333334)</f>
        <v>0.6770833333</v>
      </c>
      <c r="K6" s="60">
        <f t="shared" si="1"/>
        <v>0.04166666667</v>
      </c>
      <c r="L6" s="51" t="s">
        <v>236</v>
      </c>
      <c r="M6" s="51"/>
      <c r="N6" s="51"/>
      <c r="O6" s="50"/>
      <c r="P6" s="50"/>
      <c r="Q6" s="63"/>
    </row>
    <row r="7">
      <c r="A7" s="87" t="s">
        <v>492</v>
      </c>
      <c r="B7" s="62" t="s">
        <v>40</v>
      </c>
      <c r="C7" s="88" t="s">
        <v>451</v>
      </c>
      <c r="D7" s="51" t="s">
        <v>452</v>
      </c>
      <c r="E7" s="51" t="s">
        <v>453</v>
      </c>
      <c r="F7" s="51"/>
      <c r="G7" s="89">
        <v>43776.0</v>
      </c>
      <c r="H7" s="81">
        <v>0.4270833333333333</v>
      </c>
      <c r="I7" s="58">
        <f>IFERROR(__xludf.DUMMYFUNCTION("""COMPUTED_VALUE"""),43776.0)</f>
        <v>43776</v>
      </c>
      <c r="J7" s="60">
        <f>IFERROR(__xludf.DUMMYFUNCTION("""COMPUTED_VALUE"""),0.46875)</f>
        <v>0.46875</v>
      </c>
      <c r="K7" s="60">
        <f t="shared" si="1"/>
        <v>0.04166666667</v>
      </c>
      <c r="L7" s="51" t="s">
        <v>236</v>
      </c>
      <c r="M7" s="51"/>
      <c r="N7" s="51"/>
      <c r="O7" s="50"/>
      <c r="P7" s="50"/>
      <c r="Q7" s="63"/>
    </row>
    <row r="8">
      <c r="A8" s="87" t="s">
        <v>493</v>
      </c>
      <c r="B8" s="62" t="s">
        <v>40</v>
      </c>
      <c r="C8" s="88" t="s">
        <v>457</v>
      </c>
      <c r="D8" s="51" t="s">
        <v>453</v>
      </c>
      <c r="E8" s="51" t="s">
        <v>458</v>
      </c>
      <c r="F8" s="51"/>
      <c r="G8" s="90">
        <v>43776.0</v>
      </c>
      <c r="H8" s="81">
        <v>0.46875</v>
      </c>
      <c r="I8" s="58">
        <f>IFERROR(__xludf.DUMMYFUNCTION("""COMPUTED_VALUE"""),43776.0)</f>
        <v>43776</v>
      </c>
      <c r="J8" s="60">
        <f>IFERROR(__xludf.DUMMYFUNCTION("""COMPUTED_VALUE"""),0.5104166666666666)</f>
        <v>0.5104166667</v>
      </c>
      <c r="K8" s="60">
        <f t="shared" si="1"/>
        <v>0.04166666667</v>
      </c>
      <c r="L8" s="51" t="s">
        <v>236</v>
      </c>
      <c r="M8" s="51"/>
      <c r="N8" s="51"/>
      <c r="O8" s="50"/>
      <c r="P8" s="50"/>
      <c r="Q8" s="63"/>
    </row>
    <row r="9">
      <c r="A9" s="87" t="s">
        <v>494</v>
      </c>
      <c r="B9" s="62" t="s">
        <v>40</v>
      </c>
      <c r="C9" s="88" t="s">
        <v>460</v>
      </c>
      <c r="D9" s="51" t="s">
        <v>458</v>
      </c>
      <c r="E9" s="51" t="s">
        <v>461</v>
      </c>
      <c r="F9" s="51"/>
      <c r="G9" s="90">
        <v>43776.0</v>
      </c>
      <c r="H9" s="81">
        <v>0.5104166666666666</v>
      </c>
      <c r="I9" s="58">
        <f>IFERROR(__xludf.DUMMYFUNCTION("""COMPUTED_VALUE"""),43776.0)</f>
        <v>43776</v>
      </c>
      <c r="J9" s="60">
        <f>IFERROR(__xludf.DUMMYFUNCTION("""COMPUTED_VALUE"""),0.5520833333333334)</f>
        <v>0.5520833333</v>
      </c>
      <c r="K9" s="60">
        <f t="shared" si="1"/>
        <v>0.04166666667</v>
      </c>
      <c r="L9" s="51" t="s">
        <v>236</v>
      </c>
      <c r="M9" s="51"/>
      <c r="N9" s="51"/>
      <c r="O9" s="50"/>
      <c r="P9" s="50"/>
      <c r="Q9" s="63"/>
    </row>
    <row r="10">
      <c r="A10" s="87" t="s">
        <v>495</v>
      </c>
      <c r="B10" s="62" t="s">
        <v>40</v>
      </c>
      <c r="C10" s="88" t="s">
        <v>463</v>
      </c>
      <c r="D10" s="51" t="s">
        <v>464</v>
      </c>
      <c r="E10" s="51" t="s">
        <v>466</v>
      </c>
      <c r="F10" s="51"/>
      <c r="G10" s="90">
        <v>43776.0</v>
      </c>
      <c r="H10" s="71">
        <v>0.59375</v>
      </c>
      <c r="I10" s="58">
        <f>IFERROR(__xludf.DUMMYFUNCTION("""COMPUTED_VALUE"""),43776.0)</f>
        <v>43776</v>
      </c>
      <c r="J10" s="60">
        <f>IFERROR(__xludf.DUMMYFUNCTION("""COMPUTED_VALUE"""),0.6354166666666666)</f>
        <v>0.6354166667</v>
      </c>
      <c r="K10" s="60">
        <f t="shared" si="1"/>
        <v>0.04166666667</v>
      </c>
      <c r="L10" s="51" t="s">
        <v>236</v>
      </c>
      <c r="M10" s="51"/>
      <c r="N10" s="51"/>
      <c r="O10" s="50"/>
      <c r="P10" s="50"/>
      <c r="Q10" s="63"/>
    </row>
    <row r="11">
      <c r="A11" s="87" t="s">
        <v>496</v>
      </c>
      <c r="B11" s="62" t="s">
        <v>40</v>
      </c>
      <c r="C11" s="88" t="s">
        <v>469</v>
      </c>
      <c r="D11" s="51" t="s">
        <v>466</v>
      </c>
      <c r="E11" s="51" t="s">
        <v>470</v>
      </c>
      <c r="F11" s="51"/>
      <c r="G11" s="90">
        <v>43776.0</v>
      </c>
      <c r="H11" s="81">
        <v>0.6354166666666666</v>
      </c>
      <c r="I11" s="58">
        <f>IFERROR(__xludf.DUMMYFUNCTION("""COMPUTED_VALUE"""),43776.0)</f>
        <v>43776</v>
      </c>
      <c r="J11" s="60">
        <f>IFERROR(__xludf.DUMMYFUNCTION("""COMPUTED_VALUE"""),0.6770833333333334)</f>
        <v>0.6770833333</v>
      </c>
      <c r="K11" s="60">
        <f t="shared" si="1"/>
        <v>0.04166666667</v>
      </c>
      <c r="L11" s="51" t="s">
        <v>236</v>
      </c>
      <c r="M11" s="51"/>
      <c r="N11" s="51"/>
      <c r="O11" s="50"/>
      <c r="P11" s="50"/>
      <c r="Q11" s="63"/>
    </row>
    <row r="12">
      <c r="A12" s="87" t="s">
        <v>497</v>
      </c>
      <c r="B12" s="62" t="s">
        <v>40</v>
      </c>
      <c r="C12" s="88" t="s">
        <v>473</v>
      </c>
      <c r="D12" s="51" t="s">
        <v>470</v>
      </c>
      <c r="E12" s="51" t="s">
        <v>474</v>
      </c>
      <c r="F12" s="51"/>
      <c r="G12" s="90">
        <v>43776.0</v>
      </c>
      <c r="H12" s="81">
        <v>0.6770833333333334</v>
      </c>
      <c r="I12" s="58">
        <f>IFERROR(__xludf.DUMMYFUNCTION("""COMPUTED_VALUE"""),43776.0)</f>
        <v>43776</v>
      </c>
      <c r="J12" s="60">
        <f>IFERROR(__xludf.DUMMYFUNCTION("""COMPUTED_VALUE"""),0.71875)</f>
        <v>0.71875</v>
      </c>
      <c r="K12" s="60">
        <f t="shared" si="1"/>
        <v>0.04166666667</v>
      </c>
      <c r="L12" s="51" t="s">
        <v>236</v>
      </c>
      <c r="M12" s="51"/>
      <c r="N12" s="51"/>
      <c r="O12" s="50"/>
      <c r="P12" s="50"/>
      <c r="Q12" s="63"/>
    </row>
  </sheetData>
  <conditionalFormatting sqref="O2:O12">
    <cfRule type="containsText" dxfId="4" priority="1" operator="containsText" text="YES">
      <formula>NOT(ISERROR(SEARCH(("YES"),(O2))))</formula>
    </cfRule>
  </conditionalFormatting>
  <conditionalFormatting sqref="O2:O12">
    <cfRule type="cellIs" dxfId="5" priority="2" operator="equal">
      <formula>"NO"</formula>
    </cfRule>
  </conditionalFormatting>
  <conditionalFormatting sqref="P2:P12">
    <cfRule type="cellIs" dxfId="4" priority="3" operator="equal">
      <formula>"AVAILABLE"</formula>
    </cfRule>
  </conditionalFormatting>
  <conditionalFormatting sqref="P2:P12">
    <cfRule type="cellIs" dxfId="5" priority="4" operator="equal">
      <formula>"NOT AVAILABLE"</formula>
    </cfRule>
  </conditionalFormatting>
  <conditionalFormatting sqref="Q2:Q12">
    <cfRule type="cellIs" dxfId="4" priority="5" operator="equal">
      <formula>"AVAILABLE"</formula>
    </cfRule>
  </conditionalFormatting>
  <conditionalFormatting sqref="Q2:Q12">
    <cfRule type="cellIs" dxfId="6" priority="6" operator="equal">
      <formula>"UPLOADING"</formula>
    </cfRule>
  </conditionalFormatting>
  <conditionalFormatting sqref="Q2:Q12">
    <cfRule type="cellIs" dxfId="5" priority="7" operator="equal">
      <formula>"NOT AVAILABLE"</formula>
    </cfRule>
  </conditionalFormatting>
  <dataValidations>
    <dataValidation type="list" allowBlank="1" sqref="O2:O12">
      <formula1>"YES,NO"</formula1>
    </dataValidation>
    <dataValidation type="list" allowBlank="1" sqref="P2:P12">
      <formula1>"AVAILABLE,NOT AVAILABLE"</formula1>
    </dataValidation>
    <dataValidation type="list" allowBlank="1" sqref="Q2:Q12">
      <formula1>"AVAILABLE,UPLOADING,NOT AVAILABLE"</formula1>
    </dataValidation>
  </dataValidations>
  <drawing r:id="rId1"/>
  <tableParts count="1">
    <tablePart r:id="rId3"/>
  </tableParts>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3.43"/>
    <col customWidth="1" min="3" max="3" width="26.43"/>
    <col hidden="1" min="4" max="5" width="14.43"/>
    <col customWidth="1" min="6" max="6" width="36.0"/>
    <col hidden="1" min="9" max="9" width="14.43"/>
  </cols>
  <sheetData>
    <row r="1">
      <c r="A1" s="46" t="s">
        <v>79</v>
      </c>
      <c r="B1" s="46" t="s">
        <v>80</v>
      </c>
      <c r="C1" s="48" t="s">
        <v>81</v>
      </c>
      <c r="D1" s="46" t="s">
        <v>82</v>
      </c>
      <c r="E1" s="46" t="s">
        <v>83</v>
      </c>
      <c r="F1" s="46" t="s">
        <v>84</v>
      </c>
      <c r="G1" s="46" t="s">
        <v>85</v>
      </c>
      <c r="H1" s="46" t="s">
        <v>86</v>
      </c>
      <c r="I1" s="46" t="s">
        <v>87</v>
      </c>
      <c r="J1" s="46" t="s">
        <v>88</v>
      </c>
      <c r="K1" s="46" t="s">
        <v>89</v>
      </c>
      <c r="L1" s="46" t="s">
        <v>90</v>
      </c>
      <c r="M1" s="46" t="s">
        <v>91</v>
      </c>
      <c r="N1" s="46" t="s">
        <v>92</v>
      </c>
      <c r="O1" s="50" t="s">
        <v>93</v>
      </c>
      <c r="P1" s="50" t="s">
        <v>94</v>
      </c>
      <c r="Q1" s="50" t="s">
        <v>95</v>
      </c>
      <c r="R1" s="51"/>
      <c r="S1" s="51"/>
      <c r="T1" s="51"/>
    </row>
    <row r="2">
      <c r="A2" s="54" t="str">
        <f>IFERROR(__xludf.DUMMYFUNCTION("QUERY(Master!A:H,""SELECT A,C,D,F,G,H where C = 'planet:tech ' ORDER BY F"")"),"Opening remarks")</f>
        <v>Opening remarks</v>
      </c>
      <c r="B2" s="51" t="str">
        <f>IFERROR(__xludf.DUMMYFUNCTION("""COMPUTED_VALUE"""),"planet:tech ")</f>
        <v>planet:tech </v>
      </c>
      <c r="C2" s="56" t="str">
        <f>IFERROR(__xludf.DUMMYFUNCTION("""COMPUTED_VALUE"""),"Caroline Venza")</f>
        <v>Caroline Venza</v>
      </c>
      <c r="D2" s="51" t="str">
        <f>IFERROR(__xludf.DUMMYFUNCTION("""COMPUTED_VALUE"""),"2019/11/05 11:00:00")</f>
        <v>2019/11/05 11:00:00</v>
      </c>
      <c r="E2" s="51" t="str">
        <f>IFERROR(__xludf.DUMMYFUNCTION("""COMPUTED_VALUE"""),"2019/11/05 11:15:00")</f>
        <v>2019/11/05 11:15:00</v>
      </c>
      <c r="F2" s="51" t="str">
        <f>IFERROR(__xludf.DUMMYFUNCTION("""COMPUTED_VALUE"""),"5b65234e-3e3a-41f0-afa8-337f56ecef08")</f>
        <v>5b65234e-3e3a-41f0-afa8-337f56ecef08</v>
      </c>
      <c r="G2" s="61">
        <f>IFERROR(__xludf.DUMMYFUNCTION("ARRAYFORMULA(SPLIT(D2:D24,"" ""))"),43774.0)</f>
        <v>43774</v>
      </c>
      <c r="H2" s="60">
        <f>IFERROR(__xludf.DUMMYFUNCTION("""COMPUTED_VALUE"""),0.4583333333333333)</f>
        <v>0.4583333333</v>
      </c>
      <c r="I2" s="61">
        <f>IFERROR(__xludf.DUMMYFUNCTION("ARRAYFORMULA(SPLIT(E2:E24,"" ""))"),43774.0)</f>
        <v>43774</v>
      </c>
      <c r="J2" s="60">
        <f>IFERROR(__xludf.DUMMYFUNCTION("""COMPUTED_VALUE"""),0.46875)</f>
        <v>0.46875</v>
      </c>
      <c r="K2" s="60">
        <f t="shared" ref="K2:K23" si="1">J2-H2</f>
        <v>0.01041666667</v>
      </c>
      <c r="L2" s="54" t="str">
        <f t="array" ref="L2:L24">TEXT(K2:K24,"hhmmss")</f>
        <v>001500</v>
      </c>
      <c r="M2" s="62" t="s">
        <v>498</v>
      </c>
      <c r="N2" s="62" t="str">
        <f t="shared" ref="N2:N16" si="2">CONCATENATE(M2,"_",F2,"_","000000_000000.mp4")</f>
        <v>PT_5_1_5b65234e-3e3a-41f0-afa8-337f56ecef08_000000_000000.mp4</v>
      </c>
      <c r="O2" s="50"/>
      <c r="P2" s="50"/>
      <c r="Q2" s="63"/>
      <c r="R2" s="51"/>
      <c r="S2" s="51"/>
      <c r="T2" s="51"/>
    </row>
    <row r="3">
      <c r="A3" s="51" t="str">
        <f>IFERROR(__xludf.DUMMYFUNCTION("""COMPUTED_VALUE"""),"Planes, trains and automobiles: How can we travel sustainably?")</f>
        <v>Planes, trains and automobiles: How can we travel sustainably?</v>
      </c>
      <c r="B3" s="51" t="str">
        <f>IFERROR(__xludf.DUMMYFUNCTION("""COMPUTED_VALUE"""),"planet:tech ")</f>
        <v>planet:tech </v>
      </c>
      <c r="C3" s="56" t="str">
        <f>IFERROR(__xludf.DUMMYFUNCTION("""COMPUTED_VALUE"""),"Sandra Bour Schaeffer, Kevin Conrad and Isabel Hilton")</f>
        <v>Sandra Bour Schaeffer, Kevin Conrad and Isabel Hilton</v>
      </c>
      <c r="D3" s="51" t="str">
        <f>IFERROR(__xludf.DUMMYFUNCTION("""COMPUTED_VALUE"""),"2019/11/05 11:15:00")</f>
        <v>2019/11/05 11:15:00</v>
      </c>
      <c r="E3" s="51" t="str">
        <f>IFERROR(__xludf.DUMMYFUNCTION("""COMPUTED_VALUE"""),"2019/11/05 11:35:00")</f>
        <v>2019/11/05 11:35:00</v>
      </c>
      <c r="F3" s="51" t="str">
        <f>IFERROR(__xludf.DUMMYFUNCTION("""COMPUTED_VALUE"""),"2f86e340-455b-4cf1-9ed1-dc5369aabb73")</f>
        <v>2f86e340-455b-4cf1-9ed1-dc5369aabb73</v>
      </c>
      <c r="G3" s="58">
        <f>IFERROR(__xludf.DUMMYFUNCTION("""COMPUTED_VALUE"""),43774.0)</f>
        <v>43774</v>
      </c>
      <c r="H3" s="60">
        <f>IFERROR(__xludf.DUMMYFUNCTION("""COMPUTED_VALUE"""),0.46875)</f>
        <v>0.46875</v>
      </c>
      <c r="I3" s="58">
        <f>IFERROR(__xludf.DUMMYFUNCTION("""COMPUTED_VALUE"""),43774.0)</f>
        <v>43774</v>
      </c>
      <c r="J3" s="60">
        <f>IFERROR(__xludf.DUMMYFUNCTION("""COMPUTED_VALUE"""),0.4826388888888889)</f>
        <v>0.4826388889</v>
      </c>
      <c r="K3" s="60">
        <f t="shared" si="1"/>
        <v>0.01388888889</v>
      </c>
      <c r="L3" s="51" t="s">
        <v>111</v>
      </c>
      <c r="M3" s="62" t="s">
        <v>499</v>
      </c>
      <c r="N3" s="62" t="str">
        <f t="shared" si="2"/>
        <v>PT_5_2_2f86e340-455b-4cf1-9ed1-dc5369aabb73_000000_000000.mp4</v>
      </c>
      <c r="O3" s="50"/>
      <c r="P3" s="50"/>
      <c r="Q3" s="63"/>
      <c r="R3" s="51"/>
      <c r="S3" s="51"/>
      <c r="T3" s="51"/>
    </row>
    <row r="4">
      <c r="A4" s="51" t="str">
        <f>IFERROR(__xludf.DUMMYFUNCTION("""COMPUTED_VALUE"""),"Are we facing water wars?")</f>
        <v>Are we facing water wars?</v>
      </c>
      <c r="B4" s="51" t="str">
        <f>IFERROR(__xludf.DUMMYFUNCTION("""COMPUTED_VALUE"""),"planet:tech ")</f>
        <v>planet:tech </v>
      </c>
      <c r="C4" s="56" t="str">
        <f>IFERROR(__xludf.DUMMYFUNCTION("""COMPUTED_VALUE"""),"Paul O'Callaghan, Drew Fitzgerald, Jay Iyengar and Tom Finn")</f>
        <v>Paul O'Callaghan, Drew Fitzgerald, Jay Iyengar and Tom Finn</v>
      </c>
      <c r="D4" s="51" t="str">
        <f>IFERROR(__xludf.DUMMYFUNCTION("""COMPUTED_VALUE"""),"2019/11/05 11:35:00")</f>
        <v>2019/11/05 11:35:00</v>
      </c>
      <c r="E4" s="51" t="str">
        <f>IFERROR(__xludf.DUMMYFUNCTION("""COMPUTED_VALUE"""),"2019/11/05 12:00:00")</f>
        <v>2019/11/05 12:00:00</v>
      </c>
      <c r="F4" s="51" t="str">
        <f>IFERROR(__xludf.DUMMYFUNCTION("""COMPUTED_VALUE"""),"2e4653af-79b7-4112-a60a-b02ca569ebaa")</f>
        <v>2e4653af-79b7-4112-a60a-b02ca569ebaa</v>
      </c>
      <c r="G4" s="58">
        <f>IFERROR(__xludf.DUMMYFUNCTION("""COMPUTED_VALUE"""),43774.0)</f>
        <v>43774</v>
      </c>
      <c r="H4" s="60">
        <f>IFERROR(__xludf.DUMMYFUNCTION("""COMPUTED_VALUE"""),0.4826388888888889)</f>
        <v>0.4826388889</v>
      </c>
      <c r="I4" s="58">
        <f>IFERROR(__xludf.DUMMYFUNCTION("""COMPUTED_VALUE"""),43774.0)</f>
        <v>43774</v>
      </c>
      <c r="J4" s="60">
        <f>IFERROR(__xludf.DUMMYFUNCTION("""COMPUTED_VALUE"""),0.5)</f>
        <v>0.5</v>
      </c>
      <c r="K4" s="60">
        <f t="shared" si="1"/>
        <v>0.01736111111</v>
      </c>
      <c r="L4" s="51" t="s">
        <v>107</v>
      </c>
      <c r="M4" s="62" t="s">
        <v>500</v>
      </c>
      <c r="N4" s="62" t="str">
        <f t="shared" si="2"/>
        <v>PT_5_3_2e4653af-79b7-4112-a60a-b02ca569ebaa_000000_000000.mp4</v>
      </c>
      <c r="O4" s="50"/>
      <c r="P4" s="50"/>
      <c r="Q4" s="63"/>
      <c r="R4" s="51"/>
      <c r="S4" s="51"/>
      <c r="T4" s="51"/>
    </row>
    <row r="5">
      <c r="A5" s="51" t="str">
        <f>IFERROR(__xludf.DUMMYFUNCTION("""COMPUTED_VALUE"""),"Secrecy is outdated, co-operation is key")</f>
        <v>Secrecy is outdated, co-operation is key</v>
      </c>
      <c r="B5" s="51" t="str">
        <f>IFERROR(__xludf.DUMMYFUNCTION("""COMPUTED_VALUE"""),"planet:tech ")</f>
        <v>planet:tech </v>
      </c>
      <c r="C5" s="56" t="str">
        <f>IFERROR(__xludf.DUMMYFUNCTION("""COMPUTED_VALUE"""),"António Mexia and Neanda Salvaterra")</f>
        <v>António Mexia and Neanda Salvaterra</v>
      </c>
      <c r="D5" s="51" t="str">
        <f>IFERROR(__xludf.DUMMYFUNCTION("""COMPUTED_VALUE"""),"2019/11/05 12:00:00")</f>
        <v>2019/11/05 12:00:00</v>
      </c>
      <c r="E5" s="51" t="str">
        <f>IFERROR(__xludf.DUMMYFUNCTION("""COMPUTED_VALUE"""),"2019/11/05 12:20:00")</f>
        <v>2019/11/05 12:20:00</v>
      </c>
      <c r="F5" s="51" t="str">
        <f>IFERROR(__xludf.DUMMYFUNCTION("""COMPUTED_VALUE"""),"d86e7814-758d-42f3-a2c6-c4ac9fe0d2c4")</f>
        <v>d86e7814-758d-42f3-a2c6-c4ac9fe0d2c4</v>
      </c>
      <c r="G5" s="58">
        <f>IFERROR(__xludf.DUMMYFUNCTION("""COMPUTED_VALUE"""),43774.0)</f>
        <v>43774</v>
      </c>
      <c r="H5" s="60">
        <f>IFERROR(__xludf.DUMMYFUNCTION("""COMPUTED_VALUE"""),0.5)</f>
        <v>0.5</v>
      </c>
      <c r="I5" s="58">
        <f>IFERROR(__xludf.DUMMYFUNCTION("""COMPUTED_VALUE"""),43774.0)</f>
        <v>43774</v>
      </c>
      <c r="J5" s="60">
        <f>IFERROR(__xludf.DUMMYFUNCTION("""COMPUTED_VALUE"""),0.5138888888888888)</f>
        <v>0.5138888889</v>
      </c>
      <c r="K5" s="60">
        <f t="shared" si="1"/>
        <v>0.01388888889</v>
      </c>
      <c r="L5" s="51" t="s">
        <v>111</v>
      </c>
      <c r="M5" s="62" t="s">
        <v>501</v>
      </c>
      <c r="N5" s="62" t="str">
        <f t="shared" si="2"/>
        <v>PT_5_4_d86e7814-758d-42f3-a2c6-c4ac9fe0d2c4_000000_000000.mp4</v>
      </c>
      <c r="O5" s="50"/>
      <c r="P5" s="50"/>
      <c r="Q5" s="63"/>
      <c r="R5" s="51"/>
      <c r="S5" s="51"/>
      <c r="T5" s="51"/>
    </row>
    <row r="6">
      <c r="A6" s="51" t="str">
        <f>IFERROR(__xludf.DUMMYFUNCTION("""COMPUTED_VALUE"""),"The will of the people: Why ground support matters")</f>
        <v>The will of the people: Why ground support matters</v>
      </c>
      <c r="B6" s="51" t="str">
        <f>IFERROR(__xludf.DUMMYFUNCTION("""COMPUTED_VALUE"""),"planet:tech ")</f>
        <v>planet:tech </v>
      </c>
      <c r="C6" s="56" t="str">
        <f>IFERROR(__xludf.DUMMYFUNCTION("""COMPUTED_VALUE"""),"Vanessa Wright, Dianna Cohen and Isabel Hilton")</f>
        <v>Vanessa Wright, Dianna Cohen and Isabel Hilton</v>
      </c>
      <c r="D6" s="51" t="str">
        <f>IFERROR(__xludf.DUMMYFUNCTION("""COMPUTED_VALUE"""),"2019/11/05 12:20:00")</f>
        <v>2019/11/05 12:20:00</v>
      </c>
      <c r="E6" s="51" t="str">
        <f>IFERROR(__xludf.DUMMYFUNCTION("""COMPUTED_VALUE"""),"2019/11/05 12:40:00")</f>
        <v>2019/11/05 12:40:00</v>
      </c>
      <c r="F6" s="51" t="str">
        <f>IFERROR(__xludf.DUMMYFUNCTION("""COMPUTED_VALUE"""),"ac40ee0d-7d6b-4666-8e6b-e529edad2cc1")</f>
        <v>ac40ee0d-7d6b-4666-8e6b-e529edad2cc1</v>
      </c>
      <c r="G6" s="58">
        <f>IFERROR(__xludf.DUMMYFUNCTION("""COMPUTED_VALUE"""),43774.0)</f>
        <v>43774</v>
      </c>
      <c r="H6" s="60">
        <f>IFERROR(__xludf.DUMMYFUNCTION("""COMPUTED_VALUE"""),0.5138888888888888)</f>
        <v>0.5138888889</v>
      </c>
      <c r="I6" s="58">
        <f>IFERROR(__xludf.DUMMYFUNCTION("""COMPUTED_VALUE"""),43774.0)</f>
        <v>43774</v>
      </c>
      <c r="J6" s="60">
        <f>IFERROR(__xludf.DUMMYFUNCTION("""COMPUTED_VALUE"""),0.5277777777777778)</f>
        <v>0.5277777778</v>
      </c>
      <c r="K6" s="60">
        <f t="shared" si="1"/>
        <v>0.01388888889</v>
      </c>
      <c r="L6" s="51" t="s">
        <v>111</v>
      </c>
      <c r="M6" s="62" t="s">
        <v>502</v>
      </c>
      <c r="N6" s="62" t="str">
        <f t="shared" si="2"/>
        <v>PT_5_5_ac40ee0d-7d6b-4666-8e6b-e529edad2cc1_000000_000000.mp4</v>
      </c>
      <c r="O6" s="50"/>
      <c r="P6" s="50"/>
      <c r="Q6" s="63"/>
      <c r="R6" s="51"/>
      <c r="S6" s="51"/>
      <c r="T6" s="51"/>
    </row>
    <row r="7">
      <c r="A7" s="51" t="str">
        <f>IFERROR(__xludf.DUMMYFUNCTION("""COMPUTED_VALUE"""),"Plates and the planet: How to eco-feed the world")</f>
        <v>Plates and the planet: How to eco-feed the world</v>
      </c>
      <c r="B7" s="51" t="str">
        <f>IFERROR(__xludf.DUMMYFUNCTION("""COMPUTED_VALUE"""),"planet:tech ")</f>
        <v>planet:tech </v>
      </c>
      <c r="C7" s="56" t="str">
        <f>IFERROR(__xludf.DUMMYFUNCTION("""COMPUTED_VALUE"""),"Vandana Tilak, Antoine Hubert and Britta Muzyk-Tikovsky")</f>
        <v>Vandana Tilak, Antoine Hubert and Britta Muzyk-Tikovsky</v>
      </c>
      <c r="D7" s="51" t="str">
        <f>IFERROR(__xludf.DUMMYFUNCTION("""COMPUTED_VALUE"""),"2019/11/05 12:40:00")</f>
        <v>2019/11/05 12:40:00</v>
      </c>
      <c r="E7" s="51" t="str">
        <f>IFERROR(__xludf.DUMMYFUNCTION("""COMPUTED_VALUE"""),"2019/11/05 13:00:00")</f>
        <v>2019/11/05 13:00:00</v>
      </c>
      <c r="F7" s="51" t="str">
        <f>IFERROR(__xludf.DUMMYFUNCTION("""COMPUTED_VALUE"""),"b3fbc724-3198-4122-9152-6129bb60765e")</f>
        <v>b3fbc724-3198-4122-9152-6129bb60765e</v>
      </c>
      <c r="G7" s="58">
        <f>IFERROR(__xludf.DUMMYFUNCTION("""COMPUTED_VALUE"""),43774.0)</f>
        <v>43774</v>
      </c>
      <c r="H7" s="60">
        <f>IFERROR(__xludf.DUMMYFUNCTION("""COMPUTED_VALUE"""),0.5277777777777778)</f>
        <v>0.5277777778</v>
      </c>
      <c r="I7" s="58">
        <f>IFERROR(__xludf.DUMMYFUNCTION("""COMPUTED_VALUE"""),43774.0)</f>
        <v>43774</v>
      </c>
      <c r="J7" s="60">
        <f>IFERROR(__xludf.DUMMYFUNCTION("""COMPUTED_VALUE"""),0.5416666666666666)</f>
        <v>0.5416666667</v>
      </c>
      <c r="K7" s="60">
        <f t="shared" si="1"/>
        <v>0.01388888889</v>
      </c>
      <c r="L7" s="51" t="s">
        <v>111</v>
      </c>
      <c r="M7" s="62" t="s">
        <v>503</v>
      </c>
      <c r="N7" s="62" t="str">
        <f t="shared" si="2"/>
        <v>PT_5_6_b3fbc724-3198-4122-9152-6129bb60765e_000000_000000.mp4</v>
      </c>
      <c r="O7" s="50"/>
      <c r="P7" s="50"/>
      <c r="Q7" s="63"/>
      <c r="R7" s="51"/>
      <c r="S7" s="51"/>
      <c r="T7" s="51"/>
    </row>
    <row r="8">
      <c r="A8" s="51" t="str">
        <f>IFERROR(__xludf.DUMMYFUNCTION("""COMPUTED_VALUE"""),"On the frontlines of extinction")</f>
        <v>On the frontlines of extinction</v>
      </c>
      <c r="B8" s="51" t="str">
        <f>IFERROR(__xludf.DUMMYFUNCTION("""COMPUTED_VALUE"""),"planet:tech ")</f>
        <v>planet:tech </v>
      </c>
      <c r="C8" s="56" t="str">
        <f>IFERROR(__xludf.DUMMYFUNCTION("""COMPUTED_VALUE"""),"Farwiza Farhan, Christian Kroll and Isabel Hilton")</f>
        <v>Farwiza Farhan, Christian Kroll and Isabel Hilton</v>
      </c>
      <c r="D8" s="51" t="str">
        <f>IFERROR(__xludf.DUMMYFUNCTION("""COMPUTED_VALUE"""),"2019/11/05 13:00:00")</f>
        <v>2019/11/05 13:00:00</v>
      </c>
      <c r="E8" s="51" t="str">
        <f>IFERROR(__xludf.DUMMYFUNCTION("""COMPUTED_VALUE"""),"2019/11/05 13:20:00")</f>
        <v>2019/11/05 13:20:00</v>
      </c>
      <c r="F8" s="51" t="str">
        <f>IFERROR(__xludf.DUMMYFUNCTION("""COMPUTED_VALUE"""),"a6e97ed7-c70b-4104-9dc9-7f1596ffe118")</f>
        <v>a6e97ed7-c70b-4104-9dc9-7f1596ffe118</v>
      </c>
      <c r="G8" s="58">
        <f>IFERROR(__xludf.DUMMYFUNCTION("""COMPUTED_VALUE"""),43774.0)</f>
        <v>43774</v>
      </c>
      <c r="H8" s="60">
        <f>IFERROR(__xludf.DUMMYFUNCTION("""COMPUTED_VALUE"""),0.5416666666666666)</f>
        <v>0.5416666667</v>
      </c>
      <c r="I8" s="58">
        <f>IFERROR(__xludf.DUMMYFUNCTION("""COMPUTED_VALUE"""),43774.0)</f>
        <v>43774</v>
      </c>
      <c r="J8" s="60">
        <f>IFERROR(__xludf.DUMMYFUNCTION("""COMPUTED_VALUE"""),0.5555555555555556)</f>
        <v>0.5555555556</v>
      </c>
      <c r="K8" s="60">
        <f t="shared" si="1"/>
        <v>0.01388888889</v>
      </c>
      <c r="L8" s="51" t="s">
        <v>111</v>
      </c>
      <c r="M8" s="62" t="s">
        <v>504</v>
      </c>
      <c r="N8" s="62" t="str">
        <f t="shared" si="2"/>
        <v>PT_5_7_a6e97ed7-c70b-4104-9dc9-7f1596ffe118_000000_000000.mp4</v>
      </c>
      <c r="O8" s="50"/>
      <c r="P8" s="50"/>
      <c r="Q8" s="63"/>
      <c r="R8" s="51"/>
      <c r="S8" s="51"/>
      <c r="T8" s="51"/>
    </row>
    <row r="9">
      <c r="A9" s="51" t="str">
        <f>IFERROR(__xludf.DUMMYFUNCTION("""COMPUTED_VALUE"""),"How homes can help")</f>
        <v>How homes can help</v>
      </c>
      <c r="B9" s="51" t="str">
        <f>IFERROR(__xludf.DUMMYFUNCTION("""COMPUTED_VALUE"""),"planet:tech ")</f>
        <v>planet:tech </v>
      </c>
      <c r="C9" s="56" t="str">
        <f>IFERROR(__xludf.DUMMYFUNCTION("""COMPUTED_VALUE"""),"Toon Bouten")</f>
        <v>Toon Bouten</v>
      </c>
      <c r="D9" s="51" t="str">
        <f>IFERROR(__xludf.DUMMYFUNCTION("""COMPUTED_VALUE"""),"2019/11/05 13:20:00")</f>
        <v>2019/11/05 13:20:00</v>
      </c>
      <c r="E9" s="51" t="str">
        <f>IFERROR(__xludf.DUMMYFUNCTION("""COMPUTED_VALUE"""),"2019/11/05 13:35:00")</f>
        <v>2019/11/05 13:35:00</v>
      </c>
      <c r="F9" s="51" t="str">
        <f>IFERROR(__xludf.DUMMYFUNCTION("""COMPUTED_VALUE"""),"4a29cc9a-086f-41c4-9e76-896372714897")</f>
        <v>4a29cc9a-086f-41c4-9e76-896372714897</v>
      </c>
      <c r="G9" s="58">
        <f>IFERROR(__xludf.DUMMYFUNCTION("""COMPUTED_VALUE"""),43774.0)</f>
        <v>43774</v>
      </c>
      <c r="H9" s="60">
        <f>IFERROR(__xludf.DUMMYFUNCTION("""COMPUTED_VALUE"""),0.5555555555555556)</f>
        <v>0.5555555556</v>
      </c>
      <c r="I9" s="58">
        <f>IFERROR(__xludf.DUMMYFUNCTION("""COMPUTED_VALUE"""),43774.0)</f>
        <v>43774</v>
      </c>
      <c r="J9" s="60">
        <f>IFERROR(__xludf.DUMMYFUNCTION("""COMPUTED_VALUE"""),0.5659722222222222)</f>
        <v>0.5659722222</v>
      </c>
      <c r="K9" s="60">
        <f t="shared" si="1"/>
        <v>0.01041666667</v>
      </c>
      <c r="L9" s="51" t="s">
        <v>116</v>
      </c>
      <c r="M9" s="62" t="s">
        <v>505</v>
      </c>
      <c r="N9" s="62" t="str">
        <f t="shared" si="2"/>
        <v>PT_5_8_4a29cc9a-086f-41c4-9e76-896372714897_000000_000000.mp4</v>
      </c>
      <c r="O9" s="50"/>
      <c r="P9" s="50"/>
      <c r="Q9" s="63"/>
      <c r="R9" s="51"/>
      <c r="S9" s="51"/>
      <c r="T9" s="51"/>
    </row>
    <row r="10">
      <c r="A10" s="51" t="str">
        <f>IFERROR(__xludf.DUMMYFUNCTION("""COMPUTED_VALUE"""),"Lunch break")</f>
        <v>Lunch break</v>
      </c>
      <c r="B10" s="51" t="str">
        <f>IFERROR(__xludf.DUMMYFUNCTION("""COMPUTED_VALUE"""),"planet:tech ")</f>
        <v>planet:tech </v>
      </c>
      <c r="C10" s="56" t="str">
        <f>IFERROR(__xludf.DUMMYFUNCTION("""COMPUTED_VALUE"""),"")</f>
        <v/>
      </c>
      <c r="D10" s="51" t="str">
        <f>IFERROR(__xludf.DUMMYFUNCTION("""COMPUTED_VALUE"""),"2019/11/05 13:35:00")</f>
        <v>2019/11/05 13:35:00</v>
      </c>
      <c r="E10" s="51" t="str">
        <f>IFERROR(__xludf.DUMMYFUNCTION("""COMPUTED_VALUE"""),"2019/11/05 14:20:00")</f>
        <v>2019/11/05 14:20:00</v>
      </c>
      <c r="F10" s="51" t="str">
        <f>IFERROR(__xludf.DUMMYFUNCTION("""COMPUTED_VALUE"""),"cc585030-8f90-4f8b-a842-928423188fc9")</f>
        <v>cc585030-8f90-4f8b-a842-928423188fc9</v>
      </c>
      <c r="G10" s="58">
        <f>IFERROR(__xludf.DUMMYFUNCTION("""COMPUTED_VALUE"""),43774.0)</f>
        <v>43774</v>
      </c>
      <c r="H10" s="60">
        <f>IFERROR(__xludf.DUMMYFUNCTION("""COMPUTED_VALUE"""),0.5659722222222222)</f>
        <v>0.5659722222</v>
      </c>
      <c r="I10" s="58">
        <f>IFERROR(__xludf.DUMMYFUNCTION("""COMPUTED_VALUE"""),43774.0)</f>
        <v>43774</v>
      </c>
      <c r="J10" s="60">
        <f>IFERROR(__xludf.DUMMYFUNCTION("""COMPUTED_VALUE"""),0.5972222222222222)</f>
        <v>0.5972222222</v>
      </c>
      <c r="K10" s="60">
        <f t="shared" si="1"/>
        <v>0.03125</v>
      </c>
      <c r="L10" s="51" t="s">
        <v>131</v>
      </c>
      <c r="M10" s="51"/>
      <c r="N10" s="62" t="str">
        <f t="shared" si="2"/>
        <v>_cc585030-8f90-4f8b-a842-928423188fc9_000000_000000.mp4</v>
      </c>
      <c r="O10" s="50"/>
      <c r="P10" s="50"/>
      <c r="Q10" s="63"/>
      <c r="R10" s="51"/>
      <c r="S10" s="51"/>
      <c r="T10" s="51"/>
    </row>
    <row r="11">
      <c r="A11" s="51" t="str">
        <f>IFERROR(__xludf.DUMMYFUNCTION("""COMPUTED_VALUE"""),"Opening remarks")</f>
        <v>Opening remarks</v>
      </c>
      <c r="B11" s="51" t="str">
        <f>IFERROR(__xludf.DUMMYFUNCTION("""COMPUTED_VALUE"""),"planet:tech ")</f>
        <v>planet:tech </v>
      </c>
      <c r="C11" s="56" t="str">
        <f>IFERROR(__xludf.DUMMYFUNCTION("""COMPUTED_VALUE"""),"Caroline Venza")</f>
        <v>Caroline Venza</v>
      </c>
      <c r="D11" s="51" t="str">
        <f>IFERROR(__xludf.DUMMYFUNCTION("""COMPUTED_VALUE"""),"2019/11/05 14:20:00")</f>
        <v>2019/11/05 14:20:00</v>
      </c>
      <c r="E11" s="51" t="str">
        <f>IFERROR(__xludf.DUMMYFUNCTION("""COMPUTED_VALUE"""),"2019/11/05 14:35:00")</f>
        <v>2019/11/05 14:35:00</v>
      </c>
      <c r="F11" s="51" t="str">
        <f>IFERROR(__xludf.DUMMYFUNCTION("""COMPUTED_VALUE"""),"a31a5083-bf9c-4ad9-a8ea-fe20e825f116")</f>
        <v>a31a5083-bf9c-4ad9-a8ea-fe20e825f116</v>
      </c>
      <c r="G11" s="58">
        <f>IFERROR(__xludf.DUMMYFUNCTION("""COMPUTED_VALUE"""),43774.0)</f>
        <v>43774</v>
      </c>
      <c r="H11" s="60">
        <f>IFERROR(__xludf.DUMMYFUNCTION("""COMPUTED_VALUE"""),0.5972222222222222)</f>
        <v>0.5972222222</v>
      </c>
      <c r="I11" s="58">
        <f>IFERROR(__xludf.DUMMYFUNCTION("""COMPUTED_VALUE"""),43774.0)</f>
        <v>43774</v>
      </c>
      <c r="J11" s="60">
        <f>IFERROR(__xludf.DUMMYFUNCTION("""COMPUTED_VALUE"""),0.6076388888888888)</f>
        <v>0.6076388889</v>
      </c>
      <c r="K11" s="60">
        <f t="shared" si="1"/>
        <v>0.01041666667</v>
      </c>
      <c r="L11" s="51" t="s">
        <v>116</v>
      </c>
      <c r="M11" s="62" t="s">
        <v>506</v>
      </c>
      <c r="N11" s="62" t="str">
        <f t="shared" si="2"/>
        <v>PT_5_9_a31a5083-bf9c-4ad9-a8ea-fe20e825f116_000000_000000.mp4</v>
      </c>
      <c r="O11" s="50"/>
      <c r="P11" s="50"/>
      <c r="Q11" s="63"/>
      <c r="R11" s="51"/>
      <c r="S11" s="51"/>
      <c r="T11" s="51"/>
    </row>
    <row r="12">
      <c r="A12" s="51" t="str">
        <f>IFERROR(__xludf.DUMMYFUNCTION("""COMPUTED_VALUE"""),"Net-zero, now achievable")</f>
        <v>Net-zero, now achievable</v>
      </c>
      <c r="B12" s="51" t="str">
        <f>IFERROR(__xludf.DUMMYFUNCTION("""COMPUTED_VALUE"""),"planet:tech ")</f>
        <v>planet:tech </v>
      </c>
      <c r="C12" s="56" t="str">
        <f>IFERROR(__xludf.DUMMYFUNCTION("""COMPUTED_VALUE"""),"Steve Oldham")</f>
        <v>Steve Oldham</v>
      </c>
      <c r="D12" s="51" t="str">
        <f>IFERROR(__xludf.DUMMYFUNCTION("""COMPUTED_VALUE"""),"2019/11/05 14:35:00")</f>
        <v>2019/11/05 14:35:00</v>
      </c>
      <c r="E12" s="51" t="str">
        <f>IFERROR(__xludf.DUMMYFUNCTION("""COMPUTED_VALUE"""),"2019/11/05 14:50:00")</f>
        <v>2019/11/05 14:50:00</v>
      </c>
      <c r="F12" s="51" t="str">
        <f>IFERROR(__xludf.DUMMYFUNCTION("""COMPUTED_VALUE"""),"889b4465-ebfd-4d10-9c60-288de087f2b0")</f>
        <v>889b4465-ebfd-4d10-9c60-288de087f2b0</v>
      </c>
      <c r="G12" s="58">
        <f>IFERROR(__xludf.DUMMYFUNCTION("""COMPUTED_VALUE"""),43774.0)</f>
        <v>43774</v>
      </c>
      <c r="H12" s="60">
        <f>IFERROR(__xludf.DUMMYFUNCTION("""COMPUTED_VALUE"""),0.6076388888888888)</f>
        <v>0.6076388889</v>
      </c>
      <c r="I12" s="58">
        <f>IFERROR(__xludf.DUMMYFUNCTION("""COMPUTED_VALUE"""),43774.0)</f>
        <v>43774</v>
      </c>
      <c r="J12" s="60">
        <f>IFERROR(__xludf.DUMMYFUNCTION("""COMPUTED_VALUE"""),0.6180555555555556)</f>
        <v>0.6180555556</v>
      </c>
      <c r="K12" s="60">
        <f t="shared" si="1"/>
        <v>0.01041666667</v>
      </c>
      <c r="L12" s="51" t="s">
        <v>116</v>
      </c>
      <c r="M12" s="62" t="s">
        <v>507</v>
      </c>
      <c r="N12" s="62" t="str">
        <f t="shared" si="2"/>
        <v>PT_5_10_889b4465-ebfd-4d10-9c60-288de087f2b0_000000_000000.mp4</v>
      </c>
      <c r="O12" s="50"/>
      <c r="P12" s="50"/>
      <c r="Q12" s="63"/>
      <c r="R12" s="51"/>
      <c r="S12" s="51"/>
      <c r="T12" s="51"/>
    </row>
    <row r="13">
      <c r="A13" s="51" t="str">
        <f>IFERROR(__xludf.DUMMYFUNCTION("""COMPUTED_VALUE"""),"Why the ocean isn't doomed")</f>
        <v>Why the ocean isn't doomed</v>
      </c>
      <c r="B13" s="51" t="str">
        <f>IFERROR(__xludf.DUMMYFUNCTION("""COMPUTED_VALUE"""),"planet:tech ")</f>
        <v>planet:tech </v>
      </c>
      <c r="C13" s="56" t="str">
        <f>IFERROR(__xludf.DUMMYFUNCTION("""COMPUTED_VALUE"""),"Garrett McNamara, Dianna Cohen and Philip Crowther")</f>
        <v>Garrett McNamara, Dianna Cohen and Philip Crowther</v>
      </c>
      <c r="D13" s="51" t="str">
        <f>IFERROR(__xludf.DUMMYFUNCTION("""COMPUTED_VALUE"""),"2019/11/05 14:50:00")</f>
        <v>2019/11/05 14:50:00</v>
      </c>
      <c r="E13" s="51" t="str">
        <f>IFERROR(__xludf.DUMMYFUNCTION("""COMPUTED_VALUE"""),"2019/11/05 15:10:00")</f>
        <v>2019/11/05 15:10:00</v>
      </c>
      <c r="F13" s="51" t="str">
        <f>IFERROR(__xludf.DUMMYFUNCTION("""COMPUTED_VALUE"""),"53f761ef-b26e-43d6-b849-c0d302ff6cd6")</f>
        <v>53f761ef-b26e-43d6-b849-c0d302ff6cd6</v>
      </c>
      <c r="G13" s="58">
        <f>IFERROR(__xludf.DUMMYFUNCTION("""COMPUTED_VALUE"""),43774.0)</f>
        <v>43774</v>
      </c>
      <c r="H13" s="60">
        <f>IFERROR(__xludf.DUMMYFUNCTION("""COMPUTED_VALUE"""),0.6180555555555556)</f>
        <v>0.6180555556</v>
      </c>
      <c r="I13" s="58">
        <f>IFERROR(__xludf.DUMMYFUNCTION("""COMPUTED_VALUE"""),43774.0)</f>
        <v>43774</v>
      </c>
      <c r="J13" s="60">
        <f>IFERROR(__xludf.DUMMYFUNCTION("""COMPUTED_VALUE"""),0.6319444444444444)</f>
        <v>0.6319444444</v>
      </c>
      <c r="K13" s="60">
        <f t="shared" si="1"/>
        <v>0.01388888889</v>
      </c>
      <c r="L13" s="51" t="s">
        <v>111</v>
      </c>
      <c r="M13" s="62" t="s">
        <v>508</v>
      </c>
      <c r="N13" s="62" t="str">
        <f t="shared" si="2"/>
        <v>PT_5_11_53f761ef-b26e-43d6-b849-c0d302ff6cd6_000000_000000.mp4</v>
      </c>
      <c r="O13" s="50"/>
      <c r="P13" s="50"/>
      <c r="Q13" s="63"/>
      <c r="R13" s="51"/>
      <c r="S13" s="51"/>
      <c r="T13" s="51"/>
    </row>
    <row r="14">
      <c r="A14" s="51" t="str">
        <f>IFERROR(__xludf.DUMMYFUNCTION("""COMPUTED_VALUE"""),"Powering the future")</f>
        <v>Powering the future</v>
      </c>
      <c r="B14" s="51" t="str">
        <f>IFERROR(__xludf.DUMMYFUNCTION("""COMPUTED_VALUE"""),"planet:tech ")</f>
        <v>planet:tech </v>
      </c>
      <c r="C14" s="56" t="str">
        <f>IFERROR(__xludf.DUMMYFUNCTION("""COMPUTED_VALUE"""),"Emmanuel Lagarrigue, Jesse Moore and Neanda Salvaterra")</f>
        <v>Emmanuel Lagarrigue, Jesse Moore and Neanda Salvaterra</v>
      </c>
      <c r="D14" s="51" t="str">
        <f>IFERROR(__xludf.DUMMYFUNCTION("""COMPUTED_VALUE"""),"2019/11/05 15:10:00")</f>
        <v>2019/11/05 15:10:00</v>
      </c>
      <c r="E14" s="51" t="str">
        <f>IFERROR(__xludf.DUMMYFUNCTION("""COMPUTED_VALUE"""),"2019/11/05 15:35:00")</f>
        <v>2019/11/05 15:35:00</v>
      </c>
      <c r="F14" s="51" t="str">
        <f>IFERROR(__xludf.DUMMYFUNCTION("""COMPUTED_VALUE"""),"7bed3d77-091c-4607-b591-9468e382e3fa")</f>
        <v>7bed3d77-091c-4607-b591-9468e382e3fa</v>
      </c>
      <c r="G14" s="58">
        <f>IFERROR(__xludf.DUMMYFUNCTION("""COMPUTED_VALUE"""),43774.0)</f>
        <v>43774</v>
      </c>
      <c r="H14" s="60">
        <f>IFERROR(__xludf.DUMMYFUNCTION("""COMPUTED_VALUE"""),0.6319444444444444)</f>
        <v>0.6319444444</v>
      </c>
      <c r="I14" s="58">
        <f>IFERROR(__xludf.DUMMYFUNCTION("""COMPUTED_VALUE"""),43774.0)</f>
        <v>43774</v>
      </c>
      <c r="J14" s="60">
        <f>IFERROR(__xludf.DUMMYFUNCTION("""COMPUTED_VALUE"""),0.6493055555555556)</f>
        <v>0.6493055556</v>
      </c>
      <c r="K14" s="60">
        <f t="shared" si="1"/>
        <v>0.01736111111</v>
      </c>
      <c r="L14" s="51" t="s">
        <v>107</v>
      </c>
      <c r="M14" s="62" t="s">
        <v>509</v>
      </c>
      <c r="N14" s="62" t="str">
        <f t="shared" si="2"/>
        <v>PT_5_12_7bed3d77-091c-4607-b591-9468e382e3fa_000000_000000.mp4</v>
      </c>
      <c r="O14" s="50"/>
      <c r="P14" s="50"/>
      <c r="Q14" s="63"/>
      <c r="R14" s="51"/>
      <c r="S14" s="51"/>
      <c r="T14" s="51"/>
    </row>
    <row r="15">
      <c r="A15" s="51" t="str">
        <f>IFERROR(__xludf.DUMMYFUNCTION("""COMPUTED_VALUE"""),"How to be part of the solution")</f>
        <v>How to be part of the solution</v>
      </c>
      <c r="B15" s="51" t="str">
        <f>IFERROR(__xludf.DUMMYFUNCTION("""COMPUTED_VALUE"""),"planet:tech ")</f>
        <v>planet:tech </v>
      </c>
      <c r="C15" s="56" t="str">
        <f>IFERROR(__xludf.DUMMYFUNCTION("""COMPUTED_VALUE"""),"Lise Kingo and Thorold Barker")</f>
        <v>Lise Kingo and Thorold Barker</v>
      </c>
      <c r="D15" s="51" t="str">
        <f>IFERROR(__xludf.DUMMYFUNCTION("""COMPUTED_VALUE"""),"2019/11/05 15:35:00")</f>
        <v>2019/11/05 15:35:00</v>
      </c>
      <c r="E15" s="51" t="str">
        <f>IFERROR(__xludf.DUMMYFUNCTION("""COMPUTED_VALUE"""),"2019/11/05 15:55:00")</f>
        <v>2019/11/05 15:55:00</v>
      </c>
      <c r="F15" s="51" t="str">
        <f>IFERROR(__xludf.DUMMYFUNCTION("""COMPUTED_VALUE"""),"29cd3d42-7f4e-4a37-a49d-5f3ffd340ce2")</f>
        <v>29cd3d42-7f4e-4a37-a49d-5f3ffd340ce2</v>
      </c>
      <c r="G15" s="58">
        <f>IFERROR(__xludf.DUMMYFUNCTION("""COMPUTED_VALUE"""),43774.0)</f>
        <v>43774</v>
      </c>
      <c r="H15" s="60">
        <f>IFERROR(__xludf.DUMMYFUNCTION("""COMPUTED_VALUE"""),0.6493055555555556)</f>
        <v>0.6493055556</v>
      </c>
      <c r="I15" s="58">
        <f>IFERROR(__xludf.DUMMYFUNCTION("""COMPUTED_VALUE"""),43774.0)</f>
        <v>43774</v>
      </c>
      <c r="J15" s="60">
        <f>IFERROR(__xludf.DUMMYFUNCTION("""COMPUTED_VALUE"""),0.6631944444444444)</f>
        <v>0.6631944444</v>
      </c>
      <c r="K15" s="60">
        <f t="shared" si="1"/>
        <v>0.01388888889</v>
      </c>
      <c r="L15" s="51" t="s">
        <v>111</v>
      </c>
      <c r="M15" s="62" t="s">
        <v>510</v>
      </c>
      <c r="N15" s="62" t="str">
        <f t="shared" si="2"/>
        <v>PT_5_13_29cd3d42-7f4e-4a37-a49d-5f3ffd340ce2_000000_000000.mp4</v>
      </c>
      <c r="O15" s="50"/>
      <c r="P15" s="50"/>
      <c r="Q15" s="63"/>
      <c r="R15" s="51"/>
      <c r="S15" s="51"/>
      <c r="T15" s="51"/>
    </row>
    <row r="16">
      <c r="A16" s="51" t="str">
        <f>IFERROR(__xludf.DUMMYFUNCTION("""COMPUTED_VALUE"""),"The role of technology in climate action")</f>
        <v>The role of technology in climate action</v>
      </c>
      <c r="B16" s="51" t="str">
        <f>IFERROR(__xludf.DUMMYFUNCTION("""COMPUTED_VALUE"""),"planet:tech ")</f>
        <v>planet:tech </v>
      </c>
      <c r="C16" s="56" t="str">
        <f>IFERROR(__xludf.DUMMYFUNCTION("""COMPUTED_VALUE"""),"Kate Brandt")</f>
        <v>Kate Brandt</v>
      </c>
      <c r="D16" s="51" t="str">
        <f>IFERROR(__xludf.DUMMYFUNCTION("""COMPUTED_VALUE"""),"2019/11/05 15:55:00")</f>
        <v>2019/11/05 15:55:00</v>
      </c>
      <c r="E16" s="51" t="str">
        <f>IFERROR(__xludf.DUMMYFUNCTION("""COMPUTED_VALUE"""),"2019/11/05 16:10:00")</f>
        <v>2019/11/05 16:10:00</v>
      </c>
      <c r="F16" s="51" t="str">
        <f>IFERROR(__xludf.DUMMYFUNCTION("""COMPUTED_VALUE"""),"dd835a59-1ee3-4de2-9e48-3d8d3ca61e01")</f>
        <v>dd835a59-1ee3-4de2-9e48-3d8d3ca61e01</v>
      </c>
      <c r="G16" s="58">
        <f>IFERROR(__xludf.DUMMYFUNCTION("""COMPUTED_VALUE"""),43774.0)</f>
        <v>43774</v>
      </c>
      <c r="H16" s="60">
        <f>IFERROR(__xludf.DUMMYFUNCTION("""COMPUTED_VALUE"""),0.6631944444444444)</f>
        <v>0.6631944444</v>
      </c>
      <c r="I16" s="58">
        <f>IFERROR(__xludf.DUMMYFUNCTION("""COMPUTED_VALUE"""),43774.0)</f>
        <v>43774</v>
      </c>
      <c r="J16" s="60">
        <f>IFERROR(__xludf.DUMMYFUNCTION("""COMPUTED_VALUE"""),0.6736111111111112)</f>
        <v>0.6736111111</v>
      </c>
      <c r="K16" s="60">
        <f t="shared" si="1"/>
        <v>0.01041666667</v>
      </c>
      <c r="L16" s="51" t="s">
        <v>116</v>
      </c>
      <c r="M16" s="62" t="s">
        <v>511</v>
      </c>
      <c r="N16" s="62" t="str">
        <f t="shared" si="2"/>
        <v>PT_5_14_dd835a59-1ee3-4de2-9e48-3d8d3ca61e01_000000_000000.mp4</v>
      </c>
      <c r="O16" s="50"/>
      <c r="P16" s="50"/>
      <c r="Q16" s="63"/>
      <c r="R16" s="51"/>
      <c r="S16" s="51"/>
      <c r="T16" s="51"/>
    </row>
    <row r="17">
      <c r="A17" s="51"/>
      <c r="B17" s="51"/>
      <c r="C17" s="56"/>
      <c r="D17" s="51"/>
      <c r="E17" s="51"/>
      <c r="F17" s="51"/>
      <c r="G17" s="51" t="str">
        <f>IFERROR(__xludf.DUMMYFUNCTION("""COMPUTED_VALUE"""),"#VALUE!")</f>
        <v>#VALUE!</v>
      </c>
      <c r="H17" s="51" t="str">
        <f>IFERROR(__xludf.DUMMYFUNCTION("""COMPUTED_VALUE"""),"")</f>
        <v/>
      </c>
      <c r="I17" s="51" t="str">
        <f>IFERROR(__xludf.DUMMYFUNCTION("""COMPUTED_VALUE"""),"#VALUE!")</f>
        <v>#VALUE!</v>
      </c>
      <c r="J17" s="51" t="str">
        <f>IFERROR(__xludf.DUMMYFUNCTION("""COMPUTED_VALUE"""),"")</f>
        <v/>
      </c>
      <c r="K17" s="51">
        <f t="shared" si="1"/>
        <v>0</v>
      </c>
      <c r="L17" s="51" t="s">
        <v>257</v>
      </c>
      <c r="M17" s="51"/>
      <c r="N17" s="51"/>
      <c r="O17" s="51"/>
      <c r="P17" s="51"/>
      <c r="Q17" s="51"/>
      <c r="R17" s="51"/>
      <c r="S17" s="51"/>
      <c r="T17" s="51"/>
    </row>
    <row r="18">
      <c r="A18" s="51"/>
      <c r="B18" s="51"/>
      <c r="C18" s="56"/>
      <c r="D18" s="51"/>
      <c r="E18" s="51"/>
      <c r="F18" s="51"/>
      <c r="G18" s="51" t="str">
        <f>IFERROR(__xludf.DUMMYFUNCTION("""COMPUTED_VALUE"""),"#VALUE!")</f>
        <v>#VALUE!</v>
      </c>
      <c r="H18" s="51" t="str">
        <f>IFERROR(__xludf.DUMMYFUNCTION("""COMPUTED_VALUE"""),"")</f>
        <v/>
      </c>
      <c r="I18" s="51" t="str">
        <f>IFERROR(__xludf.DUMMYFUNCTION("""COMPUTED_VALUE"""),"#VALUE!")</f>
        <v>#VALUE!</v>
      </c>
      <c r="J18" s="51" t="str">
        <f>IFERROR(__xludf.DUMMYFUNCTION("""COMPUTED_VALUE"""),"")</f>
        <v/>
      </c>
      <c r="K18" s="51">
        <f t="shared" si="1"/>
        <v>0</v>
      </c>
      <c r="L18" s="51" t="s">
        <v>257</v>
      </c>
      <c r="M18" s="51"/>
      <c r="N18" s="51"/>
      <c r="O18" s="51"/>
      <c r="P18" s="51"/>
      <c r="Q18" s="51"/>
      <c r="R18" s="51"/>
      <c r="S18" s="51"/>
      <c r="T18" s="51"/>
    </row>
    <row r="19">
      <c r="A19" s="51"/>
      <c r="B19" s="51"/>
      <c r="C19" s="56"/>
      <c r="D19" s="51"/>
      <c r="E19" s="51"/>
      <c r="F19" s="51"/>
      <c r="G19" s="51" t="str">
        <f>IFERROR(__xludf.DUMMYFUNCTION("""COMPUTED_VALUE"""),"#VALUE!")</f>
        <v>#VALUE!</v>
      </c>
      <c r="H19" s="51" t="str">
        <f>IFERROR(__xludf.DUMMYFUNCTION("""COMPUTED_VALUE"""),"")</f>
        <v/>
      </c>
      <c r="I19" s="51" t="str">
        <f>IFERROR(__xludf.DUMMYFUNCTION("""COMPUTED_VALUE"""),"#VALUE!")</f>
        <v>#VALUE!</v>
      </c>
      <c r="J19" s="51" t="str">
        <f>IFERROR(__xludf.DUMMYFUNCTION("""COMPUTED_VALUE"""),"")</f>
        <v/>
      </c>
      <c r="K19" s="51">
        <f t="shared" si="1"/>
        <v>0</v>
      </c>
      <c r="L19" s="51" t="s">
        <v>257</v>
      </c>
      <c r="M19" s="51"/>
      <c r="N19" s="51"/>
      <c r="O19" s="51"/>
      <c r="P19" s="51"/>
      <c r="Q19" s="51"/>
      <c r="R19" s="51"/>
      <c r="S19" s="51"/>
      <c r="T19" s="51"/>
    </row>
    <row r="20">
      <c r="A20" s="51"/>
      <c r="B20" s="51"/>
      <c r="C20" s="56"/>
      <c r="D20" s="51"/>
      <c r="E20" s="51"/>
      <c r="F20" s="51"/>
      <c r="G20" s="51" t="str">
        <f>IFERROR(__xludf.DUMMYFUNCTION("""COMPUTED_VALUE"""),"#VALUE!")</f>
        <v>#VALUE!</v>
      </c>
      <c r="H20" s="51" t="str">
        <f>IFERROR(__xludf.DUMMYFUNCTION("""COMPUTED_VALUE"""),"")</f>
        <v/>
      </c>
      <c r="I20" s="51" t="str">
        <f>IFERROR(__xludf.DUMMYFUNCTION("""COMPUTED_VALUE"""),"#VALUE!")</f>
        <v>#VALUE!</v>
      </c>
      <c r="J20" s="51" t="str">
        <f>IFERROR(__xludf.DUMMYFUNCTION("""COMPUTED_VALUE"""),"")</f>
        <v/>
      </c>
      <c r="K20" s="51">
        <f t="shared" si="1"/>
        <v>0</v>
      </c>
      <c r="L20" s="51" t="s">
        <v>257</v>
      </c>
      <c r="M20" s="51"/>
      <c r="N20" s="51"/>
      <c r="O20" s="51"/>
      <c r="P20" s="51"/>
      <c r="Q20" s="51"/>
      <c r="R20" s="51"/>
      <c r="S20" s="51"/>
      <c r="T20" s="51"/>
    </row>
    <row r="21">
      <c r="A21" s="51"/>
      <c r="B21" s="51"/>
      <c r="C21" s="56"/>
      <c r="D21" s="51"/>
      <c r="E21" s="51"/>
      <c r="F21" s="51"/>
      <c r="G21" s="51" t="str">
        <f>IFERROR(__xludf.DUMMYFUNCTION("""COMPUTED_VALUE"""),"#VALUE!")</f>
        <v>#VALUE!</v>
      </c>
      <c r="H21" s="51" t="str">
        <f>IFERROR(__xludf.DUMMYFUNCTION("""COMPUTED_VALUE"""),"")</f>
        <v/>
      </c>
      <c r="I21" s="51" t="str">
        <f>IFERROR(__xludf.DUMMYFUNCTION("""COMPUTED_VALUE"""),"#VALUE!")</f>
        <v>#VALUE!</v>
      </c>
      <c r="J21" s="51" t="str">
        <f>IFERROR(__xludf.DUMMYFUNCTION("""COMPUTED_VALUE"""),"")</f>
        <v/>
      </c>
      <c r="K21" s="51">
        <f t="shared" si="1"/>
        <v>0</v>
      </c>
      <c r="L21" s="51" t="s">
        <v>257</v>
      </c>
      <c r="M21" s="51"/>
      <c r="N21" s="51"/>
      <c r="O21" s="51"/>
      <c r="P21" s="51"/>
      <c r="Q21" s="51"/>
      <c r="R21" s="51"/>
      <c r="S21" s="51"/>
      <c r="T21" s="51"/>
    </row>
    <row r="22">
      <c r="A22" s="51"/>
      <c r="B22" s="51"/>
      <c r="C22" s="56"/>
      <c r="D22" s="51"/>
      <c r="E22" s="51"/>
      <c r="F22" s="51"/>
      <c r="G22" s="51" t="str">
        <f>IFERROR(__xludf.DUMMYFUNCTION("""COMPUTED_VALUE"""),"#VALUE!")</f>
        <v>#VALUE!</v>
      </c>
      <c r="H22" s="51" t="str">
        <f>IFERROR(__xludf.DUMMYFUNCTION("""COMPUTED_VALUE"""),"")</f>
        <v/>
      </c>
      <c r="I22" s="51" t="str">
        <f>IFERROR(__xludf.DUMMYFUNCTION("""COMPUTED_VALUE"""),"#VALUE!")</f>
        <v>#VALUE!</v>
      </c>
      <c r="J22" s="51" t="str">
        <f>IFERROR(__xludf.DUMMYFUNCTION("""COMPUTED_VALUE"""),"")</f>
        <v/>
      </c>
      <c r="K22" s="51">
        <f t="shared" si="1"/>
        <v>0</v>
      </c>
      <c r="L22" s="51" t="s">
        <v>257</v>
      </c>
      <c r="M22" s="51"/>
      <c r="N22" s="51"/>
      <c r="O22" s="51"/>
      <c r="P22" s="51"/>
      <c r="Q22" s="51"/>
      <c r="R22" s="51"/>
      <c r="S22" s="51"/>
      <c r="T22" s="51"/>
    </row>
    <row r="23">
      <c r="A23" s="51"/>
      <c r="B23" s="51"/>
      <c r="C23" s="56"/>
      <c r="D23" s="51"/>
      <c r="E23" s="51"/>
      <c r="F23" s="51"/>
      <c r="G23" s="51" t="str">
        <f>IFERROR(__xludf.DUMMYFUNCTION("""COMPUTED_VALUE"""),"#VALUE!")</f>
        <v>#VALUE!</v>
      </c>
      <c r="H23" s="51" t="str">
        <f>IFERROR(__xludf.DUMMYFUNCTION("""COMPUTED_VALUE"""),"")</f>
        <v/>
      </c>
      <c r="I23" s="51" t="str">
        <f>IFERROR(__xludf.DUMMYFUNCTION("""COMPUTED_VALUE"""),"#VALUE!")</f>
        <v>#VALUE!</v>
      </c>
      <c r="J23" s="51" t="str">
        <f>IFERROR(__xludf.DUMMYFUNCTION("""COMPUTED_VALUE"""),"")</f>
        <v/>
      </c>
      <c r="K23" s="51">
        <f t="shared" si="1"/>
        <v>0</v>
      </c>
      <c r="L23" s="51" t="s">
        <v>257</v>
      </c>
      <c r="M23" s="51"/>
      <c r="N23" s="51"/>
      <c r="O23" s="51"/>
      <c r="P23" s="51"/>
      <c r="Q23" s="51"/>
      <c r="R23" s="51"/>
      <c r="S23" s="51"/>
      <c r="T23" s="51"/>
    </row>
    <row r="24">
      <c r="A24" s="51"/>
      <c r="B24" s="51"/>
      <c r="C24" s="56"/>
      <c r="D24" s="51"/>
      <c r="E24" s="51"/>
      <c r="F24" s="51"/>
      <c r="G24" s="51" t="str">
        <f>IFERROR(__xludf.DUMMYFUNCTION("""COMPUTED_VALUE"""),"#VALUE!")</f>
        <v>#VALUE!</v>
      </c>
      <c r="H24" s="51" t="str">
        <f>IFERROR(__xludf.DUMMYFUNCTION("""COMPUTED_VALUE"""),"")</f>
        <v/>
      </c>
      <c r="I24" s="51" t="str">
        <f>IFERROR(__xludf.DUMMYFUNCTION("""COMPUTED_VALUE"""),"#VALUE!")</f>
        <v>#VALUE!</v>
      </c>
      <c r="J24" s="51" t="str">
        <f>IFERROR(__xludf.DUMMYFUNCTION("""COMPUTED_VALUE"""),"")</f>
        <v/>
      </c>
      <c r="K24" s="51"/>
      <c r="L24" s="51" t="s">
        <v>257</v>
      </c>
      <c r="M24" s="51"/>
      <c r="N24" s="51"/>
      <c r="O24" s="51"/>
      <c r="P24" s="51"/>
      <c r="Q24" s="51"/>
      <c r="R24" s="51"/>
      <c r="S24" s="51"/>
      <c r="T24" s="51"/>
    </row>
  </sheetData>
  <conditionalFormatting sqref="O2:O16">
    <cfRule type="containsText" dxfId="4" priority="1" operator="containsText" text="YES">
      <formula>NOT(ISERROR(SEARCH(("YES"),(O2))))</formula>
    </cfRule>
  </conditionalFormatting>
  <conditionalFormatting sqref="O2:O16">
    <cfRule type="cellIs" dxfId="5" priority="2" operator="equal">
      <formula>"NO"</formula>
    </cfRule>
  </conditionalFormatting>
  <conditionalFormatting sqref="P2:P16">
    <cfRule type="cellIs" dxfId="4" priority="3" operator="equal">
      <formula>"AVAILABLE"</formula>
    </cfRule>
  </conditionalFormatting>
  <conditionalFormatting sqref="P2:P16">
    <cfRule type="cellIs" dxfId="5" priority="4" operator="equal">
      <formula>"NOT AVAILABLE"</formula>
    </cfRule>
  </conditionalFormatting>
  <conditionalFormatting sqref="Q2:Q16">
    <cfRule type="cellIs" dxfId="4" priority="5" operator="equal">
      <formula>"AVAILABLE"</formula>
    </cfRule>
  </conditionalFormatting>
  <conditionalFormatting sqref="Q2:Q16">
    <cfRule type="cellIs" dxfId="6" priority="6" operator="equal">
      <formula>"UPLOADING"</formula>
    </cfRule>
  </conditionalFormatting>
  <conditionalFormatting sqref="Q2:Q16">
    <cfRule type="cellIs" dxfId="5" priority="7" operator="equal">
      <formula>"NOT AVAILABLE"</formula>
    </cfRule>
  </conditionalFormatting>
  <dataValidations>
    <dataValidation type="list" allowBlank="1" sqref="O2:O16">
      <formula1>"YES,NO"</formula1>
    </dataValidation>
    <dataValidation type="list" allowBlank="1" sqref="P2:P16">
      <formula1>"AVAILABLE,NOT AVAILABLE"</formula1>
    </dataValidation>
    <dataValidation type="list" allowBlank="1" sqref="Q2:Q16">
      <formula1>"AVAILABLE,UPLOADING,NOT AVAILABLE"</formula1>
    </dataValidation>
  </dataValidations>
  <drawing r:id="rId1"/>
  <tableParts count="1">
    <tablePart r:id="rId3"/>
  </tableParts>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7.57"/>
    <col customWidth="1" min="3" max="3" width="23.57"/>
    <col hidden="1" min="4" max="5" width="14.43"/>
    <col customWidth="1" min="6" max="6" width="35.71"/>
    <col hidden="1" min="9" max="9" width="14.43"/>
  </cols>
  <sheetData>
    <row r="1">
      <c r="A1" s="46" t="s">
        <v>79</v>
      </c>
      <c r="B1" s="46" t="s">
        <v>80</v>
      </c>
      <c r="C1" s="48" t="s">
        <v>81</v>
      </c>
      <c r="D1" s="46" t="s">
        <v>82</v>
      </c>
      <c r="E1" s="46" t="s">
        <v>83</v>
      </c>
      <c r="F1" s="46" t="s">
        <v>84</v>
      </c>
      <c r="G1" s="46" t="s">
        <v>85</v>
      </c>
      <c r="H1" s="46" t="s">
        <v>86</v>
      </c>
      <c r="I1" s="46" t="s">
        <v>87</v>
      </c>
      <c r="J1" s="46" t="s">
        <v>88</v>
      </c>
      <c r="K1" s="46" t="s">
        <v>89</v>
      </c>
      <c r="L1" s="46" t="s">
        <v>90</v>
      </c>
      <c r="M1" s="46" t="s">
        <v>91</v>
      </c>
      <c r="N1" s="46" t="s">
        <v>92</v>
      </c>
      <c r="O1" s="50" t="s">
        <v>93</v>
      </c>
      <c r="P1" s="50" t="s">
        <v>94</v>
      </c>
      <c r="Q1" s="50" t="s">
        <v>95</v>
      </c>
      <c r="R1" s="51"/>
      <c r="S1" s="51"/>
      <c r="T1" s="51"/>
    </row>
    <row r="2">
      <c r="A2" s="54" t="str">
        <f>IFERROR(__xludf.DUMMYFUNCTION("QUERY(Master!A:H,""SELECT A,C,D,F,G,H where C = 'MoneyConf' ORDER BY F"")"),"Opening remarks ")</f>
        <v>Opening remarks </v>
      </c>
      <c r="B2" s="51" t="str">
        <f>IFERROR(__xludf.DUMMYFUNCTION("""COMPUTED_VALUE"""),"MoneyConf")</f>
        <v>MoneyConf</v>
      </c>
      <c r="C2" s="56" t="str">
        <f>IFERROR(__xludf.DUMMYFUNCTION("""COMPUTED_VALUE"""),"Muneeb Ali")</f>
        <v>Muneeb Ali</v>
      </c>
      <c r="D2" s="51" t="str">
        <f>IFERROR(__xludf.DUMMYFUNCTION("""COMPUTED_VALUE"""),"2019/11/06 10:45:00")</f>
        <v>2019/11/06 10:45:00</v>
      </c>
      <c r="E2" s="51" t="str">
        <f>IFERROR(__xludf.DUMMYFUNCTION("""COMPUTED_VALUE"""),"2019/11/06 11:00:00")</f>
        <v>2019/11/06 11:00:00</v>
      </c>
      <c r="F2" s="51" t="str">
        <f>IFERROR(__xludf.DUMMYFUNCTION("""COMPUTED_VALUE"""),"1b66f317-c871-47ad-a39d-5385bcaccee1")</f>
        <v>1b66f317-c871-47ad-a39d-5385bcaccee1</v>
      </c>
      <c r="G2" s="61">
        <f>IFERROR(__xludf.DUMMYFUNCTION("ARRAYFORMULA(SPLIT(D2:D549,"" ""))"),43775.0)</f>
        <v>43775</v>
      </c>
      <c r="H2" s="60">
        <f>IFERROR(__xludf.DUMMYFUNCTION("""COMPUTED_VALUE"""),0.4479166666666667)</f>
        <v>0.4479166667</v>
      </c>
      <c r="I2" s="61">
        <f>IFERROR(__xludf.DUMMYFUNCTION("ARRAYFORMULA(SPLIT(E2:E549,"" ""))"),43775.0)</f>
        <v>43775</v>
      </c>
      <c r="J2" s="60">
        <f>IFERROR(__xludf.DUMMYFUNCTION("""COMPUTED_VALUE"""),0.4583333333333333)</f>
        <v>0.4583333333</v>
      </c>
      <c r="K2" s="60">
        <f t="shared" ref="K2:K48" si="1">J2-H2</f>
        <v>0.01041666667</v>
      </c>
      <c r="L2" s="54" t="str">
        <f t="array" ref="L2:L549">TEXT(K2:K549,"hhmmss")</f>
        <v>001500</v>
      </c>
      <c r="M2" s="62" t="s">
        <v>512</v>
      </c>
      <c r="N2" s="62" t="str">
        <f t="shared" ref="N2:N29" si="2">CONCATENATE(M2,"_",F2,"_","000000_000000.mp4")</f>
        <v>MC_6_1_1b66f317-c871-47ad-a39d-5385bcaccee1_000000_000000.mp4</v>
      </c>
      <c r="O2" s="50"/>
      <c r="P2" s="50"/>
      <c r="Q2" s="63"/>
      <c r="R2" s="51"/>
      <c r="S2" s="51"/>
      <c r="T2" s="51"/>
    </row>
    <row r="3">
      <c r="A3" s="51" t="str">
        <f>IFERROR(__xludf.DUMMYFUNCTION("""COMPUTED_VALUE"""),"Banking the next billion")</f>
        <v>Banking the next billion</v>
      </c>
      <c r="B3" s="51" t="str">
        <f>IFERROR(__xludf.DUMMYFUNCTION("""COMPUTED_VALUE"""),"MoneyConf")</f>
        <v>MoneyConf</v>
      </c>
      <c r="C3" s="56" t="str">
        <f>IFERROR(__xludf.DUMMYFUNCTION("""COMPUTED_VALUE"""),"Munish Varma, Yashish Dahiya and Tim Bradshaw")</f>
        <v>Munish Varma, Yashish Dahiya and Tim Bradshaw</v>
      </c>
      <c r="D3" s="51" t="str">
        <f>IFERROR(__xludf.DUMMYFUNCTION("""COMPUTED_VALUE"""),"2019/11/06 11:00:00")</f>
        <v>2019/11/06 11:00:00</v>
      </c>
      <c r="E3" s="51" t="str">
        <f>IFERROR(__xludf.DUMMYFUNCTION("""COMPUTED_VALUE"""),"2019/11/06 11:25:00")</f>
        <v>2019/11/06 11:25:00</v>
      </c>
      <c r="F3" s="51" t="str">
        <f>IFERROR(__xludf.DUMMYFUNCTION("""COMPUTED_VALUE"""),"aa84f9a9-f356-44e2-ae95-37f724fb136c")</f>
        <v>aa84f9a9-f356-44e2-ae95-37f724fb136c</v>
      </c>
      <c r="G3" s="58">
        <f>IFERROR(__xludf.DUMMYFUNCTION("""COMPUTED_VALUE"""),43775.0)</f>
        <v>43775</v>
      </c>
      <c r="H3" s="60">
        <f>IFERROR(__xludf.DUMMYFUNCTION("""COMPUTED_VALUE"""),0.4583333333333333)</f>
        <v>0.4583333333</v>
      </c>
      <c r="I3" s="58">
        <f>IFERROR(__xludf.DUMMYFUNCTION("""COMPUTED_VALUE"""),43775.0)</f>
        <v>43775</v>
      </c>
      <c r="J3" s="60">
        <f>IFERROR(__xludf.DUMMYFUNCTION("""COMPUTED_VALUE"""),0.4756944444444444)</f>
        <v>0.4756944444</v>
      </c>
      <c r="K3" s="60">
        <f t="shared" si="1"/>
        <v>0.01736111111</v>
      </c>
      <c r="L3" s="51" t="s">
        <v>107</v>
      </c>
      <c r="M3" s="62" t="s">
        <v>513</v>
      </c>
      <c r="N3" s="62" t="str">
        <f t="shared" si="2"/>
        <v>MC_6_2_aa84f9a9-f356-44e2-ae95-37f724fb136c_000000_000000.mp4</v>
      </c>
      <c r="O3" s="50"/>
      <c r="P3" s="50"/>
      <c r="Q3" s="63"/>
      <c r="R3" s="51"/>
      <c r="S3" s="51"/>
      <c r="T3" s="51"/>
    </row>
    <row r="4">
      <c r="A4" s="51" t="str">
        <f>IFERROR(__xludf.DUMMYFUNCTION("""COMPUTED_VALUE"""),"Finding a new way to get paid ")</f>
        <v>Finding a new way to get paid </v>
      </c>
      <c r="B4" s="51" t="str">
        <f>IFERROR(__xludf.DUMMYFUNCTION("""COMPUTED_VALUE"""),"MoneyConf")</f>
        <v>MoneyConf</v>
      </c>
      <c r="C4" s="56" t="str">
        <f>IFERROR(__xludf.DUMMYFUNCTION("""COMPUTED_VALUE"""),"Taavet Hinrikus, Hiroki Takeuchi and Peter Thal Larsen")</f>
        <v>Taavet Hinrikus, Hiroki Takeuchi and Peter Thal Larsen</v>
      </c>
      <c r="D4" s="51" t="str">
        <f>IFERROR(__xludf.DUMMYFUNCTION("""COMPUTED_VALUE"""),"2019/11/06 11:25:00")</f>
        <v>2019/11/06 11:25:00</v>
      </c>
      <c r="E4" s="51" t="str">
        <f>IFERROR(__xludf.DUMMYFUNCTION("""COMPUTED_VALUE"""),"2019/11/06 11:55:00")</f>
        <v>2019/11/06 11:55:00</v>
      </c>
      <c r="F4" s="51" t="str">
        <f>IFERROR(__xludf.DUMMYFUNCTION("""COMPUTED_VALUE"""),"91d23625-a487-48ff-b28b-414b5a3e4271")</f>
        <v>91d23625-a487-48ff-b28b-414b5a3e4271</v>
      </c>
      <c r="G4" s="58">
        <f>IFERROR(__xludf.DUMMYFUNCTION("""COMPUTED_VALUE"""),43775.0)</f>
        <v>43775</v>
      </c>
      <c r="H4" s="60">
        <f>IFERROR(__xludf.DUMMYFUNCTION("""COMPUTED_VALUE"""),0.4756944444444444)</f>
        <v>0.4756944444</v>
      </c>
      <c r="I4" s="58">
        <f>IFERROR(__xludf.DUMMYFUNCTION("""COMPUTED_VALUE"""),43775.0)</f>
        <v>43775</v>
      </c>
      <c r="J4" s="60">
        <f>IFERROR(__xludf.DUMMYFUNCTION("""COMPUTED_VALUE"""),0.4965277777777778)</f>
        <v>0.4965277778</v>
      </c>
      <c r="K4" s="60">
        <f t="shared" si="1"/>
        <v>0.02083333333</v>
      </c>
      <c r="L4" s="51" t="s">
        <v>105</v>
      </c>
      <c r="M4" s="62" t="s">
        <v>514</v>
      </c>
      <c r="N4" s="62" t="str">
        <f t="shared" si="2"/>
        <v>MC_6_3_91d23625-a487-48ff-b28b-414b5a3e4271_000000_000000.mp4</v>
      </c>
      <c r="O4" s="50"/>
      <c r="P4" s="50"/>
      <c r="Q4" s="63"/>
      <c r="R4" s="51"/>
      <c r="S4" s="51"/>
      <c r="T4" s="51"/>
    </row>
    <row r="5">
      <c r="A5" s="51" t="str">
        <f>IFERROR(__xludf.DUMMYFUNCTION("""COMPUTED_VALUE"""),"What Plaid said: Fintech's next frontier ")</f>
        <v>What Plaid said: Fintech's next frontier </v>
      </c>
      <c r="B5" s="51" t="str">
        <f>IFERROR(__xludf.DUMMYFUNCTION("""COMPUTED_VALUE"""),"MoneyConf")</f>
        <v>MoneyConf</v>
      </c>
      <c r="C5" s="56" t="str">
        <f>IFERROR(__xludf.DUMMYFUNCTION("""COMPUTED_VALUE"""),"Zach Perret and John Detrixhe")</f>
        <v>Zach Perret and John Detrixhe</v>
      </c>
      <c r="D5" s="51" t="str">
        <f>IFERROR(__xludf.DUMMYFUNCTION("""COMPUTED_VALUE"""),"2019/11/06 11:55:00")</f>
        <v>2019/11/06 11:55:00</v>
      </c>
      <c r="E5" s="51" t="str">
        <f>IFERROR(__xludf.DUMMYFUNCTION("""COMPUTED_VALUE"""),"2019/11/06 12:15:00")</f>
        <v>2019/11/06 12:15:00</v>
      </c>
      <c r="F5" s="51" t="str">
        <f>IFERROR(__xludf.DUMMYFUNCTION("""COMPUTED_VALUE"""),"98334037-9ce5-4ca0-a9ce-189be82bb314")</f>
        <v>98334037-9ce5-4ca0-a9ce-189be82bb314</v>
      </c>
      <c r="G5" s="58">
        <f>IFERROR(__xludf.DUMMYFUNCTION("""COMPUTED_VALUE"""),43775.0)</f>
        <v>43775</v>
      </c>
      <c r="H5" s="60">
        <f>IFERROR(__xludf.DUMMYFUNCTION("""COMPUTED_VALUE"""),0.4965277777777778)</f>
        <v>0.4965277778</v>
      </c>
      <c r="I5" s="58">
        <f>IFERROR(__xludf.DUMMYFUNCTION("""COMPUTED_VALUE"""),43775.0)</f>
        <v>43775</v>
      </c>
      <c r="J5" s="60">
        <f>IFERROR(__xludf.DUMMYFUNCTION("""COMPUTED_VALUE"""),0.5104166666666666)</f>
        <v>0.5104166667</v>
      </c>
      <c r="K5" s="60">
        <f t="shared" si="1"/>
        <v>0.01388888889</v>
      </c>
      <c r="L5" s="51" t="s">
        <v>111</v>
      </c>
      <c r="M5" s="62" t="s">
        <v>515</v>
      </c>
      <c r="N5" s="62" t="str">
        <f t="shared" si="2"/>
        <v>MC_6_4_98334037-9ce5-4ca0-a9ce-189be82bb314_000000_000000.mp4</v>
      </c>
      <c r="O5" s="50"/>
      <c r="P5" s="50"/>
      <c r="Q5" s="63"/>
      <c r="R5" s="51"/>
      <c r="S5" s="51"/>
      <c r="T5" s="51"/>
    </row>
    <row r="6">
      <c r="A6" s="51" t="str">
        <f>IFERROR(__xludf.DUMMYFUNCTION("""COMPUTED_VALUE"""),"The ins and outs of financial inclusion")</f>
        <v>The ins and outs of financial inclusion</v>
      </c>
      <c r="B6" s="51" t="str">
        <f>IFERROR(__xludf.DUMMYFUNCTION("""COMPUTED_VALUE"""),"MoneyConf")</f>
        <v>MoneyConf</v>
      </c>
      <c r="C6" s="56" t="str">
        <f>IFERROR(__xludf.DUMMYFUNCTION("""COMPUTED_VALUE"""),"Christopher Leacock, Katica Roy and Amy Thomson")</f>
        <v>Christopher Leacock, Katica Roy and Amy Thomson</v>
      </c>
      <c r="D6" s="51" t="str">
        <f>IFERROR(__xludf.DUMMYFUNCTION("""COMPUTED_VALUE"""),"2019/11/06 12:15:00")</f>
        <v>2019/11/06 12:15:00</v>
      </c>
      <c r="E6" s="51" t="str">
        <f>IFERROR(__xludf.DUMMYFUNCTION("""COMPUTED_VALUE"""),"2019/11/06 12:35:00")</f>
        <v>2019/11/06 12:35:00</v>
      </c>
      <c r="F6" s="51" t="str">
        <f>IFERROR(__xludf.DUMMYFUNCTION("""COMPUTED_VALUE"""),"1086ec04-aa99-40a4-b5d8-c7688cbbb6f7")</f>
        <v>1086ec04-aa99-40a4-b5d8-c7688cbbb6f7</v>
      </c>
      <c r="G6" s="58">
        <f>IFERROR(__xludf.DUMMYFUNCTION("""COMPUTED_VALUE"""),43775.0)</f>
        <v>43775</v>
      </c>
      <c r="H6" s="60">
        <f>IFERROR(__xludf.DUMMYFUNCTION("""COMPUTED_VALUE"""),0.5104166666666666)</f>
        <v>0.5104166667</v>
      </c>
      <c r="I6" s="58">
        <f>IFERROR(__xludf.DUMMYFUNCTION("""COMPUTED_VALUE"""),43775.0)</f>
        <v>43775</v>
      </c>
      <c r="J6" s="60">
        <f>IFERROR(__xludf.DUMMYFUNCTION("""COMPUTED_VALUE"""),0.5243055555555556)</f>
        <v>0.5243055556</v>
      </c>
      <c r="K6" s="60">
        <f t="shared" si="1"/>
        <v>0.01388888889</v>
      </c>
      <c r="L6" s="51" t="s">
        <v>111</v>
      </c>
      <c r="M6" s="62" t="s">
        <v>516</v>
      </c>
      <c r="N6" s="62" t="str">
        <f t="shared" si="2"/>
        <v>MC_6_5_1086ec04-aa99-40a4-b5d8-c7688cbbb6f7_000000_000000.mp4</v>
      </c>
      <c r="O6" s="50"/>
      <c r="P6" s="50"/>
      <c r="Q6" s="63"/>
      <c r="R6" s="51"/>
      <c r="S6" s="51"/>
      <c r="T6" s="51"/>
    </row>
    <row r="7">
      <c r="A7" s="51" t="str">
        <f>IFERROR(__xludf.DUMMYFUNCTION("""COMPUTED_VALUE"""),"Meet the next generation of fintech unicorns")</f>
        <v>Meet the next generation of fintech unicorns</v>
      </c>
      <c r="B7" s="51" t="str">
        <f>IFERROR(__xludf.DUMMYFUNCTION("""COMPUTED_VALUE"""),"MoneyConf")</f>
        <v>MoneyConf</v>
      </c>
      <c r="C7" s="56" t="str">
        <f>IFERROR(__xludf.DUMMYFUNCTION("""COMPUTED_VALUE"""),"Sunil Chandra, Lucy Liu, Tim Sievers and John Detrixhe")</f>
        <v>Sunil Chandra, Lucy Liu, Tim Sievers and John Detrixhe</v>
      </c>
      <c r="D7" s="51" t="str">
        <f>IFERROR(__xludf.DUMMYFUNCTION("""COMPUTED_VALUE"""),"2019/11/06 12:35:00")</f>
        <v>2019/11/06 12:35:00</v>
      </c>
      <c r="E7" s="51" t="str">
        <f>IFERROR(__xludf.DUMMYFUNCTION("""COMPUTED_VALUE"""),"2019/11/06 13:00:00")</f>
        <v>2019/11/06 13:00:00</v>
      </c>
      <c r="F7" s="51" t="str">
        <f>IFERROR(__xludf.DUMMYFUNCTION("""COMPUTED_VALUE"""),"6f68d430-2e86-420a-bd3b-12ff3db1e16b")</f>
        <v>6f68d430-2e86-420a-bd3b-12ff3db1e16b</v>
      </c>
      <c r="G7" s="58">
        <f>IFERROR(__xludf.DUMMYFUNCTION("""COMPUTED_VALUE"""),43775.0)</f>
        <v>43775</v>
      </c>
      <c r="H7" s="60">
        <f>IFERROR(__xludf.DUMMYFUNCTION("""COMPUTED_VALUE"""),0.5243055555555556)</f>
        <v>0.5243055556</v>
      </c>
      <c r="I7" s="58">
        <f>IFERROR(__xludf.DUMMYFUNCTION("""COMPUTED_VALUE"""),43775.0)</f>
        <v>43775</v>
      </c>
      <c r="J7" s="60">
        <f>IFERROR(__xludf.DUMMYFUNCTION("""COMPUTED_VALUE"""),0.5416666666666666)</f>
        <v>0.5416666667</v>
      </c>
      <c r="K7" s="60">
        <f t="shared" si="1"/>
        <v>0.01736111111</v>
      </c>
      <c r="L7" s="51" t="s">
        <v>107</v>
      </c>
      <c r="M7" s="62" t="s">
        <v>517</v>
      </c>
      <c r="N7" s="62" t="str">
        <f t="shared" si="2"/>
        <v>MC_6_6_6f68d430-2e86-420a-bd3b-12ff3db1e16b_000000_000000.mp4</v>
      </c>
      <c r="O7" s="50"/>
      <c r="P7" s="50"/>
      <c r="Q7" s="63"/>
      <c r="R7" s="51"/>
      <c r="S7" s="51"/>
      <c r="T7" s="51"/>
    </row>
    <row r="8">
      <c r="A8" s="51" t="str">
        <f>IFERROR(__xludf.DUMMYFUNCTION("""COMPUTED_VALUE"""),"Lunch break")</f>
        <v>Lunch break</v>
      </c>
      <c r="B8" s="51" t="str">
        <f>IFERROR(__xludf.DUMMYFUNCTION("""COMPUTED_VALUE"""),"MoneyConf")</f>
        <v>MoneyConf</v>
      </c>
      <c r="C8" s="56" t="str">
        <f>IFERROR(__xludf.DUMMYFUNCTION("""COMPUTED_VALUE"""),"")</f>
        <v/>
      </c>
      <c r="D8" s="51" t="str">
        <f>IFERROR(__xludf.DUMMYFUNCTION("""COMPUTED_VALUE"""),"2019/11/06 13:00:00")</f>
        <v>2019/11/06 13:00:00</v>
      </c>
      <c r="E8" s="51" t="str">
        <f>IFERROR(__xludf.DUMMYFUNCTION("""COMPUTED_VALUE"""),"2019/11/06 13:45:00")</f>
        <v>2019/11/06 13:45:00</v>
      </c>
      <c r="F8" s="51" t="str">
        <f>IFERROR(__xludf.DUMMYFUNCTION("""COMPUTED_VALUE"""),"959e7693-d8f0-4eba-be2e-ed601de35951")</f>
        <v>959e7693-d8f0-4eba-be2e-ed601de35951</v>
      </c>
      <c r="G8" s="58">
        <f>IFERROR(__xludf.DUMMYFUNCTION("""COMPUTED_VALUE"""),43775.0)</f>
        <v>43775</v>
      </c>
      <c r="H8" s="60">
        <f>IFERROR(__xludf.DUMMYFUNCTION("""COMPUTED_VALUE"""),0.5416666666666666)</f>
        <v>0.5416666667</v>
      </c>
      <c r="I8" s="58">
        <f>IFERROR(__xludf.DUMMYFUNCTION("""COMPUTED_VALUE"""),43775.0)</f>
        <v>43775</v>
      </c>
      <c r="J8" s="60">
        <f>IFERROR(__xludf.DUMMYFUNCTION("""COMPUTED_VALUE"""),0.5729166666666666)</f>
        <v>0.5729166667</v>
      </c>
      <c r="K8" s="60">
        <f t="shared" si="1"/>
        <v>0.03125</v>
      </c>
      <c r="L8" s="51" t="s">
        <v>131</v>
      </c>
      <c r="M8" s="51"/>
      <c r="N8" s="62" t="str">
        <f t="shared" si="2"/>
        <v>_959e7693-d8f0-4eba-be2e-ed601de35951_000000_000000.mp4</v>
      </c>
      <c r="O8" s="50"/>
      <c r="P8" s="50"/>
      <c r="Q8" s="63"/>
      <c r="R8" s="51"/>
      <c r="S8" s="51"/>
      <c r="T8" s="51"/>
    </row>
    <row r="9">
      <c r="A9" s="51" t="str">
        <f>IFERROR(__xludf.DUMMYFUNCTION("""COMPUTED_VALUE"""),"Opening remarks")</f>
        <v>Opening remarks</v>
      </c>
      <c r="B9" s="51" t="str">
        <f>IFERROR(__xludf.DUMMYFUNCTION("""COMPUTED_VALUE"""),"MoneyConf")</f>
        <v>MoneyConf</v>
      </c>
      <c r="C9" s="56" t="str">
        <f>IFERROR(__xludf.DUMMYFUNCTION("""COMPUTED_VALUE"""),"Margarida Ruela")</f>
        <v>Margarida Ruela</v>
      </c>
      <c r="D9" s="51" t="str">
        <f>IFERROR(__xludf.DUMMYFUNCTION("""COMPUTED_VALUE"""),"2019/11/06 13:45:00")</f>
        <v>2019/11/06 13:45:00</v>
      </c>
      <c r="E9" s="51" t="str">
        <f>IFERROR(__xludf.DUMMYFUNCTION("""COMPUTED_VALUE"""),"2019/11/06 14:00:00")</f>
        <v>2019/11/06 14:00:00</v>
      </c>
      <c r="F9" s="51" t="str">
        <f>IFERROR(__xludf.DUMMYFUNCTION("""COMPUTED_VALUE"""),"b6e6bb17-35ea-41fc-94ac-adde65256009")</f>
        <v>b6e6bb17-35ea-41fc-94ac-adde65256009</v>
      </c>
      <c r="G9" s="58">
        <f>IFERROR(__xludf.DUMMYFUNCTION("""COMPUTED_VALUE"""),43775.0)</f>
        <v>43775</v>
      </c>
      <c r="H9" s="60">
        <f>IFERROR(__xludf.DUMMYFUNCTION("""COMPUTED_VALUE"""),0.5729166666666666)</f>
        <v>0.5729166667</v>
      </c>
      <c r="I9" s="58">
        <f>IFERROR(__xludf.DUMMYFUNCTION("""COMPUTED_VALUE"""),43775.0)</f>
        <v>43775</v>
      </c>
      <c r="J9" s="60">
        <f>IFERROR(__xludf.DUMMYFUNCTION("""COMPUTED_VALUE"""),0.5833333333333334)</f>
        <v>0.5833333333</v>
      </c>
      <c r="K9" s="60">
        <f t="shared" si="1"/>
        <v>0.01041666667</v>
      </c>
      <c r="L9" s="51" t="s">
        <v>116</v>
      </c>
      <c r="M9" s="62" t="s">
        <v>518</v>
      </c>
      <c r="N9" s="62" t="str">
        <f t="shared" si="2"/>
        <v>MC_6_7_b6e6bb17-35ea-41fc-94ac-adde65256009_000000_000000.mp4</v>
      </c>
      <c r="O9" s="50"/>
      <c r="P9" s="50"/>
      <c r="Q9" s="63"/>
      <c r="R9" s="51"/>
      <c r="S9" s="51"/>
      <c r="T9" s="51"/>
    </row>
    <row r="10">
      <c r="A10" s="51" t="str">
        <f>IFERROR(__xludf.DUMMYFUNCTION("""COMPUTED_VALUE"""),"Build-a-bank: Designing the future of finance")</f>
        <v>Build-a-bank: Designing the future of finance</v>
      </c>
      <c r="B10" s="51" t="str">
        <f>IFERROR(__xludf.DUMMYFUNCTION("""COMPUTED_VALUE"""),"MoneyConf")</f>
        <v>MoneyConf</v>
      </c>
      <c r="C10" s="56" t="str">
        <f>IFERROR(__xludf.DUMMYFUNCTION("""COMPUTED_VALUE"""),"Tim Kobe, Luis Uguina, Ilker Altıntaş and Ania Poullain-Majchrzak")</f>
        <v>Tim Kobe, Luis Uguina, Ilker Altıntaş and Ania Poullain-Majchrzak</v>
      </c>
      <c r="D10" s="51" t="str">
        <f>IFERROR(__xludf.DUMMYFUNCTION("""COMPUTED_VALUE"""),"2019/11/06 14:00:00")</f>
        <v>2019/11/06 14:00:00</v>
      </c>
      <c r="E10" s="51" t="str">
        <f>IFERROR(__xludf.DUMMYFUNCTION("""COMPUTED_VALUE"""),"2019/11/06 14:20:00")</f>
        <v>2019/11/06 14:20:00</v>
      </c>
      <c r="F10" s="51" t="str">
        <f>IFERROR(__xludf.DUMMYFUNCTION("""COMPUTED_VALUE"""),"04201e3d-9c27-47dc-8f9f-a7be028ef320")</f>
        <v>04201e3d-9c27-47dc-8f9f-a7be028ef320</v>
      </c>
      <c r="G10" s="58">
        <f>IFERROR(__xludf.DUMMYFUNCTION("""COMPUTED_VALUE"""),43775.0)</f>
        <v>43775</v>
      </c>
      <c r="H10" s="60">
        <f>IFERROR(__xludf.DUMMYFUNCTION("""COMPUTED_VALUE"""),0.5833333333333334)</f>
        <v>0.5833333333</v>
      </c>
      <c r="I10" s="58">
        <f>IFERROR(__xludf.DUMMYFUNCTION("""COMPUTED_VALUE"""),43775.0)</f>
        <v>43775</v>
      </c>
      <c r="J10" s="60">
        <f>IFERROR(__xludf.DUMMYFUNCTION("""COMPUTED_VALUE"""),0.5972222222222222)</f>
        <v>0.5972222222</v>
      </c>
      <c r="K10" s="60">
        <f t="shared" si="1"/>
        <v>0.01388888889</v>
      </c>
      <c r="L10" s="51" t="s">
        <v>111</v>
      </c>
      <c r="M10" s="62" t="s">
        <v>519</v>
      </c>
      <c r="N10" s="62" t="str">
        <f t="shared" si="2"/>
        <v>MC_6_8_04201e3d-9c27-47dc-8f9f-a7be028ef320_000000_000000.mp4</v>
      </c>
      <c r="O10" s="50"/>
      <c r="P10" s="50"/>
      <c r="Q10" s="63"/>
      <c r="R10" s="51"/>
      <c r="S10" s="51"/>
      <c r="T10" s="51"/>
    </row>
    <row r="11">
      <c r="A11" s="51" t="str">
        <f>IFERROR(__xludf.DUMMYFUNCTION("""COMPUTED_VALUE"""),"Akon, Akoin and Africa's emerging economy")</f>
        <v>Akon, Akoin and Africa's emerging economy</v>
      </c>
      <c r="B11" s="51" t="str">
        <f>IFERROR(__xludf.DUMMYFUNCTION("""COMPUTED_VALUE"""),"MoneyConf")</f>
        <v>MoneyConf</v>
      </c>
      <c r="C11" s="56" t="str">
        <f>IFERROR(__xludf.DUMMYFUNCTION("""COMPUTED_VALUE""")," , Jon Karas and Noelle Acheson")</f>
        <v> , Jon Karas and Noelle Acheson</v>
      </c>
      <c r="D11" s="51" t="str">
        <f>IFERROR(__xludf.DUMMYFUNCTION("""COMPUTED_VALUE"""),"2019/11/06 14:20:00")</f>
        <v>2019/11/06 14:20:00</v>
      </c>
      <c r="E11" s="51" t="str">
        <f>IFERROR(__xludf.DUMMYFUNCTION("""COMPUTED_VALUE"""),"2019/11/06 14:40:00")</f>
        <v>2019/11/06 14:40:00</v>
      </c>
      <c r="F11" s="51" t="str">
        <f>IFERROR(__xludf.DUMMYFUNCTION("""COMPUTED_VALUE"""),"e719ab39-a0f3-4cf3-b97a-c7421a9b892d")</f>
        <v>e719ab39-a0f3-4cf3-b97a-c7421a9b892d</v>
      </c>
      <c r="G11" s="58">
        <f>IFERROR(__xludf.DUMMYFUNCTION("""COMPUTED_VALUE"""),43775.0)</f>
        <v>43775</v>
      </c>
      <c r="H11" s="60">
        <f>IFERROR(__xludf.DUMMYFUNCTION("""COMPUTED_VALUE"""),0.5972222222222222)</f>
        <v>0.5972222222</v>
      </c>
      <c r="I11" s="58">
        <f>IFERROR(__xludf.DUMMYFUNCTION("""COMPUTED_VALUE"""),43775.0)</f>
        <v>43775</v>
      </c>
      <c r="J11" s="60">
        <f>IFERROR(__xludf.DUMMYFUNCTION("""COMPUTED_VALUE"""),0.6111111111111112)</f>
        <v>0.6111111111</v>
      </c>
      <c r="K11" s="60">
        <f t="shared" si="1"/>
        <v>0.01388888889</v>
      </c>
      <c r="L11" s="51" t="s">
        <v>111</v>
      </c>
      <c r="M11" s="62" t="s">
        <v>520</v>
      </c>
      <c r="N11" s="62" t="str">
        <f t="shared" si="2"/>
        <v>MC_6_9_e719ab39-a0f3-4cf3-b97a-c7421a9b892d_000000_000000.mp4</v>
      </c>
      <c r="O11" s="50"/>
      <c r="P11" s="50"/>
      <c r="Q11" s="63"/>
      <c r="R11" s="51"/>
      <c r="S11" s="51"/>
      <c r="T11" s="51"/>
    </row>
    <row r="12">
      <c r="A12" s="51" t="str">
        <f>IFERROR(__xludf.DUMMYFUNCTION("""COMPUTED_VALUE"""),"All about that BaaS ")</f>
        <v>All about that BaaS </v>
      </c>
      <c r="B12" s="51" t="str">
        <f>IFERROR(__xludf.DUMMYFUNCTION("""COMPUTED_VALUE"""),"MoneyConf")</f>
        <v>MoneyConf</v>
      </c>
      <c r="C12" s="56" t="str">
        <f>IFERROR(__xludf.DUMMYFUNCTION("""COMPUTED_VALUE"""),"Tom Villante, Roland Folz and Felix Holtermann")</f>
        <v>Tom Villante, Roland Folz and Felix Holtermann</v>
      </c>
      <c r="D12" s="51" t="str">
        <f>IFERROR(__xludf.DUMMYFUNCTION("""COMPUTED_VALUE"""),"2019/11/06 14:40:00")</f>
        <v>2019/11/06 14:40:00</v>
      </c>
      <c r="E12" s="51" t="str">
        <f>IFERROR(__xludf.DUMMYFUNCTION("""COMPUTED_VALUE"""),"2019/11/06 15:00:00")</f>
        <v>2019/11/06 15:00:00</v>
      </c>
      <c r="F12" s="51" t="str">
        <f>IFERROR(__xludf.DUMMYFUNCTION("""COMPUTED_VALUE"""),"bdeab019-11a2-4f2f-b847-766c8fa05fc2")</f>
        <v>bdeab019-11a2-4f2f-b847-766c8fa05fc2</v>
      </c>
      <c r="G12" s="58">
        <f>IFERROR(__xludf.DUMMYFUNCTION("""COMPUTED_VALUE"""),43775.0)</f>
        <v>43775</v>
      </c>
      <c r="H12" s="60">
        <f>IFERROR(__xludf.DUMMYFUNCTION("""COMPUTED_VALUE"""),0.6111111111111112)</f>
        <v>0.6111111111</v>
      </c>
      <c r="I12" s="58">
        <f>IFERROR(__xludf.DUMMYFUNCTION("""COMPUTED_VALUE"""),43775.0)</f>
        <v>43775</v>
      </c>
      <c r="J12" s="60">
        <f>IFERROR(__xludf.DUMMYFUNCTION("""COMPUTED_VALUE"""),0.625)</f>
        <v>0.625</v>
      </c>
      <c r="K12" s="60">
        <f t="shared" si="1"/>
        <v>0.01388888889</v>
      </c>
      <c r="L12" s="51" t="s">
        <v>111</v>
      </c>
      <c r="M12" s="62" t="s">
        <v>521</v>
      </c>
      <c r="N12" s="62" t="str">
        <f t="shared" si="2"/>
        <v>MC_6_10_bdeab019-11a2-4f2f-b847-766c8fa05fc2_000000_000000.mp4</v>
      </c>
      <c r="O12" s="50"/>
      <c r="P12" s="50"/>
      <c r="Q12" s="63"/>
      <c r="R12" s="51"/>
      <c r="S12" s="51"/>
      <c r="T12" s="51"/>
    </row>
    <row r="13">
      <c r="A13" s="51" t="str">
        <f>IFERROR(__xludf.DUMMYFUNCTION("""COMPUTED_VALUE"""),"Fintech v big tech: Competitive consumer experience")</f>
        <v>Fintech v big tech: Competitive consumer experience</v>
      </c>
      <c r="B13" s="51" t="str">
        <f>IFERROR(__xludf.DUMMYFUNCTION("""COMPUTED_VALUE"""),"MoneyConf")</f>
        <v>MoneyConf</v>
      </c>
      <c r="C13" s="56" t="str">
        <f>IFERROR(__xludf.DUMMYFUNCTION("""COMPUTED_VALUE"""),"Jaspar Weir, Matthew Crummack, Madalena Cascais Tomé and Jordan French")</f>
        <v>Jaspar Weir, Matthew Crummack, Madalena Cascais Tomé and Jordan French</v>
      </c>
      <c r="D13" s="51" t="str">
        <f>IFERROR(__xludf.DUMMYFUNCTION("""COMPUTED_VALUE"""),"2019/11/06 15:00:00")</f>
        <v>2019/11/06 15:00:00</v>
      </c>
      <c r="E13" s="51" t="str">
        <f>IFERROR(__xludf.DUMMYFUNCTION("""COMPUTED_VALUE"""),"2019/11/06 15:25:00")</f>
        <v>2019/11/06 15:25:00</v>
      </c>
      <c r="F13" s="51" t="str">
        <f>IFERROR(__xludf.DUMMYFUNCTION("""COMPUTED_VALUE"""),"1a73884b-5946-481c-aa1b-62dd927d535d")</f>
        <v>1a73884b-5946-481c-aa1b-62dd927d535d</v>
      </c>
      <c r="G13" s="58">
        <f>IFERROR(__xludf.DUMMYFUNCTION("""COMPUTED_VALUE"""),43775.0)</f>
        <v>43775</v>
      </c>
      <c r="H13" s="60">
        <f>IFERROR(__xludf.DUMMYFUNCTION("""COMPUTED_VALUE"""),0.625)</f>
        <v>0.625</v>
      </c>
      <c r="I13" s="58">
        <f>IFERROR(__xludf.DUMMYFUNCTION("""COMPUTED_VALUE"""),43775.0)</f>
        <v>43775</v>
      </c>
      <c r="J13" s="60">
        <f>IFERROR(__xludf.DUMMYFUNCTION("""COMPUTED_VALUE"""),0.6423611111111112)</f>
        <v>0.6423611111</v>
      </c>
      <c r="K13" s="60">
        <f t="shared" si="1"/>
        <v>0.01736111111</v>
      </c>
      <c r="L13" s="51" t="s">
        <v>107</v>
      </c>
      <c r="M13" s="62" t="s">
        <v>522</v>
      </c>
      <c r="N13" s="62" t="str">
        <f t="shared" si="2"/>
        <v>MC_6_11_1a73884b-5946-481c-aa1b-62dd927d535d_000000_000000.mp4</v>
      </c>
      <c r="O13" s="50"/>
      <c r="P13" s="50"/>
      <c r="Q13" s="63"/>
      <c r="R13" s="51"/>
      <c r="S13" s="51"/>
      <c r="T13" s="51"/>
    </row>
    <row r="14">
      <c r="A14" s="51" t="str">
        <f>IFERROR(__xludf.DUMMYFUNCTION("""COMPUTED_VALUE"""),"The making (and marketing) of Mastercard")</f>
        <v>The making (and marketing) of Mastercard</v>
      </c>
      <c r="B14" s="51" t="str">
        <f>IFERROR(__xludf.DUMMYFUNCTION("""COMPUTED_VALUE"""),"MoneyConf")</f>
        <v>MoneyConf</v>
      </c>
      <c r="C14" s="56" t="str">
        <f>IFERROR(__xludf.DUMMYFUNCTION("""COMPUTED_VALUE"""),"Raja Rajamannar and Katie Deighton")</f>
        <v>Raja Rajamannar and Katie Deighton</v>
      </c>
      <c r="D14" s="51" t="str">
        <f>IFERROR(__xludf.DUMMYFUNCTION("""COMPUTED_VALUE"""),"2019/11/06 15:25:00")</f>
        <v>2019/11/06 15:25:00</v>
      </c>
      <c r="E14" s="51" t="str">
        <f>IFERROR(__xludf.DUMMYFUNCTION("""COMPUTED_VALUE"""),"2019/11/06 15:50:00")</f>
        <v>2019/11/06 15:50:00</v>
      </c>
      <c r="F14" s="51" t="str">
        <f>IFERROR(__xludf.DUMMYFUNCTION("""COMPUTED_VALUE"""),"d7e81483-6b37-4234-8d71-24fe33b4653a")</f>
        <v>d7e81483-6b37-4234-8d71-24fe33b4653a</v>
      </c>
      <c r="G14" s="58">
        <f>IFERROR(__xludf.DUMMYFUNCTION("""COMPUTED_VALUE"""),43775.0)</f>
        <v>43775</v>
      </c>
      <c r="H14" s="60">
        <f>IFERROR(__xludf.DUMMYFUNCTION("""COMPUTED_VALUE"""),0.6423611111111112)</f>
        <v>0.6423611111</v>
      </c>
      <c r="I14" s="58">
        <f>IFERROR(__xludf.DUMMYFUNCTION("""COMPUTED_VALUE"""),43775.0)</f>
        <v>43775</v>
      </c>
      <c r="J14" s="60">
        <f>IFERROR(__xludf.DUMMYFUNCTION("""COMPUTED_VALUE"""),0.6597222222222222)</f>
        <v>0.6597222222</v>
      </c>
      <c r="K14" s="60">
        <f t="shared" si="1"/>
        <v>0.01736111111</v>
      </c>
      <c r="L14" s="51" t="s">
        <v>107</v>
      </c>
      <c r="M14" s="62" t="s">
        <v>523</v>
      </c>
      <c r="N14" s="62" t="str">
        <f t="shared" si="2"/>
        <v>MC_6_12_d7e81483-6b37-4234-8d71-24fe33b4653a_000000_000000.mp4</v>
      </c>
      <c r="O14" s="50"/>
      <c r="P14" s="50"/>
      <c r="Q14" s="63"/>
      <c r="R14" s="51"/>
      <c r="S14" s="51"/>
      <c r="T14" s="51"/>
    </row>
    <row r="15">
      <c r="A15" s="51" t="str">
        <f>IFERROR(__xludf.DUMMYFUNCTION("""COMPUTED_VALUE"""),"Opening remarks")</f>
        <v>Opening remarks</v>
      </c>
      <c r="B15" s="51" t="str">
        <f>IFERROR(__xludf.DUMMYFUNCTION("""COMPUTED_VALUE"""),"MoneyConf")</f>
        <v>MoneyConf</v>
      </c>
      <c r="C15" s="56" t="str">
        <f>IFERROR(__xludf.DUMMYFUNCTION("""COMPUTED_VALUE"""),"Anna Scally")</f>
        <v>Anna Scally</v>
      </c>
      <c r="D15" s="51" t="str">
        <f>IFERROR(__xludf.DUMMYFUNCTION("""COMPUTED_VALUE"""),"2019/11/07 10:45:00")</f>
        <v>2019/11/07 10:45:00</v>
      </c>
      <c r="E15" s="51" t="str">
        <f>IFERROR(__xludf.DUMMYFUNCTION("""COMPUTED_VALUE"""),"2019/11/07 11:00:00")</f>
        <v>2019/11/07 11:00:00</v>
      </c>
      <c r="F15" s="51" t="str">
        <f>IFERROR(__xludf.DUMMYFUNCTION("""COMPUTED_VALUE"""),"4c0432e1-70f0-4142-9405-efa53da6f706")</f>
        <v>4c0432e1-70f0-4142-9405-efa53da6f706</v>
      </c>
      <c r="G15" s="58">
        <f>IFERROR(__xludf.DUMMYFUNCTION("""COMPUTED_VALUE"""),43776.0)</f>
        <v>43776</v>
      </c>
      <c r="H15" s="60">
        <f>IFERROR(__xludf.DUMMYFUNCTION("""COMPUTED_VALUE"""),0.4479166666666667)</f>
        <v>0.4479166667</v>
      </c>
      <c r="I15" s="58">
        <f>IFERROR(__xludf.DUMMYFUNCTION("""COMPUTED_VALUE"""),43776.0)</f>
        <v>43776</v>
      </c>
      <c r="J15" s="60">
        <f>IFERROR(__xludf.DUMMYFUNCTION("""COMPUTED_VALUE"""),0.4583333333333333)</f>
        <v>0.4583333333</v>
      </c>
      <c r="K15" s="60">
        <f t="shared" si="1"/>
        <v>0.01041666667</v>
      </c>
      <c r="L15" s="51" t="s">
        <v>116</v>
      </c>
      <c r="M15" s="62" t="s">
        <v>524</v>
      </c>
      <c r="N15" s="62" t="str">
        <f t="shared" si="2"/>
        <v>MC_7_1_4c0432e1-70f0-4142-9405-efa53da6f706_000000_000000.mp4</v>
      </c>
      <c r="O15" s="50"/>
      <c r="P15" s="50"/>
      <c r="Q15" s="63"/>
      <c r="R15" s="51"/>
      <c r="S15" s="51"/>
      <c r="T15" s="51"/>
    </row>
    <row r="16">
      <c r="A16" s="51" t="str">
        <f>IFERROR(__xludf.DUMMYFUNCTION("""COMPUTED_VALUE"""),"Starling's story: Challenging the challengers")</f>
        <v>Starling's story: Challenging the challengers</v>
      </c>
      <c r="B16" s="51" t="str">
        <f>IFERROR(__xludf.DUMMYFUNCTION("""COMPUTED_VALUE"""),"MoneyConf")</f>
        <v>MoneyConf</v>
      </c>
      <c r="C16" s="56" t="str">
        <f>IFERROR(__xludf.DUMMYFUNCTION("""COMPUTED_VALUE"""),"Anne Boden and Oscar Williams-Grut")</f>
        <v>Anne Boden and Oscar Williams-Grut</v>
      </c>
      <c r="D16" s="51" t="str">
        <f>IFERROR(__xludf.DUMMYFUNCTION("""COMPUTED_VALUE"""),"2019/11/07 11:00:00")</f>
        <v>2019/11/07 11:00:00</v>
      </c>
      <c r="E16" s="51" t="str">
        <f>IFERROR(__xludf.DUMMYFUNCTION("""COMPUTED_VALUE"""),"2019/11/07 11:20:00")</f>
        <v>2019/11/07 11:20:00</v>
      </c>
      <c r="F16" s="51" t="str">
        <f>IFERROR(__xludf.DUMMYFUNCTION("""COMPUTED_VALUE"""),"7c33185b-a132-4653-8d48-9e406aa8662c")</f>
        <v>7c33185b-a132-4653-8d48-9e406aa8662c</v>
      </c>
      <c r="G16" s="58">
        <f>IFERROR(__xludf.DUMMYFUNCTION("""COMPUTED_VALUE"""),43776.0)</f>
        <v>43776</v>
      </c>
      <c r="H16" s="60">
        <f>IFERROR(__xludf.DUMMYFUNCTION("""COMPUTED_VALUE"""),0.4583333333333333)</f>
        <v>0.4583333333</v>
      </c>
      <c r="I16" s="58">
        <f>IFERROR(__xludf.DUMMYFUNCTION("""COMPUTED_VALUE"""),43776.0)</f>
        <v>43776</v>
      </c>
      <c r="J16" s="60">
        <f>IFERROR(__xludf.DUMMYFUNCTION("""COMPUTED_VALUE"""),0.4722222222222222)</f>
        <v>0.4722222222</v>
      </c>
      <c r="K16" s="60">
        <f t="shared" si="1"/>
        <v>0.01388888889</v>
      </c>
      <c r="L16" s="51" t="s">
        <v>111</v>
      </c>
      <c r="M16" s="62" t="s">
        <v>525</v>
      </c>
      <c r="N16" s="62" t="str">
        <f t="shared" si="2"/>
        <v>MC_7_2_7c33185b-a132-4653-8d48-9e406aa8662c_000000_000000.mp4</v>
      </c>
      <c r="O16" s="50"/>
      <c r="P16" s="50"/>
      <c r="Q16" s="63"/>
      <c r="R16" s="51"/>
      <c r="S16" s="51"/>
      <c r="T16" s="51"/>
    </row>
    <row r="17">
      <c r="A17" s="51" t="str">
        <f>IFERROR(__xludf.DUMMYFUNCTION("""COMPUTED_VALUE"""),"Innovating financial giants")</f>
        <v>Innovating financial giants</v>
      </c>
      <c r="B17" s="51" t="str">
        <f>IFERROR(__xludf.DUMMYFUNCTION("""COMPUTED_VALUE"""),"MoneyConf")</f>
        <v>MoneyConf</v>
      </c>
      <c r="C17" s="56" t="str">
        <f>IFERROR(__xludf.DUMMYFUNCTION("""COMPUTED_VALUE"""),"Claire Calmejane, Sean Ringsted, Tunde Kehinde and Gerhard Elfers")</f>
        <v>Claire Calmejane, Sean Ringsted, Tunde Kehinde and Gerhard Elfers</v>
      </c>
      <c r="D17" s="51" t="str">
        <f>IFERROR(__xludf.DUMMYFUNCTION("""COMPUTED_VALUE"""),"2019/11/07 11:20:00")</f>
        <v>2019/11/07 11:20:00</v>
      </c>
      <c r="E17" s="51" t="str">
        <f>IFERROR(__xludf.DUMMYFUNCTION("""COMPUTED_VALUE"""),"2019/11/07 11:40:00")</f>
        <v>2019/11/07 11:40:00</v>
      </c>
      <c r="F17" s="51" t="str">
        <f>IFERROR(__xludf.DUMMYFUNCTION("""COMPUTED_VALUE"""),"245e619a-1bca-441e-bee1-d3bc644969b0")</f>
        <v>245e619a-1bca-441e-bee1-d3bc644969b0</v>
      </c>
      <c r="G17" s="58">
        <f>IFERROR(__xludf.DUMMYFUNCTION("""COMPUTED_VALUE"""),43776.0)</f>
        <v>43776</v>
      </c>
      <c r="H17" s="60">
        <f>IFERROR(__xludf.DUMMYFUNCTION("""COMPUTED_VALUE"""),0.4722222222222222)</f>
        <v>0.4722222222</v>
      </c>
      <c r="I17" s="58">
        <f>IFERROR(__xludf.DUMMYFUNCTION("""COMPUTED_VALUE"""),43776.0)</f>
        <v>43776</v>
      </c>
      <c r="J17" s="60">
        <f>IFERROR(__xludf.DUMMYFUNCTION("""COMPUTED_VALUE"""),0.4861111111111111)</f>
        <v>0.4861111111</v>
      </c>
      <c r="K17" s="60">
        <f t="shared" si="1"/>
        <v>0.01388888889</v>
      </c>
      <c r="L17" s="51" t="s">
        <v>111</v>
      </c>
      <c r="M17" s="62" t="s">
        <v>526</v>
      </c>
      <c r="N17" s="62" t="str">
        <f t="shared" si="2"/>
        <v>MC_7_3_245e619a-1bca-441e-bee1-d3bc644969b0_000000_000000.mp4</v>
      </c>
      <c r="O17" s="50"/>
      <c r="P17" s="50"/>
      <c r="Q17" s="63"/>
      <c r="R17" s="51"/>
      <c r="S17" s="51"/>
      <c r="T17" s="51"/>
    </row>
    <row r="18">
      <c r="A18" s="51" t="str">
        <f>IFERROR(__xludf.DUMMYFUNCTION("""COMPUTED_VALUE"""),"Do fintechs care about your financial health?")</f>
        <v>Do fintechs care about your financial health?</v>
      </c>
      <c r="B18" s="51" t="str">
        <f>IFERROR(__xludf.DUMMYFUNCTION("""COMPUTED_VALUE"""),"MoneyConf")</f>
        <v>MoneyConf</v>
      </c>
      <c r="C18" s="56" t="str">
        <f>IFERROR(__xludf.DUMMYFUNCTION("""COMPUTED_VALUE"""),"Yoni Assia, Elnor Rozenrot and Matthieu Favas")</f>
        <v>Yoni Assia, Elnor Rozenrot and Matthieu Favas</v>
      </c>
      <c r="D18" s="51" t="str">
        <f>IFERROR(__xludf.DUMMYFUNCTION("""COMPUTED_VALUE"""),"2019/11/07 11:40:00")</f>
        <v>2019/11/07 11:40:00</v>
      </c>
      <c r="E18" s="51" t="str">
        <f>IFERROR(__xludf.DUMMYFUNCTION("""COMPUTED_VALUE"""),"2019/11/07 12:10:00")</f>
        <v>2019/11/07 12:10:00</v>
      </c>
      <c r="F18" s="51" t="str">
        <f>IFERROR(__xludf.DUMMYFUNCTION("""COMPUTED_VALUE"""),"073251c7-796d-48ab-9270-cd9b3b6dc0fb")</f>
        <v>073251c7-796d-48ab-9270-cd9b3b6dc0fb</v>
      </c>
      <c r="G18" s="58">
        <f>IFERROR(__xludf.DUMMYFUNCTION("""COMPUTED_VALUE"""),43776.0)</f>
        <v>43776</v>
      </c>
      <c r="H18" s="60">
        <f>IFERROR(__xludf.DUMMYFUNCTION("""COMPUTED_VALUE"""),0.4861111111111111)</f>
        <v>0.4861111111</v>
      </c>
      <c r="I18" s="58">
        <f>IFERROR(__xludf.DUMMYFUNCTION("""COMPUTED_VALUE"""),43776.0)</f>
        <v>43776</v>
      </c>
      <c r="J18" s="60">
        <f>IFERROR(__xludf.DUMMYFUNCTION("""COMPUTED_VALUE"""),0.5069444444444444)</f>
        <v>0.5069444444</v>
      </c>
      <c r="K18" s="60">
        <f t="shared" si="1"/>
        <v>0.02083333333</v>
      </c>
      <c r="L18" s="51" t="s">
        <v>105</v>
      </c>
      <c r="M18" s="62" t="s">
        <v>527</v>
      </c>
      <c r="N18" s="62" t="str">
        <f t="shared" si="2"/>
        <v>MC_7_4_073251c7-796d-48ab-9270-cd9b3b6dc0fb_000000_000000.mp4</v>
      </c>
      <c r="O18" s="50"/>
      <c r="P18" s="50"/>
      <c r="Q18" s="63"/>
      <c r="R18" s="51"/>
      <c r="S18" s="51"/>
      <c r="T18" s="51"/>
    </row>
    <row r="19">
      <c r="A19" s="51" t="str">
        <f>IFERROR(__xludf.DUMMYFUNCTION("""COMPUTED_VALUE"""),"Can you really trust your bank?")</f>
        <v>Can you really trust your bank?</v>
      </c>
      <c r="B19" s="51" t="str">
        <f>IFERROR(__xludf.DUMMYFUNCTION("""COMPUTED_VALUE"""),"MoneyConf")</f>
        <v>MoneyConf</v>
      </c>
      <c r="C19" s="56" t="str">
        <f>IFERROR(__xludf.DUMMYFUNCTION("""COMPUTED_VALUE"""),"Jacqueline Molnar, Carolina Abenante, Marco Peereboom and Natalia Drozdiak")</f>
        <v>Jacqueline Molnar, Carolina Abenante, Marco Peereboom and Natalia Drozdiak</v>
      </c>
      <c r="D19" s="51" t="str">
        <f>IFERROR(__xludf.DUMMYFUNCTION("""COMPUTED_VALUE"""),"2019/11/07 12:10:00")</f>
        <v>2019/11/07 12:10:00</v>
      </c>
      <c r="E19" s="51" t="str">
        <f>IFERROR(__xludf.DUMMYFUNCTION("""COMPUTED_VALUE"""),"2019/11/07 12:35:00")</f>
        <v>2019/11/07 12:35:00</v>
      </c>
      <c r="F19" s="51" t="str">
        <f>IFERROR(__xludf.DUMMYFUNCTION("""COMPUTED_VALUE"""),"10ff947c-3ad2-43ce-a680-6d56260375b1")</f>
        <v>10ff947c-3ad2-43ce-a680-6d56260375b1</v>
      </c>
      <c r="G19" s="58">
        <f>IFERROR(__xludf.DUMMYFUNCTION("""COMPUTED_VALUE"""),43776.0)</f>
        <v>43776</v>
      </c>
      <c r="H19" s="60">
        <f>IFERROR(__xludf.DUMMYFUNCTION("""COMPUTED_VALUE"""),0.5069444444444444)</f>
        <v>0.5069444444</v>
      </c>
      <c r="I19" s="58">
        <f>IFERROR(__xludf.DUMMYFUNCTION("""COMPUTED_VALUE"""),43776.0)</f>
        <v>43776</v>
      </c>
      <c r="J19" s="60">
        <f>IFERROR(__xludf.DUMMYFUNCTION("""COMPUTED_VALUE"""),0.5243055555555556)</f>
        <v>0.5243055556</v>
      </c>
      <c r="K19" s="60">
        <f t="shared" si="1"/>
        <v>0.01736111111</v>
      </c>
      <c r="L19" s="51" t="s">
        <v>107</v>
      </c>
      <c r="M19" s="62" t="s">
        <v>528</v>
      </c>
      <c r="N19" s="62" t="str">
        <f t="shared" si="2"/>
        <v>MC_7_5_10ff947c-3ad2-43ce-a680-6d56260375b1_000000_000000.mp4</v>
      </c>
      <c r="O19" s="50"/>
      <c r="P19" s="50"/>
      <c r="Q19" s="63"/>
      <c r="R19" s="51"/>
      <c r="S19" s="51"/>
      <c r="T19" s="51"/>
    </row>
    <row r="20">
      <c r="A20" s="51" t="str">
        <f>IFERROR(__xludf.DUMMYFUNCTION("""COMPUTED_VALUE"""),"Everybody loves a challenger (bank)")</f>
        <v>Everybody loves a challenger (bank)</v>
      </c>
      <c r="B20" s="51" t="str">
        <f>IFERROR(__xludf.DUMMYFUNCTION("""COMPUTED_VALUE"""),"MoneyConf")</f>
        <v>MoneyConf</v>
      </c>
      <c r="C20" s="56" t="str">
        <f>IFERROR(__xludf.DUMMYFUNCTION("""COMPUTED_VALUE"""),"Henrique Dubugras and Peter Thal Larsen")</f>
        <v>Henrique Dubugras and Peter Thal Larsen</v>
      </c>
      <c r="D20" s="51" t="str">
        <f>IFERROR(__xludf.DUMMYFUNCTION("""COMPUTED_VALUE"""),"2019/11/07 12:35:00")</f>
        <v>2019/11/07 12:35:00</v>
      </c>
      <c r="E20" s="51" t="str">
        <f>IFERROR(__xludf.DUMMYFUNCTION("""COMPUTED_VALUE"""),"2019/11/07 13:00:00")</f>
        <v>2019/11/07 13:00:00</v>
      </c>
      <c r="F20" s="51" t="str">
        <f>IFERROR(__xludf.DUMMYFUNCTION("""COMPUTED_VALUE"""),"5cc24bbc-64bd-4416-ad2b-88907b9a23da")</f>
        <v>5cc24bbc-64bd-4416-ad2b-88907b9a23da</v>
      </c>
      <c r="G20" s="58">
        <f>IFERROR(__xludf.DUMMYFUNCTION("""COMPUTED_VALUE"""),43776.0)</f>
        <v>43776</v>
      </c>
      <c r="H20" s="60">
        <f>IFERROR(__xludf.DUMMYFUNCTION("""COMPUTED_VALUE"""),0.5243055555555556)</f>
        <v>0.5243055556</v>
      </c>
      <c r="I20" s="58">
        <f>IFERROR(__xludf.DUMMYFUNCTION("""COMPUTED_VALUE"""),43776.0)</f>
        <v>43776</v>
      </c>
      <c r="J20" s="60">
        <f>IFERROR(__xludf.DUMMYFUNCTION("""COMPUTED_VALUE"""),0.5416666666666666)</f>
        <v>0.5416666667</v>
      </c>
      <c r="K20" s="60">
        <f t="shared" si="1"/>
        <v>0.01736111111</v>
      </c>
      <c r="L20" s="51" t="s">
        <v>107</v>
      </c>
      <c r="M20" s="62" t="s">
        <v>529</v>
      </c>
      <c r="N20" s="62" t="str">
        <f t="shared" si="2"/>
        <v>MC_7_6_5cc24bbc-64bd-4416-ad2b-88907b9a23da_000000_000000.mp4</v>
      </c>
      <c r="O20" s="50"/>
      <c r="P20" s="50"/>
      <c r="Q20" s="63"/>
      <c r="R20" s="51"/>
      <c r="S20" s="51"/>
      <c r="T20" s="51"/>
    </row>
    <row r="21">
      <c r="A21" s="51" t="str">
        <f>IFERROR(__xludf.DUMMYFUNCTION("""COMPUTED_VALUE"""),"The democratisation of banking ")</f>
        <v>The democratisation of banking </v>
      </c>
      <c r="B21" s="51" t="str">
        <f>IFERROR(__xludf.DUMMYFUNCTION("""COMPUTED_VALUE"""),"MoneyConf")</f>
        <v>MoneyConf</v>
      </c>
      <c r="C21" s="56" t="str">
        <f>IFERROR(__xludf.DUMMYFUNCTION("""COMPUTED_VALUE"""),"Tamaz Georgadze and Callum Burroughs")</f>
        <v>Tamaz Georgadze and Callum Burroughs</v>
      </c>
      <c r="D21" s="51" t="str">
        <f>IFERROR(__xludf.DUMMYFUNCTION("""COMPUTED_VALUE"""),"2019/11/07 13:00:00")</f>
        <v>2019/11/07 13:00:00</v>
      </c>
      <c r="E21" s="51" t="str">
        <f>IFERROR(__xludf.DUMMYFUNCTION("""COMPUTED_VALUE"""),"2019/11/07 13:20:00")</f>
        <v>2019/11/07 13:20:00</v>
      </c>
      <c r="F21" s="51" t="str">
        <f>IFERROR(__xludf.DUMMYFUNCTION("""COMPUTED_VALUE"""),"41166d01-eab0-4807-a8a3-d33e96da71fc")</f>
        <v>41166d01-eab0-4807-a8a3-d33e96da71fc</v>
      </c>
      <c r="G21" s="58">
        <f>IFERROR(__xludf.DUMMYFUNCTION("""COMPUTED_VALUE"""),43776.0)</f>
        <v>43776</v>
      </c>
      <c r="H21" s="60">
        <f>IFERROR(__xludf.DUMMYFUNCTION("""COMPUTED_VALUE"""),0.5416666666666666)</f>
        <v>0.5416666667</v>
      </c>
      <c r="I21" s="58">
        <f>IFERROR(__xludf.DUMMYFUNCTION("""COMPUTED_VALUE"""),43776.0)</f>
        <v>43776</v>
      </c>
      <c r="J21" s="60">
        <f>IFERROR(__xludf.DUMMYFUNCTION("""COMPUTED_VALUE"""),0.5555555555555556)</f>
        <v>0.5555555556</v>
      </c>
      <c r="K21" s="60">
        <f t="shared" si="1"/>
        <v>0.01388888889</v>
      </c>
      <c r="L21" s="51" t="s">
        <v>111</v>
      </c>
      <c r="M21" s="62" t="s">
        <v>530</v>
      </c>
      <c r="N21" s="62" t="str">
        <f t="shared" si="2"/>
        <v>MC_7_7_41166d01-eab0-4807-a8a3-d33e96da71fc_000000_000000.mp4</v>
      </c>
      <c r="O21" s="50"/>
      <c r="P21" s="50"/>
      <c r="Q21" s="63"/>
      <c r="R21" s="51"/>
      <c r="S21" s="51"/>
      <c r="T21" s="51"/>
    </row>
    <row r="22">
      <c r="A22" s="51" t="str">
        <f>IFERROR(__xludf.DUMMYFUNCTION("""COMPUTED_VALUE"""),"Lunch break")</f>
        <v>Lunch break</v>
      </c>
      <c r="B22" s="51" t="str">
        <f>IFERROR(__xludf.DUMMYFUNCTION("""COMPUTED_VALUE"""),"MoneyConf")</f>
        <v>MoneyConf</v>
      </c>
      <c r="C22" s="56" t="str">
        <f>IFERROR(__xludf.DUMMYFUNCTION("""COMPUTED_VALUE"""),"")</f>
        <v/>
      </c>
      <c r="D22" s="51" t="str">
        <f>IFERROR(__xludf.DUMMYFUNCTION("""COMPUTED_VALUE"""),"2019/11/07 13:20:00")</f>
        <v>2019/11/07 13:20:00</v>
      </c>
      <c r="E22" s="51" t="str">
        <f>IFERROR(__xludf.DUMMYFUNCTION("""COMPUTED_VALUE"""),"2019/11/07 13:50:00")</f>
        <v>2019/11/07 13:50:00</v>
      </c>
      <c r="F22" s="51" t="str">
        <f>IFERROR(__xludf.DUMMYFUNCTION("""COMPUTED_VALUE"""),"8b78f8a0-8152-45bd-b87f-f6ca7f17fea0")</f>
        <v>8b78f8a0-8152-45bd-b87f-f6ca7f17fea0</v>
      </c>
      <c r="G22" s="58">
        <f>IFERROR(__xludf.DUMMYFUNCTION("""COMPUTED_VALUE"""),43776.0)</f>
        <v>43776</v>
      </c>
      <c r="H22" s="60">
        <f>IFERROR(__xludf.DUMMYFUNCTION("""COMPUTED_VALUE"""),0.5555555555555556)</f>
        <v>0.5555555556</v>
      </c>
      <c r="I22" s="58">
        <f>IFERROR(__xludf.DUMMYFUNCTION("""COMPUTED_VALUE"""),43776.0)</f>
        <v>43776</v>
      </c>
      <c r="J22" s="60">
        <f>IFERROR(__xludf.DUMMYFUNCTION("""COMPUTED_VALUE"""),0.5763888888888888)</f>
        <v>0.5763888889</v>
      </c>
      <c r="K22" s="60">
        <f t="shared" si="1"/>
        <v>0.02083333333</v>
      </c>
      <c r="L22" s="51" t="s">
        <v>105</v>
      </c>
      <c r="M22" s="51"/>
      <c r="N22" s="62" t="str">
        <f t="shared" si="2"/>
        <v>_8b78f8a0-8152-45bd-b87f-f6ca7f17fea0_000000_000000.mp4</v>
      </c>
      <c r="O22" s="50"/>
      <c r="P22" s="50"/>
      <c r="Q22" s="63"/>
      <c r="R22" s="51"/>
      <c r="S22" s="51"/>
      <c r="T22" s="51"/>
    </row>
    <row r="23">
      <c r="A23" s="51" t="str">
        <f>IFERROR(__xludf.DUMMYFUNCTION("""COMPUTED_VALUE"""),"Opening remarks")</f>
        <v>Opening remarks</v>
      </c>
      <c r="B23" s="51" t="str">
        <f>IFERROR(__xludf.DUMMYFUNCTION("""COMPUTED_VALUE"""),"MoneyConf")</f>
        <v>MoneyConf</v>
      </c>
      <c r="C23" s="56" t="str">
        <f>IFERROR(__xludf.DUMMYFUNCTION("""COMPUTED_VALUE"""),"Roberto Hergueta")</f>
        <v>Roberto Hergueta</v>
      </c>
      <c r="D23" s="51" t="str">
        <f>IFERROR(__xludf.DUMMYFUNCTION("""COMPUTED_VALUE"""),"2019/11/07 13:50:00")</f>
        <v>2019/11/07 13:50:00</v>
      </c>
      <c r="E23" s="51" t="str">
        <f>IFERROR(__xludf.DUMMYFUNCTION("""COMPUTED_VALUE"""),"2019/11/07 14:05:00")</f>
        <v>2019/11/07 14:05:00</v>
      </c>
      <c r="F23" s="51" t="str">
        <f>IFERROR(__xludf.DUMMYFUNCTION("""COMPUTED_VALUE"""),"f0e2aaa8-e00f-4fa5-9471-e2c91aa78438")</f>
        <v>f0e2aaa8-e00f-4fa5-9471-e2c91aa78438</v>
      </c>
      <c r="G23" s="58">
        <f>IFERROR(__xludf.DUMMYFUNCTION("""COMPUTED_VALUE"""),43776.0)</f>
        <v>43776</v>
      </c>
      <c r="H23" s="60">
        <f>IFERROR(__xludf.DUMMYFUNCTION("""COMPUTED_VALUE"""),0.5763888888888888)</f>
        <v>0.5763888889</v>
      </c>
      <c r="I23" s="58">
        <f>IFERROR(__xludf.DUMMYFUNCTION("""COMPUTED_VALUE"""),43776.0)</f>
        <v>43776</v>
      </c>
      <c r="J23" s="60">
        <f>IFERROR(__xludf.DUMMYFUNCTION("""COMPUTED_VALUE"""),0.5868055555555556)</f>
        <v>0.5868055556</v>
      </c>
      <c r="K23" s="60">
        <f t="shared" si="1"/>
        <v>0.01041666667</v>
      </c>
      <c r="L23" s="51" t="s">
        <v>116</v>
      </c>
      <c r="M23" s="62" t="s">
        <v>531</v>
      </c>
      <c r="N23" s="62" t="str">
        <f t="shared" si="2"/>
        <v>MC_7_8_f0e2aaa8-e00f-4fa5-9471-e2c91aa78438_000000_000000.mp4</v>
      </c>
      <c r="O23" s="50"/>
      <c r="P23" s="50"/>
      <c r="Q23" s="63"/>
      <c r="R23" s="51"/>
      <c r="S23" s="51"/>
      <c r="T23" s="51"/>
    </row>
    <row r="24">
      <c r="A24" s="51" t="str">
        <f>IFERROR(__xludf.DUMMYFUNCTION("""COMPUTED_VALUE"""),"What's next in fintech? Investors show their hands ")</f>
        <v>What's next in fintech? Investors show their hands </v>
      </c>
      <c r="B24" s="51" t="str">
        <f>IFERROR(__xludf.DUMMYFUNCTION("""COMPUTED_VALUE"""),"MoneyConf")</f>
        <v>MoneyConf</v>
      </c>
      <c r="C24" s="56" t="str">
        <f>IFERROR(__xludf.DUMMYFUNCTION("""COMPUTED_VALUE"""),"Andrei Brasoveanu, Tara Reeves, Jeff Pulver and Matthieu Favas")</f>
        <v>Andrei Brasoveanu, Tara Reeves, Jeff Pulver and Matthieu Favas</v>
      </c>
      <c r="D24" s="51" t="str">
        <f>IFERROR(__xludf.DUMMYFUNCTION("""COMPUTED_VALUE"""),"2019/11/07 14:05:00")</f>
        <v>2019/11/07 14:05:00</v>
      </c>
      <c r="E24" s="51" t="str">
        <f>IFERROR(__xludf.DUMMYFUNCTION("""COMPUTED_VALUE"""),"2019/11/07 14:25:00")</f>
        <v>2019/11/07 14:25:00</v>
      </c>
      <c r="F24" s="51" t="str">
        <f>IFERROR(__xludf.DUMMYFUNCTION("""COMPUTED_VALUE"""),"6bb3207e-e613-431b-87d1-d0fb283173be")</f>
        <v>6bb3207e-e613-431b-87d1-d0fb283173be</v>
      </c>
      <c r="G24" s="58">
        <f>IFERROR(__xludf.DUMMYFUNCTION("""COMPUTED_VALUE"""),43776.0)</f>
        <v>43776</v>
      </c>
      <c r="H24" s="60">
        <f>IFERROR(__xludf.DUMMYFUNCTION("""COMPUTED_VALUE"""),0.5868055555555556)</f>
        <v>0.5868055556</v>
      </c>
      <c r="I24" s="58">
        <f>IFERROR(__xludf.DUMMYFUNCTION("""COMPUTED_VALUE"""),43776.0)</f>
        <v>43776</v>
      </c>
      <c r="J24" s="60">
        <f>IFERROR(__xludf.DUMMYFUNCTION("""COMPUTED_VALUE"""),0.6006944444444444)</f>
        <v>0.6006944444</v>
      </c>
      <c r="K24" s="60">
        <f t="shared" si="1"/>
        <v>0.01388888889</v>
      </c>
      <c r="L24" s="51" t="s">
        <v>111</v>
      </c>
      <c r="M24" s="62" t="s">
        <v>532</v>
      </c>
      <c r="N24" s="62" t="str">
        <f t="shared" si="2"/>
        <v>MC_7_9_6bb3207e-e613-431b-87d1-d0fb283173be_000000_000000.mp4</v>
      </c>
      <c r="O24" s="50"/>
      <c r="P24" s="50"/>
      <c r="Q24" s="63"/>
      <c r="R24" s="51"/>
      <c r="S24" s="51"/>
      <c r="T24" s="51"/>
    </row>
    <row r="25">
      <c r="A25" s="51" t="str">
        <f>IFERROR(__xludf.DUMMYFUNCTION("""COMPUTED_VALUE"""),"The giants of e-commerce, in conversation")</f>
        <v>The giants of e-commerce, in conversation</v>
      </c>
      <c r="B25" s="51" t="str">
        <f>IFERROR(__xludf.DUMMYFUNCTION("""COMPUTED_VALUE"""),"MoneyConf")</f>
        <v>MoneyConf</v>
      </c>
      <c r="C25" s="56" t="str">
        <f>IFERROR(__xludf.DUMMYFUNCTION("""COMPUTED_VALUE"""),"Werner Vogels, Alyssa Cutright, Tatyana Bakalchuk and Felix Holtermann")</f>
        <v>Werner Vogels, Alyssa Cutright, Tatyana Bakalchuk and Felix Holtermann</v>
      </c>
      <c r="D25" s="51" t="str">
        <f>IFERROR(__xludf.DUMMYFUNCTION("""COMPUTED_VALUE"""),"2019/11/07 14:25:00")</f>
        <v>2019/11/07 14:25:00</v>
      </c>
      <c r="E25" s="51" t="str">
        <f>IFERROR(__xludf.DUMMYFUNCTION("""COMPUTED_VALUE"""),"2019/11/07 14:50:00")</f>
        <v>2019/11/07 14:50:00</v>
      </c>
      <c r="F25" s="51" t="str">
        <f>IFERROR(__xludf.DUMMYFUNCTION("""COMPUTED_VALUE"""),"548adcf7-173e-475b-a0da-a87a23a55552")</f>
        <v>548adcf7-173e-475b-a0da-a87a23a55552</v>
      </c>
      <c r="G25" s="58">
        <f>IFERROR(__xludf.DUMMYFUNCTION("""COMPUTED_VALUE"""),43776.0)</f>
        <v>43776</v>
      </c>
      <c r="H25" s="60">
        <f>IFERROR(__xludf.DUMMYFUNCTION("""COMPUTED_VALUE"""),0.6006944444444444)</f>
        <v>0.6006944444</v>
      </c>
      <c r="I25" s="58">
        <f>IFERROR(__xludf.DUMMYFUNCTION("""COMPUTED_VALUE"""),43776.0)</f>
        <v>43776</v>
      </c>
      <c r="J25" s="60">
        <f>IFERROR(__xludf.DUMMYFUNCTION("""COMPUTED_VALUE"""),0.6180555555555556)</f>
        <v>0.6180555556</v>
      </c>
      <c r="K25" s="60">
        <f t="shared" si="1"/>
        <v>0.01736111111</v>
      </c>
      <c r="L25" s="51" t="s">
        <v>107</v>
      </c>
      <c r="M25" s="62" t="s">
        <v>533</v>
      </c>
      <c r="N25" s="62" t="str">
        <f t="shared" si="2"/>
        <v>MC_7_10_548adcf7-173e-475b-a0da-a87a23a55552_000000_000000.mp4</v>
      </c>
      <c r="O25" s="50"/>
      <c r="P25" s="50"/>
      <c r="Q25" s="63"/>
      <c r="R25" s="51"/>
      <c r="S25" s="51"/>
      <c r="T25" s="51"/>
    </row>
    <row r="26">
      <c r="A26" s="51" t="str">
        <f>IFERROR(__xludf.DUMMYFUNCTION("""COMPUTED_VALUE"""),"A manifesto for a more generous world")</f>
        <v>A manifesto for a more generous world</v>
      </c>
      <c r="B26" s="51" t="str">
        <f>IFERROR(__xludf.DUMMYFUNCTION("""COMPUTED_VALUE"""),"MoneyConf")</f>
        <v>MoneyConf</v>
      </c>
      <c r="C26" s="56" t="str">
        <f>IFERROR(__xludf.DUMMYFUNCTION("""COMPUTED_VALUE"""),"Yancey Strickler")</f>
        <v>Yancey Strickler</v>
      </c>
      <c r="D26" s="51" t="str">
        <f>IFERROR(__xludf.DUMMYFUNCTION("""COMPUTED_VALUE"""),"2019/11/07 14:50:00")</f>
        <v>2019/11/07 14:50:00</v>
      </c>
      <c r="E26" s="51" t="str">
        <f>IFERROR(__xludf.DUMMYFUNCTION("""COMPUTED_VALUE"""),"2019/11/07 15:10:00")</f>
        <v>2019/11/07 15:10:00</v>
      </c>
      <c r="F26" s="51" t="str">
        <f>IFERROR(__xludf.DUMMYFUNCTION("""COMPUTED_VALUE"""),"c64ad9c6-1b07-4457-aa8a-d1dbeb2d397a")</f>
        <v>c64ad9c6-1b07-4457-aa8a-d1dbeb2d397a</v>
      </c>
      <c r="G26" s="58">
        <f>IFERROR(__xludf.DUMMYFUNCTION("""COMPUTED_VALUE"""),43776.0)</f>
        <v>43776</v>
      </c>
      <c r="H26" s="60">
        <f>IFERROR(__xludf.DUMMYFUNCTION("""COMPUTED_VALUE"""),0.6180555555555556)</f>
        <v>0.6180555556</v>
      </c>
      <c r="I26" s="58">
        <f>IFERROR(__xludf.DUMMYFUNCTION("""COMPUTED_VALUE"""),43776.0)</f>
        <v>43776</v>
      </c>
      <c r="J26" s="60">
        <f>IFERROR(__xludf.DUMMYFUNCTION("""COMPUTED_VALUE"""),0.6319444444444444)</f>
        <v>0.6319444444</v>
      </c>
      <c r="K26" s="60">
        <f t="shared" si="1"/>
        <v>0.01388888889</v>
      </c>
      <c r="L26" s="51" t="s">
        <v>111</v>
      </c>
      <c r="M26" s="62" t="s">
        <v>534</v>
      </c>
      <c r="N26" s="62" t="str">
        <f t="shared" si="2"/>
        <v>MC_7_11_c64ad9c6-1b07-4457-aa8a-d1dbeb2d397a_000000_000000.mp4</v>
      </c>
      <c r="O26" s="50"/>
      <c r="P26" s="50"/>
      <c r="Q26" s="63"/>
      <c r="R26" s="51"/>
      <c r="S26" s="51"/>
      <c r="T26" s="51"/>
    </row>
    <row r="27">
      <c r="A27" s="51" t="str">
        <f>IFERROR(__xludf.DUMMYFUNCTION("""COMPUTED_VALUE"""),"Adapting crypto for the real world")</f>
        <v>Adapting crypto for the real world</v>
      </c>
      <c r="B27" s="51" t="str">
        <f>IFERROR(__xludf.DUMMYFUNCTION("""COMPUTED_VALUE"""),"MoneyConf")</f>
        <v>MoneyConf</v>
      </c>
      <c r="C27" s="56" t="str">
        <f>IFERROR(__xludf.DUMMYFUNCTION("""COMPUTED_VALUE"""),"Olga Feldmeier, Gin Chao, Leemon Baird and Anne Gaviola")</f>
        <v>Olga Feldmeier, Gin Chao, Leemon Baird and Anne Gaviola</v>
      </c>
      <c r="D27" s="51" t="str">
        <f>IFERROR(__xludf.DUMMYFUNCTION("""COMPUTED_VALUE"""),"2019/11/07 15:10:00")</f>
        <v>2019/11/07 15:10:00</v>
      </c>
      <c r="E27" s="51" t="str">
        <f>IFERROR(__xludf.DUMMYFUNCTION("""COMPUTED_VALUE"""),"2019/11/07 15:35:00")</f>
        <v>2019/11/07 15:35:00</v>
      </c>
      <c r="F27" s="51" t="str">
        <f>IFERROR(__xludf.DUMMYFUNCTION("""COMPUTED_VALUE"""),"78a8c54f-0c56-49bb-8be2-4d1e7b810ef5")</f>
        <v>78a8c54f-0c56-49bb-8be2-4d1e7b810ef5</v>
      </c>
      <c r="G27" s="58">
        <f>IFERROR(__xludf.DUMMYFUNCTION("""COMPUTED_VALUE"""),43776.0)</f>
        <v>43776</v>
      </c>
      <c r="H27" s="60">
        <f>IFERROR(__xludf.DUMMYFUNCTION("""COMPUTED_VALUE"""),0.6319444444444444)</f>
        <v>0.6319444444</v>
      </c>
      <c r="I27" s="58">
        <f>IFERROR(__xludf.DUMMYFUNCTION("""COMPUTED_VALUE"""),43776.0)</f>
        <v>43776</v>
      </c>
      <c r="J27" s="60">
        <f>IFERROR(__xludf.DUMMYFUNCTION("""COMPUTED_VALUE"""),0.6493055555555556)</f>
        <v>0.6493055556</v>
      </c>
      <c r="K27" s="60">
        <f t="shared" si="1"/>
        <v>0.01736111111</v>
      </c>
      <c r="L27" s="51" t="s">
        <v>107</v>
      </c>
      <c r="M27" s="62" t="s">
        <v>535</v>
      </c>
      <c r="N27" s="62" t="str">
        <f t="shared" si="2"/>
        <v>MC_7_12_78a8c54f-0c56-49bb-8be2-4d1e7b810ef5_000000_000000.mp4</v>
      </c>
      <c r="O27" s="50"/>
      <c r="P27" s="50"/>
      <c r="Q27" s="63"/>
      <c r="R27" s="51"/>
      <c r="S27" s="51"/>
      <c r="T27" s="51"/>
    </row>
    <row r="28">
      <c r="A28" s="51" t="str">
        <f>IFERROR(__xludf.DUMMYFUNCTION("""COMPUTED_VALUE"""),"Borders, Brexit and the future of finance")</f>
        <v>Borders, Brexit and the future of finance</v>
      </c>
      <c r="B28" s="51" t="str">
        <f>IFERROR(__xludf.DUMMYFUNCTION("""COMPUTED_VALUE"""),"MoneyConf")</f>
        <v>MoneyConf</v>
      </c>
      <c r="C28" s="56" t="str">
        <f>IFERROR(__xludf.DUMMYFUNCTION("""COMPUTED_VALUE"""),"Eva Kaili, Christoph Rieche and Philip Crowther")</f>
        <v>Eva Kaili, Christoph Rieche and Philip Crowther</v>
      </c>
      <c r="D28" s="51" t="str">
        <f>IFERROR(__xludf.DUMMYFUNCTION("""COMPUTED_VALUE"""),"2019/11/07 15:35:00")</f>
        <v>2019/11/07 15:35:00</v>
      </c>
      <c r="E28" s="51" t="str">
        <f>IFERROR(__xludf.DUMMYFUNCTION("""COMPUTED_VALUE"""),"2019/11/07 15:55:00")</f>
        <v>2019/11/07 15:55:00</v>
      </c>
      <c r="F28" s="51" t="str">
        <f>IFERROR(__xludf.DUMMYFUNCTION("""COMPUTED_VALUE"""),"5abc9ca6-c6a9-4cf6-8fef-336e20b9cd35")</f>
        <v>5abc9ca6-c6a9-4cf6-8fef-336e20b9cd35</v>
      </c>
      <c r="G28" s="58">
        <f>IFERROR(__xludf.DUMMYFUNCTION("""COMPUTED_VALUE"""),43776.0)</f>
        <v>43776</v>
      </c>
      <c r="H28" s="60">
        <f>IFERROR(__xludf.DUMMYFUNCTION("""COMPUTED_VALUE"""),0.6493055555555556)</f>
        <v>0.6493055556</v>
      </c>
      <c r="I28" s="58">
        <f>IFERROR(__xludf.DUMMYFUNCTION("""COMPUTED_VALUE"""),43776.0)</f>
        <v>43776</v>
      </c>
      <c r="J28" s="60">
        <f>IFERROR(__xludf.DUMMYFUNCTION("""COMPUTED_VALUE"""),0.6631944444444444)</f>
        <v>0.6631944444</v>
      </c>
      <c r="K28" s="60">
        <f t="shared" si="1"/>
        <v>0.01388888889</v>
      </c>
      <c r="L28" s="51" t="s">
        <v>111</v>
      </c>
      <c r="M28" s="62" t="s">
        <v>536</v>
      </c>
      <c r="N28" s="62" t="str">
        <f t="shared" si="2"/>
        <v>MC_7_13_5abc9ca6-c6a9-4cf6-8fef-336e20b9cd35_000000_000000.mp4</v>
      </c>
      <c r="O28" s="50"/>
      <c r="P28" s="50"/>
      <c r="Q28" s="63"/>
      <c r="R28" s="51"/>
      <c r="S28" s="51"/>
      <c r="T28" s="51"/>
    </row>
    <row r="29">
      <c r="A29" s="51" t="str">
        <f>IFERROR(__xludf.DUMMYFUNCTION("""COMPUTED_VALUE"""),"Revolutionising stock: Fintech's role in the market")</f>
        <v>Revolutionising stock: Fintech's role in the market</v>
      </c>
      <c r="B29" s="51" t="str">
        <f>IFERROR(__xludf.DUMMYFUNCTION("""COMPUTED_VALUE"""),"MoneyConf")</f>
        <v>MoneyConf</v>
      </c>
      <c r="C29" s="56" t="str">
        <f>IFERROR(__xludf.DUMMYFUNCTION("""COMPUTED_VALUE"""),"Nikolay Storonsky, Josh Luber and Elizabeth Schulze")</f>
        <v>Nikolay Storonsky, Josh Luber and Elizabeth Schulze</v>
      </c>
      <c r="D29" s="51" t="str">
        <f>IFERROR(__xludf.DUMMYFUNCTION("""COMPUTED_VALUE"""),"2019/11/07 15:55:00")</f>
        <v>2019/11/07 15:55:00</v>
      </c>
      <c r="E29" s="51" t="str">
        <f>IFERROR(__xludf.DUMMYFUNCTION("""COMPUTED_VALUE"""),"2019/11/07 16:20:00")</f>
        <v>2019/11/07 16:20:00</v>
      </c>
      <c r="F29" s="51" t="str">
        <f>IFERROR(__xludf.DUMMYFUNCTION("""COMPUTED_VALUE"""),"d3afabf6-2c15-4fae-98f4-8e13e3edb940")</f>
        <v>d3afabf6-2c15-4fae-98f4-8e13e3edb940</v>
      </c>
      <c r="G29" s="58">
        <f>IFERROR(__xludf.DUMMYFUNCTION("""COMPUTED_VALUE"""),43776.0)</f>
        <v>43776</v>
      </c>
      <c r="H29" s="60">
        <f>IFERROR(__xludf.DUMMYFUNCTION("""COMPUTED_VALUE"""),0.6631944444444444)</f>
        <v>0.6631944444</v>
      </c>
      <c r="I29" s="58">
        <f>IFERROR(__xludf.DUMMYFUNCTION("""COMPUTED_VALUE"""),43776.0)</f>
        <v>43776</v>
      </c>
      <c r="J29" s="60">
        <f>IFERROR(__xludf.DUMMYFUNCTION("""COMPUTED_VALUE"""),0.6805555555555556)</f>
        <v>0.6805555556</v>
      </c>
      <c r="K29" s="60">
        <f t="shared" si="1"/>
        <v>0.01736111111</v>
      </c>
      <c r="L29" s="51" t="s">
        <v>107</v>
      </c>
      <c r="M29" s="62" t="s">
        <v>537</v>
      </c>
      <c r="N29" s="62" t="str">
        <f t="shared" si="2"/>
        <v>MC_7_14_d3afabf6-2c15-4fae-98f4-8e13e3edb940_000000_000000.mp4</v>
      </c>
      <c r="O29" s="50"/>
      <c r="P29" s="50"/>
      <c r="Q29" s="63"/>
      <c r="R29" s="51"/>
      <c r="S29" s="51"/>
      <c r="T29" s="51"/>
    </row>
    <row r="30">
      <c r="A30" s="51"/>
      <c r="B30" s="51"/>
      <c r="C30" s="56"/>
      <c r="D30" s="51"/>
      <c r="E30" s="51"/>
      <c r="F30" s="51"/>
      <c r="G30" s="51" t="str">
        <f>IFERROR(__xludf.DUMMYFUNCTION("""COMPUTED_VALUE"""),"#VALUE!")</f>
        <v>#VALUE!</v>
      </c>
      <c r="H30" s="51" t="str">
        <f>IFERROR(__xludf.DUMMYFUNCTION("""COMPUTED_VALUE"""),"")</f>
        <v/>
      </c>
      <c r="I30" s="51" t="str">
        <f>IFERROR(__xludf.DUMMYFUNCTION("""COMPUTED_VALUE"""),"#VALUE!")</f>
        <v>#VALUE!</v>
      </c>
      <c r="J30" s="51" t="str">
        <f>IFERROR(__xludf.DUMMYFUNCTION("""COMPUTED_VALUE"""),"")</f>
        <v/>
      </c>
      <c r="K30" s="51">
        <f t="shared" si="1"/>
        <v>0</v>
      </c>
      <c r="L30" s="51" t="s">
        <v>257</v>
      </c>
      <c r="M30" s="51"/>
      <c r="N30" s="51"/>
      <c r="O30" s="51"/>
      <c r="P30" s="51"/>
      <c r="Q30" s="51"/>
      <c r="R30" s="51"/>
      <c r="S30" s="51"/>
      <c r="T30" s="51"/>
    </row>
    <row r="31">
      <c r="A31" s="51"/>
      <c r="B31" s="51"/>
      <c r="C31" s="56"/>
      <c r="D31" s="51"/>
      <c r="E31" s="51"/>
      <c r="F31" s="51"/>
      <c r="G31" s="51" t="str">
        <f>IFERROR(__xludf.DUMMYFUNCTION("""COMPUTED_VALUE"""),"#VALUE!")</f>
        <v>#VALUE!</v>
      </c>
      <c r="H31" s="51" t="str">
        <f>IFERROR(__xludf.DUMMYFUNCTION("""COMPUTED_VALUE"""),"")</f>
        <v/>
      </c>
      <c r="I31" s="51" t="str">
        <f>IFERROR(__xludf.DUMMYFUNCTION("""COMPUTED_VALUE"""),"#VALUE!")</f>
        <v>#VALUE!</v>
      </c>
      <c r="J31" s="51" t="str">
        <f>IFERROR(__xludf.DUMMYFUNCTION("""COMPUTED_VALUE"""),"")</f>
        <v/>
      </c>
      <c r="K31" s="51">
        <f t="shared" si="1"/>
        <v>0</v>
      </c>
      <c r="L31" s="51" t="s">
        <v>257</v>
      </c>
      <c r="M31" s="51"/>
      <c r="N31" s="51"/>
      <c r="O31" s="51"/>
      <c r="P31" s="51"/>
      <c r="Q31" s="51"/>
      <c r="R31" s="51"/>
      <c r="S31" s="51"/>
      <c r="T31" s="51"/>
    </row>
    <row r="32">
      <c r="A32" s="51"/>
      <c r="B32" s="51"/>
      <c r="C32" s="56"/>
      <c r="D32" s="51"/>
      <c r="E32" s="51"/>
      <c r="F32" s="51"/>
      <c r="G32" s="51" t="str">
        <f>IFERROR(__xludf.DUMMYFUNCTION("""COMPUTED_VALUE"""),"#VALUE!")</f>
        <v>#VALUE!</v>
      </c>
      <c r="H32" s="51" t="str">
        <f>IFERROR(__xludf.DUMMYFUNCTION("""COMPUTED_VALUE"""),"")</f>
        <v/>
      </c>
      <c r="I32" s="51" t="str">
        <f>IFERROR(__xludf.DUMMYFUNCTION("""COMPUTED_VALUE"""),"#VALUE!")</f>
        <v>#VALUE!</v>
      </c>
      <c r="J32" s="51" t="str">
        <f>IFERROR(__xludf.DUMMYFUNCTION("""COMPUTED_VALUE"""),"")</f>
        <v/>
      </c>
      <c r="K32" s="51">
        <f t="shared" si="1"/>
        <v>0</v>
      </c>
      <c r="L32" s="51" t="s">
        <v>257</v>
      </c>
      <c r="M32" s="51"/>
      <c r="N32" s="51"/>
      <c r="O32" s="51"/>
      <c r="P32" s="51"/>
      <c r="Q32" s="51"/>
      <c r="R32" s="51"/>
      <c r="S32" s="51"/>
      <c r="T32" s="51"/>
    </row>
    <row r="33">
      <c r="A33" s="51"/>
      <c r="B33" s="51"/>
      <c r="C33" s="56"/>
      <c r="D33" s="51"/>
      <c r="E33" s="51"/>
      <c r="F33" s="51"/>
      <c r="G33" s="51" t="str">
        <f>IFERROR(__xludf.DUMMYFUNCTION("""COMPUTED_VALUE"""),"#VALUE!")</f>
        <v>#VALUE!</v>
      </c>
      <c r="H33" s="51" t="str">
        <f>IFERROR(__xludf.DUMMYFUNCTION("""COMPUTED_VALUE"""),"")</f>
        <v/>
      </c>
      <c r="I33" s="51" t="str">
        <f>IFERROR(__xludf.DUMMYFUNCTION("""COMPUTED_VALUE"""),"#VALUE!")</f>
        <v>#VALUE!</v>
      </c>
      <c r="J33" s="51" t="str">
        <f>IFERROR(__xludf.DUMMYFUNCTION("""COMPUTED_VALUE"""),"")</f>
        <v/>
      </c>
      <c r="K33" s="51">
        <f t="shared" si="1"/>
        <v>0</v>
      </c>
      <c r="L33" s="51" t="s">
        <v>257</v>
      </c>
      <c r="M33" s="51"/>
      <c r="N33" s="51"/>
      <c r="O33" s="51"/>
      <c r="P33" s="51"/>
      <c r="Q33" s="51"/>
      <c r="R33" s="51"/>
      <c r="S33" s="51"/>
      <c r="T33" s="51"/>
    </row>
    <row r="34">
      <c r="A34" s="51"/>
      <c r="B34" s="51"/>
      <c r="C34" s="56"/>
      <c r="D34" s="51"/>
      <c r="E34" s="51"/>
      <c r="F34" s="51"/>
      <c r="G34" s="51" t="str">
        <f>IFERROR(__xludf.DUMMYFUNCTION("""COMPUTED_VALUE"""),"#VALUE!")</f>
        <v>#VALUE!</v>
      </c>
      <c r="H34" s="51" t="str">
        <f>IFERROR(__xludf.DUMMYFUNCTION("""COMPUTED_VALUE"""),"")</f>
        <v/>
      </c>
      <c r="I34" s="51" t="str">
        <f>IFERROR(__xludf.DUMMYFUNCTION("""COMPUTED_VALUE"""),"#VALUE!")</f>
        <v>#VALUE!</v>
      </c>
      <c r="J34" s="51" t="str">
        <f>IFERROR(__xludf.DUMMYFUNCTION("""COMPUTED_VALUE"""),"")</f>
        <v/>
      </c>
      <c r="K34" s="51">
        <f t="shared" si="1"/>
        <v>0</v>
      </c>
      <c r="L34" s="51" t="s">
        <v>257</v>
      </c>
      <c r="M34" s="51"/>
      <c r="N34" s="51"/>
      <c r="O34" s="51"/>
      <c r="P34" s="51"/>
      <c r="Q34" s="51"/>
      <c r="R34" s="51"/>
      <c r="S34" s="51"/>
      <c r="T34" s="51"/>
    </row>
    <row r="35">
      <c r="A35" s="51"/>
      <c r="B35" s="51"/>
      <c r="C35" s="56"/>
      <c r="D35" s="51"/>
      <c r="E35" s="51"/>
      <c r="F35" s="51"/>
      <c r="G35" s="51" t="str">
        <f>IFERROR(__xludf.DUMMYFUNCTION("""COMPUTED_VALUE"""),"#VALUE!")</f>
        <v>#VALUE!</v>
      </c>
      <c r="H35" s="51" t="str">
        <f>IFERROR(__xludf.DUMMYFUNCTION("""COMPUTED_VALUE"""),"")</f>
        <v/>
      </c>
      <c r="I35" s="51" t="str">
        <f>IFERROR(__xludf.DUMMYFUNCTION("""COMPUTED_VALUE"""),"#VALUE!")</f>
        <v>#VALUE!</v>
      </c>
      <c r="J35" s="51" t="str">
        <f>IFERROR(__xludf.DUMMYFUNCTION("""COMPUTED_VALUE"""),"")</f>
        <v/>
      </c>
      <c r="K35" s="51">
        <f t="shared" si="1"/>
        <v>0</v>
      </c>
      <c r="L35" s="51" t="s">
        <v>257</v>
      </c>
      <c r="M35" s="51"/>
      <c r="N35" s="51"/>
      <c r="O35" s="51"/>
      <c r="P35" s="51"/>
      <c r="Q35" s="51"/>
      <c r="R35" s="51"/>
      <c r="S35" s="51"/>
      <c r="T35" s="51"/>
    </row>
    <row r="36">
      <c r="A36" s="51"/>
      <c r="B36" s="51"/>
      <c r="C36" s="56"/>
      <c r="D36" s="51"/>
      <c r="E36" s="51"/>
      <c r="F36" s="51"/>
      <c r="G36" s="51" t="str">
        <f>IFERROR(__xludf.DUMMYFUNCTION("""COMPUTED_VALUE"""),"#VALUE!")</f>
        <v>#VALUE!</v>
      </c>
      <c r="H36" s="51" t="str">
        <f>IFERROR(__xludf.DUMMYFUNCTION("""COMPUTED_VALUE"""),"")</f>
        <v/>
      </c>
      <c r="I36" s="51" t="str">
        <f>IFERROR(__xludf.DUMMYFUNCTION("""COMPUTED_VALUE"""),"#VALUE!")</f>
        <v>#VALUE!</v>
      </c>
      <c r="J36" s="51" t="str">
        <f>IFERROR(__xludf.DUMMYFUNCTION("""COMPUTED_VALUE"""),"")</f>
        <v/>
      </c>
      <c r="K36" s="51">
        <f t="shared" si="1"/>
        <v>0</v>
      </c>
      <c r="L36" s="51" t="s">
        <v>257</v>
      </c>
      <c r="M36" s="51"/>
      <c r="N36" s="51"/>
      <c r="O36" s="51"/>
      <c r="P36" s="51"/>
      <c r="Q36" s="51"/>
      <c r="R36" s="51"/>
      <c r="S36" s="51"/>
      <c r="T36" s="51"/>
    </row>
    <row r="37">
      <c r="A37" s="51"/>
      <c r="B37" s="51"/>
      <c r="C37" s="56"/>
      <c r="D37" s="51"/>
      <c r="E37" s="51"/>
      <c r="F37" s="51"/>
      <c r="G37" s="51" t="str">
        <f>IFERROR(__xludf.DUMMYFUNCTION("""COMPUTED_VALUE"""),"#VALUE!")</f>
        <v>#VALUE!</v>
      </c>
      <c r="H37" s="51" t="str">
        <f>IFERROR(__xludf.DUMMYFUNCTION("""COMPUTED_VALUE"""),"")</f>
        <v/>
      </c>
      <c r="I37" s="51" t="str">
        <f>IFERROR(__xludf.DUMMYFUNCTION("""COMPUTED_VALUE"""),"#VALUE!")</f>
        <v>#VALUE!</v>
      </c>
      <c r="J37" s="51" t="str">
        <f>IFERROR(__xludf.DUMMYFUNCTION("""COMPUTED_VALUE"""),"")</f>
        <v/>
      </c>
      <c r="K37" s="51">
        <f t="shared" si="1"/>
        <v>0</v>
      </c>
      <c r="L37" s="51" t="s">
        <v>257</v>
      </c>
      <c r="M37" s="51"/>
      <c r="N37" s="51"/>
      <c r="O37" s="51"/>
      <c r="P37" s="51"/>
      <c r="Q37" s="51"/>
      <c r="R37" s="51"/>
      <c r="S37" s="51"/>
      <c r="T37" s="51"/>
    </row>
    <row r="38">
      <c r="A38" s="51"/>
      <c r="B38" s="51"/>
      <c r="C38" s="56"/>
      <c r="D38" s="51"/>
      <c r="E38" s="51"/>
      <c r="F38" s="51"/>
      <c r="G38" s="51" t="str">
        <f>IFERROR(__xludf.DUMMYFUNCTION("""COMPUTED_VALUE"""),"#VALUE!")</f>
        <v>#VALUE!</v>
      </c>
      <c r="H38" s="51" t="str">
        <f>IFERROR(__xludf.DUMMYFUNCTION("""COMPUTED_VALUE"""),"")</f>
        <v/>
      </c>
      <c r="I38" s="51" t="str">
        <f>IFERROR(__xludf.DUMMYFUNCTION("""COMPUTED_VALUE"""),"#VALUE!")</f>
        <v>#VALUE!</v>
      </c>
      <c r="J38" s="51" t="str">
        <f>IFERROR(__xludf.DUMMYFUNCTION("""COMPUTED_VALUE"""),"")</f>
        <v/>
      </c>
      <c r="K38" s="51">
        <f t="shared" si="1"/>
        <v>0</v>
      </c>
      <c r="L38" s="51" t="s">
        <v>257</v>
      </c>
      <c r="M38" s="51"/>
      <c r="N38" s="51"/>
      <c r="O38" s="51"/>
      <c r="P38" s="51"/>
      <c r="Q38" s="51"/>
      <c r="R38" s="51"/>
      <c r="S38" s="51"/>
      <c r="T38" s="51"/>
    </row>
    <row r="39">
      <c r="A39" s="51"/>
      <c r="B39" s="51"/>
      <c r="C39" s="56"/>
      <c r="D39" s="51"/>
      <c r="E39" s="51"/>
      <c r="F39" s="51"/>
      <c r="G39" s="51" t="str">
        <f>IFERROR(__xludf.DUMMYFUNCTION("""COMPUTED_VALUE"""),"#VALUE!")</f>
        <v>#VALUE!</v>
      </c>
      <c r="H39" s="51" t="str">
        <f>IFERROR(__xludf.DUMMYFUNCTION("""COMPUTED_VALUE"""),"")</f>
        <v/>
      </c>
      <c r="I39" s="51" t="str">
        <f>IFERROR(__xludf.DUMMYFUNCTION("""COMPUTED_VALUE"""),"#VALUE!")</f>
        <v>#VALUE!</v>
      </c>
      <c r="J39" s="51" t="str">
        <f>IFERROR(__xludf.DUMMYFUNCTION("""COMPUTED_VALUE"""),"")</f>
        <v/>
      </c>
      <c r="K39" s="51">
        <f t="shared" si="1"/>
        <v>0</v>
      </c>
      <c r="L39" s="51" t="s">
        <v>257</v>
      </c>
      <c r="M39" s="51"/>
      <c r="N39" s="51"/>
      <c r="O39" s="51"/>
      <c r="P39" s="51"/>
      <c r="Q39" s="51"/>
      <c r="R39" s="51"/>
      <c r="S39" s="51"/>
      <c r="T39" s="51"/>
    </row>
    <row r="40">
      <c r="A40" s="51"/>
      <c r="B40" s="51"/>
      <c r="C40" s="56"/>
      <c r="D40" s="51"/>
      <c r="E40" s="51"/>
      <c r="F40" s="51"/>
      <c r="G40" s="51" t="str">
        <f>IFERROR(__xludf.DUMMYFUNCTION("""COMPUTED_VALUE"""),"#VALUE!")</f>
        <v>#VALUE!</v>
      </c>
      <c r="H40" s="51" t="str">
        <f>IFERROR(__xludf.DUMMYFUNCTION("""COMPUTED_VALUE"""),"")</f>
        <v/>
      </c>
      <c r="I40" s="51" t="str">
        <f>IFERROR(__xludf.DUMMYFUNCTION("""COMPUTED_VALUE"""),"#VALUE!")</f>
        <v>#VALUE!</v>
      </c>
      <c r="J40" s="51" t="str">
        <f>IFERROR(__xludf.DUMMYFUNCTION("""COMPUTED_VALUE"""),"")</f>
        <v/>
      </c>
      <c r="K40" s="51">
        <f t="shared" si="1"/>
        <v>0</v>
      </c>
      <c r="L40" s="51" t="s">
        <v>257</v>
      </c>
      <c r="M40" s="51"/>
      <c r="N40" s="51"/>
      <c r="O40" s="51"/>
      <c r="P40" s="51"/>
      <c r="Q40" s="51"/>
      <c r="R40" s="51"/>
      <c r="S40" s="51"/>
      <c r="T40" s="51"/>
    </row>
    <row r="41">
      <c r="A41" s="51"/>
      <c r="B41" s="51"/>
      <c r="C41" s="56"/>
      <c r="D41" s="51"/>
      <c r="E41" s="51"/>
      <c r="F41" s="51"/>
      <c r="G41" s="51" t="str">
        <f>IFERROR(__xludf.DUMMYFUNCTION("""COMPUTED_VALUE"""),"#VALUE!")</f>
        <v>#VALUE!</v>
      </c>
      <c r="H41" s="51" t="str">
        <f>IFERROR(__xludf.DUMMYFUNCTION("""COMPUTED_VALUE"""),"")</f>
        <v/>
      </c>
      <c r="I41" s="51" t="str">
        <f>IFERROR(__xludf.DUMMYFUNCTION("""COMPUTED_VALUE"""),"#VALUE!")</f>
        <v>#VALUE!</v>
      </c>
      <c r="J41" s="51" t="str">
        <f>IFERROR(__xludf.DUMMYFUNCTION("""COMPUTED_VALUE"""),"")</f>
        <v/>
      </c>
      <c r="K41" s="51">
        <f t="shared" si="1"/>
        <v>0</v>
      </c>
      <c r="L41" s="51" t="s">
        <v>257</v>
      </c>
      <c r="M41" s="51"/>
      <c r="N41" s="51"/>
      <c r="O41" s="51"/>
      <c r="P41" s="51"/>
      <c r="Q41" s="51"/>
      <c r="R41" s="51"/>
      <c r="S41" s="51"/>
      <c r="T41" s="51"/>
    </row>
    <row r="42">
      <c r="A42" s="51"/>
      <c r="B42" s="51"/>
      <c r="C42" s="56"/>
      <c r="D42" s="51"/>
      <c r="E42" s="51"/>
      <c r="F42" s="51"/>
      <c r="G42" s="51" t="str">
        <f>IFERROR(__xludf.DUMMYFUNCTION("""COMPUTED_VALUE"""),"#VALUE!")</f>
        <v>#VALUE!</v>
      </c>
      <c r="H42" s="51" t="str">
        <f>IFERROR(__xludf.DUMMYFUNCTION("""COMPUTED_VALUE"""),"")</f>
        <v/>
      </c>
      <c r="I42" s="51" t="str">
        <f>IFERROR(__xludf.DUMMYFUNCTION("""COMPUTED_VALUE"""),"#VALUE!")</f>
        <v>#VALUE!</v>
      </c>
      <c r="J42" s="51" t="str">
        <f>IFERROR(__xludf.DUMMYFUNCTION("""COMPUTED_VALUE"""),"")</f>
        <v/>
      </c>
      <c r="K42" s="51">
        <f t="shared" si="1"/>
        <v>0</v>
      </c>
      <c r="L42" s="51" t="s">
        <v>257</v>
      </c>
      <c r="M42" s="51"/>
      <c r="N42" s="51"/>
      <c r="O42" s="51"/>
      <c r="P42" s="51"/>
      <c r="Q42" s="51"/>
      <c r="R42" s="51"/>
      <c r="S42" s="51"/>
      <c r="T42" s="51"/>
    </row>
    <row r="43">
      <c r="A43" s="51"/>
      <c r="B43" s="51"/>
      <c r="C43" s="56"/>
      <c r="D43" s="51"/>
      <c r="E43" s="51"/>
      <c r="F43" s="51"/>
      <c r="G43" s="51" t="str">
        <f>IFERROR(__xludf.DUMMYFUNCTION("""COMPUTED_VALUE"""),"#VALUE!")</f>
        <v>#VALUE!</v>
      </c>
      <c r="H43" s="51" t="str">
        <f>IFERROR(__xludf.DUMMYFUNCTION("""COMPUTED_VALUE"""),"")</f>
        <v/>
      </c>
      <c r="I43" s="51" t="str">
        <f>IFERROR(__xludf.DUMMYFUNCTION("""COMPUTED_VALUE"""),"#VALUE!")</f>
        <v>#VALUE!</v>
      </c>
      <c r="J43" s="51" t="str">
        <f>IFERROR(__xludf.DUMMYFUNCTION("""COMPUTED_VALUE"""),"")</f>
        <v/>
      </c>
      <c r="K43" s="51">
        <f t="shared" si="1"/>
        <v>0</v>
      </c>
      <c r="L43" s="51" t="s">
        <v>257</v>
      </c>
      <c r="M43" s="51"/>
      <c r="N43" s="51"/>
      <c r="O43" s="51"/>
      <c r="P43" s="51"/>
      <c r="Q43" s="51"/>
      <c r="R43" s="51"/>
      <c r="S43" s="51"/>
      <c r="T43" s="51"/>
    </row>
    <row r="44">
      <c r="A44" s="51"/>
      <c r="B44" s="51"/>
      <c r="C44" s="56"/>
      <c r="D44" s="51"/>
      <c r="E44" s="51"/>
      <c r="F44" s="51"/>
      <c r="G44" s="51" t="str">
        <f>IFERROR(__xludf.DUMMYFUNCTION("""COMPUTED_VALUE"""),"#VALUE!")</f>
        <v>#VALUE!</v>
      </c>
      <c r="H44" s="51" t="str">
        <f>IFERROR(__xludf.DUMMYFUNCTION("""COMPUTED_VALUE"""),"")</f>
        <v/>
      </c>
      <c r="I44" s="51" t="str">
        <f>IFERROR(__xludf.DUMMYFUNCTION("""COMPUTED_VALUE"""),"#VALUE!")</f>
        <v>#VALUE!</v>
      </c>
      <c r="J44" s="51" t="str">
        <f>IFERROR(__xludf.DUMMYFUNCTION("""COMPUTED_VALUE"""),"")</f>
        <v/>
      </c>
      <c r="K44" s="51">
        <f t="shared" si="1"/>
        <v>0</v>
      </c>
      <c r="L44" s="51" t="s">
        <v>257</v>
      </c>
      <c r="M44" s="51"/>
      <c r="N44" s="51"/>
      <c r="O44" s="51"/>
      <c r="P44" s="51"/>
      <c r="Q44" s="51"/>
      <c r="R44" s="51"/>
      <c r="S44" s="51"/>
      <c r="T44" s="51"/>
    </row>
    <row r="45">
      <c r="A45" s="51"/>
      <c r="B45" s="51"/>
      <c r="C45" s="56"/>
      <c r="D45" s="51"/>
      <c r="E45" s="51"/>
      <c r="F45" s="51"/>
      <c r="G45" s="51" t="str">
        <f>IFERROR(__xludf.DUMMYFUNCTION("""COMPUTED_VALUE"""),"#VALUE!")</f>
        <v>#VALUE!</v>
      </c>
      <c r="H45" s="51" t="str">
        <f>IFERROR(__xludf.DUMMYFUNCTION("""COMPUTED_VALUE"""),"")</f>
        <v/>
      </c>
      <c r="I45" s="51" t="str">
        <f>IFERROR(__xludf.DUMMYFUNCTION("""COMPUTED_VALUE"""),"#VALUE!")</f>
        <v>#VALUE!</v>
      </c>
      <c r="J45" s="51" t="str">
        <f>IFERROR(__xludf.DUMMYFUNCTION("""COMPUTED_VALUE"""),"")</f>
        <v/>
      </c>
      <c r="K45" s="51">
        <f t="shared" si="1"/>
        <v>0</v>
      </c>
      <c r="L45" s="51" t="s">
        <v>257</v>
      </c>
      <c r="M45" s="51"/>
      <c r="N45" s="51"/>
      <c r="O45" s="51"/>
      <c r="P45" s="51"/>
      <c r="Q45" s="51"/>
      <c r="R45" s="51"/>
      <c r="S45" s="51"/>
      <c r="T45" s="51"/>
    </row>
    <row r="46">
      <c r="A46" s="51"/>
      <c r="B46" s="51"/>
      <c r="C46" s="56"/>
      <c r="D46" s="51"/>
      <c r="E46" s="51"/>
      <c r="F46" s="51"/>
      <c r="G46" s="51" t="str">
        <f>IFERROR(__xludf.DUMMYFUNCTION("""COMPUTED_VALUE"""),"#VALUE!")</f>
        <v>#VALUE!</v>
      </c>
      <c r="H46" s="51" t="str">
        <f>IFERROR(__xludf.DUMMYFUNCTION("""COMPUTED_VALUE"""),"")</f>
        <v/>
      </c>
      <c r="I46" s="51" t="str">
        <f>IFERROR(__xludf.DUMMYFUNCTION("""COMPUTED_VALUE"""),"#VALUE!")</f>
        <v>#VALUE!</v>
      </c>
      <c r="J46" s="51" t="str">
        <f>IFERROR(__xludf.DUMMYFUNCTION("""COMPUTED_VALUE"""),"")</f>
        <v/>
      </c>
      <c r="K46" s="51">
        <f t="shared" si="1"/>
        <v>0</v>
      </c>
      <c r="L46" s="51" t="s">
        <v>257</v>
      </c>
      <c r="M46" s="51"/>
      <c r="N46" s="51"/>
      <c r="O46" s="51"/>
      <c r="P46" s="51"/>
      <c r="Q46" s="51"/>
      <c r="R46" s="51"/>
      <c r="S46" s="51"/>
      <c r="T46" s="51"/>
    </row>
    <row r="47">
      <c r="A47" s="51"/>
      <c r="B47" s="51"/>
      <c r="C47" s="56"/>
      <c r="D47" s="51"/>
      <c r="E47" s="51"/>
      <c r="F47" s="51"/>
      <c r="G47" s="51" t="str">
        <f>IFERROR(__xludf.DUMMYFUNCTION("""COMPUTED_VALUE"""),"#VALUE!")</f>
        <v>#VALUE!</v>
      </c>
      <c r="H47" s="51" t="str">
        <f>IFERROR(__xludf.DUMMYFUNCTION("""COMPUTED_VALUE"""),"")</f>
        <v/>
      </c>
      <c r="I47" s="51" t="str">
        <f>IFERROR(__xludf.DUMMYFUNCTION("""COMPUTED_VALUE"""),"#VALUE!")</f>
        <v>#VALUE!</v>
      </c>
      <c r="J47" s="51" t="str">
        <f>IFERROR(__xludf.DUMMYFUNCTION("""COMPUTED_VALUE"""),"")</f>
        <v/>
      </c>
      <c r="K47" s="51">
        <f t="shared" si="1"/>
        <v>0</v>
      </c>
      <c r="L47" s="51" t="s">
        <v>257</v>
      </c>
      <c r="M47" s="51"/>
      <c r="N47" s="51"/>
      <c r="O47" s="51"/>
      <c r="P47" s="51"/>
      <c r="Q47" s="51"/>
      <c r="R47" s="51"/>
      <c r="S47" s="51"/>
      <c r="T47" s="51"/>
    </row>
    <row r="48">
      <c r="A48" s="51"/>
      <c r="B48" s="51"/>
      <c r="C48" s="56"/>
      <c r="D48" s="51"/>
      <c r="E48" s="51"/>
      <c r="F48" s="51"/>
      <c r="G48" s="51" t="str">
        <f>IFERROR(__xludf.DUMMYFUNCTION("""COMPUTED_VALUE"""),"#VALUE!")</f>
        <v>#VALUE!</v>
      </c>
      <c r="H48" s="51" t="str">
        <f>IFERROR(__xludf.DUMMYFUNCTION("""COMPUTED_VALUE"""),"")</f>
        <v/>
      </c>
      <c r="I48" s="51" t="str">
        <f>IFERROR(__xludf.DUMMYFUNCTION("""COMPUTED_VALUE"""),"#VALUE!")</f>
        <v>#VALUE!</v>
      </c>
      <c r="J48" s="51" t="str">
        <f>IFERROR(__xludf.DUMMYFUNCTION("""COMPUTED_VALUE"""),"")</f>
        <v/>
      </c>
      <c r="K48" s="51">
        <f t="shared" si="1"/>
        <v>0</v>
      </c>
      <c r="L48" s="51" t="s">
        <v>257</v>
      </c>
      <c r="M48" s="51"/>
      <c r="N48" s="51"/>
      <c r="O48" s="51"/>
      <c r="P48" s="51"/>
      <c r="Q48" s="51"/>
      <c r="R48" s="51"/>
      <c r="S48" s="51"/>
      <c r="T48" s="51"/>
    </row>
    <row r="49">
      <c r="A49" s="51"/>
      <c r="B49" s="51"/>
      <c r="C49" s="56"/>
      <c r="D49" s="51"/>
      <c r="E49" s="51"/>
      <c r="F49" s="51"/>
      <c r="G49" s="51" t="str">
        <f>IFERROR(__xludf.DUMMYFUNCTION("""COMPUTED_VALUE"""),"#VALUE!")</f>
        <v>#VALUE!</v>
      </c>
      <c r="H49" s="51" t="str">
        <f>IFERROR(__xludf.DUMMYFUNCTION("""COMPUTED_VALUE"""),"")</f>
        <v/>
      </c>
      <c r="I49" s="51" t="str">
        <f>IFERROR(__xludf.DUMMYFUNCTION("""COMPUTED_VALUE"""),"#VALUE!")</f>
        <v>#VALUE!</v>
      </c>
      <c r="J49" s="51" t="str">
        <f>IFERROR(__xludf.DUMMYFUNCTION("""COMPUTED_VALUE"""),"")</f>
        <v/>
      </c>
      <c r="K49" s="51"/>
      <c r="L49" s="51" t="s">
        <v>257</v>
      </c>
      <c r="M49" s="51"/>
      <c r="N49" s="51"/>
      <c r="O49" s="51"/>
      <c r="P49" s="51"/>
      <c r="Q49" s="51"/>
      <c r="R49" s="51"/>
      <c r="S49" s="51"/>
      <c r="T49" s="51"/>
    </row>
    <row r="50">
      <c r="A50" s="51"/>
      <c r="B50" s="51"/>
      <c r="C50" s="56"/>
      <c r="D50" s="51"/>
      <c r="E50" s="51"/>
      <c r="F50" s="51"/>
      <c r="G50" s="51" t="str">
        <f>IFERROR(__xludf.DUMMYFUNCTION("""COMPUTED_VALUE"""),"#VALUE!")</f>
        <v>#VALUE!</v>
      </c>
      <c r="H50" s="51" t="str">
        <f>IFERROR(__xludf.DUMMYFUNCTION("""COMPUTED_VALUE"""),"")</f>
        <v/>
      </c>
      <c r="I50" s="51" t="str">
        <f>IFERROR(__xludf.DUMMYFUNCTION("""COMPUTED_VALUE"""),"#VALUE!")</f>
        <v>#VALUE!</v>
      </c>
      <c r="J50" s="51" t="str">
        <f>IFERROR(__xludf.DUMMYFUNCTION("""COMPUTED_VALUE"""),"")</f>
        <v/>
      </c>
      <c r="K50" s="51"/>
      <c r="L50" s="51" t="s">
        <v>257</v>
      </c>
      <c r="M50" s="51"/>
      <c r="N50" s="51"/>
      <c r="O50" s="51"/>
      <c r="P50" s="51"/>
      <c r="Q50" s="51"/>
      <c r="R50" s="51"/>
      <c r="S50" s="51"/>
      <c r="T50" s="51"/>
    </row>
    <row r="51">
      <c r="A51" s="51"/>
      <c r="B51" s="51"/>
      <c r="C51" s="56"/>
      <c r="D51" s="51"/>
      <c r="E51" s="51"/>
      <c r="F51" s="51"/>
      <c r="G51" s="51" t="str">
        <f>IFERROR(__xludf.DUMMYFUNCTION("""COMPUTED_VALUE"""),"#VALUE!")</f>
        <v>#VALUE!</v>
      </c>
      <c r="H51" s="51" t="str">
        <f>IFERROR(__xludf.DUMMYFUNCTION("""COMPUTED_VALUE"""),"")</f>
        <v/>
      </c>
      <c r="I51" s="51" t="str">
        <f>IFERROR(__xludf.DUMMYFUNCTION("""COMPUTED_VALUE"""),"#VALUE!")</f>
        <v>#VALUE!</v>
      </c>
      <c r="J51" s="51" t="str">
        <f>IFERROR(__xludf.DUMMYFUNCTION("""COMPUTED_VALUE"""),"")</f>
        <v/>
      </c>
      <c r="K51" s="51"/>
      <c r="L51" s="51" t="s">
        <v>257</v>
      </c>
      <c r="M51" s="51"/>
      <c r="N51" s="51"/>
      <c r="O51" s="51"/>
      <c r="P51" s="51"/>
      <c r="Q51" s="51"/>
      <c r="R51" s="51"/>
      <c r="S51" s="51"/>
      <c r="T51" s="51"/>
    </row>
    <row r="52">
      <c r="A52" s="51"/>
      <c r="B52" s="51"/>
      <c r="C52" s="56"/>
      <c r="D52" s="51"/>
      <c r="E52" s="51"/>
      <c r="F52" s="51"/>
      <c r="G52" s="51" t="str">
        <f>IFERROR(__xludf.DUMMYFUNCTION("""COMPUTED_VALUE"""),"#VALUE!")</f>
        <v>#VALUE!</v>
      </c>
      <c r="H52" s="51" t="str">
        <f>IFERROR(__xludf.DUMMYFUNCTION("""COMPUTED_VALUE"""),"")</f>
        <v/>
      </c>
      <c r="I52" s="51" t="str">
        <f>IFERROR(__xludf.DUMMYFUNCTION("""COMPUTED_VALUE"""),"#VALUE!")</f>
        <v>#VALUE!</v>
      </c>
      <c r="J52" s="51" t="str">
        <f>IFERROR(__xludf.DUMMYFUNCTION("""COMPUTED_VALUE"""),"")</f>
        <v/>
      </c>
      <c r="K52" s="51"/>
      <c r="L52" s="51" t="s">
        <v>257</v>
      </c>
      <c r="M52" s="51"/>
      <c r="N52" s="51"/>
      <c r="O52" s="51"/>
      <c r="P52" s="51"/>
      <c r="Q52" s="51"/>
      <c r="R52" s="51"/>
      <c r="S52" s="51"/>
      <c r="T52" s="51"/>
    </row>
    <row r="53">
      <c r="A53" s="51"/>
      <c r="B53" s="51"/>
      <c r="C53" s="56"/>
      <c r="D53" s="51"/>
      <c r="E53" s="51"/>
      <c r="F53" s="51"/>
      <c r="G53" s="51" t="str">
        <f>IFERROR(__xludf.DUMMYFUNCTION("""COMPUTED_VALUE"""),"#VALUE!")</f>
        <v>#VALUE!</v>
      </c>
      <c r="H53" s="51" t="str">
        <f>IFERROR(__xludf.DUMMYFUNCTION("""COMPUTED_VALUE"""),"")</f>
        <v/>
      </c>
      <c r="I53" s="51" t="str">
        <f>IFERROR(__xludf.DUMMYFUNCTION("""COMPUTED_VALUE"""),"#VALUE!")</f>
        <v>#VALUE!</v>
      </c>
      <c r="J53" s="51" t="str">
        <f>IFERROR(__xludf.DUMMYFUNCTION("""COMPUTED_VALUE"""),"")</f>
        <v/>
      </c>
      <c r="K53" s="51"/>
      <c r="L53" s="51" t="s">
        <v>257</v>
      </c>
      <c r="M53" s="51"/>
      <c r="N53" s="51"/>
      <c r="O53" s="51"/>
      <c r="P53" s="51"/>
      <c r="Q53" s="51"/>
      <c r="R53" s="51"/>
      <c r="S53" s="51"/>
      <c r="T53" s="51"/>
    </row>
    <row r="54">
      <c r="A54" s="51"/>
      <c r="B54" s="51"/>
      <c r="C54" s="56"/>
      <c r="D54" s="51"/>
      <c r="E54" s="51"/>
      <c r="F54" s="51"/>
      <c r="G54" s="51" t="str">
        <f>IFERROR(__xludf.DUMMYFUNCTION("""COMPUTED_VALUE"""),"#VALUE!")</f>
        <v>#VALUE!</v>
      </c>
      <c r="H54" s="51" t="str">
        <f>IFERROR(__xludf.DUMMYFUNCTION("""COMPUTED_VALUE"""),"")</f>
        <v/>
      </c>
      <c r="I54" s="51" t="str">
        <f>IFERROR(__xludf.DUMMYFUNCTION("""COMPUTED_VALUE"""),"#VALUE!")</f>
        <v>#VALUE!</v>
      </c>
      <c r="J54" s="51" t="str">
        <f>IFERROR(__xludf.DUMMYFUNCTION("""COMPUTED_VALUE"""),"")</f>
        <v/>
      </c>
      <c r="K54" s="51"/>
      <c r="L54" s="51" t="s">
        <v>257</v>
      </c>
      <c r="M54" s="51"/>
      <c r="N54" s="51"/>
      <c r="O54" s="51"/>
      <c r="P54" s="51"/>
      <c r="Q54" s="51"/>
      <c r="R54" s="51"/>
      <c r="S54" s="51"/>
      <c r="T54" s="51"/>
    </row>
    <row r="55">
      <c r="A55" s="51"/>
      <c r="B55" s="51"/>
      <c r="C55" s="56"/>
      <c r="D55" s="51"/>
      <c r="E55" s="51"/>
      <c r="F55" s="51"/>
      <c r="G55" s="51" t="str">
        <f>IFERROR(__xludf.DUMMYFUNCTION("""COMPUTED_VALUE"""),"#VALUE!")</f>
        <v>#VALUE!</v>
      </c>
      <c r="H55" s="51" t="str">
        <f>IFERROR(__xludf.DUMMYFUNCTION("""COMPUTED_VALUE"""),"")</f>
        <v/>
      </c>
      <c r="I55" s="51" t="str">
        <f>IFERROR(__xludf.DUMMYFUNCTION("""COMPUTED_VALUE"""),"#VALUE!")</f>
        <v>#VALUE!</v>
      </c>
      <c r="J55" s="51" t="str">
        <f>IFERROR(__xludf.DUMMYFUNCTION("""COMPUTED_VALUE"""),"")</f>
        <v/>
      </c>
      <c r="K55" s="51"/>
      <c r="L55" s="51" t="s">
        <v>257</v>
      </c>
      <c r="M55" s="51"/>
      <c r="N55" s="51"/>
      <c r="O55" s="51"/>
      <c r="P55" s="51"/>
      <c r="Q55" s="51"/>
      <c r="R55" s="51"/>
      <c r="S55" s="51"/>
      <c r="T55" s="51"/>
    </row>
    <row r="56">
      <c r="A56" s="51"/>
      <c r="B56" s="51"/>
      <c r="C56" s="56"/>
      <c r="D56" s="51"/>
      <c r="E56" s="51"/>
      <c r="F56" s="51"/>
      <c r="G56" s="51" t="str">
        <f>IFERROR(__xludf.DUMMYFUNCTION("""COMPUTED_VALUE"""),"#VALUE!")</f>
        <v>#VALUE!</v>
      </c>
      <c r="H56" s="51" t="str">
        <f>IFERROR(__xludf.DUMMYFUNCTION("""COMPUTED_VALUE"""),"")</f>
        <v/>
      </c>
      <c r="I56" s="51" t="str">
        <f>IFERROR(__xludf.DUMMYFUNCTION("""COMPUTED_VALUE"""),"#VALUE!")</f>
        <v>#VALUE!</v>
      </c>
      <c r="J56" s="51" t="str">
        <f>IFERROR(__xludf.DUMMYFUNCTION("""COMPUTED_VALUE"""),"")</f>
        <v/>
      </c>
      <c r="K56" s="51"/>
      <c r="L56" s="51" t="s">
        <v>257</v>
      </c>
      <c r="M56" s="51"/>
      <c r="N56" s="51"/>
      <c r="O56" s="51"/>
      <c r="P56" s="51"/>
      <c r="Q56" s="51"/>
      <c r="R56" s="51"/>
      <c r="S56" s="51"/>
      <c r="T56" s="51"/>
    </row>
    <row r="57">
      <c r="A57" s="51"/>
      <c r="B57" s="51"/>
      <c r="C57" s="56"/>
      <c r="D57" s="51"/>
      <c r="E57" s="51"/>
      <c r="F57" s="51"/>
      <c r="G57" s="51" t="str">
        <f>IFERROR(__xludf.DUMMYFUNCTION("""COMPUTED_VALUE"""),"#VALUE!")</f>
        <v>#VALUE!</v>
      </c>
      <c r="H57" s="51" t="str">
        <f>IFERROR(__xludf.DUMMYFUNCTION("""COMPUTED_VALUE"""),"")</f>
        <v/>
      </c>
      <c r="I57" s="51" t="str">
        <f>IFERROR(__xludf.DUMMYFUNCTION("""COMPUTED_VALUE"""),"#VALUE!")</f>
        <v>#VALUE!</v>
      </c>
      <c r="J57" s="51" t="str">
        <f>IFERROR(__xludf.DUMMYFUNCTION("""COMPUTED_VALUE"""),"")</f>
        <v/>
      </c>
      <c r="K57" s="51"/>
      <c r="L57" s="51" t="s">
        <v>257</v>
      </c>
      <c r="M57" s="51"/>
      <c r="N57" s="51"/>
      <c r="O57" s="51"/>
      <c r="P57" s="51"/>
      <c r="Q57" s="51"/>
      <c r="R57" s="51"/>
      <c r="S57" s="51"/>
      <c r="T57" s="51"/>
    </row>
    <row r="58">
      <c r="A58" s="51"/>
      <c r="B58" s="51"/>
      <c r="C58" s="56"/>
      <c r="D58" s="51"/>
      <c r="E58" s="51"/>
      <c r="F58" s="51"/>
      <c r="G58" s="51" t="str">
        <f>IFERROR(__xludf.DUMMYFUNCTION("""COMPUTED_VALUE"""),"#VALUE!")</f>
        <v>#VALUE!</v>
      </c>
      <c r="H58" s="51" t="str">
        <f>IFERROR(__xludf.DUMMYFUNCTION("""COMPUTED_VALUE"""),"")</f>
        <v/>
      </c>
      <c r="I58" s="51" t="str">
        <f>IFERROR(__xludf.DUMMYFUNCTION("""COMPUTED_VALUE"""),"#VALUE!")</f>
        <v>#VALUE!</v>
      </c>
      <c r="J58" s="51" t="str">
        <f>IFERROR(__xludf.DUMMYFUNCTION("""COMPUTED_VALUE"""),"")</f>
        <v/>
      </c>
      <c r="K58" s="51"/>
      <c r="L58" s="51" t="s">
        <v>257</v>
      </c>
      <c r="M58" s="51"/>
      <c r="N58" s="51"/>
      <c r="O58" s="51"/>
      <c r="P58" s="51"/>
      <c r="Q58" s="51"/>
      <c r="R58" s="51"/>
      <c r="S58" s="51"/>
      <c r="T58" s="51"/>
    </row>
    <row r="59">
      <c r="A59" s="51"/>
      <c r="B59" s="51"/>
      <c r="C59" s="56"/>
      <c r="D59" s="51"/>
      <c r="E59" s="51"/>
      <c r="F59" s="51"/>
      <c r="G59" s="51" t="str">
        <f>IFERROR(__xludf.DUMMYFUNCTION("""COMPUTED_VALUE"""),"#VALUE!")</f>
        <v>#VALUE!</v>
      </c>
      <c r="H59" s="51" t="str">
        <f>IFERROR(__xludf.DUMMYFUNCTION("""COMPUTED_VALUE"""),"")</f>
        <v/>
      </c>
      <c r="I59" s="51" t="str">
        <f>IFERROR(__xludf.DUMMYFUNCTION("""COMPUTED_VALUE"""),"#VALUE!")</f>
        <v>#VALUE!</v>
      </c>
      <c r="J59" s="51" t="str">
        <f>IFERROR(__xludf.DUMMYFUNCTION("""COMPUTED_VALUE"""),"")</f>
        <v/>
      </c>
      <c r="K59" s="51"/>
      <c r="L59" s="51" t="s">
        <v>257</v>
      </c>
      <c r="M59" s="51"/>
      <c r="N59" s="51"/>
      <c r="O59" s="51"/>
      <c r="P59" s="51"/>
      <c r="Q59" s="51"/>
      <c r="R59" s="51"/>
      <c r="S59" s="51"/>
      <c r="T59" s="51"/>
    </row>
    <row r="60">
      <c r="A60" s="51"/>
      <c r="B60" s="51"/>
      <c r="C60" s="56"/>
      <c r="D60" s="51"/>
      <c r="E60" s="51"/>
      <c r="F60" s="51"/>
      <c r="G60" s="51" t="str">
        <f>IFERROR(__xludf.DUMMYFUNCTION("""COMPUTED_VALUE"""),"#VALUE!")</f>
        <v>#VALUE!</v>
      </c>
      <c r="H60" s="51" t="str">
        <f>IFERROR(__xludf.DUMMYFUNCTION("""COMPUTED_VALUE"""),"")</f>
        <v/>
      </c>
      <c r="I60" s="51" t="str">
        <f>IFERROR(__xludf.DUMMYFUNCTION("""COMPUTED_VALUE"""),"#VALUE!")</f>
        <v>#VALUE!</v>
      </c>
      <c r="J60" s="51" t="str">
        <f>IFERROR(__xludf.DUMMYFUNCTION("""COMPUTED_VALUE"""),"")</f>
        <v/>
      </c>
      <c r="K60" s="51"/>
      <c r="L60" s="51" t="s">
        <v>257</v>
      </c>
      <c r="M60" s="51"/>
      <c r="N60" s="51"/>
      <c r="O60" s="51"/>
      <c r="P60" s="51"/>
      <c r="Q60" s="51"/>
      <c r="R60" s="51"/>
      <c r="S60" s="51"/>
      <c r="T60" s="51"/>
    </row>
    <row r="61">
      <c r="A61" s="51"/>
      <c r="B61" s="51"/>
      <c r="C61" s="56"/>
      <c r="D61" s="51"/>
      <c r="E61" s="51"/>
      <c r="F61" s="51"/>
      <c r="G61" s="51" t="str">
        <f>IFERROR(__xludf.DUMMYFUNCTION("""COMPUTED_VALUE"""),"#VALUE!")</f>
        <v>#VALUE!</v>
      </c>
      <c r="H61" s="51" t="str">
        <f>IFERROR(__xludf.DUMMYFUNCTION("""COMPUTED_VALUE"""),"")</f>
        <v/>
      </c>
      <c r="I61" s="51" t="str">
        <f>IFERROR(__xludf.DUMMYFUNCTION("""COMPUTED_VALUE"""),"#VALUE!")</f>
        <v>#VALUE!</v>
      </c>
      <c r="J61" s="51" t="str">
        <f>IFERROR(__xludf.DUMMYFUNCTION("""COMPUTED_VALUE"""),"")</f>
        <v/>
      </c>
      <c r="K61" s="51"/>
      <c r="L61" s="51" t="s">
        <v>257</v>
      </c>
      <c r="M61" s="51"/>
      <c r="N61" s="51"/>
      <c r="O61" s="51"/>
      <c r="P61" s="51"/>
      <c r="Q61" s="51"/>
      <c r="R61" s="51"/>
      <c r="S61" s="51"/>
      <c r="T61" s="51"/>
    </row>
    <row r="62">
      <c r="A62" s="51"/>
      <c r="B62" s="51"/>
      <c r="C62" s="56"/>
      <c r="D62" s="51"/>
      <c r="E62" s="51"/>
      <c r="F62" s="51"/>
      <c r="G62" s="51" t="str">
        <f>IFERROR(__xludf.DUMMYFUNCTION("""COMPUTED_VALUE"""),"#VALUE!")</f>
        <v>#VALUE!</v>
      </c>
      <c r="H62" s="51" t="str">
        <f>IFERROR(__xludf.DUMMYFUNCTION("""COMPUTED_VALUE"""),"")</f>
        <v/>
      </c>
      <c r="I62" s="51" t="str">
        <f>IFERROR(__xludf.DUMMYFUNCTION("""COMPUTED_VALUE"""),"#VALUE!")</f>
        <v>#VALUE!</v>
      </c>
      <c r="J62" s="51" t="str">
        <f>IFERROR(__xludf.DUMMYFUNCTION("""COMPUTED_VALUE"""),"")</f>
        <v/>
      </c>
      <c r="K62" s="51"/>
      <c r="L62" s="51" t="s">
        <v>257</v>
      </c>
      <c r="M62" s="51"/>
      <c r="N62" s="51"/>
      <c r="O62" s="51"/>
      <c r="P62" s="51"/>
      <c r="Q62" s="51"/>
      <c r="R62" s="51"/>
      <c r="S62" s="51"/>
      <c r="T62" s="51"/>
    </row>
    <row r="63">
      <c r="A63" s="51"/>
      <c r="B63" s="51"/>
      <c r="C63" s="56"/>
      <c r="D63" s="51"/>
      <c r="E63" s="51"/>
      <c r="F63" s="51"/>
      <c r="G63" s="51" t="str">
        <f>IFERROR(__xludf.DUMMYFUNCTION("""COMPUTED_VALUE"""),"#VALUE!")</f>
        <v>#VALUE!</v>
      </c>
      <c r="H63" s="51" t="str">
        <f>IFERROR(__xludf.DUMMYFUNCTION("""COMPUTED_VALUE"""),"")</f>
        <v/>
      </c>
      <c r="I63" s="51" t="str">
        <f>IFERROR(__xludf.DUMMYFUNCTION("""COMPUTED_VALUE"""),"#VALUE!")</f>
        <v>#VALUE!</v>
      </c>
      <c r="J63" s="51" t="str">
        <f>IFERROR(__xludf.DUMMYFUNCTION("""COMPUTED_VALUE"""),"")</f>
        <v/>
      </c>
      <c r="K63" s="51"/>
      <c r="L63" s="51" t="s">
        <v>257</v>
      </c>
      <c r="M63" s="51"/>
      <c r="N63" s="51"/>
      <c r="O63" s="51"/>
      <c r="P63" s="51"/>
      <c r="Q63" s="51"/>
      <c r="R63" s="51"/>
      <c r="S63" s="51"/>
      <c r="T63" s="51"/>
    </row>
    <row r="64">
      <c r="A64" s="51"/>
      <c r="B64" s="51"/>
      <c r="C64" s="56"/>
      <c r="D64" s="51"/>
      <c r="E64" s="51"/>
      <c r="F64" s="51"/>
      <c r="G64" s="51" t="str">
        <f>IFERROR(__xludf.DUMMYFUNCTION("""COMPUTED_VALUE"""),"#VALUE!")</f>
        <v>#VALUE!</v>
      </c>
      <c r="H64" s="51" t="str">
        <f>IFERROR(__xludf.DUMMYFUNCTION("""COMPUTED_VALUE"""),"")</f>
        <v/>
      </c>
      <c r="I64" s="51" t="str">
        <f>IFERROR(__xludf.DUMMYFUNCTION("""COMPUTED_VALUE"""),"#VALUE!")</f>
        <v>#VALUE!</v>
      </c>
      <c r="J64" s="51" t="str">
        <f>IFERROR(__xludf.DUMMYFUNCTION("""COMPUTED_VALUE"""),"")</f>
        <v/>
      </c>
      <c r="K64" s="51"/>
      <c r="L64" s="51" t="s">
        <v>257</v>
      </c>
      <c r="M64" s="51"/>
      <c r="N64" s="51"/>
      <c r="O64" s="51"/>
      <c r="P64" s="51"/>
      <c r="Q64" s="51"/>
      <c r="R64" s="51"/>
      <c r="S64" s="51"/>
      <c r="T64" s="51"/>
    </row>
    <row r="65">
      <c r="A65" s="51"/>
      <c r="B65" s="51"/>
      <c r="C65" s="56"/>
      <c r="D65" s="51"/>
      <c r="E65" s="51"/>
      <c r="F65" s="51"/>
      <c r="G65" s="51" t="str">
        <f>IFERROR(__xludf.DUMMYFUNCTION("""COMPUTED_VALUE"""),"#VALUE!")</f>
        <v>#VALUE!</v>
      </c>
      <c r="H65" s="51" t="str">
        <f>IFERROR(__xludf.DUMMYFUNCTION("""COMPUTED_VALUE"""),"")</f>
        <v/>
      </c>
      <c r="I65" s="51" t="str">
        <f>IFERROR(__xludf.DUMMYFUNCTION("""COMPUTED_VALUE"""),"#VALUE!")</f>
        <v>#VALUE!</v>
      </c>
      <c r="J65" s="51" t="str">
        <f>IFERROR(__xludf.DUMMYFUNCTION("""COMPUTED_VALUE"""),"")</f>
        <v/>
      </c>
      <c r="K65" s="51"/>
      <c r="L65" s="51" t="s">
        <v>257</v>
      </c>
      <c r="M65" s="51"/>
      <c r="N65" s="51"/>
      <c r="O65" s="51"/>
      <c r="P65" s="51"/>
      <c r="Q65" s="51"/>
      <c r="R65" s="51"/>
      <c r="S65" s="51"/>
      <c r="T65" s="51"/>
    </row>
    <row r="66">
      <c r="A66" s="51"/>
      <c r="B66" s="51"/>
      <c r="C66" s="56"/>
      <c r="D66" s="51"/>
      <c r="E66" s="51"/>
      <c r="F66" s="51"/>
      <c r="G66" s="51" t="str">
        <f>IFERROR(__xludf.DUMMYFUNCTION("""COMPUTED_VALUE"""),"#VALUE!")</f>
        <v>#VALUE!</v>
      </c>
      <c r="H66" s="51" t="str">
        <f>IFERROR(__xludf.DUMMYFUNCTION("""COMPUTED_VALUE"""),"")</f>
        <v/>
      </c>
      <c r="I66" s="51" t="str">
        <f>IFERROR(__xludf.DUMMYFUNCTION("""COMPUTED_VALUE"""),"#VALUE!")</f>
        <v>#VALUE!</v>
      </c>
      <c r="J66" s="51" t="str">
        <f>IFERROR(__xludf.DUMMYFUNCTION("""COMPUTED_VALUE"""),"")</f>
        <v/>
      </c>
      <c r="K66" s="51"/>
      <c r="L66" s="51" t="s">
        <v>257</v>
      </c>
      <c r="M66" s="51"/>
      <c r="N66" s="51"/>
      <c r="O66" s="51"/>
      <c r="P66" s="51"/>
      <c r="Q66" s="51"/>
      <c r="R66" s="51"/>
      <c r="S66" s="51"/>
      <c r="T66" s="51"/>
    </row>
    <row r="67">
      <c r="A67" s="51"/>
      <c r="B67" s="51"/>
      <c r="C67" s="56"/>
      <c r="D67" s="51"/>
      <c r="E67" s="51"/>
      <c r="F67" s="51"/>
      <c r="G67" s="51" t="str">
        <f>IFERROR(__xludf.DUMMYFUNCTION("""COMPUTED_VALUE"""),"#VALUE!")</f>
        <v>#VALUE!</v>
      </c>
      <c r="H67" s="51" t="str">
        <f>IFERROR(__xludf.DUMMYFUNCTION("""COMPUTED_VALUE"""),"")</f>
        <v/>
      </c>
      <c r="I67" s="51" t="str">
        <f>IFERROR(__xludf.DUMMYFUNCTION("""COMPUTED_VALUE"""),"#VALUE!")</f>
        <v>#VALUE!</v>
      </c>
      <c r="J67" s="51" t="str">
        <f>IFERROR(__xludf.DUMMYFUNCTION("""COMPUTED_VALUE"""),"")</f>
        <v/>
      </c>
      <c r="K67" s="51"/>
      <c r="L67" s="51" t="s">
        <v>257</v>
      </c>
      <c r="M67" s="51"/>
      <c r="N67" s="51"/>
      <c r="O67" s="51"/>
      <c r="P67" s="51"/>
      <c r="Q67" s="51"/>
      <c r="R67" s="51"/>
      <c r="S67" s="51"/>
      <c r="T67" s="51"/>
    </row>
    <row r="68">
      <c r="A68" s="51"/>
      <c r="B68" s="51"/>
      <c r="C68" s="56"/>
      <c r="D68" s="51"/>
      <c r="E68" s="51"/>
      <c r="F68" s="51"/>
      <c r="G68" s="51" t="str">
        <f>IFERROR(__xludf.DUMMYFUNCTION("""COMPUTED_VALUE"""),"#VALUE!")</f>
        <v>#VALUE!</v>
      </c>
      <c r="H68" s="51" t="str">
        <f>IFERROR(__xludf.DUMMYFUNCTION("""COMPUTED_VALUE"""),"")</f>
        <v/>
      </c>
      <c r="I68" s="51" t="str">
        <f>IFERROR(__xludf.DUMMYFUNCTION("""COMPUTED_VALUE"""),"#VALUE!")</f>
        <v>#VALUE!</v>
      </c>
      <c r="J68" s="51" t="str">
        <f>IFERROR(__xludf.DUMMYFUNCTION("""COMPUTED_VALUE"""),"")</f>
        <v/>
      </c>
      <c r="K68" s="51"/>
      <c r="L68" s="51" t="s">
        <v>257</v>
      </c>
      <c r="M68" s="51"/>
      <c r="N68" s="51"/>
      <c r="O68" s="51"/>
      <c r="P68" s="51"/>
      <c r="Q68" s="51"/>
      <c r="R68" s="51"/>
      <c r="S68" s="51"/>
      <c r="T68" s="51"/>
    </row>
    <row r="69">
      <c r="A69" s="51"/>
      <c r="B69" s="51"/>
      <c r="C69" s="56"/>
      <c r="D69" s="51"/>
      <c r="E69" s="51"/>
      <c r="F69" s="51"/>
      <c r="G69" s="51" t="str">
        <f>IFERROR(__xludf.DUMMYFUNCTION("""COMPUTED_VALUE"""),"#VALUE!")</f>
        <v>#VALUE!</v>
      </c>
      <c r="H69" s="51" t="str">
        <f>IFERROR(__xludf.DUMMYFUNCTION("""COMPUTED_VALUE"""),"")</f>
        <v/>
      </c>
      <c r="I69" s="51" t="str">
        <f>IFERROR(__xludf.DUMMYFUNCTION("""COMPUTED_VALUE"""),"#VALUE!")</f>
        <v>#VALUE!</v>
      </c>
      <c r="J69" s="51" t="str">
        <f>IFERROR(__xludf.DUMMYFUNCTION("""COMPUTED_VALUE"""),"")</f>
        <v/>
      </c>
      <c r="K69" s="51"/>
      <c r="L69" s="51" t="s">
        <v>257</v>
      </c>
      <c r="M69" s="51"/>
      <c r="N69" s="51"/>
      <c r="O69" s="51"/>
      <c r="P69" s="51"/>
      <c r="Q69" s="51"/>
      <c r="R69" s="51"/>
      <c r="S69" s="51"/>
      <c r="T69" s="51"/>
    </row>
    <row r="70">
      <c r="A70" s="51"/>
      <c r="B70" s="51"/>
      <c r="C70" s="56"/>
      <c r="D70" s="51"/>
      <c r="E70" s="51"/>
      <c r="F70" s="51"/>
      <c r="G70" s="51" t="str">
        <f>IFERROR(__xludf.DUMMYFUNCTION("""COMPUTED_VALUE"""),"#VALUE!")</f>
        <v>#VALUE!</v>
      </c>
      <c r="H70" s="51" t="str">
        <f>IFERROR(__xludf.DUMMYFUNCTION("""COMPUTED_VALUE"""),"")</f>
        <v/>
      </c>
      <c r="I70" s="51" t="str">
        <f>IFERROR(__xludf.DUMMYFUNCTION("""COMPUTED_VALUE"""),"#VALUE!")</f>
        <v>#VALUE!</v>
      </c>
      <c r="J70" s="51" t="str">
        <f>IFERROR(__xludf.DUMMYFUNCTION("""COMPUTED_VALUE"""),"")</f>
        <v/>
      </c>
      <c r="K70" s="51"/>
      <c r="L70" s="51" t="s">
        <v>257</v>
      </c>
      <c r="M70" s="51"/>
      <c r="N70" s="51"/>
      <c r="O70" s="51"/>
      <c r="P70" s="51"/>
      <c r="Q70" s="51"/>
      <c r="R70" s="51"/>
      <c r="S70" s="51"/>
      <c r="T70" s="51"/>
    </row>
    <row r="71">
      <c r="A71" s="51"/>
      <c r="B71" s="51"/>
      <c r="C71" s="56"/>
      <c r="D71" s="51"/>
      <c r="E71" s="51"/>
      <c r="F71" s="51"/>
      <c r="G71" s="51" t="str">
        <f>IFERROR(__xludf.DUMMYFUNCTION("""COMPUTED_VALUE"""),"#VALUE!")</f>
        <v>#VALUE!</v>
      </c>
      <c r="H71" s="51" t="str">
        <f>IFERROR(__xludf.DUMMYFUNCTION("""COMPUTED_VALUE"""),"")</f>
        <v/>
      </c>
      <c r="I71" s="51" t="str">
        <f>IFERROR(__xludf.DUMMYFUNCTION("""COMPUTED_VALUE"""),"#VALUE!")</f>
        <v>#VALUE!</v>
      </c>
      <c r="J71" s="51" t="str">
        <f>IFERROR(__xludf.DUMMYFUNCTION("""COMPUTED_VALUE"""),"")</f>
        <v/>
      </c>
      <c r="K71" s="51"/>
      <c r="L71" s="51" t="s">
        <v>257</v>
      </c>
      <c r="M71" s="51"/>
      <c r="N71" s="51"/>
      <c r="O71" s="51"/>
      <c r="P71" s="51"/>
      <c r="Q71" s="51"/>
      <c r="R71" s="51"/>
      <c r="S71" s="51"/>
      <c r="T71" s="51"/>
    </row>
    <row r="72">
      <c r="A72" s="51"/>
      <c r="B72" s="51"/>
      <c r="C72" s="56"/>
      <c r="D72" s="51"/>
      <c r="E72" s="51"/>
      <c r="F72" s="51"/>
      <c r="G72" s="51" t="str">
        <f>IFERROR(__xludf.DUMMYFUNCTION("""COMPUTED_VALUE"""),"#VALUE!")</f>
        <v>#VALUE!</v>
      </c>
      <c r="H72" s="51" t="str">
        <f>IFERROR(__xludf.DUMMYFUNCTION("""COMPUTED_VALUE"""),"")</f>
        <v/>
      </c>
      <c r="I72" s="51" t="str">
        <f>IFERROR(__xludf.DUMMYFUNCTION("""COMPUTED_VALUE"""),"#VALUE!")</f>
        <v>#VALUE!</v>
      </c>
      <c r="J72" s="51" t="str">
        <f>IFERROR(__xludf.DUMMYFUNCTION("""COMPUTED_VALUE"""),"")</f>
        <v/>
      </c>
      <c r="K72" s="51"/>
      <c r="L72" s="51" t="s">
        <v>257</v>
      </c>
      <c r="M72" s="51"/>
      <c r="N72" s="51"/>
      <c r="O72" s="51"/>
      <c r="P72" s="51"/>
      <c r="Q72" s="51"/>
      <c r="R72" s="51"/>
      <c r="S72" s="51"/>
      <c r="T72" s="51"/>
    </row>
    <row r="73">
      <c r="A73" s="51"/>
      <c r="B73" s="51"/>
      <c r="C73" s="56"/>
      <c r="D73" s="51"/>
      <c r="E73" s="51"/>
      <c r="F73" s="51"/>
      <c r="G73" s="51" t="str">
        <f>IFERROR(__xludf.DUMMYFUNCTION("""COMPUTED_VALUE"""),"#VALUE!")</f>
        <v>#VALUE!</v>
      </c>
      <c r="H73" s="51" t="str">
        <f>IFERROR(__xludf.DUMMYFUNCTION("""COMPUTED_VALUE"""),"")</f>
        <v/>
      </c>
      <c r="I73" s="51" t="str">
        <f>IFERROR(__xludf.DUMMYFUNCTION("""COMPUTED_VALUE"""),"#VALUE!")</f>
        <v>#VALUE!</v>
      </c>
      <c r="J73" s="51" t="str">
        <f>IFERROR(__xludf.DUMMYFUNCTION("""COMPUTED_VALUE"""),"")</f>
        <v/>
      </c>
      <c r="K73" s="51"/>
      <c r="L73" s="51" t="s">
        <v>257</v>
      </c>
      <c r="M73" s="51"/>
      <c r="N73" s="51"/>
      <c r="O73" s="51"/>
      <c r="P73" s="51"/>
      <c r="Q73" s="51"/>
      <c r="R73" s="51"/>
      <c r="S73" s="51"/>
      <c r="T73" s="51"/>
    </row>
    <row r="74">
      <c r="A74" s="51"/>
      <c r="B74" s="51"/>
      <c r="C74" s="56"/>
      <c r="D74" s="51"/>
      <c r="E74" s="51"/>
      <c r="F74" s="51"/>
      <c r="G74" s="51" t="str">
        <f>IFERROR(__xludf.DUMMYFUNCTION("""COMPUTED_VALUE"""),"#VALUE!")</f>
        <v>#VALUE!</v>
      </c>
      <c r="H74" s="51" t="str">
        <f>IFERROR(__xludf.DUMMYFUNCTION("""COMPUTED_VALUE"""),"")</f>
        <v/>
      </c>
      <c r="I74" s="51" t="str">
        <f>IFERROR(__xludf.DUMMYFUNCTION("""COMPUTED_VALUE"""),"#VALUE!")</f>
        <v>#VALUE!</v>
      </c>
      <c r="J74" s="51" t="str">
        <f>IFERROR(__xludf.DUMMYFUNCTION("""COMPUTED_VALUE"""),"")</f>
        <v/>
      </c>
      <c r="K74" s="51"/>
      <c r="L74" s="51" t="s">
        <v>257</v>
      </c>
      <c r="M74" s="51"/>
      <c r="N74" s="51"/>
      <c r="O74" s="51"/>
      <c r="P74" s="51"/>
      <c r="Q74" s="51"/>
      <c r="R74" s="51"/>
      <c r="S74" s="51"/>
      <c r="T74" s="51"/>
    </row>
    <row r="75">
      <c r="A75" s="51"/>
      <c r="B75" s="51"/>
      <c r="C75" s="56"/>
      <c r="D75" s="51"/>
      <c r="E75" s="51"/>
      <c r="F75" s="51"/>
      <c r="G75" s="51" t="str">
        <f>IFERROR(__xludf.DUMMYFUNCTION("""COMPUTED_VALUE"""),"#VALUE!")</f>
        <v>#VALUE!</v>
      </c>
      <c r="H75" s="51" t="str">
        <f>IFERROR(__xludf.DUMMYFUNCTION("""COMPUTED_VALUE"""),"")</f>
        <v/>
      </c>
      <c r="I75" s="51" t="str">
        <f>IFERROR(__xludf.DUMMYFUNCTION("""COMPUTED_VALUE"""),"#VALUE!")</f>
        <v>#VALUE!</v>
      </c>
      <c r="J75" s="51" t="str">
        <f>IFERROR(__xludf.DUMMYFUNCTION("""COMPUTED_VALUE"""),"")</f>
        <v/>
      </c>
      <c r="K75" s="51"/>
      <c r="L75" s="51" t="s">
        <v>257</v>
      </c>
      <c r="M75" s="51"/>
      <c r="N75" s="51"/>
      <c r="O75" s="51"/>
      <c r="P75" s="51"/>
      <c r="Q75" s="51"/>
      <c r="R75" s="51"/>
      <c r="S75" s="51"/>
      <c r="T75" s="51"/>
    </row>
    <row r="76">
      <c r="A76" s="51"/>
      <c r="B76" s="51"/>
      <c r="C76" s="56"/>
      <c r="D76" s="51"/>
      <c r="E76" s="51"/>
      <c r="F76" s="51"/>
      <c r="G76" s="51" t="str">
        <f>IFERROR(__xludf.DUMMYFUNCTION("""COMPUTED_VALUE"""),"#VALUE!")</f>
        <v>#VALUE!</v>
      </c>
      <c r="H76" s="51" t="str">
        <f>IFERROR(__xludf.DUMMYFUNCTION("""COMPUTED_VALUE"""),"")</f>
        <v/>
      </c>
      <c r="I76" s="51" t="str">
        <f>IFERROR(__xludf.DUMMYFUNCTION("""COMPUTED_VALUE"""),"#VALUE!")</f>
        <v>#VALUE!</v>
      </c>
      <c r="J76" s="51" t="str">
        <f>IFERROR(__xludf.DUMMYFUNCTION("""COMPUTED_VALUE"""),"")</f>
        <v/>
      </c>
      <c r="K76" s="51"/>
      <c r="L76" s="51" t="s">
        <v>257</v>
      </c>
      <c r="M76" s="51"/>
      <c r="N76" s="51"/>
      <c r="O76" s="51"/>
      <c r="P76" s="51"/>
      <c r="Q76" s="51"/>
      <c r="R76" s="51"/>
      <c r="S76" s="51"/>
      <c r="T76" s="51"/>
    </row>
    <row r="77">
      <c r="A77" s="51"/>
      <c r="B77" s="51"/>
      <c r="C77" s="56"/>
      <c r="D77" s="51"/>
      <c r="E77" s="51"/>
      <c r="F77" s="51"/>
      <c r="G77" s="51" t="str">
        <f>IFERROR(__xludf.DUMMYFUNCTION("""COMPUTED_VALUE"""),"#VALUE!")</f>
        <v>#VALUE!</v>
      </c>
      <c r="H77" s="51" t="str">
        <f>IFERROR(__xludf.DUMMYFUNCTION("""COMPUTED_VALUE"""),"")</f>
        <v/>
      </c>
      <c r="I77" s="51" t="str">
        <f>IFERROR(__xludf.DUMMYFUNCTION("""COMPUTED_VALUE"""),"#VALUE!")</f>
        <v>#VALUE!</v>
      </c>
      <c r="J77" s="51" t="str">
        <f>IFERROR(__xludf.DUMMYFUNCTION("""COMPUTED_VALUE"""),"")</f>
        <v/>
      </c>
      <c r="K77" s="51"/>
      <c r="L77" s="51" t="s">
        <v>257</v>
      </c>
      <c r="M77" s="51"/>
      <c r="N77" s="51"/>
      <c r="O77" s="51"/>
      <c r="P77" s="51"/>
      <c r="Q77" s="51"/>
      <c r="R77" s="51"/>
      <c r="S77" s="51"/>
      <c r="T77" s="51"/>
    </row>
    <row r="78">
      <c r="A78" s="51"/>
      <c r="B78" s="51"/>
      <c r="C78" s="56"/>
      <c r="D78" s="51"/>
      <c r="E78" s="51"/>
      <c r="F78" s="51"/>
      <c r="G78" s="51" t="str">
        <f>IFERROR(__xludf.DUMMYFUNCTION("""COMPUTED_VALUE"""),"#VALUE!")</f>
        <v>#VALUE!</v>
      </c>
      <c r="H78" s="51" t="str">
        <f>IFERROR(__xludf.DUMMYFUNCTION("""COMPUTED_VALUE"""),"")</f>
        <v/>
      </c>
      <c r="I78" s="51" t="str">
        <f>IFERROR(__xludf.DUMMYFUNCTION("""COMPUTED_VALUE"""),"#VALUE!")</f>
        <v>#VALUE!</v>
      </c>
      <c r="J78" s="51" t="str">
        <f>IFERROR(__xludf.DUMMYFUNCTION("""COMPUTED_VALUE"""),"")</f>
        <v/>
      </c>
      <c r="K78" s="51"/>
      <c r="L78" s="51" t="s">
        <v>257</v>
      </c>
      <c r="M78" s="51"/>
      <c r="N78" s="51"/>
      <c r="O78" s="51"/>
      <c r="P78" s="51"/>
      <c r="Q78" s="51"/>
      <c r="R78" s="51"/>
      <c r="S78" s="51"/>
      <c r="T78" s="51"/>
    </row>
    <row r="79">
      <c r="A79" s="51"/>
      <c r="B79" s="51"/>
      <c r="C79" s="56"/>
      <c r="D79" s="51"/>
      <c r="E79" s="51"/>
      <c r="F79" s="51"/>
      <c r="G79" s="51" t="str">
        <f>IFERROR(__xludf.DUMMYFUNCTION("""COMPUTED_VALUE"""),"#VALUE!")</f>
        <v>#VALUE!</v>
      </c>
      <c r="H79" s="51" t="str">
        <f>IFERROR(__xludf.DUMMYFUNCTION("""COMPUTED_VALUE"""),"")</f>
        <v/>
      </c>
      <c r="I79" s="51" t="str">
        <f>IFERROR(__xludf.DUMMYFUNCTION("""COMPUTED_VALUE"""),"#VALUE!")</f>
        <v>#VALUE!</v>
      </c>
      <c r="J79" s="51" t="str">
        <f>IFERROR(__xludf.DUMMYFUNCTION("""COMPUTED_VALUE"""),"")</f>
        <v/>
      </c>
      <c r="K79" s="51"/>
      <c r="L79" s="51" t="s">
        <v>257</v>
      </c>
      <c r="M79" s="51"/>
      <c r="N79" s="51"/>
      <c r="O79" s="51"/>
      <c r="P79" s="51"/>
      <c r="Q79" s="51"/>
      <c r="R79" s="51"/>
      <c r="S79" s="51"/>
      <c r="T79" s="51"/>
    </row>
    <row r="80">
      <c r="A80" s="51"/>
      <c r="B80" s="51"/>
      <c r="C80" s="56"/>
      <c r="D80" s="51"/>
      <c r="E80" s="51"/>
      <c r="F80" s="51"/>
      <c r="G80" s="51" t="str">
        <f>IFERROR(__xludf.DUMMYFUNCTION("""COMPUTED_VALUE"""),"#VALUE!")</f>
        <v>#VALUE!</v>
      </c>
      <c r="H80" s="51" t="str">
        <f>IFERROR(__xludf.DUMMYFUNCTION("""COMPUTED_VALUE"""),"")</f>
        <v/>
      </c>
      <c r="I80" s="51" t="str">
        <f>IFERROR(__xludf.DUMMYFUNCTION("""COMPUTED_VALUE"""),"#VALUE!")</f>
        <v>#VALUE!</v>
      </c>
      <c r="J80" s="51" t="str">
        <f>IFERROR(__xludf.DUMMYFUNCTION("""COMPUTED_VALUE"""),"")</f>
        <v/>
      </c>
      <c r="K80" s="51"/>
      <c r="L80" s="51" t="s">
        <v>257</v>
      </c>
      <c r="M80" s="51"/>
      <c r="N80" s="51"/>
      <c r="O80" s="51"/>
      <c r="P80" s="51"/>
      <c r="Q80" s="51"/>
      <c r="R80" s="51"/>
      <c r="S80" s="51"/>
      <c r="T80" s="51"/>
    </row>
    <row r="81">
      <c r="A81" s="51"/>
      <c r="B81" s="51"/>
      <c r="C81" s="56"/>
      <c r="D81" s="51"/>
      <c r="E81" s="51"/>
      <c r="F81" s="51"/>
      <c r="G81" s="51" t="str">
        <f>IFERROR(__xludf.DUMMYFUNCTION("""COMPUTED_VALUE"""),"#VALUE!")</f>
        <v>#VALUE!</v>
      </c>
      <c r="H81" s="51" t="str">
        <f>IFERROR(__xludf.DUMMYFUNCTION("""COMPUTED_VALUE"""),"")</f>
        <v/>
      </c>
      <c r="I81" s="51" t="str">
        <f>IFERROR(__xludf.DUMMYFUNCTION("""COMPUTED_VALUE"""),"#VALUE!")</f>
        <v>#VALUE!</v>
      </c>
      <c r="J81" s="51" t="str">
        <f>IFERROR(__xludf.DUMMYFUNCTION("""COMPUTED_VALUE"""),"")</f>
        <v/>
      </c>
      <c r="K81" s="51"/>
      <c r="L81" s="51" t="s">
        <v>257</v>
      </c>
      <c r="M81" s="51"/>
      <c r="N81" s="51"/>
      <c r="O81" s="51"/>
      <c r="P81" s="51"/>
      <c r="Q81" s="51"/>
      <c r="R81" s="51"/>
      <c r="S81" s="51"/>
      <c r="T81" s="51"/>
    </row>
    <row r="82">
      <c r="A82" s="51"/>
      <c r="B82" s="51"/>
      <c r="C82" s="56"/>
      <c r="D82" s="51"/>
      <c r="E82" s="51"/>
      <c r="F82" s="51"/>
      <c r="G82" s="51" t="str">
        <f>IFERROR(__xludf.DUMMYFUNCTION("""COMPUTED_VALUE"""),"#VALUE!")</f>
        <v>#VALUE!</v>
      </c>
      <c r="H82" s="51" t="str">
        <f>IFERROR(__xludf.DUMMYFUNCTION("""COMPUTED_VALUE"""),"")</f>
        <v/>
      </c>
      <c r="I82" s="51" t="str">
        <f>IFERROR(__xludf.DUMMYFUNCTION("""COMPUTED_VALUE"""),"#VALUE!")</f>
        <v>#VALUE!</v>
      </c>
      <c r="J82" s="51" t="str">
        <f>IFERROR(__xludf.DUMMYFUNCTION("""COMPUTED_VALUE"""),"")</f>
        <v/>
      </c>
      <c r="K82" s="51"/>
      <c r="L82" s="51" t="s">
        <v>257</v>
      </c>
      <c r="M82" s="51"/>
      <c r="N82" s="51"/>
      <c r="O82" s="51"/>
      <c r="P82" s="51"/>
      <c r="Q82" s="51"/>
      <c r="R82" s="51"/>
      <c r="S82" s="51"/>
      <c r="T82" s="51"/>
    </row>
    <row r="83">
      <c r="A83" s="51"/>
      <c r="B83" s="51"/>
      <c r="C83" s="56"/>
      <c r="D83" s="51"/>
      <c r="E83" s="51"/>
      <c r="F83" s="51"/>
      <c r="G83" s="51" t="str">
        <f>IFERROR(__xludf.DUMMYFUNCTION("""COMPUTED_VALUE"""),"#VALUE!")</f>
        <v>#VALUE!</v>
      </c>
      <c r="H83" s="51" t="str">
        <f>IFERROR(__xludf.DUMMYFUNCTION("""COMPUTED_VALUE"""),"")</f>
        <v/>
      </c>
      <c r="I83" s="51" t="str">
        <f>IFERROR(__xludf.DUMMYFUNCTION("""COMPUTED_VALUE"""),"#VALUE!")</f>
        <v>#VALUE!</v>
      </c>
      <c r="J83" s="51" t="str">
        <f>IFERROR(__xludf.DUMMYFUNCTION("""COMPUTED_VALUE"""),"")</f>
        <v/>
      </c>
      <c r="K83" s="51"/>
      <c r="L83" s="51" t="s">
        <v>257</v>
      </c>
      <c r="M83" s="51"/>
      <c r="N83" s="51"/>
      <c r="O83" s="51"/>
      <c r="P83" s="51"/>
      <c r="Q83" s="51"/>
      <c r="R83" s="51"/>
      <c r="S83" s="51"/>
      <c r="T83" s="51"/>
    </row>
    <row r="84">
      <c r="A84" s="51"/>
      <c r="B84" s="51"/>
      <c r="C84" s="56"/>
      <c r="D84" s="51"/>
      <c r="E84" s="51"/>
      <c r="F84" s="51"/>
      <c r="G84" s="51" t="str">
        <f>IFERROR(__xludf.DUMMYFUNCTION("""COMPUTED_VALUE"""),"#VALUE!")</f>
        <v>#VALUE!</v>
      </c>
      <c r="H84" s="51" t="str">
        <f>IFERROR(__xludf.DUMMYFUNCTION("""COMPUTED_VALUE"""),"")</f>
        <v/>
      </c>
      <c r="I84" s="51" t="str">
        <f>IFERROR(__xludf.DUMMYFUNCTION("""COMPUTED_VALUE"""),"#VALUE!")</f>
        <v>#VALUE!</v>
      </c>
      <c r="J84" s="51" t="str">
        <f>IFERROR(__xludf.DUMMYFUNCTION("""COMPUTED_VALUE"""),"")</f>
        <v/>
      </c>
      <c r="K84" s="51"/>
      <c r="L84" s="51" t="s">
        <v>257</v>
      </c>
      <c r="M84" s="51"/>
      <c r="N84" s="51"/>
      <c r="O84" s="51"/>
      <c r="P84" s="51"/>
      <c r="Q84" s="51"/>
      <c r="R84" s="51"/>
      <c r="S84" s="51"/>
      <c r="T84" s="51"/>
    </row>
    <row r="85">
      <c r="A85" s="51"/>
      <c r="B85" s="51"/>
      <c r="C85" s="56"/>
      <c r="D85" s="51"/>
      <c r="E85" s="51"/>
      <c r="F85" s="51"/>
      <c r="G85" s="51" t="str">
        <f>IFERROR(__xludf.DUMMYFUNCTION("""COMPUTED_VALUE"""),"#VALUE!")</f>
        <v>#VALUE!</v>
      </c>
      <c r="H85" s="51" t="str">
        <f>IFERROR(__xludf.DUMMYFUNCTION("""COMPUTED_VALUE"""),"")</f>
        <v/>
      </c>
      <c r="I85" s="51" t="str">
        <f>IFERROR(__xludf.DUMMYFUNCTION("""COMPUTED_VALUE"""),"#VALUE!")</f>
        <v>#VALUE!</v>
      </c>
      <c r="J85" s="51" t="str">
        <f>IFERROR(__xludf.DUMMYFUNCTION("""COMPUTED_VALUE"""),"")</f>
        <v/>
      </c>
      <c r="K85" s="51"/>
      <c r="L85" s="51" t="s">
        <v>257</v>
      </c>
      <c r="M85" s="51"/>
      <c r="N85" s="51"/>
      <c r="O85" s="51"/>
      <c r="P85" s="51"/>
      <c r="Q85" s="51"/>
      <c r="R85" s="51"/>
      <c r="S85" s="51"/>
      <c r="T85" s="51"/>
    </row>
    <row r="86">
      <c r="A86" s="51"/>
      <c r="B86" s="51"/>
      <c r="C86" s="56"/>
      <c r="D86" s="51"/>
      <c r="E86" s="51"/>
      <c r="F86" s="51"/>
      <c r="G86" s="51" t="str">
        <f>IFERROR(__xludf.DUMMYFUNCTION("""COMPUTED_VALUE"""),"#VALUE!")</f>
        <v>#VALUE!</v>
      </c>
      <c r="H86" s="51" t="str">
        <f>IFERROR(__xludf.DUMMYFUNCTION("""COMPUTED_VALUE"""),"")</f>
        <v/>
      </c>
      <c r="I86" s="51" t="str">
        <f>IFERROR(__xludf.DUMMYFUNCTION("""COMPUTED_VALUE"""),"#VALUE!")</f>
        <v>#VALUE!</v>
      </c>
      <c r="J86" s="51" t="str">
        <f>IFERROR(__xludf.DUMMYFUNCTION("""COMPUTED_VALUE"""),"")</f>
        <v/>
      </c>
      <c r="K86" s="51"/>
      <c r="L86" s="51" t="s">
        <v>257</v>
      </c>
      <c r="M86" s="51"/>
      <c r="N86" s="51"/>
      <c r="O86" s="51"/>
      <c r="P86" s="51"/>
      <c r="Q86" s="51"/>
      <c r="R86" s="51"/>
      <c r="S86" s="51"/>
      <c r="T86" s="51"/>
    </row>
    <row r="87">
      <c r="A87" s="51"/>
      <c r="B87" s="51"/>
      <c r="C87" s="56"/>
      <c r="D87" s="51"/>
      <c r="E87" s="51"/>
      <c r="F87" s="51"/>
      <c r="G87" s="51" t="str">
        <f>IFERROR(__xludf.DUMMYFUNCTION("""COMPUTED_VALUE"""),"#VALUE!")</f>
        <v>#VALUE!</v>
      </c>
      <c r="H87" s="51" t="str">
        <f>IFERROR(__xludf.DUMMYFUNCTION("""COMPUTED_VALUE"""),"")</f>
        <v/>
      </c>
      <c r="I87" s="51" t="str">
        <f>IFERROR(__xludf.DUMMYFUNCTION("""COMPUTED_VALUE"""),"#VALUE!")</f>
        <v>#VALUE!</v>
      </c>
      <c r="J87" s="51" t="str">
        <f>IFERROR(__xludf.DUMMYFUNCTION("""COMPUTED_VALUE"""),"")</f>
        <v/>
      </c>
      <c r="K87" s="51"/>
      <c r="L87" s="51" t="s">
        <v>257</v>
      </c>
      <c r="M87" s="51"/>
      <c r="N87" s="51"/>
      <c r="O87" s="51"/>
      <c r="P87" s="51"/>
      <c r="Q87" s="51"/>
      <c r="R87" s="51"/>
      <c r="S87" s="51"/>
      <c r="T87" s="51"/>
    </row>
    <row r="88">
      <c r="A88" s="51"/>
      <c r="B88" s="51"/>
      <c r="C88" s="56"/>
      <c r="D88" s="51"/>
      <c r="E88" s="51"/>
      <c r="F88" s="51"/>
      <c r="G88" s="51" t="str">
        <f>IFERROR(__xludf.DUMMYFUNCTION("""COMPUTED_VALUE"""),"#VALUE!")</f>
        <v>#VALUE!</v>
      </c>
      <c r="H88" s="51" t="str">
        <f>IFERROR(__xludf.DUMMYFUNCTION("""COMPUTED_VALUE"""),"")</f>
        <v/>
      </c>
      <c r="I88" s="51" t="str">
        <f>IFERROR(__xludf.DUMMYFUNCTION("""COMPUTED_VALUE"""),"#VALUE!")</f>
        <v>#VALUE!</v>
      </c>
      <c r="J88" s="51" t="str">
        <f>IFERROR(__xludf.DUMMYFUNCTION("""COMPUTED_VALUE"""),"")</f>
        <v/>
      </c>
      <c r="K88" s="51"/>
      <c r="L88" s="51" t="s">
        <v>257</v>
      </c>
      <c r="M88" s="51"/>
      <c r="N88" s="51"/>
      <c r="O88" s="51"/>
      <c r="P88" s="51"/>
      <c r="Q88" s="51"/>
      <c r="R88" s="51"/>
      <c r="S88" s="51"/>
      <c r="T88" s="51"/>
    </row>
    <row r="89">
      <c r="A89" s="51"/>
      <c r="B89" s="51"/>
      <c r="C89" s="56"/>
      <c r="D89" s="51"/>
      <c r="E89" s="51"/>
      <c r="F89" s="51"/>
      <c r="G89" s="51" t="str">
        <f>IFERROR(__xludf.DUMMYFUNCTION("""COMPUTED_VALUE"""),"#VALUE!")</f>
        <v>#VALUE!</v>
      </c>
      <c r="H89" s="51" t="str">
        <f>IFERROR(__xludf.DUMMYFUNCTION("""COMPUTED_VALUE"""),"")</f>
        <v/>
      </c>
      <c r="I89" s="51" t="str">
        <f>IFERROR(__xludf.DUMMYFUNCTION("""COMPUTED_VALUE"""),"#VALUE!")</f>
        <v>#VALUE!</v>
      </c>
      <c r="J89" s="51" t="str">
        <f>IFERROR(__xludf.DUMMYFUNCTION("""COMPUTED_VALUE"""),"")</f>
        <v/>
      </c>
      <c r="K89" s="51"/>
      <c r="L89" s="51" t="s">
        <v>257</v>
      </c>
      <c r="M89" s="51"/>
      <c r="N89" s="51"/>
      <c r="O89" s="51"/>
      <c r="P89" s="51"/>
      <c r="Q89" s="51"/>
      <c r="R89" s="51"/>
      <c r="S89" s="51"/>
      <c r="T89" s="51"/>
    </row>
    <row r="90">
      <c r="A90" s="51"/>
      <c r="B90" s="51"/>
      <c r="C90" s="56"/>
      <c r="D90" s="51"/>
      <c r="E90" s="51"/>
      <c r="F90" s="51"/>
      <c r="G90" s="51" t="str">
        <f>IFERROR(__xludf.DUMMYFUNCTION("""COMPUTED_VALUE"""),"#VALUE!")</f>
        <v>#VALUE!</v>
      </c>
      <c r="H90" s="51" t="str">
        <f>IFERROR(__xludf.DUMMYFUNCTION("""COMPUTED_VALUE"""),"")</f>
        <v/>
      </c>
      <c r="I90" s="51" t="str">
        <f>IFERROR(__xludf.DUMMYFUNCTION("""COMPUTED_VALUE"""),"#VALUE!")</f>
        <v>#VALUE!</v>
      </c>
      <c r="J90" s="51" t="str">
        <f>IFERROR(__xludf.DUMMYFUNCTION("""COMPUTED_VALUE"""),"")</f>
        <v/>
      </c>
      <c r="K90" s="51"/>
      <c r="L90" s="51" t="s">
        <v>257</v>
      </c>
      <c r="M90" s="51"/>
      <c r="N90" s="51"/>
      <c r="O90" s="51"/>
      <c r="P90" s="51"/>
      <c r="Q90" s="51"/>
      <c r="R90" s="51"/>
      <c r="S90" s="51"/>
      <c r="T90" s="51"/>
    </row>
    <row r="91">
      <c r="A91" s="51"/>
      <c r="B91" s="51"/>
      <c r="C91" s="56"/>
      <c r="D91" s="51"/>
      <c r="E91" s="51"/>
      <c r="F91" s="51"/>
      <c r="G91" s="51" t="str">
        <f>IFERROR(__xludf.DUMMYFUNCTION("""COMPUTED_VALUE"""),"#VALUE!")</f>
        <v>#VALUE!</v>
      </c>
      <c r="H91" s="51" t="str">
        <f>IFERROR(__xludf.DUMMYFUNCTION("""COMPUTED_VALUE"""),"")</f>
        <v/>
      </c>
      <c r="I91" s="51" t="str">
        <f>IFERROR(__xludf.DUMMYFUNCTION("""COMPUTED_VALUE"""),"#VALUE!")</f>
        <v>#VALUE!</v>
      </c>
      <c r="J91" s="51" t="str">
        <f>IFERROR(__xludf.DUMMYFUNCTION("""COMPUTED_VALUE"""),"")</f>
        <v/>
      </c>
      <c r="K91" s="51"/>
      <c r="L91" s="51" t="s">
        <v>257</v>
      </c>
      <c r="M91" s="51"/>
      <c r="N91" s="51"/>
      <c r="O91" s="51"/>
      <c r="P91" s="51"/>
      <c r="Q91" s="51"/>
      <c r="R91" s="51"/>
      <c r="S91" s="51"/>
      <c r="T91" s="51"/>
    </row>
    <row r="92">
      <c r="A92" s="51"/>
      <c r="B92" s="51"/>
      <c r="C92" s="56"/>
      <c r="D92" s="51"/>
      <c r="E92" s="51"/>
      <c r="F92" s="51"/>
      <c r="G92" s="51" t="str">
        <f>IFERROR(__xludf.DUMMYFUNCTION("""COMPUTED_VALUE"""),"#VALUE!")</f>
        <v>#VALUE!</v>
      </c>
      <c r="H92" s="51" t="str">
        <f>IFERROR(__xludf.DUMMYFUNCTION("""COMPUTED_VALUE"""),"")</f>
        <v/>
      </c>
      <c r="I92" s="51" t="str">
        <f>IFERROR(__xludf.DUMMYFUNCTION("""COMPUTED_VALUE"""),"#VALUE!")</f>
        <v>#VALUE!</v>
      </c>
      <c r="J92" s="51" t="str">
        <f>IFERROR(__xludf.DUMMYFUNCTION("""COMPUTED_VALUE"""),"")</f>
        <v/>
      </c>
      <c r="K92" s="51"/>
      <c r="L92" s="51" t="s">
        <v>257</v>
      </c>
      <c r="M92" s="51"/>
      <c r="N92" s="51"/>
      <c r="O92" s="51"/>
      <c r="P92" s="51"/>
      <c r="Q92" s="51"/>
      <c r="R92" s="51"/>
      <c r="S92" s="51"/>
      <c r="T92" s="51"/>
    </row>
    <row r="93">
      <c r="A93" s="51"/>
      <c r="B93" s="51"/>
      <c r="C93" s="56"/>
      <c r="D93" s="51"/>
      <c r="E93" s="51"/>
      <c r="F93" s="51"/>
      <c r="G93" s="51" t="str">
        <f>IFERROR(__xludf.DUMMYFUNCTION("""COMPUTED_VALUE"""),"#VALUE!")</f>
        <v>#VALUE!</v>
      </c>
      <c r="H93" s="51" t="str">
        <f>IFERROR(__xludf.DUMMYFUNCTION("""COMPUTED_VALUE"""),"")</f>
        <v/>
      </c>
      <c r="I93" s="51" t="str">
        <f>IFERROR(__xludf.DUMMYFUNCTION("""COMPUTED_VALUE"""),"#VALUE!")</f>
        <v>#VALUE!</v>
      </c>
      <c r="J93" s="51" t="str">
        <f>IFERROR(__xludf.DUMMYFUNCTION("""COMPUTED_VALUE"""),"")</f>
        <v/>
      </c>
      <c r="K93" s="51"/>
      <c r="L93" s="51" t="s">
        <v>257</v>
      </c>
      <c r="M93" s="51"/>
      <c r="N93" s="51"/>
      <c r="O93" s="51"/>
      <c r="P93" s="51"/>
      <c r="Q93" s="51"/>
      <c r="R93" s="51"/>
      <c r="S93" s="51"/>
      <c r="T93" s="51"/>
    </row>
    <row r="94">
      <c r="A94" s="51"/>
      <c r="B94" s="51"/>
      <c r="C94" s="56"/>
      <c r="D94" s="51"/>
      <c r="E94" s="51"/>
      <c r="F94" s="51"/>
      <c r="G94" s="51" t="str">
        <f>IFERROR(__xludf.DUMMYFUNCTION("""COMPUTED_VALUE"""),"#VALUE!")</f>
        <v>#VALUE!</v>
      </c>
      <c r="H94" s="51" t="str">
        <f>IFERROR(__xludf.DUMMYFUNCTION("""COMPUTED_VALUE"""),"")</f>
        <v/>
      </c>
      <c r="I94" s="51" t="str">
        <f>IFERROR(__xludf.DUMMYFUNCTION("""COMPUTED_VALUE"""),"#VALUE!")</f>
        <v>#VALUE!</v>
      </c>
      <c r="J94" s="51" t="str">
        <f>IFERROR(__xludf.DUMMYFUNCTION("""COMPUTED_VALUE"""),"")</f>
        <v/>
      </c>
      <c r="K94" s="51"/>
      <c r="L94" s="51" t="s">
        <v>257</v>
      </c>
      <c r="M94" s="51"/>
      <c r="N94" s="51"/>
      <c r="O94" s="51"/>
      <c r="P94" s="51"/>
      <c r="Q94" s="51"/>
      <c r="R94" s="51"/>
      <c r="S94" s="51"/>
      <c r="T94" s="51"/>
    </row>
    <row r="95">
      <c r="A95" s="51"/>
      <c r="B95" s="51"/>
      <c r="C95" s="56"/>
      <c r="D95" s="51"/>
      <c r="E95" s="51"/>
      <c r="F95" s="51"/>
      <c r="G95" s="51" t="str">
        <f>IFERROR(__xludf.DUMMYFUNCTION("""COMPUTED_VALUE"""),"#VALUE!")</f>
        <v>#VALUE!</v>
      </c>
      <c r="H95" s="51" t="str">
        <f>IFERROR(__xludf.DUMMYFUNCTION("""COMPUTED_VALUE"""),"")</f>
        <v/>
      </c>
      <c r="I95" s="51" t="str">
        <f>IFERROR(__xludf.DUMMYFUNCTION("""COMPUTED_VALUE"""),"#VALUE!")</f>
        <v>#VALUE!</v>
      </c>
      <c r="J95" s="51" t="str">
        <f>IFERROR(__xludf.DUMMYFUNCTION("""COMPUTED_VALUE"""),"")</f>
        <v/>
      </c>
      <c r="K95" s="51"/>
      <c r="L95" s="51" t="s">
        <v>257</v>
      </c>
      <c r="M95" s="51"/>
      <c r="N95" s="51"/>
      <c r="O95" s="51"/>
      <c r="P95" s="51"/>
      <c r="Q95" s="51"/>
      <c r="R95" s="51"/>
      <c r="S95" s="51"/>
      <c r="T95" s="51"/>
    </row>
    <row r="96">
      <c r="A96" s="51"/>
      <c r="B96" s="51"/>
      <c r="C96" s="56"/>
      <c r="D96" s="51"/>
      <c r="E96" s="51"/>
      <c r="F96" s="51"/>
      <c r="G96" s="51" t="str">
        <f>IFERROR(__xludf.DUMMYFUNCTION("""COMPUTED_VALUE"""),"#VALUE!")</f>
        <v>#VALUE!</v>
      </c>
      <c r="H96" s="51" t="str">
        <f>IFERROR(__xludf.DUMMYFUNCTION("""COMPUTED_VALUE"""),"")</f>
        <v/>
      </c>
      <c r="I96" s="51" t="str">
        <f>IFERROR(__xludf.DUMMYFUNCTION("""COMPUTED_VALUE"""),"#VALUE!")</f>
        <v>#VALUE!</v>
      </c>
      <c r="J96" s="51" t="str">
        <f>IFERROR(__xludf.DUMMYFUNCTION("""COMPUTED_VALUE"""),"")</f>
        <v/>
      </c>
      <c r="K96" s="51"/>
      <c r="L96" s="51" t="s">
        <v>257</v>
      </c>
      <c r="M96" s="51"/>
      <c r="N96" s="51"/>
      <c r="O96" s="51"/>
      <c r="P96" s="51"/>
      <c r="Q96" s="51"/>
      <c r="R96" s="51"/>
      <c r="S96" s="51"/>
      <c r="T96" s="51"/>
    </row>
    <row r="97">
      <c r="A97" s="51"/>
      <c r="B97" s="51"/>
      <c r="C97" s="56"/>
      <c r="D97" s="51"/>
      <c r="E97" s="51"/>
      <c r="F97" s="51"/>
      <c r="G97" s="51" t="str">
        <f>IFERROR(__xludf.DUMMYFUNCTION("""COMPUTED_VALUE"""),"#VALUE!")</f>
        <v>#VALUE!</v>
      </c>
      <c r="H97" s="51" t="str">
        <f>IFERROR(__xludf.DUMMYFUNCTION("""COMPUTED_VALUE"""),"")</f>
        <v/>
      </c>
      <c r="I97" s="51" t="str">
        <f>IFERROR(__xludf.DUMMYFUNCTION("""COMPUTED_VALUE"""),"#VALUE!")</f>
        <v>#VALUE!</v>
      </c>
      <c r="J97" s="51" t="str">
        <f>IFERROR(__xludf.DUMMYFUNCTION("""COMPUTED_VALUE"""),"")</f>
        <v/>
      </c>
      <c r="K97" s="51"/>
      <c r="L97" s="51" t="s">
        <v>257</v>
      </c>
      <c r="M97" s="51"/>
      <c r="N97" s="51"/>
      <c r="O97" s="51"/>
      <c r="P97" s="51"/>
      <c r="Q97" s="51"/>
      <c r="R97" s="51"/>
      <c r="S97" s="51"/>
      <c r="T97" s="51"/>
    </row>
    <row r="98">
      <c r="A98" s="51"/>
      <c r="B98" s="51"/>
      <c r="C98" s="56"/>
      <c r="D98" s="51"/>
      <c r="E98" s="51"/>
      <c r="F98" s="51"/>
      <c r="G98" s="51" t="str">
        <f>IFERROR(__xludf.DUMMYFUNCTION("""COMPUTED_VALUE"""),"#VALUE!")</f>
        <v>#VALUE!</v>
      </c>
      <c r="H98" s="51" t="str">
        <f>IFERROR(__xludf.DUMMYFUNCTION("""COMPUTED_VALUE"""),"")</f>
        <v/>
      </c>
      <c r="I98" s="51" t="str">
        <f>IFERROR(__xludf.DUMMYFUNCTION("""COMPUTED_VALUE"""),"#VALUE!")</f>
        <v>#VALUE!</v>
      </c>
      <c r="J98" s="51" t="str">
        <f>IFERROR(__xludf.DUMMYFUNCTION("""COMPUTED_VALUE"""),"")</f>
        <v/>
      </c>
      <c r="K98" s="51"/>
      <c r="L98" s="51" t="s">
        <v>257</v>
      </c>
      <c r="M98" s="51"/>
      <c r="N98" s="51"/>
      <c r="O98" s="51"/>
      <c r="P98" s="51"/>
      <c r="Q98" s="51"/>
      <c r="R98" s="51"/>
      <c r="S98" s="51"/>
      <c r="T98" s="51"/>
    </row>
    <row r="99">
      <c r="A99" s="51"/>
      <c r="B99" s="51"/>
      <c r="C99" s="56"/>
      <c r="D99" s="51"/>
      <c r="E99" s="51"/>
      <c r="F99" s="51"/>
      <c r="G99" s="51" t="str">
        <f>IFERROR(__xludf.DUMMYFUNCTION("""COMPUTED_VALUE"""),"#VALUE!")</f>
        <v>#VALUE!</v>
      </c>
      <c r="H99" s="51" t="str">
        <f>IFERROR(__xludf.DUMMYFUNCTION("""COMPUTED_VALUE"""),"")</f>
        <v/>
      </c>
      <c r="I99" s="51" t="str">
        <f>IFERROR(__xludf.DUMMYFUNCTION("""COMPUTED_VALUE"""),"#VALUE!")</f>
        <v>#VALUE!</v>
      </c>
      <c r="J99" s="51" t="str">
        <f>IFERROR(__xludf.DUMMYFUNCTION("""COMPUTED_VALUE"""),"")</f>
        <v/>
      </c>
      <c r="K99" s="51"/>
      <c r="L99" s="51" t="s">
        <v>257</v>
      </c>
      <c r="M99" s="51"/>
      <c r="N99" s="51"/>
      <c r="O99" s="51"/>
      <c r="P99" s="51"/>
      <c r="Q99" s="51"/>
      <c r="R99" s="51"/>
      <c r="S99" s="51"/>
      <c r="T99" s="51"/>
    </row>
    <row r="100">
      <c r="A100" s="51"/>
      <c r="B100" s="51"/>
      <c r="C100" s="56"/>
      <c r="D100" s="51"/>
      <c r="E100" s="51"/>
      <c r="F100" s="51"/>
      <c r="G100" s="51" t="str">
        <f>IFERROR(__xludf.DUMMYFUNCTION("""COMPUTED_VALUE"""),"#VALUE!")</f>
        <v>#VALUE!</v>
      </c>
      <c r="H100" s="51" t="str">
        <f>IFERROR(__xludf.DUMMYFUNCTION("""COMPUTED_VALUE"""),"")</f>
        <v/>
      </c>
      <c r="I100" s="51" t="str">
        <f>IFERROR(__xludf.DUMMYFUNCTION("""COMPUTED_VALUE"""),"#VALUE!")</f>
        <v>#VALUE!</v>
      </c>
      <c r="J100" s="51" t="str">
        <f>IFERROR(__xludf.DUMMYFUNCTION("""COMPUTED_VALUE"""),"")</f>
        <v/>
      </c>
      <c r="K100" s="51"/>
      <c r="L100" s="51" t="s">
        <v>257</v>
      </c>
      <c r="M100" s="51"/>
      <c r="N100" s="51"/>
      <c r="O100" s="51"/>
      <c r="P100" s="51"/>
      <c r="Q100" s="51"/>
      <c r="R100" s="51"/>
      <c r="S100" s="51"/>
      <c r="T100" s="51"/>
    </row>
    <row r="101">
      <c r="A101" s="51"/>
      <c r="B101" s="51"/>
      <c r="C101" s="56"/>
      <c r="D101" s="51"/>
      <c r="E101" s="51"/>
      <c r="F101" s="51"/>
      <c r="G101" s="51" t="str">
        <f>IFERROR(__xludf.DUMMYFUNCTION("""COMPUTED_VALUE"""),"#VALUE!")</f>
        <v>#VALUE!</v>
      </c>
      <c r="H101" s="51" t="str">
        <f>IFERROR(__xludf.DUMMYFUNCTION("""COMPUTED_VALUE"""),"")</f>
        <v/>
      </c>
      <c r="I101" s="51" t="str">
        <f>IFERROR(__xludf.DUMMYFUNCTION("""COMPUTED_VALUE"""),"#VALUE!")</f>
        <v>#VALUE!</v>
      </c>
      <c r="J101" s="51" t="str">
        <f>IFERROR(__xludf.DUMMYFUNCTION("""COMPUTED_VALUE"""),"")</f>
        <v/>
      </c>
      <c r="K101" s="51"/>
      <c r="L101" s="51" t="s">
        <v>257</v>
      </c>
      <c r="M101" s="51"/>
      <c r="N101" s="51"/>
      <c r="O101" s="51"/>
      <c r="P101" s="51"/>
      <c r="Q101" s="51"/>
      <c r="R101" s="51"/>
      <c r="S101" s="51"/>
      <c r="T101" s="51"/>
    </row>
    <row r="102">
      <c r="A102" s="51"/>
      <c r="B102" s="51"/>
      <c r="C102" s="56"/>
      <c r="D102" s="51"/>
      <c r="E102" s="51"/>
      <c r="F102" s="51"/>
      <c r="G102" s="51" t="str">
        <f>IFERROR(__xludf.DUMMYFUNCTION("""COMPUTED_VALUE"""),"#VALUE!")</f>
        <v>#VALUE!</v>
      </c>
      <c r="H102" s="51" t="str">
        <f>IFERROR(__xludf.DUMMYFUNCTION("""COMPUTED_VALUE"""),"")</f>
        <v/>
      </c>
      <c r="I102" s="51" t="str">
        <f>IFERROR(__xludf.DUMMYFUNCTION("""COMPUTED_VALUE"""),"#VALUE!")</f>
        <v>#VALUE!</v>
      </c>
      <c r="J102" s="51" t="str">
        <f>IFERROR(__xludf.DUMMYFUNCTION("""COMPUTED_VALUE"""),"")</f>
        <v/>
      </c>
      <c r="K102" s="51"/>
      <c r="L102" s="51" t="s">
        <v>257</v>
      </c>
      <c r="M102" s="51"/>
      <c r="N102" s="51"/>
      <c r="O102" s="51"/>
      <c r="P102" s="51"/>
      <c r="Q102" s="51"/>
      <c r="R102" s="51"/>
      <c r="S102" s="51"/>
      <c r="T102" s="51"/>
    </row>
    <row r="103">
      <c r="A103" s="51"/>
      <c r="B103" s="51"/>
      <c r="C103" s="56"/>
      <c r="D103" s="51"/>
      <c r="E103" s="51"/>
      <c r="F103" s="51"/>
      <c r="G103" s="51" t="str">
        <f>IFERROR(__xludf.DUMMYFUNCTION("""COMPUTED_VALUE"""),"#VALUE!")</f>
        <v>#VALUE!</v>
      </c>
      <c r="H103" s="51" t="str">
        <f>IFERROR(__xludf.DUMMYFUNCTION("""COMPUTED_VALUE"""),"")</f>
        <v/>
      </c>
      <c r="I103" s="51" t="str">
        <f>IFERROR(__xludf.DUMMYFUNCTION("""COMPUTED_VALUE"""),"#VALUE!")</f>
        <v>#VALUE!</v>
      </c>
      <c r="J103" s="51" t="str">
        <f>IFERROR(__xludf.DUMMYFUNCTION("""COMPUTED_VALUE"""),"")</f>
        <v/>
      </c>
      <c r="K103" s="51"/>
      <c r="L103" s="51" t="s">
        <v>257</v>
      </c>
      <c r="M103" s="51"/>
      <c r="N103" s="51"/>
      <c r="O103" s="51"/>
      <c r="P103" s="51"/>
      <c r="Q103" s="51"/>
      <c r="R103" s="51"/>
      <c r="S103" s="51"/>
      <c r="T103" s="51"/>
    </row>
    <row r="104">
      <c r="A104" s="51"/>
      <c r="B104" s="51"/>
      <c r="C104" s="56"/>
      <c r="D104" s="51"/>
      <c r="E104" s="51"/>
      <c r="F104" s="51"/>
      <c r="G104" s="51" t="str">
        <f>IFERROR(__xludf.DUMMYFUNCTION("""COMPUTED_VALUE"""),"#VALUE!")</f>
        <v>#VALUE!</v>
      </c>
      <c r="H104" s="51" t="str">
        <f>IFERROR(__xludf.DUMMYFUNCTION("""COMPUTED_VALUE"""),"")</f>
        <v/>
      </c>
      <c r="I104" s="51" t="str">
        <f>IFERROR(__xludf.DUMMYFUNCTION("""COMPUTED_VALUE"""),"#VALUE!")</f>
        <v>#VALUE!</v>
      </c>
      <c r="J104" s="51" t="str">
        <f>IFERROR(__xludf.DUMMYFUNCTION("""COMPUTED_VALUE"""),"")</f>
        <v/>
      </c>
      <c r="K104" s="51"/>
      <c r="L104" s="51" t="s">
        <v>257</v>
      </c>
      <c r="M104" s="51"/>
      <c r="N104" s="51"/>
      <c r="O104" s="51"/>
      <c r="P104" s="51"/>
      <c r="Q104" s="51"/>
      <c r="R104" s="51"/>
      <c r="S104" s="51"/>
      <c r="T104" s="51"/>
    </row>
    <row r="105">
      <c r="A105" s="51"/>
      <c r="B105" s="51"/>
      <c r="C105" s="56"/>
      <c r="D105" s="51"/>
      <c r="E105" s="51"/>
      <c r="F105" s="51"/>
      <c r="G105" s="51" t="str">
        <f>IFERROR(__xludf.DUMMYFUNCTION("""COMPUTED_VALUE"""),"#VALUE!")</f>
        <v>#VALUE!</v>
      </c>
      <c r="H105" s="51" t="str">
        <f>IFERROR(__xludf.DUMMYFUNCTION("""COMPUTED_VALUE"""),"")</f>
        <v/>
      </c>
      <c r="I105" s="51" t="str">
        <f>IFERROR(__xludf.DUMMYFUNCTION("""COMPUTED_VALUE"""),"#VALUE!")</f>
        <v>#VALUE!</v>
      </c>
      <c r="J105" s="51" t="str">
        <f>IFERROR(__xludf.DUMMYFUNCTION("""COMPUTED_VALUE"""),"")</f>
        <v/>
      </c>
      <c r="K105" s="51"/>
      <c r="L105" s="51" t="s">
        <v>257</v>
      </c>
      <c r="M105" s="51"/>
      <c r="N105" s="51"/>
      <c r="O105" s="51"/>
      <c r="P105" s="51"/>
      <c r="Q105" s="51"/>
      <c r="R105" s="51"/>
      <c r="S105" s="51"/>
      <c r="T105" s="51"/>
    </row>
    <row r="106">
      <c r="A106" s="51"/>
      <c r="B106" s="51"/>
      <c r="C106" s="56"/>
      <c r="D106" s="51"/>
      <c r="E106" s="51"/>
      <c r="F106" s="51"/>
      <c r="G106" s="51" t="str">
        <f>IFERROR(__xludf.DUMMYFUNCTION("""COMPUTED_VALUE"""),"#VALUE!")</f>
        <v>#VALUE!</v>
      </c>
      <c r="H106" s="51" t="str">
        <f>IFERROR(__xludf.DUMMYFUNCTION("""COMPUTED_VALUE"""),"")</f>
        <v/>
      </c>
      <c r="I106" s="51" t="str">
        <f>IFERROR(__xludf.DUMMYFUNCTION("""COMPUTED_VALUE"""),"#VALUE!")</f>
        <v>#VALUE!</v>
      </c>
      <c r="J106" s="51" t="str">
        <f>IFERROR(__xludf.DUMMYFUNCTION("""COMPUTED_VALUE"""),"")</f>
        <v/>
      </c>
      <c r="K106" s="51"/>
      <c r="L106" s="51" t="s">
        <v>257</v>
      </c>
      <c r="M106" s="51"/>
      <c r="N106" s="51"/>
      <c r="O106" s="51"/>
      <c r="P106" s="51"/>
      <c r="Q106" s="51"/>
      <c r="R106" s="51"/>
      <c r="S106" s="51"/>
      <c r="T106" s="51"/>
    </row>
    <row r="107">
      <c r="A107" s="51"/>
      <c r="B107" s="51"/>
      <c r="C107" s="56"/>
      <c r="D107" s="51"/>
      <c r="E107" s="51"/>
      <c r="F107" s="51"/>
      <c r="G107" s="51" t="str">
        <f>IFERROR(__xludf.DUMMYFUNCTION("""COMPUTED_VALUE"""),"#VALUE!")</f>
        <v>#VALUE!</v>
      </c>
      <c r="H107" s="51" t="str">
        <f>IFERROR(__xludf.DUMMYFUNCTION("""COMPUTED_VALUE"""),"")</f>
        <v/>
      </c>
      <c r="I107" s="51" t="str">
        <f>IFERROR(__xludf.DUMMYFUNCTION("""COMPUTED_VALUE"""),"#VALUE!")</f>
        <v>#VALUE!</v>
      </c>
      <c r="J107" s="51" t="str">
        <f>IFERROR(__xludf.DUMMYFUNCTION("""COMPUTED_VALUE"""),"")</f>
        <v/>
      </c>
      <c r="K107" s="51"/>
      <c r="L107" s="51" t="s">
        <v>257</v>
      </c>
      <c r="M107" s="51"/>
      <c r="N107" s="51"/>
      <c r="O107" s="51"/>
      <c r="P107" s="51"/>
      <c r="Q107" s="51"/>
      <c r="R107" s="51"/>
      <c r="S107" s="51"/>
      <c r="T107" s="51"/>
    </row>
    <row r="108">
      <c r="A108" s="51"/>
      <c r="B108" s="51"/>
      <c r="C108" s="56"/>
      <c r="D108" s="51"/>
      <c r="E108" s="51"/>
      <c r="F108" s="51"/>
      <c r="G108" s="51" t="str">
        <f>IFERROR(__xludf.DUMMYFUNCTION("""COMPUTED_VALUE"""),"#VALUE!")</f>
        <v>#VALUE!</v>
      </c>
      <c r="H108" s="51" t="str">
        <f>IFERROR(__xludf.DUMMYFUNCTION("""COMPUTED_VALUE"""),"")</f>
        <v/>
      </c>
      <c r="I108" s="51" t="str">
        <f>IFERROR(__xludf.DUMMYFUNCTION("""COMPUTED_VALUE"""),"#VALUE!")</f>
        <v>#VALUE!</v>
      </c>
      <c r="J108" s="51" t="str">
        <f>IFERROR(__xludf.DUMMYFUNCTION("""COMPUTED_VALUE"""),"")</f>
        <v/>
      </c>
      <c r="K108" s="51"/>
      <c r="L108" s="51" t="s">
        <v>257</v>
      </c>
      <c r="M108" s="51"/>
      <c r="N108" s="51"/>
      <c r="O108" s="51"/>
      <c r="P108" s="51"/>
      <c r="Q108" s="51"/>
      <c r="R108" s="51"/>
      <c r="S108" s="51"/>
      <c r="T108" s="51"/>
    </row>
    <row r="109">
      <c r="A109" s="51"/>
      <c r="B109" s="51"/>
      <c r="C109" s="56"/>
      <c r="D109" s="51"/>
      <c r="E109" s="51"/>
      <c r="F109" s="51"/>
      <c r="G109" s="51" t="str">
        <f>IFERROR(__xludf.DUMMYFUNCTION("""COMPUTED_VALUE"""),"#VALUE!")</f>
        <v>#VALUE!</v>
      </c>
      <c r="H109" s="51" t="str">
        <f>IFERROR(__xludf.DUMMYFUNCTION("""COMPUTED_VALUE"""),"")</f>
        <v/>
      </c>
      <c r="I109" s="51" t="str">
        <f>IFERROR(__xludf.DUMMYFUNCTION("""COMPUTED_VALUE"""),"#VALUE!")</f>
        <v>#VALUE!</v>
      </c>
      <c r="J109" s="51" t="str">
        <f>IFERROR(__xludf.DUMMYFUNCTION("""COMPUTED_VALUE"""),"")</f>
        <v/>
      </c>
      <c r="K109" s="51"/>
      <c r="L109" s="51" t="s">
        <v>257</v>
      </c>
      <c r="M109" s="51"/>
      <c r="N109" s="51"/>
      <c r="O109" s="51"/>
      <c r="P109" s="51"/>
      <c r="Q109" s="51"/>
      <c r="R109" s="51"/>
      <c r="S109" s="51"/>
      <c r="T109" s="51"/>
    </row>
    <row r="110">
      <c r="A110" s="51"/>
      <c r="B110" s="51"/>
      <c r="C110" s="56"/>
      <c r="D110" s="51"/>
      <c r="E110" s="51"/>
      <c r="F110" s="51"/>
      <c r="G110" s="51" t="str">
        <f>IFERROR(__xludf.DUMMYFUNCTION("""COMPUTED_VALUE"""),"#VALUE!")</f>
        <v>#VALUE!</v>
      </c>
      <c r="H110" s="51" t="str">
        <f>IFERROR(__xludf.DUMMYFUNCTION("""COMPUTED_VALUE"""),"")</f>
        <v/>
      </c>
      <c r="I110" s="51" t="str">
        <f>IFERROR(__xludf.DUMMYFUNCTION("""COMPUTED_VALUE"""),"#VALUE!")</f>
        <v>#VALUE!</v>
      </c>
      <c r="J110" s="51" t="str">
        <f>IFERROR(__xludf.DUMMYFUNCTION("""COMPUTED_VALUE"""),"")</f>
        <v/>
      </c>
      <c r="K110" s="51"/>
      <c r="L110" s="51" t="s">
        <v>257</v>
      </c>
      <c r="M110" s="51"/>
      <c r="N110" s="51"/>
      <c r="O110" s="51"/>
      <c r="P110" s="51"/>
      <c r="Q110" s="51"/>
      <c r="R110" s="51"/>
      <c r="S110" s="51"/>
      <c r="T110" s="51"/>
    </row>
    <row r="111">
      <c r="A111" s="51"/>
      <c r="B111" s="51"/>
      <c r="C111" s="56"/>
      <c r="D111" s="51"/>
      <c r="E111" s="51"/>
      <c r="F111" s="51"/>
      <c r="G111" s="51" t="str">
        <f>IFERROR(__xludf.DUMMYFUNCTION("""COMPUTED_VALUE"""),"#VALUE!")</f>
        <v>#VALUE!</v>
      </c>
      <c r="H111" s="51" t="str">
        <f>IFERROR(__xludf.DUMMYFUNCTION("""COMPUTED_VALUE"""),"")</f>
        <v/>
      </c>
      <c r="I111" s="51" t="str">
        <f>IFERROR(__xludf.DUMMYFUNCTION("""COMPUTED_VALUE"""),"#VALUE!")</f>
        <v>#VALUE!</v>
      </c>
      <c r="J111" s="51" t="str">
        <f>IFERROR(__xludf.DUMMYFUNCTION("""COMPUTED_VALUE"""),"")</f>
        <v/>
      </c>
      <c r="K111" s="51"/>
      <c r="L111" s="51" t="s">
        <v>257</v>
      </c>
      <c r="M111" s="51"/>
      <c r="N111" s="51"/>
      <c r="O111" s="51"/>
      <c r="P111" s="51"/>
      <c r="Q111" s="51"/>
      <c r="R111" s="51"/>
      <c r="S111" s="51"/>
      <c r="T111" s="51"/>
    </row>
    <row r="112">
      <c r="A112" s="51"/>
      <c r="B112" s="51"/>
      <c r="C112" s="56"/>
      <c r="D112" s="51"/>
      <c r="E112" s="51"/>
      <c r="F112" s="51"/>
      <c r="G112" s="51" t="str">
        <f>IFERROR(__xludf.DUMMYFUNCTION("""COMPUTED_VALUE"""),"#VALUE!")</f>
        <v>#VALUE!</v>
      </c>
      <c r="H112" s="51" t="str">
        <f>IFERROR(__xludf.DUMMYFUNCTION("""COMPUTED_VALUE"""),"")</f>
        <v/>
      </c>
      <c r="I112" s="51" t="str">
        <f>IFERROR(__xludf.DUMMYFUNCTION("""COMPUTED_VALUE"""),"#VALUE!")</f>
        <v>#VALUE!</v>
      </c>
      <c r="J112" s="51" t="str">
        <f>IFERROR(__xludf.DUMMYFUNCTION("""COMPUTED_VALUE"""),"")</f>
        <v/>
      </c>
      <c r="K112" s="51"/>
      <c r="L112" s="51" t="s">
        <v>257</v>
      </c>
      <c r="M112" s="51"/>
      <c r="N112" s="51"/>
      <c r="O112" s="51"/>
      <c r="P112" s="51"/>
      <c r="Q112" s="51"/>
      <c r="R112" s="51"/>
      <c r="S112" s="51"/>
      <c r="T112" s="51"/>
    </row>
    <row r="113">
      <c r="A113" s="51"/>
      <c r="B113" s="51"/>
      <c r="C113" s="56"/>
      <c r="D113" s="51"/>
      <c r="E113" s="51"/>
      <c r="F113" s="51"/>
      <c r="G113" s="51" t="str">
        <f>IFERROR(__xludf.DUMMYFUNCTION("""COMPUTED_VALUE"""),"#VALUE!")</f>
        <v>#VALUE!</v>
      </c>
      <c r="H113" s="51" t="str">
        <f>IFERROR(__xludf.DUMMYFUNCTION("""COMPUTED_VALUE"""),"")</f>
        <v/>
      </c>
      <c r="I113" s="51" t="str">
        <f>IFERROR(__xludf.DUMMYFUNCTION("""COMPUTED_VALUE"""),"#VALUE!")</f>
        <v>#VALUE!</v>
      </c>
      <c r="J113" s="51" t="str">
        <f>IFERROR(__xludf.DUMMYFUNCTION("""COMPUTED_VALUE"""),"")</f>
        <v/>
      </c>
      <c r="K113" s="51"/>
      <c r="L113" s="51" t="s">
        <v>257</v>
      </c>
      <c r="M113" s="51"/>
      <c r="N113" s="51"/>
      <c r="O113" s="51"/>
      <c r="P113" s="51"/>
      <c r="Q113" s="51"/>
      <c r="R113" s="51"/>
      <c r="S113" s="51"/>
      <c r="T113" s="51"/>
    </row>
    <row r="114">
      <c r="A114" s="51"/>
      <c r="B114" s="51"/>
      <c r="C114" s="56"/>
      <c r="D114" s="51"/>
      <c r="E114" s="51"/>
      <c r="F114" s="51"/>
      <c r="G114" s="51" t="str">
        <f>IFERROR(__xludf.DUMMYFUNCTION("""COMPUTED_VALUE"""),"#VALUE!")</f>
        <v>#VALUE!</v>
      </c>
      <c r="H114" s="51" t="str">
        <f>IFERROR(__xludf.DUMMYFUNCTION("""COMPUTED_VALUE"""),"")</f>
        <v/>
      </c>
      <c r="I114" s="51" t="str">
        <f>IFERROR(__xludf.DUMMYFUNCTION("""COMPUTED_VALUE"""),"#VALUE!")</f>
        <v>#VALUE!</v>
      </c>
      <c r="J114" s="51" t="str">
        <f>IFERROR(__xludf.DUMMYFUNCTION("""COMPUTED_VALUE"""),"")</f>
        <v/>
      </c>
      <c r="K114" s="51"/>
      <c r="L114" s="51" t="s">
        <v>257</v>
      </c>
      <c r="M114" s="51"/>
      <c r="N114" s="51"/>
      <c r="O114" s="51"/>
      <c r="P114" s="51"/>
      <c r="Q114" s="51"/>
      <c r="R114" s="51"/>
      <c r="S114" s="51"/>
      <c r="T114" s="51"/>
    </row>
    <row r="115">
      <c r="A115" s="51"/>
      <c r="B115" s="51"/>
      <c r="C115" s="56"/>
      <c r="D115" s="51"/>
      <c r="E115" s="51"/>
      <c r="F115" s="51"/>
      <c r="G115" s="51" t="str">
        <f>IFERROR(__xludf.DUMMYFUNCTION("""COMPUTED_VALUE"""),"#VALUE!")</f>
        <v>#VALUE!</v>
      </c>
      <c r="H115" s="51" t="str">
        <f>IFERROR(__xludf.DUMMYFUNCTION("""COMPUTED_VALUE"""),"")</f>
        <v/>
      </c>
      <c r="I115" s="51" t="str">
        <f>IFERROR(__xludf.DUMMYFUNCTION("""COMPUTED_VALUE"""),"#VALUE!")</f>
        <v>#VALUE!</v>
      </c>
      <c r="J115" s="51" t="str">
        <f>IFERROR(__xludf.DUMMYFUNCTION("""COMPUTED_VALUE"""),"")</f>
        <v/>
      </c>
      <c r="K115" s="51"/>
      <c r="L115" s="51" t="s">
        <v>257</v>
      </c>
      <c r="M115" s="51"/>
      <c r="N115" s="51"/>
      <c r="O115" s="51"/>
      <c r="P115" s="51"/>
      <c r="Q115" s="51"/>
      <c r="R115" s="51"/>
      <c r="S115" s="51"/>
      <c r="T115" s="51"/>
    </row>
    <row r="116">
      <c r="A116" s="51"/>
      <c r="B116" s="51"/>
      <c r="C116" s="56"/>
      <c r="D116" s="51"/>
      <c r="E116" s="51"/>
      <c r="F116" s="51"/>
      <c r="G116" s="51" t="str">
        <f>IFERROR(__xludf.DUMMYFUNCTION("""COMPUTED_VALUE"""),"#VALUE!")</f>
        <v>#VALUE!</v>
      </c>
      <c r="H116" s="51" t="str">
        <f>IFERROR(__xludf.DUMMYFUNCTION("""COMPUTED_VALUE"""),"")</f>
        <v/>
      </c>
      <c r="I116" s="51" t="str">
        <f>IFERROR(__xludf.DUMMYFUNCTION("""COMPUTED_VALUE"""),"#VALUE!")</f>
        <v>#VALUE!</v>
      </c>
      <c r="J116" s="51" t="str">
        <f>IFERROR(__xludf.DUMMYFUNCTION("""COMPUTED_VALUE"""),"")</f>
        <v/>
      </c>
      <c r="K116" s="51"/>
      <c r="L116" s="51" t="s">
        <v>257</v>
      </c>
      <c r="M116" s="51"/>
      <c r="N116" s="51"/>
      <c r="O116" s="51"/>
      <c r="P116" s="51"/>
      <c r="Q116" s="51"/>
      <c r="R116" s="51"/>
      <c r="S116" s="51"/>
      <c r="T116" s="51"/>
    </row>
    <row r="117">
      <c r="A117" s="51"/>
      <c r="B117" s="51"/>
      <c r="C117" s="56"/>
      <c r="D117" s="51"/>
      <c r="E117" s="51"/>
      <c r="F117" s="51"/>
      <c r="G117" s="51" t="str">
        <f>IFERROR(__xludf.DUMMYFUNCTION("""COMPUTED_VALUE"""),"#VALUE!")</f>
        <v>#VALUE!</v>
      </c>
      <c r="H117" s="51" t="str">
        <f>IFERROR(__xludf.DUMMYFUNCTION("""COMPUTED_VALUE"""),"")</f>
        <v/>
      </c>
      <c r="I117" s="51" t="str">
        <f>IFERROR(__xludf.DUMMYFUNCTION("""COMPUTED_VALUE"""),"#VALUE!")</f>
        <v>#VALUE!</v>
      </c>
      <c r="J117" s="51" t="str">
        <f>IFERROR(__xludf.DUMMYFUNCTION("""COMPUTED_VALUE"""),"")</f>
        <v/>
      </c>
      <c r="K117" s="51"/>
      <c r="L117" s="51" t="s">
        <v>257</v>
      </c>
      <c r="M117" s="51"/>
      <c r="N117" s="51"/>
      <c r="O117" s="51"/>
      <c r="P117" s="51"/>
      <c r="Q117" s="51"/>
      <c r="R117" s="51"/>
      <c r="S117" s="51"/>
      <c r="T117" s="51"/>
    </row>
    <row r="118">
      <c r="A118" s="51"/>
      <c r="B118" s="51"/>
      <c r="C118" s="56"/>
      <c r="D118" s="51"/>
      <c r="E118" s="51"/>
      <c r="F118" s="51"/>
      <c r="G118" s="51" t="str">
        <f>IFERROR(__xludf.DUMMYFUNCTION("""COMPUTED_VALUE"""),"#VALUE!")</f>
        <v>#VALUE!</v>
      </c>
      <c r="H118" s="51" t="str">
        <f>IFERROR(__xludf.DUMMYFUNCTION("""COMPUTED_VALUE"""),"")</f>
        <v/>
      </c>
      <c r="I118" s="51" t="str">
        <f>IFERROR(__xludf.DUMMYFUNCTION("""COMPUTED_VALUE"""),"#VALUE!")</f>
        <v>#VALUE!</v>
      </c>
      <c r="J118" s="51" t="str">
        <f>IFERROR(__xludf.DUMMYFUNCTION("""COMPUTED_VALUE"""),"")</f>
        <v/>
      </c>
      <c r="K118" s="51"/>
      <c r="L118" s="51" t="s">
        <v>257</v>
      </c>
      <c r="M118" s="51"/>
      <c r="N118" s="51"/>
      <c r="O118" s="51"/>
      <c r="P118" s="51"/>
      <c r="Q118" s="51"/>
      <c r="R118" s="51"/>
      <c r="S118" s="51"/>
      <c r="T118" s="51"/>
    </row>
    <row r="119">
      <c r="A119" s="51"/>
      <c r="B119" s="51"/>
      <c r="C119" s="56"/>
      <c r="D119" s="51"/>
      <c r="E119" s="51"/>
      <c r="F119" s="51"/>
      <c r="G119" s="51" t="str">
        <f>IFERROR(__xludf.DUMMYFUNCTION("""COMPUTED_VALUE"""),"#VALUE!")</f>
        <v>#VALUE!</v>
      </c>
      <c r="H119" s="51" t="str">
        <f>IFERROR(__xludf.DUMMYFUNCTION("""COMPUTED_VALUE"""),"")</f>
        <v/>
      </c>
      <c r="I119" s="51" t="str">
        <f>IFERROR(__xludf.DUMMYFUNCTION("""COMPUTED_VALUE"""),"#VALUE!")</f>
        <v>#VALUE!</v>
      </c>
      <c r="J119" s="51" t="str">
        <f>IFERROR(__xludf.DUMMYFUNCTION("""COMPUTED_VALUE"""),"")</f>
        <v/>
      </c>
      <c r="K119" s="51"/>
      <c r="L119" s="51" t="s">
        <v>257</v>
      </c>
      <c r="M119" s="51"/>
      <c r="N119" s="51"/>
      <c r="O119" s="51"/>
      <c r="P119" s="51"/>
      <c r="Q119" s="51"/>
      <c r="R119" s="51"/>
      <c r="S119" s="51"/>
      <c r="T119" s="51"/>
    </row>
    <row r="120">
      <c r="A120" s="51"/>
      <c r="B120" s="51"/>
      <c r="C120" s="56"/>
      <c r="D120" s="51"/>
      <c r="E120" s="51"/>
      <c r="F120" s="51"/>
      <c r="G120" s="51" t="str">
        <f>IFERROR(__xludf.DUMMYFUNCTION("""COMPUTED_VALUE"""),"#VALUE!")</f>
        <v>#VALUE!</v>
      </c>
      <c r="H120" s="51" t="str">
        <f>IFERROR(__xludf.DUMMYFUNCTION("""COMPUTED_VALUE"""),"")</f>
        <v/>
      </c>
      <c r="I120" s="51" t="str">
        <f>IFERROR(__xludf.DUMMYFUNCTION("""COMPUTED_VALUE"""),"#VALUE!")</f>
        <v>#VALUE!</v>
      </c>
      <c r="J120" s="51" t="str">
        <f>IFERROR(__xludf.DUMMYFUNCTION("""COMPUTED_VALUE"""),"")</f>
        <v/>
      </c>
      <c r="K120" s="51"/>
      <c r="L120" s="51" t="s">
        <v>257</v>
      </c>
      <c r="M120" s="51"/>
      <c r="N120" s="51"/>
      <c r="O120" s="51"/>
      <c r="P120" s="51"/>
      <c r="Q120" s="51"/>
      <c r="R120" s="51"/>
      <c r="S120" s="51"/>
      <c r="T120" s="51"/>
    </row>
    <row r="121">
      <c r="A121" s="51"/>
      <c r="B121" s="51"/>
      <c r="C121" s="56"/>
      <c r="D121" s="51"/>
      <c r="E121" s="51"/>
      <c r="F121" s="51"/>
      <c r="G121" s="51" t="str">
        <f>IFERROR(__xludf.DUMMYFUNCTION("""COMPUTED_VALUE"""),"#VALUE!")</f>
        <v>#VALUE!</v>
      </c>
      <c r="H121" s="51" t="str">
        <f>IFERROR(__xludf.DUMMYFUNCTION("""COMPUTED_VALUE"""),"")</f>
        <v/>
      </c>
      <c r="I121" s="51" t="str">
        <f>IFERROR(__xludf.DUMMYFUNCTION("""COMPUTED_VALUE"""),"#VALUE!")</f>
        <v>#VALUE!</v>
      </c>
      <c r="J121" s="51" t="str">
        <f>IFERROR(__xludf.DUMMYFUNCTION("""COMPUTED_VALUE"""),"")</f>
        <v/>
      </c>
      <c r="K121" s="51"/>
      <c r="L121" s="51" t="s">
        <v>257</v>
      </c>
      <c r="M121" s="51"/>
      <c r="N121" s="51"/>
      <c r="O121" s="51"/>
      <c r="P121" s="51"/>
      <c r="Q121" s="51"/>
      <c r="R121" s="51"/>
      <c r="S121" s="51"/>
      <c r="T121" s="51"/>
    </row>
    <row r="122">
      <c r="A122" s="51"/>
      <c r="B122" s="51"/>
      <c r="C122" s="56"/>
      <c r="D122" s="51"/>
      <c r="E122" s="51"/>
      <c r="F122" s="51"/>
      <c r="G122" s="51" t="str">
        <f>IFERROR(__xludf.DUMMYFUNCTION("""COMPUTED_VALUE"""),"#VALUE!")</f>
        <v>#VALUE!</v>
      </c>
      <c r="H122" s="51" t="str">
        <f>IFERROR(__xludf.DUMMYFUNCTION("""COMPUTED_VALUE"""),"")</f>
        <v/>
      </c>
      <c r="I122" s="51" t="str">
        <f>IFERROR(__xludf.DUMMYFUNCTION("""COMPUTED_VALUE"""),"#VALUE!")</f>
        <v>#VALUE!</v>
      </c>
      <c r="J122" s="51" t="str">
        <f>IFERROR(__xludf.DUMMYFUNCTION("""COMPUTED_VALUE"""),"")</f>
        <v/>
      </c>
      <c r="K122" s="51"/>
      <c r="L122" s="51" t="s">
        <v>257</v>
      </c>
      <c r="M122" s="51"/>
      <c r="N122" s="51"/>
      <c r="O122" s="51"/>
      <c r="P122" s="51"/>
      <c r="Q122" s="51"/>
      <c r="R122" s="51"/>
      <c r="S122" s="51"/>
      <c r="T122" s="51"/>
    </row>
    <row r="123">
      <c r="A123" s="51"/>
      <c r="B123" s="51"/>
      <c r="C123" s="56"/>
      <c r="D123" s="51"/>
      <c r="E123" s="51"/>
      <c r="F123" s="51"/>
      <c r="G123" s="51" t="str">
        <f>IFERROR(__xludf.DUMMYFUNCTION("""COMPUTED_VALUE"""),"#VALUE!")</f>
        <v>#VALUE!</v>
      </c>
      <c r="H123" s="51" t="str">
        <f>IFERROR(__xludf.DUMMYFUNCTION("""COMPUTED_VALUE"""),"")</f>
        <v/>
      </c>
      <c r="I123" s="51" t="str">
        <f>IFERROR(__xludf.DUMMYFUNCTION("""COMPUTED_VALUE"""),"#VALUE!")</f>
        <v>#VALUE!</v>
      </c>
      <c r="J123" s="51" t="str">
        <f>IFERROR(__xludf.DUMMYFUNCTION("""COMPUTED_VALUE"""),"")</f>
        <v/>
      </c>
      <c r="K123" s="51"/>
      <c r="L123" s="51" t="s">
        <v>257</v>
      </c>
      <c r="M123" s="51"/>
      <c r="N123" s="51"/>
      <c r="O123" s="51"/>
      <c r="P123" s="51"/>
      <c r="Q123" s="51"/>
      <c r="R123" s="51"/>
      <c r="S123" s="51"/>
      <c r="T123" s="51"/>
    </row>
    <row r="124">
      <c r="A124" s="51"/>
      <c r="B124" s="51"/>
      <c r="C124" s="56"/>
      <c r="D124" s="51"/>
      <c r="E124" s="51"/>
      <c r="F124" s="51"/>
      <c r="G124" s="51" t="str">
        <f>IFERROR(__xludf.DUMMYFUNCTION("""COMPUTED_VALUE"""),"#VALUE!")</f>
        <v>#VALUE!</v>
      </c>
      <c r="H124" s="51" t="str">
        <f>IFERROR(__xludf.DUMMYFUNCTION("""COMPUTED_VALUE"""),"")</f>
        <v/>
      </c>
      <c r="I124" s="51" t="str">
        <f>IFERROR(__xludf.DUMMYFUNCTION("""COMPUTED_VALUE"""),"#VALUE!")</f>
        <v>#VALUE!</v>
      </c>
      <c r="J124" s="51" t="str">
        <f>IFERROR(__xludf.DUMMYFUNCTION("""COMPUTED_VALUE"""),"")</f>
        <v/>
      </c>
      <c r="K124" s="51"/>
      <c r="L124" s="51" t="s">
        <v>257</v>
      </c>
      <c r="M124" s="51"/>
      <c r="N124" s="51"/>
      <c r="O124" s="51"/>
      <c r="P124" s="51"/>
      <c r="Q124" s="51"/>
      <c r="R124" s="51"/>
      <c r="S124" s="51"/>
      <c r="T124" s="51"/>
    </row>
    <row r="125">
      <c r="A125" s="51"/>
      <c r="B125" s="51"/>
      <c r="C125" s="56"/>
      <c r="D125" s="51"/>
      <c r="E125" s="51"/>
      <c r="F125" s="51"/>
      <c r="G125" s="51" t="str">
        <f>IFERROR(__xludf.DUMMYFUNCTION("""COMPUTED_VALUE"""),"#VALUE!")</f>
        <v>#VALUE!</v>
      </c>
      <c r="H125" s="51" t="str">
        <f>IFERROR(__xludf.DUMMYFUNCTION("""COMPUTED_VALUE"""),"")</f>
        <v/>
      </c>
      <c r="I125" s="51" t="str">
        <f>IFERROR(__xludf.DUMMYFUNCTION("""COMPUTED_VALUE"""),"#VALUE!")</f>
        <v>#VALUE!</v>
      </c>
      <c r="J125" s="51" t="str">
        <f>IFERROR(__xludf.DUMMYFUNCTION("""COMPUTED_VALUE"""),"")</f>
        <v/>
      </c>
      <c r="K125" s="51"/>
      <c r="L125" s="51" t="s">
        <v>257</v>
      </c>
      <c r="M125" s="51"/>
      <c r="N125" s="51"/>
      <c r="O125" s="51"/>
      <c r="P125" s="51"/>
      <c r="Q125" s="51"/>
      <c r="R125" s="51"/>
      <c r="S125" s="51"/>
      <c r="T125" s="51"/>
    </row>
    <row r="126">
      <c r="A126" s="51"/>
      <c r="B126" s="51"/>
      <c r="C126" s="56"/>
      <c r="D126" s="51"/>
      <c r="E126" s="51"/>
      <c r="F126" s="51"/>
      <c r="G126" s="51" t="str">
        <f>IFERROR(__xludf.DUMMYFUNCTION("""COMPUTED_VALUE"""),"#VALUE!")</f>
        <v>#VALUE!</v>
      </c>
      <c r="H126" s="51" t="str">
        <f>IFERROR(__xludf.DUMMYFUNCTION("""COMPUTED_VALUE"""),"")</f>
        <v/>
      </c>
      <c r="I126" s="51" t="str">
        <f>IFERROR(__xludf.DUMMYFUNCTION("""COMPUTED_VALUE"""),"#VALUE!")</f>
        <v>#VALUE!</v>
      </c>
      <c r="J126" s="51" t="str">
        <f>IFERROR(__xludf.DUMMYFUNCTION("""COMPUTED_VALUE"""),"")</f>
        <v/>
      </c>
      <c r="K126" s="51"/>
      <c r="L126" s="51" t="s">
        <v>257</v>
      </c>
      <c r="M126" s="51"/>
      <c r="N126" s="51"/>
      <c r="O126" s="51"/>
      <c r="P126" s="51"/>
      <c r="Q126" s="51"/>
      <c r="R126" s="51"/>
      <c r="S126" s="51"/>
      <c r="T126" s="51"/>
    </row>
    <row r="127">
      <c r="A127" s="51"/>
      <c r="B127" s="51"/>
      <c r="C127" s="56"/>
      <c r="D127" s="51"/>
      <c r="E127" s="51"/>
      <c r="F127" s="51"/>
      <c r="G127" s="51" t="str">
        <f>IFERROR(__xludf.DUMMYFUNCTION("""COMPUTED_VALUE"""),"#VALUE!")</f>
        <v>#VALUE!</v>
      </c>
      <c r="H127" s="51" t="str">
        <f>IFERROR(__xludf.DUMMYFUNCTION("""COMPUTED_VALUE"""),"")</f>
        <v/>
      </c>
      <c r="I127" s="51" t="str">
        <f>IFERROR(__xludf.DUMMYFUNCTION("""COMPUTED_VALUE"""),"#VALUE!")</f>
        <v>#VALUE!</v>
      </c>
      <c r="J127" s="51" t="str">
        <f>IFERROR(__xludf.DUMMYFUNCTION("""COMPUTED_VALUE"""),"")</f>
        <v/>
      </c>
      <c r="K127" s="51"/>
      <c r="L127" s="51" t="s">
        <v>257</v>
      </c>
      <c r="M127" s="51"/>
      <c r="N127" s="51"/>
      <c r="O127" s="51"/>
      <c r="P127" s="51"/>
      <c r="Q127" s="51"/>
      <c r="R127" s="51"/>
      <c r="S127" s="51"/>
      <c r="T127" s="51"/>
    </row>
    <row r="128">
      <c r="A128" s="51"/>
      <c r="B128" s="51"/>
      <c r="C128" s="56"/>
      <c r="D128" s="51"/>
      <c r="E128" s="51"/>
      <c r="F128" s="51"/>
      <c r="G128" s="51" t="str">
        <f>IFERROR(__xludf.DUMMYFUNCTION("""COMPUTED_VALUE"""),"#VALUE!")</f>
        <v>#VALUE!</v>
      </c>
      <c r="H128" s="51" t="str">
        <f>IFERROR(__xludf.DUMMYFUNCTION("""COMPUTED_VALUE"""),"")</f>
        <v/>
      </c>
      <c r="I128" s="51" t="str">
        <f>IFERROR(__xludf.DUMMYFUNCTION("""COMPUTED_VALUE"""),"#VALUE!")</f>
        <v>#VALUE!</v>
      </c>
      <c r="J128" s="51" t="str">
        <f>IFERROR(__xludf.DUMMYFUNCTION("""COMPUTED_VALUE"""),"")</f>
        <v/>
      </c>
      <c r="K128" s="51"/>
      <c r="L128" s="51" t="s">
        <v>257</v>
      </c>
      <c r="M128" s="51"/>
      <c r="N128" s="51"/>
      <c r="O128" s="51"/>
      <c r="P128" s="51"/>
      <c r="Q128" s="51"/>
      <c r="R128" s="51"/>
      <c r="S128" s="51"/>
      <c r="T128" s="51"/>
    </row>
    <row r="129">
      <c r="A129" s="51"/>
      <c r="B129" s="51"/>
      <c r="C129" s="56"/>
      <c r="D129" s="51"/>
      <c r="E129" s="51"/>
      <c r="F129" s="51"/>
      <c r="G129" s="51" t="str">
        <f>IFERROR(__xludf.DUMMYFUNCTION("""COMPUTED_VALUE"""),"#VALUE!")</f>
        <v>#VALUE!</v>
      </c>
      <c r="H129" s="51" t="str">
        <f>IFERROR(__xludf.DUMMYFUNCTION("""COMPUTED_VALUE"""),"")</f>
        <v/>
      </c>
      <c r="I129" s="51" t="str">
        <f>IFERROR(__xludf.DUMMYFUNCTION("""COMPUTED_VALUE"""),"#VALUE!")</f>
        <v>#VALUE!</v>
      </c>
      <c r="J129" s="51" t="str">
        <f>IFERROR(__xludf.DUMMYFUNCTION("""COMPUTED_VALUE"""),"")</f>
        <v/>
      </c>
      <c r="K129" s="51"/>
      <c r="L129" s="51" t="s">
        <v>257</v>
      </c>
      <c r="M129" s="51"/>
      <c r="N129" s="51"/>
      <c r="O129" s="51"/>
      <c r="P129" s="51"/>
      <c r="Q129" s="51"/>
      <c r="R129" s="51"/>
      <c r="S129" s="51"/>
      <c r="T129" s="51"/>
    </row>
    <row r="130">
      <c r="A130" s="51"/>
      <c r="B130" s="51"/>
      <c r="C130" s="56"/>
      <c r="D130" s="51"/>
      <c r="E130" s="51"/>
      <c r="F130" s="51"/>
      <c r="G130" s="51" t="str">
        <f>IFERROR(__xludf.DUMMYFUNCTION("""COMPUTED_VALUE"""),"#VALUE!")</f>
        <v>#VALUE!</v>
      </c>
      <c r="H130" s="51" t="str">
        <f>IFERROR(__xludf.DUMMYFUNCTION("""COMPUTED_VALUE"""),"")</f>
        <v/>
      </c>
      <c r="I130" s="51" t="str">
        <f>IFERROR(__xludf.DUMMYFUNCTION("""COMPUTED_VALUE"""),"#VALUE!")</f>
        <v>#VALUE!</v>
      </c>
      <c r="J130" s="51" t="str">
        <f>IFERROR(__xludf.DUMMYFUNCTION("""COMPUTED_VALUE"""),"")</f>
        <v/>
      </c>
      <c r="K130" s="51"/>
      <c r="L130" s="51" t="s">
        <v>257</v>
      </c>
      <c r="M130" s="51"/>
      <c r="N130" s="51"/>
      <c r="O130" s="51"/>
      <c r="P130" s="51"/>
      <c r="Q130" s="51"/>
      <c r="R130" s="51"/>
      <c r="S130" s="51"/>
      <c r="T130" s="51"/>
    </row>
    <row r="131">
      <c r="A131" s="51"/>
      <c r="B131" s="51"/>
      <c r="C131" s="56"/>
      <c r="D131" s="51"/>
      <c r="E131" s="51"/>
      <c r="F131" s="51"/>
      <c r="G131" s="51" t="str">
        <f>IFERROR(__xludf.DUMMYFUNCTION("""COMPUTED_VALUE"""),"#VALUE!")</f>
        <v>#VALUE!</v>
      </c>
      <c r="H131" s="51" t="str">
        <f>IFERROR(__xludf.DUMMYFUNCTION("""COMPUTED_VALUE"""),"")</f>
        <v/>
      </c>
      <c r="I131" s="51" t="str">
        <f>IFERROR(__xludf.DUMMYFUNCTION("""COMPUTED_VALUE"""),"#VALUE!")</f>
        <v>#VALUE!</v>
      </c>
      <c r="J131" s="51" t="str">
        <f>IFERROR(__xludf.DUMMYFUNCTION("""COMPUTED_VALUE"""),"")</f>
        <v/>
      </c>
      <c r="K131" s="51"/>
      <c r="L131" s="51" t="s">
        <v>257</v>
      </c>
      <c r="M131" s="51"/>
      <c r="N131" s="51"/>
      <c r="O131" s="51"/>
      <c r="P131" s="51"/>
      <c r="Q131" s="51"/>
      <c r="R131" s="51"/>
      <c r="S131" s="51"/>
      <c r="T131" s="51"/>
    </row>
    <row r="132">
      <c r="A132" s="51"/>
      <c r="B132" s="51"/>
      <c r="C132" s="56"/>
      <c r="D132" s="51"/>
      <c r="E132" s="51"/>
      <c r="F132" s="51"/>
      <c r="G132" s="51" t="str">
        <f>IFERROR(__xludf.DUMMYFUNCTION("""COMPUTED_VALUE"""),"#VALUE!")</f>
        <v>#VALUE!</v>
      </c>
      <c r="H132" s="51" t="str">
        <f>IFERROR(__xludf.DUMMYFUNCTION("""COMPUTED_VALUE"""),"")</f>
        <v/>
      </c>
      <c r="I132" s="51" t="str">
        <f>IFERROR(__xludf.DUMMYFUNCTION("""COMPUTED_VALUE"""),"#VALUE!")</f>
        <v>#VALUE!</v>
      </c>
      <c r="J132" s="51" t="str">
        <f>IFERROR(__xludf.DUMMYFUNCTION("""COMPUTED_VALUE"""),"")</f>
        <v/>
      </c>
      <c r="K132" s="51"/>
      <c r="L132" s="51" t="s">
        <v>257</v>
      </c>
      <c r="M132" s="51"/>
      <c r="N132" s="51"/>
      <c r="O132" s="51"/>
      <c r="P132" s="51"/>
      <c r="Q132" s="51"/>
      <c r="R132" s="51"/>
      <c r="S132" s="51"/>
      <c r="T132" s="51"/>
    </row>
    <row r="133">
      <c r="A133" s="51"/>
      <c r="B133" s="51"/>
      <c r="C133" s="56"/>
      <c r="D133" s="51"/>
      <c r="E133" s="51"/>
      <c r="F133" s="51"/>
      <c r="G133" s="51" t="str">
        <f>IFERROR(__xludf.DUMMYFUNCTION("""COMPUTED_VALUE"""),"#VALUE!")</f>
        <v>#VALUE!</v>
      </c>
      <c r="H133" s="51" t="str">
        <f>IFERROR(__xludf.DUMMYFUNCTION("""COMPUTED_VALUE"""),"")</f>
        <v/>
      </c>
      <c r="I133" s="51" t="str">
        <f>IFERROR(__xludf.DUMMYFUNCTION("""COMPUTED_VALUE"""),"#VALUE!")</f>
        <v>#VALUE!</v>
      </c>
      <c r="J133" s="51" t="str">
        <f>IFERROR(__xludf.DUMMYFUNCTION("""COMPUTED_VALUE"""),"")</f>
        <v/>
      </c>
      <c r="K133" s="51"/>
      <c r="L133" s="51" t="s">
        <v>257</v>
      </c>
      <c r="M133" s="51"/>
      <c r="N133" s="51"/>
      <c r="O133" s="51"/>
      <c r="P133" s="51"/>
      <c r="Q133" s="51"/>
      <c r="R133" s="51"/>
      <c r="S133" s="51"/>
      <c r="T133" s="51"/>
    </row>
    <row r="134">
      <c r="A134" s="51"/>
      <c r="B134" s="51"/>
      <c r="C134" s="56"/>
      <c r="D134" s="51"/>
      <c r="E134" s="51"/>
      <c r="F134" s="51"/>
      <c r="G134" s="51" t="str">
        <f>IFERROR(__xludf.DUMMYFUNCTION("""COMPUTED_VALUE"""),"#VALUE!")</f>
        <v>#VALUE!</v>
      </c>
      <c r="H134" s="51" t="str">
        <f>IFERROR(__xludf.DUMMYFUNCTION("""COMPUTED_VALUE"""),"")</f>
        <v/>
      </c>
      <c r="I134" s="51" t="str">
        <f>IFERROR(__xludf.DUMMYFUNCTION("""COMPUTED_VALUE"""),"#VALUE!")</f>
        <v>#VALUE!</v>
      </c>
      <c r="J134" s="51" t="str">
        <f>IFERROR(__xludf.DUMMYFUNCTION("""COMPUTED_VALUE"""),"")</f>
        <v/>
      </c>
      <c r="K134" s="51"/>
      <c r="L134" s="51" t="s">
        <v>257</v>
      </c>
      <c r="M134" s="51"/>
      <c r="N134" s="51"/>
      <c r="O134" s="51"/>
      <c r="P134" s="51"/>
      <c r="Q134" s="51"/>
      <c r="R134" s="51"/>
      <c r="S134" s="51"/>
      <c r="T134" s="51"/>
    </row>
    <row r="135">
      <c r="A135" s="51"/>
      <c r="B135" s="51"/>
      <c r="C135" s="56"/>
      <c r="D135" s="51"/>
      <c r="E135" s="51"/>
      <c r="F135" s="51"/>
      <c r="G135" s="51" t="str">
        <f>IFERROR(__xludf.DUMMYFUNCTION("""COMPUTED_VALUE"""),"#VALUE!")</f>
        <v>#VALUE!</v>
      </c>
      <c r="H135" s="51" t="str">
        <f>IFERROR(__xludf.DUMMYFUNCTION("""COMPUTED_VALUE"""),"")</f>
        <v/>
      </c>
      <c r="I135" s="51" t="str">
        <f>IFERROR(__xludf.DUMMYFUNCTION("""COMPUTED_VALUE"""),"#VALUE!")</f>
        <v>#VALUE!</v>
      </c>
      <c r="J135" s="51" t="str">
        <f>IFERROR(__xludf.DUMMYFUNCTION("""COMPUTED_VALUE"""),"")</f>
        <v/>
      </c>
      <c r="K135" s="51"/>
      <c r="L135" s="51" t="s">
        <v>257</v>
      </c>
      <c r="M135" s="51"/>
      <c r="N135" s="51"/>
      <c r="O135" s="51"/>
      <c r="P135" s="51"/>
      <c r="Q135" s="51"/>
      <c r="R135" s="51"/>
      <c r="S135" s="51"/>
      <c r="T135" s="51"/>
    </row>
    <row r="136">
      <c r="A136" s="51"/>
      <c r="B136" s="51"/>
      <c r="C136" s="56"/>
      <c r="D136" s="51"/>
      <c r="E136" s="51"/>
      <c r="F136" s="51"/>
      <c r="G136" s="51" t="str">
        <f>IFERROR(__xludf.DUMMYFUNCTION("""COMPUTED_VALUE"""),"#VALUE!")</f>
        <v>#VALUE!</v>
      </c>
      <c r="H136" s="51" t="str">
        <f>IFERROR(__xludf.DUMMYFUNCTION("""COMPUTED_VALUE"""),"")</f>
        <v/>
      </c>
      <c r="I136" s="51" t="str">
        <f>IFERROR(__xludf.DUMMYFUNCTION("""COMPUTED_VALUE"""),"#VALUE!")</f>
        <v>#VALUE!</v>
      </c>
      <c r="J136" s="51" t="str">
        <f>IFERROR(__xludf.DUMMYFUNCTION("""COMPUTED_VALUE"""),"")</f>
        <v/>
      </c>
      <c r="K136" s="51"/>
      <c r="L136" s="51" t="s">
        <v>257</v>
      </c>
      <c r="M136" s="51"/>
      <c r="N136" s="51"/>
      <c r="O136" s="51"/>
      <c r="P136" s="51"/>
      <c r="Q136" s="51"/>
      <c r="R136" s="51"/>
      <c r="S136" s="51"/>
      <c r="T136" s="51"/>
    </row>
    <row r="137">
      <c r="A137" s="51"/>
      <c r="B137" s="51"/>
      <c r="C137" s="56"/>
      <c r="D137" s="51"/>
      <c r="E137" s="51"/>
      <c r="F137" s="51"/>
      <c r="G137" s="51" t="str">
        <f>IFERROR(__xludf.DUMMYFUNCTION("""COMPUTED_VALUE"""),"#VALUE!")</f>
        <v>#VALUE!</v>
      </c>
      <c r="H137" s="51" t="str">
        <f>IFERROR(__xludf.DUMMYFUNCTION("""COMPUTED_VALUE"""),"")</f>
        <v/>
      </c>
      <c r="I137" s="51" t="str">
        <f>IFERROR(__xludf.DUMMYFUNCTION("""COMPUTED_VALUE"""),"#VALUE!")</f>
        <v>#VALUE!</v>
      </c>
      <c r="J137" s="51" t="str">
        <f>IFERROR(__xludf.DUMMYFUNCTION("""COMPUTED_VALUE"""),"")</f>
        <v/>
      </c>
      <c r="K137" s="51"/>
      <c r="L137" s="51" t="s">
        <v>257</v>
      </c>
      <c r="M137" s="51"/>
      <c r="N137" s="51"/>
      <c r="O137" s="51"/>
      <c r="P137" s="51"/>
      <c r="Q137" s="51"/>
      <c r="R137" s="51"/>
      <c r="S137" s="51"/>
      <c r="T137" s="51"/>
    </row>
    <row r="138">
      <c r="A138" s="51"/>
      <c r="B138" s="51"/>
      <c r="C138" s="56"/>
      <c r="D138" s="51"/>
      <c r="E138" s="51"/>
      <c r="F138" s="51"/>
      <c r="G138" s="51" t="str">
        <f>IFERROR(__xludf.DUMMYFUNCTION("""COMPUTED_VALUE"""),"#VALUE!")</f>
        <v>#VALUE!</v>
      </c>
      <c r="H138" s="51" t="str">
        <f>IFERROR(__xludf.DUMMYFUNCTION("""COMPUTED_VALUE"""),"")</f>
        <v/>
      </c>
      <c r="I138" s="51" t="str">
        <f>IFERROR(__xludf.DUMMYFUNCTION("""COMPUTED_VALUE"""),"#VALUE!")</f>
        <v>#VALUE!</v>
      </c>
      <c r="J138" s="51" t="str">
        <f>IFERROR(__xludf.DUMMYFUNCTION("""COMPUTED_VALUE"""),"")</f>
        <v/>
      </c>
      <c r="K138" s="51"/>
      <c r="L138" s="51" t="s">
        <v>257</v>
      </c>
      <c r="M138" s="51"/>
      <c r="N138" s="51"/>
      <c r="O138" s="51"/>
      <c r="P138" s="51"/>
      <c r="Q138" s="51"/>
      <c r="R138" s="51"/>
      <c r="S138" s="51"/>
      <c r="T138" s="51"/>
    </row>
    <row r="139">
      <c r="A139" s="51"/>
      <c r="B139" s="51"/>
      <c r="C139" s="56"/>
      <c r="D139" s="51"/>
      <c r="E139" s="51"/>
      <c r="F139" s="51"/>
      <c r="G139" s="51" t="str">
        <f>IFERROR(__xludf.DUMMYFUNCTION("""COMPUTED_VALUE"""),"#VALUE!")</f>
        <v>#VALUE!</v>
      </c>
      <c r="H139" s="51" t="str">
        <f>IFERROR(__xludf.DUMMYFUNCTION("""COMPUTED_VALUE"""),"")</f>
        <v/>
      </c>
      <c r="I139" s="51" t="str">
        <f>IFERROR(__xludf.DUMMYFUNCTION("""COMPUTED_VALUE"""),"#VALUE!")</f>
        <v>#VALUE!</v>
      </c>
      <c r="J139" s="51" t="str">
        <f>IFERROR(__xludf.DUMMYFUNCTION("""COMPUTED_VALUE"""),"")</f>
        <v/>
      </c>
      <c r="K139" s="51"/>
      <c r="L139" s="51" t="s">
        <v>257</v>
      </c>
      <c r="M139" s="51"/>
      <c r="N139" s="51"/>
      <c r="O139" s="51"/>
      <c r="P139" s="51"/>
      <c r="Q139" s="51"/>
      <c r="R139" s="51"/>
      <c r="S139" s="51"/>
      <c r="T139" s="51"/>
    </row>
    <row r="140">
      <c r="A140" s="51"/>
      <c r="B140" s="51"/>
      <c r="C140" s="56"/>
      <c r="D140" s="51"/>
      <c r="E140" s="51"/>
      <c r="F140" s="51"/>
      <c r="G140" s="51" t="str">
        <f>IFERROR(__xludf.DUMMYFUNCTION("""COMPUTED_VALUE"""),"#VALUE!")</f>
        <v>#VALUE!</v>
      </c>
      <c r="H140" s="51" t="str">
        <f>IFERROR(__xludf.DUMMYFUNCTION("""COMPUTED_VALUE"""),"")</f>
        <v/>
      </c>
      <c r="I140" s="51" t="str">
        <f>IFERROR(__xludf.DUMMYFUNCTION("""COMPUTED_VALUE"""),"#VALUE!")</f>
        <v>#VALUE!</v>
      </c>
      <c r="J140" s="51" t="str">
        <f>IFERROR(__xludf.DUMMYFUNCTION("""COMPUTED_VALUE"""),"")</f>
        <v/>
      </c>
      <c r="K140" s="51"/>
      <c r="L140" s="51" t="s">
        <v>257</v>
      </c>
      <c r="M140" s="51"/>
      <c r="N140" s="51"/>
      <c r="O140" s="51"/>
      <c r="P140" s="51"/>
      <c r="Q140" s="51"/>
      <c r="R140" s="51"/>
      <c r="S140" s="51"/>
      <c r="T140" s="51"/>
    </row>
    <row r="141">
      <c r="A141" s="51"/>
      <c r="B141" s="51"/>
      <c r="C141" s="56"/>
      <c r="D141" s="51"/>
      <c r="E141" s="51"/>
      <c r="F141" s="51"/>
      <c r="G141" s="51" t="str">
        <f>IFERROR(__xludf.DUMMYFUNCTION("""COMPUTED_VALUE"""),"#VALUE!")</f>
        <v>#VALUE!</v>
      </c>
      <c r="H141" s="51" t="str">
        <f>IFERROR(__xludf.DUMMYFUNCTION("""COMPUTED_VALUE"""),"")</f>
        <v/>
      </c>
      <c r="I141" s="51" t="str">
        <f>IFERROR(__xludf.DUMMYFUNCTION("""COMPUTED_VALUE"""),"#VALUE!")</f>
        <v>#VALUE!</v>
      </c>
      <c r="J141" s="51" t="str">
        <f>IFERROR(__xludf.DUMMYFUNCTION("""COMPUTED_VALUE"""),"")</f>
        <v/>
      </c>
      <c r="K141" s="51"/>
      <c r="L141" s="51" t="s">
        <v>257</v>
      </c>
      <c r="M141" s="51"/>
      <c r="N141" s="51"/>
      <c r="O141" s="51"/>
      <c r="P141" s="51"/>
      <c r="Q141" s="51"/>
      <c r="R141" s="51"/>
      <c r="S141" s="51"/>
      <c r="T141" s="51"/>
    </row>
    <row r="142">
      <c r="A142" s="51"/>
      <c r="B142" s="51"/>
      <c r="C142" s="56"/>
      <c r="D142" s="51"/>
      <c r="E142" s="51"/>
      <c r="F142" s="51"/>
      <c r="G142" s="51" t="str">
        <f>IFERROR(__xludf.DUMMYFUNCTION("""COMPUTED_VALUE"""),"#VALUE!")</f>
        <v>#VALUE!</v>
      </c>
      <c r="H142" s="51" t="str">
        <f>IFERROR(__xludf.DUMMYFUNCTION("""COMPUTED_VALUE"""),"")</f>
        <v/>
      </c>
      <c r="I142" s="51" t="str">
        <f>IFERROR(__xludf.DUMMYFUNCTION("""COMPUTED_VALUE"""),"#VALUE!")</f>
        <v>#VALUE!</v>
      </c>
      <c r="J142" s="51" t="str">
        <f>IFERROR(__xludf.DUMMYFUNCTION("""COMPUTED_VALUE"""),"")</f>
        <v/>
      </c>
      <c r="K142" s="51"/>
      <c r="L142" s="51" t="s">
        <v>257</v>
      </c>
      <c r="M142" s="51"/>
      <c r="N142" s="51"/>
      <c r="O142" s="51"/>
      <c r="P142" s="51"/>
      <c r="Q142" s="51"/>
      <c r="R142" s="51"/>
      <c r="S142" s="51"/>
      <c r="T142" s="51"/>
    </row>
    <row r="143">
      <c r="A143" s="51"/>
      <c r="B143" s="51"/>
      <c r="C143" s="56"/>
      <c r="D143" s="51"/>
      <c r="E143" s="51"/>
      <c r="F143" s="51"/>
      <c r="G143" s="51" t="str">
        <f>IFERROR(__xludf.DUMMYFUNCTION("""COMPUTED_VALUE"""),"#VALUE!")</f>
        <v>#VALUE!</v>
      </c>
      <c r="H143" s="51" t="str">
        <f>IFERROR(__xludf.DUMMYFUNCTION("""COMPUTED_VALUE"""),"")</f>
        <v/>
      </c>
      <c r="I143" s="51" t="str">
        <f>IFERROR(__xludf.DUMMYFUNCTION("""COMPUTED_VALUE"""),"#VALUE!")</f>
        <v>#VALUE!</v>
      </c>
      <c r="J143" s="51" t="str">
        <f>IFERROR(__xludf.DUMMYFUNCTION("""COMPUTED_VALUE"""),"")</f>
        <v/>
      </c>
      <c r="K143" s="51"/>
      <c r="L143" s="51" t="s">
        <v>257</v>
      </c>
      <c r="M143" s="51"/>
      <c r="N143" s="51"/>
      <c r="O143" s="51"/>
      <c r="P143" s="51"/>
      <c r="Q143" s="51"/>
      <c r="R143" s="51"/>
      <c r="S143" s="51"/>
      <c r="T143" s="51"/>
    </row>
    <row r="144">
      <c r="A144" s="51"/>
      <c r="B144" s="51"/>
      <c r="C144" s="56"/>
      <c r="D144" s="51"/>
      <c r="E144" s="51"/>
      <c r="F144" s="51"/>
      <c r="G144" s="51" t="str">
        <f>IFERROR(__xludf.DUMMYFUNCTION("""COMPUTED_VALUE"""),"#VALUE!")</f>
        <v>#VALUE!</v>
      </c>
      <c r="H144" s="51" t="str">
        <f>IFERROR(__xludf.DUMMYFUNCTION("""COMPUTED_VALUE"""),"")</f>
        <v/>
      </c>
      <c r="I144" s="51" t="str">
        <f>IFERROR(__xludf.DUMMYFUNCTION("""COMPUTED_VALUE"""),"#VALUE!")</f>
        <v>#VALUE!</v>
      </c>
      <c r="J144" s="51" t="str">
        <f>IFERROR(__xludf.DUMMYFUNCTION("""COMPUTED_VALUE"""),"")</f>
        <v/>
      </c>
      <c r="K144" s="51"/>
      <c r="L144" s="51" t="s">
        <v>257</v>
      </c>
      <c r="M144" s="51"/>
      <c r="N144" s="51"/>
      <c r="O144" s="51"/>
      <c r="P144" s="51"/>
      <c r="Q144" s="51"/>
      <c r="R144" s="51"/>
      <c r="S144" s="51"/>
      <c r="T144" s="51"/>
    </row>
    <row r="145">
      <c r="A145" s="51"/>
      <c r="B145" s="51"/>
      <c r="C145" s="56"/>
      <c r="D145" s="51"/>
      <c r="E145" s="51"/>
      <c r="F145" s="51"/>
      <c r="G145" s="51" t="str">
        <f>IFERROR(__xludf.DUMMYFUNCTION("""COMPUTED_VALUE"""),"#VALUE!")</f>
        <v>#VALUE!</v>
      </c>
      <c r="H145" s="51" t="str">
        <f>IFERROR(__xludf.DUMMYFUNCTION("""COMPUTED_VALUE"""),"")</f>
        <v/>
      </c>
      <c r="I145" s="51" t="str">
        <f>IFERROR(__xludf.DUMMYFUNCTION("""COMPUTED_VALUE"""),"#VALUE!")</f>
        <v>#VALUE!</v>
      </c>
      <c r="J145" s="51" t="str">
        <f>IFERROR(__xludf.DUMMYFUNCTION("""COMPUTED_VALUE"""),"")</f>
        <v/>
      </c>
      <c r="K145" s="51"/>
      <c r="L145" s="51" t="s">
        <v>257</v>
      </c>
      <c r="M145" s="51"/>
      <c r="N145" s="51"/>
      <c r="O145" s="51"/>
      <c r="P145" s="51"/>
      <c r="Q145" s="51"/>
      <c r="R145" s="51"/>
      <c r="S145" s="51"/>
      <c r="T145" s="51"/>
    </row>
    <row r="146">
      <c r="A146" s="51"/>
      <c r="B146" s="51"/>
      <c r="C146" s="56"/>
      <c r="D146" s="51"/>
      <c r="E146" s="51"/>
      <c r="F146" s="51"/>
      <c r="G146" s="51" t="str">
        <f>IFERROR(__xludf.DUMMYFUNCTION("""COMPUTED_VALUE"""),"#VALUE!")</f>
        <v>#VALUE!</v>
      </c>
      <c r="H146" s="51" t="str">
        <f>IFERROR(__xludf.DUMMYFUNCTION("""COMPUTED_VALUE"""),"")</f>
        <v/>
      </c>
      <c r="I146" s="51" t="str">
        <f>IFERROR(__xludf.DUMMYFUNCTION("""COMPUTED_VALUE"""),"#VALUE!")</f>
        <v>#VALUE!</v>
      </c>
      <c r="J146" s="51" t="str">
        <f>IFERROR(__xludf.DUMMYFUNCTION("""COMPUTED_VALUE"""),"")</f>
        <v/>
      </c>
      <c r="K146" s="51"/>
      <c r="L146" s="51" t="s">
        <v>257</v>
      </c>
      <c r="M146" s="51"/>
      <c r="N146" s="51"/>
      <c r="O146" s="51"/>
      <c r="P146" s="51"/>
      <c r="Q146" s="51"/>
      <c r="R146" s="51"/>
      <c r="S146" s="51"/>
      <c r="T146" s="51"/>
    </row>
    <row r="147">
      <c r="A147" s="51"/>
      <c r="B147" s="51"/>
      <c r="C147" s="56"/>
      <c r="D147" s="51"/>
      <c r="E147" s="51"/>
      <c r="F147" s="51"/>
      <c r="G147" s="51" t="str">
        <f>IFERROR(__xludf.DUMMYFUNCTION("""COMPUTED_VALUE"""),"#VALUE!")</f>
        <v>#VALUE!</v>
      </c>
      <c r="H147" s="51" t="str">
        <f>IFERROR(__xludf.DUMMYFUNCTION("""COMPUTED_VALUE"""),"")</f>
        <v/>
      </c>
      <c r="I147" s="51" t="str">
        <f>IFERROR(__xludf.DUMMYFUNCTION("""COMPUTED_VALUE"""),"#VALUE!")</f>
        <v>#VALUE!</v>
      </c>
      <c r="J147" s="51" t="str">
        <f>IFERROR(__xludf.DUMMYFUNCTION("""COMPUTED_VALUE"""),"")</f>
        <v/>
      </c>
      <c r="K147" s="51"/>
      <c r="L147" s="51" t="s">
        <v>257</v>
      </c>
      <c r="M147" s="51"/>
      <c r="N147" s="51"/>
      <c r="O147" s="51"/>
      <c r="P147" s="51"/>
      <c r="Q147" s="51"/>
      <c r="R147" s="51"/>
      <c r="S147" s="51"/>
      <c r="T147" s="51"/>
    </row>
    <row r="148">
      <c r="A148" s="51"/>
      <c r="B148" s="51"/>
      <c r="C148" s="56"/>
      <c r="D148" s="51"/>
      <c r="E148" s="51"/>
      <c r="F148" s="51"/>
      <c r="G148" s="51" t="str">
        <f>IFERROR(__xludf.DUMMYFUNCTION("""COMPUTED_VALUE"""),"#VALUE!")</f>
        <v>#VALUE!</v>
      </c>
      <c r="H148" s="51" t="str">
        <f>IFERROR(__xludf.DUMMYFUNCTION("""COMPUTED_VALUE"""),"")</f>
        <v/>
      </c>
      <c r="I148" s="51" t="str">
        <f>IFERROR(__xludf.DUMMYFUNCTION("""COMPUTED_VALUE"""),"#VALUE!")</f>
        <v>#VALUE!</v>
      </c>
      <c r="J148" s="51" t="str">
        <f>IFERROR(__xludf.DUMMYFUNCTION("""COMPUTED_VALUE"""),"")</f>
        <v/>
      </c>
      <c r="K148" s="51"/>
      <c r="L148" s="51" t="s">
        <v>257</v>
      </c>
      <c r="M148" s="51"/>
      <c r="N148" s="51"/>
      <c r="O148" s="51"/>
      <c r="P148" s="51"/>
      <c r="Q148" s="51"/>
      <c r="R148" s="51"/>
      <c r="S148" s="51"/>
      <c r="T148" s="51"/>
    </row>
    <row r="149">
      <c r="A149" s="51"/>
      <c r="B149" s="51"/>
      <c r="C149" s="56"/>
      <c r="D149" s="51"/>
      <c r="E149" s="51"/>
      <c r="F149" s="51"/>
      <c r="G149" s="51" t="str">
        <f>IFERROR(__xludf.DUMMYFUNCTION("""COMPUTED_VALUE"""),"#VALUE!")</f>
        <v>#VALUE!</v>
      </c>
      <c r="H149" s="51" t="str">
        <f>IFERROR(__xludf.DUMMYFUNCTION("""COMPUTED_VALUE"""),"")</f>
        <v/>
      </c>
      <c r="I149" s="51" t="str">
        <f>IFERROR(__xludf.DUMMYFUNCTION("""COMPUTED_VALUE"""),"#VALUE!")</f>
        <v>#VALUE!</v>
      </c>
      <c r="J149" s="51" t="str">
        <f>IFERROR(__xludf.DUMMYFUNCTION("""COMPUTED_VALUE"""),"")</f>
        <v/>
      </c>
      <c r="K149" s="51"/>
      <c r="L149" s="51" t="s">
        <v>257</v>
      </c>
      <c r="M149" s="51"/>
      <c r="N149" s="51"/>
      <c r="O149" s="51"/>
      <c r="P149" s="51"/>
      <c r="Q149" s="51"/>
      <c r="R149" s="51"/>
      <c r="S149" s="51"/>
      <c r="T149" s="51"/>
    </row>
    <row r="150">
      <c r="A150" s="51"/>
      <c r="B150" s="51"/>
      <c r="C150" s="56"/>
      <c r="D150" s="51"/>
      <c r="E150" s="51"/>
      <c r="F150" s="51"/>
      <c r="G150" s="51" t="str">
        <f>IFERROR(__xludf.DUMMYFUNCTION("""COMPUTED_VALUE"""),"#VALUE!")</f>
        <v>#VALUE!</v>
      </c>
      <c r="H150" s="51" t="str">
        <f>IFERROR(__xludf.DUMMYFUNCTION("""COMPUTED_VALUE"""),"")</f>
        <v/>
      </c>
      <c r="I150" s="51" t="str">
        <f>IFERROR(__xludf.DUMMYFUNCTION("""COMPUTED_VALUE"""),"#VALUE!")</f>
        <v>#VALUE!</v>
      </c>
      <c r="J150" s="51" t="str">
        <f>IFERROR(__xludf.DUMMYFUNCTION("""COMPUTED_VALUE"""),"")</f>
        <v/>
      </c>
      <c r="K150" s="51"/>
      <c r="L150" s="51" t="s">
        <v>257</v>
      </c>
      <c r="M150" s="51"/>
      <c r="N150" s="51"/>
      <c r="O150" s="51"/>
      <c r="P150" s="51"/>
      <c r="Q150" s="51"/>
      <c r="R150" s="51"/>
      <c r="S150" s="51"/>
      <c r="T150" s="51"/>
    </row>
    <row r="151">
      <c r="A151" s="51"/>
      <c r="B151" s="51"/>
      <c r="C151" s="56"/>
      <c r="D151" s="51"/>
      <c r="E151" s="51"/>
      <c r="F151" s="51"/>
      <c r="G151" s="51" t="str">
        <f>IFERROR(__xludf.DUMMYFUNCTION("""COMPUTED_VALUE"""),"#VALUE!")</f>
        <v>#VALUE!</v>
      </c>
      <c r="H151" s="51" t="str">
        <f>IFERROR(__xludf.DUMMYFUNCTION("""COMPUTED_VALUE"""),"")</f>
        <v/>
      </c>
      <c r="I151" s="51" t="str">
        <f>IFERROR(__xludf.DUMMYFUNCTION("""COMPUTED_VALUE"""),"#VALUE!")</f>
        <v>#VALUE!</v>
      </c>
      <c r="J151" s="51" t="str">
        <f>IFERROR(__xludf.DUMMYFUNCTION("""COMPUTED_VALUE"""),"")</f>
        <v/>
      </c>
      <c r="K151" s="51"/>
      <c r="L151" s="51" t="s">
        <v>257</v>
      </c>
      <c r="M151" s="51"/>
      <c r="N151" s="51"/>
      <c r="O151" s="51"/>
      <c r="P151" s="51"/>
      <c r="Q151" s="51"/>
      <c r="R151" s="51"/>
      <c r="S151" s="51"/>
      <c r="T151" s="51"/>
    </row>
    <row r="152">
      <c r="A152" s="51"/>
      <c r="B152" s="51"/>
      <c r="C152" s="56"/>
      <c r="D152" s="51"/>
      <c r="E152" s="51"/>
      <c r="F152" s="51"/>
      <c r="G152" s="51" t="str">
        <f>IFERROR(__xludf.DUMMYFUNCTION("""COMPUTED_VALUE"""),"#VALUE!")</f>
        <v>#VALUE!</v>
      </c>
      <c r="H152" s="51" t="str">
        <f>IFERROR(__xludf.DUMMYFUNCTION("""COMPUTED_VALUE"""),"")</f>
        <v/>
      </c>
      <c r="I152" s="51" t="str">
        <f>IFERROR(__xludf.DUMMYFUNCTION("""COMPUTED_VALUE"""),"#VALUE!")</f>
        <v>#VALUE!</v>
      </c>
      <c r="J152" s="51" t="str">
        <f>IFERROR(__xludf.DUMMYFUNCTION("""COMPUTED_VALUE"""),"")</f>
        <v/>
      </c>
      <c r="K152" s="51"/>
      <c r="L152" s="51" t="s">
        <v>257</v>
      </c>
      <c r="M152" s="51"/>
      <c r="N152" s="51"/>
      <c r="O152" s="51"/>
      <c r="P152" s="51"/>
      <c r="Q152" s="51"/>
      <c r="R152" s="51"/>
      <c r="S152" s="51"/>
      <c r="T152" s="51"/>
    </row>
    <row r="153">
      <c r="A153" s="51"/>
      <c r="B153" s="51"/>
      <c r="C153" s="56"/>
      <c r="D153" s="51"/>
      <c r="E153" s="51"/>
      <c r="F153" s="51"/>
      <c r="G153" s="51" t="str">
        <f>IFERROR(__xludf.DUMMYFUNCTION("""COMPUTED_VALUE"""),"#VALUE!")</f>
        <v>#VALUE!</v>
      </c>
      <c r="H153" s="51" t="str">
        <f>IFERROR(__xludf.DUMMYFUNCTION("""COMPUTED_VALUE"""),"")</f>
        <v/>
      </c>
      <c r="I153" s="51" t="str">
        <f>IFERROR(__xludf.DUMMYFUNCTION("""COMPUTED_VALUE"""),"#VALUE!")</f>
        <v>#VALUE!</v>
      </c>
      <c r="J153" s="51" t="str">
        <f>IFERROR(__xludf.DUMMYFUNCTION("""COMPUTED_VALUE"""),"")</f>
        <v/>
      </c>
      <c r="K153" s="51"/>
      <c r="L153" s="51" t="s">
        <v>257</v>
      </c>
      <c r="M153" s="51"/>
      <c r="N153" s="51"/>
      <c r="O153" s="51"/>
      <c r="P153" s="51"/>
      <c r="Q153" s="51"/>
      <c r="R153" s="51"/>
      <c r="S153" s="51"/>
      <c r="T153" s="51"/>
    </row>
    <row r="154">
      <c r="A154" s="51"/>
      <c r="B154" s="51"/>
      <c r="C154" s="56"/>
      <c r="D154" s="51"/>
      <c r="E154" s="51"/>
      <c r="F154" s="51"/>
      <c r="G154" s="51" t="str">
        <f>IFERROR(__xludf.DUMMYFUNCTION("""COMPUTED_VALUE"""),"#VALUE!")</f>
        <v>#VALUE!</v>
      </c>
      <c r="H154" s="51" t="str">
        <f>IFERROR(__xludf.DUMMYFUNCTION("""COMPUTED_VALUE"""),"")</f>
        <v/>
      </c>
      <c r="I154" s="51" t="str">
        <f>IFERROR(__xludf.DUMMYFUNCTION("""COMPUTED_VALUE"""),"#VALUE!")</f>
        <v>#VALUE!</v>
      </c>
      <c r="J154" s="51" t="str">
        <f>IFERROR(__xludf.DUMMYFUNCTION("""COMPUTED_VALUE"""),"")</f>
        <v/>
      </c>
      <c r="K154" s="51"/>
      <c r="L154" s="51" t="s">
        <v>257</v>
      </c>
      <c r="M154" s="51"/>
      <c r="N154" s="51"/>
      <c r="O154" s="51"/>
      <c r="P154" s="51"/>
      <c r="Q154" s="51"/>
      <c r="R154" s="51"/>
      <c r="S154" s="51"/>
      <c r="T154" s="51"/>
    </row>
    <row r="155">
      <c r="A155" s="51"/>
      <c r="B155" s="51"/>
      <c r="C155" s="56"/>
      <c r="D155" s="51"/>
      <c r="E155" s="51"/>
      <c r="F155" s="51"/>
      <c r="G155" s="51" t="str">
        <f>IFERROR(__xludf.DUMMYFUNCTION("""COMPUTED_VALUE"""),"#VALUE!")</f>
        <v>#VALUE!</v>
      </c>
      <c r="H155" s="51" t="str">
        <f>IFERROR(__xludf.DUMMYFUNCTION("""COMPUTED_VALUE"""),"")</f>
        <v/>
      </c>
      <c r="I155" s="51" t="str">
        <f>IFERROR(__xludf.DUMMYFUNCTION("""COMPUTED_VALUE"""),"#VALUE!")</f>
        <v>#VALUE!</v>
      </c>
      <c r="J155" s="51" t="str">
        <f>IFERROR(__xludf.DUMMYFUNCTION("""COMPUTED_VALUE"""),"")</f>
        <v/>
      </c>
      <c r="K155" s="51"/>
      <c r="L155" s="51" t="s">
        <v>257</v>
      </c>
      <c r="M155" s="51"/>
      <c r="N155" s="51"/>
      <c r="O155" s="51"/>
      <c r="P155" s="51"/>
      <c r="Q155" s="51"/>
      <c r="R155" s="51"/>
      <c r="S155" s="51"/>
      <c r="T155" s="51"/>
    </row>
    <row r="156">
      <c r="A156" s="51"/>
      <c r="B156" s="51"/>
      <c r="C156" s="56"/>
      <c r="D156" s="51"/>
      <c r="E156" s="51"/>
      <c r="F156" s="51"/>
      <c r="G156" s="51" t="str">
        <f>IFERROR(__xludf.DUMMYFUNCTION("""COMPUTED_VALUE"""),"#VALUE!")</f>
        <v>#VALUE!</v>
      </c>
      <c r="H156" s="51" t="str">
        <f>IFERROR(__xludf.DUMMYFUNCTION("""COMPUTED_VALUE"""),"")</f>
        <v/>
      </c>
      <c r="I156" s="51" t="str">
        <f>IFERROR(__xludf.DUMMYFUNCTION("""COMPUTED_VALUE"""),"#VALUE!")</f>
        <v>#VALUE!</v>
      </c>
      <c r="J156" s="51" t="str">
        <f>IFERROR(__xludf.DUMMYFUNCTION("""COMPUTED_VALUE"""),"")</f>
        <v/>
      </c>
      <c r="K156" s="51"/>
      <c r="L156" s="51" t="s">
        <v>257</v>
      </c>
      <c r="M156" s="51"/>
      <c r="N156" s="51"/>
      <c r="O156" s="51"/>
      <c r="P156" s="51"/>
      <c r="Q156" s="51"/>
      <c r="R156" s="51"/>
      <c r="S156" s="51"/>
      <c r="T156" s="51"/>
    </row>
    <row r="157">
      <c r="A157" s="51"/>
      <c r="B157" s="51"/>
      <c r="C157" s="56"/>
      <c r="D157" s="51"/>
      <c r="E157" s="51"/>
      <c r="F157" s="51"/>
      <c r="G157" s="51" t="str">
        <f>IFERROR(__xludf.DUMMYFUNCTION("""COMPUTED_VALUE"""),"#VALUE!")</f>
        <v>#VALUE!</v>
      </c>
      <c r="H157" s="51" t="str">
        <f>IFERROR(__xludf.DUMMYFUNCTION("""COMPUTED_VALUE"""),"")</f>
        <v/>
      </c>
      <c r="I157" s="51" t="str">
        <f>IFERROR(__xludf.DUMMYFUNCTION("""COMPUTED_VALUE"""),"#VALUE!")</f>
        <v>#VALUE!</v>
      </c>
      <c r="J157" s="51" t="str">
        <f>IFERROR(__xludf.DUMMYFUNCTION("""COMPUTED_VALUE"""),"")</f>
        <v/>
      </c>
      <c r="K157" s="51"/>
      <c r="L157" s="51" t="s">
        <v>257</v>
      </c>
      <c r="M157" s="51"/>
      <c r="N157" s="51"/>
      <c r="O157" s="51"/>
      <c r="P157" s="51"/>
      <c r="Q157" s="51"/>
      <c r="R157" s="51"/>
      <c r="S157" s="51"/>
      <c r="T157" s="51"/>
    </row>
    <row r="158">
      <c r="A158" s="51"/>
      <c r="B158" s="51"/>
      <c r="C158" s="56"/>
      <c r="D158" s="51"/>
      <c r="E158" s="51"/>
      <c r="F158" s="51"/>
      <c r="G158" s="51" t="str">
        <f>IFERROR(__xludf.DUMMYFUNCTION("""COMPUTED_VALUE"""),"#VALUE!")</f>
        <v>#VALUE!</v>
      </c>
      <c r="H158" s="51" t="str">
        <f>IFERROR(__xludf.DUMMYFUNCTION("""COMPUTED_VALUE"""),"")</f>
        <v/>
      </c>
      <c r="I158" s="51" t="str">
        <f>IFERROR(__xludf.DUMMYFUNCTION("""COMPUTED_VALUE"""),"#VALUE!")</f>
        <v>#VALUE!</v>
      </c>
      <c r="J158" s="51" t="str">
        <f>IFERROR(__xludf.DUMMYFUNCTION("""COMPUTED_VALUE"""),"")</f>
        <v/>
      </c>
      <c r="K158" s="51"/>
      <c r="L158" s="51" t="s">
        <v>257</v>
      </c>
      <c r="M158" s="51"/>
      <c r="N158" s="51"/>
      <c r="O158" s="51"/>
      <c r="P158" s="51"/>
      <c r="Q158" s="51"/>
      <c r="R158" s="51"/>
      <c r="S158" s="51"/>
      <c r="T158" s="51"/>
    </row>
    <row r="159">
      <c r="A159" s="51"/>
      <c r="B159" s="51"/>
      <c r="C159" s="56"/>
      <c r="D159" s="51"/>
      <c r="E159" s="51"/>
      <c r="F159" s="51"/>
      <c r="G159" s="51" t="str">
        <f>IFERROR(__xludf.DUMMYFUNCTION("""COMPUTED_VALUE"""),"#VALUE!")</f>
        <v>#VALUE!</v>
      </c>
      <c r="H159" s="51" t="str">
        <f>IFERROR(__xludf.DUMMYFUNCTION("""COMPUTED_VALUE"""),"")</f>
        <v/>
      </c>
      <c r="I159" s="51" t="str">
        <f>IFERROR(__xludf.DUMMYFUNCTION("""COMPUTED_VALUE"""),"#VALUE!")</f>
        <v>#VALUE!</v>
      </c>
      <c r="J159" s="51" t="str">
        <f>IFERROR(__xludf.DUMMYFUNCTION("""COMPUTED_VALUE"""),"")</f>
        <v/>
      </c>
      <c r="K159" s="51"/>
      <c r="L159" s="51" t="s">
        <v>257</v>
      </c>
      <c r="M159" s="51"/>
      <c r="N159" s="51"/>
      <c r="O159" s="51"/>
      <c r="P159" s="51"/>
      <c r="Q159" s="51"/>
      <c r="R159" s="51"/>
      <c r="S159" s="51"/>
      <c r="T159" s="51"/>
    </row>
    <row r="160">
      <c r="A160" s="51"/>
      <c r="B160" s="51"/>
      <c r="C160" s="56"/>
      <c r="D160" s="51"/>
      <c r="E160" s="51"/>
      <c r="F160" s="51"/>
      <c r="G160" s="51" t="str">
        <f>IFERROR(__xludf.DUMMYFUNCTION("""COMPUTED_VALUE"""),"#VALUE!")</f>
        <v>#VALUE!</v>
      </c>
      <c r="H160" s="51" t="str">
        <f>IFERROR(__xludf.DUMMYFUNCTION("""COMPUTED_VALUE"""),"")</f>
        <v/>
      </c>
      <c r="I160" s="51" t="str">
        <f>IFERROR(__xludf.DUMMYFUNCTION("""COMPUTED_VALUE"""),"#VALUE!")</f>
        <v>#VALUE!</v>
      </c>
      <c r="J160" s="51" t="str">
        <f>IFERROR(__xludf.DUMMYFUNCTION("""COMPUTED_VALUE"""),"")</f>
        <v/>
      </c>
      <c r="K160" s="51"/>
      <c r="L160" s="51" t="s">
        <v>257</v>
      </c>
      <c r="M160" s="51"/>
      <c r="N160" s="51"/>
      <c r="O160" s="51"/>
      <c r="P160" s="51"/>
      <c r="Q160" s="51"/>
      <c r="R160" s="51"/>
      <c r="S160" s="51"/>
      <c r="T160" s="51"/>
    </row>
    <row r="161">
      <c r="A161" s="51"/>
      <c r="B161" s="51"/>
      <c r="C161" s="56"/>
      <c r="D161" s="51"/>
      <c r="E161" s="51"/>
      <c r="F161" s="51"/>
      <c r="G161" s="51" t="str">
        <f>IFERROR(__xludf.DUMMYFUNCTION("""COMPUTED_VALUE"""),"#VALUE!")</f>
        <v>#VALUE!</v>
      </c>
      <c r="H161" s="51" t="str">
        <f>IFERROR(__xludf.DUMMYFUNCTION("""COMPUTED_VALUE"""),"")</f>
        <v/>
      </c>
      <c r="I161" s="51" t="str">
        <f>IFERROR(__xludf.DUMMYFUNCTION("""COMPUTED_VALUE"""),"#VALUE!")</f>
        <v>#VALUE!</v>
      </c>
      <c r="J161" s="51" t="str">
        <f>IFERROR(__xludf.DUMMYFUNCTION("""COMPUTED_VALUE"""),"")</f>
        <v/>
      </c>
      <c r="K161" s="51"/>
      <c r="L161" s="51" t="s">
        <v>257</v>
      </c>
      <c r="M161" s="51"/>
      <c r="N161" s="51"/>
      <c r="O161" s="51"/>
      <c r="P161" s="51"/>
      <c r="Q161" s="51"/>
      <c r="R161" s="51"/>
      <c r="S161" s="51"/>
      <c r="T161" s="51"/>
    </row>
    <row r="162">
      <c r="A162" s="51"/>
      <c r="B162" s="51"/>
      <c r="C162" s="56"/>
      <c r="D162" s="51"/>
      <c r="E162" s="51"/>
      <c r="F162" s="51"/>
      <c r="G162" s="51" t="str">
        <f>IFERROR(__xludf.DUMMYFUNCTION("""COMPUTED_VALUE"""),"#VALUE!")</f>
        <v>#VALUE!</v>
      </c>
      <c r="H162" s="51" t="str">
        <f>IFERROR(__xludf.DUMMYFUNCTION("""COMPUTED_VALUE"""),"")</f>
        <v/>
      </c>
      <c r="I162" s="51" t="str">
        <f>IFERROR(__xludf.DUMMYFUNCTION("""COMPUTED_VALUE"""),"#VALUE!")</f>
        <v>#VALUE!</v>
      </c>
      <c r="J162" s="51" t="str">
        <f>IFERROR(__xludf.DUMMYFUNCTION("""COMPUTED_VALUE"""),"")</f>
        <v/>
      </c>
      <c r="K162" s="51"/>
      <c r="L162" s="51" t="s">
        <v>257</v>
      </c>
      <c r="M162" s="51"/>
      <c r="N162" s="51"/>
      <c r="O162" s="51"/>
      <c r="P162" s="51"/>
      <c r="Q162" s="51"/>
      <c r="R162" s="51"/>
      <c r="S162" s="51"/>
      <c r="T162" s="51"/>
    </row>
    <row r="163">
      <c r="A163" s="51"/>
      <c r="B163" s="51"/>
      <c r="C163" s="56"/>
      <c r="D163" s="51"/>
      <c r="E163" s="51"/>
      <c r="F163" s="51"/>
      <c r="G163" s="51" t="str">
        <f>IFERROR(__xludf.DUMMYFUNCTION("""COMPUTED_VALUE"""),"#VALUE!")</f>
        <v>#VALUE!</v>
      </c>
      <c r="H163" s="51" t="str">
        <f>IFERROR(__xludf.DUMMYFUNCTION("""COMPUTED_VALUE"""),"")</f>
        <v/>
      </c>
      <c r="I163" s="51" t="str">
        <f>IFERROR(__xludf.DUMMYFUNCTION("""COMPUTED_VALUE"""),"#VALUE!")</f>
        <v>#VALUE!</v>
      </c>
      <c r="J163" s="51" t="str">
        <f>IFERROR(__xludf.DUMMYFUNCTION("""COMPUTED_VALUE"""),"")</f>
        <v/>
      </c>
      <c r="K163" s="51"/>
      <c r="L163" s="51" t="s">
        <v>257</v>
      </c>
      <c r="M163" s="51"/>
      <c r="N163" s="51"/>
      <c r="O163" s="51"/>
      <c r="P163" s="51"/>
      <c r="Q163" s="51"/>
      <c r="R163" s="51"/>
      <c r="S163" s="51"/>
      <c r="T163" s="51"/>
    </row>
    <row r="164">
      <c r="A164" s="51"/>
      <c r="B164" s="51"/>
      <c r="C164" s="56"/>
      <c r="D164" s="51"/>
      <c r="E164" s="51"/>
      <c r="F164" s="51"/>
      <c r="G164" s="51" t="str">
        <f>IFERROR(__xludf.DUMMYFUNCTION("""COMPUTED_VALUE"""),"#VALUE!")</f>
        <v>#VALUE!</v>
      </c>
      <c r="H164" s="51" t="str">
        <f>IFERROR(__xludf.DUMMYFUNCTION("""COMPUTED_VALUE"""),"")</f>
        <v/>
      </c>
      <c r="I164" s="51" t="str">
        <f>IFERROR(__xludf.DUMMYFUNCTION("""COMPUTED_VALUE"""),"#VALUE!")</f>
        <v>#VALUE!</v>
      </c>
      <c r="J164" s="51" t="str">
        <f>IFERROR(__xludf.DUMMYFUNCTION("""COMPUTED_VALUE"""),"")</f>
        <v/>
      </c>
      <c r="K164" s="51"/>
      <c r="L164" s="51" t="s">
        <v>257</v>
      </c>
      <c r="M164" s="51"/>
      <c r="N164" s="51"/>
      <c r="O164" s="51"/>
      <c r="P164" s="51"/>
      <c r="Q164" s="51"/>
      <c r="R164" s="51"/>
      <c r="S164" s="51"/>
      <c r="T164" s="51"/>
    </row>
    <row r="165">
      <c r="A165" s="51"/>
      <c r="B165" s="51"/>
      <c r="C165" s="56"/>
      <c r="D165" s="51"/>
      <c r="E165" s="51"/>
      <c r="F165" s="51"/>
      <c r="G165" s="51" t="str">
        <f>IFERROR(__xludf.DUMMYFUNCTION("""COMPUTED_VALUE"""),"#VALUE!")</f>
        <v>#VALUE!</v>
      </c>
      <c r="H165" s="51" t="str">
        <f>IFERROR(__xludf.DUMMYFUNCTION("""COMPUTED_VALUE"""),"")</f>
        <v/>
      </c>
      <c r="I165" s="51" t="str">
        <f>IFERROR(__xludf.DUMMYFUNCTION("""COMPUTED_VALUE"""),"#VALUE!")</f>
        <v>#VALUE!</v>
      </c>
      <c r="J165" s="51" t="str">
        <f>IFERROR(__xludf.DUMMYFUNCTION("""COMPUTED_VALUE"""),"")</f>
        <v/>
      </c>
      <c r="K165" s="51"/>
      <c r="L165" s="51" t="s">
        <v>257</v>
      </c>
      <c r="M165" s="51"/>
      <c r="N165" s="51"/>
      <c r="O165" s="51"/>
      <c r="P165" s="51"/>
      <c r="Q165" s="51"/>
      <c r="R165" s="51"/>
      <c r="S165" s="51"/>
      <c r="T165" s="51"/>
    </row>
    <row r="166">
      <c r="A166" s="51"/>
      <c r="B166" s="51"/>
      <c r="C166" s="56"/>
      <c r="D166" s="51"/>
      <c r="E166" s="51"/>
      <c r="F166" s="51"/>
      <c r="G166" s="51" t="str">
        <f>IFERROR(__xludf.DUMMYFUNCTION("""COMPUTED_VALUE"""),"#VALUE!")</f>
        <v>#VALUE!</v>
      </c>
      <c r="H166" s="51" t="str">
        <f>IFERROR(__xludf.DUMMYFUNCTION("""COMPUTED_VALUE"""),"")</f>
        <v/>
      </c>
      <c r="I166" s="51" t="str">
        <f>IFERROR(__xludf.DUMMYFUNCTION("""COMPUTED_VALUE"""),"#VALUE!")</f>
        <v>#VALUE!</v>
      </c>
      <c r="J166" s="51" t="str">
        <f>IFERROR(__xludf.DUMMYFUNCTION("""COMPUTED_VALUE"""),"")</f>
        <v/>
      </c>
      <c r="K166" s="51"/>
      <c r="L166" s="51" t="s">
        <v>257</v>
      </c>
      <c r="M166" s="51"/>
      <c r="N166" s="51"/>
      <c r="O166" s="51"/>
      <c r="P166" s="51"/>
      <c r="Q166" s="51"/>
      <c r="R166" s="51"/>
      <c r="S166" s="51"/>
      <c r="T166" s="51"/>
    </row>
    <row r="167">
      <c r="A167" s="51"/>
      <c r="B167" s="51"/>
      <c r="C167" s="56"/>
      <c r="D167" s="51"/>
      <c r="E167" s="51"/>
      <c r="F167" s="51"/>
      <c r="G167" s="51" t="str">
        <f>IFERROR(__xludf.DUMMYFUNCTION("""COMPUTED_VALUE"""),"#VALUE!")</f>
        <v>#VALUE!</v>
      </c>
      <c r="H167" s="51" t="str">
        <f>IFERROR(__xludf.DUMMYFUNCTION("""COMPUTED_VALUE"""),"")</f>
        <v/>
      </c>
      <c r="I167" s="51" t="str">
        <f>IFERROR(__xludf.DUMMYFUNCTION("""COMPUTED_VALUE"""),"#VALUE!")</f>
        <v>#VALUE!</v>
      </c>
      <c r="J167" s="51" t="str">
        <f>IFERROR(__xludf.DUMMYFUNCTION("""COMPUTED_VALUE"""),"")</f>
        <v/>
      </c>
      <c r="K167" s="51"/>
      <c r="L167" s="51" t="s">
        <v>257</v>
      </c>
      <c r="M167" s="51"/>
      <c r="N167" s="51"/>
      <c r="O167" s="51"/>
      <c r="P167" s="51"/>
      <c r="Q167" s="51"/>
      <c r="R167" s="51"/>
      <c r="S167" s="51"/>
      <c r="T167" s="51"/>
    </row>
    <row r="168">
      <c r="A168" s="51"/>
      <c r="B168" s="51"/>
      <c r="C168" s="56"/>
      <c r="D168" s="51"/>
      <c r="E168" s="51"/>
      <c r="F168" s="51"/>
      <c r="G168" s="51" t="str">
        <f>IFERROR(__xludf.DUMMYFUNCTION("""COMPUTED_VALUE"""),"#VALUE!")</f>
        <v>#VALUE!</v>
      </c>
      <c r="H168" s="51" t="str">
        <f>IFERROR(__xludf.DUMMYFUNCTION("""COMPUTED_VALUE"""),"")</f>
        <v/>
      </c>
      <c r="I168" s="51" t="str">
        <f>IFERROR(__xludf.DUMMYFUNCTION("""COMPUTED_VALUE"""),"#VALUE!")</f>
        <v>#VALUE!</v>
      </c>
      <c r="J168" s="51" t="str">
        <f>IFERROR(__xludf.DUMMYFUNCTION("""COMPUTED_VALUE"""),"")</f>
        <v/>
      </c>
      <c r="K168" s="51"/>
      <c r="L168" s="51" t="s">
        <v>257</v>
      </c>
      <c r="M168" s="51"/>
      <c r="N168" s="51"/>
      <c r="O168" s="51"/>
      <c r="P168" s="51"/>
      <c r="Q168" s="51"/>
      <c r="R168" s="51"/>
      <c r="S168" s="51"/>
      <c r="T168" s="51"/>
    </row>
    <row r="169">
      <c r="A169" s="51"/>
      <c r="B169" s="51"/>
      <c r="C169" s="56"/>
      <c r="D169" s="51"/>
      <c r="E169" s="51"/>
      <c r="F169" s="51"/>
      <c r="G169" s="51" t="str">
        <f>IFERROR(__xludf.DUMMYFUNCTION("""COMPUTED_VALUE"""),"#VALUE!")</f>
        <v>#VALUE!</v>
      </c>
      <c r="H169" s="51" t="str">
        <f>IFERROR(__xludf.DUMMYFUNCTION("""COMPUTED_VALUE"""),"")</f>
        <v/>
      </c>
      <c r="I169" s="51" t="str">
        <f>IFERROR(__xludf.DUMMYFUNCTION("""COMPUTED_VALUE"""),"#VALUE!")</f>
        <v>#VALUE!</v>
      </c>
      <c r="J169" s="51" t="str">
        <f>IFERROR(__xludf.DUMMYFUNCTION("""COMPUTED_VALUE"""),"")</f>
        <v/>
      </c>
      <c r="K169" s="51"/>
      <c r="L169" s="51" t="s">
        <v>257</v>
      </c>
      <c r="M169" s="51"/>
      <c r="N169" s="51"/>
      <c r="O169" s="51"/>
      <c r="P169" s="51"/>
      <c r="Q169" s="51"/>
      <c r="R169" s="51"/>
      <c r="S169" s="51"/>
      <c r="T169" s="51"/>
    </row>
    <row r="170">
      <c r="A170" s="51"/>
      <c r="B170" s="51"/>
      <c r="C170" s="56"/>
      <c r="D170" s="51"/>
      <c r="E170" s="51"/>
      <c r="F170" s="51"/>
      <c r="G170" s="51" t="str">
        <f>IFERROR(__xludf.DUMMYFUNCTION("""COMPUTED_VALUE"""),"#VALUE!")</f>
        <v>#VALUE!</v>
      </c>
      <c r="H170" s="51" t="str">
        <f>IFERROR(__xludf.DUMMYFUNCTION("""COMPUTED_VALUE"""),"")</f>
        <v/>
      </c>
      <c r="I170" s="51" t="str">
        <f>IFERROR(__xludf.DUMMYFUNCTION("""COMPUTED_VALUE"""),"#VALUE!")</f>
        <v>#VALUE!</v>
      </c>
      <c r="J170" s="51" t="str">
        <f>IFERROR(__xludf.DUMMYFUNCTION("""COMPUTED_VALUE"""),"")</f>
        <v/>
      </c>
      <c r="K170" s="51"/>
      <c r="L170" s="51" t="s">
        <v>257</v>
      </c>
      <c r="M170" s="51"/>
      <c r="N170" s="51"/>
      <c r="O170" s="51"/>
      <c r="P170" s="51"/>
      <c r="Q170" s="51"/>
      <c r="R170" s="51"/>
      <c r="S170" s="51"/>
      <c r="T170" s="51"/>
    </row>
    <row r="171">
      <c r="A171" s="51"/>
      <c r="B171" s="51"/>
      <c r="C171" s="56"/>
      <c r="D171" s="51"/>
      <c r="E171" s="51"/>
      <c r="F171" s="51"/>
      <c r="G171" s="51" t="str">
        <f>IFERROR(__xludf.DUMMYFUNCTION("""COMPUTED_VALUE"""),"#VALUE!")</f>
        <v>#VALUE!</v>
      </c>
      <c r="H171" s="51" t="str">
        <f>IFERROR(__xludf.DUMMYFUNCTION("""COMPUTED_VALUE"""),"")</f>
        <v/>
      </c>
      <c r="I171" s="51" t="str">
        <f>IFERROR(__xludf.DUMMYFUNCTION("""COMPUTED_VALUE"""),"#VALUE!")</f>
        <v>#VALUE!</v>
      </c>
      <c r="J171" s="51" t="str">
        <f>IFERROR(__xludf.DUMMYFUNCTION("""COMPUTED_VALUE"""),"")</f>
        <v/>
      </c>
      <c r="K171" s="51"/>
      <c r="L171" s="51" t="s">
        <v>257</v>
      </c>
      <c r="M171" s="51"/>
      <c r="N171" s="51"/>
      <c r="O171" s="51"/>
      <c r="P171" s="51"/>
      <c r="Q171" s="51"/>
      <c r="R171" s="51"/>
      <c r="S171" s="51"/>
      <c r="T171" s="51"/>
    </row>
    <row r="172">
      <c r="A172" s="51"/>
      <c r="B172" s="51"/>
      <c r="C172" s="56"/>
      <c r="D172" s="51"/>
      <c r="E172" s="51"/>
      <c r="F172" s="51"/>
      <c r="G172" s="51" t="str">
        <f>IFERROR(__xludf.DUMMYFUNCTION("""COMPUTED_VALUE"""),"#VALUE!")</f>
        <v>#VALUE!</v>
      </c>
      <c r="H172" s="51" t="str">
        <f>IFERROR(__xludf.DUMMYFUNCTION("""COMPUTED_VALUE"""),"")</f>
        <v/>
      </c>
      <c r="I172" s="51" t="str">
        <f>IFERROR(__xludf.DUMMYFUNCTION("""COMPUTED_VALUE"""),"#VALUE!")</f>
        <v>#VALUE!</v>
      </c>
      <c r="J172" s="51" t="str">
        <f>IFERROR(__xludf.DUMMYFUNCTION("""COMPUTED_VALUE"""),"")</f>
        <v/>
      </c>
      <c r="K172" s="51"/>
      <c r="L172" s="51" t="s">
        <v>257</v>
      </c>
      <c r="M172" s="51"/>
      <c r="N172" s="51"/>
      <c r="O172" s="51"/>
      <c r="P172" s="51"/>
      <c r="Q172" s="51"/>
      <c r="R172" s="51"/>
      <c r="S172" s="51"/>
      <c r="T172" s="51"/>
    </row>
    <row r="173">
      <c r="A173" s="51"/>
      <c r="B173" s="51"/>
      <c r="C173" s="56"/>
      <c r="D173" s="51"/>
      <c r="E173" s="51"/>
      <c r="F173" s="51"/>
      <c r="G173" s="51" t="str">
        <f>IFERROR(__xludf.DUMMYFUNCTION("""COMPUTED_VALUE"""),"#VALUE!")</f>
        <v>#VALUE!</v>
      </c>
      <c r="H173" s="51" t="str">
        <f>IFERROR(__xludf.DUMMYFUNCTION("""COMPUTED_VALUE"""),"")</f>
        <v/>
      </c>
      <c r="I173" s="51" t="str">
        <f>IFERROR(__xludf.DUMMYFUNCTION("""COMPUTED_VALUE"""),"#VALUE!")</f>
        <v>#VALUE!</v>
      </c>
      <c r="J173" s="51" t="str">
        <f>IFERROR(__xludf.DUMMYFUNCTION("""COMPUTED_VALUE"""),"")</f>
        <v/>
      </c>
      <c r="K173" s="51"/>
      <c r="L173" s="51" t="s">
        <v>257</v>
      </c>
      <c r="M173" s="51"/>
      <c r="N173" s="51"/>
      <c r="O173" s="51"/>
      <c r="P173" s="51"/>
      <c r="Q173" s="51"/>
      <c r="R173" s="51"/>
      <c r="S173" s="51"/>
      <c r="T173" s="51"/>
    </row>
    <row r="174">
      <c r="A174" s="51"/>
      <c r="B174" s="51"/>
      <c r="C174" s="56"/>
      <c r="D174" s="51"/>
      <c r="E174" s="51"/>
      <c r="F174" s="51"/>
      <c r="G174" s="51" t="str">
        <f>IFERROR(__xludf.DUMMYFUNCTION("""COMPUTED_VALUE"""),"#VALUE!")</f>
        <v>#VALUE!</v>
      </c>
      <c r="H174" s="51" t="str">
        <f>IFERROR(__xludf.DUMMYFUNCTION("""COMPUTED_VALUE"""),"")</f>
        <v/>
      </c>
      <c r="I174" s="51" t="str">
        <f>IFERROR(__xludf.DUMMYFUNCTION("""COMPUTED_VALUE"""),"#VALUE!")</f>
        <v>#VALUE!</v>
      </c>
      <c r="J174" s="51" t="str">
        <f>IFERROR(__xludf.DUMMYFUNCTION("""COMPUTED_VALUE"""),"")</f>
        <v/>
      </c>
      <c r="K174" s="51"/>
      <c r="L174" s="51" t="s">
        <v>257</v>
      </c>
      <c r="M174" s="51"/>
      <c r="N174" s="51"/>
      <c r="O174" s="51"/>
      <c r="P174" s="51"/>
      <c r="Q174" s="51"/>
      <c r="R174" s="51"/>
      <c r="S174" s="51"/>
      <c r="T174" s="51"/>
    </row>
    <row r="175">
      <c r="A175" s="51"/>
      <c r="B175" s="51"/>
      <c r="C175" s="56"/>
      <c r="D175" s="51"/>
      <c r="E175" s="51"/>
      <c r="F175" s="51"/>
      <c r="G175" s="51" t="str">
        <f>IFERROR(__xludf.DUMMYFUNCTION("""COMPUTED_VALUE"""),"#VALUE!")</f>
        <v>#VALUE!</v>
      </c>
      <c r="H175" s="51" t="str">
        <f>IFERROR(__xludf.DUMMYFUNCTION("""COMPUTED_VALUE"""),"")</f>
        <v/>
      </c>
      <c r="I175" s="51" t="str">
        <f>IFERROR(__xludf.DUMMYFUNCTION("""COMPUTED_VALUE"""),"#VALUE!")</f>
        <v>#VALUE!</v>
      </c>
      <c r="J175" s="51" t="str">
        <f>IFERROR(__xludf.DUMMYFUNCTION("""COMPUTED_VALUE"""),"")</f>
        <v/>
      </c>
      <c r="K175" s="51"/>
      <c r="L175" s="51" t="s">
        <v>257</v>
      </c>
      <c r="M175" s="51"/>
      <c r="N175" s="51"/>
      <c r="O175" s="51"/>
      <c r="P175" s="51"/>
      <c r="Q175" s="51"/>
      <c r="R175" s="51"/>
      <c r="S175" s="51"/>
      <c r="T175" s="51"/>
    </row>
    <row r="176">
      <c r="A176" s="51"/>
      <c r="B176" s="51"/>
      <c r="C176" s="56"/>
      <c r="D176" s="51"/>
      <c r="E176" s="51"/>
      <c r="F176" s="51"/>
      <c r="G176" s="51" t="str">
        <f>IFERROR(__xludf.DUMMYFUNCTION("""COMPUTED_VALUE"""),"#VALUE!")</f>
        <v>#VALUE!</v>
      </c>
      <c r="H176" s="51" t="str">
        <f>IFERROR(__xludf.DUMMYFUNCTION("""COMPUTED_VALUE"""),"")</f>
        <v/>
      </c>
      <c r="I176" s="51" t="str">
        <f>IFERROR(__xludf.DUMMYFUNCTION("""COMPUTED_VALUE"""),"#VALUE!")</f>
        <v>#VALUE!</v>
      </c>
      <c r="J176" s="51" t="str">
        <f>IFERROR(__xludf.DUMMYFUNCTION("""COMPUTED_VALUE"""),"")</f>
        <v/>
      </c>
      <c r="K176" s="51"/>
      <c r="L176" s="51" t="s">
        <v>257</v>
      </c>
      <c r="M176" s="51"/>
      <c r="N176" s="51"/>
      <c r="O176" s="51"/>
      <c r="P176" s="51"/>
      <c r="Q176" s="51"/>
      <c r="R176" s="51"/>
      <c r="S176" s="51"/>
      <c r="T176" s="51"/>
    </row>
    <row r="177">
      <c r="A177" s="51"/>
      <c r="B177" s="51"/>
      <c r="C177" s="56"/>
      <c r="D177" s="51"/>
      <c r="E177" s="51"/>
      <c r="F177" s="51"/>
      <c r="G177" s="51" t="str">
        <f>IFERROR(__xludf.DUMMYFUNCTION("""COMPUTED_VALUE"""),"#VALUE!")</f>
        <v>#VALUE!</v>
      </c>
      <c r="H177" s="51" t="str">
        <f>IFERROR(__xludf.DUMMYFUNCTION("""COMPUTED_VALUE"""),"")</f>
        <v/>
      </c>
      <c r="I177" s="51" t="str">
        <f>IFERROR(__xludf.DUMMYFUNCTION("""COMPUTED_VALUE"""),"#VALUE!")</f>
        <v>#VALUE!</v>
      </c>
      <c r="J177" s="51" t="str">
        <f>IFERROR(__xludf.DUMMYFUNCTION("""COMPUTED_VALUE"""),"")</f>
        <v/>
      </c>
      <c r="K177" s="51"/>
      <c r="L177" s="51" t="s">
        <v>257</v>
      </c>
      <c r="M177" s="51"/>
      <c r="N177" s="51"/>
      <c r="O177" s="51"/>
      <c r="P177" s="51"/>
      <c r="Q177" s="51"/>
      <c r="R177" s="51"/>
      <c r="S177" s="51"/>
      <c r="T177" s="51"/>
    </row>
    <row r="178">
      <c r="A178" s="51"/>
      <c r="B178" s="51"/>
      <c r="C178" s="56"/>
      <c r="D178" s="51"/>
      <c r="E178" s="51"/>
      <c r="F178" s="51"/>
      <c r="G178" s="51" t="str">
        <f>IFERROR(__xludf.DUMMYFUNCTION("""COMPUTED_VALUE"""),"#VALUE!")</f>
        <v>#VALUE!</v>
      </c>
      <c r="H178" s="51" t="str">
        <f>IFERROR(__xludf.DUMMYFUNCTION("""COMPUTED_VALUE"""),"")</f>
        <v/>
      </c>
      <c r="I178" s="51" t="str">
        <f>IFERROR(__xludf.DUMMYFUNCTION("""COMPUTED_VALUE"""),"#VALUE!")</f>
        <v>#VALUE!</v>
      </c>
      <c r="J178" s="51" t="str">
        <f>IFERROR(__xludf.DUMMYFUNCTION("""COMPUTED_VALUE"""),"")</f>
        <v/>
      </c>
      <c r="K178" s="51"/>
      <c r="L178" s="51" t="s">
        <v>257</v>
      </c>
      <c r="M178" s="51"/>
      <c r="N178" s="51"/>
      <c r="O178" s="51"/>
      <c r="P178" s="51"/>
      <c r="Q178" s="51"/>
      <c r="R178" s="51"/>
      <c r="S178" s="51"/>
      <c r="T178" s="51"/>
    </row>
    <row r="179">
      <c r="A179" s="51"/>
      <c r="B179" s="51"/>
      <c r="C179" s="56"/>
      <c r="D179" s="51"/>
      <c r="E179" s="51"/>
      <c r="F179" s="51"/>
      <c r="G179" s="51" t="str">
        <f>IFERROR(__xludf.DUMMYFUNCTION("""COMPUTED_VALUE"""),"#VALUE!")</f>
        <v>#VALUE!</v>
      </c>
      <c r="H179" s="51" t="str">
        <f>IFERROR(__xludf.DUMMYFUNCTION("""COMPUTED_VALUE"""),"")</f>
        <v/>
      </c>
      <c r="I179" s="51" t="str">
        <f>IFERROR(__xludf.DUMMYFUNCTION("""COMPUTED_VALUE"""),"#VALUE!")</f>
        <v>#VALUE!</v>
      </c>
      <c r="J179" s="51" t="str">
        <f>IFERROR(__xludf.DUMMYFUNCTION("""COMPUTED_VALUE"""),"")</f>
        <v/>
      </c>
      <c r="K179" s="51"/>
      <c r="L179" s="51" t="s">
        <v>257</v>
      </c>
      <c r="M179" s="51"/>
      <c r="N179" s="51"/>
      <c r="O179" s="51"/>
      <c r="P179" s="51"/>
      <c r="Q179" s="51"/>
      <c r="R179" s="51"/>
      <c r="S179" s="51"/>
      <c r="T179" s="51"/>
    </row>
    <row r="180">
      <c r="A180" s="51"/>
      <c r="B180" s="51"/>
      <c r="C180" s="56"/>
      <c r="D180" s="51"/>
      <c r="E180" s="51"/>
      <c r="F180" s="51"/>
      <c r="G180" s="51" t="str">
        <f>IFERROR(__xludf.DUMMYFUNCTION("""COMPUTED_VALUE"""),"#VALUE!")</f>
        <v>#VALUE!</v>
      </c>
      <c r="H180" s="51" t="str">
        <f>IFERROR(__xludf.DUMMYFUNCTION("""COMPUTED_VALUE"""),"")</f>
        <v/>
      </c>
      <c r="I180" s="51" t="str">
        <f>IFERROR(__xludf.DUMMYFUNCTION("""COMPUTED_VALUE"""),"#VALUE!")</f>
        <v>#VALUE!</v>
      </c>
      <c r="J180" s="51" t="str">
        <f>IFERROR(__xludf.DUMMYFUNCTION("""COMPUTED_VALUE"""),"")</f>
        <v/>
      </c>
      <c r="K180" s="51"/>
      <c r="L180" s="51" t="s">
        <v>257</v>
      </c>
      <c r="M180" s="51"/>
      <c r="N180" s="51"/>
      <c r="O180" s="51"/>
      <c r="P180" s="51"/>
      <c r="Q180" s="51"/>
      <c r="R180" s="51"/>
      <c r="S180" s="51"/>
      <c r="T180" s="51"/>
    </row>
    <row r="181">
      <c r="A181" s="51"/>
      <c r="B181" s="51"/>
      <c r="C181" s="56"/>
      <c r="D181" s="51"/>
      <c r="E181" s="51"/>
      <c r="F181" s="51"/>
      <c r="G181" s="51" t="str">
        <f>IFERROR(__xludf.DUMMYFUNCTION("""COMPUTED_VALUE"""),"#VALUE!")</f>
        <v>#VALUE!</v>
      </c>
      <c r="H181" s="51" t="str">
        <f>IFERROR(__xludf.DUMMYFUNCTION("""COMPUTED_VALUE"""),"")</f>
        <v/>
      </c>
      <c r="I181" s="51" t="str">
        <f>IFERROR(__xludf.DUMMYFUNCTION("""COMPUTED_VALUE"""),"#VALUE!")</f>
        <v>#VALUE!</v>
      </c>
      <c r="J181" s="51" t="str">
        <f>IFERROR(__xludf.DUMMYFUNCTION("""COMPUTED_VALUE"""),"")</f>
        <v/>
      </c>
      <c r="K181" s="51"/>
      <c r="L181" s="51" t="s">
        <v>257</v>
      </c>
      <c r="M181" s="51"/>
      <c r="N181" s="51"/>
      <c r="O181" s="51"/>
      <c r="P181" s="51"/>
      <c r="Q181" s="51"/>
      <c r="R181" s="51"/>
      <c r="S181" s="51"/>
      <c r="T181" s="51"/>
    </row>
    <row r="182">
      <c r="A182" s="51"/>
      <c r="B182" s="51"/>
      <c r="C182" s="56"/>
      <c r="D182" s="51"/>
      <c r="E182" s="51"/>
      <c r="F182" s="51"/>
      <c r="G182" s="51" t="str">
        <f>IFERROR(__xludf.DUMMYFUNCTION("""COMPUTED_VALUE"""),"#VALUE!")</f>
        <v>#VALUE!</v>
      </c>
      <c r="H182" s="51" t="str">
        <f>IFERROR(__xludf.DUMMYFUNCTION("""COMPUTED_VALUE"""),"")</f>
        <v/>
      </c>
      <c r="I182" s="51" t="str">
        <f>IFERROR(__xludf.DUMMYFUNCTION("""COMPUTED_VALUE"""),"#VALUE!")</f>
        <v>#VALUE!</v>
      </c>
      <c r="J182" s="51" t="str">
        <f>IFERROR(__xludf.DUMMYFUNCTION("""COMPUTED_VALUE"""),"")</f>
        <v/>
      </c>
      <c r="K182" s="51"/>
      <c r="L182" s="51" t="s">
        <v>257</v>
      </c>
      <c r="M182" s="51"/>
      <c r="N182" s="51"/>
      <c r="O182" s="51"/>
      <c r="P182" s="51"/>
      <c r="Q182" s="51"/>
      <c r="R182" s="51"/>
      <c r="S182" s="51"/>
      <c r="T182" s="51"/>
    </row>
    <row r="183">
      <c r="A183" s="51"/>
      <c r="B183" s="51"/>
      <c r="C183" s="56"/>
      <c r="D183" s="51"/>
      <c r="E183" s="51"/>
      <c r="F183" s="51"/>
      <c r="G183" s="51" t="str">
        <f>IFERROR(__xludf.DUMMYFUNCTION("""COMPUTED_VALUE"""),"#VALUE!")</f>
        <v>#VALUE!</v>
      </c>
      <c r="H183" s="51" t="str">
        <f>IFERROR(__xludf.DUMMYFUNCTION("""COMPUTED_VALUE"""),"")</f>
        <v/>
      </c>
      <c r="I183" s="51" t="str">
        <f>IFERROR(__xludf.DUMMYFUNCTION("""COMPUTED_VALUE"""),"#VALUE!")</f>
        <v>#VALUE!</v>
      </c>
      <c r="J183" s="51" t="str">
        <f>IFERROR(__xludf.DUMMYFUNCTION("""COMPUTED_VALUE"""),"")</f>
        <v/>
      </c>
      <c r="K183" s="51"/>
      <c r="L183" s="51" t="s">
        <v>257</v>
      </c>
      <c r="M183" s="51"/>
      <c r="N183" s="51"/>
      <c r="O183" s="51"/>
      <c r="P183" s="51"/>
      <c r="Q183" s="51"/>
      <c r="R183" s="51"/>
      <c r="S183" s="51"/>
      <c r="T183" s="51"/>
    </row>
    <row r="184">
      <c r="A184" s="51"/>
      <c r="B184" s="51"/>
      <c r="C184" s="56"/>
      <c r="D184" s="51"/>
      <c r="E184" s="51"/>
      <c r="F184" s="51"/>
      <c r="G184" s="51" t="str">
        <f>IFERROR(__xludf.DUMMYFUNCTION("""COMPUTED_VALUE"""),"#VALUE!")</f>
        <v>#VALUE!</v>
      </c>
      <c r="H184" s="51" t="str">
        <f>IFERROR(__xludf.DUMMYFUNCTION("""COMPUTED_VALUE"""),"")</f>
        <v/>
      </c>
      <c r="I184" s="51" t="str">
        <f>IFERROR(__xludf.DUMMYFUNCTION("""COMPUTED_VALUE"""),"#VALUE!")</f>
        <v>#VALUE!</v>
      </c>
      <c r="J184" s="51" t="str">
        <f>IFERROR(__xludf.DUMMYFUNCTION("""COMPUTED_VALUE"""),"")</f>
        <v/>
      </c>
      <c r="K184" s="51"/>
      <c r="L184" s="51" t="s">
        <v>257</v>
      </c>
      <c r="M184" s="51"/>
      <c r="N184" s="51"/>
      <c r="O184" s="51"/>
      <c r="P184" s="51"/>
      <c r="Q184" s="51"/>
      <c r="R184" s="51"/>
      <c r="S184" s="51"/>
      <c r="T184" s="51"/>
    </row>
    <row r="185">
      <c r="A185" s="51"/>
      <c r="B185" s="51"/>
      <c r="C185" s="56"/>
      <c r="D185" s="51"/>
      <c r="E185" s="51"/>
      <c r="F185" s="51"/>
      <c r="G185" s="51" t="str">
        <f>IFERROR(__xludf.DUMMYFUNCTION("""COMPUTED_VALUE"""),"#VALUE!")</f>
        <v>#VALUE!</v>
      </c>
      <c r="H185" s="51" t="str">
        <f>IFERROR(__xludf.DUMMYFUNCTION("""COMPUTED_VALUE"""),"")</f>
        <v/>
      </c>
      <c r="I185" s="51" t="str">
        <f>IFERROR(__xludf.DUMMYFUNCTION("""COMPUTED_VALUE"""),"#VALUE!")</f>
        <v>#VALUE!</v>
      </c>
      <c r="J185" s="51" t="str">
        <f>IFERROR(__xludf.DUMMYFUNCTION("""COMPUTED_VALUE"""),"")</f>
        <v/>
      </c>
      <c r="K185" s="51"/>
      <c r="L185" s="51" t="s">
        <v>257</v>
      </c>
      <c r="M185" s="51"/>
      <c r="N185" s="51"/>
      <c r="O185" s="51"/>
      <c r="P185" s="51"/>
      <c r="Q185" s="51"/>
      <c r="R185" s="51"/>
      <c r="S185" s="51"/>
      <c r="T185" s="51"/>
    </row>
    <row r="186">
      <c r="A186" s="51"/>
      <c r="B186" s="51"/>
      <c r="C186" s="56"/>
      <c r="D186" s="51"/>
      <c r="E186" s="51"/>
      <c r="F186" s="51"/>
      <c r="G186" s="51" t="str">
        <f>IFERROR(__xludf.DUMMYFUNCTION("""COMPUTED_VALUE"""),"#VALUE!")</f>
        <v>#VALUE!</v>
      </c>
      <c r="H186" s="51" t="str">
        <f>IFERROR(__xludf.DUMMYFUNCTION("""COMPUTED_VALUE"""),"")</f>
        <v/>
      </c>
      <c r="I186" s="51" t="str">
        <f>IFERROR(__xludf.DUMMYFUNCTION("""COMPUTED_VALUE"""),"#VALUE!")</f>
        <v>#VALUE!</v>
      </c>
      <c r="J186" s="51" t="str">
        <f>IFERROR(__xludf.DUMMYFUNCTION("""COMPUTED_VALUE"""),"")</f>
        <v/>
      </c>
      <c r="K186" s="51"/>
      <c r="L186" s="51" t="s">
        <v>257</v>
      </c>
      <c r="M186" s="51"/>
      <c r="N186" s="51"/>
      <c r="O186" s="51"/>
      <c r="P186" s="51"/>
      <c r="Q186" s="51"/>
      <c r="R186" s="51"/>
      <c r="S186" s="51"/>
      <c r="T186" s="51"/>
    </row>
    <row r="187">
      <c r="A187" s="51"/>
      <c r="B187" s="51"/>
      <c r="C187" s="56"/>
      <c r="D187" s="51"/>
      <c r="E187" s="51"/>
      <c r="F187" s="51"/>
      <c r="G187" s="51" t="str">
        <f>IFERROR(__xludf.DUMMYFUNCTION("""COMPUTED_VALUE"""),"#VALUE!")</f>
        <v>#VALUE!</v>
      </c>
      <c r="H187" s="51" t="str">
        <f>IFERROR(__xludf.DUMMYFUNCTION("""COMPUTED_VALUE"""),"")</f>
        <v/>
      </c>
      <c r="I187" s="51" t="str">
        <f>IFERROR(__xludf.DUMMYFUNCTION("""COMPUTED_VALUE"""),"#VALUE!")</f>
        <v>#VALUE!</v>
      </c>
      <c r="J187" s="51" t="str">
        <f>IFERROR(__xludf.DUMMYFUNCTION("""COMPUTED_VALUE"""),"")</f>
        <v/>
      </c>
      <c r="K187" s="51"/>
      <c r="L187" s="51" t="s">
        <v>257</v>
      </c>
      <c r="M187" s="51"/>
      <c r="N187" s="51"/>
      <c r="O187" s="51"/>
      <c r="P187" s="51"/>
      <c r="Q187" s="51"/>
      <c r="R187" s="51"/>
      <c r="S187" s="51"/>
      <c r="T187" s="51"/>
    </row>
    <row r="188">
      <c r="A188" s="51"/>
      <c r="B188" s="51"/>
      <c r="C188" s="56"/>
      <c r="D188" s="51"/>
      <c r="E188" s="51"/>
      <c r="F188" s="51"/>
      <c r="G188" s="51" t="str">
        <f>IFERROR(__xludf.DUMMYFUNCTION("""COMPUTED_VALUE"""),"#VALUE!")</f>
        <v>#VALUE!</v>
      </c>
      <c r="H188" s="51" t="str">
        <f>IFERROR(__xludf.DUMMYFUNCTION("""COMPUTED_VALUE"""),"")</f>
        <v/>
      </c>
      <c r="I188" s="51" t="str">
        <f>IFERROR(__xludf.DUMMYFUNCTION("""COMPUTED_VALUE"""),"#VALUE!")</f>
        <v>#VALUE!</v>
      </c>
      <c r="J188" s="51" t="str">
        <f>IFERROR(__xludf.DUMMYFUNCTION("""COMPUTED_VALUE"""),"")</f>
        <v/>
      </c>
      <c r="K188" s="51"/>
      <c r="L188" s="51" t="s">
        <v>257</v>
      </c>
      <c r="M188" s="51"/>
      <c r="N188" s="51"/>
      <c r="O188" s="51"/>
      <c r="P188" s="51"/>
      <c r="Q188" s="51"/>
      <c r="R188" s="51"/>
      <c r="S188" s="51"/>
      <c r="T188" s="51"/>
    </row>
    <row r="189">
      <c r="A189" s="51"/>
      <c r="B189" s="51"/>
      <c r="C189" s="56"/>
      <c r="D189" s="51"/>
      <c r="E189" s="51"/>
      <c r="F189" s="51"/>
      <c r="G189" s="51" t="str">
        <f>IFERROR(__xludf.DUMMYFUNCTION("""COMPUTED_VALUE"""),"#VALUE!")</f>
        <v>#VALUE!</v>
      </c>
      <c r="H189" s="51" t="str">
        <f>IFERROR(__xludf.DUMMYFUNCTION("""COMPUTED_VALUE"""),"")</f>
        <v/>
      </c>
      <c r="I189" s="51" t="str">
        <f>IFERROR(__xludf.DUMMYFUNCTION("""COMPUTED_VALUE"""),"#VALUE!")</f>
        <v>#VALUE!</v>
      </c>
      <c r="J189" s="51" t="str">
        <f>IFERROR(__xludf.DUMMYFUNCTION("""COMPUTED_VALUE"""),"")</f>
        <v/>
      </c>
      <c r="K189" s="51"/>
      <c r="L189" s="51" t="s">
        <v>257</v>
      </c>
      <c r="M189" s="51"/>
      <c r="N189" s="51"/>
      <c r="O189" s="51"/>
      <c r="P189" s="51"/>
      <c r="Q189" s="51"/>
      <c r="R189" s="51"/>
      <c r="S189" s="51"/>
      <c r="T189" s="51"/>
    </row>
    <row r="190">
      <c r="A190" s="51"/>
      <c r="B190" s="51"/>
      <c r="C190" s="56"/>
      <c r="D190" s="51"/>
      <c r="E190" s="51"/>
      <c r="F190" s="51"/>
      <c r="G190" s="51" t="str">
        <f>IFERROR(__xludf.DUMMYFUNCTION("""COMPUTED_VALUE"""),"#VALUE!")</f>
        <v>#VALUE!</v>
      </c>
      <c r="H190" s="51" t="str">
        <f>IFERROR(__xludf.DUMMYFUNCTION("""COMPUTED_VALUE"""),"")</f>
        <v/>
      </c>
      <c r="I190" s="51" t="str">
        <f>IFERROR(__xludf.DUMMYFUNCTION("""COMPUTED_VALUE"""),"#VALUE!")</f>
        <v>#VALUE!</v>
      </c>
      <c r="J190" s="51" t="str">
        <f>IFERROR(__xludf.DUMMYFUNCTION("""COMPUTED_VALUE"""),"")</f>
        <v/>
      </c>
      <c r="K190" s="51"/>
      <c r="L190" s="51" t="s">
        <v>257</v>
      </c>
      <c r="M190" s="51"/>
      <c r="N190" s="51"/>
      <c r="O190" s="51"/>
      <c r="P190" s="51"/>
      <c r="Q190" s="51"/>
      <c r="R190" s="51"/>
      <c r="S190" s="51"/>
      <c r="T190" s="51"/>
    </row>
    <row r="191">
      <c r="A191" s="51"/>
      <c r="B191" s="51"/>
      <c r="C191" s="56"/>
      <c r="D191" s="51"/>
      <c r="E191" s="51"/>
      <c r="F191" s="51"/>
      <c r="G191" s="51" t="str">
        <f>IFERROR(__xludf.DUMMYFUNCTION("""COMPUTED_VALUE"""),"#VALUE!")</f>
        <v>#VALUE!</v>
      </c>
      <c r="H191" s="51" t="str">
        <f>IFERROR(__xludf.DUMMYFUNCTION("""COMPUTED_VALUE"""),"")</f>
        <v/>
      </c>
      <c r="I191" s="51" t="str">
        <f>IFERROR(__xludf.DUMMYFUNCTION("""COMPUTED_VALUE"""),"#VALUE!")</f>
        <v>#VALUE!</v>
      </c>
      <c r="J191" s="51" t="str">
        <f>IFERROR(__xludf.DUMMYFUNCTION("""COMPUTED_VALUE"""),"")</f>
        <v/>
      </c>
      <c r="K191" s="51"/>
      <c r="L191" s="51" t="s">
        <v>257</v>
      </c>
      <c r="M191" s="51"/>
      <c r="N191" s="51"/>
      <c r="O191" s="51"/>
      <c r="P191" s="51"/>
      <c r="Q191" s="51"/>
      <c r="R191" s="51"/>
      <c r="S191" s="51"/>
      <c r="T191" s="51"/>
    </row>
    <row r="192">
      <c r="A192" s="51"/>
      <c r="B192" s="51"/>
      <c r="C192" s="56"/>
      <c r="D192" s="51"/>
      <c r="E192" s="51"/>
      <c r="F192" s="51"/>
      <c r="G192" s="51" t="str">
        <f>IFERROR(__xludf.DUMMYFUNCTION("""COMPUTED_VALUE"""),"#VALUE!")</f>
        <v>#VALUE!</v>
      </c>
      <c r="H192" s="51" t="str">
        <f>IFERROR(__xludf.DUMMYFUNCTION("""COMPUTED_VALUE"""),"")</f>
        <v/>
      </c>
      <c r="I192" s="51" t="str">
        <f>IFERROR(__xludf.DUMMYFUNCTION("""COMPUTED_VALUE"""),"#VALUE!")</f>
        <v>#VALUE!</v>
      </c>
      <c r="J192" s="51" t="str">
        <f>IFERROR(__xludf.DUMMYFUNCTION("""COMPUTED_VALUE"""),"")</f>
        <v/>
      </c>
      <c r="K192" s="51"/>
      <c r="L192" s="51" t="s">
        <v>257</v>
      </c>
      <c r="M192" s="51"/>
      <c r="N192" s="51"/>
      <c r="O192" s="51"/>
      <c r="P192" s="51"/>
      <c r="Q192" s="51"/>
      <c r="R192" s="51"/>
      <c r="S192" s="51"/>
      <c r="T192" s="51"/>
    </row>
    <row r="193">
      <c r="A193" s="51"/>
      <c r="B193" s="51"/>
      <c r="C193" s="56"/>
      <c r="D193" s="51"/>
      <c r="E193" s="51"/>
      <c r="F193" s="51"/>
      <c r="G193" s="51" t="str">
        <f>IFERROR(__xludf.DUMMYFUNCTION("""COMPUTED_VALUE"""),"#VALUE!")</f>
        <v>#VALUE!</v>
      </c>
      <c r="H193" s="51" t="str">
        <f>IFERROR(__xludf.DUMMYFUNCTION("""COMPUTED_VALUE"""),"")</f>
        <v/>
      </c>
      <c r="I193" s="51" t="str">
        <f>IFERROR(__xludf.DUMMYFUNCTION("""COMPUTED_VALUE"""),"#VALUE!")</f>
        <v>#VALUE!</v>
      </c>
      <c r="J193" s="51" t="str">
        <f>IFERROR(__xludf.DUMMYFUNCTION("""COMPUTED_VALUE"""),"")</f>
        <v/>
      </c>
      <c r="K193" s="51"/>
      <c r="L193" s="51" t="s">
        <v>257</v>
      </c>
      <c r="M193" s="51"/>
      <c r="N193" s="51"/>
      <c r="O193" s="51"/>
      <c r="P193" s="51"/>
      <c r="Q193" s="51"/>
      <c r="R193" s="51"/>
      <c r="S193" s="51"/>
      <c r="T193" s="51"/>
    </row>
    <row r="194">
      <c r="A194" s="51"/>
      <c r="B194" s="51"/>
      <c r="C194" s="56"/>
      <c r="D194" s="51"/>
      <c r="E194" s="51"/>
      <c r="F194" s="51"/>
      <c r="G194" s="51" t="str">
        <f>IFERROR(__xludf.DUMMYFUNCTION("""COMPUTED_VALUE"""),"#VALUE!")</f>
        <v>#VALUE!</v>
      </c>
      <c r="H194" s="51" t="str">
        <f>IFERROR(__xludf.DUMMYFUNCTION("""COMPUTED_VALUE"""),"")</f>
        <v/>
      </c>
      <c r="I194" s="51" t="str">
        <f>IFERROR(__xludf.DUMMYFUNCTION("""COMPUTED_VALUE"""),"#VALUE!")</f>
        <v>#VALUE!</v>
      </c>
      <c r="J194" s="51" t="str">
        <f>IFERROR(__xludf.DUMMYFUNCTION("""COMPUTED_VALUE"""),"")</f>
        <v/>
      </c>
      <c r="K194" s="51"/>
      <c r="L194" s="51" t="s">
        <v>257</v>
      </c>
      <c r="M194" s="51"/>
      <c r="N194" s="51"/>
      <c r="O194" s="51"/>
      <c r="P194" s="51"/>
      <c r="Q194" s="51"/>
      <c r="R194" s="51"/>
      <c r="S194" s="51"/>
      <c r="T194" s="51"/>
    </row>
    <row r="195">
      <c r="A195" s="51"/>
      <c r="B195" s="51"/>
      <c r="C195" s="56"/>
      <c r="D195" s="51"/>
      <c r="E195" s="51"/>
      <c r="F195" s="51"/>
      <c r="G195" s="51" t="str">
        <f>IFERROR(__xludf.DUMMYFUNCTION("""COMPUTED_VALUE"""),"#VALUE!")</f>
        <v>#VALUE!</v>
      </c>
      <c r="H195" s="51" t="str">
        <f>IFERROR(__xludf.DUMMYFUNCTION("""COMPUTED_VALUE"""),"")</f>
        <v/>
      </c>
      <c r="I195" s="51" t="str">
        <f>IFERROR(__xludf.DUMMYFUNCTION("""COMPUTED_VALUE"""),"#VALUE!")</f>
        <v>#VALUE!</v>
      </c>
      <c r="J195" s="51" t="str">
        <f>IFERROR(__xludf.DUMMYFUNCTION("""COMPUTED_VALUE"""),"")</f>
        <v/>
      </c>
      <c r="K195" s="51"/>
      <c r="L195" s="51" t="s">
        <v>257</v>
      </c>
      <c r="M195" s="51"/>
      <c r="N195" s="51"/>
      <c r="O195" s="51"/>
      <c r="P195" s="51"/>
      <c r="Q195" s="51"/>
      <c r="R195" s="51"/>
      <c r="S195" s="51"/>
      <c r="T195" s="51"/>
    </row>
    <row r="196">
      <c r="A196" s="51"/>
      <c r="B196" s="51"/>
      <c r="C196" s="56"/>
      <c r="D196" s="51"/>
      <c r="E196" s="51"/>
      <c r="F196" s="51"/>
      <c r="G196" s="51" t="str">
        <f>IFERROR(__xludf.DUMMYFUNCTION("""COMPUTED_VALUE"""),"#VALUE!")</f>
        <v>#VALUE!</v>
      </c>
      <c r="H196" s="51" t="str">
        <f>IFERROR(__xludf.DUMMYFUNCTION("""COMPUTED_VALUE"""),"")</f>
        <v/>
      </c>
      <c r="I196" s="51" t="str">
        <f>IFERROR(__xludf.DUMMYFUNCTION("""COMPUTED_VALUE"""),"#VALUE!")</f>
        <v>#VALUE!</v>
      </c>
      <c r="J196" s="51" t="str">
        <f>IFERROR(__xludf.DUMMYFUNCTION("""COMPUTED_VALUE"""),"")</f>
        <v/>
      </c>
      <c r="K196" s="51"/>
      <c r="L196" s="51" t="s">
        <v>257</v>
      </c>
      <c r="M196" s="51"/>
      <c r="N196" s="51"/>
      <c r="O196" s="51"/>
      <c r="P196" s="51"/>
      <c r="Q196" s="51"/>
      <c r="R196" s="51"/>
      <c r="S196" s="51"/>
      <c r="T196" s="51"/>
    </row>
    <row r="197">
      <c r="A197" s="51"/>
      <c r="B197" s="51"/>
      <c r="C197" s="56"/>
      <c r="D197" s="51"/>
      <c r="E197" s="51"/>
      <c r="F197" s="51"/>
      <c r="G197" s="51" t="str">
        <f>IFERROR(__xludf.DUMMYFUNCTION("""COMPUTED_VALUE"""),"#VALUE!")</f>
        <v>#VALUE!</v>
      </c>
      <c r="H197" s="51" t="str">
        <f>IFERROR(__xludf.DUMMYFUNCTION("""COMPUTED_VALUE"""),"")</f>
        <v/>
      </c>
      <c r="I197" s="51" t="str">
        <f>IFERROR(__xludf.DUMMYFUNCTION("""COMPUTED_VALUE"""),"#VALUE!")</f>
        <v>#VALUE!</v>
      </c>
      <c r="J197" s="51" t="str">
        <f>IFERROR(__xludf.DUMMYFUNCTION("""COMPUTED_VALUE"""),"")</f>
        <v/>
      </c>
      <c r="K197" s="51"/>
      <c r="L197" s="51" t="s">
        <v>257</v>
      </c>
      <c r="M197" s="51"/>
      <c r="N197" s="51"/>
      <c r="O197" s="51"/>
      <c r="P197" s="51"/>
      <c r="Q197" s="51"/>
      <c r="R197" s="51"/>
      <c r="S197" s="51"/>
      <c r="T197" s="51"/>
    </row>
    <row r="198">
      <c r="A198" s="51"/>
      <c r="B198" s="51"/>
      <c r="C198" s="56"/>
      <c r="D198" s="51"/>
      <c r="E198" s="51"/>
      <c r="F198" s="51"/>
      <c r="G198" s="51" t="str">
        <f>IFERROR(__xludf.DUMMYFUNCTION("""COMPUTED_VALUE"""),"#VALUE!")</f>
        <v>#VALUE!</v>
      </c>
      <c r="H198" s="51" t="str">
        <f>IFERROR(__xludf.DUMMYFUNCTION("""COMPUTED_VALUE"""),"")</f>
        <v/>
      </c>
      <c r="I198" s="51" t="str">
        <f>IFERROR(__xludf.DUMMYFUNCTION("""COMPUTED_VALUE"""),"#VALUE!")</f>
        <v>#VALUE!</v>
      </c>
      <c r="J198" s="51" t="str">
        <f>IFERROR(__xludf.DUMMYFUNCTION("""COMPUTED_VALUE"""),"")</f>
        <v/>
      </c>
      <c r="K198" s="51"/>
      <c r="L198" s="51" t="s">
        <v>257</v>
      </c>
      <c r="M198" s="51"/>
      <c r="N198" s="51"/>
      <c r="O198" s="51"/>
      <c r="P198" s="51"/>
      <c r="Q198" s="51"/>
      <c r="R198" s="51"/>
      <c r="S198" s="51"/>
      <c r="T198" s="51"/>
    </row>
    <row r="199">
      <c r="A199" s="51"/>
      <c r="B199" s="51"/>
      <c r="C199" s="56"/>
      <c r="D199" s="51"/>
      <c r="E199" s="51"/>
      <c r="F199" s="51"/>
      <c r="G199" s="51" t="str">
        <f>IFERROR(__xludf.DUMMYFUNCTION("""COMPUTED_VALUE"""),"#VALUE!")</f>
        <v>#VALUE!</v>
      </c>
      <c r="H199" s="51" t="str">
        <f>IFERROR(__xludf.DUMMYFUNCTION("""COMPUTED_VALUE"""),"")</f>
        <v/>
      </c>
      <c r="I199" s="51" t="str">
        <f>IFERROR(__xludf.DUMMYFUNCTION("""COMPUTED_VALUE"""),"#VALUE!")</f>
        <v>#VALUE!</v>
      </c>
      <c r="J199" s="51" t="str">
        <f>IFERROR(__xludf.DUMMYFUNCTION("""COMPUTED_VALUE"""),"")</f>
        <v/>
      </c>
      <c r="K199" s="51"/>
      <c r="L199" s="51" t="s">
        <v>257</v>
      </c>
      <c r="M199" s="51"/>
      <c r="N199" s="51"/>
      <c r="O199" s="51"/>
      <c r="P199" s="51"/>
      <c r="Q199" s="51"/>
      <c r="R199" s="51"/>
      <c r="S199" s="51"/>
      <c r="T199" s="51"/>
    </row>
    <row r="200">
      <c r="A200" s="51"/>
      <c r="B200" s="51"/>
      <c r="C200" s="56"/>
      <c r="D200" s="51"/>
      <c r="E200" s="51"/>
      <c r="F200" s="51"/>
      <c r="G200" s="51" t="str">
        <f>IFERROR(__xludf.DUMMYFUNCTION("""COMPUTED_VALUE"""),"#VALUE!")</f>
        <v>#VALUE!</v>
      </c>
      <c r="H200" s="51" t="str">
        <f>IFERROR(__xludf.DUMMYFUNCTION("""COMPUTED_VALUE"""),"")</f>
        <v/>
      </c>
      <c r="I200" s="51" t="str">
        <f>IFERROR(__xludf.DUMMYFUNCTION("""COMPUTED_VALUE"""),"#VALUE!")</f>
        <v>#VALUE!</v>
      </c>
      <c r="J200" s="51" t="str">
        <f>IFERROR(__xludf.DUMMYFUNCTION("""COMPUTED_VALUE"""),"")</f>
        <v/>
      </c>
      <c r="K200" s="51"/>
      <c r="L200" s="51" t="s">
        <v>257</v>
      </c>
      <c r="M200" s="51"/>
      <c r="N200" s="51"/>
      <c r="O200" s="51"/>
      <c r="P200" s="51"/>
      <c r="Q200" s="51"/>
      <c r="R200" s="51"/>
      <c r="S200" s="51"/>
      <c r="T200" s="51"/>
    </row>
    <row r="201">
      <c r="A201" s="51"/>
      <c r="B201" s="51"/>
      <c r="C201" s="56"/>
      <c r="D201" s="51"/>
      <c r="E201" s="51"/>
      <c r="F201" s="51"/>
      <c r="G201" s="51" t="str">
        <f>IFERROR(__xludf.DUMMYFUNCTION("""COMPUTED_VALUE"""),"#VALUE!")</f>
        <v>#VALUE!</v>
      </c>
      <c r="H201" s="51" t="str">
        <f>IFERROR(__xludf.DUMMYFUNCTION("""COMPUTED_VALUE"""),"")</f>
        <v/>
      </c>
      <c r="I201" s="51" t="str">
        <f>IFERROR(__xludf.DUMMYFUNCTION("""COMPUTED_VALUE"""),"#VALUE!")</f>
        <v>#VALUE!</v>
      </c>
      <c r="J201" s="51" t="str">
        <f>IFERROR(__xludf.DUMMYFUNCTION("""COMPUTED_VALUE"""),"")</f>
        <v/>
      </c>
      <c r="K201" s="51"/>
      <c r="L201" s="51" t="s">
        <v>257</v>
      </c>
      <c r="M201" s="51"/>
      <c r="N201" s="51"/>
      <c r="O201" s="51"/>
      <c r="P201" s="51"/>
      <c r="Q201" s="51"/>
      <c r="R201" s="51"/>
      <c r="S201" s="51"/>
      <c r="T201" s="51"/>
    </row>
    <row r="202">
      <c r="A202" s="51"/>
      <c r="B202" s="51"/>
      <c r="C202" s="56"/>
      <c r="D202" s="51"/>
      <c r="E202" s="51"/>
      <c r="F202" s="51"/>
      <c r="G202" s="51" t="str">
        <f>IFERROR(__xludf.DUMMYFUNCTION("""COMPUTED_VALUE"""),"#VALUE!")</f>
        <v>#VALUE!</v>
      </c>
      <c r="H202" s="51" t="str">
        <f>IFERROR(__xludf.DUMMYFUNCTION("""COMPUTED_VALUE"""),"")</f>
        <v/>
      </c>
      <c r="I202" s="51" t="str">
        <f>IFERROR(__xludf.DUMMYFUNCTION("""COMPUTED_VALUE"""),"#VALUE!")</f>
        <v>#VALUE!</v>
      </c>
      <c r="J202" s="51" t="str">
        <f>IFERROR(__xludf.DUMMYFUNCTION("""COMPUTED_VALUE"""),"")</f>
        <v/>
      </c>
      <c r="K202" s="51"/>
      <c r="L202" s="51" t="s">
        <v>257</v>
      </c>
      <c r="M202" s="51"/>
      <c r="N202" s="51"/>
      <c r="O202" s="51"/>
      <c r="P202" s="51"/>
      <c r="Q202" s="51"/>
      <c r="R202" s="51"/>
      <c r="S202" s="51"/>
      <c r="T202" s="51"/>
    </row>
    <row r="203">
      <c r="A203" s="51"/>
      <c r="B203" s="51"/>
      <c r="C203" s="56"/>
      <c r="D203" s="51"/>
      <c r="E203" s="51"/>
      <c r="F203" s="51"/>
      <c r="G203" s="51" t="str">
        <f>IFERROR(__xludf.DUMMYFUNCTION("""COMPUTED_VALUE"""),"#VALUE!")</f>
        <v>#VALUE!</v>
      </c>
      <c r="H203" s="51" t="str">
        <f>IFERROR(__xludf.DUMMYFUNCTION("""COMPUTED_VALUE"""),"")</f>
        <v/>
      </c>
      <c r="I203" s="51" t="str">
        <f>IFERROR(__xludf.DUMMYFUNCTION("""COMPUTED_VALUE"""),"#VALUE!")</f>
        <v>#VALUE!</v>
      </c>
      <c r="J203" s="51" t="str">
        <f>IFERROR(__xludf.DUMMYFUNCTION("""COMPUTED_VALUE"""),"")</f>
        <v/>
      </c>
      <c r="K203" s="51"/>
      <c r="L203" s="51" t="s">
        <v>257</v>
      </c>
      <c r="M203" s="51"/>
      <c r="N203" s="51"/>
      <c r="O203" s="51"/>
      <c r="P203" s="51"/>
      <c r="Q203" s="51"/>
      <c r="R203" s="51"/>
      <c r="S203" s="51"/>
      <c r="T203" s="51"/>
    </row>
    <row r="204">
      <c r="A204" s="51"/>
      <c r="B204" s="51"/>
      <c r="C204" s="56"/>
      <c r="D204" s="51"/>
      <c r="E204" s="51"/>
      <c r="F204" s="51"/>
      <c r="G204" s="51" t="str">
        <f>IFERROR(__xludf.DUMMYFUNCTION("""COMPUTED_VALUE"""),"#VALUE!")</f>
        <v>#VALUE!</v>
      </c>
      <c r="H204" s="51" t="str">
        <f>IFERROR(__xludf.DUMMYFUNCTION("""COMPUTED_VALUE"""),"")</f>
        <v/>
      </c>
      <c r="I204" s="51" t="str">
        <f>IFERROR(__xludf.DUMMYFUNCTION("""COMPUTED_VALUE"""),"#VALUE!")</f>
        <v>#VALUE!</v>
      </c>
      <c r="J204" s="51" t="str">
        <f>IFERROR(__xludf.DUMMYFUNCTION("""COMPUTED_VALUE"""),"")</f>
        <v/>
      </c>
      <c r="K204" s="51"/>
      <c r="L204" s="51" t="s">
        <v>257</v>
      </c>
      <c r="M204" s="51"/>
      <c r="N204" s="51"/>
      <c r="O204" s="51"/>
      <c r="P204" s="51"/>
      <c r="Q204" s="51"/>
      <c r="R204" s="51"/>
      <c r="S204" s="51"/>
      <c r="T204" s="51"/>
    </row>
    <row r="205">
      <c r="A205" s="51"/>
      <c r="B205" s="51"/>
      <c r="C205" s="56"/>
      <c r="D205" s="51"/>
      <c r="E205" s="51"/>
      <c r="F205" s="51"/>
      <c r="G205" s="51" t="str">
        <f>IFERROR(__xludf.DUMMYFUNCTION("""COMPUTED_VALUE"""),"#VALUE!")</f>
        <v>#VALUE!</v>
      </c>
      <c r="H205" s="51" t="str">
        <f>IFERROR(__xludf.DUMMYFUNCTION("""COMPUTED_VALUE"""),"")</f>
        <v/>
      </c>
      <c r="I205" s="51" t="str">
        <f>IFERROR(__xludf.DUMMYFUNCTION("""COMPUTED_VALUE"""),"#VALUE!")</f>
        <v>#VALUE!</v>
      </c>
      <c r="J205" s="51" t="str">
        <f>IFERROR(__xludf.DUMMYFUNCTION("""COMPUTED_VALUE"""),"")</f>
        <v/>
      </c>
      <c r="K205" s="51"/>
      <c r="L205" s="51" t="s">
        <v>257</v>
      </c>
      <c r="M205" s="51"/>
      <c r="N205" s="51"/>
      <c r="O205" s="51"/>
      <c r="P205" s="51"/>
      <c r="Q205" s="51"/>
      <c r="R205" s="51"/>
      <c r="S205" s="51"/>
      <c r="T205" s="51"/>
    </row>
    <row r="206">
      <c r="A206" s="51"/>
      <c r="B206" s="51"/>
      <c r="C206" s="56"/>
      <c r="D206" s="51"/>
      <c r="E206" s="51"/>
      <c r="F206" s="51"/>
      <c r="G206" s="51" t="str">
        <f>IFERROR(__xludf.DUMMYFUNCTION("""COMPUTED_VALUE"""),"#VALUE!")</f>
        <v>#VALUE!</v>
      </c>
      <c r="H206" s="51" t="str">
        <f>IFERROR(__xludf.DUMMYFUNCTION("""COMPUTED_VALUE"""),"")</f>
        <v/>
      </c>
      <c r="I206" s="51" t="str">
        <f>IFERROR(__xludf.DUMMYFUNCTION("""COMPUTED_VALUE"""),"#VALUE!")</f>
        <v>#VALUE!</v>
      </c>
      <c r="J206" s="51" t="str">
        <f>IFERROR(__xludf.DUMMYFUNCTION("""COMPUTED_VALUE"""),"")</f>
        <v/>
      </c>
      <c r="K206" s="51"/>
      <c r="L206" s="51" t="s">
        <v>257</v>
      </c>
      <c r="M206" s="51"/>
      <c r="N206" s="51"/>
      <c r="O206" s="51"/>
      <c r="P206" s="51"/>
      <c r="Q206" s="51"/>
      <c r="R206" s="51"/>
      <c r="S206" s="51"/>
      <c r="T206" s="51"/>
    </row>
    <row r="207">
      <c r="A207" s="51"/>
      <c r="B207" s="51"/>
      <c r="C207" s="56"/>
      <c r="D207" s="51"/>
      <c r="E207" s="51"/>
      <c r="F207" s="51"/>
      <c r="G207" s="51" t="str">
        <f>IFERROR(__xludf.DUMMYFUNCTION("""COMPUTED_VALUE"""),"#VALUE!")</f>
        <v>#VALUE!</v>
      </c>
      <c r="H207" s="51" t="str">
        <f>IFERROR(__xludf.DUMMYFUNCTION("""COMPUTED_VALUE"""),"")</f>
        <v/>
      </c>
      <c r="I207" s="51" t="str">
        <f>IFERROR(__xludf.DUMMYFUNCTION("""COMPUTED_VALUE"""),"#VALUE!")</f>
        <v>#VALUE!</v>
      </c>
      <c r="J207" s="51" t="str">
        <f>IFERROR(__xludf.DUMMYFUNCTION("""COMPUTED_VALUE"""),"")</f>
        <v/>
      </c>
      <c r="K207" s="51"/>
      <c r="L207" s="51" t="s">
        <v>257</v>
      </c>
      <c r="M207" s="51"/>
      <c r="N207" s="51"/>
      <c r="O207" s="51"/>
      <c r="P207" s="51"/>
      <c r="Q207" s="51"/>
      <c r="R207" s="51"/>
      <c r="S207" s="51"/>
      <c r="T207" s="51"/>
    </row>
    <row r="208">
      <c r="A208" s="51"/>
      <c r="B208" s="51"/>
      <c r="C208" s="56"/>
      <c r="D208" s="51"/>
      <c r="E208" s="51"/>
      <c r="F208" s="51"/>
      <c r="G208" s="51" t="str">
        <f>IFERROR(__xludf.DUMMYFUNCTION("""COMPUTED_VALUE"""),"#VALUE!")</f>
        <v>#VALUE!</v>
      </c>
      <c r="H208" s="51" t="str">
        <f>IFERROR(__xludf.DUMMYFUNCTION("""COMPUTED_VALUE"""),"")</f>
        <v/>
      </c>
      <c r="I208" s="51" t="str">
        <f>IFERROR(__xludf.DUMMYFUNCTION("""COMPUTED_VALUE"""),"#VALUE!")</f>
        <v>#VALUE!</v>
      </c>
      <c r="J208" s="51" t="str">
        <f>IFERROR(__xludf.DUMMYFUNCTION("""COMPUTED_VALUE"""),"")</f>
        <v/>
      </c>
      <c r="K208" s="51"/>
      <c r="L208" s="51" t="s">
        <v>257</v>
      </c>
      <c r="M208" s="51"/>
      <c r="N208" s="51"/>
      <c r="O208" s="51"/>
      <c r="P208" s="51"/>
      <c r="Q208" s="51"/>
      <c r="R208" s="51"/>
      <c r="S208" s="51"/>
      <c r="T208" s="51"/>
    </row>
    <row r="209">
      <c r="A209" s="51"/>
      <c r="B209" s="51"/>
      <c r="C209" s="56"/>
      <c r="D209" s="51"/>
      <c r="E209" s="51"/>
      <c r="F209" s="51"/>
      <c r="G209" s="51" t="str">
        <f>IFERROR(__xludf.DUMMYFUNCTION("""COMPUTED_VALUE"""),"#VALUE!")</f>
        <v>#VALUE!</v>
      </c>
      <c r="H209" s="51" t="str">
        <f>IFERROR(__xludf.DUMMYFUNCTION("""COMPUTED_VALUE"""),"")</f>
        <v/>
      </c>
      <c r="I209" s="51" t="str">
        <f>IFERROR(__xludf.DUMMYFUNCTION("""COMPUTED_VALUE"""),"#VALUE!")</f>
        <v>#VALUE!</v>
      </c>
      <c r="J209" s="51" t="str">
        <f>IFERROR(__xludf.DUMMYFUNCTION("""COMPUTED_VALUE"""),"")</f>
        <v/>
      </c>
      <c r="K209" s="51"/>
      <c r="L209" s="51" t="s">
        <v>257</v>
      </c>
      <c r="M209" s="51"/>
      <c r="N209" s="51"/>
      <c r="O209" s="51"/>
      <c r="P209" s="51"/>
      <c r="Q209" s="51"/>
      <c r="R209" s="51"/>
      <c r="S209" s="51"/>
      <c r="T209" s="51"/>
    </row>
    <row r="210">
      <c r="A210" s="51"/>
      <c r="B210" s="51"/>
      <c r="C210" s="56"/>
      <c r="D210" s="51"/>
      <c r="E210" s="51"/>
      <c r="F210" s="51"/>
      <c r="G210" s="51" t="str">
        <f>IFERROR(__xludf.DUMMYFUNCTION("""COMPUTED_VALUE"""),"#VALUE!")</f>
        <v>#VALUE!</v>
      </c>
      <c r="H210" s="51" t="str">
        <f>IFERROR(__xludf.DUMMYFUNCTION("""COMPUTED_VALUE"""),"")</f>
        <v/>
      </c>
      <c r="I210" s="51" t="str">
        <f>IFERROR(__xludf.DUMMYFUNCTION("""COMPUTED_VALUE"""),"#VALUE!")</f>
        <v>#VALUE!</v>
      </c>
      <c r="J210" s="51" t="str">
        <f>IFERROR(__xludf.DUMMYFUNCTION("""COMPUTED_VALUE"""),"")</f>
        <v/>
      </c>
      <c r="K210" s="51"/>
      <c r="L210" s="51" t="s">
        <v>257</v>
      </c>
      <c r="M210" s="51"/>
      <c r="N210" s="51"/>
      <c r="O210" s="51"/>
      <c r="P210" s="51"/>
      <c r="Q210" s="51"/>
      <c r="R210" s="51"/>
      <c r="S210" s="51"/>
      <c r="T210" s="51"/>
    </row>
    <row r="211">
      <c r="A211" s="51"/>
      <c r="B211" s="51"/>
      <c r="C211" s="56"/>
      <c r="D211" s="51"/>
      <c r="E211" s="51"/>
      <c r="F211" s="51"/>
      <c r="G211" s="51" t="str">
        <f>IFERROR(__xludf.DUMMYFUNCTION("""COMPUTED_VALUE"""),"#VALUE!")</f>
        <v>#VALUE!</v>
      </c>
      <c r="H211" s="51" t="str">
        <f>IFERROR(__xludf.DUMMYFUNCTION("""COMPUTED_VALUE"""),"")</f>
        <v/>
      </c>
      <c r="I211" s="51" t="str">
        <f>IFERROR(__xludf.DUMMYFUNCTION("""COMPUTED_VALUE"""),"#VALUE!")</f>
        <v>#VALUE!</v>
      </c>
      <c r="J211" s="51" t="str">
        <f>IFERROR(__xludf.DUMMYFUNCTION("""COMPUTED_VALUE"""),"")</f>
        <v/>
      </c>
      <c r="K211" s="51"/>
      <c r="L211" s="51" t="s">
        <v>257</v>
      </c>
      <c r="M211" s="51"/>
      <c r="N211" s="51"/>
      <c r="O211" s="51"/>
      <c r="P211" s="51"/>
      <c r="Q211" s="51"/>
      <c r="R211" s="51"/>
      <c r="S211" s="51"/>
      <c r="T211" s="51"/>
    </row>
    <row r="212">
      <c r="A212" s="51"/>
      <c r="B212" s="51"/>
      <c r="C212" s="56"/>
      <c r="D212" s="51"/>
      <c r="E212" s="51"/>
      <c r="F212" s="51"/>
      <c r="G212" s="51" t="str">
        <f>IFERROR(__xludf.DUMMYFUNCTION("""COMPUTED_VALUE"""),"#VALUE!")</f>
        <v>#VALUE!</v>
      </c>
      <c r="H212" s="51" t="str">
        <f>IFERROR(__xludf.DUMMYFUNCTION("""COMPUTED_VALUE"""),"")</f>
        <v/>
      </c>
      <c r="I212" s="51" t="str">
        <f>IFERROR(__xludf.DUMMYFUNCTION("""COMPUTED_VALUE"""),"#VALUE!")</f>
        <v>#VALUE!</v>
      </c>
      <c r="J212" s="51" t="str">
        <f>IFERROR(__xludf.DUMMYFUNCTION("""COMPUTED_VALUE"""),"")</f>
        <v/>
      </c>
      <c r="K212" s="51"/>
      <c r="L212" s="51" t="s">
        <v>257</v>
      </c>
      <c r="M212" s="51"/>
      <c r="N212" s="51"/>
      <c r="O212" s="51"/>
      <c r="P212" s="51"/>
      <c r="Q212" s="51"/>
      <c r="R212" s="51"/>
      <c r="S212" s="51"/>
      <c r="T212" s="51"/>
    </row>
    <row r="213">
      <c r="A213" s="51"/>
      <c r="B213" s="51"/>
      <c r="C213" s="56"/>
      <c r="D213" s="51"/>
      <c r="E213" s="51"/>
      <c r="F213" s="51"/>
      <c r="G213" s="51" t="str">
        <f>IFERROR(__xludf.DUMMYFUNCTION("""COMPUTED_VALUE"""),"#VALUE!")</f>
        <v>#VALUE!</v>
      </c>
      <c r="H213" s="51" t="str">
        <f>IFERROR(__xludf.DUMMYFUNCTION("""COMPUTED_VALUE"""),"")</f>
        <v/>
      </c>
      <c r="I213" s="51" t="str">
        <f>IFERROR(__xludf.DUMMYFUNCTION("""COMPUTED_VALUE"""),"#VALUE!")</f>
        <v>#VALUE!</v>
      </c>
      <c r="J213" s="51" t="str">
        <f>IFERROR(__xludf.DUMMYFUNCTION("""COMPUTED_VALUE"""),"")</f>
        <v/>
      </c>
      <c r="K213" s="51"/>
      <c r="L213" s="51" t="s">
        <v>257</v>
      </c>
      <c r="M213" s="51"/>
      <c r="N213" s="51"/>
      <c r="O213" s="51"/>
      <c r="P213" s="51"/>
      <c r="Q213" s="51"/>
      <c r="R213" s="51"/>
      <c r="S213" s="51"/>
      <c r="T213" s="51"/>
    </row>
    <row r="214">
      <c r="A214" s="51"/>
      <c r="B214" s="51"/>
      <c r="C214" s="56"/>
      <c r="D214" s="51"/>
      <c r="E214" s="51"/>
      <c r="F214" s="51"/>
      <c r="G214" s="51" t="str">
        <f>IFERROR(__xludf.DUMMYFUNCTION("""COMPUTED_VALUE"""),"#VALUE!")</f>
        <v>#VALUE!</v>
      </c>
      <c r="H214" s="51" t="str">
        <f>IFERROR(__xludf.DUMMYFUNCTION("""COMPUTED_VALUE"""),"")</f>
        <v/>
      </c>
      <c r="I214" s="51" t="str">
        <f>IFERROR(__xludf.DUMMYFUNCTION("""COMPUTED_VALUE"""),"#VALUE!")</f>
        <v>#VALUE!</v>
      </c>
      <c r="J214" s="51" t="str">
        <f>IFERROR(__xludf.DUMMYFUNCTION("""COMPUTED_VALUE"""),"")</f>
        <v/>
      </c>
      <c r="K214" s="51"/>
      <c r="L214" s="51" t="s">
        <v>257</v>
      </c>
      <c r="M214" s="51"/>
      <c r="N214" s="51"/>
      <c r="O214" s="51"/>
      <c r="P214" s="51"/>
      <c r="Q214" s="51"/>
      <c r="R214" s="51"/>
      <c r="S214" s="51"/>
      <c r="T214" s="51"/>
    </row>
    <row r="215">
      <c r="A215" s="51"/>
      <c r="B215" s="51"/>
      <c r="C215" s="56"/>
      <c r="D215" s="51"/>
      <c r="E215" s="51"/>
      <c r="F215" s="51"/>
      <c r="G215" s="51" t="str">
        <f>IFERROR(__xludf.DUMMYFUNCTION("""COMPUTED_VALUE"""),"#VALUE!")</f>
        <v>#VALUE!</v>
      </c>
      <c r="H215" s="51" t="str">
        <f>IFERROR(__xludf.DUMMYFUNCTION("""COMPUTED_VALUE"""),"")</f>
        <v/>
      </c>
      <c r="I215" s="51" t="str">
        <f>IFERROR(__xludf.DUMMYFUNCTION("""COMPUTED_VALUE"""),"#VALUE!")</f>
        <v>#VALUE!</v>
      </c>
      <c r="J215" s="51" t="str">
        <f>IFERROR(__xludf.DUMMYFUNCTION("""COMPUTED_VALUE"""),"")</f>
        <v/>
      </c>
      <c r="K215" s="51"/>
      <c r="L215" s="51" t="s">
        <v>257</v>
      </c>
      <c r="M215" s="51"/>
      <c r="N215" s="51"/>
      <c r="O215" s="51"/>
      <c r="P215" s="51"/>
      <c r="Q215" s="51"/>
      <c r="R215" s="51"/>
      <c r="S215" s="51"/>
      <c r="T215" s="51"/>
    </row>
    <row r="216">
      <c r="A216" s="51"/>
      <c r="B216" s="51"/>
      <c r="C216" s="56"/>
      <c r="D216" s="51"/>
      <c r="E216" s="51"/>
      <c r="F216" s="51"/>
      <c r="G216" s="51" t="str">
        <f>IFERROR(__xludf.DUMMYFUNCTION("""COMPUTED_VALUE"""),"#VALUE!")</f>
        <v>#VALUE!</v>
      </c>
      <c r="H216" s="51" t="str">
        <f>IFERROR(__xludf.DUMMYFUNCTION("""COMPUTED_VALUE"""),"")</f>
        <v/>
      </c>
      <c r="I216" s="51" t="str">
        <f>IFERROR(__xludf.DUMMYFUNCTION("""COMPUTED_VALUE"""),"#VALUE!")</f>
        <v>#VALUE!</v>
      </c>
      <c r="J216" s="51" t="str">
        <f>IFERROR(__xludf.DUMMYFUNCTION("""COMPUTED_VALUE"""),"")</f>
        <v/>
      </c>
      <c r="K216" s="51"/>
      <c r="L216" s="51" t="s">
        <v>257</v>
      </c>
      <c r="M216" s="51"/>
      <c r="N216" s="51"/>
      <c r="O216" s="51"/>
      <c r="P216" s="51"/>
      <c r="Q216" s="51"/>
      <c r="R216" s="51"/>
      <c r="S216" s="51"/>
      <c r="T216" s="51"/>
    </row>
    <row r="217">
      <c r="A217" s="51"/>
      <c r="B217" s="51"/>
      <c r="C217" s="56"/>
      <c r="D217" s="51"/>
      <c r="E217" s="51"/>
      <c r="F217" s="51"/>
      <c r="G217" s="51" t="str">
        <f>IFERROR(__xludf.DUMMYFUNCTION("""COMPUTED_VALUE"""),"#VALUE!")</f>
        <v>#VALUE!</v>
      </c>
      <c r="H217" s="51" t="str">
        <f>IFERROR(__xludf.DUMMYFUNCTION("""COMPUTED_VALUE"""),"")</f>
        <v/>
      </c>
      <c r="I217" s="51" t="str">
        <f>IFERROR(__xludf.DUMMYFUNCTION("""COMPUTED_VALUE"""),"#VALUE!")</f>
        <v>#VALUE!</v>
      </c>
      <c r="J217" s="51" t="str">
        <f>IFERROR(__xludf.DUMMYFUNCTION("""COMPUTED_VALUE"""),"")</f>
        <v/>
      </c>
      <c r="K217" s="51"/>
      <c r="L217" s="51" t="s">
        <v>257</v>
      </c>
      <c r="M217" s="51"/>
      <c r="N217" s="51"/>
      <c r="O217" s="51"/>
      <c r="P217" s="51"/>
      <c r="Q217" s="51"/>
      <c r="R217" s="51"/>
      <c r="S217" s="51"/>
      <c r="T217" s="51"/>
    </row>
    <row r="218">
      <c r="A218" s="51"/>
      <c r="B218" s="51"/>
      <c r="C218" s="56"/>
      <c r="D218" s="51"/>
      <c r="E218" s="51"/>
      <c r="F218" s="51"/>
      <c r="G218" s="51" t="str">
        <f>IFERROR(__xludf.DUMMYFUNCTION("""COMPUTED_VALUE"""),"#VALUE!")</f>
        <v>#VALUE!</v>
      </c>
      <c r="H218" s="51" t="str">
        <f>IFERROR(__xludf.DUMMYFUNCTION("""COMPUTED_VALUE"""),"")</f>
        <v/>
      </c>
      <c r="I218" s="51" t="str">
        <f>IFERROR(__xludf.DUMMYFUNCTION("""COMPUTED_VALUE"""),"#VALUE!")</f>
        <v>#VALUE!</v>
      </c>
      <c r="J218" s="51" t="str">
        <f>IFERROR(__xludf.DUMMYFUNCTION("""COMPUTED_VALUE"""),"")</f>
        <v/>
      </c>
      <c r="K218" s="51"/>
      <c r="L218" s="51" t="s">
        <v>257</v>
      </c>
      <c r="M218" s="51"/>
      <c r="N218" s="51"/>
      <c r="O218" s="51"/>
      <c r="P218" s="51"/>
      <c r="Q218" s="51"/>
      <c r="R218" s="51"/>
      <c r="S218" s="51"/>
      <c r="T218" s="51"/>
    </row>
    <row r="219">
      <c r="A219" s="51"/>
      <c r="B219" s="51"/>
      <c r="C219" s="56"/>
      <c r="D219" s="51"/>
      <c r="E219" s="51"/>
      <c r="F219" s="51"/>
      <c r="G219" s="51" t="str">
        <f>IFERROR(__xludf.DUMMYFUNCTION("""COMPUTED_VALUE"""),"#VALUE!")</f>
        <v>#VALUE!</v>
      </c>
      <c r="H219" s="51" t="str">
        <f>IFERROR(__xludf.DUMMYFUNCTION("""COMPUTED_VALUE"""),"")</f>
        <v/>
      </c>
      <c r="I219" s="51" t="str">
        <f>IFERROR(__xludf.DUMMYFUNCTION("""COMPUTED_VALUE"""),"#VALUE!")</f>
        <v>#VALUE!</v>
      </c>
      <c r="J219" s="51" t="str">
        <f>IFERROR(__xludf.DUMMYFUNCTION("""COMPUTED_VALUE"""),"")</f>
        <v/>
      </c>
      <c r="K219" s="51"/>
      <c r="L219" s="51" t="s">
        <v>257</v>
      </c>
      <c r="M219" s="51"/>
      <c r="N219" s="51"/>
      <c r="O219" s="51"/>
      <c r="P219" s="51"/>
      <c r="Q219" s="51"/>
      <c r="R219" s="51"/>
      <c r="S219" s="51"/>
      <c r="T219" s="51"/>
    </row>
    <row r="220">
      <c r="A220" s="51"/>
      <c r="B220" s="51"/>
      <c r="C220" s="56"/>
      <c r="D220" s="51"/>
      <c r="E220" s="51"/>
      <c r="F220" s="51"/>
      <c r="G220" s="51" t="str">
        <f>IFERROR(__xludf.DUMMYFUNCTION("""COMPUTED_VALUE"""),"#VALUE!")</f>
        <v>#VALUE!</v>
      </c>
      <c r="H220" s="51" t="str">
        <f>IFERROR(__xludf.DUMMYFUNCTION("""COMPUTED_VALUE"""),"")</f>
        <v/>
      </c>
      <c r="I220" s="51" t="str">
        <f>IFERROR(__xludf.DUMMYFUNCTION("""COMPUTED_VALUE"""),"#VALUE!")</f>
        <v>#VALUE!</v>
      </c>
      <c r="J220" s="51" t="str">
        <f>IFERROR(__xludf.DUMMYFUNCTION("""COMPUTED_VALUE"""),"")</f>
        <v/>
      </c>
      <c r="K220" s="51"/>
      <c r="L220" s="51" t="s">
        <v>257</v>
      </c>
      <c r="M220" s="51"/>
      <c r="N220" s="51"/>
      <c r="O220" s="51"/>
      <c r="P220" s="51"/>
      <c r="Q220" s="51"/>
      <c r="R220" s="51"/>
      <c r="S220" s="51"/>
      <c r="T220" s="51"/>
    </row>
    <row r="221">
      <c r="A221" s="51"/>
      <c r="B221" s="51"/>
      <c r="C221" s="56"/>
      <c r="D221" s="51"/>
      <c r="E221" s="51"/>
      <c r="F221" s="51"/>
      <c r="G221" s="51" t="str">
        <f>IFERROR(__xludf.DUMMYFUNCTION("""COMPUTED_VALUE"""),"#VALUE!")</f>
        <v>#VALUE!</v>
      </c>
      <c r="H221" s="51" t="str">
        <f>IFERROR(__xludf.DUMMYFUNCTION("""COMPUTED_VALUE"""),"")</f>
        <v/>
      </c>
      <c r="I221" s="51" t="str">
        <f>IFERROR(__xludf.DUMMYFUNCTION("""COMPUTED_VALUE"""),"#VALUE!")</f>
        <v>#VALUE!</v>
      </c>
      <c r="J221" s="51" t="str">
        <f>IFERROR(__xludf.DUMMYFUNCTION("""COMPUTED_VALUE"""),"")</f>
        <v/>
      </c>
      <c r="K221" s="51"/>
      <c r="L221" s="51" t="s">
        <v>257</v>
      </c>
      <c r="M221" s="51"/>
      <c r="N221" s="51"/>
      <c r="O221" s="51"/>
      <c r="P221" s="51"/>
      <c r="Q221" s="51"/>
      <c r="R221" s="51"/>
      <c r="S221" s="51"/>
      <c r="T221" s="51"/>
    </row>
    <row r="222">
      <c r="A222" s="51"/>
      <c r="B222" s="51"/>
      <c r="C222" s="56"/>
      <c r="D222" s="51"/>
      <c r="E222" s="51"/>
      <c r="F222" s="51"/>
      <c r="G222" s="51" t="str">
        <f>IFERROR(__xludf.DUMMYFUNCTION("""COMPUTED_VALUE"""),"#VALUE!")</f>
        <v>#VALUE!</v>
      </c>
      <c r="H222" s="51" t="str">
        <f>IFERROR(__xludf.DUMMYFUNCTION("""COMPUTED_VALUE"""),"")</f>
        <v/>
      </c>
      <c r="I222" s="51" t="str">
        <f>IFERROR(__xludf.DUMMYFUNCTION("""COMPUTED_VALUE"""),"#VALUE!")</f>
        <v>#VALUE!</v>
      </c>
      <c r="J222" s="51" t="str">
        <f>IFERROR(__xludf.DUMMYFUNCTION("""COMPUTED_VALUE"""),"")</f>
        <v/>
      </c>
      <c r="K222" s="51"/>
      <c r="L222" s="51" t="s">
        <v>257</v>
      </c>
      <c r="M222" s="51"/>
      <c r="N222" s="51"/>
      <c r="O222" s="51"/>
      <c r="P222" s="51"/>
      <c r="Q222" s="51"/>
      <c r="R222" s="51"/>
      <c r="S222" s="51"/>
      <c r="T222" s="51"/>
    </row>
    <row r="223">
      <c r="A223" s="51"/>
      <c r="B223" s="51"/>
      <c r="C223" s="56"/>
      <c r="D223" s="51"/>
      <c r="E223" s="51"/>
      <c r="F223" s="51"/>
      <c r="G223" s="51" t="str">
        <f>IFERROR(__xludf.DUMMYFUNCTION("""COMPUTED_VALUE"""),"#VALUE!")</f>
        <v>#VALUE!</v>
      </c>
      <c r="H223" s="51" t="str">
        <f>IFERROR(__xludf.DUMMYFUNCTION("""COMPUTED_VALUE"""),"")</f>
        <v/>
      </c>
      <c r="I223" s="51" t="str">
        <f>IFERROR(__xludf.DUMMYFUNCTION("""COMPUTED_VALUE"""),"#VALUE!")</f>
        <v>#VALUE!</v>
      </c>
      <c r="J223" s="51" t="str">
        <f>IFERROR(__xludf.DUMMYFUNCTION("""COMPUTED_VALUE"""),"")</f>
        <v/>
      </c>
      <c r="K223" s="51"/>
      <c r="L223" s="51" t="s">
        <v>257</v>
      </c>
      <c r="M223" s="51"/>
      <c r="N223" s="51"/>
      <c r="O223" s="51"/>
      <c r="P223" s="51"/>
      <c r="Q223" s="51"/>
      <c r="R223" s="51"/>
      <c r="S223" s="51"/>
      <c r="T223" s="51"/>
    </row>
    <row r="224">
      <c r="A224" s="51"/>
      <c r="B224" s="51"/>
      <c r="C224" s="56"/>
      <c r="D224" s="51"/>
      <c r="E224" s="51"/>
      <c r="F224" s="51"/>
      <c r="G224" s="51" t="str">
        <f>IFERROR(__xludf.DUMMYFUNCTION("""COMPUTED_VALUE"""),"#VALUE!")</f>
        <v>#VALUE!</v>
      </c>
      <c r="H224" s="51" t="str">
        <f>IFERROR(__xludf.DUMMYFUNCTION("""COMPUTED_VALUE"""),"")</f>
        <v/>
      </c>
      <c r="I224" s="51" t="str">
        <f>IFERROR(__xludf.DUMMYFUNCTION("""COMPUTED_VALUE"""),"#VALUE!")</f>
        <v>#VALUE!</v>
      </c>
      <c r="J224" s="51" t="str">
        <f>IFERROR(__xludf.DUMMYFUNCTION("""COMPUTED_VALUE"""),"")</f>
        <v/>
      </c>
      <c r="K224" s="51"/>
      <c r="L224" s="51" t="s">
        <v>257</v>
      </c>
      <c r="M224" s="51"/>
      <c r="N224" s="51"/>
      <c r="O224" s="51"/>
      <c r="P224" s="51"/>
      <c r="Q224" s="51"/>
      <c r="R224" s="51"/>
      <c r="S224" s="51"/>
      <c r="T224" s="51"/>
    </row>
    <row r="225">
      <c r="A225" s="51"/>
      <c r="B225" s="51"/>
      <c r="C225" s="56"/>
      <c r="D225" s="51"/>
      <c r="E225" s="51"/>
      <c r="F225" s="51"/>
      <c r="G225" s="51" t="str">
        <f>IFERROR(__xludf.DUMMYFUNCTION("""COMPUTED_VALUE"""),"#VALUE!")</f>
        <v>#VALUE!</v>
      </c>
      <c r="H225" s="51" t="str">
        <f>IFERROR(__xludf.DUMMYFUNCTION("""COMPUTED_VALUE"""),"")</f>
        <v/>
      </c>
      <c r="I225" s="51" t="str">
        <f>IFERROR(__xludf.DUMMYFUNCTION("""COMPUTED_VALUE"""),"#VALUE!")</f>
        <v>#VALUE!</v>
      </c>
      <c r="J225" s="51" t="str">
        <f>IFERROR(__xludf.DUMMYFUNCTION("""COMPUTED_VALUE"""),"")</f>
        <v/>
      </c>
      <c r="K225" s="51"/>
      <c r="L225" s="51" t="s">
        <v>257</v>
      </c>
      <c r="M225" s="51"/>
      <c r="N225" s="51"/>
      <c r="O225" s="51"/>
      <c r="P225" s="51"/>
      <c r="Q225" s="51"/>
      <c r="R225" s="51"/>
      <c r="S225" s="51"/>
      <c r="T225" s="51"/>
    </row>
    <row r="226">
      <c r="A226" s="51"/>
      <c r="B226" s="51"/>
      <c r="C226" s="56"/>
      <c r="D226" s="51"/>
      <c r="E226" s="51"/>
      <c r="F226" s="51"/>
      <c r="G226" s="51" t="str">
        <f>IFERROR(__xludf.DUMMYFUNCTION("""COMPUTED_VALUE"""),"#VALUE!")</f>
        <v>#VALUE!</v>
      </c>
      <c r="H226" s="51" t="str">
        <f>IFERROR(__xludf.DUMMYFUNCTION("""COMPUTED_VALUE"""),"")</f>
        <v/>
      </c>
      <c r="I226" s="51" t="str">
        <f>IFERROR(__xludf.DUMMYFUNCTION("""COMPUTED_VALUE"""),"#VALUE!")</f>
        <v>#VALUE!</v>
      </c>
      <c r="J226" s="51" t="str">
        <f>IFERROR(__xludf.DUMMYFUNCTION("""COMPUTED_VALUE"""),"")</f>
        <v/>
      </c>
      <c r="K226" s="51"/>
      <c r="L226" s="51" t="s">
        <v>257</v>
      </c>
      <c r="M226" s="51"/>
      <c r="N226" s="51"/>
      <c r="O226" s="51"/>
      <c r="P226" s="51"/>
      <c r="Q226" s="51"/>
      <c r="R226" s="51"/>
      <c r="S226" s="51"/>
      <c r="T226" s="51"/>
    </row>
    <row r="227">
      <c r="A227" s="51"/>
      <c r="B227" s="51"/>
      <c r="C227" s="56"/>
      <c r="D227" s="51"/>
      <c r="E227" s="51"/>
      <c r="F227" s="51"/>
      <c r="G227" s="51" t="str">
        <f>IFERROR(__xludf.DUMMYFUNCTION("""COMPUTED_VALUE"""),"#VALUE!")</f>
        <v>#VALUE!</v>
      </c>
      <c r="H227" s="51" t="str">
        <f>IFERROR(__xludf.DUMMYFUNCTION("""COMPUTED_VALUE"""),"")</f>
        <v/>
      </c>
      <c r="I227" s="51" t="str">
        <f>IFERROR(__xludf.DUMMYFUNCTION("""COMPUTED_VALUE"""),"#VALUE!")</f>
        <v>#VALUE!</v>
      </c>
      <c r="J227" s="51" t="str">
        <f>IFERROR(__xludf.DUMMYFUNCTION("""COMPUTED_VALUE"""),"")</f>
        <v/>
      </c>
      <c r="K227" s="51"/>
      <c r="L227" s="51" t="s">
        <v>257</v>
      </c>
      <c r="M227" s="51"/>
      <c r="N227" s="51"/>
      <c r="O227" s="51"/>
      <c r="P227" s="51"/>
      <c r="Q227" s="51"/>
      <c r="R227" s="51"/>
      <c r="S227" s="51"/>
      <c r="T227" s="51"/>
    </row>
    <row r="228">
      <c r="A228" s="51"/>
      <c r="B228" s="51"/>
      <c r="C228" s="56"/>
      <c r="D228" s="51"/>
      <c r="E228" s="51"/>
      <c r="F228" s="51"/>
      <c r="G228" s="51" t="str">
        <f>IFERROR(__xludf.DUMMYFUNCTION("""COMPUTED_VALUE"""),"#VALUE!")</f>
        <v>#VALUE!</v>
      </c>
      <c r="H228" s="51" t="str">
        <f>IFERROR(__xludf.DUMMYFUNCTION("""COMPUTED_VALUE"""),"")</f>
        <v/>
      </c>
      <c r="I228" s="51" t="str">
        <f>IFERROR(__xludf.DUMMYFUNCTION("""COMPUTED_VALUE"""),"#VALUE!")</f>
        <v>#VALUE!</v>
      </c>
      <c r="J228" s="51" t="str">
        <f>IFERROR(__xludf.DUMMYFUNCTION("""COMPUTED_VALUE"""),"")</f>
        <v/>
      </c>
      <c r="K228" s="51"/>
      <c r="L228" s="51" t="s">
        <v>257</v>
      </c>
      <c r="M228" s="51"/>
      <c r="N228" s="51"/>
      <c r="O228" s="51"/>
      <c r="P228" s="51"/>
      <c r="Q228" s="51"/>
      <c r="R228" s="51"/>
      <c r="S228" s="51"/>
      <c r="T228" s="51"/>
    </row>
    <row r="229">
      <c r="A229" s="51"/>
      <c r="B229" s="51"/>
      <c r="C229" s="56"/>
      <c r="D229" s="51"/>
      <c r="E229" s="51"/>
      <c r="F229" s="51"/>
      <c r="G229" s="51" t="str">
        <f>IFERROR(__xludf.DUMMYFUNCTION("""COMPUTED_VALUE"""),"#VALUE!")</f>
        <v>#VALUE!</v>
      </c>
      <c r="H229" s="51" t="str">
        <f>IFERROR(__xludf.DUMMYFUNCTION("""COMPUTED_VALUE"""),"")</f>
        <v/>
      </c>
      <c r="I229" s="51" t="str">
        <f>IFERROR(__xludf.DUMMYFUNCTION("""COMPUTED_VALUE"""),"#VALUE!")</f>
        <v>#VALUE!</v>
      </c>
      <c r="J229" s="51" t="str">
        <f>IFERROR(__xludf.DUMMYFUNCTION("""COMPUTED_VALUE"""),"")</f>
        <v/>
      </c>
      <c r="K229" s="51"/>
      <c r="L229" s="51" t="s">
        <v>257</v>
      </c>
      <c r="M229" s="51"/>
      <c r="N229" s="51"/>
      <c r="O229" s="51"/>
      <c r="P229" s="51"/>
      <c r="Q229" s="51"/>
      <c r="R229" s="51"/>
      <c r="S229" s="51"/>
      <c r="T229" s="51"/>
    </row>
    <row r="230">
      <c r="A230" s="51"/>
      <c r="B230" s="51"/>
      <c r="C230" s="56"/>
      <c r="D230" s="51"/>
      <c r="E230" s="51"/>
      <c r="F230" s="51"/>
      <c r="G230" s="51" t="str">
        <f>IFERROR(__xludf.DUMMYFUNCTION("""COMPUTED_VALUE"""),"#VALUE!")</f>
        <v>#VALUE!</v>
      </c>
      <c r="H230" s="51" t="str">
        <f>IFERROR(__xludf.DUMMYFUNCTION("""COMPUTED_VALUE"""),"")</f>
        <v/>
      </c>
      <c r="I230" s="51" t="str">
        <f>IFERROR(__xludf.DUMMYFUNCTION("""COMPUTED_VALUE"""),"#VALUE!")</f>
        <v>#VALUE!</v>
      </c>
      <c r="J230" s="51" t="str">
        <f>IFERROR(__xludf.DUMMYFUNCTION("""COMPUTED_VALUE"""),"")</f>
        <v/>
      </c>
      <c r="K230" s="51"/>
      <c r="L230" s="51" t="s">
        <v>257</v>
      </c>
      <c r="M230" s="51"/>
      <c r="N230" s="51"/>
      <c r="O230" s="51"/>
      <c r="P230" s="51"/>
      <c r="Q230" s="51"/>
      <c r="R230" s="51"/>
      <c r="S230" s="51"/>
      <c r="T230" s="51"/>
    </row>
    <row r="231">
      <c r="A231" s="51"/>
      <c r="B231" s="51"/>
      <c r="C231" s="56"/>
      <c r="D231" s="51"/>
      <c r="E231" s="51"/>
      <c r="F231" s="51"/>
      <c r="G231" s="51" t="str">
        <f>IFERROR(__xludf.DUMMYFUNCTION("""COMPUTED_VALUE"""),"#VALUE!")</f>
        <v>#VALUE!</v>
      </c>
      <c r="H231" s="51" t="str">
        <f>IFERROR(__xludf.DUMMYFUNCTION("""COMPUTED_VALUE"""),"")</f>
        <v/>
      </c>
      <c r="I231" s="51" t="str">
        <f>IFERROR(__xludf.DUMMYFUNCTION("""COMPUTED_VALUE"""),"#VALUE!")</f>
        <v>#VALUE!</v>
      </c>
      <c r="J231" s="51" t="str">
        <f>IFERROR(__xludf.DUMMYFUNCTION("""COMPUTED_VALUE"""),"")</f>
        <v/>
      </c>
      <c r="K231" s="51"/>
      <c r="L231" s="51" t="s">
        <v>257</v>
      </c>
      <c r="M231" s="51"/>
      <c r="N231" s="51"/>
      <c r="O231" s="51"/>
      <c r="P231" s="51"/>
      <c r="Q231" s="51"/>
      <c r="R231" s="51"/>
      <c r="S231" s="51"/>
      <c r="T231" s="51"/>
    </row>
    <row r="232">
      <c r="A232" s="51"/>
      <c r="B232" s="51"/>
      <c r="C232" s="56"/>
      <c r="D232" s="51"/>
      <c r="E232" s="51"/>
      <c r="F232" s="51"/>
      <c r="G232" s="51" t="str">
        <f>IFERROR(__xludf.DUMMYFUNCTION("""COMPUTED_VALUE"""),"#VALUE!")</f>
        <v>#VALUE!</v>
      </c>
      <c r="H232" s="51" t="str">
        <f>IFERROR(__xludf.DUMMYFUNCTION("""COMPUTED_VALUE"""),"")</f>
        <v/>
      </c>
      <c r="I232" s="51" t="str">
        <f>IFERROR(__xludf.DUMMYFUNCTION("""COMPUTED_VALUE"""),"#VALUE!")</f>
        <v>#VALUE!</v>
      </c>
      <c r="J232" s="51" t="str">
        <f>IFERROR(__xludf.DUMMYFUNCTION("""COMPUTED_VALUE"""),"")</f>
        <v/>
      </c>
      <c r="K232" s="51"/>
      <c r="L232" s="51" t="s">
        <v>257</v>
      </c>
      <c r="M232" s="51"/>
      <c r="N232" s="51"/>
      <c r="O232" s="51"/>
      <c r="P232" s="51"/>
      <c r="Q232" s="51"/>
      <c r="R232" s="51"/>
      <c r="S232" s="51"/>
      <c r="T232" s="51"/>
    </row>
    <row r="233">
      <c r="A233" s="51"/>
      <c r="B233" s="51"/>
      <c r="C233" s="56"/>
      <c r="D233" s="51"/>
      <c r="E233" s="51"/>
      <c r="F233" s="51"/>
      <c r="G233" s="51" t="str">
        <f>IFERROR(__xludf.DUMMYFUNCTION("""COMPUTED_VALUE"""),"#VALUE!")</f>
        <v>#VALUE!</v>
      </c>
      <c r="H233" s="51" t="str">
        <f>IFERROR(__xludf.DUMMYFUNCTION("""COMPUTED_VALUE"""),"")</f>
        <v/>
      </c>
      <c r="I233" s="51" t="str">
        <f>IFERROR(__xludf.DUMMYFUNCTION("""COMPUTED_VALUE"""),"#VALUE!")</f>
        <v>#VALUE!</v>
      </c>
      <c r="J233" s="51" t="str">
        <f>IFERROR(__xludf.DUMMYFUNCTION("""COMPUTED_VALUE"""),"")</f>
        <v/>
      </c>
      <c r="K233" s="51"/>
      <c r="L233" s="51" t="s">
        <v>257</v>
      </c>
      <c r="M233" s="51"/>
      <c r="N233" s="51"/>
      <c r="O233" s="51"/>
      <c r="P233" s="51"/>
      <c r="Q233" s="51"/>
      <c r="R233" s="51"/>
      <c r="S233" s="51"/>
      <c r="T233" s="51"/>
    </row>
    <row r="234">
      <c r="A234" s="51"/>
      <c r="B234" s="51"/>
      <c r="C234" s="56"/>
      <c r="D234" s="51"/>
      <c r="E234" s="51"/>
      <c r="F234" s="51"/>
      <c r="G234" s="51" t="str">
        <f>IFERROR(__xludf.DUMMYFUNCTION("""COMPUTED_VALUE"""),"#VALUE!")</f>
        <v>#VALUE!</v>
      </c>
      <c r="H234" s="51" t="str">
        <f>IFERROR(__xludf.DUMMYFUNCTION("""COMPUTED_VALUE"""),"")</f>
        <v/>
      </c>
      <c r="I234" s="51" t="str">
        <f>IFERROR(__xludf.DUMMYFUNCTION("""COMPUTED_VALUE"""),"#VALUE!")</f>
        <v>#VALUE!</v>
      </c>
      <c r="J234" s="51" t="str">
        <f>IFERROR(__xludf.DUMMYFUNCTION("""COMPUTED_VALUE"""),"")</f>
        <v/>
      </c>
      <c r="K234" s="51"/>
      <c r="L234" s="51" t="s">
        <v>257</v>
      </c>
      <c r="M234" s="51"/>
      <c r="N234" s="51"/>
      <c r="O234" s="51"/>
      <c r="P234" s="51"/>
      <c r="Q234" s="51"/>
      <c r="R234" s="51"/>
      <c r="S234" s="51"/>
      <c r="T234" s="51"/>
    </row>
    <row r="235">
      <c r="A235" s="51"/>
      <c r="B235" s="51"/>
      <c r="C235" s="56"/>
      <c r="D235" s="51"/>
      <c r="E235" s="51"/>
      <c r="F235" s="51"/>
      <c r="G235" s="51" t="str">
        <f>IFERROR(__xludf.DUMMYFUNCTION("""COMPUTED_VALUE"""),"#VALUE!")</f>
        <v>#VALUE!</v>
      </c>
      <c r="H235" s="51" t="str">
        <f>IFERROR(__xludf.DUMMYFUNCTION("""COMPUTED_VALUE"""),"")</f>
        <v/>
      </c>
      <c r="I235" s="51" t="str">
        <f>IFERROR(__xludf.DUMMYFUNCTION("""COMPUTED_VALUE"""),"#VALUE!")</f>
        <v>#VALUE!</v>
      </c>
      <c r="J235" s="51" t="str">
        <f>IFERROR(__xludf.DUMMYFUNCTION("""COMPUTED_VALUE"""),"")</f>
        <v/>
      </c>
      <c r="K235" s="51"/>
      <c r="L235" s="51" t="s">
        <v>257</v>
      </c>
      <c r="M235" s="51"/>
      <c r="N235" s="51"/>
      <c r="O235" s="51"/>
      <c r="P235" s="51"/>
      <c r="Q235" s="51"/>
      <c r="R235" s="51"/>
      <c r="S235" s="51"/>
      <c r="T235" s="51"/>
    </row>
    <row r="236">
      <c r="A236" s="51"/>
      <c r="B236" s="51"/>
      <c r="C236" s="56"/>
      <c r="D236" s="51"/>
      <c r="E236" s="51"/>
      <c r="F236" s="51"/>
      <c r="G236" s="51" t="str">
        <f>IFERROR(__xludf.DUMMYFUNCTION("""COMPUTED_VALUE"""),"#VALUE!")</f>
        <v>#VALUE!</v>
      </c>
      <c r="H236" s="51" t="str">
        <f>IFERROR(__xludf.DUMMYFUNCTION("""COMPUTED_VALUE"""),"")</f>
        <v/>
      </c>
      <c r="I236" s="51" t="str">
        <f>IFERROR(__xludf.DUMMYFUNCTION("""COMPUTED_VALUE"""),"#VALUE!")</f>
        <v>#VALUE!</v>
      </c>
      <c r="J236" s="51" t="str">
        <f>IFERROR(__xludf.DUMMYFUNCTION("""COMPUTED_VALUE"""),"")</f>
        <v/>
      </c>
      <c r="K236" s="51"/>
      <c r="L236" s="51" t="s">
        <v>257</v>
      </c>
      <c r="M236" s="51"/>
      <c r="N236" s="51"/>
      <c r="O236" s="51"/>
      <c r="P236" s="51"/>
      <c r="Q236" s="51"/>
      <c r="R236" s="51"/>
      <c r="S236" s="51"/>
      <c r="T236" s="51"/>
    </row>
    <row r="237">
      <c r="A237" s="51"/>
      <c r="B237" s="51"/>
      <c r="C237" s="56"/>
      <c r="D237" s="51"/>
      <c r="E237" s="51"/>
      <c r="F237" s="51"/>
      <c r="G237" s="51" t="str">
        <f>IFERROR(__xludf.DUMMYFUNCTION("""COMPUTED_VALUE"""),"#VALUE!")</f>
        <v>#VALUE!</v>
      </c>
      <c r="H237" s="51" t="str">
        <f>IFERROR(__xludf.DUMMYFUNCTION("""COMPUTED_VALUE"""),"")</f>
        <v/>
      </c>
      <c r="I237" s="51" t="str">
        <f>IFERROR(__xludf.DUMMYFUNCTION("""COMPUTED_VALUE"""),"#VALUE!")</f>
        <v>#VALUE!</v>
      </c>
      <c r="J237" s="51" t="str">
        <f>IFERROR(__xludf.DUMMYFUNCTION("""COMPUTED_VALUE"""),"")</f>
        <v/>
      </c>
      <c r="K237" s="51"/>
      <c r="L237" s="51" t="s">
        <v>257</v>
      </c>
      <c r="M237" s="51"/>
      <c r="N237" s="51"/>
      <c r="O237" s="51"/>
      <c r="P237" s="51"/>
      <c r="Q237" s="51"/>
      <c r="R237" s="51"/>
      <c r="S237" s="51"/>
      <c r="T237" s="51"/>
    </row>
    <row r="238">
      <c r="A238" s="51"/>
      <c r="B238" s="51"/>
      <c r="C238" s="56"/>
      <c r="D238" s="51"/>
      <c r="E238" s="51"/>
      <c r="F238" s="51"/>
      <c r="G238" s="51" t="str">
        <f>IFERROR(__xludf.DUMMYFUNCTION("""COMPUTED_VALUE"""),"#VALUE!")</f>
        <v>#VALUE!</v>
      </c>
      <c r="H238" s="51" t="str">
        <f>IFERROR(__xludf.DUMMYFUNCTION("""COMPUTED_VALUE"""),"")</f>
        <v/>
      </c>
      <c r="I238" s="51" t="str">
        <f>IFERROR(__xludf.DUMMYFUNCTION("""COMPUTED_VALUE"""),"#VALUE!")</f>
        <v>#VALUE!</v>
      </c>
      <c r="J238" s="51" t="str">
        <f>IFERROR(__xludf.DUMMYFUNCTION("""COMPUTED_VALUE"""),"")</f>
        <v/>
      </c>
      <c r="K238" s="51"/>
      <c r="L238" s="51" t="s">
        <v>257</v>
      </c>
      <c r="M238" s="51"/>
      <c r="N238" s="51"/>
      <c r="O238" s="51"/>
      <c r="P238" s="51"/>
      <c r="Q238" s="51"/>
      <c r="R238" s="51"/>
      <c r="S238" s="51"/>
      <c r="T238" s="51"/>
    </row>
    <row r="239">
      <c r="A239" s="51"/>
      <c r="B239" s="51"/>
      <c r="C239" s="56"/>
      <c r="D239" s="51"/>
      <c r="E239" s="51"/>
      <c r="F239" s="51"/>
      <c r="G239" s="51" t="str">
        <f>IFERROR(__xludf.DUMMYFUNCTION("""COMPUTED_VALUE"""),"#VALUE!")</f>
        <v>#VALUE!</v>
      </c>
      <c r="H239" s="51" t="str">
        <f>IFERROR(__xludf.DUMMYFUNCTION("""COMPUTED_VALUE"""),"")</f>
        <v/>
      </c>
      <c r="I239" s="51" t="str">
        <f>IFERROR(__xludf.DUMMYFUNCTION("""COMPUTED_VALUE"""),"#VALUE!")</f>
        <v>#VALUE!</v>
      </c>
      <c r="J239" s="51" t="str">
        <f>IFERROR(__xludf.DUMMYFUNCTION("""COMPUTED_VALUE"""),"")</f>
        <v/>
      </c>
      <c r="K239" s="51"/>
      <c r="L239" s="51" t="s">
        <v>257</v>
      </c>
      <c r="M239" s="51"/>
      <c r="N239" s="51"/>
      <c r="O239" s="51"/>
      <c r="P239" s="51"/>
      <c r="Q239" s="51"/>
      <c r="R239" s="51"/>
      <c r="S239" s="51"/>
      <c r="T239" s="51"/>
    </row>
    <row r="240">
      <c r="A240" s="51"/>
      <c r="B240" s="51"/>
      <c r="C240" s="56"/>
      <c r="D240" s="51"/>
      <c r="E240" s="51"/>
      <c r="F240" s="51"/>
      <c r="G240" s="51" t="str">
        <f>IFERROR(__xludf.DUMMYFUNCTION("""COMPUTED_VALUE"""),"#VALUE!")</f>
        <v>#VALUE!</v>
      </c>
      <c r="H240" s="51" t="str">
        <f>IFERROR(__xludf.DUMMYFUNCTION("""COMPUTED_VALUE"""),"")</f>
        <v/>
      </c>
      <c r="I240" s="51" t="str">
        <f>IFERROR(__xludf.DUMMYFUNCTION("""COMPUTED_VALUE"""),"#VALUE!")</f>
        <v>#VALUE!</v>
      </c>
      <c r="J240" s="51" t="str">
        <f>IFERROR(__xludf.DUMMYFUNCTION("""COMPUTED_VALUE"""),"")</f>
        <v/>
      </c>
      <c r="K240" s="51"/>
      <c r="L240" s="51" t="s">
        <v>257</v>
      </c>
      <c r="M240" s="51"/>
      <c r="N240" s="51"/>
      <c r="O240" s="51"/>
      <c r="P240" s="51"/>
      <c r="Q240" s="51"/>
      <c r="R240" s="51"/>
      <c r="S240" s="51"/>
      <c r="T240" s="51"/>
    </row>
    <row r="241">
      <c r="A241" s="51"/>
      <c r="B241" s="51"/>
      <c r="C241" s="56"/>
      <c r="D241" s="51"/>
      <c r="E241" s="51"/>
      <c r="F241" s="51"/>
      <c r="G241" s="51" t="str">
        <f>IFERROR(__xludf.DUMMYFUNCTION("""COMPUTED_VALUE"""),"#VALUE!")</f>
        <v>#VALUE!</v>
      </c>
      <c r="H241" s="51" t="str">
        <f>IFERROR(__xludf.DUMMYFUNCTION("""COMPUTED_VALUE"""),"")</f>
        <v/>
      </c>
      <c r="I241" s="51" t="str">
        <f>IFERROR(__xludf.DUMMYFUNCTION("""COMPUTED_VALUE"""),"#VALUE!")</f>
        <v>#VALUE!</v>
      </c>
      <c r="J241" s="51" t="str">
        <f>IFERROR(__xludf.DUMMYFUNCTION("""COMPUTED_VALUE"""),"")</f>
        <v/>
      </c>
      <c r="K241" s="51"/>
      <c r="L241" s="51" t="s">
        <v>257</v>
      </c>
      <c r="M241" s="51"/>
      <c r="N241" s="51"/>
      <c r="O241" s="51"/>
      <c r="P241" s="51"/>
      <c r="Q241" s="51"/>
      <c r="R241" s="51"/>
      <c r="S241" s="51"/>
      <c r="T241" s="51"/>
    </row>
    <row r="242">
      <c r="A242" s="51"/>
      <c r="B242" s="51"/>
      <c r="C242" s="56"/>
      <c r="D242" s="51"/>
      <c r="E242" s="51"/>
      <c r="F242" s="51"/>
      <c r="G242" s="51" t="str">
        <f>IFERROR(__xludf.DUMMYFUNCTION("""COMPUTED_VALUE"""),"#VALUE!")</f>
        <v>#VALUE!</v>
      </c>
      <c r="H242" s="51" t="str">
        <f>IFERROR(__xludf.DUMMYFUNCTION("""COMPUTED_VALUE"""),"")</f>
        <v/>
      </c>
      <c r="I242" s="51" t="str">
        <f>IFERROR(__xludf.DUMMYFUNCTION("""COMPUTED_VALUE"""),"#VALUE!")</f>
        <v>#VALUE!</v>
      </c>
      <c r="J242" s="51" t="str">
        <f>IFERROR(__xludf.DUMMYFUNCTION("""COMPUTED_VALUE"""),"")</f>
        <v/>
      </c>
      <c r="K242" s="51"/>
      <c r="L242" s="51" t="s">
        <v>257</v>
      </c>
      <c r="M242" s="51"/>
      <c r="N242" s="51"/>
      <c r="O242" s="51"/>
      <c r="P242" s="51"/>
      <c r="Q242" s="51"/>
      <c r="R242" s="51"/>
      <c r="S242" s="51"/>
      <c r="T242" s="51"/>
    </row>
    <row r="243">
      <c r="A243" s="51"/>
      <c r="B243" s="51"/>
      <c r="C243" s="56"/>
      <c r="D243" s="51"/>
      <c r="E243" s="51"/>
      <c r="F243" s="51"/>
      <c r="G243" s="51" t="str">
        <f>IFERROR(__xludf.DUMMYFUNCTION("""COMPUTED_VALUE"""),"#VALUE!")</f>
        <v>#VALUE!</v>
      </c>
      <c r="H243" s="51" t="str">
        <f>IFERROR(__xludf.DUMMYFUNCTION("""COMPUTED_VALUE"""),"")</f>
        <v/>
      </c>
      <c r="I243" s="51" t="str">
        <f>IFERROR(__xludf.DUMMYFUNCTION("""COMPUTED_VALUE"""),"#VALUE!")</f>
        <v>#VALUE!</v>
      </c>
      <c r="J243" s="51" t="str">
        <f>IFERROR(__xludf.DUMMYFUNCTION("""COMPUTED_VALUE"""),"")</f>
        <v/>
      </c>
      <c r="K243" s="51"/>
      <c r="L243" s="51" t="s">
        <v>257</v>
      </c>
      <c r="M243" s="51"/>
      <c r="N243" s="51"/>
      <c r="O243" s="51"/>
      <c r="P243" s="51"/>
      <c r="Q243" s="51"/>
      <c r="R243" s="51"/>
      <c r="S243" s="51"/>
      <c r="T243" s="51"/>
    </row>
    <row r="244">
      <c r="A244" s="51"/>
      <c r="B244" s="51"/>
      <c r="C244" s="56"/>
      <c r="D244" s="51"/>
      <c r="E244" s="51"/>
      <c r="F244" s="51"/>
      <c r="G244" s="51" t="str">
        <f>IFERROR(__xludf.DUMMYFUNCTION("""COMPUTED_VALUE"""),"#VALUE!")</f>
        <v>#VALUE!</v>
      </c>
      <c r="H244" s="51" t="str">
        <f>IFERROR(__xludf.DUMMYFUNCTION("""COMPUTED_VALUE"""),"")</f>
        <v/>
      </c>
      <c r="I244" s="51" t="str">
        <f>IFERROR(__xludf.DUMMYFUNCTION("""COMPUTED_VALUE"""),"#VALUE!")</f>
        <v>#VALUE!</v>
      </c>
      <c r="J244" s="51" t="str">
        <f>IFERROR(__xludf.DUMMYFUNCTION("""COMPUTED_VALUE"""),"")</f>
        <v/>
      </c>
      <c r="K244" s="51"/>
      <c r="L244" s="51" t="s">
        <v>257</v>
      </c>
      <c r="M244" s="51"/>
      <c r="N244" s="51"/>
      <c r="O244" s="51"/>
      <c r="P244" s="51"/>
      <c r="Q244" s="51"/>
      <c r="R244" s="51"/>
      <c r="S244" s="51"/>
      <c r="T244" s="51"/>
    </row>
    <row r="245">
      <c r="A245" s="51"/>
      <c r="B245" s="51"/>
      <c r="C245" s="56"/>
      <c r="D245" s="51"/>
      <c r="E245" s="51"/>
      <c r="F245" s="51"/>
      <c r="G245" s="51" t="str">
        <f>IFERROR(__xludf.DUMMYFUNCTION("""COMPUTED_VALUE"""),"#VALUE!")</f>
        <v>#VALUE!</v>
      </c>
      <c r="H245" s="51" t="str">
        <f>IFERROR(__xludf.DUMMYFUNCTION("""COMPUTED_VALUE"""),"")</f>
        <v/>
      </c>
      <c r="I245" s="51" t="str">
        <f>IFERROR(__xludf.DUMMYFUNCTION("""COMPUTED_VALUE"""),"#VALUE!")</f>
        <v>#VALUE!</v>
      </c>
      <c r="J245" s="51" t="str">
        <f>IFERROR(__xludf.DUMMYFUNCTION("""COMPUTED_VALUE"""),"")</f>
        <v/>
      </c>
      <c r="K245" s="51"/>
      <c r="L245" s="51" t="s">
        <v>257</v>
      </c>
      <c r="M245" s="51"/>
      <c r="N245" s="51"/>
      <c r="O245" s="51"/>
      <c r="P245" s="51"/>
      <c r="Q245" s="51"/>
      <c r="R245" s="51"/>
      <c r="S245" s="51"/>
      <c r="T245" s="51"/>
    </row>
    <row r="246">
      <c r="A246" s="51"/>
      <c r="B246" s="51"/>
      <c r="C246" s="56"/>
      <c r="D246" s="51"/>
      <c r="E246" s="51"/>
      <c r="F246" s="51"/>
      <c r="G246" s="51" t="str">
        <f>IFERROR(__xludf.DUMMYFUNCTION("""COMPUTED_VALUE"""),"#VALUE!")</f>
        <v>#VALUE!</v>
      </c>
      <c r="H246" s="51" t="str">
        <f>IFERROR(__xludf.DUMMYFUNCTION("""COMPUTED_VALUE"""),"")</f>
        <v/>
      </c>
      <c r="I246" s="51" t="str">
        <f>IFERROR(__xludf.DUMMYFUNCTION("""COMPUTED_VALUE"""),"#VALUE!")</f>
        <v>#VALUE!</v>
      </c>
      <c r="J246" s="51" t="str">
        <f>IFERROR(__xludf.DUMMYFUNCTION("""COMPUTED_VALUE"""),"")</f>
        <v/>
      </c>
      <c r="K246" s="51"/>
      <c r="L246" s="51" t="s">
        <v>257</v>
      </c>
      <c r="M246" s="51"/>
      <c r="N246" s="51"/>
      <c r="O246" s="51"/>
      <c r="P246" s="51"/>
      <c r="Q246" s="51"/>
      <c r="R246" s="51"/>
      <c r="S246" s="51"/>
      <c r="T246" s="51"/>
    </row>
    <row r="247">
      <c r="A247" s="51"/>
      <c r="B247" s="51"/>
      <c r="C247" s="56"/>
      <c r="D247" s="51"/>
      <c r="E247" s="51"/>
      <c r="F247" s="51"/>
      <c r="G247" s="51" t="str">
        <f>IFERROR(__xludf.DUMMYFUNCTION("""COMPUTED_VALUE"""),"#VALUE!")</f>
        <v>#VALUE!</v>
      </c>
      <c r="H247" s="51" t="str">
        <f>IFERROR(__xludf.DUMMYFUNCTION("""COMPUTED_VALUE"""),"")</f>
        <v/>
      </c>
      <c r="I247" s="51" t="str">
        <f>IFERROR(__xludf.DUMMYFUNCTION("""COMPUTED_VALUE"""),"#VALUE!")</f>
        <v>#VALUE!</v>
      </c>
      <c r="J247" s="51" t="str">
        <f>IFERROR(__xludf.DUMMYFUNCTION("""COMPUTED_VALUE"""),"")</f>
        <v/>
      </c>
      <c r="K247" s="51"/>
      <c r="L247" s="51" t="s">
        <v>257</v>
      </c>
      <c r="M247" s="51"/>
      <c r="N247" s="51"/>
      <c r="O247" s="51"/>
      <c r="P247" s="51"/>
      <c r="Q247" s="51"/>
      <c r="R247" s="51"/>
      <c r="S247" s="51"/>
      <c r="T247" s="51"/>
    </row>
    <row r="248">
      <c r="A248" s="51"/>
      <c r="B248" s="51"/>
      <c r="C248" s="56"/>
      <c r="D248" s="51"/>
      <c r="E248" s="51"/>
      <c r="F248" s="51"/>
      <c r="G248" s="51" t="str">
        <f>IFERROR(__xludf.DUMMYFUNCTION("""COMPUTED_VALUE"""),"#VALUE!")</f>
        <v>#VALUE!</v>
      </c>
      <c r="H248" s="51" t="str">
        <f>IFERROR(__xludf.DUMMYFUNCTION("""COMPUTED_VALUE"""),"")</f>
        <v/>
      </c>
      <c r="I248" s="51" t="str">
        <f>IFERROR(__xludf.DUMMYFUNCTION("""COMPUTED_VALUE"""),"#VALUE!")</f>
        <v>#VALUE!</v>
      </c>
      <c r="J248" s="51" t="str">
        <f>IFERROR(__xludf.DUMMYFUNCTION("""COMPUTED_VALUE"""),"")</f>
        <v/>
      </c>
      <c r="K248" s="51"/>
      <c r="L248" s="51" t="s">
        <v>257</v>
      </c>
      <c r="M248" s="51"/>
      <c r="N248" s="51"/>
      <c r="O248" s="51"/>
      <c r="P248" s="51"/>
      <c r="Q248" s="51"/>
      <c r="R248" s="51"/>
      <c r="S248" s="51"/>
      <c r="T248" s="51"/>
    </row>
    <row r="249">
      <c r="A249" s="51"/>
      <c r="B249" s="51"/>
      <c r="C249" s="56"/>
      <c r="D249" s="51"/>
      <c r="E249" s="51"/>
      <c r="F249" s="51"/>
      <c r="G249" s="51" t="str">
        <f>IFERROR(__xludf.DUMMYFUNCTION("""COMPUTED_VALUE"""),"#VALUE!")</f>
        <v>#VALUE!</v>
      </c>
      <c r="H249" s="51" t="str">
        <f>IFERROR(__xludf.DUMMYFUNCTION("""COMPUTED_VALUE"""),"")</f>
        <v/>
      </c>
      <c r="I249" s="51" t="str">
        <f>IFERROR(__xludf.DUMMYFUNCTION("""COMPUTED_VALUE"""),"#VALUE!")</f>
        <v>#VALUE!</v>
      </c>
      <c r="J249" s="51" t="str">
        <f>IFERROR(__xludf.DUMMYFUNCTION("""COMPUTED_VALUE"""),"")</f>
        <v/>
      </c>
      <c r="K249" s="51"/>
      <c r="L249" s="51" t="s">
        <v>257</v>
      </c>
      <c r="M249" s="51"/>
      <c r="N249" s="51"/>
      <c r="O249" s="51"/>
      <c r="P249" s="51"/>
      <c r="Q249" s="51"/>
      <c r="R249" s="51"/>
      <c r="S249" s="51"/>
      <c r="T249" s="51"/>
    </row>
    <row r="250">
      <c r="A250" s="51"/>
      <c r="B250" s="51"/>
      <c r="C250" s="56"/>
      <c r="D250" s="51"/>
      <c r="E250" s="51"/>
      <c r="F250" s="51"/>
      <c r="G250" s="51" t="str">
        <f>IFERROR(__xludf.DUMMYFUNCTION("""COMPUTED_VALUE"""),"#VALUE!")</f>
        <v>#VALUE!</v>
      </c>
      <c r="H250" s="51" t="str">
        <f>IFERROR(__xludf.DUMMYFUNCTION("""COMPUTED_VALUE"""),"")</f>
        <v/>
      </c>
      <c r="I250" s="51" t="str">
        <f>IFERROR(__xludf.DUMMYFUNCTION("""COMPUTED_VALUE"""),"#VALUE!")</f>
        <v>#VALUE!</v>
      </c>
      <c r="J250" s="51" t="str">
        <f>IFERROR(__xludf.DUMMYFUNCTION("""COMPUTED_VALUE"""),"")</f>
        <v/>
      </c>
      <c r="K250" s="51"/>
      <c r="L250" s="51" t="s">
        <v>257</v>
      </c>
      <c r="M250" s="51"/>
      <c r="N250" s="51"/>
      <c r="O250" s="51"/>
      <c r="P250" s="51"/>
      <c r="Q250" s="51"/>
      <c r="R250" s="51"/>
      <c r="S250" s="51"/>
      <c r="T250" s="51"/>
    </row>
    <row r="251">
      <c r="A251" s="51"/>
      <c r="B251" s="51"/>
      <c r="C251" s="56"/>
      <c r="D251" s="51"/>
      <c r="E251" s="51"/>
      <c r="F251" s="51"/>
      <c r="G251" s="51" t="str">
        <f>IFERROR(__xludf.DUMMYFUNCTION("""COMPUTED_VALUE"""),"#VALUE!")</f>
        <v>#VALUE!</v>
      </c>
      <c r="H251" s="51" t="str">
        <f>IFERROR(__xludf.DUMMYFUNCTION("""COMPUTED_VALUE"""),"")</f>
        <v/>
      </c>
      <c r="I251" s="51" t="str">
        <f>IFERROR(__xludf.DUMMYFUNCTION("""COMPUTED_VALUE"""),"#VALUE!")</f>
        <v>#VALUE!</v>
      </c>
      <c r="J251" s="51" t="str">
        <f>IFERROR(__xludf.DUMMYFUNCTION("""COMPUTED_VALUE"""),"")</f>
        <v/>
      </c>
      <c r="K251" s="51"/>
      <c r="L251" s="51" t="s">
        <v>257</v>
      </c>
      <c r="M251" s="51"/>
      <c r="N251" s="51"/>
      <c r="O251" s="51"/>
      <c r="P251" s="51"/>
      <c r="Q251" s="51"/>
      <c r="R251" s="51"/>
      <c r="S251" s="51"/>
      <c r="T251" s="51"/>
    </row>
    <row r="252">
      <c r="A252" s="51"/>
      <c r="B252" s="51"/>
      <c r="C252" s="56"/>
      <c r="D252" s="51"/>
      <c r="E252" s="51"/>
      <c r="F252" s="51"/>
      <c r="G252" s="51" t="str">
        <f>IFERROR(__xludf.DUMMYFUNCTION("""COMPUTED_VALUE"""),"#VALUE!")</f>
        <v>#VALUE!</v>
      </c>
      <c r="H252" s="51" t="str">
        <f>IFERROR(__xludf.DUMMYFUNCTION("""COMPUTED_VALUE"""),"")</f>
        <v/>
      </c>
      <c r="I252" s="51" t="str">
        <f>IFERROR(__xludf.DUMMYFUNCTION("""COMPUTED_VALUE"""),"#VALUE!")</f>
        <v>#VALUE!</v>
      </c>
      <c r="J252" s="51" t="str">
        <f>IFERROR(__xludf.DUMMYFUNCTION("""COMPUTED_VALUE"""),"")</f>
        <v/>
      </c>
      <c r="K252" s="51"/>
      <c r="L252" s="51" t="s">
        <v>257</v>
      </c>
      <c r="M252" s="51"/>
      <c r="N252" s="51"/>
      <c r="O252" s="51"/>
      <c r="P252" s="51"/>
      <c r="Q252" s="51"/>
      <c r="R252" s="51"/>
      <c r="S252" s="51"/>
      <c r="T252" s="51"/>
    </row>
    <row r="253">
      <c r="A253" s="51"/>
      <c r="B253" s="51"/>
      <c r="C253" s="56"/>
      <c r="D253" s="51"/>
      <c r="E253" s="51"/>
      <c r="F253" s="51"/>
      <c r="G253" s="51" t="str">
        <f>IFERROR(__xludf.DUMMYFUNCTION("""COMPUTED_VALUE"""),"#VALUE!")</f>
        <v>#VALUE!</v>
      </c>
      <c r="H253" s="51" t="str">
        <f>IFERROR(__xludf.DUMMYFUNCTION("""COMPUTED_VALUE"""),"")</f>
        <v/>
      </c>
      <c r="I253" s="51" t="str">
        <f>IFERROR(__xludf.DUMMYFUNCTION("""COMPUTED_VALUE"""),"#VALUE!")</f>
        <v>#VALUE!</v>
      </c>
      <c r="J253" s="51" t="str">
        <f>IFERROR(__xludf.DUMMYFUNCTION("""COMPUTED_VALUE"""),"")</f>
        <v/>
      </c>
      <c r="K253" s="51"/>
      <c r="L253" s="51" t="s">
        <v>257</v>
      </c>
      <c r="M253" s="51"/>
      <c r="N253" s="51"/>
      <c r="O253" s="51"/>
      <c r="P253" s="51"/>
      <c r="Q253" s="51"/>
      <c r="R253" s="51"/>
      <c r="S253" s="51"/>
      <c r="T253" s="51"/>
    </row>
    <row r="254">
      <c r="A254" s="51"/>
      <c r="B254" s="51"/>
      <c r="C254" s="56"/>
      <c r="D254" s="51"/>
      <c r="E254" s="51"/>
      <c r="F254" s="51"/>
      <c r="G254" s="51" t="str">
        <f>IFERROR(__xludf.DUMMYFUNCTION("""COMPUTED_VALUE"""),"#VALUE!")</f>
        <v>#VALUE!</v>
      </c>
      <c r="H254" s="51" t="str">
        <f>IFERROR(__xludf.DUMMYFUNCTION("""COMPUTED_VALUE"""),"")</f>
        <v/>
      </c>
      <c r="I254" s="51" t="str">
        <f>IFERROR(__xludf.DUMMYFUNCTION("""COMPUTED_VALUE"""),"#VALUE!")</f>
        <v>#VALUE!</v>
      </c>
      <c r="J254" s="51" t="str">
        <f>IFERROR(__xludf.DUMMYFUNCTION("""COMPUTED_VALUE"""),"")</f>
        <v/>
      </c>
      <c r="K254" s="51"/>
      <c r="L254" s="51" t="s">
        <v>257</v>
      </c>
      <c r="M254" s="51"/>
      <c r="N254" s="51"/>
      <c r="O254" s="51"/>
      <c r="P254" s="51"/>
      <c r="Q254" s="51"/>
      <c r="R254" s="51"/>
      <c r="S254" s="51"/>
      <c r="T254" s="51"/>
    </row>
    <row r="255">
      <c r="A255" s="51"/>
      <c r="B255" s="51"/>
      <c r="C255" s="56"/>
      <c r="D255" s="51"/>
      <c r="E255" s="51"/>
      <c r="F255" s="51"/>
      <c r="G255" s="51" t="str">
        <f>IFERROR(__xludf.DUMMYFUNCTION("""COMPUTED_VALUE"""),"#VALUE!")</f>
        <v>#VALUE!</v>
      </c>
      <c r="H255" s="51" t="str">
        <f>IFERROR(__xludf.DUMMYFUNCTION("""COMPUTED_VALUE"""),"")</f>
        <v/>
      </c>
      <c r="I255" s="51" t="str">
        <f>IFERROR(__xludf.DUMMYFUNCTION("""COMPUTED_VALUE"""),"#VALUE!")</f>
        <v>#VALUE!</v>
      </c>
      <c r="J255" s="51" t="str">
        <f>IFERROR(__xludf.DUMMYFUNCTION("""COMPUTED_VALUE"""),"")</f>
        <v/>
      </c>
      <c r="K255" s="51"/>
      <c r="L255" s="51" t="s">
        <v>257</v>
      </c>
      <c r="M255" s="51"/>
      <c r="N255" s="51"/>
      <c r="O255" s="51"/>
      <c r="P255" s="51"/>
      <c r="Q255" s="51"/>
      <c r="R255" s="51"/>
      <c r="S255" s="51"/>
      <c r="T255" s="51"/>
    </row>
    <row r="256">
      <c r="A256" s="51"/>
      <c r="B256" s="51"/>
      <c r="C256" s="56"/>
      <c r="D256" s="51"/>
      <c r="E256" s="51"/>
      <c r="F256" s="51"/>
      <c r="G256" s="51" t="str">
        <f>IFERROR(__xludf.DUMMYFUNCTION("""COMPUTED_VALUE"""),"#VALUE!")</f>
        <v>#VALUE!</v>
      </c>
      <c r="H256" s="51" t="str">
        <f>IFERROR(__xludf.DUMMYFUNCTION("""COMPUTED_VALUE"""),"")</f>
        <v/>
      </c>
      <c r="I256" s="51" t="str">
        <f>IFERROR(__xludf.DUMMYFUNCTION("""COMPUTED_VALUE"""),"#VALUE!")</f>
        <v>#VALUE!</v>
      </c>
      <c r="J256" s="51" t="str">
        <f>IFERROR(__xludf.DUMMYFUNCTION("""COMPUTED_VALUE"""),"")</f>
        <v/>
      </c>
      <c r="K256" s="51"/>
      <c r="L256" s="51" t="s">
        <v>257</v>
      </c>
      <c r="M256" s="51"/>
      <c r="N256" s="51"/>
      <c r="O256" s="51"/>
      <c r="P256" s="51"/>
      <c r="Q256" s="51"/>
      <c r="R256" s="51"/>
      <c r="S256" s="51"/>
      <c r="T256" s="51"/>
    </row>
    <row r="257">
      <c r="A257" s="51"/>
      <c r="B257" s="51"/>
      <c r="C257" s="56"/>
      <c r="D257" s="51"/>
      <c r="E257" s="51"/>
      <c r="F257" s="51"/>
      <c r="G257" s="51" t="str">
        <f>IFERROR(__xludf.DUMMYFUNCTION("""COMPUTED_VALUE"""),"#VALUE!")</f>
        <v>#VALUE!</v>
      </c>
      <c r="H257" s="51" t="str">
        <f>IFERROR(__xludf.DUMMYFUNCTION("""COMPUTED_VALUE"""),"")</f>
        <v/>
      </c>
      <c r="I257" s="51" t="str">
        <f>IFERROR(__xludf.DUMMYFUNCTION("""COMPUTED_VALUE"""),"#VALUE!")</f>
        <v>#VALUE!</v>
      </c>
      <c r="J257" s="51" t="str">
        <f>IFERROR(__xludf.DUMMYFUNCTION("""COMPUTED_VALUE"""),"")</f>
        <v/>
      </c>
      <c r="K257" s="51"/>
      <c r="L257" s="51" t="s">
        <v>257</v>
      </c>
      <c r="M257" s="51"/>
      <c r="N257" s="51"/>
      <c r="O257" s="51"/>
      <c r="P257" s="51"/>
      <c r="Q257" s="51"/>
      <c r="R257" s="51"/>
      <c r="S257" s="51"/>
      <c r="T257" s="51"/>
    </row>
    <row r="258">
      <c r="A258" s="51"/>
      <c r="B258" s="51"/>
      <c r="C258" s="56"/>
      <c r="D258" s="51"/>
      <c r="E258" s="51"/>
      <c r="F258" s="51"/>
      <c r="G258" s="51" t="str">
        <f>IFERROR(__xludf.DUMMYFUNCTION("""COMPUTED_VALUE"""),"#VALUE!")</f>
        <v>#VALUE!</v>
      </c>
      <c r="H258" s="51" t="str">
        <f>IFERROR(__xludf.DUMMYFUNCTION("""COMPUTED_VALUE"""),"")</f>
        <v/>
      </c>
      <c r="I258" s="51" t="str">
        <f>IFERROR(__xludf.DUMMYFUNCTION("""COMPUTED_VALUE"""),"#VALUE!")</f>
        <v>#VALUE!</v>
      </c>
      <c r="J258" s="51" t="str">
        <f>IFERROR(__xludf.DUMMYFUNCTION("""COMPUTED_VALUE"""),"")</f>
        <v/>
      </c>
      <c r="K258" s="51"/>
      <c r="L258" s="51" t="s">
        <v>257</v>
      </c>
      <c r="M258" s="51"/>
      <c r="N258" s="51"/>
      <c r="O258" s="51"/>
      <c r="P258" s="51"/>
      <c r="Q258" s="51"/>
      <c r="R258" s="51"/>
      <c r="S258" s="51"/>
      <c r="T258" s="51"/>
    </row>
    <row r="259">
      <c r="A259" s="51"/>
      <c r="B259" s="51"/>
      <c r="C259" s="56"/>
      <c r="D259" s="51"/>
      <c r="E259" s="51"/>
      <c r="F259" s="51"/>
      <c r="G259" s="51" t="str">
        <f>IFERROR(__xludf.DUMMYFUNCTION("""COMPUTED_VALUE"""),"#VALUE!")</f>
        <v>#VALUE!</v>
      </c>
      <c r="H259" s="51" t="str">
        <f>IFERROR(__xludf.DUMMYFUNCTION("""COMPUTED_VALUE"""),"")</f>
        <v/>
      </c>
      <c r="I259" s="51" t="str">
        <f>IFERROR(__xludf.DUMMYFUNCTION("""COMPUTED_VALUE"""),"#VALUE!")</f>
        <v>#VALUE!</v>
      </c>
      <c r="J259" s="51" t="str">
        <f>IFERROR(__xludf.DUMMYFUNCTION("""COMPUTED_VALUE"""),"")</f>
        <v/>
      </c>
      <c r="K259" s="51"/>
      <c r="L259" s="51" t="s">
        <v>257</v>
      </c>
      <c r="M259" s="51"/>
      <c r="N259" s="51"/>
      <c r="O259" s="51"/>
      <c r="P259" s="51"/>
      <c r="Q259" s="51"/>
      <c r="R259" s="51"/>
      <c r="S259" s="51"/>
      <c r="T259" s="51"/>
    </row>
    <row r="260">
      <c r="A260" s="51"/>
      <c r="B260" s="51"/>
      <c r="C260" s="56"/>
      <c r="D260" s="51"/>
      <c r="E260" s="51"/>
      <c r="F260" s="51"/>
      <c r="G260" s="51" t="str">
        <f>IFERROR(__xludf.DUMMYFUNCTION("""COMPUTED_VALUE"""),"#VALUE!")</f>
        <v>#VALUE!</v>
      </c>
      <c r="H260" s="51" t="str">
        <f>IFERROR(__xludf.DUMMYFUNCTION("""COMPUTED_VALUE"""),"")</f>
        <v/>
      </c>
      <c r="I260" s="51" t="str">
        <f>IFERROR(__xludf.DUMMYFUNCTION("""COMPUTED_VALUE"""),"#VALUE!")</f>
        <v>#VALUE!</v>
      </c>
      <c r="J260" s="51" t="str">
        <f>IFERROR(__xludf.DUMMYFUNCTION("""COMPUTED_VALUE"""),"")</f>
        <v/>
      </c>
      <c r="K260" s="51"/>
      <c r="L260" s="51" t="s">
        <v>257</v>
      </c>
      <c r="M260" s="51"/>
      <c r="N260" s="51"/>
      <c r="O260" s="51"/>
      <c r="P260" s="51"/>
      <c r="Q260" s="51"/>
      <c r="R260" s="51"/>
      <c r="S260" s="51"/>
      <c r="T260" s="51"/>
    </row>
    <row r="261">
      <c r="A261" s="51"/>
      <c r="B261" s="51"/>
      <c r="C261" s="56"/>
      <c r="D261" s="51"/>
      <c r="E261" s="51"/>
      <c r="F261" s="51"/>
      <c r="G261" s="51" t="str">
        <f>IFERROR(__xludf.DUMMYFUNCTION("""COMPUTED_VALUE"""),"#VALUE!")</f>
        <v>#VALUE!</v>
      </c>
      <c r="H261" s="51" t="str">
        <f>IFERROR(__xludf.DUMMYFUNCTION("""COMPUTED_VALUE"""),"")</f>
        <v/>
      </c>
      <c r="I261" s="51" t="str">
        <f>IFERROR(__xludf.DUMMYFUNCTION("""COMPUTED_VALUE"""),"#VALUE!")</f>
        <v>#VALUE!</v>
      </c>
      <c r="J261" s="51" t="str">
        <f>IFERROR(__xludf.DUMMYFUNCTION("""COMPUTED_VALUE"""),"")</f>
        <v/>
      </c>
      <c r="K261" s="51"/>
      <c r="L261" s="51" t="s">
        <v>257</v>
      </c>
      <c r="M261" s="51"/>
      <c r="N261" s="51"/>
      <c r="O261" s="51"/>
      <c r="P261" s="51"/>
      <c r="Q261" s="51"/>
      <c r="R261" s="51"/>
      <c r="S261" s="51"/>
      <c r="T261" s="51"/>
    </row>
    <row r="262">
      <c r="A262" s="51"/>
      <c r="B262" s="51"/>
      <c r="C262" s="56"/>
      <c r="D262" s="51"/>
      <c r="E262" s="51"/>
      <c r="F262" s="51"/>
      <c r="G262" s="51" t="str">
        <f>IFERROR(__xludf.DUMMYFUNCTION("""COMPUTED_VALUE"""),"#VALUE!")</f>
        <v>#VALUE!</v>
      </c>
      <c r="H262" s="51" t="str">
        <f>IFERROR(__xludf.DUMMYFUNCTION("""COMPUTED_VALUE"""),"")</f>
        <v/>
      </c>
      <c r="I262" s="51" t="str">
        <f>IFERROR(__xludf.DUMMYFUNCTION("""COMPUTED_VALUE"""),"#VALUE!")</f>
        <v>#VALUE!</v>
      </c>
      <c r="J262" s="51" t="str">
        <f>IFERROR(__xludf.DUMMYFUNCTION("""COMPUTED_VALUE"""),"")</f>
        <v/>
      </c>
      <c r="K262" s="51"/>
      <c r="L262" s="51" t="s">
        <v>257</v>
      </c>
      <c r="M262" s="51"/>
      <c r="N262" s="51"/>
      <c r="O262" s="51"/>
      <c r="P262" s="51"/>
      <c r="Q262" s="51"/>
      <c r="R262" s="51"/>
      <c r="S262" s="51"/>
      <c r="T262" s="51"/>
    </row>
    <row r="263">
      <c r="A263" s="51"/>
      <c r="B263" s="51"/>
      <c r="C263" s="56"/>
      <c r="D263" s="51"/>
      <c r="E263" s="51"/>
      <c r="F263" s="51"/>
      <c r="G263" s="51" t="str">
        <f>IFERROR(__xludf.DUMMYFUNCTION("""COMPUTED_VALUE"""),"#VALUE!")</f>
        <v>#VALUE!</v>
      </c>
      <c r="H263" s="51" t="str">
        <f>IFERROR(__xludf.DUMMYFUNCTION("""COMPUTED_VALUE"""),"")</f>
        <v/>
      </c>
      <c r="I263" s="51" t="str">
        <f>IFERROR(__xludf.DUMMYFUNCTION("""COMPUTED_VALUE"""),"#VALUE!")</f>
        <v>#VALUE!</v>
      </c>
      <c r="J263" s="51" t="str">
        <f>IFERROR(__xludf.DUMMYFUNCTION("""COMPUTED_VALUE"""),"")</f>
        <v/>
      </c>
      <c r="K263" s="51"/>
      <c r="L263" s="51" t="s">
        <v>257</v>
      </c>
      <c r="M263" s="51"/>
      <c r="N263" s="51"/>
      <c r="O263" s="51"/>
      <c r="P263" s="51"/>
      <c r="Q263" s="51"/>
      <c r="R263" s="51"/>
      <c r="S263" s="51"/>
      <c r="T263" s="51"/>
    </row>
    <row r="264">
      <c r="A264" s="51"/>
      <c r="B264" s="51"/>
      <c r="C264" s="56"/>
      <c r="D264" s="51"/>
      <c r="E264" s="51"/>
      <c r="F264" s="51"/>
      <c r="G264" s="51" t="str">
        <f>IFERROR(__xludf.DUMMYFUNCTION("""COMPUTED_VALUE"""),"#VALUE!")</f>
        <v>#VALUE!</v>
      </c>
      <c r="H264" s="51" t="str">
        <f>IFERROR(__xludf.DUMMYFUNCTION("""COMPUTED_VALUE"""),"")</f>
        <v/>
      </c>
      <c r="I264" s="51" t="str">
        <f>IFERROR(__xludf.DUMMYFUNCTION("""COMPUTED_VALUE"""),"#VALUE!")</f>
        <v>#VALUE!</v>
      </c>
      <c r="J264" s="51" t="str">
        <f>IFERROR(__xludf.DUMMYFUNCTION("""COMPUTED_VALUE"""),"")</f>
        <v/>
      </c>
      <c r="K264" s="51"/>
      <c r="L264" s="51" t="s">
        <v>257</v>
      </c>
      <c r="M264" s="51"/>
      <c r="N264" s="51"/>
      <c r="O264" s="51"/>
      <c r="P264" s="51"/>
      <c r="Q264" s="51"/>
      <c r="R264" s="51"/>
      <c r="S264" s="51"/>
      <c r="T264" s="51"/>
    </row>
    <row r="265">
      <c r="A265" s="51"/>
      <c r="B265" s="51"/>
      <c r="C265" s="56"/>
      <c r="D265" s="51"/>
      <c r="E265" s="51"/>
      <c r="F265" s="51"/>
      <c r="G265" s="51" t="str">
        <f>IFERROR(__xludf.DUMMYFUNCTION("""COMPUTED_VALUE"""),"#VALUE!")</f>
        <v>#VALUE!</v>
      </c>
      <c r="H265" s="51" t="str">
        <f>IFERROR(__xludf.DUMMYFUNCTION("""COMPUTED_VALUE"""),"")</f>
        <v/>
      </c>
      <c r="I265" s="51" t="str">
        <f>IFERROR(__xludf.DUMMYFUNCTION("""COMPUTED_VALUE"""),"#VALUE!")</f>
        <v>#VALUE!</v>
      </c>
      <c r="J265" s="51" t="str">
        <f>IFERROR(__xludf.DUMMYFUNCTION("""COMPUTED_VALUE"""),"")</f>
        <v/>
      </c>
      <c r="K265" s="51"/>
      <c r="L265" s="51" t="s">
        <v>257</v>
      </c>
      <c r="M265" s="51"/>
      <c r="N265" s="51"/>
      <c r="O265" s="51"/>
      <c r="P265" s="51"/>
      <c r="Q265" s="51"/>
      <c r="R265" s="51"/>
      <c r="S265" s="51"/>
      <c r="T265" s="51"/>
    </row>
    <row r="266">
      <c r="A266" s="51"/>
      <c r="B266" s="51"/>
      <c r="C266" s="56"/>
      <c r="D266" s="51"/>
      <c r="E266" s="51"/>
      <c r="F266" s="51"/>
      <c r="G266" s="51" t="str">
        <f>IFERROR(__xludf.DUMMYFUNCTION("""COMPUTED_VALUE"""),"#VALUE!")</f>
        <v>#VALUE!</v>
      </c>
      <c r="H266" s="51" t="str">
        <f>IFERROR(__xludf.DUMMYFUNCTION("""COMPUTED_VALUE"""),"")</f>
        <v/>
      </c>
      <c r="I266" s="51" t="str">
        <f>IFERROR(__xludf.DUMMYFUNCTION("""COMPUTED_VALUE"""),"#VALUE!")</f>
        <v>#VALUE!</v>
      </c>
      <c r="J266" s="51" t="str">
        <f>IFERROR(__xludf.DUMMYFUNCTION("""COMPUTED_VALUE"""),"")</f>
        <v/>
      </c>
      <c r="K266" s="51"/>
      <c r="L266" s="51" t="s">
        <v>257</v>
      </c>
      <c r="M266" s="51"/>
      <c r="N266" s="51"/>
      <c r="O266" s="51"/>
      <c r="P266" s="51"/>
      <c r="Q266" s="51"/>
      <c r="R266" s="51"/>
      <c r="S266" s="51"/>
      <c r="T266" s="51"/>
    </row>
    <row r="267">
      <c r="A267" s="51"/>
      <c r="B267" s="51"/>
      <c r="C267" s="56"/>
      <c r="D267" s="51"/>
      <c r="E267" s="51"/>
      <c r="F267" s="51"/>
      <c r="G267" s="51" t="str">
        <f>IFERROR(__xludf.DUMMYFUNCTION("""COMPUTED_VALUE"""),"#VALUE!")</f>
        <v>#VALUE!</v>
      </c>
      <c r="H267" s="51" t="str">
        <f>IFERROR(__xludf.DUMMYFUNCTION("""COMPUTED_VALUE"""),"")</f>
        <v/>
      </c>
      <c r="I267" s="51" t="str">
        <f>IFERROR(__xludf.DUMMYFUNCTION("""COMPUTED_VALUE"""),"#VALUE!")</f>
        <v>#VALUE!</v>
      </c>
      <c r="J267" s="51" t="str">
        <f>IFERROR(__xludf.DUMMYFUNCTION("""COMPUTED_VALUE"""),"")</f>
        <v/>
      </c>
      <c r="K267" s="51"/>
      <c r="L267" s="51" t="s">
        <v>257</v>
      </c>
      <c r="M267" s="51"/>
      <c r="N267" s="51"/>
      <c r="O267" s="51"/>
      <c r="P267" s="51"/>
      <c r="Q267" s="51"/>
      <c r="R267" s="51"/>
      <c r="S267" s="51"/>
      <c r="T267" s="51"/>
    </row>
    <row r="268">
      <c r="A268" s="51"/>
      <c r="B268" s="51"/>
      <c r="C268" s="56"/>
      <c r="D268" s="51"/>
      <c r="E268" s="51"/>
      <c r="F268" s="51"/>
      <c r="G268" s="51" t="str">
        <f>IFERROR(__xludf.DUMMYFUNCTION("""COMPUTED_VALUE"""),"#VALUE!")</f>
        <v>#VALUE!</v>
      </c>
      <c r="H268" s="51" t="str">
        <f>IFERROR(__xludf.DUMMYFUNCTION("""COMPUTED_VALUE"""),"")</f>
        <v/>
      </c>
      <c r="I268" s="51" t="str">
        <f>IFERROR(__xludf.DUMMYFUNCTION("""COMPUTED_VALUE"""),"#VALUE!")</f>
        <v>#VALUE!</v>
      </c>
      <c r="J268" s="51" t="str">
        <f>IFERROR(__xludf.DUMMYFUNCTION("""COMPUTED_VALUE"""),"")</f>
        <v/>
      </c>
      <c r="K268" s="51"/>
      <c r="L268" s="51" t="s">
        <v>257</v>
      </c>
      <c r="M268" s="51"/>
      <c r="N268" s="51"/>
      <c r="O268" s="51"/>
      <c r="P268" s="51"/>
      <c r="Q268" s="51"/>
      <c r="R268" s="51"/>
      <c r="S268" s="51"/>
      <c r="T268" s="51"/>
    </row>
    <row r="269">
      <c r="A269" s="51"/>
      <c r="B269" s="51"/>
      <c r="C269" s="56"/>
      <c r="D269" s="51"/>
      <c r="E269" s="51"/>
      <c r="F269" s="51"/>
      <c r="G269" s="51" t="str">
        <f>IFERROR(__xludf.DUMMYFUNCTION("""COMPUTED_VALUE"""),"#VALUE!")</f>
        <v>#VALUE!</v>
      </c>
      <c r="H269" s="51" t="str">
        <f>IFERROR(__xludf.DUMMYFUNCTION("""COMPUTED_VALUE"""),"")</f>
        <v/>
      </c>
      <c r="I269" s="51" t="str">
        <f>IFERROR(__xludf.DUMMYFUNCTION("""COMPUTED_VALUE"""),"#VALUE!")</f>
        <v>#VALUE!</v>
      </c>
      <c r="J269" s="51" t="str">
        <f>IFERROR(__xludf.DUMMYFUNCTION("""COMPUTED_VALUE"""),"")</f>
        <v/>
      </c>
      <c r="K269" s="51"/>
      <c r="L269" s="51" t="s">
        <v>257</v>
      </c>
      <c r="M269" s="51"/>
      <c r="N269" s="51"/>
      <c r="O269" s="51"/>
      <c r="P269" s="51"/>
      <c r="Q269" s="51"/>
      <c r="R269" s="51"/>
      <c r="S269" s="51"/>
      <c r="T269" s="51"/>
    </row>
    <row r="270">
      <c r="A270" s="51"/>
      <c r="B270" s="51"/>
      <c r="C270" s="56"/>
      <c r="D270" s="51"/>
      <c r="E270" s="51"/>
      <c r="F270" s="51"/>
      <c r="G270" s="51" t="str">
        <f>IFERROR(__xludf.DUMMYFUNCTION("""COMPUTED_VALUE"""),"#VALUE!")</f>
        <v>#VALUE!</v>
      </c>
      <c r="H270" s="51" t="str">
        <f>IFERROR(__xludf.DUMMYFUNCTION("""COMPUTED_VALUE"""),"")</f>
        <v/>
      </c>
      <c r="I270" s="51" t="str">
        <f>IFERROR(__xludf.DUMMYFUNCTION("""COMPUTED_VALUE"""),"#VALUE!")</f>
        <v>#VALUE!</v>
      </c>
      <c r="J270" s="51" t="str">
        <f>IFERROR(__xludf.DUMMYFUNCTION("""COMPUTED_VALUE"""),"")</f>
        <v/>
      </c>
      <c r="K270" s="51"/>
      <c r="L270" s="51" t="s">
        <v>257</v>
      </c>
      <c r="M270" s="51"/>
      <c r="N270" s="51"/>
      <c r="O270" s="51"/>
      <c r="P270" s="51"/>
      <c r="Q270" s="51"/>
      <c r="R270" s="51"/>
      <c r="S270" s="51"/>
      <c r="T270" s="51"/>
    </row>
    <row r="271">
      <c r="A271" s="51"/>
      <c r="B271" s="51"/>
      <c r="C271" s="56"/>
      <c r="D271" s="51"/>
      <c r="E271" s="51"/>
      <c r="F271" s="51"/>
      <c r="G271" s="51" t="str">
        <f>IFERROR(__xludf.DUMMYFUNCTION("""COMPUTED_VALUE"""),"#VALUE!")</f>
        <v>#VALUE!</v>
      </c>
      <c r="H271" s="51" t="str">
        <f>IFERROR(__xludf.DUMMYFUNCTION("""COMPUTED_VALUE"""),"")</f>
        <v/>
      </c>
      <c r="I271" s="51" t="str">
        <f>IFERROR(__xludf.DUMMYFUNCTION("""COMPUTED_VALUE"""),"#VALUE!")</f>
        <v>#VALUE!</v>
      </c>
      <c r="J271" s="51" t="str">
        <f>IFERROR(__xludf.DUMMYFUNCTION("""COMPUTED_VALUE"""),"")</f>
        <v/>
      </c>
      <c r="K271" s="51"/>
      <c r="L271" s="51" t="s">
        <v>257</v>
      </c>
      <c r="M271" s="51"/>
      <c r="N271" s="51"/>
      <c r="O271" s="51"/>
      <c r="P271" s="51"/>
      <c r="Q271" s="51"/>
      <c r="R271" s="51"/>
      <c r="S271" s="51"/>
      <c r="T271" s="51"/>
    </row>
    <row r="272">
      <c r="A272" s="51"/>
      <c r="B272" s="51"/>
      <c r="C272" s="56"/>
      <c r="D272" s="51"/>
      <c r="E272" s="51"/>
      <c r="F272" s="51"/>
      <c r="G272" s="51" t="str">
        <f>IFERROR(__xludf.DUMMYFUNCTION("""COMPUTED_VALUE"""),"#VALUE!")</f>
        <v>#VALUE!</v>
      </c>
      <c r="H272" s="51" t="str">
        <f>IFERROR(__xludf.DUMMYFUNCTION("""COMPUTED_VALUE"""),"")</f>
        <v/>
      </c>
      <c r="I272" s="51" t="str">
        <f>IFERROR(__xludf.DUMMYFUNCTION("""COMPUTED_VALUE"""),"#VALUE!")</f>
        <v>#VALUE!</v>
      </c>
      <c r="J272" s="51" t="str">
        <f>IFERROR(__xludf.DUMMYFUNCTION("""COMPUTED_VALUE"""),"")</f>
        <v/>
      </c>
      <c r="K272" s="51"/>
      <c r="L272" s="51" t="s">
        <v>257</v>
      </c>
      <c r="M272" s="51"/>
      <c r="N272" s="51"/>
      <c r="O272" s="51"/>
      <c r="P272" s="51"/>
      <c r="Q272" s="51"/>
      <c r="R272" s="51"/>
      <c r="S272" s="51"/>
      <c r="T272" s="51"/>
    </row>
    <row r="273">
      <c r="A273" s="51"/>
      <c r="B273" s="51"/>
      <c r="C273" s="56"/>
      <c r="D273" s="51"/>
      <c r="E273" s="51"/>
      <c r="F273" s="51"/>
      <c r="G273" s="51" t="str">
        <f>IFERROR(__xludf.DUMMYFUNCTION("""COMPUTED_VALUE"""),"#VALUE!")</f>
        <v>#VALUE!</v>
      </c>
      <c r="H273" s="51" t="str">
        <f>IFERROR(__xludf.DUMMYFUNCTION("""COMPUTED_VALUE"""),"")</f>
        <v/>
      </c>
      <c r="I273" s="51" t="str">
        <f>IFERROR(__xludf.DUMMYFUNCTION("""COMPUTED_VALUE"""),"#VALUE!")</f>
        <v>#VALUE!</v>
      </c>
      <c r="J273" s="51" t="str">
        <f>IFERROR(__xludf.DUMMYFUNCTION("""COMPUTED_VALUE"""),"")</f>
        <v/>
      </c>
      <c r="K273" s="51"/>
      <c r="L273" s="51" t="s">
        <v>257</v>
      </c>
      <c r="M273" s="51"/>
      <c r="N273" s="51"/>
      <c r="O273" s="51"/>
      <c r="P273" s="51"/>
      <c r="Q273" s="51"/>
      <c r="R273" s="51"/>
      <c r="S273" s="51"/>
      <c r="T273" s="51"/>
    </row>
    <row r="274">
      <c r="A274" s="51"/>
      <c r="B274" s="51"/>
      <c r="C274" s="56"/>
      <c r="D274" s="51"/>
      <c r="E274" s="51"/>
      <c r="F274" s="51"/>
      <c r="G274" s="51" t="str">
        <f>IFERROR(__xludf.DUMMYFUNCTION("""COMPUTED_VALUE"""),"#VALUE!")</f>
        <v>#VALUE!</v>
      </c>
      <c r="H274" s="51" t="str">
        <f>IFERROR(__xludf.DUMMYFUNCTION("""COMPUTED_VALUE"""),"")</f>
        <v/>
      </c>
      <c r="I274" s="51" t="str">
        <f>IFERROR(__xludf.DUMMYFUNCTION("""COMPUTED_VALUE"""),"#VALUE!")</f>
        <v>#VALUE!</v>
      </c>
      <c r="J274" s="51" t="str">
        <f>IFERROR(__xludf.DUMMYFUNCTION("""COMPUTED_VALUE"""),"")</f>
        <v/>
      </c>
      <c r="K274" s="51"/>
      <c r="L274" s="51" t="s">
        <v>257</v>
      </c>
      <c r="M274" s="51"/>
      <c r="N274" s="51"/>
      <c r="O274" s="51"/>
      <c r="P274" s="51"/>
      <c r="Q274" s="51"/>
      <c r="R274" s="51"/>
      <c r="S274" s="51"/>
      <c r="T274" s="51"/>
    </row>
    <row r="275">
      <c r="A275" s="51"/>
      <c r="B275" s="51"/>
      <c r="C275" s="56"/>
      <c r="D275" s="51"/>
      <c r="E275" s="51"/>
      <c r="F275" s="51"/>
      <c r="G275" s="51" t="str">
        <f>IFERROR(__xludf.DUMMYFUNCTION("""COMPUTED_VALUE"""),"#VALUE!")</f>
        <v>#VALUE!</v>
      </c>
      <c r="H275" s="51" t="str">
        <f>IFERROR(__xludf.DUMMYFUNCTION("""COMPUTED_VALUE"""),"")</f>
        <v/>
      </c>
      <c r="I275" s="51" t="str">
        <f>IFERROR(__xludf.DUMMYFUNCTION("""COMPUTED_VALUE"""),"#VALUE!")</f>
        <v>#VALUE!</v>
      </c>
      <c r="J275" s="51" t="str">
        <f>IFERROR(__xludf.DUMMYFUNCTION("""COMPUTED_VALUE"""),"")</f>
        <v/>
      </c>
      <c r="K275" s="51"/>
      <c r="L275" s="51" t="s">
        <v>257</v>
      </c>
      <c r="M275" s="51"/>
      <c r="N275" s="51"/>
      <c r="O275" s="51"/>
      <c r="P275" s="51"/>
      <c r="Q275" s="51"/>
      <c r="R275" s="51"/>
      <c r="S275" s="51"/>
      <c r="T275" s="51"/>
    </row>
    <row r="276">
      <c r="A276" s="51"/>
      <c r="B276" s="51"/>
      <c r="C276" s="56"/>
      <c r="D276" s="51"/>
      <c r="E276" s="51"/>
      <c r="F276" s="51"/>
      <c r="G276" s="51" t="str">
        <f>IFERROR(__xludf.DUMMYFUNCTION("""COMPUTED_VALUE"""),"#VALUE!")</f>
        <v>#VALUE!</v>
      </c>
      <c r="H276" s="51" t="str">
        <f>IFERROR(__xludf.DUMMYFUNCTION("""COMPUTED_VALUE"""),"")</f>
        <v/>
      </c>
      <c r="I276" s="51" t="str">
        <f>IFERROR(__xludf.DUMMYFUNCTION("""COMPUTED_VALUE"""),"#VALUE!")</f>
        <v>#VALUE!</v>
      </c>
      <c r="J276" s="51" t="str">
        <f>IFERROR(__xludf.DUMMYFUNCTION("""COMPUTED_VALUE"""),"")</f>
        <v/>
      </c>
      <c r="K276" s="51"/>
      <c r="L276" s="51" t="s">
        <v>257</v>
      </c>
      <c r="M276" s="51"/>
      <c r="N276" s="51"/>
      <c r="O276" s="51"/>
      <c r="P276" s="51"/>
      <c r="Q276" s="51"/>
      <c r="R276" s="51"/>
      <c r="S276" s="51"/>
      <c r="T276" s="51"/>
    </row>
    <row r="277">
      <c r="A277" s="51"/>
      <c r="B277" s="51"/>
      <c r="C277" s="56"/>
      <c r="D277" s="51"/>
      <c r="E277" s="51"/>
      <c r="F277" s="51"/>
      <c r="G277" s="51" t="str">
        <f>IFERROR(__xludf.DUMMYFUNCTION("""COMPUTED_VALUE"""),"#VALUE!")</f>
        <v>#VALUE!</v>
      </c>
      <c r="H277" s="51" t="str">
        <f>IFERROR(__xludf.DUMMYFUNCTION("""COMPUTED_VALUE"""),"")</f>
        <v/>
      </c>
      <c r="I277" s="51" t="str">
        <f>IFERROR(__xludf.DUMMYFUNCTION("""COMPUTED_VALUE"""),"#VALUE!")</f>
        <v>#VALUE!</v>
      </c>
      <c r="J277" s="51" t="str">
        <f>IFERROR(__xludf.DUMMYFUNCTION("""COMPUTED_VALUE"""),"")</f>
        <v/>
      </c>
      <c r="K277" s="51"/>
      <c r="L277" s="51" t="s">
        <v>257</v>
      </c>
      <c r="M277" s="51"/>
      <c r="N277" s="51"/>
      <c r="O277" s="51"/>
      <c r="P277" s="51"/>
      <c r="Q277" s="51"/>
      <c r="R277" s="51"/>
      <c r="S277" s="51"/>
      <c r="T277" s="51"/>
    </row>
    <row r="278">
      <c r="A278" s="51"/>
      <c r="B278" s="51"/>
      <c r="C278" s="56"/>
      <c r="D278" s="51"/>
      <c r="E278" s="51"/>
      <c r="F278" s="51"/>
      <c r="G278" s="51" t="str">
        <f>IFERROR(__xludf.DUMMYFUNCTION("""COMPUTED_VALUE"""),"#VALUE!")</f>
        <v>#VALUE!</v>
      </c>
      <c r="H278" s="51" t="str">
        <f>IFERROR(__xludf.DUMMYFUNCTION("""COMPUTED_VALUE"""),"")</f>
        <v/>
      </c>
      <c r="I278" s="51" t="str">
        <f>IFERROR(__xludf.DUMMYFUNCTION("""COMPUTED_VALUE"""),"#VALUE!")</f>
        <v>#VALUE!</v>
      </c>
      <c r="J278" s="51" t="str">
        <f>IFERROR(__xludf.DUMMYFUNCTION("""COMPUTED_VALUE"""),"")</f>
        <v/>
      </c>
      <c r="K278" s="51"/>
      <c r="L278" s="51" t="s">
        <v>257</v>
      </c>
      <c r="M278" s="51"/>
      <c r="N278" s="51"/>
      <c r="O278" s="51"/>
      <c r="P278" s="51"/>
      <c r="Q278" s="51"/>
      <c r="R278" s="51"/>
      <c r="S278" s="51"/>
      <c r="T278" s="51"/>
    </row>
    <row r="279">
      <c r="A279" s="51"/>
      <c r="B279" s="51"/>
      <c r="C279" s="56"/>
      <c r="D279" s="51"/>
      <c r="E279" s="51"/>
      <c r="F279" s="51"/>
      <c r="G279" s="51" t="str">
        <f>IFERROR(__xludf.DUMMYFUNCTION("""COMPUTED_VALUE"""),"#VALUE!")</f>
        <v>#VALUE!</v>
      </c>
      <c r="H279" s="51" t="str">
        <f>IFERROR(__xludf.DUMMYFUNCTION("""COMPUTED_VALUE"""),"")</f>
        <v/>
      </c>
      <c r="I279" s="51" t="str">
        <f>IFERROR(__xludf.DUMMYFUNCTION("""COMPUTED_VALUE"""),"#VALUE!")</f>
        <v>#VALUE!</v>
      </c>
      <c r="J279" s="51" t="str">
        <f>IFERROR(__xludf.DUMMYFUNCTION("""COMPUTED_VALUE"""),"")</f>
        <v/>
      </c>
      <c r="K279" s="51"/>
      <c r="L279" s="51" t="s">
        <v>257</v>
      </c>
      <c r="M279" s="51"/>
      <c r="N279" s="51"/>
      <c r="O279" s="51"/>
      <c r="P279" s="51"/>
      <c r="Q279" s="51"/>
      <c r="R279" s="51"/>
      <c r="S279" s="51"/>
      <c r="T279" s="51"/>
    </row>
    <row r="280">
      <c r="A280" s="51"/>
      <c r="B280" s="51"/>
      <c r="C280" s="56"/>
      <c r="D280" s="51"/>
      <c r="E280" s="51"/>
      <c r="F280" s="51"/>
      <c r="G280" s="51" t="str">
        <f>IFERROR(__xludf.DUMMYFUNCTION("""COMPUTED_VALUE"""),"#VALUE!")</f>
        <v>#VALUE!</v>
      </c>
      <c r="H280" s="51" t="str">
        <f>IFERROR(__xludf.DUMMYFUNCTION("""COMPUTED_VALUE"""),"")</f>
        <v/>
      </c>
      <c r="I280" s="51" t="str">
        <f>IFERROR(__xludf.DUMMYFUNCTION("""COMPUTED_VALUE"""),"#VALUE!")</f>
        <v>#VALUE!</v>
      </c>
      <c r="J280" s="51" t="str">
        <f>IFERROR(__xludf.DUMMYFUNCTION("""COMPUTED_VALUE"""),"")</f>
        <v/>
      </c>
      <c r="K280" s="51"/>
      <c r="L280" s="51" t="s">
        <v>257</v>
      </c>
      <c r="M280" s="51"/>
      <c r="N280" s="51"/>
      <c r="O280" s="51"/>
      <c r="P280" s="51"/>
      <c r="Q280" s="51"/>
      <c r="R280" s="51"/>
      <c r="S280" s="51"/>
      <c r="T280" s="51"/>
    </row>
    <row r="281">
      <c r="A281" s="51"/>
      <c r="B281" s="51"/>
      <c r="C281" s="56"/>
      <c r="D281" s="51"/>
      <c r="E281" s="51"/>
      <c r="F281" s="51"/>
      <c r="G281" s="51" t="str">
        <f>IFERROR(__xludf.DUMMYFUNCTION("""COMPUTED_VALUE"""),"#VALUE!")</f>
        <v>#VALUE!</v>
      </c>
      <c r="H281" s="51" t="str">
        <f>IFERROR(__xludf.DUMMYFUNCTION("""COMPUTED_VALUE"""),"")</f>
        <v/>
      </c>
      <c r="I281" s="51" t="str">
        <f>IFERROR(__xludf.DUMMYFUNCTION("""COMPUTED_VALUE"""),"#VALUE!")</f>
        <v>#VALUE!</v>
      </c>
      <c r="J281" s="51" t="str">
        <f>IFERROR(__xludf.DUMMYFUNCTION("""COMPUTED_VALUE"""),"")</f>
        <v/>
      </c>
      <c r="K281" s="51"/>
      <c r="L281" s="51" t="s">
        <v>257</v>
      </c>
      <c r="M281" s="51"/>
      <c r="N281" s="51"/>
      <c r="O281" s="51"/>
      <c r="P281" s="51"/>
      <c r="Q281" s="51"/>
      <c r="R281" s="51"/>
      <c r="S281" s="51"/>
      <c r="T281" s="51"/>
    </row>
    <row r="282">
      <c r="A282" s="51"/>
      <c r="B282" s="51"/>
      <c r="C282" s="56"/>
      <c r="D282" s="51"/>
      <c r="E282" s="51"/>
      <c r="F282" s="51"/>
      <c r="G282" s="51" t="str">
        <f>IFERROR(__xludf.DUMMYFUNCTION("""COMPUTED_VALUE"""),"#VALUE!")</f>
        <v>#VALUE!</v>
      </c>
      <c r="H282" s="51" t="str">
        <f>IFERROR(__xludf.DUMMYFUNCTION("""COMPUTED_VALUE"""),"")</f>
        <v/>
      </c>
      <c r="I282" s="51" t="str">
        <f>IFERROR(__xludf.DUMMYFUNCTION("""COMPUTED_VALUE"""),"#VALUE!")</f>
        <v>#VALUE!</v>
      </c>
      <c r="J282" s="51" t="str">
        <f>IFERROR(__xludf.DUMMYFUNCTION("""COMPUTED_VALUE"""),"")</f>
        <v/>
      </c>
      <c r="K282" s="51"/>
      <c r="L282" s="51" t="s">
        <v>257</v>
      </c>
      <c r="M282" s="51"/>
      <c r="N282" s="51"/>
      <c r="O282" s="51"/>
      <c r="P282" s="51"/>
      <c r="Q282" s="51"/>
      <c r="R282" s="51"/>
      <c r="S282" s="51"/>
      <c r="T282" s="51"/>
    </row>
    <row r="283">
      <c r="A283" s="51"/>
      <c r="B283" s="51"/>
      <c r="C283" s="56"/>
      <c r="D283" s="51"/>
      <c r="E283" s="51"/>
      <c r="F283" s="51"/>
      <c r="G283" s="51" t="str">
        <f>IFERROR(__xludf.DUMMYFUNCTION("""COMPUTED_VALUE"""),"#VALUE!")</f>
        <v>#VALUE!</v>
      </c>
      <c r="H283" s="51" t="str">
        <f>IFERROR(__xludf.DUMMYFUNCTION("""COMPUTED_VALUE"""),"")</f>
        <v/>
      </c>
      <c r="I283" s="51" t="str">
        <f>IFERROR(__xludf.DUMMYFUNCTION("""COMPUTED_VALUE"""),"#VALUE!")</f>
        <v>#VALUE!</v>
      </c>
      <c r="J283" s="51" t="str">
        <f>IFERROR(__xludf.DUMMYFUNCTION("""COMPUTED_VALUE"""),"")</f>
        <v/>
      </c>
      <c r="K283" s="51"/>
      <c r="L283" s="51" t="s">
        <v>257</v>
      </c>
      <c r="M283" s="51"/>
      <c r="N283" s="51"/>
      <c r="O283" s="51"/>
      <c r="P283" s="51"/>
      <c r="Q283" s="51"/>
      <c r="R283" s="51"/>
      <c r="S283" s="51"/>
      <c r="T283" s="51"/>
    </row>
    <row r="284">
      <c r="A284" s="51"/>
      <c r="B284" s="51"/>
      <c r="C284" s="56"/>
      <c r="D284" s="51"/>
      <c r="E284" s="51"/>
      <c r="F284" s="51"/>
      <c r="G284" s="51" t="str">
        <f>IFERROR(__xludf.DUMMYFUNCTION("""COMPUTED_VALUE"""),"#VALUE!")</f>
        <v>#VALUE!</v>
      </c>
      <c r="H284" s="51" t="str">
        <f>IFERROR(__xludf.DUMMYFUNCTION("""COMPUTED_VALUE"""),"")</f>
        <v/>
      </c>
      <c r="I284" s="51" t="str">
        <f>IFERROR(__xludf.DUMMYFUNCTION("""COMPUTED_VALUE"""),"#VALUE!")</f>
        <v>#VALUE!</v>
      </c>
      <c r="J284" s="51" t="str">
        <f>IFERROR(__xludf.DUMMYFUNCTION("""COMPUTED_VALUE"""),"")</f>
        <v/>
      </c>
      <c r="K284" s="51"/>
      <c r="L284" s="51" t="s">
        <v>257</v>
      </c>
      <c r="M284" s="51"/>
      <c r="N284" s="51"/>
      <c r="O284" s="51"/>
      <c r="P284" s="51"/>
      <c r="Q284" s="51"/>
      <c r="R284" s="51"/>
      <c r="S284" s="51"/>
      <c r="T284" s="51"/>
    </row>
    <row r="285">
      <c r="A285" s="51"/>
      <c r="B285" s="51"/>
      <c r="C285" s="56"/>
      <c r="D285" s="51"/>
      <c r="E285" s="51"/>
      <c r="F285" s="51"/>
      <c r="G285" s="51" t="str">
        <f>IFERROR(__xludf.DUMMYFUNCTION("""COMPUTED_VALUE"""),"#VALUE!")</f>
        <v>#VALUE!</v>
      </c>
      <c r="H285" s="51" t="str">
        <f>IFERROR(__xludf.DUMMYFUNCTION("""COMPUTED_VALUE"""),"")</f>
        <v/>
      </c>
      <c r="I285" s="51" t="str">
        <f>IFERROR(__xludf.DUMMYFUNCTION("""COMPUTED_VALUE"""),"#VALUE!")</f>
        <v>#VALUE!</v>
      </c>
      <c r="J285" s="51" t="str">
        <f>IFERROR(__xludf.DUMMYFUNCTION("""COMPUTED_VALUE"""),"")</f>
        <v/>
      </c>
      <c r="K285" s="51"/>
      <c r="L285" s="51" t="s">
        <v>257</v>
      </c>
      <c r="M285" s="51"/>
      <c r="N285" s="51"/>
      <c r="O285" s="51"/>
      <c r="P285" s="51"/>
      <c r="Q285" s="51"/>
      <c r="R285" s="51"/>
      <c r="S285" s="51"/>
      <c r="T285" s="51"/>
    </row>
    <row r="286">
      <c r="A286" s="51"/>
      <c r="B286" s="51"/>
      <c r="C286" s="56"/>
      <c r="D286" s="51"/>
      <c r="E286" s="51"/>
      <c r="F286" s="51"/>
      <c r="G286" s="51" t="str">
        <f>IFERROR(__xludf.DUMMYFUNCTION("""COMPUTED_VALUE"""),"#VALUE!")</f>
        <v>#VALUE!</v>
      </c>
      <c r="H286" s="51" t="str">
        <f>IFERROR(__xludf.DUMMYFUNCTION("""COMPUTED_VALUE"""),"")</f>
        <v/>
      </c>
      <c r="I286" s="51" t="str">
        <f>IFERROR(__xludf.DUMMYFUNCTION("""COMPUTED_VALUE"""),"#VALUE!")</f>
        <v>#VALUE!</v>
      </c>
      <c r="J286" s="51" t="str">
        <f>IFERROR(__xludf.DUMMYFUNCTION("""COMPUTED_VALUE"""),"")</f>
        <v/>
      </c>
      <c r="K286" s="51"/>
      <c r="L286" s="51" t="s">
        <v>257</v>
      </c>
      <c r="M286" s="51"/>
      <c r="N286" s="51"/>
      <c r="O286" s="51"/>
      <c r="P286" s="51"/>
      <c r="Q286" s="51"/>
      <c r="R286" s="51"/>
      <c r="S286" s="51"/>
      <c r="T286" s="51"/>
    </row>
    <row r="287">
      <c r="A287" s="51"/>
      <c r="B287" s="51"/>
      <c r="C287" s="56"/>
      <c r="D287" s="51"/>
      <c r="E287" s="51"/>
      <c r="F287" s="51"/>
      <c r="G287" s="51" t="str">
        <f>IFERROR(__xludf.DUMMYFUNCTION("""COMPUTED_VALUE"""),"#VALUE!")</f>
        <v>#VALUE!</v>
      </c>
      <c r="H287" s="51" t="str">
        <f>IFERROR(__xludf.DUMMYFUNCTION("""COMPUTED_VALUE"""),"")</f>
        <v/>
      </c>
      <c r="I287" s="51" t="str">
        <f>IFERROR(__xludf.DUMMYFUNCTION("""COMPUTED_VALUE"""),"#VALUE!")</f>
        <v>#VALUE!</v>
      </c>
      <c r="J287" s="51" t="str">
        <f>IFERROR(__xludf.DUMMYFUNCTION("""COMPUTED_VALUE"""),"")</f>
        <v/>
      </c>
      <c r="K287" s="51"/>
      <c r="L287" s="51" t="s">
        <v>257</v>
      </c>
      <c r="M287" s="51"/>
      <c r="N287" s="51"/>
      <c r="O287" s="51"/>
      <c r="P287" s="51"/>
      <c r="Q287" s="51"/>
      <c r="R287" s="51"/>
      <c r="S287" s="51"/>
      <c r="T287" s="51"/>
    </row>
    <row r="288">
      <c r="A288" s="51"/>
      <c r="B288" s="51"/>
      <c r="C288" s="56"/>
      <c r="D288" s="51"/>
      <c r="E288" s="51"/>
      <c r="F288" s="51"/>
      <c r="G288" s="51" t="str">
        <f>IFERROR(__xludf.DUMMYFUNCTION("""COMPUTED_VALUE"""),"#VALUE!")</f>
        <v>#VALUE!</v>
      </c>
      <c r="H288" s="51" t="str">
        <f>IFERROR(__xludf.DUMMYFUNCTION("""COMPUTED_VALUE"""),"")</f>
        <v/>
      </c>
      <c r="I288" s="51" t="str">
        <f>IFERROR(__xludf.DUMMYFUNCTION("""COMPUTED_VALUE"""),"#VALUE!")</f>
        <v>#VALUE!</v>
      </c>
      <c r="J288" s="51" t="str">
        <f>IFERROR(__xludf.DUMMYFUNCTION("""COMPUTED_VALUE"""),"")</f>
        <v/>
      </c>
      <c r="K288" s="51"/>
      <c r="L288" s="51" t="s">
        <v>257</v>
      </c>
      <c r="M288" s="51"/>
      <c r="N288" s="51"/>
      <c r="O288" s="51"/>
      <c r="P288" s="51"/>
      <c r="Q288" s="51"/>
      <c r="R288" s="51"/>
      <c r="S288" s="51"/>
      <c r="T288" s="51"/>
    </row>
    <row r="289">
      <c r="A289" s="51"/>
      <c r="B289" s="51"/>
      <c r="C289" s="56"/>
      <c r="D289" s="51"/>
      <c r="E289" s="51"/>
      <c r="F289" s="51"/>
      <c r="G289" s="51" t="str">
        <f>IFERROR(__xludf.DUMMYFUNCTION("""COMPUTED_VALUE"""),"#VALUE!")</f>
        <v>#VALUE!</v>
      </c>
      <c r="H289" s="51" t="str">
        <f>IFERROR(__xludf.DUMMYFUNCTION("""COMPUTED_VALUE"""),"")</f>
        <v/>
      </c>
      <c r="I289" s="51" t="str">
        <f>IFERROR(__xludf.DUMMYFUNCTION("""COMPUTED_VALUE"""),"#VALUE!")</f>
        <v>#VALUE!</v>
      </c>
      <c r="J289" s="51" t="str">
        <f>IFERROR(__xludf.DUMMYFUNCTION("""COMPUTED_VALUE"""),"")</f>
        <v/>
      </c>
      <c r="K289" s="51"/>
      <c r="L289" s="51" t="s">
        <v>257</v>
      </c>
      <c r="M289" s="51"/>
      <c r="N289" s="51"/>
      <c r="O289" s="51"/>
      <c r="P289" s="51"/>
      <c r="Q289" s="51"/>
      <c r="R289" s="51"/>
      <c r="S289" s="51"/>
      <c r="T289" s="51"/>
    </row>
    <row r="290">
      <c r="A290" s="51"/>
      <c r="B290" s="51"/>
      <c r="C290" s="56"/>
      <c r="D290" s="51"/>
      <c r="E290" s="51"/>
      <c r="F290" s="51"/>
      <c r="G290" s="51" t="str">
        <f>IFERROR(__xludf.DUMMYFUNCTION("""COMPUTED_VALUE"""),"#VALUE!")</f>
        <v>#VALUE!</v>
      </c>
      <c r="H290" s="51" t="str">
        <f>IFERROR(__xludf.DUMMYFUNCTION("""COMPUTED_VALUE"""),"")</f>
        <v/>
      </c>
      <c r="I290" s="51" t="str">
        <f>IFERROR(__xludf.DUMMYFUNCTION("""COMPUTED_VALUE"""),"#VALUE!")</f>
        <v>#VALUE!</v>
      </c>
      <c r="J290" s="51" t="str">
        <f>IFERROR(__xludf.DUMMYFUNCTION("""COMPUTED_VALUE"""),"")</f>
        <v/>
      </c>
      <c r="K290" s="51"/>
      <c r="L290" s="51" t="s">
        <v>257</v>
      </c>
      <c r="M290" s="51"/>
      <c r="N290" s="51"/>
      <c r="O290" s="51"/>
      <c r="P290" s="51"/>
      <c r="Q290" s="51"/>
      <c r="R290" s="51"/>
      <c r="S290" s="51"/>
      <c r="T290" s="51"/>
    </row>
    <row r="291">
      <c r="A291" s="51"/>
      <c r="B291" s="51"/>
      <c r="C291" s="56"/>
      <c r="D291" s="51"/>
      <c r="E291" s="51"/>
      <c r="F291" s="51"/>
      <c r="G291" s="51" t="str">
        <f>IFERROR(__xludf.DUMMYFUNCTION("""COMPUTED_VALUE"""),"#VALUE!")</f>
        <v>#VALUE!</v>
      </c>
      <c r="H291" s="51" t="str">
        <f>IFERROR(__xludf.DUMMYFUNCTION("""COMPUTED_VALUE"""),"")</f>
        <v/>
      </c>
      <c r="I291" s="51" t="str">
        <f>IFERROR(__xludf.DUMMYFUNCTION("""COMPUTED_VALUE"""),"#VALUE!")</f>
        <v>#VALUE!</v>
      </c>
      <c r="J291" s="51" t="str">
        <f>IFERROR(__xludf.DUMMYFUNCTION("""COMPUTED_VALUE"""),"")</f>
        <v/>
      </c>
      <c r="K291" s="51"/>
      <c r="L291" s="51" t="s">
        <v>257</v>
      </c>
      <c r="M291" s="51"/>
      <c r="N291" s="51"/>
      <c r="O291" s="51"/>
      <c r="P291" s="51"/>
      <c r="Q291" s="51"/>
      <c r="R291" s="51"/>
      <c r="S291" s="51"/>
      <c r="T291" s="51"/>
    </row>
    <row r="292">
      <c r="A292" s="51"/>
      <c r="B292" s="51"/>
      <c r="C292" s="56"/>
      <c r="D292" s="51"/>
      <c r="E292" s="51"/>
      <c r="F292" s="51"/>
      <c r="G292" s="51" t="str">
        <f>IFERROR(__xludf.DUMMYFUNCTION("""COMPUTED_VALUE"""),"#VALUE!")</f>
        <v>#VALUE!</v>
      </c>
      <c r="H292" s="51" t="str">
        <f>IFERROR(__xludf.DUMMYFUNCTION("""COMPUTED_VALUE"""),"")</f>
        <v/>
      </c>
      <c r="I292" s="51" t="str">
        <f>IFERROR(__xludf.DUMMYFUNCTION("""COMPUTED_VALUE"""),"#VALUE!")</f>
        <v>#VALUE!</v>
      </c>
      <c r="J292" s="51" t="str">
        <f>IFERROR(__xludf.DUMMYFUNCTION("""COMPUTED_VALUE"""),"")</f>
        <v/>
      </c>
      <c r="K292" s="51"/>
      <c r="L292" s="51" t="s">
        <v>257</v>
      </c>
      <c r="M292" s="51"/>
      <c r="N292" s="51"/>
      <c r="O292" s="51"/>
      <c r="P292" s="51"/>
      <c r="Q292" s="51"/>
      <c r="R292" s="51"/>
      <c r="S292" s="51"/>
      <c r="T292" s="51"/>
    </row>
    <row r="293">
      <c r="A293" s="51"/>
      <c r="B293" s="51"/>
      <c r="C293" s="56"/>
      <c r="D293" s="51"/>
      <c r="E293" s="51"/>
      <c r="F293" s="51"/>
      <c r="G293" s="51" t="str">
        <f>IFERROR(__xludf.DUMMYFUNCTION("""COMPUTED_VALUE"""),"#VALUE!")</f>
        <v>#VALUE!</v>
      </c>
      <c r="H293" s="51" t="str">
        <f>IFERROR(__xludf.DUMMYFUNCTION("""COMPUTED_VALUE"""),"")</f>
        <v/>
      </c>
      <c r="I293" s="51" t="str">
        <f>IFERROR(__xludf.DUMMYFUNCTION("""COMPUTED_VALUE"""),"#VALUE!")</f>
        <v>#VALUE!</v>
      </c>
      <c r="J293" s="51" t="str">
        <f>IFERROR(__xludf.DUMMYFUNCTION("""COMPUTED_VALUE"""),"")</f>
        <v/>
      </c>
      <c r="K293" s="51"/>
      <c r="L293" s="51" t="s">
        <v>257</v>
      </c>
      <c r="M293" s="51"/>
      <c r="N293" s="51"/>
      <c r="O293" s="51"/>
      <c r="P293" s="51"/>
      <c r="Q293" s="51"/>
      <c r="R293" s="51"/>
      <c r="S293" s="51"/>
      <c r="T293" s="51"/>
    </row>
    <row r="294">
      <c r="A294" s="51"/>
      <c r="B294" s="51"/>
      <c r="C294" s="56"/>
      <c r="D294" s="51"/>
      <c r="E294" s="51"/>
      <c r="F294" s="51"/>
      <c r="G294" s="51" t="str">
        <f>IFERROR(__xludf.DUMMYFUNCTION("""COMPUTED_VALUE"""),"#VALUE!")</f>
        <v>#VALUE!</v>
      </c>
      <c r="H294" s="51" t="str">
        <f>IFERROR(__xludf.DUMMYFUNCTION("""COMPUTED_VALUE"""),"")</f>
        <v/>
      </c>
      <c r="I294" s="51" t="str">
        <f>IFERROR(__xludf.DUMMYFUNCTION("""COMPUTED_VALUE"""),"#VALUE!")</f>
        <v>#VALUE!</v>
      </c>
      <c r="J294" s="51" t="str">
        <f>IFERROR(__xludf.DUMMYFUNCTION("""COMPUTED_VALUE"""),"")</f>
        <v/>
      </c>
      <c r="K294" s="51"/>
      <c r="L294" s="51" t="s">
        <v>257</v>
      </c>
      <c r="M294" s="51"/>
      <c r="N294" s="51"/>
      <c r="O294" s="51"/>
      <c r="P294" s="51"/>
      <c r="Q294" s="51"/>
      <c r="R294" s="51"/>
      <c r="S294" s="51"/>
      <c r="T294" s="51"/>
    </row>
    <row r="295">
      <c r="A295" s="51"/>
      <c r="B295" s="51"/>
      <c r="C295" s="56"/>
      <c r="D295" s="51"/>
      <c r="E295" s="51"/>
      <c r="F295" s="51"/>
      <c r="G295" s="51" t="str">
        <f>IFERROR(__xludf.DUMMYFUNCTION("""COMPUTED_VALUE"""),"#VALUE!")</f>
        <v>#VALUE!</v>
      </c>
      <c r="H295" s="51" t="str">
        <f>IFERROR(__xludf.DUMMYFUNCTION("""COMPUTED_VALUE"""),"")</f>
        <v/>
      </c>
      <c r="I295" s="51" t="str">
        <f>IFERROR(__xludf.DUMMYFUNCTION("""COMPUTED_VALUE"""),"#VALUE!")</f>
        <v>#VALUE!</v>
      </c>
      <c r="J295" s="51" t="str">
        <f>IFERROR(__xludf.DUMMYFUNCTION("""COMPUTED_VALUE"""),"")</f>
        <v/>
      </c>
      <c r="K295" s="51"/>
      <c r="L295" s="51" t="s">
        <v>257</v>
      </c>
      <c r="M295" s="51"/>
      <c r="N295" s="51"/>
      <c r="O295" s="51"/>
      <c r="P295" s="51"/>
      <c r="Q295" s="51"/>
      <c r="R295" s="51"/>
      <c r="S295" s="51"/>
      <c r="T295" s="51"/>
    </row>
    <row r="296">
      <c r="A296" s="51"/>
      <c r="B296" s="51"/>
      <c r="C296" s="56"/>
      <c r="D296" s="51"/>
      <c r="E296" s="51"/>
      <c r="F296" s="51"/>
      <c r="G296" s="51" t="str">
        <f>IFERROR(__xludf.DUMMYFUNCTION("""COMPUTED_VALUE"""),"#VALUE!")</f>
        <v>#VALUE!</v>
      </c>
      <c r="H296" s="51" t="str">
        <f>IFERROR(__xludf.DUMMYFUNCTION("""COMPUTED_VALUE"""),"")</f>
        <v/>
      </c>
      <c r="I296" s="51" t="str">
        <f>IFERROR(__xludf.DUMMYFUNCTION("""COMPUTED_VALUE"""),"#VALUE!")</f>
        <v>#VALUE!</v>
      </c>
      <c r="J296" s="51" t="str">
        <f>IFERROR(__xludf.DUMMYFUNCTION("""COMPUTED_VALUE"""),"")</f>
        <v/>
      </c>
      <c r="K296" s="51"/>
      <c r="L296" s="51" t="s">
        <v>257</v>
      </c>
      <c r="M296" s="51"/>
      <c r="N296" s="51"/>
      <c r="O296" s="51"/>
      <c r="P296" s="51"/>
      <c r="Q296" s="51"/>
      <c r="R296" s="51"/>
      <c r="S296" s="51"/>
      <c r="T296" s="51"/>
    </row>
    <row r="297">
      <c r="A297" s="51"/>
      <c r="B297" s="51"/>
      <c r="C297" s="56"/>
      <c r="D297" s="51"/>
      <c r="E297" s="51"/>
      <c r="F297" s="51"/>
      <c r="G297" s="51" t="str">
        <f>IFERROR(__xludf.DUMMYFUNCTION("""COMPUTED_VALUE"""),"#VALUE!")</f>
        <v>#VALUE!</v>
      </c>
      <c r="H297" s="51" t="str">
        <f>IFERROR(__xludf.DUMMYFUNCTION("""COMPUTED_VALUE"""),"")</f>
        <v/>
      </c>
      <c r="I297" s="51" t="str">
        <f>IFERROR(__xludf.DUMMYFUNCTION("""COMPUTED_VALUE"""),"#VALUE!")</f>
        <v>#VALUE!</v>
      </c>
      <c r="J297" s="51" t="str">
        <f>IFERROR(__xludf.DUMMYFUNCTION("""COMPUTED_VALUE"""),"")</f>
        <v/>
      </c>
      <c r="K297" s="51"/>
      <c r="L297" s="51" t="s">
        <v>257</v>
      </c>
      <c r="M297" s="51"/>
      <c r="N297" s="51"/>
      <c r="O297" s="51"/>
      <c r="P297" s="51"/>
      <c r="Q297" s="51"/>
      <c r="R297" s="51"/>
      <c r="S297" s="51"/>
      <c r="T297" s="51"/>
    </row>
    <row r="298">
      <c r="A298" s="51"/>
      <c r="B298" s="51"/>
      <c r="C298" s="56"/>
      <c r="D298" s="51"/>
      <c r="E298" s="51"/>
      <c r="F298" s="51"/>
      <c r="G298" s="51" t="str">
        <f>IFERROR(__xludf.DUMMYFUNCTION("""COMPUTED_VALUE"""),"#VALUE!")</f>
        <v>#VALUE!</v>
      </c>
      <c r="H298" s="51" t="str">
        <f>IFERROR(__xludf.DUMMYFUNCTION("""COMPUTED_VALUE"""),"")</f>
        <v/>
      </c>
      <c r="I298" s="51" t="str">
        <f>IFERROR(__xludf.DUMMYFUNCTION("""COMPUTED_VALUE"""),"#VALUE!")</f>
        <v>#VALUE!</v>
      </c>
      <c r="J298" s="51" t="str">
        <f>IFERROR(__xludf.DUMMYFUNCTION("""COMPUTED_VALUE"""),"")</f>
        <v/>
      </c>
      <c r="K298" s="51"/>
      <c r="L298" s="51" t="s">
        <v>257</v>
      </c>
      <c r="M298" s="51"/>
      <c r="N298" s="51"/>
      <c r="O298" s="51"/>
      <c r="P298" s="51"/>
      <c r="Q298" s="51"/>
      <c r="R298" s="51"/>
      <c r="S298" s="51"/>
      <c r="T298" s="51"/>
    </row>
    <row r="299">
      <c r="A299" s="51"/>
      <c r="B299" s="51"/>
      <c r="C299" s="56"/>
      <c r="D299" s="51"/>
      <c r="E299" s="51"/>
      <c r="F299" s="51"/>
      <c r="G299" s="51" t="str">
        <f>IFERROR(__xludf.DUMMYFUNCTION("""COMPUTED_VALUE"""),"#VALUE!")</f>
        <v>#VALUE!</v>
      </c>
      <c r="H299" s="51" t="str">
        <f>IFERROR(__xludf.DUMMYFUNCTION("""COMPUTED_VALUE"""),"")</f>
        <v/>
      </c>
      <c r="I299" s="51" t="str">
        <f>IFERROR(__xludf.DUMMYFUNCTION("""COMPUTED_VALUE"""),"#VALUE!")</f>
        <v>#VALUE!</v>
      </c>
      <c r="J299" s="51" t="str">
        <f>IFERROR(__xludf.DUMMYFUNCTION("""COMPUTED_VALUE"""),"")</f>
        <v/>
      </c>
      <c r="K299" s="51"/>
      <c r="L299" s="51" t="s">
        <v>257</v>
      </c>
      <c r="M299" s="51"/>
      <c r="N299" s="51"/>
      <c r="O299" s="51"/>
      <c r="P299" s="51"/>
      <c r="Q299" s="51"/>
      <c r="R299" s="51"/>
      <c r="S299" s="51"/>
      <c r="T299" s="51"/>
    </row>
    <row r="300">
      <c r="A300" s="51"/>
      <c r="B300" s="51"/>
      <c r="C300" s="56"/>
      <c r="D300" s="51"/>
      <c r="E300" s="51"/>
      <c r="F300" s="51"/>
      <c r="G300" s="51" t="str">
        <f>IFERROR(__xludf.DUMMYFUNCTION("""COMPUTED_VALUE"""),"#VALUE!")</f>
        <v>#VALUE!</v>
      </c>
      <c r="H300" s="51" t="str">
        <f>IFERROR(__xludf.DUMMYFUNCTION("""COMPUTED_VALUE"""),"")</f>
        <v/>
      </c>
      <c r="I300" s="51" t="str">
        <f>IFERROR(__xludf.DUMMYFUNCTION("""COMPUTED_VALUE"""),"#VALUE!")</f>
        <v>#VALUE!</v>
      </c>
      <c r="J300" s="51" t="str">
        <f>IFERROR(__xludf.DUMMYFUNCTION("""COMPUTED_VALUE"""),"")</f>
        <v/>
      </c>
      <c r="K300" s="51"/>
      <c r="L300" s="51" t="s">
        <v>257</v>
      </c>
      <c r="M300" s="51"/>
      <c r="N300" s="51"/>
      <c r="O300" s="51"/>
      <c r="P300" s="51"/>
      <c r="Q300" s="51"/>
      <c r="R300" s="51"/>
      <c r="S300" s="51"/>
      <c r="T300" s="51"/>
    </row>
    <row r="301">
      <c r="A301" s="51"/>
      <c r="B301" s="51"/>
      <c r="C301" s="56"/>
      <c r="D301" s="51"/>
      <c r="E301" s="51"/>
      <c r="F301" s="51"/>
      <c r="G301" s="51" t="str">
        <f>IFERROR(__xludf.DUMMYFUNCTION("""COMPUTED_VALUE"""),"#VALUE!")</f>
        <v>#VALUE!</v>
      </c>
      <c r="H301" s="51" t="str">
        <f>IFERROR(__xludf.DUMMYFUNCTION("""COMPUTED_VALUE"""),"")</f>
        <v/>
      </c>
      <c r="I301" s="51" t="str">
        <f>IFERROR(__xludf.DUMMYFUNCTION("""COMPUTED_VALUE"""),"#VALUE!")</f>
        <v>#VALUE!</v>
      </c>
      <c r="J301" s="51" t="str">
        <f>IFERROR(__xludf.DUMMYFUNCTION("""COMPUTED_VALUE"""),"")</f>
        <v/>
      </c>
      <c r="K301" s="51"/>
      <c r="L301" s="51" t="s">
        <v>257</v>
      </c>
      <c r="M301" s="51"/>
      <c r="N301" s="51"/>
      <c r="O301" s="51"/>
      <c r="P301" s="51"/>
      <c r="Q301" s="51"/>
      <c r="R301" s="51"/>
      <c r="S301" s="51"/>
      <c r="T301" s="51"/>
    </row>
    <row r="302">
      <c r="A302" s="51"/>
      <c r="B302" s="51"/>
      <c r="C302" s="56"/>
      <c r="D302" s="51"/>
      <c r="E302" s="51"/>
      <c r="F302" s="51"/>
      <c r="G302" s="51" t="str">
        <f>IFERROR(__xludf.DUMMYFUNCTION("""COMPUTED_VALUE"""),"#VALUE!")</f>
        <v>#VALUE!</v>
      </c>
      <c r="H302" s="51" t="str">
        <f>IFERROR(__xludf.DUMMYFUNCTION("""COMPUTED_VALUE"""),"")</f>
        <v/>
      </c>
      <c r="I302" s="51" t="str">
        <f>IFERROR(__xludf.DUMMYFUNCTION("""COMPUTED_VALUE"""),"#VALUE!")</f>
        <v>#VALUE!</v>
      </c>
      <c r="J302" s="51" t="str">
        <f>IFERROR(__xludf.DUMMYFUNCTION("""COMPUTED_VALUE"""),"")</f>
        <v/>
      </c>
      <c r="K302" s="51"/>
      <c r="L302" s="51" t="s">
        <v>257</v>
      </c>
      <c r="M302" s="51"/>
      <c r="N302" s="51"/>
      <c r="O302" s="51"/>
      <c r="P302" s="51"/>
      <c r="Q302" s="51"/>
      <c r="R302" s="51"/>
      <c r="S302" s="51"/>
      <c r="T302" s="51"/>
    </row>
    <row r="303">
      <c r="A303" s="51"/>
      <c r="B303" s="51"/>
      <c r="C303" s="56"/>
      <c r="D303" s="51"/>
      <c r="E303" s="51"/>
      <c r="F303" s="51"/>
      <c r="G303" s="51" t="str">
        <f>IFERROR(__xludf.DUMMYFUNCTION("""COMPUTED_VALUE"""),"#VALUE!")</f>
        <v>#VALUE!</v>
      </c>
      <c r="H303" s="51" t="str">
        <f>IFERROR(__xludf.DUMMYFUNCTION("""COMPUTED_VALUE"""),"")</f>
        <v/>
      </c>
      <c r="I303" s="51" t="str">
        <f>IFERROR(__xludf.DUMMYFUNCTION("""COMPUTED_VALUE"""),"#VALUE!")</f>
        <v>#VALUE!</v>
      </c>
      <c r="J303" s="51" t="str">
        <f>IFERROR(__xludf.DUMMYFUNCTION("""COMPUTED_VALUE"""),"")</f>
        <v/>
      </c>
      <c r="K303" s="51"/>
      <c r="L303" s="51" t="s">
        <v>257</v>
      </c>
      <c r="M303" s="51"/>
      <c r="N303" s="51"/>
      <c r="O303" s="51"/>
      <c r="P303" s="51"/>
      <c r="Q303" s="51"/>
      <c r="R303" s="51"/>
      <c r="S303" s="51"/>
      <c r="T303" s="51"/>
    </row>
    <row r="304">
      <c r="A304" s="51"/>
      <c r="B304" s="51"/>
      <c r="C304" s="56"/>
      <c r="D304" s="51"/>
      <c r="E304" s="51"/>
      <c r="F304" s="51"/>
      <c r="G304" s="51" t="str">
        <f>IFERROR(__xludf.DUMMYFUNCTION("""COMPUTED_VALUE"""),"#VALUE!")</f>
        <v>#VALUE!</v>
      </c>
      <c r="H304" s="51" t="str">
        <f>IFERROR(__xludf.DUMMYFUNCTION("""COMPUTED_VALUE"""),"")</f>
        <v/>
      </c>
      <c r="I304" s="51" t="str">
        <f>IFERROR(__xludf.DUMMYFUNCTION("""COMPUTED_VALUE"""),"#VALUE!")</f>
        <v>#VALUE!</v>
      </c>
      <c r="J304" s="51" t="str">
        <f>IFERROR(__xludf.DUMMYFUNCTION("""COMPUTED_VALUE"""),"")</f>
        <v/>
      </c>
      <c r="K304" s="51"/>
      <c r="L304" s="51" t="s">
        <v>257</v>
      </c>
      <c r="M304" s="51"/>
      <c r="N304" s="51"/>
      <c r="O304" s="51"/>
      <c r="P304" s="51"/>
      <c r="Q304" s="51"/>
      <c r="R304" s="51"/>
      <c r="S304" s="51"/>
      <c r="T304" s="51"/>
    </row>
    <row r="305">
      <c r="A305" s="51"/>
      <c r="B305" s="51"/>
      <c r="C305" s="56"/>
      <c r="D305" s="51"/>
      <c r="E305" s="51"/>
      <c r="F305" s="51"/>
      <c r="G305" s="51" t="str">
        <f>IFERROR(__xludf.DUMMYFUNCTION("""COMPUTED_VALUE"""),"#VALUE!")</f>
        <v>#VALUE!</v>
      </c>
      <c r="H305" s="51" t="str">
        <f>IFERROR(__xludf.DUMMYFUNCTION("""COMPUTED_VALUE"""),"")</f>
        <v/>
      </c>
      <c r="I305" s="51" t="str">
        <f>IFERROR(__xludf.DUMMYFUNCTION("""COMPUTED_VALUE"""),"#VALUE!")</f>
        <v>#VALUE!</v>
      </c>
      <c r="J305" s="51" t="str">
        <f>IFERROR(__xludf.DUMMYFUNCTION("""COMPUTED_VALUE"""),"")</f>
        <v/>
      </c>
      <c r="K305" s="51"/>
      <c r="L305" s="51" t="s">
        <v>257</v>
      </c>
      <c r="M305" s="51"/>
      <c r="N305" s="51"/>
      <c r="O305" s="51"/>
      <c r="P305" s="51"/>
      <c r="Q305" s="51"/>
      <c r="R305" s="51"/>
      <c r="S305" s="51"/>
      <c r="T305" s="51"/>
    </row>
    <row r="306">
      <c r="A306" s="51"/>
      <c r="B306" s="51"/>
      <c r="C306" s="56"/>
      <c r="D306" s="51"/>
      <c r="E306" s="51"/>
      <c r="F306" s="51"/>
      <c r="G306" s="51" t="str">
        <f>IFERROR(__xludf.DUMMYFUNCTION("""COMPUTED_VALUE"""),"#VALUE!")</f>
        <v>#VALUE!</v>
      </c>
      <c r="H306" s="51" t="str">
        <f>IFERROR(__xludf.DUMMYFUNCTION("""COMPUTED_VALUE"""),"")</f>
        <v/>
      </c>
      <c r="I306" s="51" t="str">
        <f>IFERROR(__xludf.DUMMYFUNCTION("""COMPUTED_VALUE"""),"#VALUE!")</f>
        <v>#VALUE!</v>
      </c>
      <c r="J306" s="51" t="str">
        <f>IFERROR(__xludf.DUMMYFUNCTION("""COMPUTED_VALUE"""),"")</f>
        <v/>
      </c>
      <c r="K306" s="51"/>
      <c r="L306" s="51" t="s">
        <v>257</v>
      </c>
      <c r="M306" s="51"/>
      <c r="N306" s="51"/>
      <c r="O306" s="51"/>
      <c r="P306" s="51"/>
      <c r="Q306" s="51"/>
      <c r="R306" s="51"/>
      <c r="S306" s="51"/>
      <c r="T306" s="51"/>
    </row>
    <row r="307">
      <c r="A307" s="51"/>
      <c r="B307" s="51"/>
      <c r="C307" s="56"/>
      <c r="D307" s="51"/>
      <c r="E307" s="51"/>
      <c r="F307" s="51"/>
      <c r="G307" s="51" t="str">
        <f>IFERROR(__xludf.DUMMYFUNCTION("""COMPUTED_VALUE"""),"#VALUE!")</f>
        <v>#VALUE!</v>
      </c>
      <c r="H307" s="51" t="str">
        <f>IFERROR(__xludf.DUMMYFUNCTION("""COMPUTED_VALUE"""),"")</f>
        <v/>
      </c>
      <c r="I307" s="51" t="str">
        <f>IFERROR(__xludf.DUMMYFUNCTION("""COMPUTED_VALUE"""),"#VALUE!")</f>
        <v>#VALUE!</v>
      </c>
      <c r="J307" s="51" t="str">
        <f>IFERROR(__xludf.DUMMYFUNCTION("""COMPUTED_VALUE"""),"")</f>
        <v/>
      </c>
      <c r="K307" s="51"/>
      <c r="L307" s="51" t="s">
        <v>257</v>
      </c>
      <c r="M307" s="51"/>
      <c r="N307" s="51"/>
      <c r="O307" s="51"/>
      <c r="P307" s="51"/>
      <c r="Q307" s="51"/>
      <c r="R307" s="51"/>
      <c r="S307" s="51"/>
      <c r="T307" s="51"/>
    </row>
    <row r="308">
      <c r="A308" s="51"/>
      <c r="B308" s="51"/>
      <c r="C308" s="56"/>
      <c r="D308" s="51"/>
      <c r="E308" s="51"/>
      <c r="F308" s="51"/>
      <c r="G308" s="51" t="str">
        <f>IFERROR(__xludf.DUMMYFUNCTION("""COMPUTED_VALUE"""),"#VALUE!")</f>
        <v>#VALUE!</v>
      </c>
      <c r="H308" s="51" t="str">
        <f>IFERROR(__xludf.DUMMYFUNCTION("""COMPUTED_VALUE"""),"")</f>
        <v/>
      </c>
      <c r="I308" s="51" t="str">
        <f>IFERROR(__xludf.DUMMYFUNCTION("""COMPUTED_VALUE"""),"#VALUE!")</f>
        <v>#VALUE!</v>
      </c>
      <c r="J308" s="51" t="str">
        <f>IFERROR(__xludf.DUMMYFUNCTION("""COMPUTED_VALUE"""),"")</f>
        <v/>
      </c>
      <c r="K308" s="51"/>
      <c r="L308" s="51" t="s">
        <v>257</v>
      </c>
      <c r="M308" s="51"/>
      <c r="N308" s="51"/>
      <c r="O308" s="51"/>
      <c r="P308" s="51"/>
      <c r="Q308" s="51"/>
      <c r="R308" s="51"/>
      <c r="S308" s="51"/>
      <c r="T308" s="51"/>
    </row>
    <row r="309">
      <c r="A309" s="51"/>
      <c r="B309" s="51"/>
      <c r="C309" s="56"/>
      <c r="D309" s="51"/>
      <c r="E309" s="51"/>
      <c r="F309" s="51"/>
      <c r="G309" s="51" t="str">
        <f>IFERROR(__xludf.DUMMYFUNCTION("""COMPUTED_VALUE"""),"#VALUE!")</f>
        <v>#VALUE!</v>
      </c>
      <c r="H309" s="51" t="str">
        <f>IFERROR(__xludf.DUMMYFUNCTION("""COMPUTED_VALUE"""),"")</f>
        <v/>
      </c>
      <c r="I309" s="51" t="str">
        <f>IFERROR(__xludf.DUMMYFUNCTION("""COMPUTED_VALUE"""),"#VALUE!")</f>
        <v>#VALUE!</v>
      </c>
      <c r="J309" s="51" t="str">
        <f>IFERROR(__xludf.DUMMYFUNCTION("""COMPUTED_VALUE"""),"")</f>
        <v/>
      </c>
      <c r="K309" s="51"/>
      <c r="L309" s="51" t="s">
        <v>257</v>
      </c>
      <c r="M309" s="51"/>
      <c r="N309" s="51"/>
      <c r="O309" s="51"/>
      <c r="P309" s="51"/>
      <c r="Q309" s="51"/>
      <c r="R309" s="51"/>
      <c r="S309" s="51"/>
      <c r="T309" s="51"/>
    </row>
    <row r="310">
      <c r="A310" s="51"/>
      <c r="B310" s="51"/>
      <c r="C310" s="56"/>
      <c r="D310" s="51"/>
      <c r="E310" s="51"/>
      <c r="F310" s="51"/>
      <c r="G310" s="51" t="str">
        <f>IFERROR(__xludf.DUMMYFUNCTION("""COMPUTED_VALUE"""),"#VALUE!")</f>
        <v>#VALUE!</v>
      </c>
      <c r="H310" s="51" t="str">
        <f>IFERROR(__xludf.DUMMYFUNCTION("""COMPUTED_VALUE"""),"")</f>
        <v/>
      </c>
      <c r="I310" s="51" t="str">
        <f>IFERROR(__xludf.DUMMYFUNCTION("""COMPUTED_VALUE"""),"#VALUE!")</f>
        <v>#VALUE!</v>
      </c>
      <c r="J310" s="51" t="str">
        <f>IFERROR(__xludf.DUMMYFUNCTION("""COMPUTED_VALUE"""),"")</f>
        <v/>
      </c>
      <c r="K310" s="51"/>
      <c r="L310" s="51" t="s">
        <v>257</v>
      </c>
      <c r="M310" s="51"/>
      <c r="N310" s="51"/>
      <c r="O310" s="51"/>
      <c r="P310" s="51"/>
      <c r="Q310" s="51"/>
      <c r="R310" s="51"/>
      <c r="S310" s="51"/>
      <c r="T310" s="51"/>
    </row>
    <row r="311">
      <c r="A311" s="51"/>
      <c r="B311" s="51"/>
      <c r="C311" s="56"/>
      <c r="D311" s="51"/>
      <c r="E311" s="51"/>
      <c r="F311" s="51"/>
      <c r="G311" s="51" t="str">
        <f>IFERROR(__xludf.DUMMYFUNCTION("""COMPUTED_VALUE"""),"#VALUE!")</f>
        <v>#VALUE!</v>
      </c>
      <c r="H311" s="51" t="str">
        <f>IFERROR(__xludf.DUMMYFUNCTION("""COMPUTED_VALUE"""),"")</f>
        <v/>
      </c>
      <c r="I311" s="51" t="str">
        <f>IFERROR(__xludf.DUMMYFUNCTION("""COMPUTED_VALUE"""),"#VALUE!")</f>
        <v>#VALUE!</v>
      </c>
      <c r="J311" s="51" t="str">
        <f>IFERROR(__xludf.DUMMYFUNCTION("""COMPUTED_VALUE"""),"")</f>
        <v/>
      </c>
      <c r="K311" s="51"/>
      <c r="L311" s="51" t="s">
        <v>257</v>
      </c>
      <c r="M311" s="51"/>
      <c r="N311" s="51"/>
      <c r="O311" s="51"/>
      <c r="P311" s="51"/>
      <c r="Q311" s="51"/>
      <c r="R311" s="51"/>
      <c r="S311" s="51"/>
      <c r="T311" s="51"/>
    </row>
    <row r="312">
      <c r="A312" s="51"/>
      <c r="B312" s="51"/>
      <c r="C312" s="56"/>
      <c r="D312" s="51"/>
      <c r="E312" s="51"/>
      <c r="F312" s="51"/>
      <c r="G312" s="51" t="str">
        <f>IFERROR(__xludf.DUMMYFUNCTION("""COMPUTED_VALUE"""),"#VALUE!")</f>
        <v>#VALUE!</v>
      </c>
      <c r="H312" s="51" t="str">
        <f>IFERROR(__xludf.DUMMYFUNCTION("""COMPUTED_VALUE"""),"")</f>
        <v/>
      </c>
      <c r="I312" s="51" t="str">
        <f>IFERROR(__xludf.DUMMYFUNCTION("""COMPUTED_VALUE"""),"#VALUE!")</f>
        <v>#VALUE!</v>
      </c>
      <c r="J312" s="51" t="str">
        <f>IFERROR(__xludf.DUMMYFUNCTION("""COMPUTED_VALUE"""),"")</f>
        <v/>
      </c>
      <c r="K312" s="51"/>
      <c r="L312" s="51" t="s">
        <v>257</v>
      </c>
      <c r="M312" s="51"/>
      <c r="N312" s="51"/>
      <c r="O312" s="51"/>
      <c r="P312" s="51"/>
      <c r="Q312" s="51"/>
      <c r="R312" s="51"/>
      <c r="S312" s="51"/>
      <c r="T312" s="51"/>
    </row>
    <row r="313">
      <c r="A313" s="51"/>
      <c r="B313" s="51"/>
      <c r="C313" s="56"/>
      <c r="D313" s="51"/>
      <c r="E313" s="51"/>
      <c r="F313" s="51"/>
      <c r="G313" s="51" t="str">
        <f>IFERROR(__xludf.DUMMYFUNCTION("""COMPUTED_VALUE"""),"#VALUE!")</f>
        <v>#VALUE!</v>
      </c>
      <c r="H313" s="51" t="str">
        <f>IFERROR(__xludf.DUMMYFUNCTION("""COMPUTED_VALUE"""),"")</f>
        <v/>
      </c>
      <c r="I313" s="51" t="str">
        <f>IFERROR(__xludf.DUMMYFUNCTION("""COMPUTED_VALUE"""),"#VALUE!")</f>
        <v>#VALUE!</v>
      </c>
      <c r="J313" s="51" t="str">
        <f>IFERROR(__xludf.DUMMYFUNCTION("""COMPUTED_VALUE"""),"")</f>
        <v/>
      </c>
      <c r="K313" s="51"/>
      <c r="L313" s="51" t="s">
        <v>257</v>
      </c>
      <c r="M313" s="51"/>
      <c r="N313" s="51"/>
      <c r="O313" s="51"/>
      <c r="P313" s="51"/>
      <c r="Q313" s="51"/>
      <c r="R313" s="51"/>
      <c r="S313" s="51"/>
      <c r="T313" s="51"/>
    </row>
    <row r="314">
      <c r="A314" s="51"/>
      <c r="B314" s="51"/>
      <c r="C314" s="56"/>
      <c r="D314" s="51"/>
      <c r="E314" s="51"/>
      <c r="F314" s="51"/>
      <c r="G314" s="51" t="str">
        <f>IFERROR(__xludf.DUMMYFUNCTION("""COMPUTED_VALUE"""),"#VALUE!")</f>
        <v>#VALUE!</v>
      </c>
      <c r="H314" s="51" t="str">
        <f>IFERROR(__xludf.DUMMYFUNCTION("""COMPUTED_VALUE"""),"")</f>
        <v/>
      </c>
      <c r="I314" s="51" t="str">
        <f>IFERROR(__xludf.DUMMYFUNCTION("""COMPUTED_VALUE"""),"#VALUE!")</f>
        <v>#VALUE!</v>
      </c>
      <c r="J314" s="51" t="str">
        <f>IFERROR(__xludf.DUMMYFUNCTION("""COMPUTED_VALUE"""),"")</f>
        <v/>
      </c>
      <c r="K314" s="51"/>
      <c r="L314" s="51" t="s">
        <v>257</v>
      </c>
      <c r="M314" s="51"/>
      <c r="N314" s="51"/>
      <c r="O314" s="51"/>
      <c r="P314" s="51"/>
      <c r="Q314" s="51"/>
      <c r="R314" s="51"/>
      <c r="S314" s="51"/>
      <c r="T314" s="51"/>
    </row>
    <row r="315">
      <c r="A315" s="51"/>
      <c r="B315" s="51"/>
      <c r="C315" s="56"/>
      <c r="D315" s="51"/>
      <c r="E315" s="51"/>
      <c r="F315" s="51"/>
      <c r="G315" s="51" t="str">
        <f>IFERROR(__xludf.DUMMYFUNCTION("""COMPUTED_VALUE"""),"#VALUE!")</f>
        <v>#VALUE!</v>
      </c>
      <c r="H315" s="51" t="str">
        <f>IFERROR(__xludf.DUMMYFUNCTION("""COMPUTED_VALUE"""),"")</f>
        <v/>
      </c>
      <c r="I315" s="51" t="str">
        <f>IFERROR(__xludf.DUMMYFUNCTION("""COMPUTED_VALUE"""),"#VALUE!")</f>
        <v>#VALUE!</v>
      </c>
      <c r="J315" s="51" t="str">
        <f>IFERROR(__xludf.DUMMYFUNCTION("""COMPUTED_VALUE"""),"")</f>
        <v/>
      </c>
      <c r="K315" s="51"/>
      <c r="L315" s="51" t="s">
        <v>257</v>
      </c>
      <c r="M315" s="51"/>
      <c r="N315" s="51"/>
      <c r="O315" s="51"/>
      <c r="P315" s="51"/>
      <c r="Q315" s="51"/>
      <c r="R315" s="51"/>
      <c r="S315" s="51"/>
      <c r="T315" s="51"/>
    </row>
    <row r="316">
      <c r="A316" s="51"/>
      <c r="B316" s="51"/>
      <c r="C316" s="56"/>
      <c r="D316" s="51"/>
      <c r="E316" s="51"/>
      <c r="F316" s="51"/>
      <c r="G316" s="51" t="str">
        <f>IFERROR(__xludf.DUMMYFUNCTION("""COMPUTED_VALUE"""),"#VALUE!")</f>
        <v>#VALUE!</v>
      </c>
      <c r="H316" s="51" t="str">
        <f>IFERROR(__xludf.DUMMYFUNCTION("""COMPUTED_VALUE"""),"")</f>
        <v/>
      </c>
      <c r="I316" s="51" t="str">
        <f>IFERROR(__xludf.DUMMYFUNCTION("""COMPUTED_VALUE"""),"#VALUE!")</f>
        <v>#VALUE!</v>
      </c>
      <c r="J316" s="51" t="str">
        <f>IFERROR(__xludf.DUMMYFUNCTION("""COMPUTED_VALUE"""),"")</f>
        <v/>
      </c>
      <c r="K316" s="51"/>
      <c r="L316" s="51" t="s">
        <v>257</v>
      </c>
      <c r="M316" s="51"/>
      <c r="N316" s="51"/>
      <c r="O316" s="51"/>
      <c r="P316" s="51"/>
      <c r="Q316" s="51"/>
      <c r="R316" s="51"/>
      <c r="S316" s="51"/>
      <c r="T316" s="51"/>
    </row>
    <row r="317">
      <c r="A317" s="51"/>
      <c r="B317" s="51"/>
      <c r="C317" s="56"/>
      <c r="D317" s="51"/>
      <c r="E317" s="51"/>
      <c r="F317" s="51"/>
      <c r="G317" s="51" t="str">
        <f>IFERROR(__xludf.DUMMYFUNCTION("""COMPUTED_VALUE"""),"#VALUE!")</f>
        <v>#VALUE!</v>
      </c>
      <c r="H317" s="51" t="str">
        <f>IFERROR(__xludf.DUMMYFUNCTION("""COMPUTED_VALUE"""),"")</f>
        <v/>
      </c>
      <c r="I317" s="51" t="str">
        <f>IFERROR(__xludf.DUMMYFUNCTION("""COMPUTED_VALUE"""),"#VALUE!")</f>
        <v>#VALUE!</v>
      </c>
      <c r="J317" s="51" t="str">
        <f>IFERROR(__xludf.DUMMYFUNCTION("""COMPUTED_VALUE"""),"")</f>
        <v/>
      </c>
      <c r="K317" s="51"/>
      <c r="L317" s="51" t="s">
        <v>257</v>
      </c>
      <c r="M317" s="51"/>
      <c r="N317" s="51"/>
      <c r="O317" s="51"/>
      <c r="P317" s="51"/>
      <c r="Q317" s="51"/>
      <c r="R317" s="51"/>
      <c r="S317" s="51"/>
      <c r="T317" s="51"/>
    </row>
    <row r="318">
      <c r="A318" s="51"/>
      <c r="B318" s="51"/>
      <c r="C318" s="56"/>
      <c r="D318" s="51"/>
      <c r="E318" s="51"/>
      <c r="F318" s="51"/>
      <c r="G318" s="51" t="str">
        <f>IFERROR(__xludf.DUMMYFUNCTION("""COMPUTED_VALUE"""),"#VALUE!")</f>
        <v>#VALUE!</v>
      </c>
      <c r="H318" s="51" t="str">
        <f>IFERROR(__xludf.DUMMYFUNCTION("""COMPUTED_VALUE"""),"")</f>
        <v/>
      </c>
      <c r="I318" s="51" t="str">
        <f>IFERROR(__xludf.DUMMYFUNCTION("""COMPUTED_VALUE"""),"#VALUE!")</f>
        <v>#VALUE!</v>
      </c>
      <c r="J318" s="51" t="str">
        <f>IFERROR(__xludf.DUMMYFUNCTION("""COMPUTED_VALUE"""),"")</f>
        <v/>
      </c>
      <c r="K318" s="51"/>
      <c r="L318" s="51" t="s">
        <v>257</v>
      </c>
      <c r="M318" s="51"/>
      <c r="N318" s="51"/>
      <c r="O318" s="51"/>
      <c r="P318" s="51"/>
      <c r="Q318" s="51"/>
      <c r="R318" s="51"/>
      <c r="S318" s="51"/>
      <c r="T318" s="51"/>
    </row>
    <row r="319">
      <c r="A319" s="51"/>
      <c r="B319" s="51"/>
      <c r="C319" s="56"/>
      <c r="D319" s="51"/>
      <c r="E319" s="51"/>
      <c r="F319" s="51"/>
      <c r="G319" s="51" t="str">
        <f>IFERROR(__xludf.DUMMYFUNCTION("""COMPUTED_VALUE"""),"#VALUE!")</f>
        <v>#VALUE!</v>
      </c>
      <c r="H319" s="51" t="str">
        <f>IFERROR(__xludf.DUMMYFUNCTION("""COMPUTED_VALUE"""),"")</f>
        <v/>
      </c>
      <c r="I319" s="51" t="str">
        <f>IFERROR(__xludf.DUMMYFUNCTION("""COMPUTED_VALUE"""),"#VALUE!")</f>
        <v>#VALUE!</v>
      </c>
      <c r="J319" s="51" t="str">
        <f>IFERROR(__xludf.DUMMYFUNCTION("""COMPUTED_VALUE"""),"")</f>
        <v/>
      </c>
      <c r="K319" s="51"/>
      <c r="L319" s="51" t="s">
        <v>257</v>
      </c>
      <c r="M319" s="51"/>
      <c r="N319" s="51"/>
      <c r="O319" s="51"/>
      <c r="P319" s="51"/>
      <c r="Q319" s="51"/>
      <c r="R319" s="51"/>
      <c r="S319" s="51"/>
      <c r="T319" s="51"/>
    </row>
    <row r="320">
      <c r="A320" s="51"/>
      <c r="B320" s="51"/>
      <c r="C320" s="56"/>
      <c r="D320" s="51"/>
      <c r="E320" s="51"/>
      <c r="F320" s="51"/>
      <c r="G320" s="51" t="str">
        <f>IFERROR(__xludf.DUMMYFUNCTION("""COMPUTED_VALUE"""),"#VALUE!")</f>
        <v>#VALUE!</v>
      </c>
      <c r="H320" s="51" t="str">
        <f>IFERROR(__xludf.DUMMYFUNCTION("""COMPUTED_VALUE"""),"")</f>
        <v/>
      </c>
      <c r="I320" s="51" t="str">
        <f>IFERROR(__xludf.DUMMYFUNCTION("""COMPUTED_VALUE"""),"#VALUE!")</f>
        <v>#VALUE!</v>
      </c>
      <c r="J320" s="51" t="str">
        <f>IFERROR(__xludf.DUMMYFUNCTION("""COMPUTED_VALUE"""),"")</f>
        <v/>
      </c>
      <c r="K320" s="51"/>
      <c r="L320" s="51" t="s">
        <v>257</v>
      </c>
      <c r="M320" s="51"/>
      <c r="N320" s="51"/>
      <c r="O320" s="51"/>
      <c r="P320" s="51"/>
      <c r="Q320" s="51"/>
      <c r="R320" s="51"/>
      <c r="S320" s="51"/>
      <c r="T320" s="51"/>
    </row>
    <row r="321">
      <c r="A321" s="51"/>
      <c r="B321" s="51"/>
      <c r="C321" s="56"/>
      <c r="D321" s="51"/>
      <c r="E321" s="51"/>
      <c r="F321" s="51"/>
      <c r="G321" s="51" t="str">
        <f>IFERROR(__xludf.DUMMYFUNCTION("""COMPUTED_VALUE"""),"#VALUE!")</f>
        <v>#VALUE!</v>
      </c>
      <c r="H321" s="51" t="str">
        <f>IFERROR(__xludf.DUMMYFUNCTION("""COMPUTED_VALUE"""),"")</f>
        <v/>
      </c>
      <c r="I321" s="51" t="str">
        <f>IFERROR(__xludf.DUMMYFUNCTION("""COMPUTED_VALUE"""),"#VALUE!")</f>
        <v>#VALUE!</v>
      </c>
      <c r="J321" s="51" t="str">
        <f>IFERROR(__xludf.DUMMYFUNCTION("""COMPUTED_VALUE"""),"")</f>
        <v/>
      </c>
      <c r="K321" s="51"/>
      <c r="L321" s="51" t="s">
        <v>257</v>
      </c>
      <c r="M321" s="51"/>
      <c r="N321" s="51"/>
      <c r="O321" s="51"/>
      <c r="P321" s="51"/>
      <c r="Q321" s="51"/>
      <c r="R321" s="51"/>
      <c r="S321" s="51"/>
      <c r="T321" s="51"/>
    </row>
    <row r="322">
      <c r="A322" s="51"/>
      <c r="B322" s="51"/>
      <c r="C322" s="56"/>
      <c r="D322" s="51"/>
      <c r="E322" s="51"/>
      <c r="F322" s="51"/>
      <c r="G322" s="51" t="str">
        <f>IFERROR(__xludf.DUMMYFUNCTION("""COMPUTED_VALUE"""),"#VALUE!")</f>
        <v>#VALUE!</v>
      </c>
      <c r="H322" s="51" t="str">
        <f>IFERROR(__xludf.DUMMYFUNCTION("""COMPUTED_VALUE"""),"")</f>
        <v/>
      </c>
      <c r="I322" s="51" t="str">
        <f>IFERROR(__xludf.DUMMYFUNCTION("""COMPUTED_VALUE"""),"#VALUE!")</f>
        <v>#VALUE!</v>
      </c>
      <c r="J322" s="51" t="str">
        <f>IFERROR(__xludf.DUMMYFUNCTION("""COMPUTED_VALUE"""),"")</f>
        <v/>
      </c>
      <c r="K322" s="51"/>
      <c r="L322" s="51" t="s">
        <v>257</v>
      </c>
      <c r="M322" s="51"/>
      <c r="N322" s="51"/>
      <c r="O322" s="51"/>
      <c r="P322" s="51"/>
      <c r="Q322" s="51"/>
      <c r="R322" s="51"/>
      <c r="S322" s="51"/>
      <c r="T322" s="51"/>
    </row>
    <row r="323">
      <c r="A323" s="51"/>
      <c r="B323" s="51"/>
      <c r="C323" s="56"/>
      <c r="D323" s="51"/>
      <c r="E323" s="51"/>
      <c r="F323" s="51"/>
      <c r="G323" s="51" t="str">
        <f>IFERROR(__xludf.DUMMYFUNCTION("""COMPUTED_VALUE"""),"#VALUE!")</f>
        <v>#VALUE!</v>
      </c>
      <c r="H323" s="51" t="str">
        <f>IFERROR(__xludf.DUMMYFUNCTION("""COMPUTED_VALUE"""),"")</f>
        <v/>
      </c>
      <c r="I323" s="51" t="str">
        <f>IFERROR(__xludf.DUMMYFUNCTION("""COMPUTED_VALUE"""),"#VALUE!")</f>
        <v>#VALUE!</v>
      </c>
      <c r="J323" s="51" t="str">
        <f>IFERROR(__xludf.DUMMYFUNCTION("""COMPUTED_VALUE"""),"")</f>
        <v/>
      </c>
      <c r="K323" s="51"/>
      <c r="L323" s="51" t="s">
        <v>257</v>
      </c>
      <c r="M323" s="51"/>
      <c r="N323" s="51"/>
      <c r="O323" s="51"/>
      <c r="P323" s="51"/>
      <c r="Q323" s="51"/>
      <c r="R323" s="51"/>
      <c r="S323" s="51"/>
      <c r="T323" s="51"/>
    </row>
    <row r="324">
      <c r="A324" s="51"/>
      <c r="B324" s="51"/>
      <c r="C324" s="56"/>
      <c r="D324" s="51"/>
      <c r="E324" s="51"/>
      <c r="F324" s="51"/>
      <c r="G324" s="51" t="str">
        <f>IFERROR(__xludf.DUMMYFUNCTION("""COMPUTED_VALUE"""),"#VALUE!")</f>
        <v>#VALUE!</v>
      </c>
      <c r="H324" s="51" t="str">
        <f>IFERROR(__xludf.DUMMYFUNCTION("""COMPUTED_VALUE"""),"")</f>
        <v/>
      </c>
      <c r="I324" s="51" t="str">
        <f>IFERROR(__xludf.DUMMYFUNCTION("""COMPUTED_VALUE"""),"#VALUE!")</f>
        <v>#VALUE!</v>
      </c>
      <c r="J324" s="51" t="str">
        <f>IFERROR(__xludf.DUMMYFUNCTION("""COMPUTED_VALUE"""),"")</f>
        <v/>
      </c>
      <c r="K324" s="51"/>
      <c r="L324" s="51" t="s">
        <v>257</v>
      </c>
      <c r="M324" s="51"/>
      <c r="N324" s="51"/>
      <c r="O324" s="51"/>
      <c r="P324" s="51"/>
      <c r="Q324" s="51"/>
      <c r="R324" s="51"/>
      <c r="S324" s="51"/>
      <c r="T324" s="51"/>
    </row>
    <row r="325">
      <c r="A325" s="51"/>
      <c r="B325" s="51"/>
      <c r="C325" s="56"/>
      <c r="D325" s="51"/>
      <c r="E325" s="51"/>
      <c r="F325" s="51"/>
      <c r="G325" s="51" t="str">
        <f>IFERROR(__xludf.DUMMYFUNCTION("""COMPUTED_VALUE"""),"#VALUE!")</f>
        <v>#VALUE!</v>
      </c>
      <c r="H325" s="51" t="str">
        <f>IFERROR(__xludf.DUMMYFUNCTION("""COMPUTED_VALUE"""),"")</f>
        <v/>
      </c>
      <c r="I325" s="51" t="str">
        <f>IFERROR(__xludf.DUMMYFUNCTION("""COMPUTED_VALUE"""),"#VALUE!")</f>
        <v>#VALUE!</v>
      </c>
      <c r="J325" s="51" t="str">
        <f>IFERROR(__xludf.DUMMYFUNCTION("""COMPUTED_VALUE"""),"")</f>
        <v/>
      </c>
      <c r="K325" s="51"/>
      <c r="L325" s="51" t="s">
        <v>257</v>
      </c>
      <c r="M325" s="51"/>
      <c r="N325" s="51"/>
      <c r="O325" s="51"/>
      <c r="P325" s="51"/>
      <c r="Q325" s="51"/>
      <c r="R325" s="51"/>
      <c r="S325" s="51"/>
      <c r="T325" s="51"/>
    </row>
    <row r="326">
      <c r="A326" s="51"/>
      <c r="B326" s="51"/>
      <c r="C326" s="56"/>
      <c r="D326" s="51"/>
      <c r="E326" s="51"/>
      <c r="F326" s="51"/>
      <c r="G326" s="51" t="str">
        <f>IFERROR(__xludf.DUMMYFUNCTION("""COMPUTED_VALUE"""),"#VALUE!")</f>
        <v>#VALUE!</v>
      </c>
      <c r="H326" s="51" t="str">
        <f>IFERROR(__xludf.DUMMYFUNCTION("""COMPUTED_VALUE"""),"")</f>
        <v/>
      </c>
      <c r="I326" s="51" t="str">
        <f>IFERROR(__xludf.DUMMYFUNCTION("""COMPUTED_VALUE"""),"#VALUE!")</f>
        <v>#VALUE!</v>
      </c>
      <c r="J326" s="51" t="str">
        <f>IFERROR(__xludf.DUMMYFUNCTION("""COMPUTED_VALUE"""),"")</f>
        <v/>
      </c>
      <c r="K326" s="51"/>
      <c r="L326" s="51" t="s">
        <v>257</v>
      </c>
      <c r="M326" s="51"/>
      <c r="N326" s="51"/>
      <c r="O326" s="51"/>
      <c r="P326" s="51"/>
      <c r="Q326" s="51"/>
      <c r="R326" s="51"/>
      <c r="S326" s="51"/>
      <c r="T326" s="51"/>
    </row>
    <row r="327">
      <c r="A327" s="51"/>
      <c r="B327" s="51"/>
      <c r="C327" s="56"/>
      <c r="D327" s="51"/>
      <c r="E327" s="51"/>
      <c r="F327" s="51"/>
      <c r="G327" s="51" t="str">
        <f>IFERROR(__xludf.DUMMYFUNCTION("""COMPUTED_VALUE"""),"#VALUE!")</f>
        <v>#VALUE!</v>
      </c>
      <c r="H327" s="51" t="str">
        <f>IFERROR(__xludf.DUMMYFUNCTION("""COMPUTED_VALUE"""),"")</f>
        <v/>
      </c>
      <c r="I327" s="51" t="str">
        <f>IFERROR(__xludf.DUMMYFUNCTION("""COMPUTED_VALUE"""),"#VALUE!")</f>
        <v>#VALUE!</v>
      </c>
      <c r="J327" s="51" t="str">
        <f>IFERROR(__xludf.DUMMYFUNCTION("""COMPUTED_VALUE"""),"")</f>
        <v/>
      </c>
      <c r="K327" s="51"/>
      <c r="L327" s="51" t="s">
        <v>257</v>
      </c>
      <c r="M327" s="51"/>
      <c r="N327" s="51"/>
      <c r="O327" s="51"/>
      <c r="P327" s="51"/>
      <c r="Q327" s="51"/>
      <c r="R327" s="51"/>
      <c r="S327" s="51"/>
      <c r="T327" s="51"/>
    </row>
    <row r="328">
      <c r="A328" s="51"/>
      <c r="B328" s="51"/>
      <c r="C328" s="56"/>
      <c r="D328" s="51"/>
      <c r="E328" s="51"/>
      <c r="F328" s="51"/>
      <c r="G328" s="51" t="str">
        <f>IFERROR(__xludf.DUMMYFUNCTION("""COMPUTED_VALUE"""),"#VALUE!")</f>
        <v>#VALUE!</v>
      </c>
      <c r="H328" s="51" t="str">
        <f>IFERROR(__xludf.DUMMYFUNCTION("""COMPUTED_VALUE"""),"")</f>
        <v/>
      </c>
      <c r="I328" s="51" t="str">
        <f>IFERROR(__xludf.DUMMYFUNCTION("""COMPUTED_VALUE"""),"#VALUE!")</f>
        <v>#VALUE!</v>
      </c>
      <c r="J328" s="51" t="str">
        <f>IFERROR(__xludf.DUMMYFUNCTION("""COMPUTED_VALUE"""),"")</f>
        <v/>
      </c>
      <c r="K328" s="51"/>
      <c r="L328" s="51" t="s">
        <v>257</v>
      </c>
      <c r="M328" s="51"/>
      <c r="N328" s="51"/>
      <c r="O328" s="51"/>
      <c r="P328" s="51"/>
      <c r="Q328" s="51"/>
      <c r="R328" s="51"/>
      <c r="S328" s="51"/>
      <c r="T328" s="51"/>
    </row>
    <row r="329">
      <c r="A329" s="51"/>
      <c r="B329" s="51"/>
      <c r="C329" s="56"/>
      <c r="D329" s="51"/>
      <c r="E329" s="51"/>
      <c r="F329" s="51"/>
      <c r="G329" s="51" t="str">
        <f>IFERROR(__xludf.DUMMYFUNCTION("""COMPUTED_VALUE"""),"#VALUE!")</f>
        <v>#VALUE!</v>
      </c>
      <c r="H329" s="51" t="str">
        <f>IFERROR(__xludf.DUMMYFUNCTION("""COMPUTED_VALUE"""),"")</f>
        <v/>
      </c>
      <c r="I329" s="51" t="str">
        <f>IFERROR(__xludf.DUMMYFUNCTION("""COMPUTED_VALUE"""),"#VALUE!")</f>
        <v>#VALUE!</v>
      </c>
      <c r="J329" s="51" t="str">
        <f>IFERROR(__xludf.DUMMYFUNCTION("""COMPUTED_VALUE"""),"")</f>
        <v/>
      </c>
      <c r="K329" s="51"/>
      <c r="L329" s="51" t="s">
        <v>257</v>
      </c>
      <c r="M329" s="51"/>
      <c r="N329" s="51"/>
      <c r="O329" s="51"/>
      <c r="P329" s="51"/>
      <c r="Q329" s="51"/>
      <c r="R329" s="51"/>
      <c r="S329" s="51"/>
      <c r="T329" s="51"/>
    </row>
    <row r="330">
      <c r="A330" s="51"/>
      <c r="B330" s="51"/>
      <c r="C330" s="56"/>
      <c r="D330" s="51"/>
      <c r="E330" s="51"/>
      <c r="F330" s="51"/>
      <c r="G330" s="51" t="str">
        <f>IFERROR(__xludf.DUMMYFUNCTION("""COMPUTED_VALUE"""),"#VALUE!")</f>
        <v>#VALUE!</v>
      </c>
      <c r="H330" s="51" t="str">
        <f>IFERROR(__xludf.DUMMYFUNCTION("""COMPUTED_VALUE"""),"")</f>
        <v/>
      </c>
      <c r="I330" s="51" t="str">
        <f>IFERROR(__xludf.DUMMYFUNCTION("""COMPUTED_VALUE"""),"#VALUE!")</f>
        <v>#VALUE!</v>
      </c>
      <c r="J330" s="51" t="str">
        <f>IFERROR(__xludf.DUMMYFUNCTION("""COMPUTED_VALUE"""),"")</f>
        <v/>
      </c>
      <c r="K330" s="51"/>
      <c r="L330" s="51" t="s">
        <v>257</v>
      </c>
      <c r="M330" s="51"/>
      <c r="N330" s="51"/>
      <c r="O330" s="51"/>
      <c r="P330" s="51"/>
      <c r="Q330" s="51"/>
      <c r="R330" s="51"/>
      <c r="S330" s="51"/>
      <c r="T330" s="51"/>
    </row>
    <row r="331">
      <c r="A331" s="51"/>
      <c r="B331" s="51"/>
      <c r="C331" s="56"/>
      <c r="D331" s="51"/>
      <c r="E331" s="51"/>
      <c r="F331" s="51"/>
      <c r="G331" s="51" t="str">
        <f>IFERROR(__xludf.DUMMYFUNCTION("""COMPUTED_VALUE"""),"#VALUE!")</f>
        <v>#VALUE!</v>
      </c>
      <c r="H331" s="51" t="str">
        <f>IFERROR(__xludf.DUMMYFUNCTION("""COMPUTED_VALUE"""),"")</f>
        <v/>
      </c>
      <c r="I331" s="51" t="str">
        <f>IFERROR(__xludf.DUMMYFUNCTION("""COMPUTED_VALUE"""),"#VALUE!")</f>
        <v>#VALUE!</v>
      </c>
      <c r="J331" s="51" t="str">
        <f>IFERROR(__xludf.DUMMYFUNCTION("""COMPUTED_VALUE"""),"")</f>
        <v/>
      </c>
      <c r="K331" s="51"/>
      <c r="L331" s="51" t="s">
        <v>257</v>
      </c>
      <c r="M331" s="51"/>
      <c r="N331" s="51"/>
      <c r="O331" s="51"/>
      <c r="P331" s="51"/>
      <c r="Q331" s="51"/>
      <c r="R331" s="51"/>
      <c r="S331" s="51"/>
      <c r="T331" s="51"/>
    </row>
    <row r="332">
      <c r="A332" s="51"/>
      <c r="B332" s="51"/>
      <c r="C332" s="56"/>
      <c r="D332" s="51"/>
      <c r="E332" s="51"/>
      <c r="F332" s="51"/>
      <c r="G332" s="51" t="str">
        <f>IFERROR(__xludf.DUMMYFUNCTION("""COMPUTED_VALUE"""),"#VALUE!")</f>
        <v>#VALUE!</v>
      </c>
      <c r="H332" s="51" t="str">
        <f>IFERROR(__xludf.DUMMYFUNCTION("""COMPUTED_VALUE"""),"")</f>
        <v/>
      </c>
      <c r="I332" s="51" t="str">
        <f>IFERROR(__xludf.DUMMYFUNCTION("""COMPUTED_VALUE"""),"#VALUE!")</f>
        <v>#VALUE!</v>
      </c>
      <c r="J332" s="51" t="str">
        <f>IFERROR(__xludf.DUMMYFUNCTION("""COMPUTED_VALUE"""),"")</f>
        <v/>
      </c>
      <c r="K332" s="51"/>
      <c r="L332" s="51" t="s">
        <v>257</v>
      </c>
      <c r="M332" s="51"/>
      <c r="N332" s="51"/>
      <c r="O332" s="51"/>
      <c r="P332" s="51"/>
      <c r="Q332" s="51"/>
      <c r="R332" s="51"/>
      <c r="S332" s="51"/>
      <c r="T332" s="51"/>
    </row>
    <row r="333">
      <c r="A333" s="51"/>
      <c r="B333" s="51"/>
      <c r="C333" s="56"/>
      <c r="D333" s="51"/>
      <c r="E333" s="51"/>
      <c r="F333" s="51"/>
      <c r="G333" s="51" t="str">
        <f>IFERROR(__xludf.DUMMYFUNCTION("""COMPUTED_VALUE"""),"#VALUE!")</f>
        <v>#VALUE!</v>
      </c>
      <c r="H333" s="51" t="str">
        <f>IFERROR(__xludf.DUMMYFUNCTION("""COMPUTED_VALUE"""),"")</f>
        <v/>
      </c>
      <c r="I333" s="51" t="str">
        <f>IFERROR(__xludf.DUMMYFUNCTION("""COMPUTED_VALUE"""),"#VALUE!")</f>
        <v>#VALUE!</v>
      </c>
      <c r="J333" s="51" t="str">
        <f>IFERROR(__xludf.DUMMYFUNCTION("""COMPUTED_VALUE"""),"")</f>
        <v/>
      </c>
      <c r="K333" s="51"/>
      <c r="L333" s="51" t="s">
        <v>257</v>
      </c>
      <c r="M333" s="51"/>
      <c r="N333" s="51"/>
      <c r="O333" s="51"/>
      <c r="P333" s="51"/>
      <c r="Q333" s="51"/>
      <c r="R333" s="51"/>
      <c r="S333" s="51"/>
      <c r="T333" s="51"/>
    </row>
    <row r="334">
      <c r="A334" s="51"/>
      <c r="B334" s="51"/>
      <c r="C334" s="56"/>
      <c r="D334" s="51"/>
      <c r="E334" s="51"/>
      <c r="F334" s="51"/>
      <c r="G334" s="51" t="str">
        <f>IFERROR(__xludf.DUMMYFUNCTION("""COMPUTED_VALUE"""),"#VALUE!")</f>
        <v>#VALUE!</v>
      </c>
      <c r="H334" s="51" t="str">
        <f>IFERROR(__xludf.DUMMYFUNCTION("""COMPUTED_VALUE"""),"")</f>
        <v/>
      </c>
      <c r="I334" s="51" t="str">
        <f>IFERROR(__xludf.DUMMYFUNCTION("""COMPUTED_VALUE"""),"#VALUE!")</f>
        <v>#VALUE!</v>
      </c>
      <c r="J334" s="51" t="str">
        <f>IFERROR(__xludf.DUMMYFUNCTION("""COMPUTED_VALUE"""),"")</f>
        <v/>
      </c>
      <c r="K334" s="51"/>
      <c r="L334" s="51" t="s">
        <v>257</v>
      </c>
      <c r="M334" s="51"/>
      <c r="N334" s="51"/>
      <c r="O334" s="51"/>
      <c r="P334" s="51"/>
      <c r="Q334" s="51"/>
      <c r="R334" s="51"/>
      <c r="S334" s="51"/>
      <c r="T334" s="51"/>
    </row>
    <row r="335">
      <c r="A335" s="51"/>
      <c r="B335" s="51"/>
      <c r="C335" s="56"/>
      <c r="D335" s="51"/>
      <c r="E335" s="51"/>
      <c r="F335" s="51"/>
      <c r="G335" s="51" t="str">
        <f>IFERROR(__xludf.DUMMYFUNCTION("""COMPUTED_VALUE"""),"#VALUE!")</f>
        <v>#VALUE!</v>
      </c>
      <c r="H335" s="51" t="str">
        <f>IFERROR(__xludf.DUMMYFUNCTION("""COMPUTED_VALUE"""),"")</f>
        <v/>
      </c>
      <c r="I335" s="51" t="str">
        <f>IFERROR(__xludf.DUMMYFUNCTION("""COMPUTED_VALUE"""),"#VALUE!")</f>
        <v>#VALUE!</v>
      </c>
      <c r="J335" s="51" t="str">
        <f>IFERROR(__xludf.DUMMYFUNCTION("""COMPUTED_VALUE"""),"")</f>
        <v/>
      </c>
      <c r="K335" s="51"/>
      <c r="L335" s="51" t="s">
        <v>257</v>
      </c>
      <c r="M335" s="51"/>
      <c r="N335" s="51"/>
      <c r="O335" s="51"/>
      <c r="P335" s="51"/>
      <c r="Q335" s="51"/>
      <c r="R335" s="51"/>
      <c r="S335" s="51"/>
      <c r="T335" s="51"/>
    </row>
    <row r="336">
      <c r="A336" s="51"/>
      <c r="B336" s="51"/>
      <c r="C336" s="56"/>
      <c r="D336" s="51"/>
      <c r="E336" s="51"/>
      <c r="F336" s="51"/>
      <c r="G336" s="51" t="str">
        <f>IFERROR(__xludf.DUMMYFUNCTION("""COMPUTED_VALUE"""),"#VALUE!")</f>
        <v>#VALUE!</v>
      </c>
      <c r="H336" s="51" t="str">
        <f>IFERROR(__xludf.DUMMYFUNCTION("""COMPUTED_VALUE"""),"")</f>
        <v/>
      </c>
      <c r="I336" s="51" t="str">
        <f>IFERROR(__xludf.DUMMYFUNCTION("""COMPUTED_VALUE"""),"#VALUE!")</f>
        <v>#VALUE!</v>
      </c>
      <c r="J336" s="51" t="str">
        <f>IFERROR(__xludf.DUMMYFUNCTION("""COMPUTED_VALUE"""),"")</f>
        <v/>
      </c>
      <c r="K336" s="51"/>
      <c r="L336" s="51" t="s">
        <v>257</v>
      </c>
      <c r="M336" s="51"/>
      <c r="N336" s="51"/>
      <c r="O336" s="51"/>
      <c r="P336" s="51"/>
      <c r="Q336" s="51"/>
      <c r="R336" s="51"/>
      <c r="S336" s="51"/>
      <c r="T336" s="51"/>
    </row>
    <row r="337">
      <c r="A337" s="51"/>
      <c r="B337" s="51"/>
      <c r="C337" s="56"/>
      <c r="D337" s="51"/>
      <c r="E337" s="51"/>
      <c r="F337" s="51"/>
      <c r="G337" s="51" t="str">
        <f>IFERROR(__xludf.DUMMYFUNCTION("""COMPUTED_VALUE"""),"#VALUE!")</f>
        <v>#VALUE!</v>
      </c>
      <c r="H337" s="51" t="str">
        <f>IFERROR(__xludf.DUMMYFUNCTION("""COMPUTED_VALUE"""),"")</f>
        <v/>
      </c>
      <c r="I337" s="51" t="str">
        <f>IFERROR(__xludf.DUMMYFUNCTION("""COMPUTED_VALUE"""),"#VALUE!")</f>
        <v>#VALUE!</v>
      </c>
      <c r="J337" s="51" t="str">
        <f>IFERROR(__xludf.DUMMYFUNCTION("""COMPUTED_VALUE"""),"")</f>
        <v/>
      </c>
      <c r="K337" s="51"/>
      <c r="L337" s="51" t="s">
        <v>257</v>
      </c>
      <c r="M337" s="51"/>
      <c r="N337" s="51"/>
      <c r="O337" s="51"/>
      <c r="P337" s="51"/>
      <c r="Q337" s="51"/>
      <c r="R337" s="51"/>
      <c r="S337" s="51"/>
      <c r="T337" s="51"/>
    </row>
    <row r="338">
      <c r="A338" s="51"/>
      <c r="B338" s="51"/>
      <c r="C338" s="56"/>
      <c r="D338" s="51"/>
      <c r="E338" s="51"/>
      <c r="F338" s="51"/>
      <c r="G338" s="51" t="str">
        <f>IFERROR(__xludf.DUMMYFUNCTION("""COMPUTED_VALUE"""),"#VALUE!")</f>
        <v>#VALUE!</v>
      </c>
      <c r="H338" s="51" t="str">
        <f>IFERROR(__xludf.DUMMYFUNCTION("""COMPUTED_VALUE"""),"")</f>
        <v/>
      </c>
      <c r="I338" s="51" t="str">
        <f>IFERROR(__xludf.DUMMYFUNCTION("""COMPUTED_VALUE"""),"#VALUE!")</f>
        <v>#VALUE!</v>
      </c>
      <c r="J338" s="51" t="str">
        <f>IFERROR(__xludf.DUMMYFUNCTION("""COMPUTED_VALUE"""),"")</f>
        <v/>
      </c>
      <c r="K338" s="51"/>
      <c r="L338" s="51" t="s">
        <v>257</v>
      </c>
      <c r="M338" s="51"/>
      <c r="N338" s="51"/>
      <c r="O338" s="51"/>
      <c r="P338" s="51"/>
      <c r="Q338" s="51"/>
      <c r="R338" s="51"/>
      <c r="S338" s="51"/>
      <c r="T338" s="51"/>
    </row>
    <row r="339">
      <c r="A339" s="51"/>
      <c r="B339" s="51"/>
      <c r="C339" s="56"/>
      <c r="D339" s="51"/>
      <c r="E339" s="51"/>
      <c r="F339" s="51"/>
      <c r="G339" s="51" t="str">
        <f>IFERROR(__xludf.DUMMYFUNCTION("""COMPUTED_VALUE"""),"#VALUE!")</f>
        <v>#VALUE!</v>
      </c>
      <c r="H339" s="51" t="str">
        <f>IFERROR(__xludf.DUMMYFUNCTION("""COMPUTED_VALUE"""),"")</f>
        <v/>
      </c>
      <c r="I339" s="51" t="str">
        <f>IFERROR(__xludf.DUMMYFUNCTION("""COMPUTED_VALUE"""),"#VALUE!")</f>
        <v>#VALUE!</v>
      </c>
      <c r="J339" s="51" t="str">
        <f>IFERROR(__xludf.DUMMYFUNCTION("""COMPUTED_VALUE"""),"")</f>
        <v/>
      </c>
      <c r="K339" s="51"/>
      <c r="L339" s="51" t="s">
        <v>257</v>
      </c>
      <c r="M339" s="51"/>
      <c r="N339" s="51"/>
      <c r="O339" s="51"/>
      <c r="P339" s="51"/>
      <c r="Q339" s="51"/>
      <c r="R339" s="51"/>
      <c r="S339" s="51"/>
      <c r="T339" s="51"/>
    </row>
    <row r="340">
      <c r="A340" s="51"/>
      <c r="B340" s="51"/>
      <c r="C340" s="56"/>
      <c r="D340" s="51"/>
      <c r="E340" s="51"/>
      <c r="F340" s="51"/>
      <c r="G340" s="51" t="str">
        <f>IFERROR(__xludf.DUMMYFUNCTION("""COMPUTED_VALUE"""),"#VALUE!")</f>
        <v>#VALUE!</v>
      </c>
      <c r="H340" s="51" t="str">
        <f>IFERROR(__xludf.DUMMYFUNCTION("""COMPUTED_VALUE"""),"")</f>
        <v/>
      </c>
      <c r="I340" s="51" t="str">
        <f>IFERROR(__xludf.DUMMYFUNCTION("""COMPUTED_VALUE"""),"#VALUE!")</f>
        <v>#VALUE!</v>
      </c>
      <c r="J340" s="51" t="str">
        <f>IFERROR(__xludf.DUMMYFUNCTION("""COMPUTED_VALUE"""),"")</f>
        <v/>
      </c>
      <c r="K340" s="51"/>
      <c r="L340" s="51" t="s">
        <v>257</v>
      </c>
      <c r="M340" s="51"/>
      <c r="N340" s="51"/>
      <c r="O340" s="51"/>
      <c r="P340" s="51"/>
      <c r="Q340" s="51"/>
      <c r="R340" s="51"/>
      <c r="S340" s="51"/>
      <c r="T340" s="51"/>
    </row>
    <row r="341">
      <c r="A341" s="51"/>
      <c r="B341" s="51"/>
      <c r="C341" s="56"/>
      <c r="D341" s="51"/>
      <c r="E341" s="51"/>
      <c r="F341" s="51"/>
      <c r="G341" s="51" t="str">
        <f>IFERROR(__xludf.DUMMYFUNCTION("""COMPUTED_VALUE"""),"#VALUE!")</f>
        <v>#VALUE!</v>
      </c>
      <c r="H341" s="51" t="str">
        <f>IFERROR(__xludf.DUMMYFUNCTION("""COMPUTED_VALUE"""),"")</f>
        <v/>
      </c>
      <c r="I341" s="51" t="str">
        <f>IFERROR(__xludf.DUMMYFUNCTION("""COMPUTED_VALUE"""),"#VALUE!")</f>
        <v>#VALUE!</v>
      </c>
      <c r="J341" s="51" t="str">
        <f>IFERROR(__xludf.DUMMYFUNCTION("""COMPUTED_VALUE"""),"")</f>
        <v/>
      </c>
      <c r="K341" s="51"/>
      <c r="L341" s="51" t="s">
        <v>257</v>
      </c>
      <c r="M341" s="51"/>
      <c r="N341" s="51"/>
      <c r="O341" s="51"/>
      <c r="P341" s="51"/>
      <c r="Q341" s="51"/>
      <c r="R341" s="51"/>
      <c r="S341" s="51"/>
      <c r="T341" s="51"/>
    </row>
    <row r="342">
      <c r="A342" s="51"/>
      <c r="B342" s="51"/>
      <c r="C342" s="56"/>
      <c r="D342" s="51"/>
      <c r="E342" s="51"/>
      <c r="F342" s="51"/>
      <c r="G342" s="51" t="str">
        <f>IFERROR(__xludf.DUMMYFUNCTION("""COMPUTED_VALUE"""),"#VALUE!")</f>
        <v>#VALUE!</v>
      </c>
      <c r="H342" s="51" t="str">
        <f>IFERROR(__xludf.DUMMYFUNCTION("""COMPUTED_VALUE"""),"")</f>
        <v/>
      </c>
      <c r="I342" s="51" t="str">
        <f>IFERROR(__xludf.DUMMYFUNCTION("""COMPUTED_VALUE"""),"#VALUE!")</f>
        <v>#VALUE!</v>
      </c>
      <c r="J342" s="51" t="str">
        <f>IFERROR(__xludf.DUMMYFUNCTION("""COMPUTED_VALUE"""),"")</f>
        <v/>
      </c>
      <c r="K342" s="51"/>
      <c r="L342" s="51" t="s">
        <v>257</v>
      </c>
      <c r="M342" s="51"/>
      <c r="N342" s="51"/>
      <c r="O342" s="51"/>
      <c r="P342" s="51"/>
      <c r="Q342" s="51"/>
      <c r="R342" s="51"/>
      <c r="S342" s="51"/>
      <c r="T342" s="51"/>
    </row>
    <row r="343">
      <c r="A343" s="51"/>
      <c r="B343" s="51"/>
      <c r="C343" s="56"/>
      <c r="D343" s="51"/>
      <c r="E343" s="51"/>
      <c r="F343" s="51"/>
      <c r="G343" s="51" t="str">
        <f>IFERROR(__xludf.DUMMYFUNCTION("""COMPUTED_VALUE"""),"#VALUE!")</f>
        <v>#VALUE!</v>
      </c>
      <c r="H343" s="51" t="str">
        <f>IFERROR(__xludf.DUMMYFUNCTION("""COMPUTED_VALUE"""),"")</f>
        <v/>
      </c>
      <c r="I343" s="51" t="str">
        <f>IFERROR(__xludf.DUMMYFUNCTION("""COMPUTED_VALUE"""),"#VALUE!")</f>
        <v>#VALUE!</v>
      </c>
      <c r="J343" s="51" t="str">
        <f>IFERROR(__xludf.DUMMYFUNCTION("""COMPUTED_VALUE"""),"")</f>
        <v/>
      </c>
      <c r="K343" s="51"/>
      <c r="L343" s="51" t="s">
        <v>257</v>
      </c>
      <c r="M343" s="51"/>
      <c r="N343" s="51"/>
      <c r="O343" s="51"/>
      <c r="P343" s="51"/>
      <c r="Q343" s="51"/>
      <c r="R343" s="51"/>
      <c r="S343" s="51"/>
      <c r="T343" s="51"/>
    </row>
    <row r="344">
      <c r="A344" s="51"/>
      <c r="B344" s="51"/>
      <c r="C344" s="56"/>
      <c r="D344" s="51"/>
      <c r="E344" s="51"/>
      <c r="F344" s="51"/>
      <c r="G344" s="51" t="str">
        <f>IFERROR(__xludf.DUMMYFUNCTION("""COMPUTED_VALUE"""),"#VALUE!")</f>
        <v>#VALUE!</v>
      </c>
      <c r="H344" s="51" t="str">
        <f>IFERROR(__xludf.DUMMYFUNCTION("""COMPUTED_VALUE"""),"")</f>
        <v/>
      </c>
      <c r="I344" s="51" t="str">
        <f>IFERROR(__xludf.DUMMYFUNCTION("""COMPUTED_VALUE"""),"#VALUE!")</f>
        <v>#VALUE!</v>
      </c>
      <c r="J344" s="51" t="str">
        <f>IFERROR(__xludf.DUMMYFUNCTION("""COMPUTED_VALUE"""),"")</f>
        <v/>
      </c>
      <c r="K344" s="51"/>
      <c r="L344" s="51" t="s">
        <v>257</v>
      </c>
      <c r="M344" s="51"/>
      <c r="N344" s="51"/>
      <c r="O344" s="51"/>
      <c r="P344" s="51"/>
      <c r="Q344" s="51"/>
      <c r="R344" s="51"/>
      <c r="S344" s="51"/>
      <c r="T344" s="51"/>
    </row>
    <row r="345">
      <c r="A345" s="51"/>
      <c r="B345" s="51"/>
      <c r="C345" s="56"/>
      <c r="D345" s="51"/>
      <c r="E345" s="51"/>
      <c r="F345" s="51"/>
      <c r="G345" s="51" t="str">
        <f>IFERROR(__xludf.DUMMYFUNCTION("""COMPUTED_VALUE"""),"#VALUE!")</f>
        <v>#VALUE!</v>
      </c>
      <c r="H345" s="51" t="str">
        <f>IFERROR(__xludf.DUMMYFUNCTION("""COMPUTED_VALUE"""),"")</f>
        <v/>
      </c>
      <c r="I345" s="51" t="str">
        <f>IFERROR(__xludf.DUMMYFUNCTION("""COMPUTED_VALUE"""),"#VALUE!")</f>
        <v>#VALUE!</v>
      </c>
      <c r="J345" s="51" t="str">
        <f>IFERROR(__xludf.DUMMYFUNCTION("""COMPUTED_VALUE"""),"")</f>
        <v/>
      </c>
      <c r="K345" s="51"/>
      <c r="L345" s="51" t="s">
        <v>257</v>
      </c>
      <c r="M345" s="51"/>
      <c r="N345" s="51"/>
      <c r="O345" s="51"/>
      <c r="P345" s="51"/>
      <c r="Q345" s="51"/>
      <c r="R345" s="51"/>
      <c r="S345" s="51"/>
      <c r="T345" s="51"/>
    </row>
    <row r="346">
      <c r="A346" s="51"/>
      <c r="B346" s="51"/>
      <c r="C346" s="56"/>
      <c r="D346" s="51"/>
      <c r="E346" s="51"/>
      <c r="F346" s="51"/>
      <c r="G346" s="51" t="str">
        <f>IFERROR(__xludf.DUMMYFUNCTION("""COMPUTED_VALUE"""),"#VALUE!")</f>
        <v>#VALUE!</v>
      </c>
      <c r="H346" s="51" t="str">
        <f>IFERROR(__xludf.DUMMYFUNCTION("""COMPUTED_VALUE"""),"")</f>
        <v/>
      </c>
      <c r="I346" s="51" t="str">
        <f>IFERROR(__xludf.DUMMYFUNCTION("""COMPUTED_VALUE"""),"#VALUE!")</f>
        <v>#VALUE!</v>
      </c>
      <c r="J346" s="51" t="str">
        <f>IFERROR(__xludf.DUMMYFUNCTION("""COMPUTED_VALUE"""),"")</f>
        <v/>
      </c>
      <c r="K346" s="51"/>
      <c r="L346" s="51" t="s">
        <v>257</v>
      </c>
      <c r="M346" s="51"/>
      <c r="N346" s="51"/>
      <c r="O346" s="51"/>
      <c r="P346" s="51"/>
      <c r="Q346" s="51"/>
      <c r="R346" s="51"/>
      <c r="S346" s="51"/>
      <c r="T346" s="51"/>
    </row>
    <row r="347">
      <c r="A347" s="51"/>
      <c r="B347" s="51"/>
      <c r="C347" s="56"/>
      <c r="D347" s="51"/>
      <c r="E347" s="51"/>
      <c r="F347" s="51"/>
      <c r="G347" s="51" t="str">
        <f>IFERROR(__xludf.DUMMYFUNCTION("""COMPUTED_VALUE"""),"#VALUE!")</f>
        <v>#VALUE!</v>
      </c>
      <c r="H347" s="51" t="str">
        <f>IFERROR(__xludf.DUMMYFUNCTION("""COMPUTED_VALUE"""),"")</f>
        <v/>
      </c>
      <c r="I347" s="51" t="str">
        <f>IFERROR(__xludf.DUMMYFUNCTION("""COMPUTED_VALUE"""),"#VALUE!")</f>
        <v>#VALUE!</v>
      </c>
      <c r="J347" s="51" t="str">
        <f>IFERROR(__xludf.DUMMYFUNCTION("""COMPUTED_VALUE"""),"")</f>
        <v/>
      </c>
      <c r="K347" s="51"/>
      <c r="L347" s="51" t="s">
        <v>257</v>
      </c>
      <c r="M347" s="51"/>
      <c r="N347" s="51"/>
      <c r="O347" s="51"/>
      <c r="P347" s="51"/>
      <c r="Q347" s="51"/>
      <c r="R347" s="51"/>
      <c r="S347" s="51"/>
      <c r="T347" s="51"/>
    </row>
    <row r="348">
      <c r="A348" s="51"/>
      <c r="B348" s="51"/>
      <c r="C348" s="56"/>
      <c r="D348" s="51"/>
      <c r="E348" s="51"/>
      <c r="F348" s="51"/>
      <c r="G348" s="51" t="str">
        <f>IFERROR(__xludf.DUMMYFUNCTION("""COMPUTED_VALUE"""),"#VALUE!")</f>
        <v>#VALUE!</v>
      </c>
      <c r="H348" s="51" t="str">
        <f>IFERROR(__xludf.DUMMYFUNCTION("""COMPUTED_VALUE"""),"")</f>
        <v/>
      </c>
      <c r="I348" s="51" t="str">
        <f>IFERROR(__xludf.DUMMYFUNCTION("""COMPUTED_VALUE"""),"#VALUE!")</f>
        <v>#VALUE!</v>
      </c>
      <c r="J348" s="51" t="str">
        <f>IFERROR(__xludf.DUMMYFUNCTION("""COMPUTED_VALUE"""),"")</f>
        <v/>
      </c>
      <c r="K348" s="51"/>
      <c r="L348" s="51" t="s">
        <v>257</v>
      </c>
      <c r="M348" s="51"/>
      <c r="N348" s="51"/>
      <c r="O348" s="51"/>
      <c r="P348" s="51"/>
      <c r="Q348" s="51"/>
      <c r="R348" s="51"/>
      <c r="S348" s="51"/>
      <c r="T348" s="51"/>
    </row>
    <row r="349">
      <c r="A349" s="51"/>
      <c r="B349" s="51"/>
      <c r="C349" s="56"/>
      <c r="D349" s="51"/>
      <c r="E349" s="51"/>
      <c r="F349" s="51"/>
      <c r="G349" s="51" t="str">
        <f>IFERROR(__xludf.DUMMYFUNCTION("""COMPUTED_VALUE"""),"#VALUE!")</f>
        <v>#VALUE!</v>
      </c>
      <c r="H349" s="51" t="str">
        <f>IFERROR(__xludf.DUMMYFUNCTION("""COMPUTED_VALUE"""),"")</f>
        <v/>
      </c>
      <c r="I349" s="51" t="str">
        <f>IFERROR(__xludf.DUMMYFUNCTION("""COMPUTED_VALUE"""),"#VALUE!")</f>
        <v>#VALUE!</v>
      </c>
      <c r="J349" s="51" t="str">
        <f>IFERROR(__xludf.DUMMYFUNCTION("""COMPUTED_VALUE"""),"")</f>
        <v/>
      </c>
      <c r="K349" s="51"/>
      <c r="L349" s="51" t="s">
        <v>257</v>
      </c>
      <c r="M349" s="51"/>
      <c r="N349" s="51"/>
      <c r="O349" s="51"/>
      <c r="P349" s="51"/>
      <c r="Q349" s="51"/>
      <c r="R349" s="51"/>
      <c r="S349" s="51"/>
      <c r="T349" s="51"/>
    </row>
    <row r="350">
      <c r="A350" s="51"/>
      <c r="B350" s="51"/>
      <c r="C350" s="56"/>
      <c r="D350" s="51"/>
      <c r="E350" s="51"/>
      <c r="F350" s="51"/>
      <c r="G350" s="51" t="str">
        <f>IFERROR(__xludf.DUMMYFUNCTION("""COMPUTED_VALUE"""),"#VALUE!")</f>
        <v>#VALUE!</v>
      </c>
      <c r="H350" s="51" t="str">
        <f>IFERROR(__xludf.DUMMYFUNCTION("""COMPUTED_VALUE"""),"")</f>
        <v/>
      </c>
      <c r="I350" s="51" t="str">
        <f>IFERROR(__xludf.DUMMYFUNCTION("""COMPUTED_VALUE"""),"#VALUE!")</f>
        <v>#VALUE!</v>
      </c>
      <c r="J350" s="51" t="str">
        <f>IFERROR(__xludf.DUMMYFUNCTION("""COMPUTED_VALUE"""),"")</f>
        <v/>
      </c>
      <c r="K350" s="51"/>
      <c r="L350" s="51" t="s">
        <v>257</v>
      </c>
      <c r="M350" s="51"/>
      <c r="N350" s="51"/>
      <c r="O350" s="51"/>
      <c r="P350" s="51"/>
      <c r="Q350" s="51"/>
      <c r="R350" s="51"/>
      <c r="S350" s="51"/>
      <c r="T350" s="51"/>
    </row>
    <row r="351">
      <c r="A351" s="51"/>
      <c r="B351" s="51"/>
      <c r="C351" s="56"/>
      <c r="D351" s="51"/>
      <c r="E351" s="51"/>
      <c r="F351" s="51"/>
      <c r="G351" s="51" t="str">
        <f>IFERROR(__xludf.DUMMYFUNCTION("""COMPUTED_VALUE"""),"#VALUE!")</f>
        <v>#VALUE!</v>
      </c>
      <c r="H351" s="51" t="str">
        <f>IFERROR(__xludf.DUMMYFUNCTION("""COMPUTED_VALUE"""),"")</f>
        <v/>
      </c>
      <c r="I351" s="51" t="str">
        <f>IFERROR(__xludf.DUMMYFUNCTION("""COMPUTED_VALUE"""),"#VALUE!")</f>
        <v>#VALUE!</v>
      </c>
      <c r="J351" s="51" t="str">
        <f>IFERROR(__xludf.DUMMYFUNCTION("""COMPUTED_VALUE"""),"")</f>
        <v/>
      </c>
      <c r="K351" s="51"/>
      <c r="L351" s="51" t="s">
        <v>257</v>
      </c>
      <c r="M351" s="51"/>
      <c r="N351" s="51"/>
      <c r="O351" s="51"/>
      <c r="P351" s="51"/>
      <c r="Q351" s="51"/>
      <c r="R351" s="51"/>
      <c r="S351" s="51"/>
      <c r="T351" s="51"/>
    </row>
    <row r="352">
      <c r="A352" s="51"/>
      <c r="B352" s="51"/>
      <c r="C352" s="56"/>
      <c r="D352" s="51"/>
      <c r="E352" s="51"/>
      <c r="F352" s="51"/>
      <c r="G352" s="51" t="str">
        <f>IFERROR(__xludf.DUMMYFUNCTION("""COMPUTED_VALUE"""),"#VALUE!")</f>
        <v>#VALUE!</v>
      </c>
      <c r="H352" s="51" t="str">
        <f>IFERROR(__xludf.DUMMYFUNCTION("""COMPUTED_VALUE"""),"")</f>
        <v/>
      </c>
      <c r="I352" s="51" t="str">
        <f>IFERROR(__xludf.DUMMYFUNCTION("""COMPUTED_VALUE"""),"#VALUE!")</f>
        <v>#VALUE!</v>
      </c>
      <c r="J352" s="51" t="str">
        <f>IFERROR(__xludf.DUMMYFUNCTION("""COMPUTED_VALUE"""),"")</f>
        <v/>
      </c>
      <c r="K352" s="51"/>
      <c r="L352" s="51" t="s">
        <v>257</v>
      </c>
      <c r="M352" s="51"/>
      <c r="N352" s="51"/>
      <c r="O352" s="51"/>
      <c r="P352" s="51"/>
      <c r="Q352" s="51"/>
      <c r="R352" s="51"/>
      <c r="S352" s="51"/>
      <c r="T352" s="51"/>
    </row>
    <row r="353">
      <c r="A353" s="51"/>
      <c r="B353" s="51"/>
      <c r="C353" s="56"/>
      <c r="D353" s="51"/>
      <c r="E353" s="51"/>
      <c r="F353" s="51"/>
      <c r="G353" s="51" t="str">
        <f>IFERROR(__xludf.DUMMYFUNCTION("""COMPUTED_VALUE"""),"#VALUE!")</f>
        <v>#VALUE!</v>
      </c>
      <c r="H353" s="51" t="str">
        <f>IFERROR(__xludf.DUMMYFUNCTION("""COMPUTED_VALUE"""),"")</f>
        <v/>
      </c>
      <c r="I353" s="51" t="str">
        <f>IFERROR(__xludf.DUMMYFUNCTION("""COMPUTED_VALUE"""),"#VALUE!")</f>
        <v>#VALUE!</v>
      </c>
      <c r="J353" s="51" t="str">
        <f>IFERROR(__xludf.DUMMYFUNCTION("""COMPUTED_VALUE"""),"")</f>
        <v/>
      </c>
      <c r="K353" s="51"/>
      <c r="L353" s="51" t="s">
        <v>257</v>
      </c>
      <c r="M353" s="51"/>
      <c r="N353" s="51"/>
      <c r="O353" s="51"/>
      <c r="P353" s="51"/>
      <c r="Q353" s="51"/>
      <c r="R353" s="51"/>
      <c r="S353" s="51"/>
      <c r="T353" s="51"/>
    </row>
    <row r="354">
      <c r="A354" s="51"/>
      <c r="B354" s="51"/>
      <c r="C354" s="56"/>
      <c r="D354" s="51"/>
      <c r="E354" s="51"/>
      <c r="F354" s="51"/>
      <c r="G354" s="51" t="str">
        <f>IFERROR(__xludf.DUMMYFUNCTION("""COMPUTED_VALUE"""),"#VALUE!")</f>
        <v>#VALUE!</v>
      </c>
      <c r="H354" s="51" t="str">
        <f>IFERROR(__xludf.DUMMYFUNCTION("""COMPUTED_VALUE"""),"")</f>
        <v/>
      </c>
      <c r="I354" s="51" t="str">
        <f>IFERROR(__xludf.DUMMYFUNCTION("""COMPUTED_VALUE"""),"#VALUE!")</f>
        <v>#VALUE!</v>
      </c>
      <c r="J354" s="51" t="str">
        <f>IFERROR(__xludf.DUMMYFUNCTION("""COMPUTED_VALUE"""),"")</f>
        <v/>
      </c>
      <c r="K354" s="51"/>
      <c r="L354" s="51" t="s">
        <v>257</v>
      </c>
      <c r="M354" s="51"/>
      <c r="N354" s="51"/>
      <c r="O354" s="51"/>
      <c r="P354" s="51"/>
      <c r="Q354" s="51"/>
      <c r="R354" s="51"/>
      <c r="S354" s="51"/>
      <c r="T354" s="51"/>
    </row>
    <row r="355">
      <c r="A355" s="51"/>
      <c r="B355" s="51"/>
      <c r="C355" s="56"/>
      <c r="D355" s="51"/>
      <c r="E355" s="51"/>
      <c r="F355" s="51"/>
      <c r="G355" s="51" t="str">
        <f>IFERROR(__xludf.DUMMYFUNCTION("""COMPUTED_VALUE"""),"#VALUE!")</f>
        <v>#VALUE!</v>
      </c>
      <c r="H355" s="51" t="str">
        <f>IFERROR(__xludf.DUMMYFUNCTION("""COMPUTED_VALUE"""),"")</f>
        <v/>
      </c>
      <c r="I355" s="51" t="str">
        <f>IFERROR(__xludf.DUMMYFUNCTION("""COMPUTED_VALUE"""),"#VALUE!")</f>
        <v>#VALUE!</v>
      </c>
      <c r="J355" s="51" t="str">
        <f>IFERROR(__xludf.DUMMYFUNCTION("""COMPUTED_VALUE"""),"")</f>
        <v/>
      </c>
      <c r="K355" s="51"/>
      <c r="L355" s="51" t="s">
        <v>257</v>
      </c>
      <c r="M355" s="51"/>
      <c r="N355" s="51"/>
      <c r="O355" s="51"/>
      <c r="P355" s="51"/>
      <c r="Q355" s="51"/>
      <c r="R355" s="51"/>
      <c r="S355" s="51"/>
      <c r="T355" s="51"/>
    </row>
    <row r="356">
      <c r="A356" s="51"/>
      <c r="B356" s="51"/>
      <c r="C356" s="56"/>
      <c r="D356" s="51"/>
      <c r="E356" s="51"/>
      <c r="F356" s="51"/>
      <c r="G356" s="51" t="str">
        <f>IFERROR(__xludf.DUMMYFUNCTION("""COMPUTED_VALUE"""),"#VALUE!")</f>
        <v>#VALUE!</v>
      </c>
      <c r="H356" s="51" t="str">
        <f>IFERROR(__xludf.DUMMYFUNCTION("""COMPUTED_VALUE"""),"")</f>
        <v/>
      </c>
      <c r="I356" s="51" t="str">
        <f>IFERROR(__xludf.DUMMYFUNCTION("""COMPUTED_VALUE"""),"#VALUE!")</f>
        <v>#VALUE!</v>
      </c>
      <c r="J356" s="51" t="str">
        <f>IFERROR(__xludf.DUMMYFUNCTION("""COMPUTED_VALUE"""),"")</f>
        <v/>
      </c>
      <c r="K356" s="51"/>
      <c r="L356" s="51" t="s">
        <v>257</v>
      </c>
      <c r="M356" s="51"/>
      <c r="N356" s="51"/>
      <c r="O356" s="51"/>
      <c r="P356" s="51"/>
      <c r="Q356" s="51"/>
      <c r="R356" s="51"/>
      <c r="S356" s="51"/>
      <c r="T356" s="51"/>
    </row>
    <row r="357">
      <c r="A357" s="51"/>
      <c r="B357" s="51"/>
      <c r="C357" s="56"/>
      <c r="D357" s="51"/>
      <c r="E357" s="51"/>
      <c r="F357" s="51"/>
      <c r="G357" s="51" t="str">
        <f>IFERROR(__xludf.DUMMYFUNCTION("""COMPUTED_VALUE"""),"#VALUE!")</f>
        <v>#VALUE!</v>
      </c>
      <c r="H357" s="51" t="str">
        <f>IFERROR(__xludf.DUMMYFUNCTION("""COMPUTED_VALUE"""),"")</f>
        <v/>
      </c>
      <c r="I357" s="51" t="str">
        <f>IFERROR(__xludf.DUMMYFUNCTION("""COMPUTED_VALUE"""),"#VALUE!")</f>
        <v>#VALUE!</v>
      </c>
      <c r="J357" s="51" t="str">
        <f>IFERROR(__xludf.DUMMYFUNCTION("""COMPUTED_VALUE"""),"")</f>
        <v/>
      </c>
      <c r="K357" s="51"/>
      <c r="L357" s="51" t="s">
        <v>257</v>
      </c>
      <c r="M357" s="51"/>
      <c r="N357" s="51"/>
      <c r="O357" s="51"/>
      <c r="P357" s="51"/>
      <c r="Q357" s="51"/>
      <c r="R357" s="51"/>
      <c r="S357" s="51"/>
      <c r="T357" s="51"/>
    </row>
    <row r="358">
      <c r="A358" s="51"/>
      <c r="B358" s="51"/>
      <c r="C358" s="56"/>
      <c r="D358" s="51"/>
      <c r="E358" s="51"/>
      <c r="F358" s="51"/>
      <c r="G358" s="51" t="str">
        <f>IFERROR(__xludf.DUMMYFUNCTION("""COMPUTED_VALUE"""),"#VALUE!")</f>
        <v>#VALUE!</v>
      </c>
      <c r="H358" s="51" t="str">
        <f>IFERROR(__xludf.DUMMYFUNCTION("""COMPUTED_VALUE"""),"")</f>
        <v/>
      </c>
      <c r="I358" s="51" t="str">
        <f>IFERROR(__xludf.DUMMYFUNCTION("""COMPUTED_VALUE"""),"#VALUE!")</f>
        <v>#VALUE!</v>
      </c>
      <c r="J358" s="51" t="str">
        <f>IFERROR(__xludf.DUMMYFUNCTION("""COMPUTED_VALUE"""),"")</f>
        <v/>
      </c>
      <c r="K358" s="51"/>
      <c r="L358" s="51" t="s">
        <v>257</v>
      </c>
      <c r="M358" s="51"/>
      <c r="N358" s="51"/>
      <c r="O358" s="51"/>
      <c r="P358" s="51"/>
      <c r="Q358" s="51"/>
      <c r="R358" s="51"/>
      <c r="S358" s="51"/>
      <c r="T358" s="51"/>
    </row>
    <row r="359">
      <c r="A359" s="51"/>
      <c r="B359" s="51"/>
      <c r="C359" s="56"/>
      <c r="D359" s="51"/>
      <c r="E359" s="51"/>
      <c r="F359" s="51"/>
      <c r="G359" s="51" t="str">
        <f>IFERROR(__xludf.DUMMYFUNCTION("""COMPUTED_VALUE"""),"#VALUE!")</f>
        <v>#VALUE!</v>
      </c>
      <c r="H359" s="51" t="str">
        <f>IFERROR(__xludf.DUMMYFUNCTION("""COMPUTED_VALUE"""),"")</f>
        <v/>
      </c>
      <c r="I359" s="51" t="str">
        <f>IFERROR(__xludf.DUMMYFUNCTION("""COMPUTED_VALUE"""),"#VALUE!")</f>
        <v>#VALUE!</v>
      </c>
      <c r="J359" s="51" t="str">
        <f>IFERROR(__xludf.DUMMYFUNCTION("""COMPUTED_VALUE"""),"")</f>
        <v/>
      </c>
      <c r="K359" s="51"/>
      <c r="L359" s="51" t="s">
        <v>257</v>
      </c>
      <c r="M359" s="51"/>
      <c r="N359" s="51"/>
      <c r="O359" s="51"/>
      <c r="P359" s="51"/>
      <c r="Q359" s="51"/>
      <c r="R359" s="51"/>
      <c r="S359" s="51"/>
      <c r="T359" s="51"/>
    </row>
    <row r="360">
      <c r="A360" s="51"/>
      <c r="B360" s="51"/>
      <c r="C360" s="56"/>
      <c r="D360" s="51"/>
      <c r="E360" s="51"/>
      <c r="F360" s="51"/>
      <c r="G360" s="51" t="str">
        <f>IFERROR(__xludf.DUMMYFUNCTION("""COMPUTED_VALUE"""),"#VALUE!")</f>
        <v>#VALUE!</v>
      </c>
      <c r="H360" s="51" t="str">
        <f>IFERROR(__xludf.DUMMYFUNCTION("""COMPUTED_VALUE"""),"")</f>
        <v/>
      </c>
      <c r="I360" s="51" t="str">
        <f>IFERROR(__xludf.DUMMYFUNCTION("""COMPUTED_VALUE"""),"#VALUE!")</f>
        <v>#VALUE!</v>
      </c>
      <c r="J360" s="51" t="str">
        <f>IFERROR(__xludf.DUMMYFUNCTION("""COMPUTED_VALUE"""),"")</f>
        <v/>
      </c>
      <c r="K360" s="51"/>
      <c r="L360" s="51" t="s">
        <v>257</v>
      </c>
      <c r="M360" s="51"/>
      <c r="N360" s="51"/>
      <c r="O360" s="51"/>
      <c r="P360" s="51"/>
      <c r="Q360" s="51"/>
      <c r="R360" s="51"/>
      <c r="S360" s="51"/>
      <c r="T360" s="51"/>
    </row>
    <row r="361">
      <c r="A361" s="51"/>
      <c r="B361" s="51"/>
      <c r="C361" s="56"/>
      <c r="D361" s="51"/>
      <c r="E361" s="51"/>
      <c r="F361" s="51"/>
      <c r="G361" s="51" t="str">
        <f>IFERROR(__xludf.DUMMYFUNCTION("""COMPUTED_VALUE"""),"#VALUE!")</f>
        <v>#VALUE!</v>
      </c>
      <c r="H361" s="51" t="str">
        <f>IFERROR(__xludf.DUMMYFUNCTION("""COMPUTED_VALUE"""),"")</f>
        <v/>
      </c>
      <c r="I361" s="51" t="str">
        <f>IFERROR(__xludf.DUMMYFUNCTION("""COMPUTED_VALUE"""),"#VALUE!")</f>
        <v>#VALUE!</v>
      </c>
      <c r="J361" s="51" t="str">
        <f>IFERROR(__xludf.DUMMYFUNCTION("""COMPUTED_VALUE"""),"")</f>
        <v/>
      </c>
      <c r="K361" s="51"/>
      <c r="L361" s="51" t="s">
        <v>257</v>
      </c>
      <c r="M361" s="51"/>
      <c r="N361" s="51"/>
      <c r="O361" s="51"/>
      <c r="P361" s="51"/>
      <c r="Q361" s="51"/>
      <c r="R361" s="51"/>
      <c r="S361" s="51"/>
      <c r="T361" s="51"/>
    </row>
    <row r="362">
      <c r="A362" s="51"/>
      <c r="B362" s="51"/>
      <c r="C362" s="56"/>
      <c r="D362" s="51"/>
      <c r="E362" s="51"/>
      <c r="F362" s="51"/>
      <c r="G362" s="51" t="str">
        <f>IFERROR(__xludf.DUMMYFUNCTION("""COMPUTED_VALUE"""),"#VALUE!")</f>
        <v>#VALUE!</v>
      </c>
      <c r="H362" s="51" t="str">
        <f>IFERROR(__xludf.DUMMYFUNCTION("""COMPUTED_VALUE"""),"")</f>
        <v/>
      </c>
      <c r="I362" s="51" t="str">
        <f>IFERROR(__xludf.DUMMYFUNCTION("""COMPUTED_VALUE"""),"#VALUE!")</f>
        <v>#VALUE!</v>
      </c>
      <c r="J362" s="51" t="str">
        <f>IFERROR(__xludf.DUMMYFUNCTION("""COMPUTED_VALUE"""),"")</f>
        <v/>
      </c>
      <c r="K362" s="51"/>
      <c r="L362" s="51" t="s">
        <v>257</v>
      </c>
      <c r="M362" s="51"/>
      <c r="N362" s="51"/>
      <c r="O362" s="51"/>
      <c r="P362" s="51"/>
      <c r="Q362" s="51"/>
      <c r="R362" s="51"/>
      <c r="S362" s="51"/>
      <c r="T362" s="51"/>
    </row>
    <row r="363">
      <c r="A363" s="51"/>
      <c r="B363" s="51"/>
      <c r="C363" s="56"/>
      <c r="D363" s="51"/>
      <c r="E363" s="51"/>
      <c r="F363" s="51"/>
      <c r="G363" s="51" t="str">
        <f>IFERROR(__xludf.DUMMYFUNCTION("""COMPUTED_VALUE"""),"#VALUE!")</f>
        <v>#VALUE!</v>
      </c>
      <c r="H363" s="51" t="str">
        <f>IFERROR(__xludf.DUMMYFUNCTION("""COMPUTED_VALUE"""),"")</f>
        <v/>
      </c>
      <c r="I363" s="51" t="str">
        <f>IFERROR(__xludf.DUMMYFUNCTION("""COMPUTED_VALUE"""),"#VALUE!")</f>
        <v>#VALUE!</v>
      </c>
      <c r="J363" s="51" t="str">
        <f>IFERROR(__xludf.DUMMYFUNCTION("""COMPUTED_VALUE"""),"")</f>
        <v/>
      </c>
      <c r="K363" s="51"/>
      <c r="L363" s="51" t="s">
        <v>257</v>
      </c>
      <c r="M363" s="51"/>
      <c r="N363" s="51"/>
      <c r="O363" s="51"/>
      <c r="P363" s="51"/>
      <c r="Q363" s="51"/>
      <c r="R363" s="51"/>
      <c r="S363" s="51"/>
      <c r="T363" s="51"/>
    </row>
    <row r="364">
      <c r="A364" s="51"/>
      <c r="B364" s="51"/>
      <c r="C364" s="56"/>
      <c r="D364" s="51"/>
      <c r="E364" s="51"/>
      <c r="F364" s="51"/>
      <c r="G364" s="51" t="str">
        <f>IFERROR(__xludf.DUMMYFUNCTION("""COMPUTED_VALUE"""),"#VALUE!")</f>
        <v>#VALUE!</v>
      </c>
      <c r="H364" s="51" t="str">
        <f>IFERROR(__xludf.DUMMYFUNCTION("""COMPUTED_VALUE"""),"")</f>
        <v/>
      </c>
      <c r="I364" s="51" t="str">
        <f>IFERROR(__xludf.DUMMYFUNCTION("""COMPUTED_VALUE"""),"#VALUE!")</f>
        <v>#VALUE!</v>
      </c>
      <c r="J364" s="51" t="str">
        <f>IFERROR(__xludf.DUMMYFUNCTION("""COMPUTED_VALUE"""),"")</f>
        <v/>
      </c>
      <c r="K364" s="51"/>
      <c r="L364" s="51" t="s">
        <v>257</v>
      </c>
      <c r="M364" s="51"/>
      <c r="N364" s="51"/>
      <c r="O364" s="51"/>
      <c r="P364" s="51"/>
      <c r="Q364" s="51"/>
      <c r="R364" s="51"/>
      <c r="S364" s="51"/>
      <c r="T364" s="51"/>
    </row>
    <row r="365">
      <c r="A365" s="51"/>
      <c r="B365" s="51"/>
      <c r="C365" s="56"/>
      <c r="D365" s="51"/>
      <c r="E365" s="51"/>
      <c r="F365" s="51"/>
      <c r="G365" s="51" t="str">
        <f>IFERROR(__xludf.DUMMYFUNCTION("""COMPUTED_VALUE"""),"#VALUE!")</f>
        <v>#VALUE!</v>
      </c>
      <c r="H365" s="51" t="str">
        <f>IFERROR(__xludf.DUMMYFUNCTION("""COMPUTED_VALUE"""),"")</f>
        <v/>
      </c>
      <c r="I365" s="51" t="str">
        <f>IFERROR(__xludf.DUMMYFUNCTION("""COMPUTED_VALUE"""),"#VALUE!")</f>
        <v>#VALUE!</v>
      </c>
      <c r="J365" s="51" t="str">
        <f>IFERROR(__xludf.DUMMYFUNCTION("""COMPUTED_VALUE"""),"")</f>
        <v/>
      </c>
      <c r="K365" s="51"/>
      <c r="L365" s="51" t="s">
        <v>257</v>
      </c>
      <c r="M365" s="51"/>
      <c r="N365" s="51"/>
      <c r="O365" s="51"/>
      <c r="P365" s="51"/>
      <c r="Q365" s="51"/>
      <c r="R365" s="51"/>
      <c r="S365" s="51"/>
      <c r="T365" s="51"/>
    </row>
    <row r="366">
      <c r="A366" s="51"/>
      <c r="B366" s="51"/>
      <c r="C366" s="56"/>
      <c r="D366" s="51"/>
      <c r="E366" s="51"/>
      <c r="F366" s="51"/>
      <c r="G366" s="51" t="str">
        <f>IFERROR(__xludf.DUMMYFUNCTION("""COMPUTED_VALUE"""),"#VALUE!")</f>
        <v>#VALUE!</v>
      </c>
      <c r="H366" s="51" t="str">
        <f>IFERROR(__xludf.DUMMYFUNCTION("""COMPUTED_VALUE"""),"")</f>
        <v/>
      </c>
      <c r="I366" s="51" t="str">
        <f>IFERROR(__xludf.DUMMYFUNCTION("""COMPUTED_VALUE"""),"#VALUE!")</f>
        <v>#VALUE!</v>
      </c>
      <c r="J366" s="51" t="str">
        <f>IFERROR(__xludf.DUMMYFUNCTION("""COMPUTED_VALUE"""),"")</f>
        <v/>
      </c>
      <c r="K366" s="51"/>
      <c r="L366" s="51" t="s">
        <v>257</v>
      </c>
      <c r="M366" s="51"/>
      <c r="N366" s="51"/>
      <c r="O366" s="51"/>
      <c r="P366" s="51"/>
      <c r="Q366" s="51"/>
      <c r="R366" s="51"/>
      <c r="S366" s="51"/>
      <c r="T366" s="51"/>
    </row>
    <row r="367">
      <c r="A367" s="51"/>
      <c r="B367" s="51"/>
      <c r="C367" s="56"/>
      <c r="D367" s="51"/>
      <c r="E367" s="51"/>
      <c r="F367" s="51"/>
      <c r="G367" s="51" t="str">
        <f>IFERROR(__xludf.DUMMYFUNCTION("""COMPUTED_VALUE"""),"#VALUE!")</f>
        <v>#VALUE!</v>
      </c>
      <c r="H367" s="51" t="str">
        <f>IFERROR(__xludf.DUMMYFUNCTION("""COMPUTED_VALUE"""),"")</f>
        <v/>
      </c>
      <c r="I367" s="51" t="str">
        <f>IFERROR(__xludf.DUMMYFUNCTION("""COMPUTED_VALUE"""),"#VALUE!")</f>
        <v>#VALUE!</v>
      </c>
      <c r="J367" s="51" t="str">
        <f>IFERROR(__xludf.DUMMYFUNCTION("""COMPUTED_VALUE"""),"")</f>
        <v/>
      </c>
      <c r="K367" s="51"/>
      <c r="L367" s="51" t="s">
        <v>257</v>
      </c>
      <c r="M367" s="51"/>
      <c r="N367" s="51"/>
      <c r="O367" s="51"/>
      <c r="P367" s="51"/>
      <c r="Q367" s="51"/>
      <c r="R367" s="51"/>
      <c r="S367" s="51"/>
      <c r="T367" s="51"/>
    </row>
    <row r="368">
      <c r="A368" s="51"/>
      <c r="B368" s="51"/>
      <c r="C368" s="56"/>
      <c r="D368" s="51"/>
      <c r="E368" s="51"/>
      <c r="F368" s="51"/>
      <c r="G368" s="51" t="str">
        <f>IFERROR(__xludf.DUMMYFUNCTION("""COMPUTED_VALUE"""),"#VALUE!")</f>
        <v>#VALUE!</v>
      </c>
      <c r="H368" s="51" t="str">
        <f>IFERROR(__xludf.DUMMYFUNCTION("""COMPUTED_VALUE"""),"")</f>
        <v/>
      </c>
      <c r="I368" s="51" t="str">
        <f>IFERROR(__xludf.DUMMYFUNCTION("""COMPUTED_VALUE"""),"#VALUE!")</f>
        <v>#VALUE!</v>
      </c>
      <c r="J368" s="51" t="str">
        <f>IFERROR(__xludf.DUMMYFUNCTION("""COMPUTED_VALUE"""),"")</f>
        <v/>
      </c>
      <c r="K368" s="51"/>
      <c r="L368" s="51" t="s">
        <v>257</v>
      </c>
      <c r="M368" s="51"/>
      <c r="N368" s="51"/>
      <c r="O368" s="51"/>
      <c r="P368" s="51"/>
      <c r="Q368" s="51"/>
      <c r="R368" s="51"/>
      <c r="S368" s="51"/>
      <c r="T368" s="51"/>
    </row>
    <row r="369">
      <c r="A369" s="51"/>
      <c r="B369" s="51"/>
      <c r="C369" s="56"/>
      <c r="D369" s="51"/>
      <c r="E369" s="51"/>
      <c r="F369" s="51"/>
      <c r="G369" s="51" t="str">
        <f>IFERROR(__xludf.DUMMYFUNCTION("""COMPUTED_VALUE"""),"#VALUE!")</f>
        <v>#VALUE!</v>
      </c>
      <c r="H369" s="51" t="str">
        <f>IFERROR(__xludf.DUMMYFUNCTION("""COMPUTED_VALUE"""),"")</f>
        <v/>
      </c>
      <c r="I369" s="51" t="str">
        <f>IFERROR(__xludf.DUMMYFUNCTION("""COMPUTED_VALUE"""),"#VALUE!")</f>
        <v>#VALUE!</v>
      </c>
      <c r="J369" s="51" t="str">
        <f>IFERROR(__xludf.DUMMYFUNCTION("""COMPUTED_VALUE"""),"")</f>
        <v/>
      </c>
      <c r="K369" s="51"/>
      <c r="L369" s="51" t="s">
        <v>257</v>
      </c>
      <c r="M369" s="51"/>
      <c r="N369" s="51"/>
      <c r="O369" s="51"/>
      <c r="P369" s="51"/>
      <c r="Q369" s="51"/>
      <c r="R369" s="51"/>
      <c r="S369" s="51"/>
      <c r="T369" s="51"/>
    </row>
    <row r="370">
      <c r="A370" s="51"/>
      <c r="B370" s="51"/>
      <c r="C370" s="56"/>
      <c r="D370" s="51"/>
      <c r="E370" s="51"/>
      <c r="F370" s="51"/>
      <c r="G370" s="51" t="str">
        <f>IFERROR(__xludf.DUMMYFUNCTION("""COMPUTED_VALUE"""),"#VALUE!")</f>
        <v>#VALUE!</v>
      </c>
      <c r="H370" s="51" t="str">
        <f>IFERROR(__xludf.DUMMYFUNCTION("""COMPUTED_VALUE"""),"")</f>
        <v/>
      </c>
      <c r="I370" s="51" t="str">
        <f>IFERROR(__xludf.DUMMYFUNCTION("""COMPUTED_VALUE"""),"#VALUE!")</f>
        <v>#VALUE!</v>
      </c>
      <c r="J370" s="51" t="str">
        <f>IFERROR(__xludf.DUMMYFUNCTION("""COMPUTED_VALUE"""),"")</f>
        <v/>
      </c>
      <c r="K370" s="51"/>
      <c r="L370" s="51" t="s">
        <v>257</v>
      </c>
      <c r="M370" s="51"/>
      <c r="N370" s="51"/>
      <c r="O370" s="51"/>
      <c r="P370" s="51"/>
      <c r="Q370" s="51"/>
      <c r="R370" s="51"/>
      <c r="S370" s="51"/>
      <c r="T370" s="51"/>
    </row>
    <row r="371">
      <c r="A371" s="51"/>
      <c r="B371" s="51"/>
      <c r="C371" s="56"/>
      <c r="D371" s="51"/>
      <c r="E371" s="51"/>
      <c r="F371" s="51"/>
      <c r="G371" s="51" t="str">
        <f>IFERROR(__xludf.DUMMYFUNCTION("""COMPUTED_VALUE"""),"#VALUE!")</f>
        <v>#VALUE!</v>
      </c>
      <c r="H371" s="51" t="str">
        <f>IFERROR(__xludf.DUMMYFUNCTION("""COMPUTED_VALUE"""),"")</f>
        <v/>
      </c>
      <c r="I371" s="51" t="str">
        <f>IFERROR(__xludf.DUMMYFUNCTION("""COMPUTED_VALUE"""),"#VALUE!")</f>
        <v>#VALUE!</v>
      </c>
      <c r="J371" s="51" t="str">
        <f>IFERROR(__xludf.DUMMYFUNCTION("""COMPUTED_VALUE"""),"")</f>
        <v/>
      </c>
      <c r="K371" s="51"/>
      <c r="L371" s="51" t="s">
        <v>257</v>
      </c>
      <c r="M371" s="51"/>
      <c r="N371" s="51"/>
      <c r="O371" s="51"/>
      <c r="P371" s="51"/>
      <c r="Q371" s="51"/>
      <c r="R371" s="51"/>
      <c r="S371" s="51"/>
      <c r="T371" s="51"/>
    </row>
    <row r="372">
      <c r="A372" s="51"/>
      <c r="B372" s="51"/>
      <c r="C372" s="56"/>
      <c r="D372" s="51"/>
      <c r="E372" s="51"/>
      <c r="F372" s="51"/>
      <c r="G372" s="51" t="str">
        <f>IFERROR(__xludf.DUMMYFUNCTION("""COMPUTED_VALUE"""),"#VALUE!")</f>
        <v>#VALUE!</v>
      </c>
      <c r="H372" s="51" t="str">
        <f>IFERROR(__xludf.DUMMYFUNCTION("""COMPUTED_VALUE"""),"")</f>
        <v/>
      </c>
      <c r="I372" s="51" t="str">
        <f>IFERROR(__xludf.DUMMYFUNCTION("""COMPUTED_VALUE"""),"#VALUE!")</f>
        <v>#VALUE!</v>
      </c>
      <c r="J372" s="51" t="str">
        <f>IFERROR(__xludf.DUMMYFUNCTION("""COMPUTED_VALUE"""),"")</f>
        <v/>
      </c>
      <c r="K372" s="51"/>
      <c r="L372" s="51" t="s">
        <v>257</v>
      </c>
      <c r="M372" s="51"/>
      <c r="N372" s="51"/>
      <c r="O372" s="51"/>
      <c r="P372" s="51"/>
      <c r="Q372" s="51"/>
      <c r="R372" s="51"/>
      <c r="S372" s="51"/>
      <c r="T372" s="51"/>
    </row>
    <row r="373">
      <c r="A373" s="51"/>
      <c r="B373" s="51"/>
      <c r="C373" s="56"/>
      <c r="D373" s="51"/>
      <c r="E373" s="51"/>
      <c r="F373" s="51"/>
      <c r="G373" s="51" t="str">
        <f>IFERROR(__xludf.DUMMYFUNCTION("""COMPUTED_VALUE"""),"#VALUE!")</f>
        <v>#VALUE!</v>
      </c>
      <c r="H373" s="51" t="str">
        <f>IFERROR(__xludf.DUMMYFUNCTION("""COMPUTED_VALUE"""),"")</f>
        <v/>
      </c>
      <c r="I373" s="51" t="str">
        <f>IFERROR(__xludf.DUMMYFUNCTION("""COMPUTED_VALUE"""),"#VALUE!")</f>
        <v>#VALUE!</v>
      </c>
      <c r="J373" s="51" t="str">
        <f>IFERROR(__xludf.DUMMYFUNCTION("""COMPUTED_VALUE"""),"")</f>
        <v/>
      </c>
      <c r="K373" s="51"/>
      <c r="L373" s="51" t="s">
        <v>257</v>
      </c>
      <c r="M373" s="51"/>
      <c r="N373" s="51"/>
      <c r="O373" s="51"/>
      <c r="P373" s="51"/>
      <c r="Q373" s="51"/>
      <c r="R373" s="51"/>
      <c r="S373" s="51"/>
      <c r="T373" s="51"/>
    </row>
    <row r="374">
      <c r="A374" s="51"/>
      <c r="B374" s="51"/>
      <c r="C374" s="56"/>
      <c r="D374" s="51"/>
      <c r="E374" s="51"/>
      <c r="F374" s="51"/>
      <c r="G374" s="51" t="str">
        <f>IFERROR(__xludf.DUMMYFUNCTION("""COMPUTED_VALUE"""),"#VALUE!")</f>
        <v>#VALUE!</v>
      </c>
      <c r="H374" s="51" t="str">
        <f>IFERROR(__xludf.DUMMYFUNCTION("""COMPUTED_VALUE"""),"")</f>
        <v/>
      </c>
      <c r="I374" s="51" t="str">
        <f>IFERROR(__xludf.DUMMYFUNCTION("""COMPUTED_VALUE"""),"#VALUE!")</f>
        <v>#VALUE!</v>
      </c>
      <c r="J374" s="51" t="str">
        <f>IFERROR(__xludf.DUMMYFUNCTION("""COMPUTED_VALUE"""),"")</f>
        <v/>
      </c>
      <c r="K374" s="51"/>
      <c r="L374" s="51" t="s">
        <v>257</v>
      </c>
      <c r="M374" s="51"/>
      <c r="N374" s="51"/>
      <c r="O374" s="51"/>
      <c r="P374" s="51"/>
      <c r="Q374" s="51"/>
      <c r="R374" s="51"/>
      <c r="S374" s="51"/>
      <c r="T374" s="51"/>
    </row>
    <row r="375">
      <c r="A375" s="51"/>
      <c r="B375" s="51"/>
      <c r="C375" s="56"/>
      <c r="D375" s="51"/>
      <c r="E375" s="51"/>
      <c r="F375" s="51"/>
      <c r="G375" s="51" t="str">
        <f>IFERROR(__xludf.DUMMYFUNCTION("""COMPUTED_VALUE"""),"#VALUE!")</f>
        <v>#VALUE!</v>
      </c>
      <c r="H375" s="51" t="str">
        <f>IFERROR(__xludf.DUMMYFUNCTION("""COMPUTED_VALUE"""),"")</f>
        <v/>
      </c>
      <c r="I375" s="51" t="str">
        <f>IFERROR(__xludf.DUMMYFUNCTION("""COMPUTED_VALUE"""),"#VALUE!")</f>
        <v>#VALUE!</v>
      </c>
      <c r="J375" s="51" t="str">
        <f>IFERROR(__xludf.DUMMYFUNCTION("""COMPUTED_VALUE"""),"")</f>
        <v/>
      </c>
      <c r="K375" s="51"/>
      <c r="L375" s="51" t="s">
        <v>257</v>
      </c>
      <c r="M375" s="51"/>
      <c r="N375" s="51"/>
      <c r="O375" s="51"/>
      <c r="P375" s="51"/>
      <c r="Q375" s="51"/>
      <c r="R375" s="51"/>
      <c r="S375" s="51"/>
      <c r="T375" s="51"/>
    </row>
    <row r="376">
      <c r="A376" s="51"/>
      <c r="B376" s="51"/>
      <c r="C376" s="56"/>
      <c r="D376" s="51"/>
      <c r="E376" s="51"/>
      <c r="F376" s="51"/>
      <c r="G376" s="51" t="str">
        <f>IFERROR(__xludf.DUMMYFUNCTION("""COMPUTED_VALUE"""),"#VALUE!")</f>
        <v>#VALUE!</v>
      </c>
      <c r="H376" s="51" t="str">
        <f>IFERROR(__xludf.DUMMYFUNCTION("""COMPUTED_VALUE"""),"")</f>
        <v/>
      </c>
      <c r="I376" s="51" t="str">
        <f>IFERROR(__xludf.DUMMYFUNCTION("""COMPUTED_VALUE"""),"#VALUE!")</f>
        <v>#VALUE!</v>
      </c>
      <c r="J376" s="51" t="str">
        <f>IFERROR(__xludf.DUMMYFUNCTION("""COMPUTED_VALUE"""),"")</f>
        <v/>
      </c>
      <c r="K376" s="51"/>
      <c r="L376" s="51" t="s">
        <v>257</v>
      </c>
      <c r="M376" s="51"/>
      <c r="N376" s="51"/>
      <c r="O376" s="51"/>
      <c r="P376" s="51"/>
      <c r="Q376" s="51"/>
      <c r="R376" s="51"/>
      <c r="S376" s="51"/>
      <c r="T376" s="51"/>
    </row>
    <row r="377">
      <c r="A377" s="51"/>
      <c r="B377" s="51"/>
      <c r="C377" s="56"/>
      <c r="D377" s="51"/>
      <c r="E377" s="51"/>
      <c r="F377" s="51"/>
      <c r="G377" s="51" t="str">
        <f>IFERROR(__xludf.DUMMYFUNCTION("""COMPUTED_VALUE"""),"#VALUE!")</f>
        <v>#VALUE!</v>
      </c>
      <c r="H377" s="51" t="str">
        <f>IFERROR(__xludf.DUMMYFUNCTION("""COMPUTED_VALUE"""),"")</f>
        <v/>
      </c>
      <c r="I377" s="51" t="str">
        <f>IFERROR(__xludf.DUMMYFUNCTION("""COMPUTED_VALUE"""),"#VALUE!")</f>
        <v>#VALUE!</v>
      </c>
      <c r="J377" s="51" t="str">
        <f>IFERROR(__xludf.DUMMYFUNCTION("""COMPUTED_VALUE"""),"")</f>
        <v/>
      </c>
      <c r="K377" s="51"/>
      <c r="L377" s="51" t="s">
        <v>257</v>
      </c>
      <c r="M377" s="51"/>
      <c r="N377" s="51"/>
      <c r="O377" s="51"/>
      <c r="P377" s="51"/>
      <c r="Q377" s="51"/>
      <c r="R377" s="51"/>
      <c r="S377" s="51"/>
      <c r="T377" s="51"/>
    </row>
    <row r="378">
      <c r="A378" s="51"/>
      <c r="B378" s="51"/>
      <c r="C378" s="56"/>
      <c r="D378" s="51"/>
      <c r="E378" s="51"/>
      <c r="F378" s="51"/>
      <c r="G378" s="51" t="str">
        <f>IFERROR(__xludf.DUMMYFUNCTION("""COMPUTED_VALUE"""),"#VALUE!")</f>
        <v>#VALUE!</v>
      </c>
      <c r="H378" s="51" t="str">
        <f>IFERROR(__xludf.DUMMYFUNCTION("""COMPUTED_VALUE"""),"")</f>
        <v/>
      </c>
      <c r="I378" s="51" t="str">
        <f>IFERROR(__xludf.DUMMYFUNCTION("""COMPUTED_VALUE"""),"#VALUE!")</f>
        <v>#VALUE!</v>
      </c>
      <c r="J378" s="51" t="str">
        <f>IFERROR(__xludf.DUMMYFUNCTION("""COMPUTED_VALUE"""),"")</f>
        <v/>
      </c>
      <c r="K378" s="51"/>
      <c r="L378" s="51" t="s">
        <v>257</v>
      </c>
      <c r="M378" s="51"/>
      <c r="N378" s="51"/>
      <c r="O378" s="51"/>
      <c r="P378" s="51"/>
      <c r="Q378" s="51"/>
      <c r="R378" s="51"/>
      <c r="S378" s="51"/>
      <c r="T378" s="51"/>
    </row>
    <row r="379">
      <c r="A379" s="51"/>
      <c r="B379" s="51"/>
      <c r="C379" s="56"/>
      <c r="D379" s="51"/>
      <c r="E379" s="51"/>
      <c r="F379" s="51"/>
      <c r="G379" s="51" t="str">
        <f>IFERROR(__xludf.DUMMYFUNCTION("""COMPUTED_VALUE"""),"#VALUE!")</f>
        <v>#VALUE!</v>
      </c>
      <c r="H379" s="51" t="str">
        <f>IFERROR(__xludf.DUMMYFUNCTION("""COMPUTED_VALUE"""),"")</f>
        <v/>
      </c>
      <c r="I379" s="51" t="str">
        <f>IFERROR(__xludf.DUMMYFUNCTION("""COMPUTED_VALUE"""),"#VALUE!")</f>
        <v>#VALUE!</v>
      </c>
      <c r="J379" s="51" t="str">
        <f>IFERROR(__xludf.DUMMYFUNCTION("""COMPUTED_VALUE"""),"")</f>
        <v/>
      </c>
      <c r="K379" s="51"/>
      <c r="L379" s="51" t="s">
        <v>257</v>
      </c>
      <c r="M379" s="51"/>
      <c r="N379" s="51"/>
      <c r="O379" s="51"/>
      <c r="P379" s="51"/>
      <c r="Q379" s="51"/>
      <c r="R379" s="51"/>
      <c r="S379" s="51"/>
      <c r="T379" s="51"/>
    </row>
    <row r="380">
      <c r="A380" s="51"/>
      <c r="B380" s="51"/>
      <c r="C380" s="56"/>
      <c r="D380" s="51"/>
      <c r="E380" s="51"/>
      <c r="F380" s="51"/>
      <c r="G380" s="51" t="str">
        <f>IFERROR(__xludf.DUMMYFUNCTION("""COMPUTED_VALUE"""),"#VALUE!")</f>
        <v>#VALUE!</v>
      </c>
      <c r="H380" s="51" t="str">
        <f>IFERROR(__xludf.DUMMYFUNCTION("""COMPUTED_VALUE"""),"")</f>
        <v/>
      </c>
      <c r="I380" s="51" t="str">
        <f>IFERROR(__xludf.DUMMYFUNCTION("""COMPUTED_VALUE"""),"#VALUE!")</f>
        <v>#VALUE!</v>
      </c>
      <c r="J380" s="51" t="str">
        <f>IFERROR(__xludf.DUMMYFUNCTION("""COMPUTED_VALUE"""),"")</f>
        <v/>
      </c>
      <c r="K380" s="51"/>
      <c r="L380" s="51" t="s">
        <v>257</v>
      </c>
      <c r="M380" s="51"/>
      <c r="N380" s="51"/>
      <c r="O380" s="51"/>
      <c r="P380" s="51"/>
      <c r="Q380" s="51"/>
      <c r="R380" s="51"/>
      <c r="S380" s="51"/>
      <c r="T380" s="51"/>
    </row>
    <row r="381">
      <c r="A381" s="51"/>
      <c r="B381" s="51"/>
      <c r="C381" s="56"/>
      <c r="D381" s="51"/>
      <c r="E381" s="51"/>
      <c r="F381" s="51"/>
      <c r="G381" s="51" t="str">
        <f>IFERROR(__xludf.DUMMYFUNCTION("""COMPUTED_VALUE"""),"#VALUE!")</f>
        <v>#VALUE!</v>
      </c>
      <c r="H381" s="51" t="str">
        <f>IFERROR(__xludf.DUMMYFUNCTION("""COMPUTED_VALUE"""),"")</f>
        <v/>
      </c>
      <c r="I381" s="51" t="str">
        <f>IFERROR(__xludf.DUMMYFUNCTION("""COMPUTED_VALUE"""),"#VALUE!")</f>
        <v>#VALUE!</v>
      </c>
      <c r="J381" s="51" t="str">
        <f>IFERROR(__xludf.DUMMYFUNCTION("""COMPUTED_VALUE"""),"")</f>
        <v/>
      </c>
      <c r="K381" s="51"/>
      <c r="L381" s="51" t="s">
        <v>257</v>
      </c>
      <c r="M381" s="51"/>
      <c r="N381" s="51"/>
      <c r="O381" s="51"/>
      <c r="P381" s="51"/>
      <c r="Q381" s="51"/>
      <c r="R381" s="51"/>
      <c r="S381" s="51"/>
      <c r="T381" s="51"/>
    </row>
    <row r="382">
      <c r="A382" s="51"/>
      <c r="B382" s="51"/>
      <c r="C382" s="56"/>
      <c r="D382" s="51"/>
      <c r="E382" s="51"/>
      <c r="F382" s="51"/>
      <c r="G382" s="51" t="str">
        <f>IFERROR(__xludf.DUMMYFUNCTION("""COMPUTED_VALUE"""),"#VALUE!")</f>
        <v>#VALUE!</v>
      </c>
      <c r="H382" s="51" t="str">
        <f>IFERROR(__xludf.DUMMYFUNCTION("""COMPUTED_VALUE"""),"")</f>
        <v/>
      </c>
      <c r="I382" s="51" t="str">
        <f>IFERROR(__xludf.DUMMYFUNCTION("""COMPUTED_VALUE"""),"#VALUE!")</f>
        <v>#VALUE!</v>
      </c>
      <c r="J382" s="51" t="str">
        <f>IFERROR(__xludf.DUMMYFUNCTION("""COMPUTED_VALUE"""),"")</f>
        <v/>
      </c>
      <c r="K382" s="51"/>
      <c r="L382" s="51" t="s">
        <v>257</v>
      </c>
      <c r="M382" s="51"/>
      <c r="N382" s="51"/>
      <c r="O382" s="51"/>
      <c r="P382" s="51"/>
      <c r="Q382" s="51"/>
      <c r="R382" s="51"/>
      <c r="S382" s="51"/>
      <c r="T382" s="51"/>
    </row>
    <row r="383">
      <c r="A383" s="51"/>
      <c r="B383" s="51"/>
      <c r="C383" s="56"/>
      <c r="D383" s="51"/>
      <c r="E383" s="51"/>
      <c r="F383" s="51"/>
      <c r="G383" s="51" t="str">
        <f>IFERROR(__xludf.DUMMYFUNCTION("""COMPUTED_VALUE"""),"#VALUE!")</f>
        <v>#VALUE!</v>
      </c>
      <c r="H383" s="51" t="str">
        <f>IFERROR(__xludf.DUMMYFUNCTION("""COMPUTED_VALUE"""),"")</f>
        <v/>
      </c>
      <c r="I383" s="51" t="str">
        <f>IFERROR(__xludf.DUMMYFUNCTION("""COMPUTED_VALUE"""),"#VALUE!")</f>
        <v>#VALUE!</v>
      </c>
      <c r="J383" s="51" t="str">
        <f>IFERROR(__xludf.DUMMYFUNCTION("""COMPUTED_VALUE"""),"")</f>
        <v/>
      </c>
      <c r="K383" s="51"/>
      <c r="L383" s="51" t="s">
        <v>257</v>
      </c>
      <c r="M383" s="51"/>
      <c r="N383" s="51"/>
      <c r="O383" s="51"/>
      <c r="P383" s="51"/>
      <c r="Q383" s="51"/>
      <c r="R383" s="51"/>
      <c r="S383" s="51"/>
      <c r="T383" s="51"/>
    </row>
    <row r="384">
      <c r="A384" s="51"/>
      <c r="B384" s="51"/>
      <c r="C384" s="56"/>
      <c r="D384" s="51"/>
      <c r="E384" s="51"/>
      <c r="F384" s="51"/>
      <c r="G384" s="51" t="str">
        <f>IFERROR(__xludf.DUMMYFUNCTION("""COMPUTED_VALUE"""),"#VALUE!")</f>
        <v>#VALUE!</v>
      </c>
      <c r="H384" s="51" t="str">
        <f>IFERROR(__xludf.DUMMYFUNCTION("""COMPUTED_VALUE"""),"")</f>
        <v/>
      </c>
      <c r="I384" s="51" t="str">
        <f>IFERROR(__xludf.DUMMYFUNCTION("""COMPUTED_VALUE"""),"#VALUE!")</f>
        <v>#VALUE!</v>
      </c>
      <c r="J384" s="51" t="str">
        <f>IFERROR(__xludf.DUMMYFUNCTION("""COMPUTED_VALUE"""),"")</f>
        <v/>
      </c>
      <c r="K384" s="51"/>
      <c r="L384" s="51" t="s">
        <v>257</v>
      </c>
      <c r="M384" s="51"/>
      <c r="N384" s="51"/>
      <c r="O384" s="51"/>
      <c r="P384" s="51"/>
      <c r="Q384" s="51"/>
      <c r="R384" s="51"/>
      <c r="S384" s="51"/>
      <c r="T384" s="51"/>
    </row>
    <row r="385">
      <c r="A385" s="51"/>
      <c r="B385" s="51"/>
      <c r="C385" s="56"/>
      <c r="D385" s="51"/>
      <c r="E385" s="51"/>
      <c r="F385" s="51"/>
      <c r="G385" s="51" t="str">
        <f>IFERROR(__xludf.DUMMYFUNCTION("""COMPUTED_VALUE"""),"#VALUE!")</f>
        <v>#VALUE!</v>
      </c>
      <c r="H385" s="51" t="str">
        <f>IFERROR(__xludf.DUMMYFUNCTION("""COMPUTED_VALUE"""),"")</f>
        <v/>
      </c>
      <c r="I385" s="51" t="str">
        <f>IFERROR(__xludf.DUMMYFUNCTION("""COMPUTED_VALUE"""),"#VALUE!")</f>
        <v>#VALUE!</v>
      </c>
      <c r="J385" s="51" t="str">
        <f>IFERROR(__xludf.DUMMYFUNCTION("""COMPUTED_VALUE"""),"")</f>
        <v/>
      </c>
      <c r="K385" s="51"/>
      <c r="L385" s="51" t="s">
        <v>257</v>
      </c>
      <c r="M385" s="51"/>
      <c r="N385" s="51"/>
      <c r="O385" s="51"/>
      <c r="P385" s="51"/>
      <c r="Q385" s="51"/>
      <c r="R385" s="51"/>
      <c r="S385" s="51"/>
      <c r="T385" s="51"/>
    </row>
    <row r="386">
      <c r="A386" s="51"/>
      <c r="B386" s="51"/>
      <c r="C386" s="56"/>
      <c r="D386" s="51"/>
      <c r="E386" s="51"/>
      <c r="F386" s="51"/>
      <c r="G386" s="51" t="str">
        <f>IFERROR(__xludf.DUMMYFUNCTION("""COMPUTED_VALUE"""),"#VALUE!")</f>
        <v>#VALUE!</v>
      </c>
      <c r="H386" s="51" t="str">
        <f>IFERROR(__xludf.DUMMYFUNCTION("""COMPUTED_VALUE"""),"")</f>
        <v/>
      </c>
      <c r="I386" s="51" t="str">
        <f>IFERROR(__xludf.DUMMYFUNCTION("""COMPUTED_VALUE"""),"#VALUE!")</f>
        <v>#VALUE!</v>
      </c>
      <c r="J386" s="51" t="str">
        <f>IFERROR(__xludf.DUMMYFUNCTION("""COMPUTED_VALUE"""),"")</f>
        <v/>
      </c>
      <c r="K386" s="51"/>
      <c r="L386" s="51" t="s">
        <v>257</v>
      </c>
      <c r="M386" s="51"/>
      <c r="N386" s="51"/>
      <c r="O386" s="51"/>
      <c r="P386" s="51"/>
      <c r="Q386" s="51"/>
      <c r="R386" s="51"/>
      <c r="S386" s="51"/>
      <c r="T386" s="51"/>
    </row>
    <row r="387">
      <c r="A387" s="51"/>
      <c r="B387" s="51"/>
      <c r="C387" s="56"/>
      <c r="D387" s="51"/>
      <c r="E387" s="51"/>
      <c r="F387" s="51"/>
      <c r="G387" s="51" t="str">
        <f>IFERROR(__xludf.DUMMYFUNCTION("""COMPUTED_VALUE"""),"#VALUE!")</f>
        <v>#VALUE!</v>
      </c>
      <c r="H387" s="51" t="str">
        <f>IFERROR(__xludf.DUMMYFUNCTION("""COMPUTED_VALUE"""),"")</f>
        <v/>
      </c>
      <c r="I387" s="51" t="str">
        <f>IFERROR(__xludf.DUMMYFUNCTION("""COMPUTED_VALUE"""),"#VALUE!")</f>
        <v>#VALUE!</v>
      </c>
      <c r="J387" s="51" t="str">
        <f>IFERROR(__xludf.DUMMYFUNCTION("""COMPUTED_VALUE"""),"")</f>
        <v/>
      </c>
      <c r="K387" s="51"/>
      <c r="L387" s="51" t="s">
        <v>257</v>
      </c>
      <c r="M387" s="51"/>
      <c r="N387" s="51"/>
      <c r="O387" s="51"/>
      <c r="P387" s="51"/>
      <c r="Q387" s="51"/>
      <c r="R387" s="51"/>
      <c r="S387" s="51"/>
      <c r="T387" s="51"/>
    </row>
    <row r="388">
      <c r="A388" s="51"/>
      <c r="B388" s="51"/>
      <c r="C388" s="56"/>
      <c r="D388" s="51"/>
      <c r="E388" s="51"/>
      <c r="F388" s="51"/>
      <c r="G388" s="51" t="str">
        <f>IFERROR(__xludf.DUMMYFUNCTION("""COMPUTED_VALUE"""),"#VALUE!")</f>
        <v>#VALUE!</v>
      </c>
      <c r="H388" s="51" t="str">
        <f>IFERROR(__xludf.DUMMYFUNCTION("""COMPUTED_VALUE"""),"")</f>
        <v/>
      </c>
      <c r="I388" s="51" t="str">
        <f>IFERROR(__xludf.DUMMYFUNCTION("""COMPUTED_VALUE"""),"#VALUE!")</f>
        <v>#VALUE!</v>
      </c>
      <c r="J388" s="51" t="str">
        <f>IFERROR(__xludf.DUMMYFUNCTION("""COMPUTED_VALUE"""),"")</f>
        <v/>
      </c>
      <c r="K388" s="51"/>
      <c r="L388" s="51" t="s">
        <v>257</v>
      </c>
      <c r="M388" s="51"/>
      <c r="N388" s="51"/>
      <c r="O388" s="51"/>
      <c r="P388" s="51"/>
      <c r="Q388" s="51"/>
      <c r="R388" s="51"/>
      <c r="S388" s="51"/>
      <c r="T388" s="51"/>
    </row>
    <row r="389">
      <c r="A389" s="51"/>
      <c r="B389" s="51"/>
      <c r="C389" s="56"/>
      <c r="D389" s="51"/>
      <c r="E389" s="51"/>
      <c r="F389" s="51"/>
      <c r="G389" s="51" t="str">
        <f>IFERROR(__xludf.DUMMYFUNCTION("""COMPUTED_VALUE"""),"#VALUE!")</f>
        <v>#VALUE!</v>
      </c>
      <c r="H389" s="51" t="str">
        <f>IFERROR(__xludf.DUMMYFUNCTION("""COMPUTED_VALUE"""),"")</f>
        <v/>
      </c>
      <c r="I389" s="51" t="str">
        <f>IFERROR(__xludf.DUMMYFUNCTION("""COMPUTED_VALUE"""),"#VALUE!")</f>
        <v>#VALUE!</v>
      </c>
      <c r="J389" s="51" t="str">
        <f>IFERROR(__xludf.DUMMYFUNCTION("""COMPUTED_VALUE"""),"")</f>
        <v/>
      </c>
      <c r="K389" s="51"/>
      <c r="L389" s="51" t="s">
        <v>257</v>
      </c>
      <c r="M389" s="51"/>
      <c r="N389" s="51"/>
      <c r="O389" s="51"/>
      <c r="P389" s="51"/>
      <c r="Q389" s="51"/>
      <c r="R389" s="51"/>
      <c r="S389" s="51"/>
      <c r="T389" s="51"/>
    </row>
    <row r="390">
      <c r="A390" s="51"/>
      <c r="B390" s="51"/>
      <c r="C390" s="56"/>
      <c r="D390" s="51"/>
      <c r="E390" s="51"/>
      <c r="F390" s="51"/>
      <c r="G390" s="51" t="str">
        <f>IFERROR(__xludf.DUMMYFUNCTION("""COMPUTED_VALUE"""),"#VALUE!")</f>
        <v>#VALUE!</v>
      </c>
      <c r="H390" s="51" t="str">
        <f>IFERROR(__xludf.DUMMYFUNCTION("""COMPUTED_VALUE"""),"")</f>
        <v/>
      </c>
      <c r="I390" s="51" t="str">
        <f>IFERROR(__xludf.DUMMYFUNCTION("""COMPUTED_VALUE"""),"#VALUE!")</f>
        <v>#VALUE!</v>
      </c>
      <c r="J390" s="51" t="str">
        <f>IFERROR(__xludf.DUMMYFUNCTION("""COMPUTED_VALUE"""),"")</f>
        <v/>
      </c>
      <c r="K390" s="51"/>
      <c r="L390" s="51" t="s">
        <v>257</v>
      </c>
      <c r="M390" s="51"/>
      <c r="N390" s="51"/>
      <c r="O390" s="51"/>
      <c r="P390" s="51"/>
      <c r="Q390" s="51"/>
      <c r="R390" s="51"/>
      <c r="S390" s="51"/>
      <c r="T390" s="51"/>
    </row>
    <row r="391">
      <c r="A391" s="51"/>
      <c r="B391" s="51"/>
      <c r="C391" s="56"/>
      <c r="D391" s="51"/>
      <c r="E391" s="51"/>
      <c r="F391" s="51"/>
      <c r="G391" s="51" t="str">
        <f>IFERROR(__xludf.DUMMYFUNCTION("""COMPUTED_VALUE"""),"#VALUE!")</f>
        <v>#VALUE!</v>
      </c>
      <c r="H391" s="51" t="str">
        <f>IFERROR(__xludf.DUMMYFUNCTION("""COMPUTED_VALUE"""),"")</f>
        <v/>
      </c>
      <c r="I391" s="51" t="str">
        <f>IFERROR(__xludf.DUMMYFUNCTION("""COMPUTED_VALUE"""),"#VALUE!")</f>
        <v>#VALUE!</v>
      </c>
      <c r="J391" s="51" t="str">
        <f>IFERROR(__xludf.DUMMYFUNCTION("""COMPUTED_VALUE"""),"")</f>
        <v/>
      </c>
      <c r="K391" s="51"/>
      <c r="L391" s="51" t="s">
        <v>257</v>
      </c>
      <c r="M391" s="51"/>
      <c r="N391" s="51"/>
      <c r="O391" s="51"/>
      <c r="P391" s="51"/>
      <c r="Q391" s="51"/>
      <c r="R391" s="51"/>
      <c r="S391" s="51"/>
      <c r="T391" s="51"/>
    </row>
    <row r="392">
      <c r="A392" s="51"/>
      <c r="B392" s="51"/>
      <c r="C392" s="56"/>
      <c r="D392" s="51"/>
      <c r="E392" s="51"/>
      <c r="F392" s="51"/>
      <c r="G392" s="51" t="str">
        <f>IFERROR(__xludf.DUMMYFUNCTION("""COMPUTED_VALUE"""),"#VALUE!")</f>
        <v>#VALUE!</v>
      </c>
      <c r="H392" s="51" t="str">
        <f>IFERROR(__xludf.DUMMYFUNCTION("""COMPUTED_VALUE"""),"")</f>
        <v/>
      </c>
      <c r="I392" s="51" t="str">
        <f>IFERROR(__xludf.DUMMYFUNCTION("""COMPUTED_VALUE"""),"#VALUE!")</f>
        <v>#VALUE!</v>
      </c>
      <c r="J392" s="51" t="str">
        <f>IFERROR(__xludf.DUMMYFUNCTION("""COMPUTED_VALUE"""),"")</f>
        <v/>
      </c>
      <c r="K392" s="51"/>
      <c r="L392" s="51" t="s">
        <v>257</v>
      </c>
      <c r="M392" s="51"/>
      <c r="N392" s="51"/>
      <c r="O392" s="51"/>
      <c r="P392" s="51"/>
      <c r="Q392" s="51"/>
      <c r="R392" s="51"/>
      <c r="S392" s="51"/>
      <c r="T392" s="51"/>
    </row>
    <row r="393">
      <c r="A393" s="51"/>
      <c r="B393" s="51"/>
      <c r="C393" s="56"/>
      <c r="D393" s="51"/>
      <c r="E393" s="51"/>
      <c r="F393" s="51"/>
      <c r="G393" s="51" t="str">
        <f>IFERROR(__xludf.DUMMYFUNCTION("""COMPUTED_VALUE"""),"#VALUE!")</f>
        <v>#VALUE!</v>
      </c>
      <c r="H393" s="51" t="str">
        <f>IFERROR(__xludf.DUMMYFUNCTION("""COMPUTED_VALUE"""),"")</f>
        <v/>
      </c>
      <c r="I393" s="51" t="str">
        <f>IFERROR(__xludf.DUMMYFUNCTION("""COMPUTED_VALUE"""),"#VALUE!")</f>
        <v>#VALUE!</v>
      </c>
      <c r="J393" s="51" t="str">
        <f>IFERROR(__xludf.DUMMYFUNCTION("""COMPUTED_VALUE"""),"")</f>
        <v/>
      </c>
      <c r="K393" s="51"/>
      <c r="L393" s="51" t="s">
        <v>257</v>
      </c>
      <c r="M393" s="51"/>
      <c r="N393" s="51"/>
      <c r="O393" s="51"/>
      <c r="P393" s="51"/>
      <c r="Q393" s="51"/>
      <c r="R393" s="51"/>
      <c r="S393" s="51"/>
      <c r="T393" s="51"/>
    </row>
    <row r="394">
      <c r="A394" s="51"/>
      <c r="B394" s="51"/>
      <c r="C394" s="56"/>
      <c r="D394" s="51"/>
      <c r="E394" s="51"/>
      <c r="F394" s="51"/>
      <c r="G394" s="51" t="str">
        <f>IFERROR(__xludf.DUMMYFUNCTION("""COMPUTED_VALUE"""),"#VALUE!")</f>
        <v>#VALUE!</v>
      </c>
      <c r="H394" s="51" t="str">
        <f>IFERROR(__xludf.DUMMYFUNCTION("""COMPUTED_VALUE"""),"")</f>
        <v/>
      </c>
      <c r="I394" s="51" t="str">
        <f>IFERROR(__xludf.DUMMYFUNCTION("""COMPUTED_VALUE"""),"#VALUE!")</f>
        <v>#VALUE!</v>
      </c>
      <c r="J394" s="51" t="str">
        <f>IFERROR(__xludf.DUMMYFUNCTION("""COMPUTED_VALUE"""),"")</f>
        <v/>
      </c>
      <c r="K394" s="51"/>
      <c r="L394" s="51" t="s">
        <v>257</v>
      </c>
      <c r="M394" s="51"/>
      <c r="N394" s="51"/>
      <c r="O394" s="51"/>
      <c r="P394" s="51"/>
      <c r="Q394" s="51"/>
      <c r="R394" s="51"/>
      <c r="S394" s="51"/>
      <c r="T394" s="51"/>
    </row>
    <row r="395">
      <c r="A395" s="51"/>
      <c r="B395" s="51"/>
      <c r="C395" s="56"/>
      <c r="D395" s="51"/>
      <c r="E395" s="51"/>
      <c r="F395" s="51"/>
      <c r="G395" s="51" t="str">
        <f>IFERROR(__xludf.DUMMYFUNCTION("""COMPUTED_VALUE"""),"#VALUE!")</f>
        <v>#VALUE!</v>
      </c>
      <c r="H395" s="51" t="str">
        <f>IFERROR(__xludf.DUMMYFUNCTION("""COMPUTED_VALUE"""),"")</f>
        <v/>
      </c>
      <c r="I395" s="51" t="str">
        <f>IFERROR(__xludf.DUMMYFUNCTION("""COMPUTED_VALUE"""),"#VALUE!")</f>
        <v>#VALUE!</v>
      </c>
      <c r="J395" s="51" t="str">
        <f>IFERROR(__xludf.DUMMYFUNCTION("""COMPUTED_VALUE"""),"")</f>
        <v/>
      </c>
      <c r="K395" s="51"/>
      <c r="L395" s="51" t="s">
        <v>257</v>
      </c>
      <c r="M395" s="51"/>
      <c r="N395" s="51"/>
      <c r="O395" s="51"/>
      <c r="P395" s="51"/>
      <c r="Q395" s="51"/>
      <c r="R395" s="51"/>
      <c r="S395" s="51"/>
      <c r="T395" s="51"/>
    </row>
    <row r="396">
      <c r="A396" s="51"/>
      <c r="B396" s="51"/>
      <c r="C396" s="56"/>
      <c r="D396" s="51"/>
      <c r="E396" s="51"/>
      <c r="F396" s="51"/>
      <c r="G396" s="51" t="str">
        <f>IFERROR(__xludf.DUMMYFUNCTION("""COMPUTED_VALUE"""),"#VALUE!")</f>
        <v>#VALUE!</v>
      </c>
      <c r="H396" s="51" t="str">
        <f>IFERROR(__xludf.DUMMYFUNCTION("""COMPUTED_VALUE"""),"")</f>
        <v/>
      </c>
      <c r="I396" s="51" t="str">
        <f>IFERROR(__xludf.DUMMYFUNCTION("""COMPUTED_VALUE"""),"#VALUE!")</f>
        <v>#VALUE!</v>
      </c>
      <c r="J396" s="51" t="str">
        <f>IFERROR(__xludf.DUMMYFUNCTION("""COMPUTED_VALUE"""),"")</f>
        <v/>
      </c>
      <c r="K396" s="51"/>
      <c r="L396" s="51" t="s">
        <v>257</v>
      </c>
      <c r="M396" s="51"/>
      <c r="N396" s="51"/>
      <c r="O396" s="51"/>
      <c r="P396" s="51"/>
      <c r="Q396" s="51"/>
      <c r="R396" s="51"/>
      <c r="S396" s="51"/>
      <c r="T396" s="51"/>
    </row>
    <row r="397">
      <c r="A397" s="51"/>
      <c r="B397" s="51"/>
      <c r="C397" s="56"/>
      <c r="D397" s="51"/>
      <c r="E397" s="51"/>
      <c r="F397" s="51"/>
      <c r="G397" s="51" t="str">
        <f>IFERROR(__xludf.DUMMYFUNCTION("""COMPUTED_VALUE"""),"#VALUE!")</f>
        <v>#VALUE!</v>
      </c>
      <c r="H397" s="51" t="str">
        <f>IFERROR(__xludf.DUMMYFUNCTION("""COMPUTED_VALUE"""),"")</f>
        <v/>
      </c>
      <c r="I397" s="51" t="str">
        <f>IFERROR(__xludf.DUMMYFUNCTION("""COMPUTED_VALUE"""),"#VALUE!")</f>
        <v>#VALUE!</v>
      </c>
      <c r="J397" s="51" t="str">
        <f>IFERROR(__xludf.DUMMYFUNCTION("""COMPUTED_VALUE"""),"")</f>
        <v/>
      </c>
      <c r="K397" s="51"/>
      <c r="L397" s="51" t="s">
        <v>257</v>
      </c>
      <c r="M397" s="51"/>
      <c r="N397" s="51"/>
      <c r="O397" s="51"/>
      <c r="P397" s="51"/>
      <c r="Q397" s="51"/>
      <c r="R397" s="51"/>
      <c r="S397" s="51"/>
      <c r="T397" s="51"/>
    </row>
    <row r="398">
      <c r="A398" s="51"/>
      <c r="B398" s="51"/>
      <c r="C398" s="56"/>
      <c r="D398" s="51"/>
      <c r="E398" s="51"/>
      <c r="F398" s="51"/>
      <c r="G398" s="51" t="str">
        <f>IFERROR(__xludf.DUMMYFUNCTION("""COMPUTED_VALUE"""),"#VALUE!")</f>
        <v>#VALUE!</v>
      </c>
      <c r="H398" s="51" t="str">
        <f>IFERROR(__xludf.DUMMYFUNCTION("""COMPUTED_VALUE"""),"")</f>
        <v/>
      </c>
      <c r="I398" s="51" t="str">
        <f>IFERROR(__xludf.DUMMYFUNCTION("""COMPUTED_VALUE"""),"#VALUE!")</f>
        <v>#VALUE!</v>
      </c>
      <c r="J398" s="51" t="str">
        <f>IFERROR(__xludf.DUMMYFUNCTION("""COMPUTED_VALUE"""),"")</f>
        <v/>
      </c>
      <c r="K398" s="51"/>
      <c r="L398" s="51" t="s">
        <v>257</v>
      </c>
      <c r="M398" s="51"/>
      <c r="N398" s="51"/>
      <c r="O398" s="51"/>
      <c r="P398" s="51"/>
      <c r="Q398" s="51"/>
      <c r="R398" s="51"/>
      <c r="S398" s="51"/>
      <c r="T398" s="51"/>
    </row>
    <row r="399">
      <c r="A399" s="51"/>
      <c r="B399" s="51"/>
      <c r="C399" s="56"/>
      <c r="D399" s="51"/>
      <c r="E399" s="51"/>
      <c r="F399" s="51"/>
      <c r="G399" s="51" t="str">
        <f>IFERROR(__xludf.DUMMYFUNCTION("""COMPUTED_VALUE"""),"#VALUE!")</f>
        <v>#VALUE!</v>
      </c>
      <c r="H399" s="51" t="str">
        <f>IFERROR(__xludf.DUMMYFUNCTION("""COMPUTED_VALUE"""),"")</f>
        <v/>
      </c>
      <c r="I399" s="51" t="str">
        <f>IFERROR(__xludf.DUMMYFUNCTION("""COMPUTED_VALUE"""),"#VALUE!")</f>
        <v>#VALUE!</v>
      </c>
      <c r="J399" s="51" t="str">
        <f>IFERROR(__xludf.DUMMYFUNCTION("""COMPUTED_VALUE"""),"")</f>
        <v/>
      </c>
      <c r="K399" s="51"/>
      <c r="L399" s="51" t="s">
        <v>257</v>
      </c>
      <c r="M399" s="51"/>
      <c r="N399" s="51"/>
      <c r="O399" s="51"/>
      <c r="P399" s="51"/>
      <c r="Q399" s="51"/>
      <c r="R399" s="51"/>
      <c r="S399" s="51"/>
      <c r="T399" s="51"/>
    </row>
    <row r="400">
      <c r="A400" s="51"/>
      <c r="B400" s="51"/>
      <c r="C400" s="56"/>
      <c r="D400" s="51"/>
      <c r="E400" s="51"/>
      <c r="F400" s="51"/>
      <c r="G400" s="51" t="str">
        <f>IFERROR(__xludf.DUMMYFUNCTION("""COMPUTED_VALUE"""),"#VALUE!")</f>
        <v>#VALUE!</v>
      </c>
      <c r="H400" s="51" t="str">
        <f>IFERROR(__xludf.DUMMYFUNCTION("""COMPUTED_VALUE"""),"")</f>
        <v/>
      </c>
      <c r="I400" s="51" t="str">
        <f>IFERROR(__xludf.DUMMYFUNCTION("""COMPUTED_VALUE"""),"#VALUE!")</f>
        <v>#VALUE!</v>
      </c>
      <c r="J400" s="51" t="str">
        <f>IFERROR(__xludf.DUMMYFUNCTION("""COMPUTED_VALUE"""),"")</f>
        <v/>
      </c>
      <c r="K400" s="51"/>
      <c r="L400" s="51" t="s">
        <v>257</v>
      </c>
      <c r="M400" s="51"/>
      <c r="N400" s="51"/>
      <c r="O400" s="51"/>
      <c r="P400" s="51"/>
      <c r="Q400" s="51"/>
      <c r="R400" s="51"/>
      <c r="S400" s="51"/>
      <c r="T400" s="51"/>
    </row>
    <row r="401">
      <c r="A401" s="51"/>
      <c r="B401" s="51"/>
      <c r="C401" s="56"/>
      <c r="D401" s="51"/>
      <c r="E401" s="51"/>
      <c r="F401" s="51"/>
      <c r="G401" s="51" t="str">
        <f>IFERROR(__xludf.DUMMYFUNCTION("""COMPUTED_VALUE"""),"#VALUE!")</f>
        <v>#VALUE!</v>
      </c>
      <c r="H401" s="51" t="str">
        <f>IFERROR(__xludf.DUMMYFUNCTION("""COMPUTED_VALUE"""),"")</f>
        <v/>
      </c>
      <c r="I401" s="51" t="str">
        <f>IFERROR(__xludf.DUMMYFUNCTION("""COMPUTED_VALUE"""),"#VALUE!")</f>
        <v>#VALUE!</v>
      </c>
      <c r="J401" s="51" t="str">
        <f>IFERROR(__xludf.DUMMYFUNCTION("""COMPUTED_VALUE"""),"")</f>
        <v/>
      </c>
      <c r="K401" s="51"/>
      <c r="L401" s="51" t="s">
        <v>257</v>
      </c>
      <c r="M401" s="51"/>
      <c r="N401" s="51"/>
      <c r="O401" s="51"/>
      <c r="P401" s="51"/>
      <c r="Q401" s="51"/>
      <c r="R401" s="51"/>
      <c r="S401" s="51"/>
      <c r="T401" s="51"/>
    </row>
    <row r="402">
      <c r="A402" s="51"/>
      <c r="B402" s="51"/>
      <c r="C402" s="56"/>
      <c r="D402" s="51"/>
      <c r="E402" s="51"/>
      <c r="F402" s="51"/>
      <c r="G402" s="51" t="str">
        <f>IFERROR(__xludf.DUMMYFUNCTION("""COMPUTED_VALUE"""),"#VALUE!")</f>
        <v>#VALUE!</v>
      </c>
      <c r="H402" s="51" t="str">
        <f>IFERROR(__xludf.DUMMYFUNCTION("""COMPUTED_VALUE"""),"")</f>
        <v/>
      </c>
      <c r="I402" s="51" t="str">
        <f>IFERROR(__xludf.DUMMYFUNCTION("""COMPUTED_VALUE"""),"#VALUE!")</f>
        <v>#VALUE!</v>
      </c>
      <c r="J402" s="51" t="str">
        <f>IFERROR(__xludf.DUMMYFUNCTION("""COMPUTED_VALUE"""),"")</f>
        <v/>
      </c>
      <c r="K402" s="51"/>
      <c r="L402" s="51" t="s">
        <v>257</v>
      </c>
      <c r="M402" s="51"/>
      <c r="N402" s="51"/>
      <c r="O402" s="51"/>
      <c r="P402" s="51"/>
      <c r="Q402" s="51"/>
      <c r="R402" s="51"/>
      <c r="S402" s="51"/>
      <c r="T402" s="51"/>
    </row>
    <row r="403">
      <c r="A403" s="51"/>
      <c r="B403" s="51"/>
      <c r="C403" s="56"/>
      <c r="D403" s="51"/>
      <c r="E403" s="51"/>
      <c r="F403" s="51"/>
      <c r="G403" s="51" t="str">
        <f>IFERROR(__xludf.DUMMYFUNCTION("""COMPUTED_VALUE"""),"#VALUE!")</f>
        <v>#VALUE!</v>
      </c>
      <c r="H403" s="51" t="str">
        <f>IFERROR(__xludf.DUMMYFUNCTION("""COMPUTED_VALUE"""),"")</f>
        <v/>
      </c>
      <c r="I403" s="51" t="str">
        <f>IFERROR(__xludf.DUMMYFUNCTION("""COMPUTED_VALUE"""),"#VALUE!")</f>
        <v>#VALUE!</v>
      </c>
      <c r="J403" s="51" t="str">
        <f>IFERROR(__xludf.DUMMYFUNCTION("""COMPUTED_VALUE"""),"")</f>
        <v/>
      </c>
      <c r="K403" s="51"/>
      <c r="L403" s="51" t="s">
        <v>257</v>
      </c>
      <c r="M403" s="51"/>
      <c r="N403" s="51"/>
      <c r="O403" s="51"/>
      <c r="P403" s="51"/>
      <c r="Q403" s="51"/>
      <c r="R403" s="51"/>
      <c r="S403" s="51"/>
      <c r="T403" s="51"/>
    </row>
    <row r="404">
      <c r="A404" s="51"/>
      <c r="B404" s="51"/>
      <c r="C404" s="56"/>
      <c r="D404" s="51"/>
      <c r="E404" s="51"/>
      <c r="F404" s="51"/>
      <c r="G404" s="51" t="str">
        <f>IFERROR(__xludf.DUMMYFUNCTION("""COMPUTED_VALUE"""),"#VALUE!")</f>
        <v>#VALUE!</v>
      </c>
      <c r="H404" s="51" t="str">
        <f>IFERROR(__xludf.DUMMYFUNCTION("""COMPUTED_VALUE"""),"")</f>
        <v/>
      </c>
      <c r="I404" s="51" t="str">
        <f>IFERROR(__xludf.DUMMYFUNCTION("""COMPUTED_VALUE"""),"#VALUE!")</f>
        <v>#VALUE!</v>
      </c>
      <c r="J404" s="51" t="str">
        <f>IFERROR(__xludf.DUMMYFUNCTION("""COMPUTED_VALUE"""),"")</f>
        <v/>
      </c>
      <c r="K404" s="51"/>
      <c r="L404" s="51" t="s">
        <v>257</v>
      </c>
      <c r="M404" s="51"/>
      <c r="N404" s="51"/>
      <c r="O404" s="51"/>
      <c r="P404" s="51"/>
      <c r="Q404" s="51"/>
      <c r="R404" s="51"/>
      <c r="S404" s="51"/>
      <c r="T404" s="51"/>
    </row>
    <row r="405">
      <c r="A405" s="51"/>
      <c r="B405" s="51"/>
      <c r="C405" s="56"/>
      <c r="D405" s="51"/>
      <c r="E405" s="51"/>
      <c r="F405" s="51"/>
      <c r="G405" s="51" t="str">
        <f>IFERROR(__xludf.DUMMYFUNCTION("""COMPUTED_VALUE"""),"#VALUE!")</f>
        <v>#VALUE!</v>
      </c>
      <c r="H405" s="51" t="str">
        <f>IFERROR(__xludf.DUMMYFUNCTION("""COMPUTED_VALUE"""),"")</f>
        <v/>
      </c>
      <c r="I405" s="51" t="str">
        <f>IFERROR(__xludf.DUMMYFUNCTION("""COMPUTED_VALUE"""),"#VALUE!")</f>
        <v>#VALUE!</v>
      </c>
      <c r="J405" s="51" t="str">
        <f>IFERROR(__xludf.DUMMYFUNCTION("""COMPUTED_VALUE"""),"")</f>
        <v/>
      </c>
      <c r="K405" s="51"/>
      <c r="L405" s="51" t="s">
        <v>257</v>
      </c>
      <c r="M405" s="51"/>
      <c r="N405" s="51"/>
      <c r="O405" s="51"/>
      <c r="P405" s="51"/>
      <c r="Q405" s="51"/>
      <c r="R405" s="51"/>
      <c r="S405" s="51"/>
      <c r="T405" s="51"/>
    </row>
    <row r="406">
      <c r="A406" s="51"/>
      <c r="B406" s="51"/>
      <c r="C406" s="56"/>
      <c r="D406" s="51"/>
      <c r="E406" s="51"/>
      <c r="F406" s="51"/>
      <c r="G406" s="51" t="str">
        <f>IFERROR(__xludf.DUMMYFUNCTION("""COMPUTED_VALUE"""),"#VALUE!")</f>
        <v>#VALUE!</v>
      </c>
      <c r="H406" s="51" t="str">
        <f>IFERROR(__xludf.DUMMYFUNCTION("""COMPUTED_VALUE"""),"")</f>
        <v/>
      </c>
      <c r="I406" s="51" t="str">
        <f>IFERROR(__xludf.DUMMYFUNCTION("""COMPUTED_VALUE"""),"#VALUE!")</f>
        <v>#VALUE!</v>
      </c>
      <c r="J406" s="51" t="str">
        <f>IFERROR(__xludf.DUMMYFUNCTION("""COMPUTED_VALUE"""),"")</f>
        <v/>
      </c>
      <c r="K406" s="51"/>
      <c r="L406" s="51" t="s">
        <v>257</v>
      </c>
      <c r="M406" s="51"/>
      <c r="N406" s="51"/>
      <c r="O406" s="51"/>
      <c r="P406" s="51"/>
      <c r="Q406" s="51"/>
      <c r="R406" s="51"/>
      <c r="S406" s="51"/>
      <c r="T406" s="51"/>
    </row>
    <row r="407">
      <c r="A407" s="51"/>
      <c r="B407" s="51"/>
      <c r="C407" s="56"/>
      <c r="D407" s="51"/>
      <c r="E407" s="51"/>
      <c r="F407" s="51"/>
      <c r="G407" s="51" t="str">
        <f>IFERROR(__xludf.DUMMYFUNCTION("""COMPUTED_VALUE"""),"#VALUE!")</f>
        <v>#VALUE!</v>
      </c>
      <c r="H407" s="51" t="str">
        <f>IFERROR(__xludf.DUMMYFUNCTION("""COMPUTED_VALUE"""),"")</f>
        <v/>
      </c>
      <c r="I407" s="51" t="str">
        <f>IFERROR(__xludf.DUMMYFUNCTION("""COMPUTED_VALUE"""),"#VALUE!")</f>
        <v>#VALUE!</v>
      </c>
      <c r="J407" s="51" t="str">
        <f>IFERROR(__xludf.DUMMYFUNCTION("""COMPUTED_VALUE"""),"")</f>
        <v/>
      </c>
      <c r="K407" s="51"/>
      <c r="L407" s="51" t="s">
        <v>257</v>
      </c>
      <c r="M407" s="51"/>
      <c r="N407" s="51"/>
      <c r="O407" s="51"/>
      <c r="P407" s="51"/>
      <c r="Q407" s="51"/>
      <c r="R407" s="51"/>
      <c r="S407" s="51"/>
      <c r="T407" s="51"/>
    </row>
    <row r="408">
      <c r="A408" s="51"/>
      <c r="B408" s="51"/>
      <c r="C408" s="56"/>
      <c r="D408" s="51"/>
      <c r="E408" s="51"/>
      <c r="F408" s="51"/>
      <c r="G408" s="51" t="str">
        <f>IFERROR(__xludf.DUMMYFUNCTION("""COMPUTED_VALUE"""),"#VALUE!")</f>
        <v>#VALUE!</v>
      </c>
      <c r="H408" s="51" t="str">
        <f>IFERROR(__xludf.DUMMYFUNCTION("""COMPUTED_VALUE"""),"")</f>
        <v/>
      </c>
      <c r="I408" s="51" t="str">
        <f>IFERROR(__xludf.DUMMYFUNCTION("""COMPUTED_VALUE"""),"#VALUE!")</f>
        <v>#VALUE!</v>
      </c>
      <c r="J408" s="51" t="str">
        <f>IFERROR(__xludf.DUMMYFUNCTION("""COMPUTED_VALUE"""),"")</f>
        <v/>
      </c>
      <c r="K408" s="51"/>
      <c r="L408" s="51" t="s">
        <v>257</v>
      </c>
      <c r="M408" s="51"/>
      <c r="N408" s="51"/>
      <c r="O408" s="51"/>
      <c r="P408" s="51"/>
      <c r="Q408" s="51"/>
      <c r="R408" s="51"/>
      <c r="S408" s="51"/>
      <c r="T408" s="51"/>
    </row>
    <row r="409">
      <c r="A409" s="51"/>
      <c r="B409" s="51"/>
      <c r="C409" s="56"/>
      <c r="D409" s="51"/>
      <c r="E409" s="51"/>
      <c r="F409" s="51"/>
      <c r="G409" s="51" t="str">
        <f>IFERROR(__xludf.DUMMYFUNCTION("""COMPUTED_VALUE"""),"#VALUE!")</f>
        <v>#VALUE!</v>
      </c>
      <c r="H409" s="51" t="str">
        <f>IFERROR(__xludf.DUMMYFUNCTION("""COMPUTED_VALUE"""),"")</f>
        <v/>
      </c>
      <c r="I409" s="51" t="str">
        <f>IFERROR(__xludf.DUMMYFUNCTION("""COMPUTED_VALUE"""),"#VALUE!")</f>
        <v>#VALUE!</v>
      </c>
      <c r="J409" s="51" t="str">
        <f>IFERROR(__xludf.DUMMYFUNCTION("""COMPUTED_VALUE"""),"")</f>
        <v/>
      </c>
      <c r="K409" s="51"/>
      <c r="L409" s="51" t="s">
        <v>257</v>
      </c>
      <c r="M409" s="51"/>
      <c r="N409" s="51"/>
      <c r="O409" s="51"/>
      <c r="P409" s="51"/>
      <c r="Q409" s="51"/>
      <c r="R409" s="51"/>
      <c r="S409" s="51"/>
      <c r="T409" s="51"/>
    </row>
    <row r="410">
      <c r="A410" s="51"/>
      <c r="B410" s="51"/>
      <c r="C410" s="56"/>
      <c r="D410" s="51"/>
      <c r="E410" s="51"/>
      <c r="F410" s="51"/>
      <c r="G410" s="51" t="str">
        <f>IFERROR(__xludf.DUMMYFUNCTION("""COMPUTED_VALUE"""),"#VALUE!")</f>
        <v>#VALUE!</v>
      </c>
      <c r="H410" s="51" t="str">
        <f>IFERROR(__xludf.DUMMYFUNCTION("""COMPUTED_VALUE"""),"")</f>
        <v/>
      </c>
      <c r="I410" s="51" t="str">
        <f>IFERROR(__xludf.DUMMYFUNCTION("""COMPUTED_VALUE"""),"#VALUE!")</f>
        <v>#VALUE!</v>
      </c>
      <c r="J410" s="51" t="str">
        <f>IFERROR(__xludf.DUMMYFUNCTION("""COMPUTED_VALUE"""),"")</f>
        <v/>
      </c>
      <c r="K410" s="51"/>
      <c r="L410" s="51" t="s">
        <v>257</v>
      </c>
      <c r="M410" s="51"/>
      <c r="N410" s="51"/>
      <c r="O410" s="51"/>
      <c r="P410" s="51"/>
      <c r="Q410" s="51"/>
      <c r="R410" s="51"/>
      <c r="S410" s="51"/>
      <c r="T410" s="51"/>
    </row>
    <row r="411">
      <c r="A411" s="51"/>
      <c r="B411" s="51"/>
      <c r="C411" s="56"/>
      <c r="D411" s="51"/>
      <c r="E411" s="51"/>
      <c r="F411" s="51"/>
      <c r="G411" s="51" t="str">
        <f>IFERROR(__xludf.DUMMYFUNCTION("""COMPUTED_VALUE"""),"#VALUE!")</f>
        <v>#VALUE!</v>
      </c>
      <c r="H411" s="51" t="str">
        <f>IFERROR(__xludf.DUMMYFUNCTION("""COMPUTED_VALUE"""),"")</f>
        <v/>
      </c>
      <c r="I411" s="51" t="str">
        <f>IFERROR(__xludf.DUMMYFUNCTION("""COMPUTED_VALUE"""),"#VALUE!")</f>
        <v>#VALUE!</v>
      </c>
      <c r="J411" s="51" t="str">
        <f>IFERROR(__xludf.DUMMYFUNCTION("""COMPUTED_VALUE"""),"")</f>
        <v/>
      </c>
      <c r="K411" s="51"/>
      <c r="L411" s="51" t="s">
        <v>257</v>
      </c>
      <c r="M411" s="51"/>
      <c r="N411" s="51"/>
      <c r="O411" s="51"/>
      <c r="P411" s="51"/>
      <c r="Q411" s="51"/>
      <c r="R411" s="51"/>
      <c r="S411" s="51"/>
      <c r="T411" s="51"/>
    </row>
    <row r="412">
      <c r="A412" s="51"/>
      <c r="B412" s="51"/>
      <c r="C412" s="56"/>
      <c r="D412" s="51"/>
      <c r="E412" s="51"/>
      <c r="F412" s="51"/>
      <c r="G412" s="51" t="str">
        <f>IFERROR(__xludf.DUMMYFUNCTION("""COMPUTED_VALUE"""),"#VALUE!")</f>
        <v>#VALUE!</v>
      </c>
      <c r="H412" s="51" t="str">
        <f>IFERROR(__xludf.DUMMYFUNCTION("""COMPUTED_VALUE"""),"")</f>
        <v/>
      </c>
      <c r="I412" s="51" t="str">
        <f>IFERROR(__xludf.DUMMYFUNCTION("""COMPUTED_VALUE"""),"#VALUE!")</f>
        <v>#VALUE!</v>
      </c>
      <c r="J412" s="51" t="str">
        <f>IFERROR(__xludf.DUMMYFUNCTION("""COMPUTED_VALUE"""),"")</f>
        <v/>
      </c>
      <c r="K412" s="51"/>
      <c r="L412" s="51" t="s">
        <v>257</v>
      </c>
      <c r="M412" s="51"/>
      <c r="N412" s="51"/>
      <c r="O412" s="51"/>
      <c r="P412" s="51"/>
      <c r="Q412" s="51"/>
      <c r="R412" s="51"/>
      <c r="S412" s="51"/>
      <c r="T412" s="51"/>
    </row>
    <row r="413">
      <c r="A413" s="51"/>
      <c r="B413" s="51"/>
      <c r="C413" s="56"/>
      <c r="D413" s="51"/>
      <c r="E413" s="51"/>
      <c r="F413" s="51"/>
      <c r="G413" s="51" t="str">
        <f>IFERROR(__xludf.DUMMYFUNCTION("""COMPUTED_VALUE"""),"#VALUE!")</f>
        <v>#VALUE!</v>
      </c>
      <c r="H413" s="51" t="str">
        <f>IFERROR(__xludf.DUMMYFUNCTION("""COMPUTED_VALUE"""),"")</f>
        <v/>
      </c>
      <c r="I413" s="51" t="str">
        <f>IFERROR(__xludf.DUMMYFUNCTION("""COMPUTED_VALUE"""),"#VALUE!")</f>
        <v>#VALUE!</v>
      </c>
      <c r="J413" s="51" t="str">
        <f>IFERROR(__xludf.DUMMYFUNCTION("""COMPUTED_VALUE"""),"")</f>
        <v/>
      </c>
      <c r="K413" s="51"/>
      <c r="L413" s="51" t="s">
        <v>257</v>
      </c>
      <c r="M413" s="51"/>
      <c r="N413" s="51"/>
      <c r="O413" s="51"/>
      <c r="P413" s="51"/>
      <c r="Q413" s="51"/>
      <c r="R413" s="51"/>
      <c r="S413" s="51"/>
      <c r="T413" s="51"/>
    </row>
    <row r="414">
      <c r="A414" s="51"/>
      <c r="B414" s="51"/>
      <c r="C414" s="56"/>
      <c r="D414" s="51"/>
      <c r="E414" s="51"/>
      <c r="F414" s="51"/>
      <c r="G414" s="51" t="str">
        <f>IFERROR(__xludf.DUMMYFUNCTION("""COMPUTED_VALUE"""),"#VALUE!")</f>
        <v>#VALUE!</v>
      </c>
      <c r="H414" s="51" t="str">
        <f>IFERROR(__xludf.DUMMYFUNCTION("""COMPUTED_VALUE"""),"")</f>
        <v/>
      </c>
      <c r="I414" s="51" t="str">
        <f>IFERROR(__xludf.DUMMYFUNCTION("""COMPUTED_VALUE"""),"#VALUE!")</f>
        <v>#VALUE!</v>
      </c>
      <c r="J414" s="51" t="str">
        <f>IFERROR(__xludf.DUMMYFUNCTION("""COMPUTED_VALUE"""),"")</f>
        <v/>
      </c>
      <c r="K414" s="51"/>
      <c r="L414" s="51" t="s">
        <v>257</v>
      </c>
      <c r="M414" s="51"/>
      <c r="N414" s="51"/>
      <c r="O414" s="51"/>
      <c r="P414" s="51"/>
      <c r="Q414" s="51"/>
      <c r="R414" s="51"/>
      <c r="S414" s="51"/>
      <c r="T414" s="51"/>
    </row>
    <row r="415">
      <c r="A415" s="51"/>
      <c r="B415" s="51"/>
      <c r="C415" s="56"/>
      <c r="D415" s="51"/>
      <c r="E415" s="51"/>
      <c r="F415" s="51"/>
      <c r="G415" s="51" t="str">
        <f>IFERROR(__xludf.DUMMYFUNCTION("""COMPUTED_VALUE"""),"#VALUE!")</f>
        <v>#VALUE!</v>
      </c>
      <c r="H415" s="51" t="str">
        <f>IFERROR(__xludf.DUMMYFUNCTION("""COMPUTED_VALUE"""),"")</f>
        <v/>
      </c>
      <c r="I415" s="51" t="str">
        <f>IFERROR(__xludf.DUMMYFUNCTION("""COMPUTED_VALUE"""),"#VALUE!")</f>
        <v>#VALUE!</v>
      </c>
      <c r="J415" s="51" t="str">
        <f>IFERROR(__xludf.DUMMYFUNCTION("""COMPUTED_VALUE"""),"")</f>
        <v/>
      </c>
      <c r="K415" s="51"/>
      <c r="L415" s="51" t="s">
        <v>257</v>
      </c>
      <c r="M415" s="51"/>
      <c r="N415" s="51"/>
      <c r="O415" s="51"/>
      <c r="P415" s="51"/>
      <c r="Q415" s="51"/>
      <c r="R415" s="51"/>
      <c r="S415" s="51"/>
      <c r="T415" s="51"/>
    </row>
    <row r="416">
      <c r="A416" s="51"/>
      <c r="B416" s="51"/>
      <c r="C416" s="56"/>
      <c r="D416" s="51"/>
      <c r="E416" s="51"/>
      <c r="F416" s="51"/>
      <c r="G416" s="51" t="str">
        <f>IFERROR(__xludf.DUMMYFUNCTION("""COMPUTED_VALUE"""),"#VALUE!")</f>
        <v>#VALUE!</v>
      </c>
      <c r="H416" s="51" t="str">
        <f>IFERROR(__xludf.DUMMYFUNCTION("""COMPUTED_VALUE"""),"")</f>
        <v/>
      </c>
      <c r="I416" s="51" t="str">
        <f>IFERROR(__xludf.DUMMYFUNCTION("""COMPUTED_VALUE"""),"#VALUE!")</f>
        <v>#VALUE!</v>
      </c>
      <c r="J416" s="51" t="str">
        <f>IFERROR(__xludf.DUMMYFUNCTION("""COMPUTED_VALUE"""),"")</f>
        <v/>
      </c>
      <c r="K416" s="51"/>
      <c r="L416" s="51" t="s">
        <v>257</v>
      </c>
      <c r="M416" s="51"/>
      <c r="N416" s="51"/>
      <c r="O416" s="51"/>
      <c r="P416" s="51"/>
      <c r="Q416" s="51"/>
      <c r="R416" s="51"/>
      <c r="S416" s="51"/>
      <c r="T416" s="51"/>
    </row>
    <row r="417">
      <c r="A417" s="51"/>
      <c r="B417" s="51"/>
      <c r="C417" s="56"/>
      <c r="D417" s="51"/>
      <c r="E417" s="51"/>
      <c r="F417" s="51"/>
      <c r="G417" s="51" t="str">
        <f>IFERROR(__xludf.DUMMYFUNCTION("""COMPUTED_VALUE"""),"#VALUE!")</f>
        <v>#VALUE!</v>
      </c>
      <c r="H417" s="51" t="str">
        <f>IFERROR(__xludf.DUMMYFUNCTION("""COMPUTED_VALUE"""),"")</f>
        <v/>
      </c>
      <c r="I417" s="51" t="str">
        <f>IFERROR(__xludf.DUMMYFUNCTION("""COMPUTED_VALUE"""),"#VALUE!")</f>
        <v>#VALUE!</v>
      </c>
      <c r="J417" s="51" t="str">
        <f>IFERROR(__xludf.DUMMYFUNCTION("""COMPUTED_VALUE"""),"")</f>
        <v/>
      </c>
      <c r="K417" s="51"/>
      <c r="L417" s="51" t="s">
        <v>257</v>
      </c>
      <c r="M417" s="51"/>
      <c r="N417" s="51"/>
      <c r="O417" s="51"/>
      <c r="P417" s="51"/>
      <c r="Q417" s="51"/>
      <c r="R417" s="51"/>
      <c r="S417" s="51"/>
      <c r="T417" s="51"/>
    </row>
    <row r="418">
      <c r="A418" s="51"/>
      <c r="B418" s="51"/>
      <c r="C418" s="56"/>
      <c r="D418" s="51"/>
      <c r="E418" s="51"/>
      <c r="F418" s="51"/>
      <c r="G418" s="51" t="str">
        <f>IFERROR(__xludf.DUMMYFUNCTION("""COMPUTED_VALUE"""),"#VALUE!")</f>
        <v>#VALUE!</v>
      </c>
      <c r="H418" s="51" t="str">
        <f>IFERROR(__xludf.DUMMYFUNCTION("""COMPUTED_VALUE"""),"")</f>
        <v/>
      </c>
      <c r="I418" s="51" t="str">
        <f>IFERROR(__xludf.DUMMYFUNCTION("""COMPUTED_VALUE"""),"#VALUE!")</f>
        <v>#VALUE!</v>
      </c>
      <c r="J418" s="51" t="str">
        <f>IFERROR(__xludf.DUMMYFUNCTION("""COMPUTED_VALUE"""),"")</f>
        <v/>
      </c>
      <c r="K418" s="51"/>
      <c r="L418" s="51" t="s">
        <v>257</v>
      </c>
      <c r="M418" s="51"/>
      <c r="N418" s="51"/>
      <c r="O418" s="51"/>
      <c r="P418" s="51"/>
      <c r="Q418" s="51"/>
      <c r="R418" s="51"/>
      <c r="S418" s="51"/>
      <c r="T418" s="51"/>
    </row>
    <row r="419">
      <c r="A419" s="51"/>
      <c r="B419" s="51"/>
      <c r="C419" s="56"/>
      <c r="D419" s="51"/>
      <c r="E419" s="51"/>
      <c r="F419" s="51"/>
      <c r="G419" s="51" t="str">
        <f>IFERROR(__xludf.DUMMYFUNCTION("""COMPUTED_VALUE"""),"#VALUE!")</f>
        <v>#VALUE!</v>
      </c>
      <c r="H419" s="51" t="str">
        <f>IFERROR(__xludf.DUMMYFUNCTION("""COMPUTED_VALUE"""),"")</f>
        <v/>
      </c>
      <c r="I419" s="51" t="str">
        <f>IFERROR(__xludf.DUMMYFUNCTION("""COMPUTED_VALUE"""),"#VALUE!")</f>
        <v>#VALUE!</v>
      </c>
      <c r="J419" s="51" t="str">
        <f>IFERROR(__xludf.DUMMYFUNCTION("""COMPUTED_VALUE"""),"")</f>
        <v/>
      </c>
      <c r="K419" s="51"/>
      <c r="L419" s="51" t="s">
        <v>257</v>
      </c>
      <c r="M419" s="51"/>
      <c r="N419" s="51"/>
      <c r="O419" s="51"/>
      <c r="P419" s="51"/>
      <c r="Q419" s="51"/>
      <c r="R419" s="51"/>
      <c r="S419" s="51"/>
      <c r="T419" s="51"/>
    </row>
    <row r="420">
      <c r="A420" s="51"/>
      <c r="B420" s="51"/>
      <c r="C420" s="56"/>
      <c r="D420" s="51"/>
      <c r="E420" s="51"/>
      <c r="F420" s="51"/>
      <c r="G420" s="51" t="str">
        <f>IFERROR(__xludf.DUMMYFUNCTION("""COMPUTED_VALUE"""),"#VALUE!")</f>
        <v>#VALUE!</v>
      </c>
      <c r="H420" s="51" t="str">
        <f>IFERROR(__xludf.DUMMYFUNCTION("""COMPUTED_VALUE"""),"")</f>
        <v/>
      </c>
      <c r="I420" s="51" t="str">
        <f>IFERROR(__xludf.DUMMYFUNCTION("""COMPUTED_VALUE"""),"#VALUE!")</f>
        <v>#VALUE!</v>
      </c>
      <c r="J420" s="51" t="str">
        <f>IFERROR(__xludf.DUMMYFUNCTION("""COMPUTED_VALUE"""),"")</f>
        <v/>
      </c>
      <c r="K420" s="51"/>
      <c r="L420" s="51" t="s">
        <v>257</v>
      </c>
      <c r="M420" s="51"/>
      <c r="N420" s="51"/>
      <c r="O420" s="51"/>
      <c r="P420" s="51"/>
      <c r="Q420" s="51"/>
      <c r="R420" s="51"/>
      <c r="S420" s="51"/>
      <c r="T420" s="51"/>
    </row>
    <row r="421">
      <c r="A421" s="51"/>
      <c r="B421" s="51"/>
      <c r="C421" s="56"/>
      <c r="D421" s="51"/>
      <c r="E421" s="51"/>
      <c r="F421" s="51"/>
      <c r="G421" s="51" t="str">
        <f>IFERROR(__xludf.DUMMYFUNCTION("""COMPUTED_VALUE"""),"#VALUE!")</f>
        <v>#VALUE!</v>
      </c>
      <c r="H421" s="51" t="str">
        <f>IFERROR(__xludf.DUMMYFUNCTION("""COMPUTED_VALUE"""),"")</f>
        <v/>
      </c>
      <c r="I421" s="51" t="str">
        <f>IFERROR(__xludf.DUMMYFUNCTION("""COMPUTED_VALUE"""),"#VALUE!")</f>
        <v>#VALUE!</v>
      </c>
      <c r="J421" s="51" t="str">
        <f>IFERROR(__xludf.DUMMYFUNCTION("""COMPUTED_VALUE"""),"")</f>
        <v/>
      </c>
      <c r="K421" s="51"/>
      <c r="L421" s="51" t="s">
        <v>257</v>
      </c>
      <c r="M421" s="51"/>
      <c r="N421" s="51"/>
      <c r="O421" s="51"/>
      <c r="P421" s="51"/>
      <c r="Q421" s="51"/>
      <c r="R421" s="51"/>
      <c r="S421" s="51"/>
      <c r="T421" s="51"/>
    </row>
    <row r="422">
      <c r="A422" s="51"/>
      <c r="B422" s="51"/>
      <c r="C422" s="56"/>
      <c r="D422" s="51"/>
      <c r="E422" s="51"/>
      <c r="F422" s="51"/>
      <c r="G422" s="51" t="str">
        <f>IFERROR(__xludf.DUMMYFUNCTION("""COMPUTED_VALUE"""),"#VALUE!")</f>
        <v>#VALUE!</v>
      </c>
      <c r="H422" s="51" t="str">
        <f>IFERROR(__xludf.DUMMYFUNCTION("""COMPUTED_VALUE"""),"")</f>
        <v/>
      </c>
      <c r="I422" s="51" t="str">
        <f>IFERROR(__xludf.DUMMYFUNCTION("""COMPUTED_VALUE"""),"#VALUE!")</f>
        <v>#VALUE!</v>
      </c>
      <c r="J422" s="51" t="str">
        <f>IFERROR(__xludf.DUMMYFUNCTION("""COMPUTED_VALUE"""),"")</f>
        <v/>
      </c>
      <c r="K422" s="51"/>
      <c r="L422" s="51" t="s">
        <v>257</v>
      </c>
      <c r="M422" s="51"/>
      <c r="N422" s="51"/>
      <c r="O422" s="51"/>
      <c r="P422" s="51"/>
      <c r="Q422" s="51"/>
      <c r="R422" s="51"/>
      <c r="S422" s="51"/>
      <c r="T422" s="51"/>
    </row>
    <row r="423">
      <c r="A423" s="51"/>
      <c r="B423" s="51"/>
      <c r="C423" s="56"/>
      <c r="D423" s="51"/>
      <c r="E423" s="51"/>
      <c r="F423" s="51"/>
      <c r="G423" s="51" t="str">
        <f>IFERROR(__xludf.DUMMYFUNCTION("""COMPUTED_VALUE"""),"#VALUE!")</f>
        <v>#VALUE!</v>
      </c>
      <c r="H423" s="51" t="str">
        <f>IFERROR(__xludf.DUMMYFUNCTION("""COMPUTED_VALUE"""),"")</f>
        <v/>
      </c>
      <c r="I423" s="51" t="str">
        <f>IFERROR(__xludf.DUMMYFUNCTION("""COMPUTED_VALUE"""),"#VALUE!")</f>
        <v>#VALUE!</v>
      </c>
      <c r="J423" s="51" t="str">
        <f>IFERROR(__xludf.DUMMYFUNCTION("""COMPUTED_VALUE"""),"")</f>
        <v/>
      </c>
      <c r="K423" s="51"/>
      <c r="L423" s="51" t="s">
        <v>257</v>
      </c>
      <c r="M423" s="51"/>
      <c r="N423" s="51"/>
      <c r="O423" s="51"/>
      <c r="P423" s="51"/>
      <c r="Q423" s="51"/>
      <c r="R423" s="51"/>
      <c r="S423" s="51"/>
      <c r="T423" s="51"/>
    </row>
    <row r="424">
      <c r="A424" s="51"/>
      <c r="B424" s="51"/>
      <c r="C424" s="56"/>
      <c r="D424" s="51"/>
      <c r="E424" s="51"/>
      <c r="F424" s="51"/>
      <c r="G424" s="51" t="str">
        <f>IFERROR(__xludf.DUMMYFUNCTION("""COMPUTED_VALUE"""),"#VALUE!")</f>
        <v>#VALUE!</v>
      </c>
      <c r="H424" s="51" t="str">
        <f>IFERROR(__xludf.DUMMYFUNCTION("""COMPUTED_VALUE"""),"")</f>
        <v/>
      </c>
      <c r="I424" s="51" t="str">
        <f>IFERROR(__xludf.DUMMYFUNCTION("""COMPUTED_VALUE"""),"#VALUE!")</f>
        <v>#VALUE!</v>
      </c>
      <c r="J424" s="51" t="str">
        <f>IFERROR(__xludf.DUMMYFUNCTION("""COMPUTED_VALUE"""),"")</f>
        <v/>
      </c>
      <c r="K424" s="51"/>
      <c r="L424" s="51" t="s">
        <v>257</v>
      </c>
      <c r="M424" s="51"/>
      <c r="N424" s="51"/>
      <c r="O424" s="51"/>
      <c r="P424" s="51"/>
      <c r="Q424" s="51"/>
      <c r="R424" s="51"/>
      <c r="S424" s="51"/>
      <c r="T424" s="51"/>
    </row>
    <row r="425">
      <c r="A425" s="51"/>
      <c r="B425" s="51"/>
      <c r="C425" s="56"/>
      <c r="D425" s="51"/>
      <c r="E425" s="51"/>
      <c r="F425" s="51"/>
      <c r="G425" s="51" t="str">
        <f>IFERROR(__xludf.DUMMYFUNCTION("""COMPUTED_VALUE"""),"#VALUE!")</f>
        <v>#VALUE!</v>
      </c>
      <c r="H425" s="51" t="str">
        <f>IFERROR(__xludf.DUMMYFUNCTION("""COMPUTED_VALUE"""),"")</f>
        <v/>
      </c>
      <c r="I425" s="51" t="str">
        <f>IFERROR(__xludf.DUMMYFUNCTION("""COMPUTED_VALUE"""),"#VALUE!")</f>
        <v>#VALUE!</v>
      </c>
      <c r="J425" s="51" t="str">
        <f>IFERROR(__xludf.DUMMYFUNCTION("""COMPUTED_VALUE"""),"")</f>
        <v/>
      </c>
      <c r="K425" s="51"/>
      <c r="L425" s="51" t="s">
        <v>257</v>
      </c>
      <c r="M425" s="51"/>
      <c r="N425" s="51"/>
      <c r="O425" s="51"/>
      <c r="P425" s="51"/>
      <c r="Q425" s="51"/>
      <c r="R425" s="51"/>
      <c r="S425" s="51"/>
      <c r="T425" s="51"/>
    </row>
    <row r="426">
      <c r="A426" s="51"/>
      <c r="B426" s="51"/>
      <c r="C426" s="56"/>
      <c r="D426" s="51"/>
      <c r="E426" s="51"/>
      <c r="F426" s="51"/>
      <c r="G426" s="51" t="str">
        <f>IFERROR(__xludf.DUMMYFUNCTION("""COMPUTED_VALUE"""),"#VALUE!")</f>
        <v>#VALUE!</v>
      </c>
      <c r="H426" s="51" t="str">
        <f>IFERROR(__xludf.DUMMYFUNCTION("""COMPUTED_VALUE"""),"")</f>
        <v/>
      </c>
      <c r="I426" s="51" t="str">
        <f>IFERROR(__xludf.DUMMYFUNCTION("""COMPUTED_VALUE"""),"#VALUE!")</f>
        <v>#VALUE!</v>
      </c>
      <c r="J426" s="51" t="str">
        <f>IFERROR(__xludf.DUMMYFUNCTION("""COMPUTED_VALUE"""),"")</f>
        <v/>
      </c>
      <c r="K426" s="51"/>
      <c r="L426" s="51" t="s">
        <v>257</v>
      </c>
      <c r="M426" s="51"/>
      <c r="N426" s="51"/>
      <c r="O426" s="51"/>
      <c r="P426" s="51"/>
      <c r="Q426" s="51"/>
      <c r="R426" s="51"/>
      <c r="S426" s="51"/>
      <c r="T426" s="51"/>
    </row>
    <row r="427">
      <c r="A427" s="51"/>
      <c r="B427" s="51"/>
      <c r="C427" s="56"/>
      <c r="D427" s="51"/>
      <c r="E427" s="51"/>
      <c r="F427" s="51"/>
      <c r="G427" s="51" t="str">
        <f>IFERROR(__xludf.DUMMYFUNCTION("""COMPUTED_VALUE"""),"#VALUE!")</f>
        <v>#VALUE!</v>
      </c>
      <c r="H427" s="51" t="str">
        <f>IFERROR(__xludf.DUMMYFUNCTION("""COMPUTED_VALUE"""),"")</f>
        <v/>
      </c>
      <c r="I427" s="51" t="str">
        <f>IFERROR(__xludf.DUMMYFUNCTION("""COMPUTED_VALUE"""),"#VALUE!")</f>
        <v>#VALUE!</v>
      </c>
      <c r="J427" s="51" t="str">
        <f>IFERROR(__xludf.DUMMYFUNCTION("""COMPUTED_VALUE"""),"")</f>
        <v/>
      </c>
      <c r="K427" s="51"/>
      <c r="L427" s="51" t="s">
        <v>257</v>
      </c>
      <c r="M427" s="51"/>
      <c r="N427" s="51"/>
      <c r="O427" s="51"/>
      <c r="P427" s="51"/>
      <c r="Q427" s="51"/>
      <c r="R427" s="51"/>
      <c r="S427" s="51"/>
      <c r="T427" s="51"/>
    </row>
    <row r="428">
      <c r="A428" s="51"/>
      <c r="B428" s="51"/>
      <c r="C428" s="56"/>
      <c r="D428" s="51"/>
      <c r="E428" s="51"/>
      <c r="F428" s="51"/>
      <c r="G428" s="51" t="str">
        <f>IFERROR(__xludf.DUMMYFUNCTION("""COMPUTED_VALUE"""),"#VALUE!")</f>
        <v>#VALUE!</v>
      </c>
      <c r="H428" s="51" t="str">
        <f>IFERROR(__xludf.DUMMYFUNCTION("""COMPUTED_VALUE"""),"")</f>
        <v/>
      </c>
      <c r="I428" s="51" t="str">
        <f>IFERROR(__xludf.DUMMYFUNCTION("""COMPUTED_VALUE"""),"#VALUE!")</f>
        <v>#VALUE!</v>
      </c>
      <c r="J428" s="51" t="str">
        <f>IFERROR(__xludf.DUMMYFUNCTION("""COMPUTED_VALUE"""),"")</f>
        <v/>
      </c>
      <c r="K428" s="51"/>
      <c r="L428" s="51" t="s">
        <v>257</v>
      </c>
      <c r="M428" s="51"/>
      <c r="N428" s="51"/>
      <c r="O428" s="51"/>
      <c r="P428" s="51"/>
      <c r="Q428" s="51"/>
      <c r="R428" s="51"/>
      <c r="S428" s="51"/>
      <c r="T428" s="51"/>
    </row>
    <row r="429">
      <c r="A429" s="51"/>
      <c r="B429" s="51"/>
      <c r="C429" s="56"/>
      <c r="D429" s="51"/>
      <c r="E429" s="51"/>
      <c r="F429" s="51"/>
      <c r="G429" s="51" t="str">
        <f>IFERROR(__xludf.DUMMYFUNCTION("""COMPUTED_VALUE"""),"#VALUE!")</f>
        <v>#VALUE!</v>
      </c>
      <c r="H429" s="51" t="str">
        <f>IFERROR(__xludf.DUMMYFUNCTION("""COMPUTED_VALUE"""),"")</f>
        <v/>
      </c>
      <c r="I429" s="51" t="str">
        <f>IFERROR(__xludf.DUMMYFUNCTION("""COMPUTED_VALUE"""),"#VALUE!")</f>
        <v>#VALUE!</v>
      </c>
      <c r="J429" s="51" t="str">
        <f>IFERROR(__xludf.DUMMYFUNCTION("""COMPUTED_VALUE"""),"")</f>
        <v/>
      </c>
      <c r="K429" s="51"/>
      <c r="L429" s="51" t="s">
        <v>257</v>
      </c>
      <c r="M429" s="51"/>
      <c r="N429" s="51"/>
      <c r="O429" s="51"/>
      <c r="P429" s="51"/>
      <c r="Q429" s="51"/>
      <c r="R429" s="51"/>
      <c r="S429" s="51"/>
      <c r="T429" s="51"/>
    </row>
    <row r="430">
      <c r="A430" s="51"/>
      <c r="B430" s="51"/>
      <c r="C430" s="56"/>
      <c r="D430" s="51"/>
      <c r="E430" s="51"/>
      <c r="F430" s="51"/>
      <c r="G430" s="51" t="str">
        <f>IFERROR(__xludf.DUMMYFUNCTION("""COMPUTED_VALUE"""),"#VALUE!")</f>
        <v>#VALUE!</v>
      </c>
      <c r="H430" s="51" t="str">
        <f>IFERROR(__xludf.DUMMYFUNCTION("""COMPUTED_VALUE"""),"")</f>
        <v/>
      </c>
      <c r="I430" s="51" t="str">
        <f>IFERROR(__xludf.DUMMYFUNCTION("""COMPUTED_VALUE"""),"#VALUE!")</f>
        <v>#VALUE!</v>
      </c>
      <c r="J430" s="51" t="str">
        <f>IFERROR(__xludf.DUMMYFUNCTION("""COMPUTED_VALUE"""),"")</f>
        <v/>
      </c>
      <c r="K430" s="51"/>
      <c r="L430" s="51" t="s">
        <v>257</v>
      </c>
      <c r="M430" s="51"/>
      <c r="N430" s="51"/>
      <c r="O430" s="51"/>
      <c r="P430" s="51"/>
      <c r="Q430" s="51"/>
      <c r="R430" s="51"/>
      <c r="S430" s="51"/>
      <c r="T430" s="51"/>
    </row>
    <row r="431">
      <c r="A431" s="51"/>
      <c r="B431" s="51"/>
      <c r="C431" s="56"/>
      <c r="D431" s="51"/>
      <c r="E431" s="51"/>
      <c r="F431" s="51"/>
      <c r="G431" s="51" t="str">
        <f>IFERROR(__xludf.DUMMYFUNCTION("""COMPUTED_VALUE"""),"#VALUE!")</f>
        <v>#VALUE!</v>
      </c>
      <c r="H431" s="51" t="str">
        <f>IFERROR(__xludf.DUMMYFUNCTION("""COMPUTED_VALUE"""),"")</f>
        <v/>
      </c>
      <c r="I431" s="51" t="str">
        <f>IFERROR(__xludf.DUMMYFUNCTION("""COMPUTED_VALUE"""),"#VALUE!")</f>
        <v>#VALUE!</v>
      </c>
      <c r="J431" s="51" t="str">
        <f>IFERROR(__xludf.DUMMYFUNCTION("""COMPUTED_VALUE"""),"")</f>
        <v/>
      </c>
      <c r="K431" s="51"/>
      <c r="L431" s="51" t="s">
        <v>257</v>
      </c>
      <c r="M431" s="51"/>
      <c r="N431" s="51"/>
      <c r="O431" s="51"/>
      <c r="P431" s="51"/>
      <c r="Q431" s="51"/>
      <c r="R431" s="51"/>
      <c r="S431" s="51"/>
      <c r="T431" s="51"/>
    </row>
    <row r="432">
      <c r="A432" s="51"/>
      <c r="B432" s="51"/>
      <c r="C432" s="56"/>
      <c r="D432" s="51"/>
      <c r="E432" s="51"/>
      <c r="F432" s="51"/>
      <c r="G432" s="51" t="str">
        <f>IFERROR(__xludf.DUMMYFUNCTION("""COMPUTED_VALUE"""),"#VALUE!")</f>
        <v>#VALUE!</v>
      </c>
      <c r="H432" s="51" t="str">
        <f>IFERROR(__xludf.DUMMYFUNCTION("""COMPUTED_VALUE"""),"")</f>
        <v/>
      </c>
      <c r="I432" s="51" t="str">
        <f>IFERROR(__xludf.DUMMYFUNCTION("""COMPUTED_VALUE"""),"#VALUE!")</f>
        <v>#VALUE!</v>
      </c>
      <c r="J432" s="51" t="str">
        <f>IFERROR(__xludf.DUMMYFUNCTION("""COMPUTED_VALUE"""),"")</f>
        <v/>
      </c>
      <c r="K432" s="51"/>
      <c r="L432" s="51" t="s">
        <v>257</v>
      </c>
      <c r="M432" s="51"/>
      <c r="N432" s="51"/>
      <c r="O432" s="51"/>
      <c r="P432" s="51"/>
      <c r="Q432" s="51"/>
      <c r="R432" s="51"/>
      <c r="S432" s="51"/>
      <c r="T432" s="51"/>
    </row>
    <row r="433">
      <c r="A433" s="51"/>
      <c r="B433" s="51"/>
      <c r="C433" s="56"/>
      <c r="D433" s="51"/>
      <c r="E433" s="51"/>
      <c r="F433" s="51"/>
      <c r="G433" s="51" t="str">
        <f>IFERROR(__xludf.DUMMYFUNCTION("""COMPUTED_VALUE"""),"#VALUE!")</f>
        <v>#VALUE!</v>
      </c>
      <c r="H433" s="51" t="str">
        <f>IFERROR(__xludf.DUMMYFUNCTION("""COMPUTED_VALUE"""),"")</f>
        <v/>
      </c>
      <c r="I433" s="51" t="str">
        <f>IFERROR(__xludf.DUMMYFUNCTION("""COMPUTED_VALUE"""),"#VALUE!")</f>
        <v>#VALUE!</v>
      </c>
      <c r="J433" s="51" t="str">
        <f>IFERROR(__xludf.DUMMYFUNCTION("""COMPUTED_VALUE"""),"")</f>
        <v/>
      </c>
      <c r="K433" s="51"/>
      <c r="L433" s="51" t="s">
        <v>257</v>
      </c>
      <c r="M433" s="51"/>
      <c r="N433" s="51"/>
      <c r="O433" s="51"/>
      <c r="P433" s="51"/>
      <c r="Q433" s="51"/>
      <c r="R433" s="51"/>
      <c r="S433" s="51"/>
      <c r="T433" s="51"/>
    </row>
    <row r="434">
      <c r="A434" s="51"/>
      <c r="B434" s="51"/>
      <c r="C434" s="56"/>
      <c r="D434" s="51"/>
      <c r="E434" s="51"/>
      <c r="F434" s="51"/>
      <c r="G434" s="51" t="str">
        <f>IFERROR(__xludf.DUMMYFUNCTION("""COMPUTED_VALUE"""),"#VALUE!")</f>
        <v>#VALUE!</v>
      </c>
      <c r="H434" s="51" t="str">
        <f>IFERROR(__xludf.DUMMYFUNCTION("""COMPUTED_VALUE"""),"")</f>
        <v/>
      </c>
      <c r="I434" s="51" t="str">
        <f>IFERROR(__xludf.DUMMYFUNCTION("""COMPUTED_VALUE"""),"#VALUE!")</f>
        <v>#VALUE!</v>
      </c>
      <c r="J434" s="51" t="str">
        <f>IFERROR(__xludf.DUMMYFUNCTION("""COMPUTED_VALUE"""),"")</f>
        <v/>
      </c>
      <c r="K434" s="51"/>
      <c r="L434" s="51" t="s">
        <v>257</v>
      </c>
      <c r="M434" s="51"/>
      <c r="N434" s="51"/>
      <c r="O434" s="51"/>
      <c r="P434" s="51"/>
      <c r="Q434" s="51"/>
      <c r="R434" s="51"/>
      <c r="S434" s="51"/>
      <c r="T434" s="51"/>
    </row>
    <row r="435">
      <c r="A435" s="51"/>
      <c r="B435" s="51"/>
      <c r="C435" s="56"/>
      <c r="D435" s="51"/>
      <c r="E435" s="51"/>
      <c r="F435" s="51"/>
      <c r="G435" s="51" t="str">
        <f>IFERROR(__xludf.DUMMYFUNCTION("""COMPUTED_VALUE"""),"#VALUE!")</f>
        <v>#VALUE!</v>
      </c>
      <c r="H435" s="51" t="str">
        <f>IFERROR(__xludf.DUMMYFUNCTION("""COMPUTED_VALUE"""),"")</f>
        <v/>
      </c>
      <c r="I435" s="51" t="str">
        <f>IFERROR(__xludf.DUMMYFUNCTION("""COMPUTED_VALUE"""),"#VALUE!")</f>
        <v>#VALUE!</v>
      </c>
      <c r="J435" s="51" t="str">
        <f>IFERROR(__xludf.DUMMYFUNCTION("""COMPUTED_VALUE"""),"")</f>
        <v/>
      </c>
      <c r="K435" s="51"/>
      <c r="L435" s="51" t="s">
        <v>257</v>
      </c>
      <c r="M435" s="51"/>
      <c r="N435" s="51"/>
      <c r="O435" s="51"/>
      <c r="P435" s="51"/>
      <c r="Q435" s="51"/>
      <c r="R435" s="51"/>
      <c r="S435" s="51"/>
      <c r="T435" s="51"/>
    </row>
    <row r="436">
      <c r="A436" s="51"/>
      <c r="B436" s="51"/>
      <c r="C436" s="56"/>
      <c r="D436" s="51"/>
      <c r="E436" s="51"/>
      <c r="F436" s="51"/>
      <c r="G436" s="51" t="str">
        <f>IFERROR(__xludf.DUMMYFUNCTION("""COMPUTED_VALUE"""),"#VALUE!")</f>
        <v>#VALUE!</v>
      </c>
      <c r="H436" s="51" t="str">
        <f>IFERROR(__xludf.DUMMYFUNCTION("""COMPUTED_VALUE"""),"")</f>
        <v/>
      </c>
      <c r="I436" s="51" t="str">
        <f>IFERROR(__xludf.DUMMYFUNCTION("""COMPUTED_VALUE"""),"#VALUE!")</f>
        <v>#VALUE!</v>
      </c>
      <c r="J436" s="51" t="str">
        <f>IFERROR(__xludf.DUMMYFUNCTION("""COMPUTED_VALUE"""),"")</f>
        <v/>
      </c>
      <c r="K436" s="51"/>
      <c r="L436" s="51" t="s">
        <v>257</v>
      </c>
      <c r="M436" s="51"/>
      <c r="N436" s="51"/>
      <c r="O436" s="51"/>
      <c r="P436" s="51"/>
      <c r="Q436" s="51"/>
      <c r="R436" s="51"/>
      <c r="S436" s="51"/>
      <c r="T436" s="51"/>
    </row>
    <row r="437">
      <c r="A437" s="51"/>
      <c r="B437" s="51"/>
      <c r="C437" s="56"/>
      <c r="D437" s="51"/>
      <c r="E437" s="51"/>
      <c r="F437" s="51"/>
      <c r="G437" s="51" t="str">
        <f>IFERROR(__xludf.DUMMYFUNCTION("""COMPUTED_VALUE"""),"#VALUE!")</f>
        <v>#VALUE!</v>
      </c>
      <c r="H437" s="51" t="str">
        <f>IFERROR(__xludf.DUMMYFUNCTION("""COMPUTED_VALUE"""),"")</f>
        <v/>
      </c>
      <c r="I437" s="51" t="str">
        <f>IFERROR(__xludf.DUMMYFUNCTION("""COMPUTED_VALUE"""),"#VALUE!")</f>
        <v>#VALUE!</v>
      </c>
      <c r="J437" s="51" t="str">
        <f>IFERROR(__xludf.DUMMYFUNCTION("""COMPUTED_VALUE"""),"")</f>
        <v/>
      </c>
      <c r="K437" s="51"/>
      <c r="L437" s="51" t="s">
        <v>257</v>
      </c>
      <c r="M437" s="51"/>
      <c r="N437" s="51"/>
      <c r="O437" s="51"/>
      <c r="P437" s="51"/>
      <c r="Q437" s="51"/>
      <c r="R437" s="51"/>
      <c r="S437" s="51"/>
      <c r="T437" s="51"/>
    </row>
    <row r="438">
      <c r="A438" s="51"/>
      <c r="B438" s="51"/>
      <c r="C438" s="56"/>
      <c r="D438" s="51"/>
      <c r="E438" s="51"/>
      <c r="F438" s="51"/>
      <c r="G438" s="51" t="str">
        <f>IFERROR(__xludf.DUMMYFUNCTION("""COMPUTED_VALUE"""),"#VALUE!")</f>
        <v>#VALUE!</v>
      </c>
      <c r="H438" s="51" t="str">
        <f>IFERROR(__xludf.DUMMYFUNCTION("""COMPUTED_VALUE"""),"")</f>
        <v/>
      </c>
      <c r="I438" s="51" t="str">
        <f>IFERROR(__xludf.DUMMYFUNCTION("""COMPUTED_VALUE"""),"#VALUE!")</f>
        <v>#VALUE!</v>
      </c>
      <c r="J438" s="51" t="str">
        <f>IFERROR(__xludf.DUMMYFUNCTION("""COMPUTED_VALUE"""),"")</f>
        <v/>
      </c>
      <c r="K438" s="51"/>
      <c r="L438" s="51" t="s">
        <v>257</v>
      </c>
      <c r="M438" s="51"/>
      <c r="N438" s="51"/>
      <c r="O438" s="51"/>
      <c r="P438" s="51"/>
      <c r="Q438" s="51"/>
      <c r="R438" s="51"/>
      <c r="S438" s="51"/>
      <c r="T438" s="51"/>
    </row>
    <row r="439">
      <c r="A439" s="51"/>
      <c r="B439" s="51"/>
      <c r="C439" s="56"/>
      <c r="D439" s="51"/>
      <c r="E439" s="51"/>
      <c r="F439" s="51"/>
      <c r="G439" s="51" t="str">
        <f>IFERROR(__xludf.DUMMYFUNCTION("""COMPUTED_VALUE"""),"#VALUE!")</f>
        <v>#VALUE!</v>
      </c>
      <c r="H439" s="51" t="str">
        <f>IFERROR(__xludf.DUMMYFUNCTION("""COMPUTED_VALUE"""),"")</f>
        <v/>
      </c>
      <c r="I439" s="51" t="str">
        <f>IFERROR(__xludf.DUMMYFUNCTION("""COMPUTED_VALUE"""),"#VALUE!")</f>
        <v>#VALUE!</v>
      </c>
      <c r="J439" s="51" t="str">
        <f>IFERROR(__xludf.DUMMYFUNCTION("""COMPUTED_VALUE"""),"")</f>
        <v/>
      </c>
      <c r="K439" s="51"/>
      <c r="L439" s="51" t="s">
        <v>257</v>
      </c>
      <c r="M439" s="51"/>
      <c r="N439" s="51"/>
      <c r="O439" s="51"/>
      <c r="P439" s="51"/>
      <c r="Q439" s="51"/>
      <c r="R439" s="51"/>
      <c r="S439" s="51"/>
      <c r="T439" s="51"/>
    </row>
    <row r="440">
      <c r="A440" s="51"/>
      <c r="B440" s="51"/>
      <c r="C440" s="56"/>
      <c r="D440" s="51"/>
      <c r="E440" s="51"/>
      <c r="F440" s="51"/>
      <c r="G440" s="51" t="str">
        <f>IFERROR(__xludf.DUMMYFUNCTION("""COMPUTED_VALUE"""),"#VALUE!")</f>
        <v>#VALUE!</v>
      </c>
      <c r="H440" s="51" t="str">
        <f>IFERROR(__xludf.DUMMYFUNCTION("""COMPUTED_VALUE"""),"")</f>
        <v/>
      </c>
      <c r="I440" s="51" t="str">
        <f>IFERROR(__xludf.DUMMYFUNCTION("""COMPUTED_VALUE"""),"#VALUE!")</f>
        <v>#VALUE!</v>
      </c>
      <c r="J440" s="51" t="str">
        <f>IFERROR(__xludf.DUMMYFUNCTION("""COMPUTED_VALUE"""),"")</f>
        <v/>
      </c>
      <c r="K440" s="51"/>
      <c r="L440" s="51" t="s">
        <v>257</v>
      </c>
      <c r="M440" s="51"/>
      <c r="N440" s="51"/>
      <c r="O440" s="51"/>
      <c r="P440" s="51"/>
      <c r="Q440" s="51"/>
      <c r="R440" s="51"/>
      <c r="S440" s="51"/>
      <c r="T440" s="51"/>
    </row>
    <row r="441">
      <c r="A441" s="51"/>
      <c r="B441" s="51"/>
      <c r="C441" s="56"/>
      <c r="D441" s="51"/>
      <c r="E441" s="51"/>
      <c r="F441" s="51"/>
      <c r="G441" s="51" t="str">
        <f>IFERROR(__xludf.DUMMYFUNCTION("""COMPUTED_VALUE"""),"#VALUE!")</f>
        <v>#VALUE!</v>
      </c>
      <c r="H441" s="51" t="str">
        <f>IFERROR(__xludf.DUMMYFUNCTION("""COMPUTED_VALUE"""),"")</f>
        <v/>
      </c>
      <c r="I441" s="51" t="str">
        <f>IFERROR(__xludf.DUMMYFUNCTION("""COMPUTED_VALUE"""),"#VALUE!")</f>
        <v>#VALUE!</v>
      </c>
      <c r="J441" s="51" t="str">
        <f>IFERROR(__xludf.DUMMYFUNCTION("""COMPUTED_VALUE"""),"")</f>
        <v/>
      </c>
      <c r="K441" s="51"/>
      <c r="L441" s="51" t="s">
        <v>257</v>
      </c>
      <c r="M441" s="51"/>
      <c r="N441" s="51"/>
      <c r="O441" s="51"/>
      <c r="P441" s="51"/>
      <c r="Q441" s="51"/>
      <c r="R441" s="51"/>
      <c r="S441" s="51"/>
      <c r="T441" s="51"/>
    </row>
    <row r="442">
      <c r="A442" s="51"/>
      <c r="B442" s="51"/>
      <c r="C442" s="56"/>
      <c r="D442" s="51"/>
      <c r="E442" s="51"/>
      <c r="F442" s="51"/>
      <c r="G442" s="51" t="str">
        <f>IFERROR(__xludf.DUMMYFUNCTION("""COMPUTED_VALUE"""),"#VALUE!")</f>
        <v>#VALUE!</v>
      </c>
      <c r="H442" s="51" t="str">
        <f>IFERROR(__xludf.DUMMYFUNCTION("""COMPUTED_VALUE"""),"")</f>
        <v/>
      </c>
      <c r="I442" s="51" t="str">
        <f>IFERROR(__xludf.DUMMYFUNCTION("""COMPUTED_VALUE"""),"#VALUE!")</f>
        <v>#VALUE!</v>
      </c>
      <c r="J442" s="51" t="str">
        <f>IFERROR(__xludf.DUMMYFUNCTION("""COMPUTED_VALUE"""),"")</f>
        <v/>
      </c>
      <c r="K442" s="51"/>
      <c r="L442" s="51" t="s">
        <v>257</v>
      </c>
      <c r="M442" s="51"/>
      <c r="N442" s="51"/>
      <c r="O442" s="51"/>
      <c r="P442" s="51"/>
      <c r="Q442" s="51"/>
      <c r="R442" s="51"/>
      <c r="S442" s="51"/>
      <c r="T442" s="51"/>
    </row>
    <row r="443">
      <c r="A443" s="51"/>
      <c r="B443" s="51"/>
      <c r="C443" s="56"/>
      <c r="D443" s="51"/>
      <c r="E443" s="51"/>
      <c r="F443" s="51"/>
      <c r="G443" s="51" t="str">
        <f>IFERROR(__xludf.DUMMYFUNCTION("""COMPUTED_VALUE"""),"#VALUE!")</f>
        <v>#VALUE!</v>
      </c>
      <c r="H443" s="51" t="str">
        <f>IFERROR(__xludf.DUMMYFUNCTION("""COMPUTED_VALUE"""),"")</f>
        <v/>
      </c>
      <c r="I443" s="51" t="str">
        <f>IFERROR(__xludf.DUMMYFUNCTION("""COMPUTED_VALUE"""),"#VALUE!")</f>
        <v>#VALUE!</v>
      </c>
      <c r="J443" s="51" t="str">
        <f>IFERROR(__xludf.DUMMYFUNCTION("""COMPUTED_VALUE"""),"")</f>
        <v/>
      </c>
      <c r="K443" s="51"/>
      <c r="L443" s="51" t="s">
        <v>257</v>
      </c>
      <c r="M443" s="51"/>
      <c r="N443" s="51"/>
      <c r="O443" s="51"/>
      <c r="P443" s="51"/>
      <c r="Q443" s="51"/>
      <c r="R443" s="51"/>
      <c r="S443" s="51"/>
      <c r="T443" s="51"/>
    </row>
    <row r="444">
      <c r="A444" s="51"/>
      <c r="B444" s="51"/>
      <c r="C444" s="56"/>
      <c r="D444" s="51"/>
      <c r="E444" s="51"/>
      <c r="F444" s="51"/>
      <c r="G444" s="51" t="str">
        <f>IFERROR(__xludf.DUMMYFUNCTION("""COMPUTED_VALUE"""),"#VALUE!")</f>
        <v>#VALUE!</v>
      </c>
      <c r="H444" s="51" t="str">
        <f>IFERROR(__xludf.DUMMYFUNCTION("""COMPUTED_VALUE"""),"")</f>
        <v/>
      </c>
      <c r="I444" s="51" t="str">
        <f>IFERROR(__xludf.DUMMYFUNCTION("""COMPUTED_VALUE"""),"#VALUE!")</f>
        <v>#VALUE!</v>
      </c>
      <c r="J444" s="51" t="str">
        <f>IFERROR(__xludf.DUMMYFUNCTION("""COMPUTED_VALUE"""),"")</f>
        <v/>
      </c>
      <c r="K444" s="51"/>
      <c r="L444" s="51" t="s">
        <v>257</v>
      </c>
      <c r="M444" s="51"/>
      <c r="N444" s="51"/>
      <c r="O444" s="51"/>
      <c r="P444" s="51"/>
      <c r="Q444" s="51"/>
      <c r="R444" s="51"/>
      <c r="S444" s="51"/>
      <c r="T444" s="51"/>
    </row>
    <row r="445">
      <c r="A445" s="51"/>
      <c r="B445" s="51"/>
      <c r="C445" s="56"/>
      <c r="D445" s="51"/>
      <c r="E445" s="51"/>
      <c r="F445" s="51"/>
      <c r="G445" s="51" t="str">
        <f>IFERROR(__xludf.DUMMYFUNCTION("""COMPUTED_VALUE"""),"#VALUE!")</f>
        <v>#VALUE!</v>
      </c>
      <c r="H445" s="51" t="str">
        <f>IFERROR(__xludf.DUMMYFUNCTION("""COMPUTED_VALUE"""),"")</f>
        <v/>
      </c>
      <c r="I445" s="51" t="str">
        <f>IFERROR(__xludf.DUMMYFUNCTION("""COMPUTED_VALUE"""),"#VALUE!")</f>
        <v>#VALUE!</v>
      </c>
      <c r="J445" s="51" t="str">
        <f>IFERROR(__xludf.DUMMYFUNCTION("""COMPUTED_VALUE"""),"")</f>
        <v/>
      </c>
      <c r="K445" s="51"/>
      <c r="L445" s="51" t="s">
        <v>257</v>
      </c>
      <c r="M445" s="51"/>
      <c r="N445" s="51"/>
      <c r="O445" s="51"/>
      <c r="P445" s="51"/>
      <c r="Q445" s="51"/>
      <c r="R445" s="51"/>
      <c r="S445" s="51"/>
      <c r="T445" s="51"/>
    </row>
    <row r="446">
      <c r="A446" s="51"/>
      <c r="B446" s="51"/>
      <c r="C446" s="56"/>
      <c r="D446" s="51"/>
      <c r="E446" s="51"/>
      <c r="F446" s="51"/>
      <c r="G446" s="51" t="str">
        <f>IFERROR(__xludf.DUMMYFUNCTION("""COMPUTED_VALUE"""),"#VALUE!")</f>
        <v>#VALUE!</v>
      </c>
      <c r="H446" s="51" t="str">
        <f>IFERROR(__xludf.DUMMYFUNCTION("""COMPUTED_VALUE"""),"")</f>
        <v/>
      </c>
      <c r="I446" s="51" t="str">
        <f>IFERROR(__xludf.DUMMYFUNCTION("""COMPUTED_VALUE"""),"#VALUE!")</f>
        <v>#VALUE!</v>
      </c>
      <c r="J446" s="51" t="str">
        <f>IFERROR(__xludf.DUMMYFUNCTION("""COMPUTED_VALUE"""),"")</f>
        <v/>
      </c>
      <c r="K446" s="51"/>
      <c r="L446" s="51" t="s">
        <v>257</v>
      </c>
      <c r="M446" s="51"/>
      <c r="N446" s="51"/>
      <c r="O446" s="51"/>
      <c r="P446" s="51"/>
      <c r="Q446" s="51"/>
      <c r="R446" s="51"/>
      <c r="S446" s="51"/>
      <c r="T446" s="51"/>
    </row>
    <row r="447">
      <c r="A447" s="51"/>
      <c r="B447" s="51"/>
      <c r="C447" s="56"/>
      <c r="D447" s="51"/>
      <c r="E447" s="51"/>
      <c r="F447" s="51"/>
      <c r="G447" s="51" t="str">
        <f>IFERROR(__xludf.DUMMYFUNCTION("""COMPUTED_VALUE"""),"#VALUE!")</f>
        <v>#VALUE!</v>
      </c>
      <c r="H447" s="51" t="str">
        <f>IFERROR(__xludf.DUMMYFUNCTION("""COMPUTED_VALUE"""),"")</f>
        <v/>
      </c>
      <c r="I447" s="51" t="str">
        <f>IFERROR(__xludf.DUMMYFUNCTION("""COMPUTED_VALUE"""),"#VALUE!")</f>
        <v>#VALUE!</v>
      </c>
      <c r="J447" s="51" t="str">
        <f>IFERROR(__xludf.DUMMYFUNCTION("""COMPUTED_VALUE"""),"")</f>
        <v/>
      </c>
      <c r="K447" s="51"/>
      <c r="L447" s="51" t="s">
        <v>257</v>
      </c>
      <c r="M447" s="51"/>
      <c r="N447" s="51"/>
      <c r="O447" s="51"/>
      <c r="P447" s="51"/>
      <c r="Q447" s="51"/>
      <c r="R447" s="51"/>
      <c r="S447" s="51"/>
      <c r="T447" s="51"/>
    </row>
    <row r="448">
      <c r="A448" s="51"/>
      <c r="B448" s="51"/>
      <c r="C448" s="56"/>
      <c r="D448" s="51"/>
      <c r="E448" s="51"/>
      <c r="F448" s="51"/>
      <c r="G448" s="51" t="str">
        <f>IFERROR(__xludf.DUMMYFUNCTION("""COMPUTED_VALUE"""),"#VALUE!")</f>
        <v>#VALUE!</v>
      </c>
      <c r="H448" s="51" t="str">
        <f>IFERROR(__xludf.DUMMYFUNCTION("""COMPUTED_VALUE"""),"")</f>
        <v/>
      </c>
      <c r="I448" s="51" t="str">
        <f>IFERROR(__xludf.DUMMYFUNCTION("""COMPUTED_VALUE"""),"#VALUE!")</f>
        <v>#VALUE!</v>
      </c>
      <c r="J448" s="51" t="str">
        <f>IFERROR(__xludf.DUMMYFUNCTION("""COMPUTED_VALUE"""),"")</f>
        <v/>
      </c>
      <c r="K448" s="51"/>
      <c r="L448" s="51" t="s">
        <v>257</v>
      </c>
      <c r="M448" s="51"/>
      <c r="N448" s="51"/>
      <c r="O448" s="51"/>
      <c r="P448" s="51"/>
      <c r="Q448" s="51"/>
      <c r="R448" s="51"/>
      <c r="S448" s="51"/>
      <c r="T448" s="51"/>
    </row>
    <row r="449">
      <c r="A449" s="51"/>
      <c r="B449" s="51"/>
      <c r="C449" s="56"/>
      <c r="D449" s="51"/>
      <c r="E449" s="51"/>
      <c r="F449" s="51"/>
      <c r="G449" s="51" t="str">
        <f>IFERROR(__xludf.DUMMYFUNCTION("""COMPUTED_VALUE"""),"#VALUE!")</f>
        <v>#VALUE!</v>
      </c>
      <c r="H449" s="51" t="str">
        <f>IFERROR(__xludf.DUMMYFUNCTION("""COMPUTED_VALUE"""),"")</f>
        <v/>
      </c>
      <c r="I449" s="51" t="str">
        <f>IFERROR(__xludf.DUMMYFUNCTION("""COMPUTED_VALUE"""),"#VALUE!")</f>
        <v>#VALUE!</v>
      </c>
      <c r="J449" s="51" t="str">
        <f>IFERROR(__xludf.DUMMYFUNCTION("""COMPUTED_VALUE"""),"")</f>
        <v/>
      </c>
      <c r="K449" s="51"/>
      <c r="L449" s="51" t="s">
        <v>257</v>
      </c>
      <c r="M449" s="51"/>
      <c r="N449" s="51"/>
      <c r="O449" s="51"/>
      <c r="P449" s="51"/>
      <c r="Q449" s="51"/>
      <c r="R449" s="51"/>
      <c r="S449" s="51"/>
      <c r="T449" s="51"/>
    </row>
    <row r="450">
      <c r="A450" s="51"/>
      <c r="B450" s="51"/>
      <c r="C450" s="56"/>
      <c r="D450" s="51"/>
      <c r="E450" s="51"/>
      <c r="F450" s="51"/>
      <c r="G450" s="51" t="str">
        <f>IFERROR(__xludf.DUMMYFUNCTION("""COMPUTED_VALUE"""),"#VALUE!")</f>
        <v>#VALUE!</v>
      </c>
      <c r="H450" s="51" t="str">
        <f>IFERROR(__xludf.DUMMYFUNCTION("""COMPUTED_VALUE"""),"")</f>
        <v/>
      </c>
      <c r="I450" s="51" t="str">
        <f>IFERROR(__xludf.DUMMYFUNCTION("""COMPUTED_VALUE"""),"#VALUE!")</f>
        <v>#VALUE!</v>
      </c>
      <c r="J450" s="51" t="str">
        <f>IFERROR(__xludf.DUMMYFUNCTION("""COMPUTED_VALUE"""),"")</f>
        <v/>
      </c>
      <c r="K450" s="51"/>
      <c r="L450" s="51" t="s">
        <v>257</v>
      </c>
      <c r="M450" s="51"/>
      <c r="N450" s="51"/>
      <c r="O450" s="51"/>
      <c r="P450" s="51"/>
      <c r="Q450" s="51"/>
      <c r="R450" s="51"/>
      <c r="S450" s="51"/>
      <c r="T450" s="51"/>
    </row>
    <row r="451">
      <c r="A451" s="51"/>
      <c r="B451" s="51"/>
      <c r="C451" s="56"/>
      <c r="D451" s="51"/>
      <c r="E451" s="51"/>
      <c r="F451" s="51"/>
      <c r="G451" s="51" t="str">
        <f>IFERROR(__xludf.DUMMYFUNCTION("""COMPUTED_VALUE"""),"#VALUE!")</f>
        <v>#VALUE!</v>
      </c>
      <c r="H451" s="51" t="str">
        <f>IFERROR(__xludf.DUMMYFUNCTION("""COMPUTED_VALUE"""),"")</f>
        <v/>
      </c>
      <c r="I451" s="51" t="str">
        <f>IFERROR(__xludf.DUMMYFUNCTION("""COMPUTED_VALUE"""),"#VALUE!")</f>
        <v>#VALUE!</v>
      </c>
      <c r="J451" s="51" t="str">
        <f>IFERROR(__xludf.DUMMYFUNCTION("""COMPUTED_VALUE"""),"")</f>
        <v/>
      </c>
      <c r="K451" s="51"/>
      <c r="L451" s="51" t="s">
        <v>257</v>
      </c>
      <c r="M451" s="51"/>
      <c r="N451" s="51"/>
      <c r="O451" s="51"/>
      <c r="P451" s="51"/>
      <c r="Q451" s="51"/>
      <c r="R451" s="51"/>
      <c r="S451" s="51"/>
      <c r="T451" s="51"/>
    </row>
    <row r="452">
      <c r="A452" s="51"/>
      <c r="B452" s="51"/>
      <c r="C452" s="56"/>
      <c r="D452" s="51"/>
      <c r="E452" s="51"/>
      <c r="F452" s="51"/>
      <c r="G452" s="51" t="str">
        <f>IFERROR(__xludf.DUMMYFUNCTION("""COMPUTED_VALUE"""),"#VALUE!")</f>
        <v>#VALUE!</v>
      </c>
      <c r="H452" s="51" t="str">
        <f>IFERROR(__xludf.DUMMYFUNCTION("""COMPUTED_VALUE"""),"")</f>
        <v/>
      </c>
      <c r="I452" s="51" t="str">
        <f>IFERROR(__xludf.DUMMYFUNCTION("""COMPUTED_VALUE"""),"#VALUE!")</f>
        <v>#VALUE!</v>
      </c>
      <c r="J452" s="51" t="str">
        <f>IFERROR(__xludf.DUMMYFUNCTION("""COMPUTED_VALUE"""),"")</f>
        <v/>
      </c>
      <c r="K452" s="51"/>
      <c r="L452" s="51" t="s">
        <v>257</v>
      </c>
      <c r="M452" s="51"/>
      <c r="N452" s="51"/>
      <c r="O452" s="51"/>
      <c r="P452" s="51"/>
      <c r="Q452" s="51"/>
      <c r="R452" s="51"/>
      <c r="S452" s="51"/>
      <c r="T452" s="51"/>
    </row>
    <row r="453">
      <c r="A453" s="51"/>
      <c r="B453" s="51"/>
      <c r="C453" s="56"/>
      <c r="D453" s="51"/>
      <c r="E453" s="51"/>
      <c r="F453" s="51"/>
      <c r="G453" s="51" t="str">
        <f>IFERROR(__xludf.DUMMYFUNCTION("""COMPUTED_VALUE"""),"#VALUE!")</f>
        <v>#VALUE!</v>
      </c>
      <c r="H453" s="51" t="str">
        <f>IFERROR(__xludf.DUMMYFUNCTION("""COMPUTED_VALUE"""),"")</f>
        <v/>
      </c>
      <c r="I453" s="51" t="str">
        <f>IFERROR(__xludf.DUMMYFUNCTION("""COMPUTED_VALUE"""),"#VALUE!")</f>
        <v>#VALUE!</v>
      </c>
      <c r="J453" s="51" t="str">
        <f>IFERROR(__xludf.DUMMYFUNCTION("""COMPUTED_VALUE"""),"")</f>
        <v/>
      </c>
      <c r="K453" s="51"/>
      <c r="L453" s="51" t="s">
        <v>257</v>
      </c>
      <c r="M453" s="51"/>
      <c r="N453" s="51"/>
      <c r="O453" s="51"/>
      <c r="P453" s="51"/>
      <c r="Q453" s="51"/>
      <c r="R453" s="51"/>
      <c r="S453" s="51"/>
      <c r="T453" s="51"/>
    </row>
    <row r="454">
      <c r="A454" s="51"/>
      <c r="B454" s="51"/>
      <c r="C454" s="56"/>
      <c r="D454" s="51"/>
      <c r="E454" s="51"/>
      <c r="F454" s="51"/>
      <c r="G454" s="51" t="str">
        <f>IFERROR(__xludf.DUMMYFUNCTION("""COMPUTED_VALUE"""),"#VALUE!")</f>
        <v>#VALUE!</v>
      </c>
      <c r="H454" s="51" t="str">
        <f>IFERROR(__xludf.DUMMYFUNCTION("""COMPUTED_VALUE"""),"")</f>
        <v/>
      </c>
      <c r="I454" s="51" t="str">
        <f>IFERROR(__xludf.DUMMYFUNCTION("""COMPUTED_VALUE"""),"#VALUE!")</f>
        <v>#VALUE!</v>
      </c>
      <c r="J454" s="51" t="str">
        <f>IFERROR(__xludf.DUMMYFUNCTION("""COMPUTED_VALUE"""),"")</f>
        <v/>
      </c>
      <c r="K454" s="51"/>
      <c r="L454" s="51" t="s">
        <v>257</v>
      </c>
      <c r="M454" s="51"/>
      <c r="N454" s="51"/>
      <c r="O454" s="51"/>
      <c r="P454" s="51"/>
      <c r="Q454" s="51"/>
      <c r="R454" s="51"/>
      <c r="S454" s="51"/>
      <c r="T454" s="51"/>
    </row>
    <row r="455">
      <c r="A455" s="51"/>
      <c r="B455" s="51"/>
      <c r="C455" s="56"/>
      <c r="D455" s="51"/>
      <c r="E455" s="51"/>
      <c r="F455" s="51"/>
      <c r="G455" s="51" t="str">
        <f>IFERROR(__xludf.DUMMYFUNCTION("""COMPUTED_VALUE"""),"#VALUE!")</f>
        <v>#VALUE!</v>
      </c>
      <c r="H455" s="51" t="str">
        <f>IFERROR(__xludf.DUMMYFUNCTION("""COMPUTED_VALUE"""),"")</f>
        <v/>
      </c>
      <c r="I455" s="51" t="str">
        <f>IFERROR(__xludf.DUMMYFUNCTION("""COMPUTED_VALUE"""),"#VALUE!")</f>
        <v>#VALUE!</v>
      </c>
      <c r="J455" s="51" t="str">
        <f>IFERROR(__xludf.DUMMYFUNCTION("""COMPUTED_VALUE"""),"")</f>
        <v/>
      </c>
      <c r="K455" s="51"/>
      <c r="L455" s="51" t="s">
        <v>257</v>
      </c>
      <c r="M455" s="51"/>
      <c r="N455" s="51"/>
      <c r="O455" s="51"/>
      <c r="P455" s="51"/>
      <c r="Q455" s="51"/>
      <c r="R455" s="51"/>
      <c r="S455" s="51"/>
      <c r="T455" s="51"/>
    </row>
    <row r="456">
      <c r="A456" s="51"/>
      <c r="B456" s="51"/>
      <c r="C456" s="56"/>
      <c r="D456" s="51"/>
      <c r="E456" s="51"/>
      <c r="F456" s="51"/>
      <c r="G456" s="51" t="str">
        <f>IFERROR(__xludf.DUMMYFUNCTION("""COMPUTED_VALUE"""),"#VALUE!")</f>
        <v>#VALUE!</v>
      </c>
      <c r="H456" s="51" t="str">
        <f>IFERROR(__xludf.DUMMYFUNCTION("""COMPUTED_VALUE"""),"")</f>
        <v/>
      </c>
      <c r="I456" s="51" t="str">
        <f>IFERROR(__xludf.DUMMYFUNCTION("""COMPUTED_VALUE"""),"#VALUE!")</f>
        <v>#VALUE!</v>
      </c>
      <c r="J456" s="51" t="str">
        <f>IFERROR(__xludf.DUMMYFUNCTION("""COMPUTED_VALUE"""),"")</f>
        <v/>
      </c>
      <c r="K456" s="51"/>
      <c r="L456" s="51" t="s">
        <v>257</v>
      </c>
      <c r="M456" s="51"/>
      <c r="N456" s="51"/>
      <c r="O456" s="51"/>
      <c r="P456" s="51"/>
      <c r="Q456" s="51"/>
      <c r="R456" s="51"/>
      <c r="S456" s="51"/>
      <c r="T456" s="51"/>
    </row>
    <row r="457">
      <c r="A457" s="51"/>
      <c r="B457" s="51"/>
      <c r="C457" s="56"/>
      <c r="D457" s="51"/>
      <c r="E457" s="51"/>
      <c r="F457" s="51"/>
      <c r="G457" s="51" t="str">
        <f>IFERROR(__xludf.DUMMYFUNCTION("""COMPUTED_VALUE"""),"#VALUE!")</f>
        <v>#VALUE!</v>
      </c>
      <c r="H457" s="51" t="str">
        <f>IFERROR(__xludf.DUMMYFUNCTION("""COMPUTED_VALUE"""),"")</f>
        <v/>
      </c>
      <c r="I457" s="51" t="str">
        <f>IFERROR(__xludf.DUMMYFUNCTION("""COMPUTED_VALUE"""),"#VALUE!")</f>
        <v>#VALUE!</v>
      </c>
      <c r="J457" s="51" t="str">
        <f>IFERROR(__xludf.DUMMYFUNCTION("""COMPUTED_VALUE"""),"")</f>
        <v/>
      </c>
      <c r="K457" s="51"/>
      <c r="L457" s="51" t="s">
        <v>257</v>
      </c>
      <c r="M457" s="51"/>
      <c r="N457" s="51"/>
      <c r="O457" s="51"/>
      <c r="P457" s="51"/>
      <c r="Q457" s="51"/>
      <c r="R457" s="51"/>
      <c r="S457" s="51"/>
      <c r="T457" s="51"/>
    </row>
    <row r="458">
      <c r="A458" s="51"/>
      <c r="B458" s="51"/>
      <c r="C458" s="56"/>
      <c r="D458" s="51"/>
      <c r="E458" s="51"/>
      <c r="F458" s="51"/>
      <c r="G458" s="51" t="str">
        <f>IFERROR(__xludf.DUMMYFUNCTION("""COMPUTED_VALUE"""),"#VALUE!")</f>
        <v>#VALUE!</v>
      </c>
      <c r="H458" s="51" t="str">
        <f>IFERROR(__xludf.DUMMYFUNCTION("""COMPUTED_VALUE"""),"")</f>
        <v/>
      </c>
      <c r="I458" s="51" t="str">
        <f>IFERROR(__xludf.DUMMYFUNCTION("""COMPUTED_VALUE"""),"#VALUE!")</f>
        <v>#VALUE!</v>
      </c>
      <c r="J458" s="51" t="str">
        <f>IFERROR(__xludf.DUMMYFUNCTION("""COMPUTED_VALUE"""),"")</f>
        <v/>
      </c>
      <c r="K458" s="51"/>
      <c r="L458" s="51" t="s">
        <v>257</v>
      </c>
      <c r="M458" s="51"/>
      <c r="N458" s="51"/>
      <c r="O458" s="51"/>
      <c r="P458" s="51"/>
      <c r="Q458" s="51"/>
      <c r="R458" s="51"/>
      <c r="S458" s="51"/>
      <c r="T458" s="51"/>
    </row>
    <row r="459">
      <c r="A459" s="51"/>
      <c r="B459" s="51"/>
      <c r="C459" s="56"/>
      <c r="D459" s="51"/>
      <c r="E459" s="51"/>
      <c r="F459" s="51"/>
      <c r="G459" s="51" t="str">
        <f>IFERROR(__xludf.DUMMYFUNCTION("""COMPUTED_VALUE"""),"#VALUE!")</f>
        <v>#VALUE!</v>
      </c>
      <c r="H459" s="51" t="str">
        <f>IFERROR(__xludf.DUMMYFUNCTION("""COMPUTED_VALUE"""),"")</f>
        <v/>
      </c>
      <c r="I459" s="51" t="str">
        <f>IFERROR(__xludf.DUMMYFUNCTION("""COMPUTED_VALUE"""),"#VALUE!")</f>
        <v>#VALUE!</v>
      </c>
      <c r="J459" s="51" t="str">
        <f>IFERROR(__xludf.DUMMYFUNCTION("""COMPUTED_VALUE"""),"")</f>
        <v/>
      </c>
      <c r="K459" s="51"/>
      <c r="L459" s="51" t="s">
        <v>257</v>
      </c>
      <c r="M459" s="51"/>
      <c r="N459" s="51"/>
      <c r="O459" s="51"/>
      <c r="P459" s="51"/>
      <c r="Q459" s="51"/>
      <c r="R459" s="51"/>
      <c r="S459" s="51"/>
      <c r="T459" s="51"/>
    </row>
    <row r="460">
      <c r="A460" s="51"/>
      <c r="B460" s="51"/>
      <c r="C460" s="56"/>
      <c r="D460" s="51"/>
      <c r="E460" s="51"/>
      <c r="F460" s="51"/>
      <c r="G460" s="51" t="str">
        <f>IFERROR(__xludf.DUMMYFUNCTION("""COMPUTED_VALUE"""),"#VALUE!")</f>
        <v>#VALUE!</v>
      </c>
      <c r="H460" s="51" t="str">
        <f>IFERROR(__xludf.DUMMYFUNCTION("""COMPUTED_VALUE"""),"")</f>
        <v/>
      </c>
      <c r="I460" s="51" t="str">
        <f>IFERROR(__xludf.DUMMYFUNCTION("""COMPUTED_VALUE"""),"#VALUE!")</f>
        <v>#VALUE!</v>
      </c>
      <c r="J460" s="51" t="str">
        <f>IFERROR(__xludf.DUMMYFUNCTION("""COMPUTED_VALUE"""),"")</f>
        <v/>
      </c>
      <c r="K460" s="51"/>
      <c r="L460" s="51" t="s">
        <v>257</v>
      </c>
      <c r="M460" s="51"/>
      <c r="N460" s="51"/>
      <c r="O460" s="51"/>
      <c r="P460" s="51"/>
      <c r="Q460" s="51"/>
      <c r="R460" s="51"/>
      <c r="S460" s="51"/>
      <c r="T460" s="51"/>
    </row>
    <row r="461">
      <c r="A461" s="51"/>
      <c r="B461" s="51"/>
      <c r="C461" s="56"/>
      <c r="D461" s="51"/>
      <c r="E461" s="51"/>
      <c r="F461" s="51"/>
      <c r="G461" s="51" t="str">
        <f>IFERROR(__xludf.DUMMYFUNCTION("""COMPUTED_VALUE"""),"#VALUE!")</f>
        <v>#VALUE!</v>
      </c>
      <c r="H461" s="51" t="str">
        <f>IFERROR(__xludf.DUMMYFUNCTION("""COMPUTED_VALUE"""),"")</f>
        <v/>
      </c>
      <c r="I461" s="51" t="str">
        <f>IFERROR(__xludf.DUMMYFUNCTION("""COMPUTED_VALUE"""),"#VALUE!")</f>
        <v>#VALUE!</v>
      </c>
      <c r="J461" s="51" t="str">
        <f>IFERROR(__xludf.DUMMYFUNCTION("""COMPUTED_VALUE"""),"")</f>
        <v/>
      </c>
      <c r="K461" s="51"/>
      <c r="L461" s="51" t="s">
        <v>257</v>
      </c>
      <c r="M461" s="51"/>
      <c r="N461" s="51"/>
      <c r="O461" s="51"/>
      <c r="P461" s="51"/>
      <c r="Q461" s="51"/>
      <c r="R461" s="51"/>
      <c r="S461" s="51"/>
      <c r="T461" s="51"/>
    </row>
    <row r="462">
      <c r="A462" s="51"/>
      <c r="B462" s="51"/>
      <c r="C462" s="56"/>
      <c r="D462" s="51"/>
      <c r="E462" s="51"/>
      <c r="F462" s="51"/>
      <c r="G462" s="51" t="str">
        <f>IFERROR(__xludf.DUMMYFUNCTION("""COMPUTED_VALUE"""),"#VALUE!")</f>
        <v>#VALUE!</v>
      </c>
      <c r="H462" s="51" t="str">
        <f>IFERROR(__xludf.DUMMYFUNCTION("""COMPUTED_VALUE"""),"")</f>
        <v/>
      </c>
      <c r="I462" s="51" t="str">
        <f>IFERROR(__xludf.DUMMYFUNCTION("""COMPUTED_VALUE"""),"#VALUE!")</f>
        <v>#VALUE!</v>
      </c>
      <c r="J462" s="51" t="str">
        <f>IFERROR(__xludf.DUMMYFUNCTION("""COMPUTED_VALUE"""),"")</f>
        <v/>
      </c>
      <c r="K462" s="51"/>
      <c r="L462" s="51" t="s">
        <v>257</v>
      </c>
      <c r="M462" s="51"/>
      <c r="N462" s="51"/>
      <c r="O462" s="51"/>
      <c r="P462" s="51"/>
      <c r="Q462" s="51"/>
      <c r="R462" s="51"/>
      <c r="S462" s="51"/>
      <c r="T462" s="51"/>
    </row>
    <row r="463">
      <c r="A463" s="51"/>
      <c r="B463" s="51"/>
      <c r="C463" s="56"/>
      <c r="D463" s="51"/>
      <c r="E463" s="51"/>
      <c r="F463" s="51"/>
      <c r="G463" s="51" t="str">
        <f>IFERROR(__xludf.DUMMYFUNCTION("""COMPUTED_VALUE"""),"#VALUE!")</f>
        <v>#VALUE!</v>
      </c>
      <c r="H463" s="51" t="str">
        <f>IFERROR(__xludf.DUMMYFUNCTION("""COMPUTED_VALUE"""),"")</f>
        <v/>
      </c>
      <c r="I463" s="51" t="str">
        <f>IFERROR(__xludf.DUMMYFUNCTION("""COMPUTED_VALUE"""),"#VALUE!")</f>
        <v>#VALUE!</v>
      </c>
      <c r="J463" s="51" t="str">
        <f>IFERROR(__xludf.DUMMYFUNCTION("""COMPUTED_VALUE"""),"")</f>
        <v/>
      </c>
      <c r="K463" s="51"/>
      <c r="L463" s="51" t="s">
        <v>257</v>
      </c>
      <c r="M463" s="51"/>
      <c r="N463" s="51"/>
      <c r="O463" s="51"/>
      <c r="P463" s="51"/>
      <c r="Q463" s="51"/>
      <c r="R463" s="51"/>
      <c r="S463" s="51"/>
      <c r="T463" s="51"/>
    </row>
    <row r="464">
      <c r="A464" s="51"/>
      <c r="B464" s="51"/>
      <c r="C464" s="56"/>
      <c r="D464" s="51"/>
      <c r="E464" s="51"/>
      <c r="F464" s="51"/>
      <c r="G464" s="51" t="str">
        <f>IFERROR(__xludf.DUMMYFUNCTION("""COMPUTED_VALUE"""),"#VALUE!")</f>
        <v>#VALUE!</v>
      </c>
      <c r="H464" s="51" t="str">
        <f>IFERROR(__xludf.DUMMYFUNCTION("""COMPUTED_VALUE"""),"")</f>
        <v/>
      </c>
      <c r="I464" s="51" t="str">
        <f>IFERROR(__xludf.DUMMYFUNCTION("""COMPUTED_VALUE"""),"#VALUE!")</f>
        <v>#VALUE!</v>
      </c>
      <c r="J464" s="51" t="str">
        <f>IFERROR(__xludf.DUMMYFUNCTION("""COMPUTED_VALUE"""),"")</f>
        <v/>
      </c>
      <c r="K464" s="51"/>
      <c r="L464" s="51" t="s">
        <v>257</v>
      </c>
      <c r="M464" s="51"/>
      <c r="N464" s="51"/>
      <c r="O464" s="51"/>
      <c r="P464" s="51"/>
      <c r="Q464" s="51"/>
      <c r="R464" s="51"/>
      <c r="S464" s="51"/>
      <c r="T464" s="51"/>
    </row>
    <row r="465">
      <c r="A465" s="51"/>
      <c r="B465" s="51"/>
      <c r="C465" s="56"/>
      <c r="D465" s="51"/>
      <c r="E465" s="51"/>
      <c r="F465" s="51"/>
      <c r="G465" s="51" t="str">
        <f>IFERROR(__xludf.DUMMYFUNCTION("""COMPUTED_VALUE"""),"#VALUE!")</f>
        <v>#VALUE!</v>
      </c>
      <c r="H465" s="51" t="str">
        <f>IFERROR(__xludf.DUMMYFUNCTION("""COMPUTED_VALUE"""),"")</f>
        <v/>
      </c>
      <c r="I465" s="51" t="str">
        <f>IFERROR(__xludf.DUMMYFUNCTION("""COMPUTED_VALUE"""),"#VALUE!")</f>
        <v>#VALUE!</v>
      </c>
      <c r="J465" s="51" t="str">
        <f>IFERROR(__xludf.DUMMYFUNCTION("""COMPUTED_VALUE"""),"")</f>
        <v/>
      </c>
      <c r="K465" s="51"/>
      <c r="L465" s="51" t="s">
        <v>257</v>
      </c>
      <c r="M465" s="51"/>
      <c r="N465" s="51"/>
      <c r="O465" s="51"/>
      <c r="P465" s="51"/>
      <c r="Q465" s="51"/>
      <c r="R465" s="51"/>
      <c r="S465" s="51"/>
      <c r="T465" s="51"/>
    </row>
    <row r="466">
      <c r="A466" s="51"/>
      <c r="B466" s="51"/>
      <c r="C466" s="56"/>
      <c r="D466" s="51"/>
      <c r="E466" s="51"/>
      <c r="F466" s="51"/>
      <c r="G466" s="51" t="str">
        <f>IFERROR(__xludf.DUMMYFUNCTION("""COMPUTED_VALUE"""),"#VALUE!")</f>
        <v>#VALUE!</v>
      </c>
      <c r="H466" s="51" t="str">
        <f>IFERROR(__xludf.DUMMYFUNCTION("""COMPUTED_VALUE"""),"")</f>
        <v/>
      </c>
      <c r="I466" s="51" t="str">
        <f>IFERROR(__xludf.DUMMYFUNCTION("""COMPUTED_VALUE"""),"#VALUE!")</f>
        <v>#VALUE!</v>
      </c>
      <c r="J466" s="51" t="str">
        <f>IFERROR(__xludf.DUMMYFUNCTION("""COMPUTED_VALUE"""),"")</f>
        <v/>
      </c>
      <c r="K466" s="51"/>
      <c r="L466" s="51" t="s">
        <v>257</v>
      </c>
      <c r="M466" s="51"/>
      <c r="N466" s="51"/>
      <c r="O466" s="51"/>
      <c r="P466" s="51"/>
      <c r="Q466" s="51"/>
      <c r="R466" s="51"/>
      <c r="S466" s="51"/>
      <c r="T466" s="51"/>
    </row>
    <row r="467">
      <c r="A467" s="51"/>
      <c r="B467" s="51"/>
      <c r="C467" s="56"/>
      <c r="D467" s="51"/>
      <c r="E467" s="51"/>
      <c r="F467" s="51"/>
      <c r="G467" s="51" t="str">
        <f>IFERROR(__xludf.DUMMYFUNCTION("""COMPUTED_VALUE"""),"#VALUE!")</f>
        <v>#VALUE!</v>
      </c>
      <c r="H467" s="51" t="str">
        <f>IFERROR(__xludf.DUMMYFUNCTION("""COMPUTED_VALUE"""),"")</f>
        <v/>
      </c>
      <c r="I467" s="51" t="str">
        <f>IFERROR(__xludf.DUMMYFUNCTION("""COMPUTED_VALUE"""),"#VALUE!")</f>
        <v>#VALUE!</v>
      </c>
      <c r="J467" s="51" t="str">
        <f>IFERROR(__xludf.DUMMYFUNCTION("""COMPUTED_VALUE"""),"")</f>
        <v/>
      </c>
      <c r="K467" s="51"/>
      <c r="L467" s="51" t="s">
        <v>257</v>
      </c>
      <c r="M467" s="51"/>
      <c r="N467" s="51"/>
      <c r="O467" s="51"/>
      <c r="P467" s="51"/>
      <c r="Q467" s="51"/>
      <c r="R467" s="51"/>
      <c r="S467" s="51"/>
      <c r="T467" s="51"/>
    </row>
    <row r="468">
      <c r="A468" s="51"/>
      <c r="B468" s="51"/>
      <c r="C468" s="56"/>
      <c r="D468" s="51"/>
      <c r="E468" s="51"/>
      <c r="F468" s="51"/>
      <c r="G468" s="51" t="str">
        <f>IFERROR(__xludf.DUMMYFUNCTION("""COMPUTED_VALUE"""),"#VALUE!")</f>
        <v>#VALUE!</v>
      </c>
      <c r="H468" s="51" t="str">
        <f>IFERROR(__xludf.DUMMYFUNCTION("""COMPUTED_VALUE"""),"")</f>
        <v/>
      </c>
      <c r="I468" s="51" t="str">
        <f>IFERROR(__xludf.DUMMYFUNCTION("""COMPUTED_VALUE"""),"#VALUE!")</f>
        <v>#VALUE!</v>
      </c>
      <c r="J468" s="51" t="str">
        <f>IFERROR(__xludf.DUMMYFUNCTION("""COMPUTED_VALUE"""),"")</f>
        <v/>
      </c>
      <c r="K468" s="51"/>
      <c r="L468" s="51" t="s">
        <v>257</v>
      </c>
      <c r="M468" s="51"/>
      <c r="N468" s="51"/>
      <c r="O468" s="51"/>
      <c r="P468" s="51"/>
      <c r="Q468" s="51"/>
      <c r="R468" s="51"/>
      <c r="S468" s="51"/>
      <c r="T468" s="51"/>
    </row>
    <row r="469">
      <c r="A469" s="51"/>
      <c r="B469" s="51"/>
      <c r="C469" s="56"/>
      <c r="D469" s="51"/>
      <c r="E469" s="51"/>
      <c r="F469" s="51"/>
      <c r="G469" s="51" t="str">
        <f>IFERROR(__xludf.DUMMYFUNCTION("""COMPUTED_VALUE"""),"#VALUE!")</f>
        <v>#VALUE!</v>
      </c>
      <c r="H469" s="51" t="str">
        <f>IFERROR(__xludf.DUMMYFUNCTION("""COMPUTED_VALUE"""),"")</f>
        <v/>
      </c>
      <c r="I469" s="51" t="str">
        <f>IFERROR(__xludf.DUMMYFUNCTION("""COMPUTED_VALUE"""),"#VALUE!")</f>
        <v>#VALUE!</v>
      </c>
      <c r="J469" s="51" t="str">
        <f>IFERROR(__xludf.DUMMYFUNCTION("""COMPUTED_VALUE"""),"")</f>
        <v/>
      </c>
      <c r="K469" s="51"/>
      <c r="L469" s="51" t="s">
        <v>257</v>
      </c>
      <c r="M469" s="51"/>
      <c r="N469" s="51"/>
      <c r="O469" s="51"/>
      <c r="P469" s="51"/>
      <c r="Q469" s="51"/>
      <c r="R469" s="51"/>
      <c r="S469" s="51"/>
      <c r="T469" s="51"/>
    </row>
    <row r="470">
      <c r="A470" s="51"/>
      <c r="B470" s="51"/>
      <c r="C470" s="56"/>
      <c r="D470" s="51"/>
      <c r="E470" s="51"/>
      <c r="F470" s="51"/>
      <c r="G470" s="51" t="str">
        <f>IFERROR(__xludf.DUMMYFUNCTION("""COMPUTED_VALUE"""),"#VALUE!")</f>
        <v>#VALUE!</v>
      </c>
      <c r="H470" s="51" t="str">
        <f>IFERROR(__xludf.DUMMYFUNCTION("""COMPUTED_VALUE"""),"")</f>
        <v/>
      </c>
      <c r="I470" s="51" t="str">
        <f>IFERROR(__xludf.DUMMYFUNCTION("""COMPUTED_VALUE"""),"#VALUE!")</f>
        <v>#VALUE!</v>
      </c>
      <c r="J470" s="51" t="str">
        <f>IFERROR(__xludf.DUMMYFUNCTION("""COMPUTED_VALUE"""),"")</f>
        <v/>
      </c>
      <c r="K470" s="51"/>
      <c r="L470" s="51" t="s">
        <v>257</v>
      </c>
      <c r="M470" s="51"/>
      <c r="N470" s="51"/>
      <c r="O470" s="51"/>
      <c r="P470" s="51"/>
      <c r="Q470" s="51"/>
      <c r="R470" s="51"/>
      <c r="S470" s="51"/>
      <c r="T470" s="51"/>
    </row>
    <row r="471">
      <c r="A471" s="51"/>
      <c r="B471" s="51"/>
      <c r="C471" s="56"/>
      <c r="D471" s="51"/>
      <c r="E471" s="51"/>
      <c r="F471" s="51"/>
      <c r="G471" s="51" t="str">
        <f>IFERROR(__xludf.DUMMYFUNCTION("""COMPUTED_VALUE"""),"#VALUE!")</f>
        <v>#VALUE!</v>
      </c>
      <c r="H471" s="51" t="str">
        <f>IFERROR(__xludf.DUMMYFUNCTION("""COMPUTED_VALUE"""),"")</f>
        <v/>
      </c>
      <c r="I471" s="51" t="str">
        <f>IFERROR(__xludf.DUMMYFUNCTION("""COMPUTED_VALUE"""),"#VALUE!")</f>
        <v>#VALUE!</v>
      </c>
      <c r="J471" s="51" t="str">
        <f>IFERROR(__xludf.DUMMYFUNCTION("""COMPUTED_VALUE"""),"")</f>
        <v/>
      </c>
      <c r="K471" s="51"/>
      <c r="L471" s="51" t="s">
        <v>257</v>
      </c>
      <c r="M471" s="51"/>
      <c r="N471" s="51"/>
      <c r="O471" s="51"/>
      <c r="P471" s="51"/>
      <c r="Q471" s="51"/>
      <c r="R471" s="51"/>
      <c r="S471" s="51"/>
      <c r="T471" s="51"/>
    </row>
    <row r="472">
      <c r="A472" s="51"/>
      <c r="B472" s="51"/>
      <c r="C472" s="56"/>
      <c r="D472" s="51"/>
      <c r="E472" s="51"/>
      <c r="F472" s="51"/>
      <c r="G472" s="51" t="str">
        <f>IFERROR(__xludf.DUMMYFUNCTION("""COMPUTED_VALUE"""),"#VALUE!")</f>
        <v>#VALUE!</v>
      </c>
      <c r="H472" s="51" t="str">
        <f>IFERROR(__xludf.DUMMYFUNCTION("""COMPUTED_VALUE"""),"")</f>
        <v/>
      </c>
      <c r="I472" s="51" t="str">
        <f>IFERROR(__xludf.DUMMYFUNCTION("""COMPUTED_VALUE"""),"#VALUE!")</f>
        <v>#VALUE!</v>
      </c>
      <c r="J472" s="51" t="str">
        <f>IFERROR(__xludf.DUMMYFUNCTION("""COMPUTED_VALUE"""),"")</f>
        <v/>
      </c>
      <c r="K472" s="51"/>
      <c r="L472" s="51" t="s">
        <v>257</v>
      </c>
      <c r="M472" s="51"/>
      <c r="N472" s="51"/>
      <c r="O472" s="51"/>
      <c r="P472" s="51"/>
      <c r="Q472" s="51"/>
      <c r="R472" s="51"/>
      <c r="S472" s="51"/>
      <c r="T472" s="51"/>
    </row>
    <row r="473">
      <c r="A473" s="51"/>
      <c r="B473" s="51"/>
      <c r="C473" s="56"/>
      <c r="D473" s="51"/>
      <c r="E473" s="51"/>
      <c r="F473" s="51"/>
      <c r="G473" s="51" t="str">
        <f>IFERROR(__xludf.DUMMYFUNCTION("""COMPUTED_VALUE"""),"#VALUE!")</f>
        <v>#VALUE!</v>
      </c>
      <c r="H473" s="51" t="str">
        <f>IFERROR(__xludf.DUMMYFUNCTION("""COMPUTED_VALUE"""),"")</f>
        <v/>
      </c>
      <c r="I473" s="51" t="str">
        <f>IFERROR(__xludf.DUMMYFUNCTION("""COMPUTED_VALUE"""),"#VALUE!")</f>
        <v>#VALUE!</v>
      </c>
      <c r="J473" s="51" t="str">
        <f>IFERROR(__xludf.DUMMYFUNCTION("""COMPUTED_VALUE"""),"")</f>
        <v/>
      </c>
      <c r="K473" s="51"/>
      <c r="L473" s="51" t="s">
        <v>257</v>
      </c>
      <c r="M473" s="51"/>
      <c r="N473" s="51"/>
      <c r="O473" s="51"/>
      <c r="P473" s="51"/>
      <c r="Q473" s="51"/>
      <c r="R473" s="51"/>
      <c r="S473" s="51"/>
      <c r="T473" s="51"/>
    </row>
    <row r="474">
      <c r="A474" s="51"/>
      <c r="B474" s="51"/>
      <c r="C474" s="56"/>
      <c r="D474" s="51"/>
      <c r="E474" s="51"/>
      <c r="F474" s="51"/>
      <c r="G474" s="51" t="str">
        <f>IFERROR(__xludf.DUMMYFUNCTION("""COMPUTED_VALUE"""),"#VALUE!")</f>
        <v>#VALUE!</v>
      </c>
      <c r="H474" s="51" t="str">
        <f>IFERROR(__xludf.DUMMYFUNCTION("""COMPUTED_VALUE"""),"")</f>
        <v/>
      </c>
      <c r="I474" s="51" t="str">
        <f>IFERROR(__xludf.DUMMYFUNCTION("""COMPUTED_VALUE"""),"#VALUE!")</f>
        <v>#VALUE!</v>
      </c>
      <c r="J474" s="51" t="str">
        <f>IFERROR(__xludf.DUMMYFUNCTION("""COMPUTED_VALUE"""),"")</f>
        <v/>
      </c>
      <c r="K474" s="51"/>
      <c r="L474" s="51" t="s">
        <v>257</v>
      </c>
      <c r="M474" s="51"/>
      <c r="N474" s="51"/>
      <c r="O474" s="51"/>
      <c r="P474" s="51"/>
      <c r="Q474" s="51"/>
      <c r="R474" s="51"/>
      <c r="S474" s="51"/>
      <c r="T474" s="51"/>
    </row>
    <row r="475">
      <c r="A475" s="51"/>
      <c r="B475" s="51"/>
      <c r="C475" s="56"/>
      <c r="D475" s="51"/>
      <c r="E475" s="51"/>
      <c r="F475" s="51"/>
      <c r="G475" s="51" t="str">
        <f>IFERROR(__xludf.DUMMYFUNCTION("""COMPUTED_VALUE"""),"#VALUE!")</f>
        <v>#VALUE!</v>
      </c>
      <c r="H475" s="51" t="str">
        <f>IFERROR(__xludf.DUMMYFUNCTION("""COMPUTED_VALUE"""),"")</f>
        <v/>
      </c>
      <c r="I475" s="51" t="str">
        <f>IFERROR(__xludf.DUMMYFUNCTION("""COMPUTED_VALUE"""),"#VALUE!")</f>
        <v>#VALUE!</v>
      </c>
      <c r="J475" s="51" t="str">
        <f>IFERROR(__xludf.DUMMYFUNCTION("""COMPUTED_VALUE"""),"")</f>
        <v/>
      </c>
      <c r="K475" s="51"/>
      <c r="L475" s="51" t="s">
        <v>257</v>
      </c>
      <c r="M475" s="51"/>
      <c r="N475" s="51"/>
      <c r="O475" s="51"/>
      <c r="P475" s="51"/>
      <c r="Q475" s="51"/>
      <c r="R475" s="51"/>
      <c r="S475" s="51"/>
      <c r="T475" s="51"/>
    </row>
    <row r="476">
      <c r="A476" s="51"/>
      <c r="B476" s="51"/>
      <c r="C476" s="56"/>
      <c r="D476" s="51"/>
      <c r="E476" s="51"/>
      <c r="F476" s="51"/>
      <c r="G476" s="51" t="str">
        <f>IFERROR(__xludf.DUMMYFUNCTION("""COMPUTED_VALUE"""),"#VALUE!")</f>
        <v>#VALUE!</v>
      </c>
      <c r="H476" s="51" t="str">
        <f>IFERROR(__xludf.DUMMYFUNCTION("""COMPUTED_VALUE"""),"")</f>
        <v/>
      </c>
      <c r="I476" s="51" t="str">
        <f>IFERROR(__xludf.DUMMYFUNCTION("""COMPUTED_VALUE"""),"#VALUE!")</f>
        <v>#VALUE!</v>
      </c>
      <c r="J476" s="51" t="str">
        <f>IFERROR(__xludf.DUMMYFUNCTION("""COMPUTED_VALUE"""),"")</f>
        <v/>
      </c>
      <c r="K476" s="51"/>
      <c r="L476" s="51" t="s">
        <v>257</v>
      </c>
      <c r="M476" s="51"/>
      <c r="N476" s="51"/>
      <c r="O476" s="51"/>
      <c r="P476" s="51"/>
      <c r="Q476" s="51"/>
      <c r="R476" s="51"/>
      <c r="S476" s="51"/>
      <c r="T476" s="51"/>
    </row>
    <row r="477">
      <c r="A477" s="51"/>
      <c r="B477" s="51"/>
      <c r="C477" s="56"/>
      <c r="D477" s="51"/>
      <c r="E477" s="51"/>
      <c r="F477" s="51"/>
      <c r="G477" s="51" t="str">
        <f>IFERROR(__xludf.DUMMYFUNCTION("""COMPUTED_VALUE"""),"#VALUE!")</f>
        <v>#VALUE!</v>
      </c>
      <c r="H477" s="51" t="str">
        <f>IFERROR(__xludf.DUMMYFUNCTION("""COMPUTED_VALUE"""),"")</f>
        <v/>
      </c>
      <c r="I477" s="51" t="str">
        <f>IFERROR(__xludf.DUMMYFUNCTION("""COMPUTED_VALUE"""),"#VALUE!")</f>
        <v>#VALUE!</v>
      </c>
      <c r="J477" s="51" t="str">
        <f>IFERROR(__xludf.DUMMYFUNCTION("""COMPUTED_VALUE"""),"")</f>
        <v/>
      </c>
      <c r="K477" s="51"/>
      <c r="L477" s="51" t="s">
        <v>257</v>
      </c>
      <c r="M477" s="51"/>
      <c r="N477" s="51"/>
      <c r="O477" s="51"/>
      <c r="P477" s="51"/>
      <c r="Q477" s="51"/>
      <c r="R477" s="51"/>
      <c r="S477" s="51"/>
      <c r="T477" s="51"/>
    </row>
    <row r="478">
      <c r="A478" s="51"/>
      <c r="B478" s="51"/>
      <c r="C478" s="56"/>
      <c r="D478" s="51"/>
      <c r="E478" s="51"/>
      <c r="F478" s="51"/>
      <c r="G478" s="51" t="str">
        <f>IFERROR(__xludf.DUMMYFUNCTION("""COMPUTED_VALUE"""),"#VALUE!")</f>
        <v>#VALUE!</v>
      </c>
      <c r="H478" s="51" t="str">
        <f>IFERROR(__xludf.DUMMYFUNCTION("""COMPUTED_VALUE"""),"")</f>
        <v/>
      </c>
      <c r="I478" s="51" t="str">
        <f>IFERROR(__xludf.DUMMYFUNCTION("""COMPUTED_VALUE"""),"#VALUE!")</f>
        <v>#VALUE!</v>
      </c>
      <c r="J478" s="51" t="str">
        <f>IFERROR(__xludf.DUMMYFUNCTION("""COMPUTED_VALUE"""),"")</f>
        <v/>
      </c>
      <c r="K478" s="51"/>
      <c r="L478" s="51" t="s">
        <v>257</v>
      </c>
      <c r="M478" s="51"/>
      <c r="N478" s="51"/>
      <c r="O478" s="51"/>
      <c r="P478" s="51"/>
      <c r="Q478" s="51"/>
      <c r="R478" s="51"/>
      <c r="S478" s="51"/>
      <c r="T478" s="51"/>
    </row>
    <row r="479">
      <c r="A479" s="51"/>
      <c r="B479" s="51"/>
      <c r="C479" s="56"/>
      <c r="D479" s="51"/>
      <c r="E479" s="51"/>
      <c r="F479" s="51"/>
      <c r="G479" s="51" t="str">
        <f>IFERROR(__xludf.DUMMYFUNCTION("""COMPUTED_VALUE"""),"#VALUE!")</f>
        <v>#VALUE!</v>
      </c>
      <c r="H479" s="51" t="str">
        <f>IFERROR(__xludf.DUMMYFUNCTION("""COMPUTED_VALUE"""),"")</f>
        <v/>
      </c>
      <c r="I479" s="51" t="str">
        <f>IFERROR(__xludf.DUMMYFUNCTION("""COMPUTED_VALUE"""),"#VALUE!")</f>
        <v>#VALUE!</v>
      </c>
      <c r="J479" s="51" t="str">
        <f>IFERROR(__xludf.DUMMYFUNCTION("""COMPUTED_VALUE"""),"")</f>
        <v/>
      </c>
      <c r="K479" s="51"/>
      <c r="L479" s="51" t="s">
        <v>257</v>
      </c>
      <c r="M479" s="51"/>
      <c r="N479" s="51"/>
      <c r="O479" s="51"/>
      <c r="P479" s="51"/>
      <c r="Q479" s="51"/>
      <c r="R479" s="51"/>
      <c r="S479" s="51"/>
      <c r="T479" s="51"/>
    </row>
    <row r="480">
      <c r="A480" s="51"/>
      <c r="B480" s="51"/>
      <c r="C480" s="56"/>
      <c r="D480" s="51"/>
      <c r="E480" s="51"/>
      <c r="F480" s="51"/>
      <c r="G480" s="51" t="str">
        <f>IFERROR(__xludf.DUMMYFUNCTION("""COMPUTED_VALUE"""),"#VALUE!")</f>
        <v>#VALUE!</v>
      </c>
      <c r="H480" s="51" t="str">
        <f>IFERROR(__xludf.DUMMYFUNCTION("""COMPUTED_VALUE"""),"")</f>
        <v/>
      </c>
      <c r="I480" s="51" t="str">
        <f>IFERROR(__xludf.DUMMYFUNCTION("""COMPUTED_VALUE"""),"#VALUE!")</f>
        <v>#VALUE!</v>
      </c>
      <c r="J480" s="51" t="str">
        <f>IFERROR(__xludf.DUMMYFUNCTION("""COMPUTED_VALUE"""),"")</f>
        <v/>
      </c>
      <c r="K480" s="51"/>
      <c r="L480" s="51" t="s">
        <v>257</v>
      </c>
      <c r="M480" s="51"/>
      <c r="N480" s="51"/>
      <c r="O480" s="51"/>
      <c r="P480" s="51"/>
      <c r="Q480" s="51"/>
      <c r="R480" s="51"/>
      <c r="S480" s="51"/>
      <c r="T480" s="51"/>
    </row>
    <row r="481">
      <c r="A481" s="51"/>
      <c r="B481" s="51"/>
      <c r="C481" s="56"/>
      <c r="D481" s="51"/>
      <c r="E481" s="51"/>
      <c r="F481" s="51"/>
      <c r="G481" s="51" t="str">
        <f>IFERROR(__xludf.DUMMYFUNCTION("""COMPUTED_VALUE"""),"#VALUE!")</f>
        <v>#VALUE!</v>
      </c>
      <c r="H481" s="51" t="str">
        <f>IFERROR(__xludf.DUMMYFUNCTION("""COMPUTED_VALUE"""),"")</f>
        <v/>
      </c>
      <c r="I481" s="51" t="str">
        <f>IFERROR(__xludf.DUMMYFUNCTION("""COMPUTED_VALUE"""),"#VALUE!")</f>
        <v>#VALUE!</v>
      </c>
      <c r="J481" s="51" t="str">
        <f>IFERROR(__xludf.DUMMYFUNCTION("""COMPUTED_VALUE"""),"")</f>
        <v/>
      </c>
      <c r="K481" s="51"/>
      <c r="L481" s="51" t="s">
        <v>257</v>
      </c>
      <c r="M481" s="51"/>
      <c r="N481" s="51"/>
      <c r="O481" s="51"/>
      <c r="P481" s="51"/>
      <c r="Q481" s="51"/>
      <c r="R481" s="51"/>
      <c r="S481" s="51"/>
      <c r="T481" s="51"/>
    </row>
    <row r="482">
      <c r="A482" s="51"/>
      <c r="B482" s="51"/>
      <c r="C482" s="56"/>
      <c r="D482" s="51"/>
      <c r="E482" s="51"/>
      <c r="F482" s="51"/>
      <c r="G482" s="51" t="str">
        <f>IFERROR(__xludf.DUMMYFUNCTION("""COMPUTED_VALUE"""),"#VALUE!")</f>
        <v>#VALUE!</v>
      </c>
      <c r="H482" s="51" t="str">
        <f>IFERROR(__xludf.DUMMYFUNCTION("""COMPUTED_VALUE"""),"")</f>
        <v/>
      </c>
      <c r="I482" s="51" t="str">
        <f>IFERROR(__xludf.DUMMYFUNCTION("""COMPUTED_VALUE"""),"#VALUE!")</f>
        <v>#VALUE!</v>
      </c>
      <c r="J482" s="51" t="str">
        <f>IFERROR(__xludf.DUMMYFUNCTION("""COMPUTED_VALUE"""),"")</f>
        <v/>
      </c>
      <c r="K482" s="51"/>
      <c r="L482" s="51" t="s">
        <v>257</v>
      </c>
      <c r="M482" s="51"/>
      <c r="N482" s="51"/>
      <c r="O482" s="51"/>
      <c r="P482" s="51"/>
      <c r="Q482" s="51"/>
      <c r="R482" s="51"/>
      <c r="S482" s="51"/>
      <c r="T482" s="51"/>
    </row>
    <row r="483">
      <c r="A483" s="51"/>
      <c r="B483" s="51"/>
      <c r="C483" s="56"/>
      <c r="D483" s="51"/>
      <c r="E483" s="51"/>
      <c r="F483" s="51"/>
      <c r="G483" s="51" t="str">
        <f>IFERROR(__xludf.DUMMYFUNCTION("""COMPUTED_VALUE"""),"#VALUE!")</f>
        <v>#VALUE!</v>
      </c>
      <c r="H483" s="51" t="str">
        <f>IFERROR(__xludf.DUMMYFUNCTION("""COMPUTED_VALUE"""),"")</f>
        <v/>
      </c>
      <c r="I483" s="51" t="str">
        <f>IFERROR(__xludf.DUMMYFUNCTION("""COMPUTED_VALUE"""),"#VALUE!")</f>
        <v>#VALUE!</v>
      </c>
      <c r="J483" s="51" t="str">
        <f>IFERROR(__xludf.DUMMYFUNCTION("""COMPUTED_VALUE"""),"")</f>
        <v/>
      </c>
      <c r="K483" s="51"/>
      <c r="L483" s="51" t="s">
        <v>257</v>
      </c>
      <c r="M483" s="51"/>
      <c r="N483" s="51"/>
      <c r="O483" s="51"/>
      <c r="P483" s="51"/>
      <c r="Q483" s="51"/>
      <c r="R483" s="51"/>
      <c r="S483" s="51"/>
      <c r="T483" s="51"/>
    </row>
    <row r="484">
      <c r="A484" s="51"/>
      <c r="B484" s="51"/>
      <c r="C484" s="56"/>
      <c r="D484" s="51"/>
      <c r="E484" s="51"/>
      <c r="F484" s="51"/>
      <c r="G484" s="51" t="str">
        <f>IFERROR(__xludf.DUMMYFUNCTION("""COMPUTED_VALUE"""),"#VALUE!")</f>
        <v>#VALUE!</v>
      </c>
      <c r="H484" s="51" t="str">
        <f>IFERROR(__xludf.DUMMYFUNCTION("""COMPUTED_VALUE"""),"")</f>
        <v/>
      </c>
      <c r="I484" s="51" t="str">
        <f>IFERROR(__xludf.DUMMYFUNCTION("""COMPUTED_VALUE"""),"#VALUE!")</f>
        <v>#VALUE!</v>
      </c>
      <c r="J484" s="51" t="str">
        <f>IFERROR(__xludf.DUMMYFUNCTION("""COMPUTED_VALUE"""),"")</f>
        <v/>
      </c>
      <c r="K484" s="51"/>
      <c r="L484" s="51" t="s">
        <v>257</v>
      </c>
      <c r="M484" s="51"/>
      <c r="N484" s="51"/>
      <c r="O484" s="51"/>
      <c r="P484" s="51"/>
      <c r="Q484" s="51"/>
      <c r="R484" s="51"/>
      <c r="S484" s="51"/>
      <c r="T484" s="51"/>
    </row>
    <row r="485">
      <c r="A485" s="51"/>
      <c r="B485" s="51"/>
      <c r="C485" s="56"/>
      <c r="D485" s="51"/>
      <c r="E485" s="51"/>
      <c r="F485" s="51"/>
      <c r="G485" s="51" t="str">
        <f>IFERROR(__xludf.DUMMYFUNCTION("""COMPUTED_VALUE"""),"#VALUE!")</f>
        <v>#VALUE!</v>
      </c>
      <c r="H485" s="51" t="str">
        <f>IFERROR(__xludf.DUMMYFUNCTION("""COMPUTED_VALUE"""),"")</f>
        <v/>
      </c>
      <c r="I485" s="51" t="str">
        <f>IFERROR(__xludf.DUMMYFUNCTION("""COMPUTED_VALUE"""),"#VALUE!")</f>
        <v>#VALUE!</v>
      </c>
      <c r="J485" s="51" t="str">
        <f>IFERROR(__xludf.DUMMYFUNCTION("""COMPUTED_VALUE"""),"")</f>
        <v/>
      </c>
      <c r="K485" s="51"/>
      <c r="L485" s="51" t="s">
        <v>257</v>
      </c>
      <c r="M485" s="51"/>
      <c r="N485" s="51"/>
      <c r="O485" s="51"/>
      <c r="P485" s="51"/>
      <c r="Q485" s="51"/>
      <c r="R485" s="51"/>
      <c r="S485" s="51"/>
      <c r="T485" s="51"/>
    </row>
    <row r="486">
      <c r="A486" s="51"/>
      <c r="B486" s="51"/>
      <c r="C486" s="56"/>
      <c r="D486" s="51"/>
      <c r="E486" s="51"/>
      <c r="F486" s="51"/>
      <c r="G486" s="51" t="str">
        <f>IFERROR(__xludf.DUMMYFUNCTION("""COMPUTED_VALUE"""),"#VALUE!")</f>
        <v>#VALUE!</v>
      </c>
      <c r="H486" s="51" t="str">
        <f>IFERROR(__xludf.DUMMYFUNCTION("""COMPUTED_VALUE"""),"")</f>
        <v/>
      </c>
      <c r="I486" s="51" t="str">
        <f>IFERROR(__xludf.DUMMYFUNCTION("""COMPUTED_VALUE"""),"#VALUE!")</f>
        <v>#VALUE!</v>
      </c>
      <c r="J486" s="51" t="str">
        <f>IFERROR(__xludf.DUMMYFUNCTION("""COMPUTED_VALUE"""),"")</f>
        <v/>
      </c>
      <c r="K486" s="51"/>
      <c r="L486" s="51" t="s">
        <v>257</v>
      </c>
      <c r="M486" s="51"/>
      <c r="N486" s="51"/>
      <c r="O486" s="51"/>
      <c r="P486" s="51"/>
      <c r="Q486" s="51"/>
      <c r="R486" s="51"/>
      <c r="S486" s="51"/>
      <c r="T486" s="51"/>
    </row>
    <row r="487">
      <c r="A487" s="51"/>
      <c r="B487" s="51"/>
      <c r="C487" s="56"/>
      <c r="D487" s="51"/>
      <c r="E487" s="51"/>
      <c r="F487" s="51"/>
      <c r="G487" s="51" t="str">
        <f>IFERROR(__xludf.DUMMYFUNCTION("""COMPUTED_VALUE"""),"#VALUE!")</f>
        <v>#VALUE!</v>
      </c>
      <c r="H487" s="51" t="str">
        <f>IFERROR(__xludf.DUMMYFUNCTION("""COMPUTED_VALUE"""),"")</f>
        <v/>
      </c>
      <c r="I487" s="51" t="str">
        <f>IFERROR(__xludf.DUMMYFUNCTION("""COMPUTED_VALUE"""),"#VALUE!")</f>
        <v>#VALUE!</v>
      </c>
      <c r="J487" s="51" t="str">
        <f>IFERROR(__xludf.DUMMYFUNCTION("""COMPUTED_VALUE"""),"")</f>
        <v/>
      </c>
      <c r="K487" s="51"/>
      <c r="L487" s="51" t="s">
        <v>257</v>
      </c>
      <c r="M487" s="51"/>
      <c r="N487" s="51"/>
      <c r="O487" s="51"/>
      <c r="P487" s="51"/>
      <c r="Q487" s="51"/>
      <c r="R487" s="51"/>
      <c r="S487" s="51"/>
      <c r="T487" s="51"/>
    </row>
    <row r="488">
      <c r="A488" s="51"/>
      <c r="B488" s="51"/>
      <c r="C488" s="56"/>
      <c r="D488" s="51"/>
      <c r="E488" s="51"/>
      <c r="F488" s="51"/>
      <c r="G488" s="51" t="str">
        <f>IFERROR(__xludf.DUMMYFUNCTION("""COMPUTED_VALUE"""),"#VALUE!")</f>
        <v>#VALUE!</v>
      </c>
      <c r="H488" s="51" t="str">
        <f>IFERROR(__xludf.DUMMYFUNCTION("""COMPUTED_VALUE"""),"")</f>
        <v/>
      </c>
      <c r="I488" s="51" t="str">
        <f>IFERROR(__xludf.DUMMYFUNCTION("""COMPUTED_VALUE"""),"#VALUE!")</f>
        <v>#VALUE!</v>
      </c>
      <c r="J488" s="51" t="str">
        <f>IFERROR(__xludf.DUMMYFUNCTION("""COMPUTED_VALUE"""),"")</f>
        <v/>
      </c>
      <c r="K488" s="51"/>
      <c r="L488" s="51" t="s">
        <v>257</v>
      </c>
      <c r="M488" s="51"/>
      <c r="N488" s="51"/>
      <c r="O488" s="51"/>
      <c r="P488" s="51"/>
      <c r="Q488" s="51"/>
      <c r="R488" s="51"/>
      <c r="S488" s="51"/>
      <c r="T488" s="51"/>
    </row>
    <row r="489">
      <c r="A489" s="51"/>
      <c r="B489" s="51"/>
      <c r="C489" s="56"/>
      <c r="D489" s="51"/>
      <c r="E489" s="51"/>
      <c r="F489" s="51"/>
      <c r="G489" s="51" t="str">
        <f>IFERROR(__xludf.DUMMYFUNCTION("""COMPUTED_VALUE"""),"#VALUE!")</f>
        <v>#VALUE!</v>
      </c>
      <c r="H489" s="51" t="str">
        <f>IFERROR(__xludf.DUMMYFUNCTION("""COMPUTED_VALUE"""),"")</f>
        <v/>
      </c>
      <c r="I489" s="51" t="str">
        <f>IFERROR(__xludf.DUMMYFUNCTION("""COMPUTED_VALUE"""),"#VALUE!")</f>
        <v>#VALUE!</v>
      </c>
      <c r="J489" s="51" t="str">
        <f>IFERROR(__xludf.DUMMYFUNCTION("""COMPUTED_VALUE"""),"")</f>
        <v/>
      </c>
      <c r="K489" s="51"/>
      <c r="L489" s="51" t="s">
        <v>257</v>
      </c>
      <c r="M489" s="51"/>
      <c r="N489" s="51"/>
      <c r="O489" s="51"/>
      <c r="P489" s="51"/>
      <c r="Q489" s="51"/>
      <c r="R489" s="51"/>
      <c r="S489" s="51"/>
      <c r="T489" s="51"/>
    </row>
    <row r="490">
      <c r="A490" s="51"/>
      <c r="B490" s="51"/>
      <c r="C490" s="56"/>
      <c r="D490" s="51"/>
      <c r="E490" s="51"/>
      <c r="F490" s="51"/>
      <c r="G490" s="51" t="str">
        <f>IFERROR(__xludf.DUMMYFUNCTION("""COMPUTED_VALUE"""),"#VALUE!")</f>
        <v>#VALUE!</v>
      </c>
      <c r="H490" s="51" t="str">
        <f>IFERROR(__xludf.DUMMYFUNCTION("""COMPUTED_VALUE"""),"")</f>
        <v/>
      </c>
      <c r="I490" s="51" t="str">
        <f>IFERROR(__xludf.DUMMYFUNCTION("""COMPUTED_VALUE"""),"#VALUE!")</f>
        <v>#VALUE!</v>
      </c>
      <c r="J490" s="51" t="str">
        <f>IFERROR(__xludf.DUMMYFUNCTION("""COMPUTED_VALUE"""),"")</f>
        <v/>
      </c>
      <c r="K490" s="51"/>
      <c r="L490" s="51" t="s">
        <v>257</v>
      </c>
      <c r="M490" s="51"/>
      <c r="N490" s="51"/>
      <c r="O490" s="51"/>
      <c r="P490" s="51"/>
      <c r="Q490" s="51"/>
      <c r="R490" s="51"/>
      <c r="S490" s="51"/>
      <c r="T490" s="51"/>
    </row>
    <row r="491">
      <c r="A491" s="51"/>
      <c r="B491" s="51"/>
      <c r="C491" s="56"/>
      <c r="D491" s="51"/>
      <c r="E491" s="51"/>
      <c r="F491" s="51"/>
      <c r="G491" s="51" t="str">
        <f>IFERROR(__xludf.DUMMYFUNCTION("""COMPUTED_VALUE"""),"#VALUE!")</f>
        <v>#VALUE!</v>
      </c>
      <c r="H491" s="51" t="str">
        <f>IFERROR(__xludf.DUMMYFUNCTION("""COMPUTED_VALUE"""),"")</f>
        <v/>
      </c>
      <c r="I491" s="51" t="str">
        <f>IFERROR(__xludf.DUMMYFUNCTION("""COMPUTED_VALUE"""),"#VALUE!")</f>
        <v>#VALUE!</v>
      </c>
      <c r="J491" s="51" t="str">
        <f>IFERROR(__xludf.DUMMYFUNCTION("""COMPUTED_VALUE"""),"")</f>
        <v/>
      </c>
      <c r="K491" s="51"/>
      <c r="L491" s="51" t="s">
        <v>257</v>
      </c>
      <c r="M491" s="51"/>
      <c r="N491" s="51"/>
      <c r="O491" s="51"/>
      <c r="P491" s="51"/>
      <c r="Q491" s="51"/>
      <c r="R491" s="51"/>
      <c r="S491" s="51"/>
      <c r="T491" s="51"/>
    </row>
    <row r="492">
      <c r="A492" s="51"/>
      <c r="B492" s="51"/>
      <c r="C492" s="56"/>
      <c r="D492" s="51"/>
      <c r="E492" s="51"/>
      <c r="F492" s="51"/>
      <c r="G492" s="51" t="str">
        <f>IFERROR(__xludf.DUMMYFUNCTION("""COMPUTED_VALUE"""),"#VALUE!")</f>
        <v>#VALUE!</v>
      </c>
      <c r="H492" s="51" t="str">
        <f>IFERROR(__xludf.DUMMYFUNCTION("""COMPUTED_VALUE"""),"")</f>
        <v/>
      </c>
      <c r="I492" s="51" t="str">
        <f>IFERROR(__xludf.DUMMYFUNCTION("""COMPUTED_VALUE"""),"#VALUE!")</f>
        <v>#VALUE!</v>
      </c>
      <c r="J492" s="51" t="str">
        <f>IFERROR(__xludf.DUMMYFUNCTION("""COMPUTED_VALUE"""),"")</f>
        <v/>
      </c>
      <c r="K492" s="51"/>
      <c r="L492" s="51" t="s">
        <v>257</v>
      </c>
      <c r="M492" s="51"/>
      <c r="N492" s="51"/>
      <c r="O492" s="51"/>
      <c r="P492" s="51"/>
      <c r="Q492" s="51"/>
      <c r="R492" s="51"/>
      <c r="S492" s="51"/>
      <c r="T492" s="51"/>
    </row>
    <row r="493">
      <c r="A493" s="51"/>
      <c r="B493" s="51"/>
      <c r="C493" s="56"/>
      <c r="D493" s="51"/>
      <c r="E493" s="51"/>
      <c r="F493" s="51"/>
      <c r="G493" s="51" t="str">
        <f>IFERROR(__xludf.DUMMYFUNCTION("""COMPUTED_VALUE"""),"#VALUE!")</f>
        <v>#VALUE!</v>
      </c>
      <c r="H493" s="51" t="str">
        <f>IFERROR(__xludf.DUMMYFUNCTION("""COMPUTED_VALUE"""),"")</f>
        <v/>
      </c>
      <c r="I493" s="51" t="str">
        <f>IFERROR(__xludf.DUMMYFUNCTION("""COMPUTED_VALUE"""),"#VALUE!")</f>
        <v>#VALUE!</v>
      </c>
      <c r="J493" s="51" t="str">
        <f>IFERROR(__xludf.DUMMYFUNCTION("""COMPUTED_VALUE"""),"")</f>
        <v/>
      </c>
      <c r="K493" s="51"/>
      <c r="L493" s="51" t="s">
        <v>257</v>
      </c>
      <c r="M493" s="51"/>
      <c r="N493" s="51"/>
      <c r="O493" s="51"/>
      <c r="P493" s="51"/>
      <c r="Q493" s="51"/>
      <c r="R493" s="51"/>
      <c r="S493" s="51"/>
      <c r="T493" s="51"/>
    </row>
    <row r="494">
      <c r="A494" s="51"/>
      <c r="B494" s="51"/>
      <c r="C494" s="56"/>
      <c r="D494" s="51"/>
      <c r="E494" s="51"/>
      <c r="F494" s="51"/>
      <c r="G494" s="51" t="str">
        <f>IFERROR(__xludf.DUMMYFUNCTION("""COMPUTED_VALUE"""),"#VALUE!")</f>
        <v>#VALUE!</v>
      </c>
      <c r="H494" s="51" t="str">
        <f>IFERROR(__xludf.DUMMYFUNCTION("""COMPUTED_VALUE"""),"")</f>
        <v/>
      </c>
      <c r="I494" s="51" t="str">
        <f>IFERROR(__xludf.DUMMYFUNCTION("""COMPUTED_VALUE"""),"#VALUE!")</f>
        <v>#VALUE!</v>
      </c>
      <c r="J494" s="51" t="str">
        <f>IFERROR(__xludf.DUMMYFUNCTION("""COMPUTED_VALUE"""),"")</f>
        <v/>
      </c>
      <c r="K494" s="51"/>
      <c r="L494" s="51" t="s">
        <v>257</v>
      </c>
      <c r="M494" s="51"/>
      <c r="N494" s="51"/>
      <c r="O494" s="51"/>
      <c r="P494" s="51"/>
      <c r="Q494" s="51"/>
      <c r="R494" s="51"/>
      <c r="S494" s="51"/>
      <c r="T494" s="51"/>
    </row>
    <row r="495">
      <c r="A495" s="51"/>
      <c r="B495" s="51"/>
      <c r="C495" s="56"/>
      <c r="D495" s="51"/>
      <c r="E495" s="51"/>
      <c r="F495" s="51"/>
      <c r="G495" s="51" t="str">
        <f>IFERROR(__xludf.DUMMYFUNCTION("""COMPUTED_VALUE"""),"#VALUE!")</f>
        <v>#VALUE!</v>
      </c>
      <c r="H495" s="51" t="str">
        <f>IFERROR(__xludf.DUMMYFUNCTION("""COMPUTED_VALUE"""),"")</f>
        <v/>
      </c>
      <c r="I495" s="51" t="str">
        <f>IFERROR(__xludf.DUMMYFUNCTION("""COMPUTED_VALUE"""),"#VALUE!")</f>
        <v>#VALUE!</v>
      </c>
      <c r="J495" s="51" t="str">
        <f>IFERROR(__xludf.DUMMYFUNCTION("""COMPUTED_VALUE"""),"")</f>
        <v/>
      </c>
      <c r="K495" s="51"/>
      <c r="L495" s="51" t="s">
        <v>257</v>
      </c>
      <c r="M495" s="51"/>
      <c r="N495" s="51"/>
      <c r="O495" s="51"/>
      <c r="P495" s="51"/>
      <c r="Q495" s="51"/>
      <c r="R495" s="51"/>
      <c r="S495" s="51"/>
      <c r="T495" s="51"/>
    </row>
    <row r="496">
      <c r="A496" s="51"/>
      <c r="B496" s="51"/>
      <c r="C496" s="56"/>
      <c r="D496" s="51"/>
      <c r="E496" s="51"/>
      <c r="F496" s="51"/>
      <c r="G496" s="51" t="str">
        <f>IFERROR(__xludf.DUMMYFUNCTION("""COMPUTED_VALUE"""),"#VALUE!")</f>
        <v>#VALUE!</v>
      </c>
      <c r="H496" s="51" t="str">
        <f>IFERROR(__xludf.DUMMYFUNCTION("""COMPUTED_VALUE"""),"")</f>
        <v/>
      </c>
      <c r="I496" s="51" t="str">
        <f>IFERROR(__xludf.DUMMYFUNCTION("""COMPUTED_VALUE"""),"#VALUE!")</f>
        <v>#VALUE!</v>
      </c>
      <c r="J496" s="51" t="str">
        <f>IFERROR(__xludf.DUMMYFUNCTION("""COMPUTED_VALUE"""),"")</f>
        <v/>
      </c>
      <c r="K496" s="51"/>
      <c r="L496" s="51" t="s">
        <v>257</v>
      </c>
      <c r="M496" s="51"/>
      <c r="N496" s="51"/>
      <c r="O496" s="51"/>
      <c r="P496" s="51"/>
      <c r="Q496" s="51"/>
      <c r="R496" s="51"/>
      <c r="S496" s="51"/>
      <c r="T496" s="51"/>
    </row>
    <row r="497">
      <c r="A497" s="51"/>
      <c r="B497" s="51"/>
      <c r="C497" s="56"/>
      <c r="D497" s="51"/>
      <c r="E497" s="51"/>
      <c r="F497" s="51"/>
      <c r="G497" s="51" t="str">
        <f>IFERROR(__xludf.DUMMYFUNCTION("""COMPUTED_VALUE"""),"#VALUE!")</f>
        <v>#VALUE!</v>
      </c>
      <c r="H497" s="51" t="str">
        <f>IFERROR(__xludf.DUMMYFUNCTION("""COMPUTED_VALUE"""),"")</f>
        <v/>
      </c>
      <c r="I497" s="51" t="str">
        <f>IFERROR(__xludf.DUMMYFUNCTION("""COMPUTED_VALUE"""),"#VALUE!")</f>
        <v>#VALUE!</v>
      </c>
      <c r="J497" s="51" t="str">
        <f>IFERROR(__xludf.DUMMYFUNCTION("""COMPUTED_VALUE"""),"")</f>
        <v/>
      </c>
      <c r="K497" s="51"/>
      <c r="L497" s="51" t="s">
        <v>257</v>
      </c>
      <c r="M497" s="51"/>
      <c r="N497" s="51"/>
      <c r="O497" s="51"/>
      <c r="P497" s="51"/>
      <c r="Q497" s="51"/>
      <c r="R497" s="51"/>
      <c r="S497" s="51"/>
      <c r="T497" s="51"/>
    </row>
    <row r="498">
      <c r="A498" s="51"/>
      <c r="B498" s="51"/>
      <c r="C498" s="56"/>
      <c r="D498" s="51"/>
      <c r="E498" s="51"/>
      <c r="F498" s="51"/>
      <c r="G498" s="51" t="str">
        <f>IFERROR(__xludf.DUMMYFUNCTION("""COMPUTED_VALUE"""),"#VALUE!")</f>
        <v>#VALUE!</v>
      </c>
      <c r="H498" s="51" t="str">
        <f>IFERROR(__xludf.DUMMYFUNCTION("""COMPUTED_VALUE"""),"")</f>
        <v/>
      </c>
      <c r="I498" s="51" t="str">
        <f>IFERROR(__xludf.DUMMYFUNCTION("""COMPUTED_VALUE"""),"#VALUE!")</f>
        <v>#VALUE!</v>
      </c>
      <c r="J498" s="51" t="str">
        <f>IFERROR(__xludf.DUMMYFUNCTION("""COMPUTED_VALUE"""),"")</f>
        <v/>
      </c>
      <c r="K498" s="51"/>
      <c r="L498" s="51" t="s">
        <v>257</v>
      </c>
      <c r="M498" s="51"/>
      <c r="N498" s="51"/>
      <c r="O498" s="51"/>
      <c r="P498" s="51"/>
      <c r="Q498" s="51"/>
      <c r="R498" s="51"/>
      <c r="S498" s="51"/>
      <c r="T498" s="51"/>
    </row>
    <row r="499">
      <c r="A499" s="51"/>
      <c r="B499" s="51"/>
      <c r="C499" s="56"/>
      <c r="D499" s="51"/>
      <c r="E499" s="51"/>
      <c r="F499" s="51"/>
      <c r="G499" s="51" t="str">
        <f>IFERROR(__xludf.DUMMYFUNCTION("""COMPUTED_VALUE"""),"#VALUE!")</f>
        <v>#VALUE!</v>
      </c>
      <c r="H499" s="51" t="str">
        <f>IFERROR(__xludf.DUMMYFUNCTION("""COMPUTED_VALUE"""),"")</f>
        <v/>
      </c>
      <c r="I499" s="51" t="str">
        <f>IFERROR(__xludf.DUMMYFUNCTION("""COMPUTED_VALUE"""),"#VALUE!")</f>
        <v>#VALUE!</v>
      </c>
      <c r="J499" s="51" t="str">
        <f>IFERROR(__xludf.DUMMYFUNCTION("""COMPUTED_VALUE"""),"")</f>
        <v/>
      </c>
      <c r="K499" s="51"/>
      <c r="L499" s="51" t="s">
        <v>257</v>
      </c>
      <c r="M499" s="51"/>
      <c r="N499" s="51"/>
      <c r="O499" s="51"/>
      <c r="P499" s="51"/>
      <c r="Q499" s="51"/>
      <c r="R499" s="51"/>
      <c r="S499" s="51"/>
      <c r="T499" s="51"/>
    </row>
    <row r="500">
      <c r="A500" s="51"/>
      <c r="B500" s="51"/>
      <c r="C500" s="56"/>
      <c r="D500" s="51"/>
      <c r="E500" s="51"/>
      <c r="F500" s="51"/>
      <c r="G500" s="51" t="str">
        <f>IFERROR(__xludf.DUMMYFUNCTION("""COMPUTED_VALUE"""),"#VALUE!")</f>
        <v>#VALUE!</v>
      </c>
      <c r="H500" s="51" t="str">
        <f>IFERROR(__xludf.DUMMYFUNCTION("""COMPUTED_VALUE"""),"")</f>
        <v/>
      </c>
      <c r="I500" s="51" t="str">
        <f>IFERROR(__xludf.DUMMYFUNCTION("""COMPUTED_VALUE"""),"#VALUE!")</f>
        <v>#VALUE!</v>
      </c>
      <c r="J500" s="51" t="str">
        <f>IFERROR(__xludf.DUMMYFUNCTION("""COMPUTED_VALUE"""),"")</f>
        <v/>
      </c>
      <c r="K500" s="51"/>
      <c r="L500" s="51" t="s">
        <v>257</v>
      </c>
      <c r="M500" s="51"/>
      <c r="N500" s="51"/>
      <c r="O500" s="51"/>
      <c r="P500" s="51"/>
      <c r="Q500" s="51"/>
      <c r="R500" s="51"/>
      <c r="S500" s="51"/>
      <c r="T500" s="51"/>
    </row>
    <row r="501">
      <c r="A501" s="51"/>
      <c r="B501" s="51"/>
      <c r="C501" s="56"/>
      <c r="D501" s="51"/>
      <c r="E501" s="51"/>
      <c r="F501" s="51"/>
      <c r="G501" s="51" t="str">
        <f>IFERROR(__xludf.DUMMYFUNCTION("""COMPUTED_VALUE"""),"#VALUE!")</f>
        <v>#VALUE!</v>
      </c>
      <c r="H501" s="51" t="str">
        <f>IFERROR(__xludf.DUMMYFUNCTION("""COMPUTED_VALUE"""),"")</f>
        <v/>
      </c>
      <c r="I501" s="51" t="str">
        <f>IFERROR(__xludf.DUMMYFUNCTION("""COMPUTED_VALUE"""),"#VALUE!")</f>
        <v>#VALUE!</v>
      </c>
      <c r="J501" s="51" t="str">
        <f>IFERROR(__xludf.DUMMYFUNCTION("""COMPUTED_VALUE"""),"")</f>
        <v/>
      </c>
      <c r="K501" s="51"/>
      <c r="L501" s="51" t="s">
        <v>257</v>
      </c>
      <c r="M501" s="51"/>
      <c r="N501" s="51"/>
      <c r="O501" s="51"/>
      <c r="P501" s="51"/>
      <c r="Q501" s="51"/>
      <c r="R501" s="51"/>
      <c r="S501" s="51"/>
      <c r="T501" s="51"/>
    </row>
    <row r="502">
      <c r="A502" s="51"/>
      <c r="B502" s="51"/>
      <c r="C502" s="56"/>
      <c r="D502" s="51"/>
      <c r="E502" s="51"/>
      <c r="F502" s="51"/>
      <c r="G502" s="51" t="str">
        <f>IFERROR(__xludf.DUMMYFUNCTION("""COMPUTED_VALUE"""),"#VALUE!")</f>
        <v>#VALUE!</v>
      </c>
      <c r="H502" s="51" t="str">
        <f>IFERROR(__xludf.DUMMYFUNCTION("""COMPUTED_VALUE"""),"")</f>
        <v/>
      </c>
      <c r="I502" s="51" t="str">
        <f>IFERROR(__xludf.DUMMYFUNCTION("""COMPUTED_VALUE"""),"#VALUE!")</f>
        <v>#VALUE!</v>
      </c>
      <c r="J502" s="51" t="str">
        <f>IFERROR(__xludf.DUMMYFUNCTION("""COMPUTED_VALUE"""),"")</f>
        <v/>
      </c>
      <c r="K502" s="51"/>
      <c r="L502" s="51" t="s">
        <v>257</v>
      </c>
      <c r="M502" s="51"/>
      <c r="N502" s="51"/>
      <c r="O502" s="51"/>
      <c r="P502" s="51"/>
      <c r="Q502" s="51"/>
      <c r="R502" s="51"/>
      <c r="S502" s="51"/>
      <c r="T502" s="51"/>
    </row>
    <row r="503">
      <c r="A503" s="51"/>
      <c r="B503" s="51"/>
      <c r="C503" s="56"/>
      <c r="D503" s="51"/>
      <c r="E503" s="51"/>
      <c r="F503" s="51"/>
      <c r="G503" s="51" t="str">
        <f>IFERROR(__xludf.DUMMYFUNCTION("""COMPUTED_VALUE"""),"#VALUE!")</f>
        <v>#VALUE!</v>
      </c>
      <c r="H503" s="51" t="str">
        <f>IFERROR(__xludf.DUMMYFUNCTION("""COMPUTED_VALUE"""),"")</f>
        <v/>
      </c>
      <c r="I503" s="51" t="str">
        <f>IFERROR(__xludf.DUMMYFUNCTION("""COMPUTED_VALUE"""),"#VALUE!")</f>
        <v>#VALUE!</v>
      </c>
      <c r="J503" s="51" t="str">
        <f>IFERROR(__xludf.DUMMYFUNCTION("""COMPUTED_VALUE"""),"")</f>
        <v/>
      </c>
      <c r="K503" s="51"/>
      <c r="L503" s="51" t="s">
        <v>257</v>
      </c>
      <c r="M503" s="51"/>
      <c r="N503" s="51"/>
      <c r="O503" s="51"/>
      <c r="P503" s="51"/>
      <c r="Q503" s="51"/>
      <c r="R503" s="51"/>
      <c r="S503" s="51"/>
      <c r="T503" s="51"/>
    </row>
    <row r="504">
      <c r="A504" s="51"/>
      <c r="B504" s="51"/>
      <c r="C504" s="56"/>
      <c r="D504" s="51"/>
      <c r="E504" s="51"/>
      <c r="F504" s="51"/>
      <c r="G504" s="51" t="str">
        <f>IFERROR(__xludf.DUMMYFUNCTION("""COMPUTED_VALUE"""),"#VALUE!")</f>
        <v>#VALUE!</v>
      </c>
      <c r="H504" s="51" t="str">
        <f>IFERROR(__xludf.DUMMYFUNCTION("""COMPUTED_VALUE"""),"")</f>
        <v/>
      </c>
      <c r="I504" s="51" t="str">
        <f>IFERROR(__xludf.DUMMYFUNCTION("""COMPUTED_VALUE"""),"#VALUE!")</f>
        <v>#VALUE!</v>
      </c>
      <c r="J504" s="51" t="str">
        <f>IFERROR(__xludf.DUMMYFUNCTION("""COMPUTED_VALUE"""),"")</f>
        <v/>
      </c>
      <c r="K504" s="51"/>
      <c r="L504" s="51" t="s">
        <v>257</v>
      </c>
      <c r="M504" s="51"/>
      <c r="N504" s="51"/>
      <c r="O504" s="51"/>
      <c r="P504" s="51"/>
      <c r="Q504" s="51"/>
      <c r="R504" s="51"/>
      <c r="S504" s="51"/>
      <c r="T504" s="51"/>
    </row>
    <row r="505">
      <c r="A505" s="51"/>
      <c r="B505" s="51"/>
      <c r="C505" s="56"/>
      <c r="D505" s="51"/>
      <c r="E505" s="51"/>
      <c r="F505" s="51"/>
      <c r="G505" s="51" t="str">
        <f>IFERROR(__xludf.DUMMYFUNCTION("""COMPUTED_VALUE"""),"#VALUE!")</f>
        <v>#VALUE!</v>
      </c>
      <c r="H505" s="51" t="str">
        <f>IFERROR(__xludf.DUMMYFUNCTION("""COMPUTED_VALUE"""),"")</f>
        <v/>
      </c>
      <c r="I505" s="51" t="str">
        <f>IFERROR(__xludf.DUMMYFUNCTION("""COMPUTED_VALUE"""),"#VALUE!")</f>
        <v>#VALUE!</v>
      </c>
      <c r="J505" s="51" t="str">
        <f>IFERROR(__xludf.DUMMYFUNCTION("""COMPUTED_VALUE"""),"")</f>
        <v/>
      </c>
      <c r="K505" s="51"/>
      <c r="L505" s="51" t="s">
        <v>257</v>
      </c>
      <c r="M505" s="51"/>
      <c r="N505" s="51"/>
      <c r="O505" s="51"/>
      <c r="P505" s="51"/>
      <c r="Q505" s="51"/>
      <c r="R505" s="51"/>
      <c r="S505" s="51"/>
      <c r="T505" s="51"/>
    </row>
    <row r="506">
      <c r="A506" s="51"/>
      <c r="B506" s="51"/>
      <c r="C506" s="56"/>
      <c r="D506" s="51"/>
      <c r="E506" s="51"/>
      <c r="F506" s="51"/>
      <c r="G506" s="51" t="str">
        <f>IFERROR(__xludf.DUMMYFUNCTION("""COMPUTED_VALUE"""),"#VALUE!")</f>
        <v>#VALUE!</v>
      </c>
      <c r="H506" s="51" t="str">
        <f>IFERROR(__xludf.DUMMYFUNCTION("""COMPUTED_VALUE"""),"")</f>
        <v/>
      </c>
      <c r="I506" s="51" t="str">
        <f>IFERROR(__xludf.DUMMYFUNCTION("""COMPUTED_VALUE"""),"#VALUE!")</f>
        <v>#VALUE!</v>
      </c>
      <c r="J506" s="51" t="str">
        <f>IFERROR(__xludf.DUMMYFUNCTION("""COMPUTED_VALUE"""),"")</f>
        <v/>
      </c>
      <c r="K506" s="51"/>
      <c r="L506" s="51" t="s">
        <v>257</v>
      </c>
      <c r="M506" s="51"/>
      <c r="N506" s="51"/>
      <c r="O506" s="51"/>
      <c r="P506" s="51"/>
      <c r="Q506" s="51"/>
      <c r="R506" s="51"/>
      <c r="S506" s="51"/>
      <c r="T506" s="51"/>
    </row>
    <row r="507">
      <c r="A507" s="51"/>
      <c r="B507" s="51"/>
      <c r="C507" s="56"/>
      <c r="D507" s="51"/>
      <c r="E507" s="51"/>
      <c r="F507" s="51"/>
      <c r="G507" s="51" t="str">
        <f>IFERROR(__xludf.DUMMYFUNCTION("""COMPUTED_VALUE"""),"#VALUE!")</f>
        <v>#VALUE!</v>
      </c>
      <c r="H507" s="51" t="str">
        <f>IFERROR(__xludf.DUMMYFUNCTION("""COMPUTED_VALUE"""),"")</f>
        <v/>
      </c>
      <c r="I507" s="51" t="str">
        <f>IFERROR(__xludf.DUMMYFUNCTION("""COMPUTED_VALUE"""),"#VALUE!")</f>
        <v>#VALUE!</v>
      </c>
      <c r="J507" s="51" t="str">
        <f>IFERROR(__xludf.DUMMYFUNCTION("""COMPUTED_VALUE"""),"")</f>
        <v/>
      </c>
      <c r="K507" s="51"/>
      <c r="L507" s="51" t="s">
        <v>257</v>
      </c>
      <c r="M507" s="51"/>
      <c r="N507" s="51"/>
      <c r="O507" s="51"/>
      <c r="P507" s="51"/>
      <c r="Q507" s="51"/>
      <c r="R507" s="51"/>
      <c r="S507" s="51"/>
      <c r="T507" s="51"/>
    </row>
    <row r="508">
      <c r="A508" s="51"/>
      <c r="B508" s="51"/>
      <c r="C508" s="56"/>
      <c r="D508" s="51"/>
      <c r="E508" s="51"/>
      <c r="F508" s="51"/>
      <c r="G508" s="51" t="str">
        <f>IFERROR(__xludf.DUMMYFUNCTION("""COMPUTED_VALUE"""),"#VALUE!")</f>
        <v>#VALUE!</v>
      </c>
      <c r="H508" s="51" t="str">
        <f>IFERROR(__xludf.DUMMYFUNCTION("""COMPUTED_VALUE"""),"")</f>
        <v/>
      </c>
      <c r="I508" s="51" t="str">
        <f>IFERROR(__xludf.DUMMYFUNCTION("""COMPUTED_VALUE"""),"#VALUE!")</f>
        <v>#VALUE!</v>
      </c>
      <c r="J508" s="51" t="str">
        <f>IFERROR(__xludf.DUMMYFUNCTION("""COMPUTED_VALUE"""),"")</f>
        <v/>
      </c>
      <c r="K508" s="51"/>
      <c r="L508" s="51" t="s">
        <v>257</v>
      </c>
      <c r="M508" s="51"/>
      <c r="N508" s="51"/>
      <c r="O508" s="51"/>
      <c r="P508" s="51"/>
      <c r="Q508" s="51"/>
      <c r="R508" s="51"/>
      <c r="S508" s="51"/>
      <c r="T508" s="51"/>
    </row>
    <row r="509">
      <c r="A509" s="51"/>
      <c r="B509" s="51"/>
      <c r="C509" s="56"/>
      <c r="D509" s="51"/>
      <c r="E509" s="51"/>
      <c r="F509" s="51"/>
      <c r="G509" s="51" t="str">
        <f>IFERROR(__xludf.DUMMYFUNCTION("""COMPUTED_VALUE"""),"#VALUE!")</f>
        <v>#VALUE!</v>
      </c>
      <c r="H509" s="51" t="str">
        <f>IFERROR(__xludf.DUMMYFUNCTION("""COMPUTED_VALUE"""),"")</f>
        <v/>
      </c>
      <c r="I509" s="51" t="str">
        <f>IFERROR(__xludf.DUMMYFUNCTION("""COMPUTED_VALUE"""),"#VALUE!")</f>
        <v>#VALUE!</v>
      </c>
      <c r="J509" s="51" t="str">
        <f>IFERROR(__xludf.DUMMYFUNCTION("""COMPUTED_VALUE"""),"")</f>
        <v/>
      </c>
      <c r="K509" s="51"/>
      <c r="L509" s="51" t="s">
        <v>257</v>
      </c>
      <c r="M509" s="51"/>
      <c r="N509" s="51"/>
      <c r="O509" s="51"/>
      <c r="P509" s="51"/>
      <c r="Q509" s="51"/>
      <c r="R509" s="51"/>
      <c r="S509" s="51"/>
      <c r="T509" s="51"/>
    </row>
    <row r="510">
      <c r="A510" s="51"/>
      <c r="B510" s="51"/>
      <c r="C510" s="56"/>
      <c r="D510" s="51"/>
      <c r="E510" s="51"/>
      <c r="F510" s="51"/>
      <c r="G510" s="51" t="str">
        <f>IFERROR(__xludf.DUMMYFUNCTION("""COMPUTED_VALUE"""),"#VALUE!")</f>
        <v>#VALUE!</v>
      </c>
      <c r="H510" s="51" t="str">
        <f>IFERROR(__xludf.DUMMYFUNCTION("""COMPUTED_VALUE"""),"")</f>
        <v/>
      </c>
      <c r="I510" s="51" t="str">
        <f>IFERROR(__xludf.DUMMYFUNCTION("""COMPUTED_VALUE"""),"#VALUE!")</f>
        <v>#VALUE!</v>
      </c>
      <c r="J510" s="51" t="str">
        <f>IFERROR(__xludf.DUMMYFUNCTION("""COMPUTED_VALUE"""),"")</f>
        <v/>
      </c>
      <c r="K510" s="51"/>
      <c r="L510" s="51" t="s">
        <v>257</v>
      </c>
      <c r="M510" s="51"/>
      <c r="N510" s="51"/>
      <c r="O510" s="51"/>
      <c r="P510" s="51"/>
      <c r="Q510" s="51"/>
      <c r="R510" s="51"/>
      <c r="S510" s="51"/>
      <c r="T510" s="51"/>
    </row>
    <row r="511">
      <c r="A511" s="51"/>
      <c r="B511" s="51"/>
      <c r="C511" s="56"/>
      <c r="D511" s="51"/>
      <c r="E511" s="51"/>
      <c r="F511" s="51"/>
      <c r="G511" s="51" t="str">
        <f>IFERROR(__xludf.DUMMYFUNCTION("""COMPUTED_VALUE"""),"#VALUE!")</f>
        <v>#VALUE!</v>
      </c>
      <c r="H511" s="51" t="str">
        <f>IFERROR(__xludf.DUMMYFUNCTION("""COMPUTED_VALUE"""),"")</f>
        <v/>
      </c>
      <c r="I511" s="51" t="str">
        <f>IFERROR(__xludf.DUMMYFUNCTION("""COMPUTED_VALUE"""),"#VALUE!")</f>
        <v>#VALUE!</v>
      </c>
      <c r="J511" s="51" t="str">
        <f>IFERROR(__xludf.DUMMYFUNCTION("""COMPUTED_VALUE"""),"")</f>
        <v/>
      </c>
      <c r="K511" s="51"/>
      <c r="L511" s="51" t="s">
        <v>257</v>
      </c>
      <c r="M511" s="51"/>
      <c r="N511" s="51"/>
      <c r="O511" s="51"/>
      <c r="P511" s="51"/>
      <c r="Q511" s="51"/>
      <c r="R511" s="51"/>
      <c r="S511" s="51"/>
      <c r="T511" s="51"/>
    </row>
    <row r="512">
      <c r="A512" s="51"/>
      <c r="B512" s="51"/>
      <c r="C512" s="56"/>
      <c r="D512" s="51"/>
      <c r="E512" s="51"/>
      <c r="F512" s="51"/>
      <c r="G512" s="51" t="str">
        <f>IFERROR(__xludf.DUMMYFUNCTION("""COMPUTED_VALUE"""),"#VALUE!")</f>
        <v>#VALUE!</v>
      </c>
      <c r="H512" s="51" t="str">
        <f>IFERROR(__xludf.DUMMYFUNCTION("""COMPUTED_VALUE"""),"")</f>
        <v/>
      </c>
      <c r="I512" s="51" t="str">
        <f>IFERROR(__xludf.DUMMYFUNCTION("""COMPUTED_VALUE"""),"#VALUE!")</f>
        <v>#VALUE!</v>
      </c>
      <c r="J512" s="51" t="str">
        <f>IFERROR(__xludf.DUMMYFUNCTION("""COMPUTED_VALUE"""),"")</f>
        <v/>
      </c>
      <c r="K512" s="51"/>
      <c r="L512" s="51" t="s">
        <v>257</v>
      </c>
      <c r="M512" s="51"/>
      <c r="N512" s="51"/>
      <c r="O512" s="51"/>
      <c r="P512" s="51"/>
      <c r="Q512" s="51"/>
      <c r="R512" s="51"/>
      <c r="S512" s="51"/>
      <c r="T512" s="51"/>
    </row>
    <row r="513">
      <c r="A513" s="51"/>
      <c r="B513" s="51"/>
      <c r="C513" s="56"/>
      <c r="D513" s="51"/>
      <c r="E513" s="51"/>
      <c r="F513" s="51"/>
      <c r="G513" s="51" t="str">
        <f>IFERROR(__xludf.DUMMYFUNCTION("""COMPUTED_VALUE"""),"#VALUE!")</f>
        <v>#VALUE!</v>
      </c>
      <c r="H513" s="51" t="str">
        <f>IFERROR(__xludf.DUMMYFUNCTION("""COMPUTED_VALUE"""),"")</f>
        <v/>
      </c>
      <c r="I513" s="51" t="str">
        <f>IFERROR(__xludf.DUMMYFUNCTION("""COMPUTED_VALUE"""),"#VALUE!")</f>
        <v>#VALUE!</v>
      </c>
      <c r="J513" s="51" t="str">
        <f>IFERROR(__xludf.DUMMYFUNCTION("""COMPUTED_VALUE"""),"")</f>
        <v/>
      </c>
      <c r="K513" s="51"/>
      <c r="L513" s="51" t="s">
        <v>257</v>
      </c>
      <c r="M513" s="51"/>
      <c r="N513" s="51"/>
      <c r="O513" s="51"/>
      <c r="P513" s="51"/>
      <c r="Q513" s="51"/>
      <c r="R513" s="51"/>
      <c r="S513" s="51"/>
      <c r="T513" s="51"/>
    </row>
    <row r="514">
      <c r="A514" s="51"/>
      <c r="B514" s="51"/>
      <c r="C514" s="56"/>
      <c r="D514" s="51"/>
      <c r="E514" s="51"/>
      <c r="F514" s="51"/>
      <c r="G514" s="51" t="str">
        <f>IFERROR(__xludf.DUMMYFUNCTION("""COMPUTED_VALUE"""),"#VALUE!")</f>
        <v>#VALUE!</v>
      </c>
      <c r="H514" s="51" t="str">
        <f>IFERROR(__xludf.DUMMYFUNCTION("""COMPUTED_VALUE"""),"")</f>
        <v/>
      </c>
      <c r="I514" s="51" t="str">
        <f>IFERROR(__xludf.DUMMYFUNCTION("""COMPUTED_VALUE"""),"#VALUE!")</f>
        <v>#VALUE!</v>
      </c>
      <c r="J514" s="51" t="str">
        <f>IFERROR(__xludf.DUMMYFUNCTION("""COMPUTED_VALUE"""),"")</f>
        <v/>
      </c>
      <c r="K514" s="51"/>
      <c r="L514" s="51" t="s">
        <v>257</v>
      </c>
      <c r="M514" s="51"/>
      <c r="N514" s="51"/>
      <c r="O514" s="51"/>
      <c r="P514" s="51"/>
      <c r="Q514" s="51"/>
      <c r="R514" s="51"/>
      <c r="S514" s="51"/>
      <c r="T514" s="51"/>
    </row>
    <row r="515">
      <c r="A515" s="51"/>
      <c r="B515" s="51"/>
      <c r="C515" s="56"/>
      <c r="D515" s="51"/>
      <c r="E515" s="51"/>
      <c r="F515" s="51"/>
      <c r="G515" s="51" t="str">
        <f>IFERROR(__xludf.DUMMYFUNCTION("""COMPUTED_VALUE"""),"#VALUE!")</f>
        <v>#VALUE!</v>
      </c>
      <c r="H515" s="51" t="str">
        <f>IFERROR(__xludf.DUMMYFUNCTION("""COMPUTED_VALUE"""),"")</f>
        <v/>
      </c>
      <c r="I515" s="51" t="str">
        <f>IFERROR(__xludf.DUMMYFUNCTION("""COMPUTED_VALUE"""),"#VALUE!")</f>
        <v>#VALUE!</v>
      </c>
      <c r="J515" s="51" t="str">
        <f>IFERROR(__xludf.DUMMYFUNCTION("""COMPUTED_VALUE"""),"")</f>
        <v/>
      </c>
      <c r="K515" s="51"/>
      <c r="L515" s="51" t="s">
        <v>257</v>
      </c>
      <c r="M515" s="51"/>
      <c r="N515" s="51"/>
      <c r="O515" s="51"/>
      <c r="P515" s="51"/>
      <c r="Q515" s="51"/>
      <c r="R515" s="51"/>
      <c r="S515" s="51"/>
      <c r="T515" s="51"/>
    </row>
    <row r="516">
      <c r="A516" s="51"/>
      <c r="B516" s="51"/>
      <c r="C516" s="56"/>
      <c r="D516" s="51"/>
      <c r="E516" s="51"/>
      <c r="F516" s="51"/>
      <c r="G516" s="51" t="str">
        <f>IFERROR(__xludf.DUMMYFUNCTION("""COMPUTED_VALUE"""),"#VALUE!")</f>
        <v>#VALUE!</v>
      </c>
      <c r="H516" s="51" t="str">
        <f>IFERROR(__xludf.DUMMYFUNCTION("""COMPUTED_VALUE"""),"")</f>
        <v/>
      </c>
      <c r="I516" s="51" t="str">
        <f>IFERROR(__xludf.DUMMYFUNCTION("""COMPUTED_VALUE"""),"#VALUE!")</f>
        <v>#VALUE!</v>
      </c>
      <c r="J516" s="51" t="str">
        <f>IFERROR(__xludf.DUMMYFUNCTION("""COMPUTED_VALUE"""),"")</f>
        <v/>
      </c>
      <c r="K516" s="51"/>
      <c r="L516" s="51" t="s">
        <v>257</v>
      </c>
      <c r="M516" s="51"/>
      <c r="N516" s="51"/>
      <c r="O516" s="51"/>
      <c r="P516" s="51"/>
      <c r="Q516" s="51"/>
      <c r="R516" s="51"/>
      <c r="S516" s="51"/>
      <c r="T516" s="51"/>
    </row>
    <row r="517">
      <c r="A517" s="51"/>
      <c r="B517" s="51"/>
      <c r="C517" s="56"/>
      <c r="D517" s="51"/>
      <c r="E517" s="51"/>
      <c r="F517" s="51"/>
      <c r="G517" s="51" t="str">
        <f>IFERROR(__xludf.DUMMYFUNCTION("""COMPUTED_VALUE"""),"#VALUE!")</f>
        <v>#VALUE!</v>
      </c>
      <c r="H517" s="51" t="str">
        <f>IFERROR(__xludf.DUMMYFUNCTION("""COMPUTED_VALUE"""),"")</f>
        <v/>
      </c>
      <c r="I517" s="51" t="str">
        <f>IFERROR(__xludf.DUMMYFUNCTION("""COMPUTED_VALUE"""),"#VALUE!")</f>
        <v>#VALUE!</v>
      </c>
      <c r="J517" s="51" t="str">
        <f>IFERROR(__xludf.DUMMYFUNCTION("""COMPUTED_VALUE"""),"")</f>
        <v/>
      </c>
      <c r="K517" s="51"/>
      <c r="L517" s="51" t="s">
        <v>257</v>
      </c>
      <c r="M517" s="51"/>
      <c r="N517" s="51"/>
      <c r="O517" s="51"/>
      <c r="P517" s="51"/>
      <c r="Q517" s="51"/>
      <c r="R517" s="51"/>
      <c r="S517" s="51"/>
      <c r="T517" s="51"/>
    </row>
    <row r="518">
      <c r="A518" s="51"/>
      <c r="B518" s="51"/>
      <c r="C518" s="56"/>
      <c r="D518" s="51"/>
      <c r="E518" s="51"/>
      <c r="F518" s="51"/>
      <c r="G518" s="51" t="str">
        <f>IFERROR(__xludf.DUMMYFUNCTION("""COMPUTED_VALUE"""),"#VALUE!")</f>
        <v>#VALUE!</v>
      </c>
      <c r="H518" s="51" t="str">
        <f>IFERROR(__xludf.DUMMYFUNCTION("""COMPUTED_VALUE"""),"")</f>
        <v/>
      </c>
      <c r="I518" s="51" t="str">
        <f>IFERROR(__xludf.DUMMYFUNCTION("""COMPUTED_VALUE"""),"#VALUE!")</f>
        <v>#VALUE!</v>
      </c>
      <c r="J518" s="51" t="str">
        <f>IFERROR(__xludf.DUMMYFUNCTION("""COMPUTED_VALUE"""),"")</f>
        <v/>
      </c>
      <c r="K518" s="51"/>
      <c r="L518" s="51" t="s">
        <v>257</v>
      </c>
      <c r="M518" s="51"/>
      <c r="N518" s="51"/>
      <c r="O518" s="51"/>
      <c r="P518" s="51"/>
      <c r="Q518" s="51"/>
      <c r="R518" s="51"/>
      <c r="S518" s="51"/>
      <c r="T518" s="51"/>
    </row>
    <row r="519">
      <c r="A519" s="51"/>
      <c r="B519" s="51"/>
      <c r="C519" s="56"/>
      <c r="D519" s="51"/>
      <c r="E519" s="51"/>
      <c r="F519" s="51"/>
      <c r="G519" s="51" t="str">
        <f>IFERROR(__xludf.DUMMYFUNCTION("""COMPUTED_VALUE"""),"#VALUE!")</f>
        <v>#VALUE!</v>
      </c>
      <c r="H519" s="51" t="str">
        <f>IFERROR(__xludf.DUMMYFUNCTION("""COMPUTED_VALUE"""),"")</f>
        <v/>
      </c>
      <c r="I519" s="51" t="str">
        <f>IFERROR(__xludf.DUMMYFUNCTION("""COMPUTED_VALUE"""),"#VALUE!")</f>
        <v>#VALUE!</v>
      </c>
      <c r="J519" s="51" t="str">
        <f>IFERROR(__xludf.DUMMYFUNCTION("""COMPUTED_VALUE"""),"")</f>
        <v/>
      </c>
      <c r="K519" s="51"/>
      <c r="L519" s="51" t="s">
        <v>257</v>
      </c>
      <c r="M519" s="51"/>
      <c r="N519" s="51"/>
      <c r="O519" s="51"/>
      <c r="P519" s="51"/>
      <c r="Q519" s="51"/>
      <c r="R519" s="51"/>
      <c r="S519" s="51"/>
      <c r="T519" s="51"/>
    </row>
    <row r="520">
      <c r="A520" s="51"/>
      <c r="B520" s="51"/>
      <c r="C520" s="56"/>
      <c r="D520" s="51"/>
      <c r="E520" s="51"/>
      <c r="F520" s="51"/>
      <c r="G520" s="51" t="str">
        <f>IFERROR(__xludf.DUMMYFUNCTION("""COMPUTED_VALUE"""),"#VALUE!")</f>
        <v>#VALUE!</v>
      </c>
      <c r="H520" s="51" t="str">
        <f>IFERROR(__xludf.DUMMYFUNCTION("""COMPUTED_VALUE"""),"")</f>
        <v/>
      </c>
      <c r="I520" s="51" t="str">
        <f>IFERROR(__xludf.DUMMYFUNCTION("""COMPUTED_VALUE"""),"#VALUE!")</f>
        <v>#VALUE!</v>
      </c>
      <c r="J520" s="51" t="str">
        <f>IFERROR(__xludf.DUMMYFUNCTION("""COMPUTED_VALUE"""),"")</f>
        <v/>
      </c>
      <c r="K520" s="51"/>
      <c r="L520" s="51" t="s">
        <v>257</v>
      </c>
      <c r="M520" s="51"/>
      <c r="N520" s="51"/>
      <c r="O520" s="51"/>
      <c r="P520" s="51"/>
      <c r="Q520" s="51"/>
      <c r="R520" s="51"/>
      <c r="S520" s="51"/>
      <c r="T520" s="51"/>
    </row>
    <row r="521">
      <c r="A521" s="51"/>
      <c r="B521" s="51"/>
      <c r="C521" s="56"/>
      <c r="D521" s="51"/>
      <c r="E521" s="51"/>
      <c r="F521" s="51"/>
      <c r="G521" s="51" t="str">
        <f>IFERROR(__xludf.DUMMYFUNCTION("""COMPUTED_VALUE"""),"#VALUE!")</f>
        <v>#VALUE!</v>
      </c>
      <c r="H521" s="51" t="str">
        <f>IFERROR(__xludf.DUMMYFUNCTION("""COMPUTED_VALUE"""),"")</f>
        <v/>
      </c>
      <c r="I521" s="51" t="str">
        <f>IFERROR(__xludf.DUMMYFUNCTION("""COMPUTED_VALUE"""),"#VALUE!")</f>
        <v>#VALUE!</v>
      </c>
      <c r="J521" s="51" t="str">
        <f>IFERROR(__xludf.DUMMYFUNCTION("""COMPUTED_VALUE"""),"")</f>
        <v/>
      </c>
      <c r="K521" s="51"/>
      <c r="L521" s="51" t="s">
        <v>257</v>
      </c>
      <c r="M521" s="51"/>
      <c r="N521" s="51"/>
      <c r="O521" s="51"/>
      <c r="P521" s="51"/>
      <c r="Q521" s="51"/>
      <c r="R521" s="51"/>
      <c r="S521" s="51"/>
      <c r="T521" s="51"/>
    </row>
    <row r="522">
      <c r="A522" s="51"/>
      <c r="B522" s="51"/>
      <c r="C522" s="56"/>
      <c r="D522" s="51"/>
      <c r="E522" s="51"/>
      <c r="F522" s="51"/>
      <c r="G522" s="51" t="str">
        <f>IFERROR(__xludf.DUMMYFUNCTION("""COMPUTED_VALUE"""),"#VALUE!")</f>
        <v>#VALUE!</v>
      </c>
      <c r="H522" s="51" t="str">
        <f>IFERROR(__xludf.DUMMYFUNCTION("""COMPUTED_VALUE"""),"")</f>
        <v/>
      </c>
      <c r="I522" s="51" t="str">
        <f>IFERROR(__xludf.DUMMYFUNCTION("""COMPUTED_VALUE"""),"#VALUE!")</f>
        <v>#VALUE!</v>
      </c>
      <c r="J522" s="51" t="str">
        <f>IFERROR(__xludf.DUMMYFUNCTION("""COMPUTED_VALUE"""),"")</f>
        <v/>
      </c>
      <c r="K522" s="51"/>
      <c r="L522" s="51" t="s">
        <v>257</v>
      </c>
      <c r="M522" s="51"/>
      <c r="N522" s="51"/>
      <c r="O522" s="51"/>
      <c r="P522" s="51"/>
      <c r="Q522" s="51"/>
      <c r="R522" s="51"/>
      <c r="S522" s="51"/>
      <c r="T522" s="51"/>
    </row>
    <row r="523">
      <c r="A523" s="51"/>
      <c r="B523" s="51"/>
      <c r="C523" s="56"/>
      <c r="D523" s="51"/>
      <c r="E523" s="51"/>
      <c r="F523" s="51"/>
      <c r="G523" s="51" t="str">
        <f>IFERROR(__xludf.DUMMYFUNCTION("""COMPUTED_VALUE"""),"#VALUE!")</f>
        <v>#VALUE!</v>
      </c>
      <c r="H523" s="51" t="str">
        <f>IFERROR(__xludf.DUMMYFUNCTION("""COMPUTED_VALUE"""),"")</f>
        <v/>
      </c>
      <c r="I523" s="51" t="str">
        <f>IFERROR(__xludf.DUMMYFUNCTION("""COMPUTED_VALUE"""),"#VALUE!")</f>
        <v>#VALUE!</v>
      </c>
      <c r="J523" s="51" t="str">
        <f>IFERROR(__xludf.DUMMYFUNCTION("""COMPUTED_VALUE"""),"")</f>
        <v/>
      </c>
      <c r="K523" s="51"/>
      <c r="L523" s="51" t="s">
        <v>257</v>
      </c>
      <c r="M523" s="51"/>
      <c r="N523" s="51"/>
      <c r="O523" s="51"/>
      <c r="P523" s="51"/>
      <c r="Q523" s="51"/>
      <c r="R523" s="51"/>
      <c r="S523" s="51"/>
      <c r="T523" s="51"/>
    </row>
    <row r="524">
      <c r="A524" s="51"/>
      <c r="B524" s="51"/>
      <c r="C524" s="56"/>
      <c r="D524" s="51"/>
      <c r="E524" s="51"/>
      <c r="F524" s="51"/>
      <c r="G524" s="51" t="str">
        <f>IFERROR(__xludf.DUMMYFUNCTION("""COMPUTED_VALUE"""),"#VALUE!")</f>
        <v>#VALUE!</v>
      </c>
      <c r="H524" s="51" t="str">
        <f>IFERROR(__xludf.DUMMYFUNCTION("""COMPUTED_VALUE"""),"")</f>
        <v/>
      </c>
      <c r="I524" s="51" t="str">
        <f>IFERROR(__xludf.DUMMYFUNCTION("""COMPUTED_VALUE"""),"#VALUE!")</f>
        <v>#VALUE!</v>
      </c>
      <c r="J524" s="51" t="str">
        <f>IFERROR(__xludf.DUMMYFUNCTION("""COMPUTED_VALUE"""),"")</f>
        <v/>
      </c>
      <c r="K524" s="51"/>
      <c r="L524" s="51" t="s">
        <v>257</v>
      </c>
      <c r="M524" s="51"/>
      <c r="N524" s="51"/>
      <c r="O524" s="51"/>
      <c r="P524" s="51"/>
      <c r="Q524" s="51"/>
      <c r="R524" s="51"/>
      <c r="S524" s="51"/>
      <c r="T524" s="51"/>
    </row>
    <row r="525">
      <c r="A525" s="51"/>
      <c r="B525" s="51"/>
      <c r="C525" s="56"/>
      <c r="D525" s="51"/>
      <c r="E525" s="51"/>
      <c r="F525" s="51"/>
      <c r="G525" s="51" t="str">
        <f>IFERROR(__xludf.DUMMYFUNCTION("""COMPUTED_VALUE"""),"#VALUE!")</f>
        <v>#VALUE!</v>
      </c>
      <c r="H525" s="51" t="str">
        <f>IFERROR(__xludf.DUMMYFUNCTION("""COMPUTED_VALUE"""),"")</f>
        <v/>
      </c>
      <c r="I525" s="51" t="str">
        <f>IFERROR(__xludf.DUMMYFUNCTION("""COMPUTED_VALUE"""),"#VALUE!")</f>
        <v>#VALUE!</v>
      </c>
      <c r="J525" s="51" t="str">
        <f>IFERROR(__xludf.DUMMYFUNCTION("""COMPUTED_VALUE"""),"")</f>
        <v/>
      </c>
      <c r="K525" s="51"/>
      <c r="L525" s="51" t="s">
        <v>257</v>
      </c>
      <c r="M525" s="51"/>
      <c r="N525" s="51"/>
      <c r="O525" s="51"/>
      <c r="P525" s="51"/>
      <c r="Q525" s="51"/>
      <c r="R525" s="51"/>
      <c r="S525" s="51"/>
      <c r="T525" s="51"/>
    </row>
    <row r="526">
      <c r="A526" s="51"/>
      <c r="B526" s="51"/>
      <c r="C526" s="56"/>
      <c r="D526" s="51"/>
      <c r="E526" s="51"/>
      <c r="F526" s="51"/>
      <c r="G526" s="51" t="str">
        <f>IFERROR(__xludf.DUMMYFUNCTION("""COMPUTED_VALUE"""),"#VALUE!")</f>
        <v>#VALUE!</v>
      </c>
      <c r="H526" s="51" t="str">
        <f>IFERROR(__xludf.DUMMYFUNCTION("""COMPUTED_VALUE"""),"")</f>
        <v/>
      </c>
      <c r="I526" s="51" t="str">
        <f>IFERROR(__xludf.DUMMYFUNCTION("""COMPUTED_VALUE"""),"#VALUE!")</f>
        <v>#VALUE!</v>
      </c>
      <c r="J526" s="51" t="str">
        <f>IFERROR(__xludf.DUMMYFUNCTION("""COMPUTED_VALUE"""),"")</f>
        <v/>
      </c>
      <c r="K526" s="51"/>
      <c r="L526" s="51" t="s">
        <v>257</v>
      </c>
      <c r="M526" s="51"/>
      <c r="N526" s="51"/>
      <c r="O526" s="51"/>
      <c r="P526" s="51"/>
      <c r="Q526" s="51"/>
      <c r="R526" s="51"/>
      <c r="S526" s="51"/>
      <c r="T526" s="51"/>
    </row>
    <row r="527">
      <c r="A527" s="51"/>
      <c r="B527" s="51"/>
      <c r="C527" s="56"/>
      <c r="D527" s="51"/>
      <c r="E527" s="51"/>
      <c r="F527" s="51"/>
      <c r="G527" s="51" t="str">
        <f>IFERROR(__xludf.DUMMYFUNCTION("""COMPUTED_VALUE"""),"#VALUE!")</f>
        <v>#VALUE!</v>
      </c>
      <c r="H527" s="51" t="str">
        <f>IFERROR(__xludf.DUMMYFUNCTION("""COMPUTED_VALUE"""),"")</f>
        <v/>
      </c>
      <c r="I527" s="51" t="str">
        <f>IFERROR(__xludf.DUMMYFUNCTION("""COMPUTED_VALUE"""),"#VALUE!")</f>
        <v>#VALUE!</v>
      </c>
      <c r="J527" s="51" t="str">
        <f>IFERROR(__xludf.DUMMYFUNCTION("""COMPUTED_VALUE"""),"")</f>
        <v/>
      </c>
      <c r="K527" s="51"/>
      <c r="L527" s="51" t="s">
        <v>257</v>
      </c>
      <c r="M527" s="51"/>
      <c r="N527" s="51"/>
      <c r="O527" s="51"/>
      <c r="P527" s="51"/>
      <c r="Q527" s="51"/>
      <c r="R527" s="51"/>
      <c r="S527" s="51"/>
      <c r="T527" s="51"/>
    </row>
    <row r="528">
      <c r="A528" s="51"/>
      <c r="B528" s="51"/>
      <c r="C528" s="56"/>
      <c r="D528" s="51"/>
      <c r="E528" s="51"/>
      <c r="F528" s="51"/>
      <c r="G528" s="51" t="str">
        <f>IFERROR(__xludf.DUMMYFUNCTION("""COMPUTED_VALUE"""),"#VALUE!")</f>
        <v>#VALUE!</v>
      </c>
      <c r="H528" s="51" t="str">
        <f>IFERROR(__xludf.DUMMYFUNCTION("""COMPUTED_VALUE"""),"")</f>
        <v/>
      </c>
      <c r="I528" s="51" t="str">
        <f>IFERROR(__xludf.DUMMYFUNCTION("""COMPUTED_VALUE"""),"#VALUE!")</f>
        <v>#VALUE!</v>
      </c>
      <c r="J528" s="51" t="str">
        <f>IFERROR(__xludf.DUMMYFUNCTION("""COMPUTED_VALUE"""),"")</f>
        <v/>
      </c>
      <c r="K528" s="51"/>
      <c r="L528" s="51" t="s">
        <v>257</v>
      </c>
      <c r="M528" s="51"/>
      <c r="N528" s="51"/>
      <c r="O528" s="51"/>
      <c r="P528" s="51"/>
      <c r="Q528" s="51"/>
      <c r="R528" s="51"/>
      <c r="S528" s="51"/>
      <c r="T528" s="51"/>
    </row>
    <row r="529">
      <c r="A529" s="51"/>
      <c r="B529" s="51"/>
      <c r="C529" s="56"/>
      <c r="D529" s="51"/>
      <c r="E529" s="51"/>
      <c r="F529" s="51"/>
      <c r="G529" s="51" t="str">
        <f>IFERROR(__xludf.DUMMYFUNCTION("""COMPUTED_VALUE"""),"#VALUE!")</f>
        <v>#VALUE!</v>
      </c>
      <c r="H529" s="51" t="str">
        <f>IFERROR(__xludf.DUMMYFUNCTION("""COMPUTED_VALUE"""),"")</f>
        <v/>
      </c>
      <c r="I529" s="51" t="str">
        <f>IFERROR(__xludf.DUMMYFUNCTION("""COMPUTED_VALUE"""),"#VALUE!")</f>
        <v>#VALUE!</v>
      </c>
      <c r="J529" s="51" t="str">
        <f>IFERROR(__xludf.DUMMYFUNCTION("""COMPUTED_VALUE"""),"")</f>
        <v/>
      </c>
      <c r="K529" s="51"/>
      <c r="L529" s="51" t="s">
        <v>257</v>
      </c>
      <c r="M529" s="51"/>
      <c r="N529" s="51"/>
      <c r="O529" s="51"/>
      <c r="P529" s="51"/>
      <c r="Q529" s="51"/>
      <c r="R529" s="51"/>
      <c r="S529" s="51"/>
      <c r="T529" s="51"/>
    </row>
    <row r="530">
      <c r="A530" s="51"/>
      <c r="B530" s="51"/>
      <c r="C530" s="56"/>
      <c r="D530" s="51"/>
      <c r="E530" s="51"/>
      <c r="F530" s="51"/>
      <c r="G530" s="51" t="str">
        <f>IFERROR(__xludf.DUMMYFUNCTION("""COMPUTED_VALUE"""),"#VALUE!")</f>
        <v>#VALUE!</v>
      </c>
      <c r="H530" s="51" t="str">
        <f>IFERROR(__xludf.DUMMYFUNCTION("""COMPUTED_VALUE"""),"")</f>
        <v/>
      </c>
      <c r="I530" s="51" t="str">
        <f>IFERROR(__xludf.DUMMYFUNCTION("""COMPUTED_VALUE"""),"#VALUE!")</f>
        <v>#VALUE!</v>
      </c>
      <c r="J530" s="51" t="str">
        <f>IFERROR(__xludf.DUMMYFUNCTION("""COMPUTED_VALUE"""),"")</f>
        <v/>
      </c>
      <c r="K530" s="51"/>
      <c r="L530" s="51" t="s">
        <v>257</v>
      </c>
      <c r="M530" s="51"/>
      <c r="N530" s="51"/>
      <c r="O530" s="51"/>
      <c r="P530" s="51"/>
      <c r="Q530" s="51"/>
      <c r="R530" s="51"/>
      <c r="S530" s="51"/>
      <c r="T530" s="51"/>
    </row>
    <row r="531">
      <c r="A531" s="51"/>
      <c r="B531" s="51"/>
      <c r="C531" s="56"/>
      <c r="D531" s="51"/>
      <c r="E531" s="51"/>
      <c r="F531" s="51"/>
      <c r="G531" s="51" t="str">
        <f>IFERROR(__xludf.DUMMYFUNCTION("""COMPUTED_VALUE"""),"#VALUE!")</f>
        <v>#VALUE!</v>
      </c>
      <c r="H531" s="51" t="str">
        <f>IFERROR(__xludf.DUMMYFUNCTION("""COMPUTED_VALUE"""),"")</f>
        <v/>
      </c>
      <c r="I531" s="51" t="str">
        <f>IFERROR(__xludf.DUMMYFUNCTION("""COMPUTED_VALUE"""),"#VALUE!")</f>
        <v>#VALUE!</v>
      </c>
      <c r="J531" s="51" t="str">
        <f>IFERROR(__xludf.DUMMYFUNCTION("""COMPUTED_VALUE"""),"")</f>
        <v/>
      </c>
      <c r="K531" s="51"/>
      <c r="L531" s="51" t="s">
        <v>257</v>
      </c>
      <c r="M531" s="51"/>
      <c r="N531" s="51"/>
      <c r="O531" s="51"/>
      <c r="P531" s="51"/>
      <c r="Q531" s="51"/>
      <c r="R531" s="51"/>
      <c r="S531" s="51"/>
      <c r="T531" s="51"/>
    </row>
    <row r="532">
      <c r="A532" s="51"/>
      <c r="B532" s="51"/>
      <c r="C532" s="56"/>
      <c r="D532" s="51"/>
      <c r="E532" s="51"/>
      <c r="F532" s="51"/>
      <c r="G532" s="51" t="str">
        <f>IFERROR(__xludf.DUMMYFUNCTION("""COMPUTED_VALUE"""),"#VALUE!")</f>
        <v>#VALUE!</v>
      </c>
      <c r="H532" s="51" t="str">
        <f>IFERROR(__xludf.DUMMYFUNCTION("""COMPUTED_VALUE"""),"")</f>
        <v/>
      </c>
      <c r="I532" s="51" t="str">
        <f>IFERROR(__xludf.DUMMYFUNCTION("""COMPUTED_VALUE"""),"#VALUE!")</f>
        <v>#VALUE!</v>
      </c>
      <c r="J532" s="51" t="str">
        <f>IFERROR(__xludf.DUMMYFUNCTION("""COMPUTED_VALUE"""),"")</f>
        <v/>
      </c>
      <c r="K532" s="51"/>
      <c r="L532" s="51" t="s">
        <v>257</v>
      </c>
      <c r="M532" s="51"/>
      <c r="N532" s="51"/>
      <c r="O532" s="51"/>
      <c r="P532" s="51"/>
      <c r="Q532" s="51"/>
      <c r="R532" s="51"/>
      <c r="S532" s="51"/>
      <c r="T532" s="51"/>
    </row>
    <row r="533">
      <c r="A533" s="51"/>
      <c r="B533" s="51"/>
      <c r="C533" s="56"/>
      <c r="D533" s="51"/>
      <c r="E533" s="51"/>
      <c r="F533" s="51"/>
      <c r="G533" s="51" t="str">
        <f>IFERROR(__xludf.DUMMYFUNCTION("""COMPUTED_VALUE"""),"#VALUE!")</f>
        <v>#VALUE!</v>
      </c>
      <c r="H533" s="51" t="str">
        <f>IFERROR(__xludf.DUMMYFUNCTION("""COMPUTED_VALUE"""),"")</f>
        <v/>
      </c>
      <c r="I533" s="51" t="str">
        <f>IFERROR(__xludf.DUMMYFUNCTION("""COMPUTED_VALUE"""),"#VALUE!")</f>
        <v>#VALUE!</v>
      </c>
      <c r="J533" s="51" t="str">
        <f>IFERROR(__xludf.DUMMYFUNCTION("""COMPUTED_VALUE"""),"")</f>
        <v/>
      </c>
      <c r="K533" s="51"/>
      <c r="L533" s="51" t="s">
        <v>257</v>
      </c>
      <c r="M533" s="51"/>
      <c r="N533" s="51"/>
      <c r="O533" s="51"/>
      <c r="P533" s="51"/>
      <c r="Q533" s="51"/>
      <c r="R533" s="51"/>
      <c r="S533" s="51"/>
      <c r="T533" s="51"/>
    </row>
    <row r="534">
      <c r="A534" s="51"/>
      <c r="B534" s="51"/>
      <c r="C534" s="56"/>
      <c r="D534" s="51"/>
      <c r="E534" s="51"/>
      <c r="F534" s="51"/>
      <c r="G534" s="51" t="str">
        <f>IFERROR(__xludf.DUMMYFUNCTION("""COMPUTED_VALUE"""),"#VALUE!")</f>
        <v>#VALUE!</v>
      </c>
      <c r="H534" s="51" t="str">
        <f>IFERROR(__xludf.DUMMYFUNCTION("""COMPUTED_VALUE"""),"")</f>
        <v/>
      </c>
      <c r="I534" s="51" t="str">
        <f>IFERROR(__xludf.DUMMYFUNCTION("""COMPUTED_VALUE"""),"#VALUE!")</f>
        <v>#VALUE!</v>
      </c>
      <c r="J534" s="51" t="str">
        <f>IFERROR(__xludf.DUMMYFUNCTION("""COMPUTED_VALUE"""),"")</f>
        <v/>
      </c>
      <c r="K534" s="51"/>
      <c r="L534" s="51" t="s">
        <v>257</v>
      </c>
      <c r="M534" s="51"/>
      <c r="N534" s="51"/>
      <c r="O534" s="51"/>
      <c r="P534" s="51"/>
      <c r="Q534" s="51"/>
      <c r="R534" s="51"/>
      <c r="S534" s="51"/>
      <c r="T534" s="51"/>
    </row>
    <row r="535">
      <c r="A535" s="51"/>
      <c r="B535" s="51"/>
      <c r="C535" s="56"/>
      <c r="D535" s="51"/>
      <c r="E535" s="51"/>
      <c r="F535" s="51"/>
      <c r="G535" s="51" t="str">
        <f>IFERROR(__xludf.DUMMYFUNCTION("""COMPUTED_VALUE"""),"#VALUE!")</f>
        <v>#VALUE!</v>
      </c>
      <c r="H535" s="51" t="str">
        <f>IFERROR(__xludf.DUMMYFUNCTION("""COMPUTED_VALUE"""),"")</f>
        <v/>
      </c>
      <c r="I535" s="51" t="str">
        <f>IFERROR(__xludf.DUMMYFUNCTION("""COMPUTED_VALUE"""),"#VALUE!")</f>
        <v>#VALUE!</v>
      </c>
      <c r="J535" s="51" t="str">
        <f>IFERROR(__xludf.DUMMYFUNCTION("""COMPUTED_VALUE"""),"")</f>
        <v/>
      </c>
      <c r="K535" s="51"/>
      <c r="L535" s="51" t="s">
        <v>257</v>
      </c>
      <c r="M535" s="51"/>
      <c r="N535" s="51"/>
      <c r="O535" s="51"/>
      <c r="P535" s="51"/>
      <c r="Q535" s="51"/>
      <c r="R535" s="51"/>
      <c r="S535" s="51"/>
      <c r="T535" s="51"/>
    </row>
    <row r="536">
      <c r="A536" s="51"/>
      <c r="B536" s="51"/>
      <c r="C536" s="56"/>
      <c r="D536" s="51"/>
      <c r="E536" s="51"/>
      <c r="F536" s="51"/>
      <c r="G536" s="51" t="str">
        <f>IFERROR(__xludf.DUMMYFUNCTION("""COMPUTED_VALUE"""),"#VALUE!")</f>
        <v>#VALUE!</v>
      </c>
      <c r="H536" s="51" t="str">
        <f>IFERROR(__xludf.DUMMYFUNCTION("""COMPUTED_VALUE"""),"")</f>
        <v/>
      </c>
      <c r="I536" s="51" t="str">
        <f>IFERROR(__xludf.DUMMYFUNCTION("""COMPUTED_VALUE"""),"#VALUE!")</f>
        <v>#VALUE!</v>
      </c>
      <c r="J536" s="51" t="str">
        <f>IFERROR(__xludf.DUMMYFUNCTION("""COMPUTED_VALUE"""),"")</f>
        <v/>
      </c>
      <c r="K536" s="51"/>
      <c r="L536" s="51" t="s">
        <v>257</v>
      </c>
      <c r="M536" s="51"/>
      <c r="N536" s="51"/>
      <c r="O536" s="51"/>
      <c r="P536" s="51"/>
      <c r="Q536" s="51"/>
      <c r="R536" s="51"/>
      <c r="S536" s="51"/>
      <c r="T536" s="51"/>
    </row>
    <row r="537">
      <c r="A537" s="51"/>
      <c r="B537" s="51"/>
      <c r="C537" s="56"/>
      <c r="D537" s="51"/>
      <c r="E537" s="51"/>
      <c r="F537" s="51"/>
      <c r="G537" s="51" t="str">
        <f>IFERROR(__xludf.DUMMYFUNCTION("""COMPUTED_VALUE"""),"#VALUE!")</f>
        <v>#VALUE!</v>
      </c>
      <c r="H537" s="51" t="str">
        <f>IFERROR(__xludf.DUMMYFUNCTION("""COMPUTED_VALUE"""),"")</f>
        <v/>
      </c>
      <c r="I537" s="51" t="str">
        <f>IFERROR(__xludf.DUMMYFUNCTION("""COMPUTED_VALUE"""),"#VALUE!")</f>
        <v>#VALUE!</v>
      </c>
      <c r="J537" s="51" t="str">
        <f>IFERROR(__xludf.DUMMYFUNCTION("""COMPUTED_VALUE"""),"")</f>
        <v/>
      </c>
      <c r="K537" s="51"/>
      <c r="L537" s="51" t="s">
        <v>257</v>
      </c>
      <c r="M537" s="51"/>
      <c r="N537" s="51"/>
      <c r="O537" s="51"/>
      <c r="P537" s="51"/>
      <c r="Q537" s="51"/>
      <c r="R537" s="51"/>
      <c r="S537" s="51"/>
      <c r="T537" s="51"/>
    </row>
    <row r="538">
      <c r="A538" s="51"/>
      <c r="B538" s="51"/>
      <c r="C538" s="56"/>
      <c r="D538" s="51"/>
      <c r="E538" s="51"/>
      <c r="F538" s="51"/>
      <c r="G538" s="51" t="str">
        <f>IFERROR(__xludf.DUMMYFUNCTION("""COMPUTED_VALUE"""),"#VALUE!")</f>
        <v>#VALUE!</v>
      </c>
      <c r="H538" s="51" t="str">
        <f>IFERROR(__xludf.DUMMYFUNCTION("""COMPUTED_VALUE"""),"")</f>
        <v/>
      </c>
      <c r="I538" s="51" t="str">
        <f>IFERROR(__xludf.DUMMYFUNCTION("""COMPUTED_VALUE"""),"#VALUE!")</f>
        <v>#VALUE!</v>
      </c>
      <c r="J538" s="51" t="str">
        <f>IFERROR(__xludf.DUMMYFUNCTION("""COMPUTED_VALUE"""),"")</f>
        <v/>
      </c>
      <c r="K538" s="51"/>
      <c r="L538" s="51" t="s">
        <v>257</v>
      </c>
      <c r="M538" s="51"/>
      <c r="N538" s="51"/>
      <c r="O538" s="51"/>
      <c r="P538" s="51"/>
      <c r="Q538" s="51"/>
      <c r="R538" s="51"/>
      <c r="S538" s="51"/>
      <c r="T538" s="51"/>
    </row>
    <row r="539">
      <c r="A539" s="51"/>
      <c r="B539" s="51"/>
      <c r="C539" s="56"/>
      <c r="D539" s="51"/>
      <c r="E539" s="51"/>
      <c r="F539" s="51"/>
      <c r="G539" s="51" t="str">
        <f>IFERROR(__xludf.DUMMYFUNCTION("""COMPUTED_VALUE"""),"#VALUE!")</f>
        <v>#VALUE!</v>
      </c>
      <c r="H539" s="51" t="str">
        <f>IFERROR(__xludf.DUMMYFUNCTION("""COMPUTED_VALUE"""),"")</f>
        <v/>
      </c>
      <c r="I539" s="51" t="str">
        <f>IFERROR(__xludf.DUMMYFUNCTION("""COMPUTED_VALUE"""),"#VALUE!")</f>
        <v>#VALUE!</v>
      </c>
      <c r="J539" s="51" t="str">
        <f>IFERROR(__xludf.DUMMYFUNCTION("""COMPUTED_VALUE"""),"")</f>
        <v/>
      </c>
      <c r="K539" s="51"/>
      <c r="L539" s="51" t="s">
        <v>257</v>
      </c>
      <c r="M539" s="51"/>
      <c r="N539" s="51"/>
      <c r="O539" s="51"/>
      <c r="P539" s="51"/>
      <c r="Q539" s="51"/>
      <c r="R539" s="51"/>
      <c r="S539" s="51"/>
      <c r="T539" s="51"/>
    </row>
    <row r="540">
      <c r="A540" s="51"/>
      <c r="B540" s="51"/>
      <c r="C540" s="56"/>
      <c r="D540" s="51"/>
      <c r="E540" s="51"/>
      <c r="F540" s="51"/>
      <c r="G540" s="51" t="str">
        <f>IFERROR(__xludf.DUMMYFUNCTION("""COMPUTED_VALUE"""),"#VALUE!")</f>
        <v>#VALUE!</v>
      </c>
      <c r="H540" s="51" t="str">
        <f>IFERROR(__xludf.DUMMYFUNCTION("""COMPUTED_VALUE"""),"")</f>
        <v/>
      </c>
      <c r="I540" s="51" t="str">
        <f>IFERROR(__xludf.DUMMYFUNCTION("""COMPUTED_VALUE"""),"#VALUE!")</f>
        <v>#VALUE!</v>
      </c>
      <c r="J540" s="51" t="str">
        <f>IFERROR(__xludf.DUMMYFUNCTION("""COMPUTED_VALUE"""),"")</f>
        <v/>
      </c>
      <c r="K540" s="51"/>
      <c r="L540" s="51" t="s">
        <v>257</v>
      </c>
      <c r="M540" s="51"/>
      <c r="N540" s="51"/>
      <c r="O540" s="51"/>
      <c r="P540" s="51"/>
      <c r="Q540" s="51"/>
      <c r="R540" s="51"/>
      <c r="S540" s="51"/>
      <c r="T540" s="51"/>
    </row>
    <row r="541">
      <c r="A541" s="51"/>
      <c r="B541" s="51"/>
      <c r="C541" s="56"/>
      <c r="D541" s="51"/>
      <c r="E541" s="51"/>
      <c r="F541" s="51"/>
      <c r="G541" s="51" t="str">
        <f>IFERROR(__xludf.DUMMYFUNCTION("""COMPUTED_VALUE"""),"#VALUE!")</f>
        <v>#VALUE!</v>
      </c>
      <c r="H541" s="51" t="str">
        <f>IFERROR(__xludf.DUMMYFUNCTION("""COMPUTED_VALUE"""),"")</f>
        <v/>
      </c>
      <c r="I541" s="51" t="str">
        <f>IFERROR(__xludf.DUMMYFUNCTION("""COMPUTED_VALUE"""),"#VALUE!")</f>
        <v>#VALUE!</v>
      </c>
      <c r="J541" s="51" t="str">
        <f>IFERROR(__xludf.DUMMYFUNCTION("""COMPUTED_VALUE"""),"")</f>
        <v/>
      </c>
      <c r="K541" s="51"/>
      <c r="L541" s="51" t="s">
        <v>257</v>
      </c>
      <c r="M541" s="51"/>
      <c r="N541" s="51"/>
      <c r="O541" s="51"/>
      <c r="P541" s="51"/>
      <c r="Q541" s="51"/>
      <c r="R541" s="51"/>
      <c r="S541" s="51"/>
      <c r="T541" s="51"/>
    </row>
    <row r="542">
      <c r="A542" s="51"/>
      <c r="B542" s="51"/>
      <c r="C542" s="56"/>
      <c r="D542" s="51"/>
      <c r="E542" s="51"/>
      <c r="F542" s="51"/>
      <c r="G542" s="51" t="str">
        <f>IFERROR(__xludf.DUMMYFUNCTION("""COMPUTED_VALUE"""),"#VALUE!")</f>
        <v>#VALUE!</v>
      </c>
      <c r="H542" s="51" t="str">
        <f>IFERROR(__xludf.DUMMYFUNCTION("""COMPUTED_VALUE"""),"")</f>
        <v/>
      </c>
      <c r="I542" s="51" t="str">
        <f>IFERROR(__xludf.DUMMYFUNCTION("""COMPUTED_VALUE"""),"#VALUE!")</f>
        <v>#VALUE!</v>
      </c>
      <c r="J542" s="51" t="str">
        <f>IFERROR(__xludf.DUMMYFUNCTION("""COMPUTED_VALUE"""),"")</f>
        <v/>
      </c>
      <c r="K542" s="51"/>
      <c r="L542" s="51" t="s">
        <v>257</v>
      </c>
      <c r="M542" s="51"/>
      <c r="N542" s="51"/>
      <c r="O542" s="51"/>
      <c r="P542" s="51"/>
      <c r="Q542" s="51"/>
      <c r="R542" s="51"/>
      <c r="S542" s="51"/>
      <c r="T542" s="51"/>
    </row>
    <row r="543">
      <c r="A543" s="51"/>
      <c r="B543" s="51"/>
      <c r="C543" s="56"/>
      <c r="D543" s="51"/>
      <c r="E543" s="51"/>
      <c r="F543" s="51"/>
      <c r="G543" s="51" t="str">
        <f>IFERROR(__xludf.DUMMYFUNCTION("""COMPUTED_VALUE"""),"#VALUE!")</f>
        <v>#VALUE!</v>
      </c>
      <c r="H543" s="51" t="str">
        <f>IFERROR(__xludf.DUMMYFUNCTION("""COMPUTED_VALUE"""),"")</f>
        <v/>
      </c>
      <c r="I543" s="51" t="str">
        <f>IFERROR(__xludf.DUMMYFUNCTION("""COMPUTED_VALUE"""),"#VALUE!")</f>
        <v>#VALUE!</v>
      </c>
      <c r="J543" s="51" t="str">
        <f>IFERROR(__xludf.DUMMYFUNCTION("""COMPUTED_VALUE"""),"")</f>
        <v/>
      </c>
      <c r="K543" s="51"/>
      <c r="L543" s="51" t="s">
        <v>257</v>
      </c>
      <c r="M543" s="51"/>
      <c r="N543" s="51"/>
      <c r="O543" s="51"/>
      <c r="P543" s="51"/>
      <c r="Q543" s="51"/>
      <c r="R543" s="51"/>
      <c r="S543" s="51"/>
      <c r="T543" s="51"/>
    </row>
    <row r="544">
      <c r="A544" s="51"/>
      <c r="B544" s="51"/>
      <c r="C544" s="56"/>
      <c r="D544" s="51"/>
      <c r="E544" s="51"/>
      <c r="F544" s="51"/>
      <c r="G544" s="51" t="str">
        <f>IFERROR(__xludf.DUMMYFUNCTION("""COMPUTED_VALUE"""),"#VALUE!")</f>
        <v>#VALUE!</v>
      </c>
      <c r="H544" s="51" t="str">
        <f>IFERROR(__xludf.DUMMYFUNCTION("""COMPUTED_VALUE"""),"")</f>
        <v/>
      </c>
      <c r="I544" s="51" t="str">
        <f>IFERROR(__xludf.DUMMYFUNCTION("""COMPUTED_VALUE"""),"#VALUE!")</f>
        <v>#VALUE!</v>
      </c>
      <c r="J544" s="51" t="str">
        <f>IFERROR(__xludf.DUMMYFUNCTION("""COMPUTED_VALUE"""),"")</f>
        <v/>
      </c>
      <c r="K544" s="51"/>
      <c r="L544" s="51" t="s">
        <v>257</v>
      </c>
      <c r="M544" s="51"/>
      <c r="N544" s="51"/>
      <c r="O544" s="51"/>
      <c r="P544" s="51"/>
      <c r="Q544" s="51"/>
      <c r="R544" s="51"/>
      <c r="S544" s="51"/>
      <c r="T544" s="51"/>
    </row>
    <row r="545">
      <c r="A545" s="51"/>
      <c r="B545" s="51"/>
      <c r="C545" s="56"/>
      <c r="D545" s="51"/>
      <c r="E545" s="51"/>
      <c r="F545" s="51"/>
      <c r="G545" s="51" t="str">
        <f>IFERROR(__xludf.DUMMYFUNCTION("""COMPUTED_VALUE"""),"#VALUE!")</f>
        <v>#VALUE!</v>
      </c>
      <c r="H545" s="51" t="str">
        <f>IFERROR(__xludf.DUMMYFUNCTION("""COMPUTED_VALUE"""),"")</f>
        <v/>
      </c>
      <c r="I545" s="51" t="str">
        <f>IFERROR(__xludf.DUMMYFUNCTION("""COMPUTED_VALUE"""),"#VALUE!")</f>
        <v>#VALUE!</v>
      </c>
      <c r="J545" s="51" t="str">
        <f>IFERROR(__xludf.DUMMYFUNCTION("""COMPUTED_VALUE"""),"")</f>
        <v/>
      </c>
      <c r="K545" s="51"/>
      <c r="L545" s="51" t="s">
        <v>257</v>
      </c>
      <c r="M545" s="51"/>
      <c r="N545" s="51"/>
      <c r="O545" s="51"/>
      <c r="P545" s="51"/>
      <c r="Q545" s="51"/>
      <c r="R545" s="51"/>
      <c r="S545" s="51"/>
      <c r="T545" s="51"/>
    </row>
    <row r="546">
      <c r="A546" s="51"/>
      <c r="B546" s="51"/>
      <c r="C546" s="56"/>
      <c r="D546" s="51"/>
      <c r="E546" s="51"/>
      <c r="F546" s="51"/>
      <c r="G546" s="51" t="str">
        <f>IFERROR(__xludf.DUMMYFUNCTION("""COMPUTED_VALUE"""),"#VALUE!")</f>
        <v>#VALUE!</v>
      </c>
      <c r="H546" s="51" t="str">
        <f>IFERROR(__xludf.DUMMYFUNCTION("""COMPUTED_VALUE"""),"")</f>
        <v/>
      </c>
      <c r="I546" s="51" t="str">
        <f>IFERROR(__xludf.DUMMYFUNCTION("""COMPUTED_VALUE"""),"#VALUE!")</f>
        <v>#VALUE!</v>
      </c>
      <c r="J546" s="51" t="str">
        <f>IFERROR(__xludf.DUMMYFUNCTION("""COMPUTED_VALUE"""),"")</f>
        <v/>
      </c>
      <c r="K546" s="51"/>
      <c r="L546" s="51" t="s">
        <v>257</v>
      </c>
      <c r="M546" s="51"/>
      <c r="N546" s="51"/>
      <c r="O546" s="51"/>
      <c r="P546" s="51"/>
      <c r="Q546" s="51"/>
      <c r="R546" s="51"/>
      <c r="S546" s="51"/>
      <c r="T546" s="51"/>
    </row>
    <row r="547">
      <c r="A547" s="51"/>
      <c r="B547" s="51"/>
      <c r="C547" s="56"/>
      <c r="D547" s="51"/>
      <c r="E547" s="51"/>
      <c r="F547" s="51"/>
      <c r="G547" s="51" t="str">
        <f>IFERROR(__xludf.DUMMYFUNCTION("""COMPUTED_VALUE"""),"#VALUE!")</f>
        <v>#VALUE!</v>
      </c>
      <c r="H547" s="51" t="str">
        <f>IFERROR(__xludf.DUMMYFUNCTION("""COMPUTED_VALUE"""),"")</f>
        <v/>
      </c>
      <c r="I547" s="51" t="str">
        <f>IFERROR(__xludf.DUMMYFUNCTION("""COMPUTED_VALUE"""),"#VALUE!")</f>
        <v>#VALUE!</v>
      </c>
      <c r="J547" s="51" t="str">
        <f>IFERROR(__xludf.DUMMYFUNCTION("""COMPUTED_VALUE"""),"")</f>
        <v/>
      </c>
      <c r="K547" s="51"/>
      <c r="L547" s="51" t="s">
        <v>257</v>
      </c>
      <c r="M547" s="51"/>
      <c r="N547" s="51"/>
      <c r="O547" s="51"/>
      <c r="P547" s="51"/>
      <c r="Q547" s="51"/>
      <c r="R547" s="51"/>
      <c r="S547" s="51"/>
      <c r="T547" s="51"/>
    </row>
    <row r="548">
      <c r="A548" s="51"/>
      <c r="B548" s="51"/>
      <c r="C548" s="56"/>
      <c r="D548" s="51"/>
      <c r="E548" s="51"/>
      <c r="F548" s="51"/>
      <c r="G548" s="51" t="str">
        <f>IFERROR(__xludf.DUMMYFUNCTION("""COMPUTED_VALUE"""),"#VALUE!")</f>
        <v>#VALUE!</v>
      </c>
      <c r="H548" s="51" t="str">
        <f>IFERROR(__xludf.DUMMYFUNCTION("""COMPUTED_VALUE"""),"")</f>
        <v/>
      </c>
      <c r="I548" s="51" t="str">
        <f>IFERROR(__xludf.DUMMYFUNCTION("""COMPUTED_VALUE"""),"#VALUE!")</f>
        <v>#VALUE!</v>
      </c>
      <c r="J548" s="51" t="str">
        <f>IFERROR(__xludf.DUMMYFUNCTION("""COMPUTED_VALUE"""),"")</f>
        <v/>
      </c>
      <c r="K548" s="51"/>
      <c r="L548" s="51" t="s">
        <v>257</v>
      </c>
      <c r="M548" s="51"/>
      <c r="N548" s="51"/>
      <c r="O548" s="51"/>
      <c r="P548" s="51"/>
      <c r="Q548" s="51"/>
      <c r="R548" s="51"/>
      <c r="S548" s="51"/>
      <c r="T548" s="51"/>
    </row>
    <row r="549">
      <c r="A549" s="51"/>
      <c r="B549" s="51"/>
      <c r="C549" s="56"/>
      <c r="D549" s="51"/>
      <c r="E549" s="51"/>
      <c r="F549" s="51"/>
      <c r="G549" s="51" t="str">
        <f>IFERROR(__xludf.DUMMYFUNCTION("""COMPUTED_VALUE"""),"#VALUE!")</f>
        <v>#VALUE!</v>
      </c>
      <c r="H549" s="51" t="str">
        <f>IFERROR(__xludf.DUMMYFUNCTION("""COMPUTED_VALUE"""),"")</f>
        <v/>
      </c>
      <c r="I549" s="51" t="str">
        <f>IFERROR(__xludf.DUMMYFUNCTION("""COMPUTED_VALUE"""),"#VALUE!")</f>
        <v>#VALUE!</v>
      </c>
      <c r="J549" s="51" t="str">
        <f>IFERROR(__xludf.DUMMYFUNCTION("""COMPUTED_VALUE"""),"")</f>
        <v/>
      </c>
      <c r="K549" s="51"/>
      <c r="L549" s="51" t="s">
        <v>257</v>
      </c>
      <c r="M549" s="51"/>
      <c r="N549" s="51"/>
      <c r="O549" s="51"/>
      <c r="P549" s="51"/>
      <c r="Q549" s="51"/>
      <c r="R549" s="51"/>
      <c r="S549" s="51"/>
      <c r="T549" s="51"/>
    </row>
  </sheetData>
  <conditionalFormatting sqref="O2:O29">
    <cfRule type="containsText" dxfId="4" priority="1" operator="containsText" text="YES">
      <formula>NOT(ISERROR(SEARCH(("YES"),(O2))))</formula>
    </cfRule>
  </conditionalFormatting>
  <conditionalFormatting sqref="O2:O29">
    <cfRule type="cellIs" dxfId="5" priority="2" operator="equal">
      <formula>"NO"</formula>
    </cfRule>
  </conditionalFormatting>
  <conditionalFormatting sqref="P2:P29">
    <cfRule type="cellIs" dxfId="4" priority="3" operator="equal">
      <formula>"AVAILABLE"</formula>
    </cfRule>
  </conditionalFormatting>
  <conditionalFormatting sqref="P2:P29">
    <cfRule type="cellIs" dxfId="5" priority="4" operator="equal">
      <formula>"NOT AVAILABLE"</formula>
    </cfRule>
  </conditionalFormatting>
  <conditionalFormatting sqref="Q2:Q29">
    <cfRule type="cellIs" dxfId="4" priority="5" operator="equal">
      <formula>"AVAILABLE"</formula>
    </cfRule>
  </conditionalFormatting>
  <conditionalFormatting sqref="Q2:Q29">
    <cfRule type="cellIs" dxfId="6" priority="6" operator="equal">
      <formula>"UPLOADING"</formula>
    </cfRule>
  </conditionalFormatting>
  <conditionalFormatting sqref="Q2:Q29">
    <cfRule type="cellIs" dxfId="5" priority="7" operator="equal">
      <formula>"NOT AVAILABLE"</formula>
    </cfRule>
  </conditionalFormatting>
  <dataValidations>
    <dataValidation type="list" allowBlank="1" sqref="O2:O29">
      <formula1>"YES,NO"</formula1>
    </dataValidation>
    <dataValidation type="list" allowBlank="1" sqref="P2:P29">
      <formula1>"AVAILABLE,NOT AVAILABLE"</formula1>
    </dataValidation>
    <dataValidation type="list" allowBlank="1" sqref="Q2:Q29">
      <formula1>"AVAILABLE,UPLOADING,NOT AVAILABLE"</formula1>
    </dataValidation>
  </dataValidations>
  <drawing r:id="rId1"/>
  <tableParts count="1">
    <tablePart r:id="rId3"/>
  </tableParts>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1"/>
    <col customWidth="1" min="3" max="3" width="23.71"/>
    <col hidden="1" min="4" max="5" width="14.43"/>
    <col customWidth="1" min="6" max="6" width="34.57"/>
    <col hidden="1" min="9" max="9" width="14.43"/>
  </cols>
  <sheetData>
    <row r="1">
      <c r="A1" s="46" t="s">
        <v>79</v>
      </c>
      <c r="B1" s="46" t="s">
        <v>80</v>
      </c>
      <c r="C1" s="48" t="s">
        <v>81</v>
      </c>
      <c r="D1" s="46" t="s">
        <v>82</v>
      </c>
      <c r="E1" s="46" t="s">
        <v>83</v>
      </c>
      <c r="F1" s="46" t="s">
        <v>84</v>
      </c>
      <c r="G1" s="46" t="s">
        <v>85</v>
      </c>
      <c r="H1" s="46" t="s">
        <v>86</v>
      </c>
      <c r="I1" s="46" t="s">
        <v>87</v>
      </c>
      <c r="J1" s="46" t="s">
        <v>88</v>
      </c>
      <c r="K1" s="46" t="s">
        <v>89</v>
      </c>
      <c r="L1" s="46" t="s">
        <v>90</v>
      </c>
      <c r="M1" s="46" t="s">
        <v>91</v>
      </c>
      <c r="N1" s="46" t="s">
        <v>92</v>
      </c>
      <c r="O1" s="50" t="s">
        <v>93</v>
      </c>
      <c r="P1" s="50" t="s">
        <v>94</v>
      </c>
      <c r="Q1" s="50" t="s">
        <v>95</v>
      </c>
      <c r="R1" s="51"/>
      <c r="S1" s="51"/>
      <c r="T1" s="51"/>
    </row>
    <row r="2">
      <c r="A2" s="54" t="str">
        <f>IFERROR(__xludf.DUMMYFUNCTION("QUERY(Master!A:H,""SELECT A,C,D,F,G,H where C = 'UnBoxed' ORDER BY F"")"),"Opening Remarks")</f>
        <v>Opening Remarks</v>
      </c>
      <c r="B2" s="51" t="str">
        <f>IFERROR(__xludf.DUMMYFUNCTION("""COMPUTED_VALUE"""),"UnBoxed")</f>
        <v>UnBoxed</v>
      </c>
      <c r="C2" s="56" t="str">
        <f>IFERROR(__xludf.DUMMYFUNCTION("""COMPUTED_VALUE"""),"Lindsey Turrentine")</f>
        <v>Lindsey Turrentine</v>
      </c>
      <c r="D2" s="51" t="str">
        <f>IFERROR(__xludf.DUMMYFUNCTION("""COMPUTED_VALUE"""),"2019/11/05 11:00:00")</f>
        <v>2019/11/05 11:00:00</v>
      </c>
      <c r="E2" s="51" t="str">
        <f>IFERROR(__xludf.DUMMYFUNCTION("""COMPUTED_VALUE"""),"2019/11/05 11:15:00")</f>
        <v>2019/11/05 11:15:00</v>
      </c>
      <c r="F2" s="51" t="str">
        <f>IFERROR(__xludf.DUMMYFUNCTION("""COMPUTED_VALUE"""),"fb2eb711-8180-4ab8-a386-6e110d43d84e")</f>
        <v>fb2eb711-8180-4ab8-a386-6e110d43d84e</v>
      </c>
      <c r="G2" s="61">
        <f>IFERROR(__xludf.DUMMYFUNCTION("ARRAYFORMULA(SPLIT(D2:D23,"" ""))"),43774.0)</f>
        <v>43774</v>
      </c>
      <c r="H2" s="60">
        <f>IFERROR(__xludf.DUMMYFUNCTION("""COMPUTED_VALUE"""),0.4583333333333333)</f>
        <v>0.4583333333</v>
      </c>
      <c r="I2" s="61">
        <f>IFERROR(__xludf.DUMMYFUNCTION("ARRAYFORMULA(SPLIT(E2:E23,"" ""))"),43774.0)</f>
        <v>43774</v>
      </c>
      <c r="J2" s="60">
        <f>IFERROR(__xludf.DUMMYFUNCTION("""COMPUTED_VALUE"""),0.46875)</f>
        <v>0.46875</v>
      </c>
      <c r="K2" s="60">
        <f t="shared" ref="K2:K23" si="1">J2-H2</f>
        <v>0.01041666667</v>
      </c>
      <c r="L2" s="54" t="str">
        <f t="array" ref="L2:L23">TEXT(K2:K23,"hhmmss")</f>
        <v>001500</v>
      </c>
      <c r="M2" s="62" t="s">
        <v>538</v>
      </c>
      <c r="N2" s="62" t="str">
        <f t="shared" ref="N2:N11" si="2">CONCATENATE(M2,"_",F2,"_","000000_000000.mp4")</f>
        <v>UB_5_1_fb2eb711-8180-4ab8-a386-6e110d43d84e_000000_000000.mp4</v>
      </c>
      <c r="O2" s="50"/>
      <c r="P2" s="50"/>
      <c r="Q2" s="63"/>
      <c r="R2" s="51"/>
      <c r="S2" s="51"/>
      <c r="T2" s="51"/>
    </row>
    <row r="3">
      <c r="A3" s="51" t="str">
        <f>IFERROR(__xludf.DUMMYFUNCTION("""COMPUTED_VALUE"""),"New releases for the smart home")</f>
        <v>New releases for the smart home</v>
      </c>
      <c r="B3" s="51" t="str">
        <f>IFERROR(__xludf.DUMMYFUNCTION("""COMPUTED_VALUE"""),"UnBoxed")</f>
        <v>UnBoxed</v>
      </c>
      <c r="C3" s="56" t="str">
        <f>IFERROR(__xludf.DUMMYFUNCTION("""COMPUTED_VALUE"""),"Dominic Preston, Keaton Keller, Katie Collins and Lindsey Turrentine")</f>
        <v>Dominic Preston, Keaton Keller, Katie Collins and Lindsey Turrentine</v>
      </c>
      <c r="D3" s="51" t="str">
        <f>IFERROR(__xludf.DUMMYFUNCTION("""COMPUTED_VALUE"""),"2019/11/05 11:15:00")</f>
        <v>2019/11/05 11:15:00</v>
      </c>
      <c r="E3" s="51" t="str">
        <f>IFERROR(__xludf.DUMMYFUNCTION("""COMPUTED_VALUE"""),"2019/11/05 11:45:00")</f>
        <v>2019/11/05 11:45:00</v>
      </c>
      <c r="F3" s="51" t="str">
        <f>IFERROR(__xludf.DUMMYFUNCTION("""COMPUTED_VALUE"""),"af1046ce-9f13-4374-b494-6ae031dcefdd")</f>
        <v>af1046ce-9f13-4374-b494-6ae031dcefdd</v>
      </c>
      <c r="G3" s="58">
        <f>IFERROR(__xludf.DUMMYFUNCTION("""COMPUTED_VALUE"""),43774.0)</f>
        <v>43774</v>
      </c>
      <c r="H3" s="60">
        <f>IFERROR(__xludf.DUMMYFUNCTION("""COMPUTED_VALUE"""),0.46875)</f>
        <v>0.46875</v>
      </c>
      <c r="I3" s="58">
        <f>IFERROR(__xludf.DUMMYFUNCTION("""COMPUTED_VALUE"""),43774.0)</f>
        <v>43774</v>
      </c>
      <c r="J3" s="60">
        <f>IFERROR(__xludf.DUMMYFUNCTION("""COMPUTED_VALUE"""),0.4895833333333333)</f>
        <v>0.4895833333</v>
      </c>
      <c r="K3" s="60">
        <f t="shared" si="1"/>
        <v>0.02083333333</v>
      </c>
      <c r="L3" s="51" t="s">
        <v>105</v>
      </c>
      <c r="M3" s="62" t="s">
        <v>539</v>
      </c>
      <c r="N3" s="62" t="str">
        <f t="shared" si="2"/>
        <v>UB_5_2_af1046ce-9f13-4374-b494-6ae031dcefdd_000000_000000.mp4</v>
      </c>
      <c r="O3" s="50"/>
      <c r="P3" s="50"/>
      <c r="Q3" s="63"/>
      <c r="R3" s="51"/>
      <c r="S3" s="51"/>
      <c r="T3" s="51"/>
    </row>
    <row r="4">
      <c r="A4" s="51" t="str">
        <f>IFERROR(__xludf.DUMMYFUNCTION("""COMPUTED_VALUE"""),"Top new smartphones on the market for Christmas 2019: Collection A")</f>
        <v>Top new smartphones on the market for Christmas 2019: Collection A</v>
      </c>
      <c r="B4" s="51" t="str">
        <f>IFERROR(__xludf.DUMMYFUNCTION("""COMPUTED_VALUE"""),"UnBoxed")</f>
        <v>UnBoxed</v>
      </c>
      <c r="C4" s="56" t="str">
        <f>IFERROR(__xludf.DUMMYFUNCTION("""COMPUTED_VALUE"""),"Keaton Keller, Tom Honeyands, Jacklyn Dallas and Lindsey Turrentine")</f>
        <v>Keaton Keller, Tom Honeyands, Jacklyn Dallas and Lindsey Turrentine</v>
      </c>
      <c r="D4" s="51" t="str">
        <f>IFERROR(__xludf.DUMMYFUNCTION("""COMPUTED_VALUE"""),"2019/11/05 11:45:00")</f>
        <v>2019/11/05 11:45:00</v>
      </c>
      <c r="E4" s="51" t="str">
        <f>IFERROR(__xludf.DUMMYFUNCTION("""COMPUTED_VALUE"""),"2019/11/05 12:20:00")</f>
        <v>2019/11/05 12:20:00</v>
      </c>
      <c r="F4" s="51" t="str">
        <f>IFERROR(__xludf.DUMMYFUNCTION("""COMPUTED_VALUE"""),"03ad244e-f76e-4038-bbb3-c620dacf50a7")</f>
        <v>03ad244e-f76e-4038-bbb3-c620dacf50a7</v>
      </c>
      <c r="G4" s="58">
        <f>IFERROR(__xludf.DUMMYFUNCTION("""COMPUTED_VALUE"""),43774.0)</f>
        <v>43774</v>
      </c>
      <c r="H4" s="60">
        <f>IFERROR(__xludf.DUMMYFUNCTION("""COMPUTED_VALUE"""),0.4895833333333333)</f>
        <v>0.4895833333</v>
      </c>
      <c r="I4" s="58">
        <f>IFERROR(__xludf.DUMMYFUNCTION("""COMPUTED_VALUE"""),43774.0)</f>
        <v>43774</v>
      </c>
      <c r="J4" s="60">
        <f>IFERROR(__xludf.DUMMYFUNCTION("""COMPUTED_VALUE"""),0.5138888888888888)</f>
        <v>0.5138888889</v>
      </c>
      <c r="K4" s="60">
        <f t="shared" si="1"/>
        <v>0.02430555556</v>
      </c>
      <c r="L4" s="51" t="s">
        <v>147</v>
      </c>
      <c r="M4" s="62" t="s">
        <v>540</v>
      </c>
      <c r="N4" s="62" t="str">
        <f t="shared" si="2"/>
        <v>UB_5_3_03ad244e-f76e-4038-bbb3-c620dacf50a7_000000_000000.mp4</v>
      </c>
      <c r="O4" s="50"/>
      <c r="P4" s="50"/>
      <c r="Q4" s="63"/>
      <c r="R4" s="51"/>
      <c r="S4" s="51"/>
      <c r="T4" s="51"/>
    </row>
    <row r="5">
      <c r="A5" s="51" t="str">
        <f>IFERROR(__xludf.DUMMYFUNCTION("""COMPUTED_VALUE"""),"The best new smart speakers on the market")</f>
        <v>The best new smart speakers on the market</v>
      </c>
      <c r="B5" s="51" t="str">
        <f>IFERROR(__xludf.DUMMYFUNCTION("""COMPUTED_VALUE"""),"UnBoxed")</f>
        <v>UnBoxed</v>
      </c>
      <c r="C5" s="56" t="str">
        <f>IFERROR(__xludf.DUMMYFUNCTION("""COMPUTED_VALUE"""),"Dirk Kuchel, Daniel Catalão, Kevin Lynch and Lindsey Turrentine")</f>
        <v>Dirk Kuchel, Daniel Catalão, Kevin Lynch and Lindsey Turrentine</v>
      </c>
      <c r="D5" s="51" t="str">
        <f>IFERROR(__xludf.DUMMYFUNCTION("""COMPUTED_VALUE"""),"2019/11/05 12:20:00")</f>
        <v>2019/11/05 12:20:00</v>
      </c>
      <c r="E5" s="51" t="str">
        <f>IFERROR(__xludf.DUMMYFUNCTION("""COMPUTED_VALUE"""),"2019/11/05 12:45:00")</f>
        <v>2019/11/05 12:45:00</v>
      </c>
      <c r="F5" s="51" t="str">
        <f>IFERROR(__xludf.DUMMYFUNCTION("""COMPUTED_VALUE"""),"e2b32d36-da41-45cb-95f7-aacdcfd78bd4")</f>
        <v>e2b32d36-da41-45cb-95f7-aacdcfd78bd4</v>
      </c>
      <c r="G5" s="58">
        <f>IFERROR(__xludf.DUMMYFUNCTION("""COMPUTED_VALUE"""),43774.0)</f>
        <v>43774</v>
      </c>
      <c r="H5" s="60">
        <f>IFERROR(__xludf.DUMMYFUNCTION("""COMPUTED_VALUE"""),0.5138888888888888)</f>
        <v>0.5138888889</v>
      </c>
      <c r="I5" s="58">
        <f>IFERROR(__xludf.DUMMYFUNCTION("""COMPUTED_VALUE"""),43774.0)</f>
        <v>43774</v>
      </c>
      <c r="J5" s="60">
        <f>IFERROR(__xludf.DUMMYFUNCTION("""COMPUTED_VALUE"""),0.53125)</f>
        <v>0.53125</v>
      </c>
      <c r="K5" s="60">
        <f t="shared" si="1"/>
        <v>0.01736111111</v>
      </c>
      <c r="L5" s="51" t="s">
        <v>107</v>
      </c>
      <c r="M5" s="62" t="s">
        <v>541</v>
      </c>
      <c r="N5" s="62" t="str">
        <f t="shared" si="2"/>
        <v>UB_5_4_e2b32d36-da41-45cb-95f7-aacdcfd78bd4_000000_000000.mp4</v>
      </c>
      <c r="O5" s="50"/>
      <c r="P5" s="50"/>
      <c r="Q5" s="63"/>
      <c r="R5" s="51"/>
      <c r="S5" s="51"/>
      <c r="T5" s="51"/>
    </row>
    <row r="6">
      <c r="A6" s="51" t="str">
        <f>IFERROR(__xludf.DUMMYFUNCTION("""COMPUTED_VALUE"""),"A review of top smart watches to hit the market")</f>
        <v>A review of top smart watches to hit the market</v>
      </c>
      <c r="B6" s="51" t="str">
        <f>IFERROR(__xludf.DUMMYFUNCTION("""COMPUTED_VALUE"""),"UnBoxed")</f>
        <v>UnBoxed</v>
      </c>
      <c r="C6" s="56" t="str">
        <f>IFERROR(__xludf.DUMMYFUNCTION("""COMPUTED_VALUE"""),"Eli Etherton, Tom Honeyands, Katie Collins and Lindsey Turrentine")</f>
        <v>Eli Etherton, Tom Honeyands, Katie Collins and Lindsey Turrentine</v>
      </c>
      <c r="D6" s="51" t="str">
        <f>IFERROR(__xludf.DUMMYFUNCTION("""COMPUTED_VALUE"""),"2019/11/05 12:45:00")</f>
        <v>2019/11/05 12:45:00</v>
      </c>
      <c r="E6" s="51" t="str">
        <f>IFERROR(__xludf.DUMMYFUNCTION("""COMPUTED_VALUE"""),"2019/11/05 13:15:00")</f>
        <v>2019/11/05 13:15:00</v>
      </c>
      <c r="F6" s="51" t="str">
        <f>IFERROR(__xludf.DUMMYFUNCTION("""COMPUTED_VALUE"""),"0ddd2d08-0a01-4207-af98-ade08b4d210a")</f>
        <v>0ddd2d08-0a01-4207-af98-ade08b4d210a</v>
      </c>
      <c r="G6" s="58">
        <f>IFERROR(__xludf.DUMMYFUNCTION("""COMPUTED_VALUE"""),43774.0)</f>
        <v>43774</v>
      </c>
      <c r="H6" s="60">
        <f>IFERROR(__xludf.DUMMYFUNCTION("""COMPUTED_VALUE"""),0.53125)</f>
        <v>0.53125</v>
      </c>
      <c r="I6" s="58">
        <f>IFERROR(__xludf.DUMMYFUNCTION("""COMPUTED_VALUE"""),43774.0)</f>
        <v>43774</v>
      </c>
      <c r="J6" s="60">
        <f>IFERROR(__xludf.DUMMYFUNCTION("""COMPUTED_VALUE"""),0.5520833333333334)</f>
        <v>0.5520833333</v>
      </c>
      <c r="K6" s="60">
        <f t="shared" si="1"/>
        <v>0.02083333333</v>
      </c>
      <c r="L6" s="51" t="s">
        <v>105</v>
      </c>
      <c r="M6" s="62" t="s">
        <v>542</v>
      </c>
      <c r="N6" s="62" t="str">
        <f t="shared" si="2"/>
        <v>UB_5_5_0ddd2d08-0a01-4207-af98-ade08b4d210a_000000_000000.mp4</v>
      </c>
      <c r="O6" s="50"/>
      <c r="P6" s="50"/>
      <c r="Q6" s="63"/>
      <c r="R6" s="51"/>
      <c r="S6" s="51"/>
      <c r="T6" s="51"/>
    </row>
    <row r="7">
      <c r="A7" s="51" t="str">
        <f>IFERROR(__xludf.DUMMYFUNCTION("""COMPUTED_VALUE"""),"Lunch break")</f>
        <v>Lunch break</v>
      </c>
      <c r="B7" s="51" t="str">
        <f>IFERROR(__xludf.DUMMYFUNCTION("""COMPUTED_VALUE"""),"UnBoxed")</f>
        <v>UnBoxed</v>
      </c>
      <c r="C7" s="56" t="str">
        <f>IFERROR(__xludf.DUMMYFUNCTION("""COMPUTED_VALUE"""),"")</f>
        <v/>
      </c>
      <c r="D7" s="51" t="str">
        <f>IFERROR(__xludf.DUMMYFUNCTION("""COMPUTED_VALUE"""),"2019/11/05 13:15:00")</f>
        <v>2019/11/05 13:15:00</v>
      </c>
      <c r="E7" s="51" t="str">
        <f>IFERROR(__xludf.DUMMYFUNCTION("""COMPUTED_VALUE"""),"2019/11/05 14:15:00")</f>
        <v>2019/11/05 14:15:00</v>
      </c>
      <c r="F7" s="51" t="str">
        <f>IFERROR(__xludf.DUMMYFUNCTION("""COMPUTED_VALUE"""),"50f59da3-2fd5-4907-ae64-321d597f2cac")</f>
        <v>50f59da3-2fd5-4907-ae64-321d597f2cac</v>
      </c>
      <c r="G7" s="58">
        <f>IFERROR(__xludf.DUMMYFUNCTION("""COMPUTED_VALUE"""),43774.0)</f>
        <v>43774</v>
      </c>
      <c r="H7" s="60">
        <f>IFERROR(__xludf.DUMMYFUNCTION("""COMPUTED_VALUE"""),0.5520833333333334)</f>
        <v>0.5520833333</v>
      </c>
      <c r="I7" s="58">
        <f>IFERROR(__xludf.DUMMYFUNCTION("""COMPUTED_VALUE"""),43774.0)</f>
        <v>43774</v>
      </c>
      <c r="J7" s="60">
        <f>IFERROR(__xludf.DUMMYFUNCTION("""COMPUTED_VALUE"""),0.59375)</f>
        <v>0.59375</v>
      </c>
      <c r="K7" s="60">
        <f t="shared" si="1"/>
        <v>0.04166666667</v>
      </c>
      <c r="L7" s="51" t="s">
        <v>236</v>
      </c>
      <c r="M7" s="51"/>
      <c r="N7" s="62" t="str">
        <f t="shared" si="2"/>
        <v>_50f59da3-2fd5-4907-ae64-321d597f2cac_000000_000000.mp4</v>
      </c>
      <c r="O7" s="50"/>
      <c r="P7" s="50"/>
      <c r="Q7" s="63"/>
      <c r="R7" s="51"/>
      <c r="S7" s="51"/>
      <c r="T7" s="51"/>
    </row>
    <row r="8">
      <c r="A8" s="51" t="str">
        <f>IFERROR(__xludf.DUMMYFUNCTION("""COMPUTED_VALUE"""),"Opening remarks")</f>
        <v>Opening remarks</v>
      </c>
      <c r="B8" s="51" t="str">
        <f>IFERROR(__xludf.DUMMYFUNCTION("""COMPUTED_VALUE"""),"UnBoxed")</f>
        <v>UnBoxed</v>
      </c>
      <c r="C8" s="56" t="str">
        <f>IFERROR(__xludf.DUMMYFUNCTION("""COMPUTED_VALUE"""),"Jess Kelly")</f>
        <v>Jess Kelly</v>
      </c>
      <c r="D8" s="51" t="str">
        <f>IFERROR(__xludf.DUMMYFUNCTION("""COMPUTED_VALUE"""),"2019/11/05 14:15:00")</f>
        <v>2019/11/05 14:15:00</v>
      </c>
      <c r="E8" s="51" t="str">
        <f>IFERROR(__xludf.DUMMYFUNCTION("""COMPUTED_VALUE"""),"2019/11/05 14:30:00")</f>
        <v>2019/11/05 14:30:00</v>
      </c>
      <c r="F8" s="51" t="str">
        <f>IFERROR(__xludf.DUMMYFUNCTION("""COMPUTED_VALUE"""),"31ec60f4-3c46-4c68-bae1-e4d13dc6e8c6")</f>
        <v>31ec60f4-3c46-4c68-bae1-e4d13dc6e8c6</v>
      </c>
      <c r="G8" s="58">
        <f>IFERROR(__xludf.DUMMYFUNCTION("""COMPUTED_VALUE"""),43774.0)</f>
        <v>43774</v>
      </c>
      <c r="H8" s="60">
        <f>IFERROR(__xludf.DUMMYFUNCTION("""COMPUTED_VALUE"""),0.59375)</f>
        <v>0.59375</v>
      </c>
      <c r="I8" s="58">
        <f>IFERROR(__xludf.DUMMYFUNCTION("""COMPUTED_VALUE"""),43774.0)</f>
        <v>43774</v>
      </c>
      <c r="J8" s="60">
        <f>IFERROR(__xludf.DUMMYFUNCTION("""COMPUTED_VALUE"""),0.6041666666666666)</f>
        <v>0.6041666667</v>
      </c>
      <c r="K8" s="60">
        <f t="shared" si="1"/>
        <v>0.01041666667</v>
      </c>
      <c r="L8" s="51" t="s">
        <v>116</v>
      </c>
      <c r="M8" s="62" t="s">
        <v>543</v>
      </c>
      <c r="N8" s="62" t="str">
        <f t="shared" si="2"/>
        <v>UB_5_6_31ec60f4-3c46-4c68-bae1-e4d13dc6e8c6_000000_000000.mp4</v>
      </c>
      <c r="O8" s="50"/>
      <c r="P8" s="50"/>
      <c r="Q8" s="63"/>
      <c r="R8" s="51"/>
      <c r="S8" s="51"/>
      <c r="T8" s="51"/>
    </row>
    <row r="9">
      <c r="A9" s="51" t="str">
        <f>IFERROR(__xludf.DUMMYFUNCTION("""COMPUTED_VALUE"""),"Top new laptop releases")</f>
        <v>Top new laptop releases</v>
      </c>
      <c r="B9" s="51" t="str">
        <f>IFERROR(__xludf.DUMMYFUNCTION("""COMPUTED_VALUE"""),"UnBoxed")</f>
        <v>UnBoxed</v>
      </c>
      <c r="C9" s="56" t="str">
        <f>IFERROR(__xludf.DUMMYFUNCTION("""COMPUTED_VALUE"""),"Eli Etherton, Tom Honeyands, Jacklyn Dallas and Jess Kelly")</f>
        <v>Eli Etherton, Tom Honeyands, Jacklyn Dallas and Jess Kelly</v>
      </c>
      <c r="D9" s="51" t="str">
        <f>IFERROR(__xludf.DUMMYFUNCTION("""COMPUTED_VALUE"""),"2019/11/05 14:30:00")</f>
        <v>2019/11/05 14:30:00</v>
      </c>
      <c r="E9" s="51" t="str">
        <f>IFERROR(__xludf.DUMMYFUNCTION("""COMPUTED_VALUE"""),"2019/11/05 15:00:00")</f>
        <v>2019/11/05 15:00:00</v>
      </c>
      <c r="F9" s="51" t="str">
        <f>IFERROR(__xludf.DUMMYFUNCTION("""COMPUTED_VALUE"""),"d021f579-3162-45c0-b54e-34272155149c")</f>
        <v>d021f579-3162-45c0-b54e-34272155149c</v>
      </c>
      <c r="G9" s="58">
        <f>IFERROR(__xludf.DUMMYFUNCTION("""COMPUTED_VALUE"""),43774.0)</f>
        <v>43774</v>
      </c>
      <c r="H9" s="60">
        <f>IFERROR(__xludf.DUMMYFUNCTION("""COMPUTED_VALUE"""),0.6041666666666666)</f>
        <v>0.6041666667</v>
      </c>
      <c r="I9" s="58">
        <f>IFERROR(__xludf.DUMMYFUNCTION("""COMPUTED_VALUE"""),43774.0)</f>
        <v>43774</v>
      </c>
      <c r="J9" s="60">
        <f>IFERROR(__xludf.DUMMYFUNCTION("""COMPUTED_VALUE"""),0.625)</f>
        <v>0.625</v>
      </c>
      <c r="K9" s="60">
        <f t="shared" si="1"/>
        <v>0.02083333333</v>
      </c>
      <c r="L9" s="51" t="s">
        <v>105</v>
      </c>
      <c r="M9" s="62" t="s">
        <v>544</v>
      </c>
      <c r="N9" s="62" t="str">
        <f t="shared" si="2"/>
        <v>UB_5_7_d021f579-3162-45c0-b54e-34272155149c_000000_000000.mp4</v>
      </c>
      <c r="O9" s="50"/>
      <c r="P9" s="50"/>
      <c r="Q9" s="63"/>
      <c r="R9" s="51"/>
      <c r="S9" s="51"/>
      <c r="T9" s="51"/>
    </row>
    <row r="10">
      <c r="A10" s="51" t="str">
        <f>IFERROR(__xludf.DUMMYFUNCTION("""COMPUTED_VALUE"""),"Headphones to soundtrack your life with")</f>
        <v>Headphones to soundtrack your life with</v>
      </c>
      <c r="B10" s="51" t="str">
        <f>IFERROR(__xludf.DUMMYFUNCTION("""COMPUTED_VALUE"""),"UnBoxed")</f>
        <v>UnBoxed</v>
      </c>
      <c r="C10" s="56" t="str">
        <f>IFERROR(__xludf.DUMMYFUNCTION("""COMPUTED_VALUE"""),"Kris Carlon, Kevin Lynch, Daniel Catalão and Jess Kelly")</f>
        <v>Kris Carlon, Kevin Lynch, Daniel Catalão and Jess Kelly</v>
      </c>
      <c r="D10" s="51" t="str">
        <f>IFERROR(__xludf.DUMMYFUNCTION("""COMPUTED_VALUE"""),"2019/11/05 15:00:00")</f>
        <v>2019/11/05 15:00:00</v>
      </c>
      <c r="E10" s="51" t="str">
        <f>IFERROR(__xludf.DUMMYFUNCTION("""COMPUTED_VALUE"""),"2019/11/05 15:25:00")</f>
        <v>2019/11/05 15:25:00</v>
      </c>
      <c r="F10" s="51" t="str">
        <f>IFERROR(__xludf.DUMMYFUNCTION("""COMPUTED_VALUE"""),"22b9440e-d57c-40bb-8bb6-a1658e5a7e01")</f>
        <v>22b9440e-d57c-40bb-8bb6-a1658e5a7e01</v>
      </c>
      <c r="G10" s="58">
        <f>IFERROR(__xludf.DUMMYFUNCTION("""COMPUTED_VALUE"""),43774.0)</f>
        <v>43774</v>
      </c>
      <c r="H10" s="60">
        <f>IFERROR(__xludf.DUMMYFUNCTION("""COMPUTED_VALUE"""),0.625)</f>
        <v>0.625</v>
      </c>
      <c r="I10" s="58">
        <f>IFERROR(__xludf.DUMMYFUNCTION("""COMPUTED_VALUE"""),43774.0)</f>
        <v>43774</v>
      </c>
      <c r="J10" s="60">
        <f>IFERROR(__xludf.DUMMYFUNCTION("""COMPUTED_VALUE"""),0.6423611111111112)</f>
        <v>0.6423611111</v>
      </c>
      <c r="K10" s="60">
        <f t="shared" si="1"/>
        <v>0.01736111111</v>
      </c>
      <c r="L10" s="51" t="s">
        <v>107</v>
      </c>
      <c r="M10" s="62" t="s">
        <v>545</v>
      </c>
      <c r="N10" s="62" t="str">
        <f t="shared" si="2"/>
        <v>UB_5_8_22b9440e-d57c-40bb-8bb6-a1658e5a7e01_000000_000000.mp4</v>
      </c>
      <c r="O10" s="50"/>
      <c r="P10" s="50"/>
      <c r="Q10" s="63"/>
      <c r="R10" s="51"/>
      <c r="S10" s="51"/>
      <c r="T10" s="51"/>
    </row>
    <row r="11">
      <c r="A11" s="51" t="str">
        <f>IFERROR(__xludf.DUMMYFUNCTION("""COMPUTED_VALUE"""),"New smartphones on the market for Christmas 2019: Collection B")</f>
        <v>New smartphones on the market for Christmas 2019: Collection B</v>
      </c>
      <c r="B11" s="51" t="str">
        <f>IFERROR(__xludf.DUMMYFUNCTION("""COMPUTED_VALUE"""),"UnBoxed")</f>
        <v>UnBoxed</v>
      </c>
      <c r="C11" s="56" t="str">
        <f>IFERROR(__xludf.DUMMYFUNCTION("""COMPUTED_VALUE"""),"Dominic Preston, Kris Carlon, Jacklyn Dallas and Jess Kelly")</f>
        <v>Dominic Preston, Kris Carlon, Jacklyn Dallas and Jess Kelly</v>
      </c>
      <c r="D11" s="51" t="str">
        <f>IFERROR(__xludf.DUMMYFUNCTION("""COMPUTED_VALUE"""),"2019/11/05 15:25:00")</f>
        <v>2019/11/05 15:25:00</v>
      </c>
      <c r="E11" s="51" t="str">
        <f>IFERROR(__xludf.DUMMYFUNCTION("""COMPUTED_VALUE"""),"2019/11/05 16:00:00")</f>
        <v>2019/11/05 16:00:00</v>
      </c>
      <c r="F11" s="51" t="str">
        <f>IFERROR(__xludf.DUMMYFUNCTION("""COMPUTED_VALUE"""),"d2c5f1a6-8983-4e30-a2a5-13b24f1603ea")</f>
        <v>d2c5f1a6-8983-4e30-a2a5-13b24f1603ea</v>
      </c>
      <c r="G11" s="58">
        <f>IFERROR(__xludf.DUMMYFUNCTION("""COMPUTED_VALUE"""),43774.0)</f>
        <v>43774</v>
      </c>
      <c r="H11" s="60">
        <f>IFERROR(__xludf.DUMMYFUNCTION("""COMPUTED_VALUE"""),0.6423611111111112)</f>
        <v>0.6423611111</v>
      </c>
      <c r="I11" s="58">
        <f>IFERROR(__xludf.DUMMYFUNCTION("""COMPUTED_VALUE"""),43774.0)</f>
        <v>43774</v>
      </c>
      <c r="J11" s="60">
        <f>IFERROR(__xludf.DUMMYFUNCTION("""COMPUTED_VALUE"""),0.6666666666666666)</f>
        <v>0.6666666667</v>
      </c>
      <c r="K11" s="60">
        <f t="shared" si="1"/>
        <v>0.02430555556</v>
      </c>
      <c r="L11" s="51" t="s">
        <v>147</v>
      </c>
      <c r="M11" s="62" t="s">
        <v>546</v>
      </c>
      <c r="N11" s="62" t="str">
        <f t="shared" si="2"/>
        <v>UB_5_9_d2c5f1a6-8983-4e30-a2a5-13b24f1603ea_000000_000000.mp4</v>
      </c>
      <c r="O11" s="50"/>
      <c r="P11" s="50"/>
      <c r="Q11" s="63"/>
      <c r="R11" s="51"/>
      <c r="S11" s="51"/>
      <c r="T11" s="51"/>
    </row>
    <row r="12">
      <c r="A12" s="51"/>
      <c r="B12" s="51"/>
      <c r="C12" s="56"/>
      <c r="D12" s="51"/>
      <c r="E12" s="51"/>
      <c r="F12" s="51"/>
      <c r="G12" s="51" t="str">
        <f>IFERROR(__xludf.DUMMYFUNCTION("""COMPUTED_VALUE"""),"#VALUE!")</f>
        <v>#VALUE!</v>
      </c>
      <c r="H12" s="51" t="str">
        <f>IFERROR(__xludf.DUMMYFUNCTION("""COMPUTED_VALUE"""),"")</f>
        <v/>
      </c>
      <c r="I12" s="51" t="str">
        <f>IFERROR(__xludf.DUMMYFUNCTION("""COMPUTED_VALUE"""),"#VALUE!")</f>
        <v>#VALUE!</v>
      </c>
      <c r="J12" s="51" t="str">
        <f>IFERROR(__xludf.DUMMYFUNCTION("""COMPUTED_VALUE"""),"")</f>
        <v/>
      </c>
      <c r="K12" s="51">
        <f t="shared" si="1"/>
        <v>0</v>
      </c>
      <c r="L12" s="51" t="s">
        <v>257</v>
      </c>
      <c r="M12" s="51"/>
      <c r="N12" s="51"/>
      <c r="O12" s="51"/>
      <c r="P12" s="51"/>
      <c r="Q12" s="51"/>
      <c r="R12" s="51"/>
      <c r="S12" s="51"/>
      <c r="T12" s="51"/>
    </row>
    <row r="13">
      <c r="A13" s="51"/>
      <c r="B13" s="51"/>
      <c r="C13" s="56"/>
      <c r="D13" s="51"/>
      <c r="E13" s="51"/>
      <c r="F13" s="51"/>
      <c r="G13" s="51" t="str">
        <f>IFERROR(__xludf.DUMMYFUNCTION("""COMPUTED_VALUE"""),"#VALUE!")</f>
        <v>#VALUE!</v>
      </c>
      <c r="H13" s="51" t="str">
        <f>IFERROR(__xludf.DUMMYFUNCTION("""COMPUTED_VALUE"""),"")</f>
        <v/>
      </c>
      <c r="I13" s="51" t="str">
        <f>IFERROR(__xludf.DUMMYFUNCTION("""COMPUTED_VALUE"""),"#VALUE!")</f>
        <v>#VALUE!</v>
      </c>
      <c r="J13" s="51" t="str">
        <f>IFERROR(__xludf.DUMMYFUNCTION("""COMPUTED_VALUE"""),"")</f>
        <v/>
      </c>
      <c r="K13" s="51">
        <f t="shared" si="1"/>
        <v>0</v>
      </c>
      <c r="L13" s="51" t="s">
        <v>257</v>
      </c>
      <c r="M13" s="51"/>
      <c r="N13" s="51"/>
      <c r="O13" s="51"/>
      <c r="P13" s="51"/>
      <c r="Q13" s="51"/>
      <c r="R13" s="51"/>
      <c r="S13" s="51"/>
      <c r="T13" s="51"/>
    </row>
    <row r="14">
      <c r="A14" s="51"/>
      <c r="B14" s="51"/>
      <c r="C14" s="56"/>
      <c r="D14" s="51"/>
      <c r="E14" s="51"/>
      <c r="F14" s="51"/>
      <c r="G14" s="51" t="str">
        <f>IFERROR(__xludf.DUMMYFUNCTION("""COMPUTED_VALUE"""),"#VALUE!")</f>
        <v>#VALUE!</v>
      </c>
      <c r="H14" s="51" t="str">
        <f>IFERROR(__xludf.DUMMYFUNCTION("""COMPUTED_VALUE"""),"")</f>
        <v/>
      </c>
      <c r="I14" s="51" t="str">
        <f>IFERROR(__xludf.DUMMYFUNCTION("""COMPUTED_VALUE"""),"#VALUE!")</f>
        <v>#VALUE!</v>
      </c>
      <c r="J14" s="51" t="str">
        <f>IFERROR(__xludf.DUMMYFUNCTION("""COMPUTED_VALUE"""),"")</f>
        <v/>
      </c>
      <c r="K14" s="51">
        <f t="shared" si="1"/>
        <v>0</v>
      </c>
      <c r="L14" s="51" t="s">
        <v>257</v>
      </c>
      <c r="M14" s="51"/>
      <c r="N14" s="51"/>
      <c r="O14" s="51"/>
      <c r="P14" s="51"/>
      <c r="Q14" s="51"/>
      <c r="R14" s="51"/>
      <c r="S14" s="51"/>
      <c r="T14" s="51"/>
    </row>
    <row r="15">
      <c r="A15" s="51"/>
      <c r="B15" s="51"/>
      <c r="C15" s="56"/>
      <c r="D15" s="51"/>
      <c r="E15" s="51"/>
      <c r="F15" s="51"/>
      <c r="G15" s="51" t="str">
        <f>IFERROR(__xludf.DUMMYFUNCTION("""COMPUTED_VALUE"""),"#VALUE!")</f>
        <v>#VALUE!</v>
      </c>
      <c r="H15" s="51" t="str">
        <f>IFERROR(__xludf.DUMMYFUNCTION("""COMPUTED_VALUE"""),"")</f>
        <v/>
      </c>
      <c r="I15" s="51" t="str">
        <f>IFERROR(__xludf.DUMMYFUNCTION("""COMPUTED_VALUE"""),"#VALUE!")</f>
        <v>#VALUE!</v>
      </c>
      <c r="J15" s="51" t="str">
        <f>IFERROR(__xludf.DUMMYFUNCTION("""COMPUTED_VALUE"""),"")</f>
        <v/>
      </c>
      <c r="K15" s="51">
        <f t="shared" si="1"/>
        <v>0</v>
      </c>
      <c r="L15" s="51" t="s">
        <v>257</v>
      </c>
      <c r="M15" s="51"/>
      <c r="N15" s="51"/>
      <c r="O15" s="51"/>
      <c r="P15" s="51"/>
      <c r="Q15" s="51"/>
      <c r="R15" s="51"/>
      <c r="S15" s="51"/>
      <c r="T15" s="51"/>
    </row>
    <row r="16">
      <c r="A16" s="51"/>
      <c r="B16" s="51"/>
      <c r="C16" s="56"/>
      <c r="D16" s="51"/>
      <c r="E16" s="51"/>
      <c r="F16" s="51"/>
      <c r="G16" s="51" t="str">
        <f>IFERROR(__xludf.DUMMYFUNCTION("""COMPUTED_VALUE"""),"#VALUE!")</f>
        <v>#VALUE!</v>
      </c>
      <c r="H16" s="51" t="str">
        <f>IFERROR(__xludf.DUMMYFUNCTION("""COMPUTED_VALUE"""),"")</f>
        <v/>
      </c>
      <c r="I16" s="51" t="str">
        <f>IFERROR(__xludf.DUMMYFUNCTION("""COMPUTED_VALUE"""),"#VALUE!")</f>
        <v>#VALUE!</v>
      </c>
      <c r="J16" s="51" t="str">
        <f>IFERROR(__xludf.DUMMYFUNCTION("""COMPUTED_VALUE"""),"")</f>
        <v/>
      </c>
      <c r="K16" s="51">
        <f t="shared" si="1"/>
        <v>0</v>
      </c>
      <c r="L16" s="51" t="s">
        <v>257</v>
      </c>
      <c r="M16" s="51"/>
      <c r="N16" s="51"/>
      <c r="O16" s="51"/>
      <c r="P16" s="51"/>
      <c r="Q16" s="51"/>
      <c r="R16" s="51"/>
      <c r="S16" s="51"/>
      <c r="T16" s="51"/>
    </row>
    <row r="17">
      <c r="A17" s="51"/>
      <c r="B17" s="51"/>
      <c r="C17" s="56"/>
      <c r="D17" s="51"/>
      <c r="E17" s="51"/>
      <c r="F17" s="51"/>
      <c r="G17" s="51" t="str">
        <f>IFERROR(__xludf.DUMMYFUNCTION("""COMPUTED_VALUE"""),"#VALUE!")</f>
        <v>#VALUE!</v>
      </c>
      <c r="H17" s="51" t="str">
        <f>IFERROR(__xludf.DUMMYFUNCTION("""COMPUTED_VALUE"""),"")</f>
        <v/>
      </c>
      <c r="I17" s="51" t="str">
        <f>IFERROR(__xludf.DUMMYFUNCTION("""COMPUTED_VALUE"""),"#VALUE!")</f>
        <v>#VALUE!</v>
      </c>
      <c r="J17" s="51" t="str">
        <f>IFERROR(__xludf.DUMMYFUNCTION("""COMPUTED_VALUE"""),"")</f>
        <v/>
      </c>
      <c r="K17" s="51">
        <f t="shared" si="1"/>
        <v>0</v>
      </c>
      <c r="L17" s="51" t="s">
        <v>257</v>
      </c>
      <c r="M17" s="51"/>
      <c r="N17" s="51"/>
      <c r="O17" s="51"/>
      <c r="P17" s="51"/>
      <c r="Q17" s="51"/>
      <c r="R17" s="51"/>
      <c r="S17" s="51"/>
      <c r="T17" s="51"/>
    </row>
    <row r="18">
      <c r="A18" s="51"/>
      <c r="B18" s="51"/>
      <c r="C18" s="56"/>
      <c r="D18" s="51"/>
      <c r="E18" s="51"/>
      <c r="F18" s="51"/>
      <c r="G18" s="51" t="str">
        <f>IFERROR(__xludf.DUMMYFUNCTION("""COMPUTED_VALUE"""),"#VALUE!")</f>
        <v>#VALUE!</v>
      </c>
      <c r="H18" s="51" t="str">
        <f>IFERROR(__xludf.DUMMYFUNCTION("""COMPUTED_VALUE"""),"")</f>
        <v/>
      </c>
      <c r="I18" s="51" t="str">
        <f>IFERROR(__xludf.DUMMYFUNCTION("""COMPUTED_VALUE"""),"#VALUE!")</f>
        <v>#VALUE!</v>
      </c>
      <c r="J18" s="51" t="str">
        <f>IFERROR(__xludf.DUMMYFUNCTION("""COMPUTED_VALUE"""),"")</f>
        <v/>
      </c>
      <c r="K18" s="51">
        <f t="shared" si="1"/>
        <v>0</v>
      </c>
      <c r="L18" s="51" t="s">
        <v>257</v>
      </c>
      <c r="M18" s="51"/>
      <c r="N18" s="51"/>
      <c r="O18" s="51"/>
      <c r="P18" s="51"/>
      <c r="Q18" s="51"/>
      <c r="R18" s="51"/>
      <c r="S18" s="51"/>
      <c r="T18" s="51"/>
    </row>
    <row r="19">
      <c r="A19" s="51"/>
      <c r="B19" s="51"/>
      <c r="C19" s="56"/>
      <c r="D19" s="51"/>
      <c r="E19" s="51"/>
      <c r="F19" s="51"/>
      <c r="G19" s="51" t="str">
        <f>IFERROR(__xludf.DUMMYFUNCTION("""COMPUTED_VALUE"""),"#VALUE!")</f>
        <v>#VALUE!</v>
      </c>
      <c r="H19" s="51" t="str">
        <f>IFERROR(__xludf.DUMMYFUNCTION("""COMPUTED_VALUE"""),"")</f>
        <v/>
      </c>
      <c r="I19" s="51" t="str">
        <f>IFERROR(__xludf.DUMMYFUNCTION("""COMPUTED_VALUE"""),"#VALUE!")</f>
        <v>#VALUE!</v>
      </c>
      <c r="J19" s="51" t="str">
        <f>IFERROR(__xludf.DUMMYFUNCTION("""COMPUTED_VALUE"""),"")</f>
        <v/>
      </c>
      <c r="K19" s="51">
        <f t="shared" si="1"/>
        <v>0</v>
      </c>
      <c r="L19" s="51" t="s">
        <v>257</v>
      </c>
      <c r="M19" s="51"/>
      <c r="N19" s="51"/>
      <c r="O19" s="51"/>
      <c r="P19" s="51"/>
      <c r="Q19" s="51"/>
      <c r="R19" s="51"/>
      <c r="S19" s="51"/>
      <c r="T19" s="51"/>
    </row>
    <row r="20">
      <c r="A20" s="51"/>
      <c r="B20" s="51"/>
      <c r="C20" s="56"/>
      <c r="D20" s="51"/>
      <c r="E20" s="51"/>
      <c r="F20" s="51"/>
      <c r="G20" s="51" t="str">
        <f>IFERROR(__xludf.DUMMYFUNCTION("""COMPUTED_VALUE"""),"#VALUE!")</f>
        <v>#VALUE!</v>
      </c>
      <c r="H20" s="51" t="str">
        <f>IFERROR(__xludf.DUMMYFUNCTION("""COMPUTED_VALUE"""),"")</f>
        <v/>
      </c>
      <c r="I20" s="51" t="str">
        <f>IFERROR(__xludf.DUMMYFUNCTION("""COMPUTED_VALUE"""),"#VALUE!")</f>
        <v>#VALUE!</v>
      </c>
      <c r="J20" s="51" t="str">
        <f>IFERROR(__xludf.DUMMYFUNCTION("""COMPUTED_VALUE"""),"")</f>
        <v/>
      </c>
      <c r="K20" s="51">
        <f t="shared" si="1"/>
        <v>0</v>
      </c>
      <c r="L20" s="51" t="s">
        <v>257</v>
      </c>
      <c r="M20" s="51"/>
      <c r="N20" s="51"/>
      <c r="O20" s="51"/>
      <c r="P20" s="51"/>
      <c r="Q20" s="51"/>
      <c r="R20" s="51"/>
      <c r="S20" s="51"/>
      <c r="T20" s="51"/>
    </row>
    <row r="21">
      <c r="A21" s="51"/>
      <c r="B21" s="51"/>
      <c r="C21" s="56"/>
      <c r="D21" s="51"/>
      <c r="E21" s="51"/>
      <c r="F21" s="51"/>
      <c r="G21" s="51" t="str">
        <f>IFERROR(__xludf.DUMMYFUNCTION("""COMPUTED_VALUE"""),"#VALUE!")</f>
        <v>#VALUE!</v>
      </c>
      <c r="H21" s="51" t="str">
        <f>IFERROR(__xludf.DUMMYFUNCTION("""COMPUTED_VALUE"""),"")</f>
        <v/>
      </c>
      <c r="I21" s="51" t="str">
        <f>IFERROR(__xludf.DUMMYFUNCTION("""COMPUTED_VALUE"""),"#VALUE!")</f>
        <v>#VALUE!</v>
      </c>
      <c r="J21" s="51" t="str">
        <f>IFERROR(__xludf.DUMMYFUNCTION("""COMPUTED_VALUE"""),"")</f>
        <v/>
      </c>
      <c r="K21" s="51">
        <f t="shared" si="1"/>
        <v>0</v>
      </c>
      <c r="L21" s="51" t="s">
        <v>257</v>
      </c>
      <c r="M21" s="51"/>
      <c r="N21" s="51"/>
      <c r="O21" s="51"/>
      <c r="P21" s="51"/>
      <c r="Q21" s="51"/>
      <c r="R21" s="51"/>
      <c r="S21" s="51"/>
      <c r="T21" s="51"/>
    </row>
    <row r="22">
      <c r="A22" s="51"/>
      <c r="B22" s="51"/>
      <c r="C22" s="56"/>
      <c r="D22" s="51"/>
      <c r="E22" s="51"/>
      <c r="F22" s="51"/>
      <c r="G22" s="51" t="str">
        <f>IFERROR(__xludf.DUMMYFUNCTION("""COMPUTED_VALUE"""),"#VALUE!")</f>
        <v>#VALUE!</v>
      </c>
      <c r="H22" s="51" t="str">
        <f>IFERROR(__xludf.DUMMYFUNCTION("""COMPUTED_VALUE"""),"")</f>
        <v/>
      </c>
      <c r="I22" s="51" t="str">
        <f>IFERROR(__xludf.DUMMYFUNCTION("""COMPUTED_VALUE"""),"#VALUE!")</f>
        <v>#VALUE!</v>
      </c>
      <c r="J22" s="51" t="str">
        <f>IFERROR(__xludf.DUMMYFUNCTION("""COMPUTED_VALUE"""),"")</f>
        <v/>
      </c>
      <c r="K22" s="51">
        <f t="shared" si="1"/>
        <v>0</v>
      </c>
      <c r="L22" s="51" t="s">
        <v>257</v>
      </c>
      <c r="M22" s="51"/>
      <c r="N22" s="51"/>
      <c r="O22" s="51"/>
      <c r="P22" s="51"/>
      <c r="Q22" s="51"/>
      <c r="R22" s="51"/>
      <c r="S22" s="51"/>
      <c r="T22" s="51"/>
    </row>
    <row r="23">
      <c r="A23" s="51"/>
      <c r="B23" s="51"/>
      <c r="C23" s="56"/>
      <c r="D23" s="51"/>
      <c r="E23" s="51"/>
      <c r="F23" s="51"/>
      <c r="G23" s="51" t="str">
        <f>IFERROR(__xludf.DUMMYFUNCTION("""COMPUTED_VALUE"""),"#VALUE!")</f>
        <v>#VALUE!</v>
      </c>
      <c r="H23" s="51" t="str">
        <f>IFERROR(__xludf.DUMMYFUNCTION("""COMPUTED_VALUE"""),"")</f>
        <v/>
      </c>
      <c r="I23" s="51" t="str">
        <f>IFERROR(__xludf.DUMMYFUNCTION("""COMPUTED_VALUE"""),"#VALUE!")</f>
        <v>#VALUE!</v>
      </c>
      <c r="J23" s="51" t="str">
        <f>IFERROR(__xludf.DUMMYFUNCTION("""COMPUTED_VALUE"""),"")</f>
        <v/>
      </c>
      <c r="K23" s="51">
        <f t="shared" si="1"/>
        <v>0</v>
      </c>
      <c r="L23" s="51" t="s">
        <v>257</v>
      </c>
      <c r="M23" s="51"/>
      <c r="N23" s="51"/>
      <c r="O23" s="51"/>
      <c r="P23" s="51"/>
      <c r="Q23" s="51"/>
      <c r="R23" s="51"/>
      <c r="S23" s="51"/>
      <c r="T23" s="51"/>
    </row>
  </sheetData>
  <conditionalFormatting sqref="O2:O11">
    <cfRule type="containsText" dxfId="4" priority="1" operator="containsText" text="YES">
      <formula>NOT(ISERROR(SEARCH(("YES"),(O2))))</formula>
    </cfRule>
  </conditionalFormatting>
  <conditionalFormatting sqref="O2:O11">
    <cfRule type="cellIs" dxfId="5" priority="2" operator="equal">
      <formula>"NO"</formula>
    </cfRule>
  </conditionalFormatting>
  <conditionalFormatting sqref="P2:P11">
    <cfRule type="cellIs" dxfId="4" priority="3" operator="equal">
      <formula>"AVAILABLE"</formula>
    </cfRule>
  </conditionalFormatting>
  <conditionalFormatting sqref="P2:P11">
    <cfRule type="cellIs" dxfId="5" priority="4" operator="equal">
      <formula>"NOT AVAILABLE"</formula>
    </cfRule>
  </conditionalFormatting>
  <conditionalFormatting sqref="Q2:Q11">
    <cfRule type="cellIs" dxfId="4" priority="5" operator="equal">
      <formula>"AVAILABLE"</formula>
    </cfRule>
  </conditionalFormatting>
  <conditionalFormatting sqref="Q2:Q11">
    <cfRule type="cellIs" dxfId="6" priority="6" operator="equal">
      <formula>"UPLOADING"</formula>
    </cfRule>
  </conditionalFormatting>
  <conditionalFormatting sqref="Q2:Q11">
    <cfRule type="cellIs" dxfId="5" priority="7" operator="equal">
      <formula>"NOT AVAILABLE"</formula>
    </cfRule>
  </conditionalFormatting>
  <dataValidations>
    <dataValidation type="list" allowBlank="1" sqref="O2:O11">
      <formula1>"YES,NO"</formula1>
    </dataValidation>
    <dataValidation type="list" allowBlank="1" sqref="P2:P11">
      <formula1>"AVAILABLE,NOT AVAILABLE"</formula1>
    </dataValidation>
    <dataValidation type="list" allowBlank="1" sqref="Q2:Q11">
      <formula1>"AVAILABLE,UPLOADING,NOT AVAILABLE"</formula1>
    </dataValidation>
  </dataValidations>
  <drawing r:id="rId1"/>
  <tableParts count="1">
    <tablePart r:id="rId3"/>
  </tableParts>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4.71"/>
    <col customWidth="1" min="3" max="3" width="25.14"/>
    <col hidden="1" min="4" max="5" width="14.43"/>
    <col customWidth="1" min="6" max="6" width="37.86"/>
    <col hidden="1" min="9" max="9" width="14.43"/>
  </cols>
  <sheetData>
    <row r="1">
      <c r="A1" s="46" t="s">
        <v>79</v>
      </c>
      <c r="B1" s="46" t="s">
        <v>80</v>
      </c>
      <c r="C1" s="48" t="s">
        <v>81</v>
      </c>
      <c r="D1" s="46" t="s">
        <v>82</v>
      </c>
      <c r="E1" s="46" t="s">
        <v>83</v>
      </c>
      <c r="F1" s="46" t="s">
        <v>84</v>
      </c>
      <c r="G1" s="46" t="s">
        <v>85</v>
      </c>
      <c r="H1" s="46" t="s">
        <v>86</v>
      </c>
      <c r="I1" s="46" t="s">
        <v>87</v>
      </c>
      <c r="J1" s="46" t="s">
        <v>88</v>
      </c>
      <c r="K1" s="46" t="s">
        <v>89</v>
      </c>
      <c r="L1" s="46" t="s">
        <v>90</v>
      </c>
      <c r="M1" s="46" t="s">
        <v>91</v>
      </c>
      <c r="N1" s="46" t="s">
        <v>92</v>
      </c>
      <c r="O1" s="50" t="s">
        <v>93</v>
      </c>
      <c r="P1" s="50" t="s">
        <v>94</v>
      </c>
      <c r="Q1" s="50" t="s">
        <v>95</v>
      </c>
      <c r="R1" s="51"/>
      <c r="S1" s="51"/>
      <c r="T1" s="51"/>
    </row>
    <row r="2">
      <c r="A2" s="54" t="str">
        <f>IFERROR(__xludf.DUMMYFUNCTION("QUERY(Master!A:H,""SELECT A,C,D,F,G,H where C = 'DeepTech' ORDER BY F"")"),"Opening remarks")</f>
        <v>Opening remarks</v>
      </c>
      <c r="B2" s="51" t="str">
        <f>IFERROR(__xludf.DUMMYFUNCTION("""COMPUTED_VALUE"""),"DeepTech")</f>
        <v>DeepTech</v>
      </c>
      <c r="C2" s="56" t="str">
        <f>IFERROR(__xludf.DUMMYFUNCTION("""COMPUTED_VALUE"""),"Vikram Ahuja")</f>
        <v>Vikram Ahuja</v>
      </c>
      <c r="D2" s="51" t="str">
        <f>IFERROR(__xludf.DUMMYFUNCTION("""COMPUTED_VALUE"""),"2019/11/06 11:00:00")</f>
        <v>2019/11/06 11:00:00</v>
      </c>
      <c r="E2" s="51" t="str">
        <f>IFERROR(__xludf.DUMMYFUNCTION("""COMPUTED_VALUE"""),"2019/11/06 11:05:00")</f>
        <v>2019/11/06 11:05:00</v>
      </c>
      <c r="F2" s="51" t="str">
        <f>IFERROR(__xludf.DUMMYFUNCTION("""COMPUTED_VALUE"""),"a6f78178-23f5-492b-96f7-1ebbf8969876")</f>
        <v>a6f78178-23f5-492b-96f7-1ebbf8969876</v>
      </c>
      <c r="G2" s="61">
        <f>IFERROR(__xludf.DUMMYFUNCTION("ARRAYFORMULA(SPLIT(D2:D524,"" ""))"),43775.0)</f>
        <v>43775</v>
      </c>
      <c r="H2" s="60">
        <f>IFERROR(__xludf.DUMMYFUNCTION("""COMPUTED_VALUE"""),0.4583333333333333)</f>
        <v>0.4583333333</v>
      </c>
      <c r="I2" s="61">
        <f>IFERROR(__xludf.DUMMYFUNCTION("ARRAYFORMULA(SPLIT(E2:E524,"" ""))"),43775.0)</f>
        <v>43775</v>
      </c>
      <c r="J2" s="60">
        <f>IFERROR(__xludf.DUMMYFUNCTION("""COMPUTED_VALUE"""),0.4618055555555556)</f>
        <v>0.4618055556</v>
      </c>
      <c r="K2" s="60">
        <f t="shared" ref="K2:K23" si="1">J2-H2</f>
        <v>0.003472222222</v>
      </c>
      <c r="L2" s="54" t="str">
        <f t="array" ref="L2:L524">TEXT(K2:K524,"hhmmss")</f>
        <v>000500</v>
      </c>
      <c r="M2" s="62" t="s">
        <v>547</v>
      </c>
      <c r="N2" s="62" t="str">
        <f t="shared" ref="N2:N19" si="2">CONCATENATE(M2,"_",F2,"_","000000_000000.mp4")</f>
        <v>DT_6_1_a6f78178-23f5-492b-96f7-1ebbf8969876_000000_000000.mp4</v>
      </c>
      <c r="O2" s="50"/>
      <c r="P2" s="50"/>
      <c r="Q2" s="63"/>
      <c r="R2" s="51"/>
      <c r="S2" s="51"/>
      <c r="T2" s="51"/>
    </row>
    <row r="3">
      <c r="A3" s="51" t="str">
        <f>IFERROR(__xludf.DUMMYFUNCTION("""COMPUTED_VALUE"""),"Is Siri sexist?")</f>
        <v>Is Siri sexist?</v>
      </c>
      <c r="B3" s="51" t="str">
        <f>IFERROR(__xludf.DUMMYFUNCTION("""COMPUTED_VALUE"""),"DeepTech")</f>
        <v>DeepTech</v>
      </c>
      <c r="C3" s="56" t="str">
        <f>IFERROR(__xludf.DUMMYFUNCTION("""COMPUTED_VALUE"""),"Saniye Gülser Corat and Esther Paniagua")</f>
        <v>Saniye Gülser Corat and Esther Paniagua</v>
      </c>
      <c r="D3" s="51" t="str">
        <f>IFERROR(__xludf.DUMMYFUNCTION("""COMPUTED_VALUE"""),"2019/11/06 11:05:00")</f>
        <v>2019/11/06 11:05:00</v>
      </c>
      <c r="E3" s="51" t="str">
        <f>IFERROR(__xludf.DUMMYFUNCTION("""COMPUTED_VALUE"""),"2019/11/06 11:20:00")</f>
        <v>2019/11/06 11:20:00</v>
      </c>
      <c r="F3" s="51" t="str">
        <f>IFERROR(__xludf.DUMMYFUNCTION("""COMPUTED_VALUE"""),"aad6febc-2c87-400b-8682-c3e5a06e17e2")</f>
        <v>aad6febc-2c87-400b-8682-c3e5a06e17e2</v>
      </c>
      <c r="G3" s="58">
        <f>IFERROR(__xludf.DUMMYFUNCTION("""COMPUTED_VALUE"""),43775.0)</f>
        <v>43775</v>
      </c>
      <c r="H3" s="60">
        <f>IFERROR(__xludf.DUMMYFUNCTION("""COMPUTED_VALUE"""),0.4618055555555556)</f>
        <v>0.4618055556</v>
      </c>
      <c r="I3" s="58">
        <f>IFERROR(__xludf.DUMMYFUNCTION("""COMPUTED_VALUE"""),43775.0)</f>
        <v>43775</v>
      </c>
      <c r="J3" s="60">
        <f>IFERROR(__xludf.DUMMYFUNCTION("""COMPUTED_VALUE"""),0.4722222222222222)</f>
        <v>0.4722222222</v>
      </c>
      <c r="K3" s="60">
        <f t="shared" si="1"/>
        <v>0.01041666667</v>
      </c>
      <c r="L3" s="51" t="s">
        <v>116</v>
      </c>
      <c r="M3" s="62" t="s">
        <v>548</v>
      </c>
      <c r="N3" s="62" t="str">
        <f t="shared" si="2"/>
        <v>DT_6_2_aad6febc-2c87-400b-8682-c3e5a06e17e2_000000_000000.mp4</v>
      </c>
      <c r="O3" s="50"/>
      <c r="P3" s="50"/>
      <c r="Q3" s="63"/>
      <c r="R3" s="51"/>
      <c r="S3" s="51"/>
      <c r="T3" s="51"/>
    </row>
    <row r="4">
      <c r="A4" s="51" t="str">
        <f>IFERROR(__xludf.DUMMYFUNCTION("""COMPUTED_VALUE"""),"AI takes aim at cancer")</f>
        <v>AI takes aim at cancer</v>
      </c>
      <c r="B4" s="51" t="str">
        <f>IFERROR(__xludf.DUMMYFUNCTION("""COMPUTED_VALUE"""),"DeepTech")</f>
        <v>DeepTech</v>
      </c>
      <c r="C4" s="56" t="str">
        <f>IFERROR(__xludf.DUMMYFUNCTION("""COMPUTED_VALUE"""),"Constance Lehman and Alan Griffin")</f>
        <v>Constance Lehman and Alan Griffin</v>
      </c>
      <c r="D4" s="51" t="str">
        <f>IFERROR(__xludf.DUMMYFUNCTION("""COMPUTED_VALUE"""),"2019/11/06 11:20:00")</f>
        <v>2019/11/06 11:20:00</v>
      </c>
      <c r="E4" s="51" t="str">
        <f>IFERROR(__xludf.DUMMYFUNCTION("""COMPUTED_VALUE"""),"2019/11/06 11:35:00")</f>
        <v>2019/11/06 11:35:00</v>
      </c>
      <c r="F4" s="51" t="str">
        <f>IFERROR(__xludf.DUMMYFUNCTION("""COMPUTED_VALUE"""),"d7a8ec79-364a-44b7-900f-1d9579adcb44")</f>
        <v>d7a8ec79-364a-44b7-900f-1d9579adcb44</v>
      </c>
      <c r="G4" s="58">
        <f>IFERROR(__xludf.DUMMYFUNCTION("""COMPUTED_VALUE"""),43775.0)</f>
        <v>43775</v>
      </c>
      <c r="H4" s="60">
        <f>IFERROR(__xludf.DUMMYFUNCTION("""COMPUTED_VALUE"""),0.4722222222222222)</f>
        <v>0.4722222222</v>
      </c>
      <c r="I4" s="58">
        <f>IFERROR(__xludf.DUMMYFUNCTION("""COMPUTED_VALUE"""),43775.0)</f>
        <v>43775</v>
      </c>
      <c r="J4" s="60">
        <f>IFERROR(__xludf.DUMMYFUNCTION("""COMPUTED_VALUE"""),0.4826388888888889)</f>
        <v>0.4826388889</v>
      </c>
      <c r="K4" s="60">
        <f t="shared" si="1"/>
        <v>0.01041666667</v>
      </c>
      <c r="L4" s="51" t="s">
        <v>116</v>
      </c>
      <c r="M4" s="62" t="s">
        <v>549</v>
      </c>
      <c r="N4" s="62" t="str">
        <f t="shared" si="2"/>
        <v>DT_6_3_d7a8ec79-364a-44b7-900f-1d9579adcb44_000000_000000.mp4</v>
      </c>
      <c r="O4" s="50"/>
      <c r="P4" s="50"/>
      <c r="Q4" s="63"/>
      <c r="R4" s="51"/>
      <c r="S4" s="51"/>
      <c r="T4" s="51"/>
    </row>
    <row r="5">
      <c r="A5" s="51" t="str">
        <f>IFERROR(__xludf.DUMMYFUNCTION("""COMPUTED_VALUE"""),"Injecting tech into drug discovery")</f>
        <v>Injecting tech into drug discovery</v>
      </c>
      <c r="B5" s="51" t="str">
        <f>IFERROR(__xludf.DUMMYFUNCTION("""COMPUTED_VALUE"""),"DeepTech")</f>
        <v>DeepTech</v>
      </c>
      <c r="C5" s="56" t="str">
        <f>IFERROR(__xludf.DUMMYFUNCTION("""COMPUTED_VALUE"""),"Andrew Hopkins and Alex Deane")</f>
        <v>Andrew Hopkins and Alex Deane</v>
      </c>
      <c r="D5" s="51" t="str">
        <f>IFERROR(__xludf.DUMMYFUNCTION("""COMPUTED_VALUE"""),"2019/11/06 11:35:00")</f>
        <v>2019/11/06 11:35:00</v>
      </c>
      <c r="E5" s="51" t="str">
        <f>IFERROR(__xludf.DUMMYFUNCTION("""COMPUTED_VALUE"""),"2019/11/06 11:50:00")</f>
        <v>2019/11/06 11:50:00</v>
      </c>
      <c r="F5" s="51" t="str">
        <f>IFERROR(__xludf.DUMMYFUNCTION("""COMPUTED_VALUE"""),"5e52d7c0-1a51-42b8-8270-ebb4e54b46c9")</f>
        <v>5e52d7c0-1a51-42b8-8270-ebb4e54b46c9</v>
      </c>
      <c r="G5" s="58">
        <f>IFERROR(__xludf.DUMMYFUNCTION("""COMPUTED_VALUE"""),43775.0)</f>
        <v>43775</v>
      </c>
      <c r="H5" s="60">
        <f>IFERROR(__xludf.DUMMYFUNCTION("""COMPUTED_VALUE"""),0.4826388888888889)</f>
        <v>0.4826388889</v>
      </c>
      <c r="I5" s="58">
        <f>IFERROR(__xludf.DUMMYFUNCTION("""COMPUTED_VALUE"""),43775.0)</f>
        <v>43775</v>
      </c>
      <c r="J5" s="60">
        <f>IFERROR(__xludf.DUMMYFUNCTION("""COMPUTED_VALUE"""),0.4930555555555556)</f>
        <v>0.4930555556</v>
      </c>
      <c r="K5" s="60">
        <f t="shared" si="1"/>
        <v>0.01041666667</v>
      </c>
      <c r="L5" s="51" t="s">
        <v>116</v>
      </c>
      <c r="M5" s="62" t="s">
        <v>550</v>
      </c>
      <c r="N5" s="62" t="str">
        <f t="shared" si="2"/>
        <v>DT_6_4_5e52d7c0-1a51-42b8-8270-ebb4e54b46c9_000000_000000.mp4</v>
      </c>
      <c r="O5" s="50"/>
      <c r="P5" s="50"/>
      <c r="Q5" s="63"/>
      <c r="R5" s="51"/>
      <c r="S5" s="51"/>
      <c r="T5" s="51"/>
    </row>
    <row r="6">
      <c r="A6" s="51" t="str">
        <f>IFERROR(__xludf.DUMMYFUNCTION("""COMPUTED_VALUE"""),"We have Quantum Supremacy – now what?  ")</f>
        <v>We have Quantum Supremacy – now what?  </v>
      </c>
      <c r="B6" s="51" t="str">
        <f>IFERROR(__xludf.DUMMYFUNCTION("""COMPUTED_VALUE"""),"DeepTech")</f>
        <v>DeepTech</v>
      </c>
      <c r="C6" s="56" t="str">
        <f>IFERROR(__xludf.DUMMYFUNCTION("""COMPUTED_VALUE"""),"Philipp Gerbert and Jeremy Wilks")</f>
        <v>Philipp Gerbert and Jeremy Wilks</v>
      </c>
      <c r="D6" s="51" t="str">
        <f>IFERROR(__xludf.DUMMYFUNCTION("""COMPUTED_VALUE"""),"2019/11/06 11:50:00")</f>
        <v>2019/11/06 11:50:00</v>
      </c>
      <c r="E6" s="51" t="str">
        <f>IFERROR(__xludf.DUMMYFUNCTION("""COMPUTED_VALUE"""),"2019/11/06 12:10:00")</f>
        <v>2019/11/06 12:10:00</v>
      </c>
      <c r="F6" s="51" t="str">
        <f>IFERROR(__xludf.DUMMYFUNCTION("""COMPUTED_VALUE"""),"1c58246b-8649-440a-b197-4a80396fede6")</f>
        <v>1c58246b-8649-440a-b197-4a80396fede6</v>
      </c>
      <c r="G6" s="58">
        <f>IFERROR(__xludf.DUMMYFUNCTION("""COMPUTED_VALUE"""),43775.0)</f>
        <v>43775</v>
      </c>
      <c r="H6" s="60">
        <f>IFERROR(__xludf.DUMMYFUNCTION("""COMPUTED_VALUE"""),0.4930555555555556)</f>
        <v>0.4930555556</v>
      </c>
      <c r="I6" s="58">
        <f>IFERROR(__xludf.DUMMYFUNCTION("""COMPUTED_VALUE"""),43775.0)</f>
        <v>43775</v>
      </c>
      <c r="J6" s="60">
        <f>IFERROR(__xludf.DUMMYFUNCTION("""COMPUTED_VALUE"""),0.5069444444444444)</f>
        <v>0.5069444444</v>
      </c>
      <c r="K6" s="60">
        <f t="shared" si="1"/>
        <v>0.01388888889</v>
      </c>
      <c r="L6" s="51" t="s">
        <v>111</v>
      </c>
      <c r="M6" s="62" t="s">
        <v>551</v>
      </c>
      <c r="N6" s="62" t="str">
        <f t="shared" si="2"/>
        <v>DT_6_5_1c58246b-8649-440a-b197-4a80396fede6_000000_000000.mp4</v>
      </c>
      <c r="O6" s="50"/>
      <c r="P6" s="50"/>
      <c r="Q6" s="63"/>
      <c r="R6" s="51"/>
      <c r="S6" s="51"/>
      <c r="T6" s="51"/>
    </row>
    <row r="7">
      <c r="A7" s="51" t="str">
        <f>IFERROR(__xludf.DUMMYFUNCTION("""COMPUTED_VALUE"""),"Should robots have rights?")</f>
        <v>Should robots have rights?</v>
      </c>
      <c r="B7" s="51" t="str">
        <f>IFERROR(__xludf.DUMMYFUNCTION("""COMPUTED_VALUE"""),"DeepTech")</f>
        <v>DeepTech</v>
      </c>
      <c r="C7" s="56" t="str">
        <f>IFERROR(__xludf.DUMMYFUNCTION("""COMPUTED_VALUE"""),"John Basl, Steve Petersen, Ben Goertzel, Fouzia Adjailia and Louise Lucas")</f>
        <v>John Basl, Steve Petersen, Ben Goertzel, Fouzia Adjailia and Louise Lucas</v>
      </c>
      <c r="D7" s="51" t="str">
        <f>IFERROR(__xludf.DUMMYFUNCTION("""COMPUTED_VALUE"""),"2019/11/06 12:10:00")</f>
        <v>2019/11/06 12:10:00</v>
      </c>
      <c r="E7" s="51" t="str">
        <f>IFERROR(__xludf.DUMMYFUNCTION("""COMPUTED_VALUE"""),"2019/11/06 12:35:00")</f>
        <v>2019/11/06 12:35:00</v>
      </c>
      <c r="F7" s="51" t="str">
        <f>IFERROR(__xludf.DUMMYFUNCTION("""COMPUTED_VALUE"""),"cad13a64-b9db-4862-b091-0435773e2aec")</f>
        <v>cad13a64-b9db-4862-b091-0435773e2aec</v>
      </c>
      <c r="G7" s="58">
        <f>IFERROR(__xludf.DUMMYFUNCTION("""COMPUTED_VALUE"""),43775.0)</f>
        <v>43775</v>
      </c>
      <c r="H7" s="60">
        <f>IFERROR(__xludf.DUMMYFUNCTION("""COMPUTED_VALUE"""),0.5069444444444444)</f>
        <v>0.5069444444</v>
      </c>
      <c r="I7" s="58">
        <f>IFERROR(__xludf.DUMMYFUNCTION("""COMPUTED_VALUE"""),43775.0)</f>
        <v>43775</v>
      </c>
      <c r="J7" s="60">
        <f>IFERROR(__xludf.DUMMYFUNCTION("""COMPUTED_VALUE"""),0.5243055555555556)</f>
        <v>0.5243055556</v>
      </c>
      <c r="K7" s="60">
        <f t="shared" si="1"/>
        <v>0.01736111111</v>
      </c>
      <c r="L7" s="51" t="s">
        <v>107</v>
      </c>
      <c r="M7" s="62" t="s">
        <v>552</v>
      </c>
      <c r="N7" s="62" t="str">
        <f t="shared" si="2"/>
        <v>DT_6_6_cad13a64-b9db-4862-b091-0435773e2aec_000000_000000.mp4</v>
      </c>
      <c r="O7" s="50"/>
      <c r="P7" s="50"/>
      <c r="Q7" s="63"/>
      <c r="R7" s="51"/>
      <c r="S7" s="51"/>
      <c r="T7" s="51"/>
    </row>
    <row r="8">
      <c r="A8" s="51" t="str">
        <f>IFERROR(__xludf.DUMMYFUNCTION("""COMPUTED_VALUE"""),"The evolution of currency")</f>
        <v>The evolution of currency</v>
      </c>
      <c r="B8" s="51" t="str">
        <f>IFERROR(__xludf.DUMMYFUNCTION("""COMPUTED_VALUE"""),"DeepTech")</f>
        <v>DeepTech</v>
      </c>
      <c r="C8" s="56" t="str">
        <f>IFERROR(__xludf.DUMMYFUNCTION("""COMPUTED_VALUE"""),"David Chaum")</f>
        <v>David Chaum</v>
      </c>
      <c r="D8" s="51" t="str">
        <f>IFERROR(__xludf.DUMMYFUNCTION("""COMPUTED_VALUE"""),"2019/11/06 12:35:00")</f>
        <v>2019/11/06 12:35:00</v>
      </c>
      <c r="E8" s="51" t="str">
        <f>IFERROR(__xludf.DUMMYFUNCTION("""COMPUTED_VALUE"""),"2019/11/06 12:55:00")</f>
        <v>2019/11/06 12:55:00</v>
      </c>
      <c r="F8" s="51" t="str">
        <f>IFERROR(__xludf.DUMMYFUNCTION("""COMPUTED_VALUE"""),"ebf971a5-06c6-45f3-9d82-04babddc96c9")</f>
        <v>ebf971a5-06c6-45f3-9d82-04babddc96c9</v>
      </c>
      <c r="G8" s="58">
        <f>IFERROR(__xludf.DUMMYFUNCTION("""COMPUTED_VALUE"""),43775.0)</f>
        <v>43775</v>
      </c>
      <c r="H8" s="60">
        <f>IFERROR(__xludf.DUMMYFUNCTION("""COMPUTED_VALUE"""),0.5243055555555556)</f>
        <v>0.5243055556</v>
      </c>
      <c r="I8" s="58">
        <f>IFERROR(__xludf.DUMMYFUNCTION("""COMPUTED_VALUE"""),43775.0)</f>
        <v>43775</v>
      </c>
      <c r="J8" s="60">
        <f>IFERROR(__xludf.DUMMYFUNCTION("""COMPUTED_VALUE"""),0.5381944444444444)</f>
        <v>0.5381944444</v>
      </c>
      <c r="K8" s="60">
        <f t="shared" si="1"/>
        <v>0.01388888889</v>
      </c>
      <c r="L8" s="51" t="s">
        <v>111</v>
      </c>
      <c r="M8" s="62" t="s">
        <v>553</v>
      </c>
      <c r="N8" s="62" t="str">
        <f t="shared" si="2"/>
        <v>DT_6_7_ebf971a5-06c6-45f3-9d82-04babddc96c9_000000_000000.mp4</v>
      </c>
      <c r="O8" s="50"/>
      <c r="P8" s="50"/>
      <c r="Q8" s="63"/>
      <c r="R8" s="51"/>
      <c r="S8" s="51"/>
      <c r="T8" s="51"/>
    </row>
    <row r="9">
      <c r="A9" s="51" t="str">
        <f>IFERROR(__xludf.DUMMYFUNCTION("""COMPUTED_VALUE"""),"Robosexual: The future of human-robot relations")</f>
        <v>Robosexual: The future of human-robot relations</v>
      </c>
      <c r="B9" s="51" t="str">
        <f>IFERROR(__xludf.DUMMYFUNCTION("""COMPUTED_VALUE"""),"DeepTech")</f>
        <v>DeepTech</v>
      </c>
      <c r="C9" s="56" t="str">
        <f>IFERROR(__xludf.DUMMYFUNCTION("""COMPUTED_VALUE"""),"Stephanie Alys, Marianne Brandon and Esther Paniagua")</f>
        <v>Stephanie Alys, Marianne Brandon and Esther Paniagua</v>
      </c>
      <c r="D9" s="51" t="str">
        <f>IFERROR(__xludf.DUMMYFUNCTION("""COMPUTED_VALUE"""),"2019/11/06 12:55:00")</f>
        <v>2019/11/06 12:55:00</v>
      </c>
      <c r="E9" s="51" t="str">
        <f>IFERROR(__xludf.DUMMYFUNCTION("""COMPUTED_VALUE"""),"2019/11/06 13:15:00")</f>
        <v>2019/11/06 13:15:00</v>
      </c>
      <c r="F9" s="51" t="str">
        <f>IFERROR(__xludf.DUMMYFUNCTION("""COMPUTED_VALUE"""),"e2859cde-d7fd-465c-a7c5-ca36e88fda84")</f>
        <v>e2859cde-d7fd-465c-a7c5-ca36e88fda84</v>
      </c>
      <c r="G9" s="58">
        <f>IFERROR(__xludf.DUMMYFUNCTION("""COMPUTED_VALUE"""),43775.0)</f>
        <v>43775</v>
      </c>
      <c r="H9" s="60">
        <f>IFERROR(__xludf.DUMMYFUNCTION("""COMPUTED_VALUE"""),0.5381944444444444)</f>
        <v>0.5381944444</v>
      </c>
      <c r="I9" s="58">
        <f>IFERROR(__xludf.DUMMYFUNCTION("""COMPUTED_VALUE"""),43775.0)</f>
        <v>43775</v>
      </c>
      <c r="J9" s="60">
        <f>IFERROR(__xludf.DUMMYFUNCTION("""COMPUTED_VALUE"""),0.5520833333333334)</f>
        <v>0.5520833333</v>
      </c>
      <c r="K9" s="60">
        <f t="shared" si="1"/>
        <v>0.01388888889</v>
      </c>
      <c r="L9" s="51" t="s">
        <v>111</v>
      </c>
      <c r="M9" s="62" t="s">
        <v>554</v>
      </c>
      <c r="N9" s="62" t="str">
        <f t="shared" si="2"/>
        <v>DT_6_8_e2859cde-d7fd-465c-a7c5-ca36e88fda84_000000_000000.mp4</v>
      </c>
      <c r="O9" s="50"/>
      <c r="P9" s="50"/>
      <c r="Q9" s="63"/>
      <c r="R9" s="51"/>
      <c r="S9" s="51"/>
      <c r="T9" s="51"/>
    </row>
    <row r="10">
      <c r="A10" s="51" t="str">
        <f>IFERROR(__xludf.DUMMYFUNCTION("""COMPUTED_VALUE"""),"Lunch break")</f>
        <v>Lunch break</v>
      </c>
      <c r="B10" s="51" t="str">
        <f>IFERROR(__xludf.DUMMYFUNCTION("""COMPUTED_VALUE"""),"DeepTech")</f>
        <v>DeepTech</v>
      </c>
      <c r="C10" s="56" t="str">
        <f>IFERROR(__xludf.DUMMYFUNCTION("""COMPUTED_VALUE"""),"")</f>
        <v/>
      </c>
      <c r="D10" s="51" t="str">
        <f>IFERROR(__xludf.DUMMYFUNCTION("""COMPUTED_VALUE"""),"2019/11/06 13:15:00")</f>
        <v>2019/11/06 13:15:00</v>
      </c>
      <c r="E10" s="51" t="str">
        <f>IFERROR(__xludf.DUMMYFUNCTION("""COMPUTED_VALUE"""),"2019/11/06 13:50:00")</f>
        <v>2019/11/06 13:50:00</v>
      </c>
      <c r="F10" s="51" t="str">
        <f>IFERROR(__xludf.DUMMYFUNCTION("""COMPUTED_VALUE"""),"3c08a900-4299-4ea4-b72a-9c13a1a1916e")</f>
        <v>3c08a900-4299-4ea4-b72a-9c13a1a1916e</v>
      </c>
      <c r="G10" s="58">
        <f>IFERROR(__xludf.DUMMYFUNCTION("""COMPUTED_VALUE"""),43775.0)</f>
        <v>43775</v>
      </c>
      <c r="H10" s="60">
        <f>IFERROR(__xludf.DUMMYFUNCTION("""COMPUTED_VALUE"""),0.5520833333333334)</f>
        <v>0.5520833333</v>
      </c>
      <c r="I10" s="58">
        <f>IFERROR(__xludf.DUMMYFUNCTION("""COMPUTED_VALUE"""),43775.0)</f>
        <v>43775</v>
      </c>
      <c r="J10" s="60">
        <f>IFERROR(__xludf.DUMMYFUNCTION("""COMPUTED_VALUE"""),0.5763888888888888)</f>
        <v>0.5763888889</v>
      </c>
      <c r="K10" s="60">
        <f t="shared" si="1"/>
        <v>0.02430555556</v>
      </c>
      <c r="L10" s="51" t="s">
        <v>147</v>
      </c>
      <c r="M10" s="51"/>
      <c r="N10" s="62" t="str">
        <f t="shared" si="2"/>
        <v>_3c08a900-4299-4ea4-b72a-9c13a1a1916e_000000_000000.mp4</v>
      </c>
      <c r="O10" s="50"/>
      <c r="P10" s="50"/>
      <c r="Q10" s="63"/>
      <c r="R10" s="51"/>
      <c r="S10" s="51"/>
      <c r="T10" s="51"/>
    </row>
    <row r="11">
      <c r="A11" s="51" t="str">
        <f>IFERROR(__xludf.DUMMYFUNCTION("""COMPUTED_VALUE"""),"Opening remarks")</f>
        <v>Opening remarks</v>
      </c>
      <c r="B11" s="51" t="str">
        <f>IFERROR(__xludf.DUMMYFUNCTION("""COMPUTED_VALUE"""),"DeepTech")</f>
        <v>DeepTech</v>
      </c>
      <c r="C11" s="56" t="str">
        <f>IFERROR(__xludf.DUMMYFUNCTION("""COMPUTED_VALUE"""),"Matthew Fornaciari")</f>
        <v>Matthew Fornaciari</v>
      </c>
      <c r="D11" s="51" t="str">
        <f>IFERROR(__xludf.DUMMYFUNCTION("""COMPUTED_VALUE"""),"2019/11/06 13:50:00")</f>
        <v>2019/11/06 13:50:00</v>
      </c>
      <c r="E11" s="51" t="str">
        <f>IFERROR(__xludf.DUMMYFUNCTION("""COMPUTED_VALUE"""),"2019/11/06 13:55:00")</f>
        <v>2019/11/06 13:55:00</v>
      </c>
      <c r="F11" s="51" t="str">
        <f>IFERROR(__xludf.DUMMYFUNCTION("""COMPUTED_VALUE"""),"b2c907b9-1735-4fdc-a3bc-ae0eaf3a20bb")</f>
        <v>b2c907b9-1735-4fdc-a3bc-ae0eaf3a20bb</v>
      </c>
      <c r="G11" s="58">
        <f>IFERROR(__xludf.DUMMYFUNCTION("""COMPUTED_VALUE"""),43775.0)</f>
        <v>43775</v>
      </c>
      <c r="H11" s="60">
        <f>IFERROR(__xludf.DUMMYFUNCTION("""COMPUTED_VALUE"""),0.5763888888888888)</f>
        <v>0.5763888889</v>
      </c>
      <c r="I11" s="58">
        <f>IFERROR(__xludf.DUMMYFUNCTION("""COMPUTED_VALUE"""),43775.0)</f>
        <v>43775</v>
      </c>
      <c r="J11" s="60">
        <f>IFERROR(__xludf.DUMMYFUNCTION("""COMPUTED_VALUE"""),0.5798611111111112)</f>
        <v>0.5798611111</v>
      </c>
      <c r="K11" s="60">
        <f t="shared" si="1"/>
        <v>0.003472222222</v>
      </c>
      <c r="L11" s="51" t="s">
        <v>234</v>
      </c>
      <c r="M11" s="62" t="s">
        <v>555</v>
      </c>
      <c r="N11" s="62" t="str">
        <f t="shared" si="2"/>
        <v>DT_6_9_b2c907b9-1735-4fdc-a3bc-ae0eaf3a20bb_000000_000000.mp4</v>
      </c>
      <c r="O11" s="50"/>
      <c r="P11" s="50"/>
      <c r="Q11" s="63"/>
      <c r="R11" s="51"/>
      <c r="S11" s="51"/>
      <c r="T11" s="51"/>
    </row>
    <row r="12">
      <c r="A12" s="51" t="str">
        <f>IFERROR(__xludf.DUMMYFUNCTION("""COMPUTED_VALUE"""),"Making the most of data")</f>
        <v>Making the most of data</v>
      </c>
      <c r="B12" s="51" t="str">
        <f>IFERROR(__xludf.DUMMYFUNCTION("""COMPUTED_VALUE"""),"DeepTech")</f>
        <v>DeepTech</v>
      </c>
      <c r="C12" s="56" t="str">
        <f>IFERROR(__xludf.DUMMYFUNCTION("""COMPUTED_VALUE"""),"Daniela Braga, Stijn Christiaens, Helen Zeitoun and Rani Molla")</f>
        <v>Daniela Braga, Stijn Christiaens, Helen Zeitoun and Rani Molla</v>
      </c>
      <c r="D12" s="51" t="str">
        <f>IFERROR(__xludf.DUMMYFUNCTION("""COMPUTED_VALUE"""),"2019/11/06 13:55:00")</f>
        <v>2019/11/06 13:55:00</v>
      </c>
      <c r="E12" s="51" t="str">
        <f>IFERROR(__xludf.DUMMYFUNCTION("""COMPUTED_VALUE"""),"2019/11/06 14:15:00")</f>
        <v>2019/11/06 14:15:00</v>
      </c>
      <c r="F12" s="51" t="str">
        <f>IFERROR(__xludf.DUMMYFUNCTION("""COMPUTED_VALUE"""),"7a5613f7-7237-4db7-a4ca-32fc0718ee9a")</f>
        <v>7a5613f7-7237-4db7-a4ca-32fc0718ee9a</v>
      </c>
      <c r="G12" s="58">
        <f>IFERROR(__xludf.DUMMYFUNCTION("""COMPUTED_VALUE"""),43775.0)</f>
        <v>43775</v>
      </c>
      <c r="H12" s="60">
        <f>IFERROR(__xludf.DUMMYFUNCTION("""COMPUTED_VALUE"""),0.5798611111111112)</f>
        <v>0.5798611111</v>
      </c>
      <c r="I12" s="58">
        <f>IFERROR(__xludf.DUMMYFUNCTION("""COMPUTED_VALUE"""),43775.0)</f>
        <v>43775</v>
      </c>
      <c r="J12" s="60">
        <f>IFERROR(__xludf.DUMMYFUNCTION("""COMPUTED_VALUE"""),0.59375)</f>
        <v>0.59375</v>
      </c>
      <c r="K12" s="60">
        <f t="shared" si="1"/>
        <v>0.01388888889</v>
      </c>
      <c r="L12" s="51" t="s">
        <v>111</v>
      </c>
      <c r="M12" s="62" t="s">
        <v>556</v>
      </c>
      <c r="N12" s="62" t="str">
        <f t="shared" si="2"/>
        <v>DT_6_10_7a5613f7-7237-4db7-a4ca-32fc0718ee9a_000000_000000.mp4</v>
      </c>
      <c r="O12" s="50"/>
      <c r="P12" s="50"/>
      <c r="Q12" s="63"/>
      <c r="R12" s="51"/>
      <c r="S12" s="51"/>
      <c r="T12" s="51"/>
    </row>
    <row r="13">
      <c r="A13" s="51" t="str">
        <f>IFERROR(__xludf.DUMMYFUNCTION("""COMPUTED_VALUE"""),"Your Brain 2.0: Unlocking machines with your mind")</f>
        <v>Your Brain 2.0: Unlocking machines with your mind</v>
      </c>
      <c r="B13" s="51" t="str">
        <f>IFERROR(__xludf.DUMMYFUNCTION("""COMPUTED_VALUE"""),"DeepTech")</f>
        <v>DeepTech</v>
      </c>
      <c r="C13" s="56" t="str">
        <f>IFERROR(__xludf.DUMMYFUNCTION("""COMPUTED_VALUE"""),"Thomas Reardon")</f>
        <v>Thomas Reardon</v>
      </c>
      <c r="D13" s="51" t="str">
        <f>IFERROR(__xludf.DUMMYFUNCTION("""COMPUTED_VALUE"""),"2019/11/06 14:15:00")</f>
        <v>2019/11/06 14:15:00</v>
      </c>
      <c r="E13" s="51" t="str">
        <f>IFERROR(__xludf.DUMMYFUNCTION("""COMPUTED_VALUE"""),"2019/11/06 14:30:00")</f>
        <v>2019/11/06 14:30:00</v>
      </c>
      <c r="F13" s="51" t="str">
        <f>IFERROR(__xludf.DUMMYFUNCTION("""COMPUTED_VALUE"""),"df0a2710-99b3-48fe-93b7-e754edb86be8")</f>
        <v>df0a2710-99b3-48fe-93b7-e754edb86be8</v>
      </c>
      <c r="G13" s="58">
        <f>IFERROR(__xludf.DUMMYFUNCTION("""COMPUTED_VALUE"""),43775.0)</f>
        <v>43775</v>
      </c>
      <c r="H13" s="60">
        <f>IFERROR(__xludf.DUMMYFUNCTION("""COMPUTED_VALUE"""),0.59375)</f>
        <v>0.59375</v>
      </c>
      <c r="I13" s="58">
        <f>IFERROR(__xludf.DUMMYFUNCTION("""COMPUTED_VALUE"""),43775.0)</f>
        <v>43775</v>
      </c>
      <c r="J13" s="60">
        <f>IFERROR(__xludf.DUMMYFUNCTION("""COMPUTED_VALUE"""),0.6041666666666666)</f>
        <v>0.6041666667</v>
      </c>
      <c r="K13" s="60">
        <f t="shared" si="1"/>
        <v>0.01041666667</v>
      </c>
      <c r="L13" s="51" t="s">
        <v>116</v>
      </c>
      <c r="M13" s="62" t="s">
        <v>557</v>
      </c>
      <c r="N13" s="62" t="str">
        <f t="shared" si="2"/>
        <v>DT_6_11_df0a2710-99b3-48fe-93b7-e754edb86be8_000000_000000.mp4</v>
      </c>
      <c r="O13" s="50"/>
      <c r="P13" s="50"/>
      <c r="Q13" s="63"/>
      <c r="R13" s="51"/>
      <c r="S13" s="51"/>
      <c r="T13" s="51"/>
    </row>
    <row r="14">
      <c r="A14" s="51" t="str">
        <f>IFERROR(__xludf.DUMMYFUNCTION("""COMPUTED_VALUE"""),"The future of space: from AI to the multiverse ")</f>
        <v>The future of space: from AI to the multiverse </v>
      </c>
      <c r="B14" s="51" t="str">
        <f>IFERROR(__xludf.DUMMYFUNCTION("""COMPUTED_VALUE"""),"DeepTech")</f>
        <v>DeepTech</v>
      </c>
      <c r="C14" s="56" t="str">
        <f>IFERROR(__xludf.DUMMYFUNCTION("""COMPUTED_VALUE"""),"Roberto Trotta")</f>
        <v>Roberto Trotta</v>
      </c>
      <c r="D14" s="51" t="str">
        <f>IFERROR(__xludf.DUMMYFUNCTION("""COMPUTED_VALUE"""),"2019/11/06 14:30:00")</f>
        <v>2019/11/06 14:30:00</v>
      </c>
      <c r="E14" s="51" t="str">
        <f>IFERROR(__xludf.DUMMYFUNCTION("""COMPUTED_VALUE"""),"2019/11/06 14:50:00")</f>
        <v>2019/11/06 14:50:00</v>
      </c>
      <c r="F14" s="51" t="str">
        <f>IFERROR(__xludf.DUMMYFUNCTION("""COMPUTED_VALUE"""),"47536078-a25d-4729-b47d-74e8169a3703")</f>
        <v>47536078-a25d-4729-b47d-74e8169a3703</v>
      </c>
      <c r="G14" s="58">
        <f>IFERROR(__xludf.DUMMYFUNCTION("""COMPUTED_VALUE"""),43775.0)</f>
        <v>43775</v>
      </c>
      <c r="H14" s="60">
        <f>IFERROR(__xludf.DUMMYFUNCTION("""COMPUTED_VALUE"""),0.6041666666666666)</f>
        <v>0.6041666667</v>
      </c>
      <c r="I14" s="58">
        <f>IFERROR(__xludf.DUMMYFUNCTION("""COMPUTED_VALUE"""),43775.0)</f>
        <v>43775</v>
      </c>
      <c r="J14" s="60">
        <f>IFERROR(__xludf.DUMMYFUNCTION("""COMPUTED_VALUE"""),0.6180555555555556)</f>
        <v>0.6180555556</v>
      </c>
      <c r="K14" s="60">
        <f t="shared" si="1"/>
        <v>0.01388888889</v>
      </c>
      <c r="L14" s="51" t="s">
        <v>111</v>
      </c>
      <c r="M14" s="62" t="s">
        <v>558</v>
      </c>
      <c r="N14" s="62" t="str">
        <f t="shared" si="2"/>
        <v>DT_6_12_47536078-a25d-4729-b47d-74e8169a3703_000000_000000.mp4</v>
      </c>
      <c r="O14" s="50"/>
      <c r="P14" s="50"/>
      <c r="Q14" s="63"/>
      <c r="R14" s="51"/>
      <c r="S14" s="51"/>
      <c r="T14" s="51"/>
    </row>
    <row r="15">
      <c r="A15" s="51" t="str">
        <f>IFERROR(__xludf.DUMMYFUNCTION("""COMPUTED_VALUE"""),"Star Wars: Rise of the space junk")</f>
        <v>Star Wars: Rise of the space junk</v>
      </c>
      <c r="B15" s="51" t="str">
        <f>IFERROR(__xludf.DUMMYFUNCTION("""COMPUTED_VALUE"""),"DeepTech")</f>
        <v>DeepTech</v>
      </c>
      <c r="C15" s="56" t="str">
        <f>IFERROR(__xludf.DUMMYFUNCTION("""COMPUTED_VALUE"""),"Holger Krag, Nobu Okada, Peter Martinez and Jeremy Wilks")</f>
        <v>Holger Krag, Nobu Okada, Peter Martinez and Jeremy Wilks</v>
      </c>
      <c r="D15" s="51" t="str">
        <f>IFERROR(__xludf.DUMMYFUNCTION("""COMPUTED_VALUE"""),"2019/11/06 14:50:00")</f>
        <v>2019/11/06 14:50:00</v>
      </c>
      <c r="E15" s="51" t="str">
        <f>IFERROR(__xludf.DUMMYFUNCTION("""COMPUTED_VALUE"""),"2019/11/06 15:15:00")</f>
        <v>2019/11/06 15:15:00</v>
      </c>
      <c r="F15" s="51" t="str">
        <f>IFERROR(__xludf.DUMMYFUNCTION("""COMPUTED_VALUE"""),"871689fc-ecc3-489d-82f1-f443c7b6c01e")</f>
        <v>871689fc-ecc3-489d-82f1-f443c7b6c01e</v>
      </c>
      <c r="G15" s="58">
        <f>IFERROR(__xludf.DUMMYFUNCTION("""COMPUTED_VALUE"""),43775.0)</f>
        <v>43775</v>
      </c>
      <c r="H15" s="60">
        <f>IFERROR(__xludf.DUMMYFUNCTION("""COMPUTED_VALUE"""),0.6180555555555556)</f>
        <v>0.6180555556</v>
      </c>
      <c r="I15" s="58">
        <f>IFERROR(__xludf.DUMMYFUNCTION("""COMPUTED_VALUE"""),43775.0)</f>
        <v>43775</v>
      </c>
      <c r="J15" s="60">
        <f>IFERROR(__xludf.DUMMYFUNCTION("""COMPUTED_VALUE"""),0.6354166666666666)</f>
        <v>0.6354166667</v>
      </c>
      <c r="K15" s="60">
        <f t="shared" si="1"/>
        <v>0.01736111111</v>
      </c>
      <c r="L15" s="51" t="s">
        <v>107</v>
      </c>
      <c r="M15" s="62" t="s">
        <v>559</v>
      </c>
      <c r="N15" s="62" t="str">
        <f t="shared" si="2"/>
        <v>DT_6_13_871689fc-ecc3-489d-82f1-f443c7b6c01e_000000_000000.mp4</v>
      </c>
      <c r="O15" s="50"/>
      <c r="P15" s="50"/>
      <c r="Q15" s="63"/>
      <c r="R15" s="51"/>
      <c r="S15" s="51"/>
      <c r="T15" s="51"/>
    </row>
    <row r="16">
      <c r="A16" s="51" t="str">
        <f>IFERROR(__xludf.DUMMYFUNCTION("""COMPUTED_VALUE"""),"Combating the weaponization of data")</f>
        <v>Combating the weaponization of data</v>
      </c>
      <c r="B16" s="51" t="str">
        <f>IFERROR(__xludf.DUMMYFUNCTION("""COMPUTED_VALUE"""),"DeepTech")</f>
        <v>DeepTech</v>
      </c>
      <c r="C16" s="56" t="str">
        <f>IFERROR(__xludf.DUMMYFUNCTION("""COMPUTED_VALUE"""),"Brittany Kaiser and Mark Di Stefano")</f>
        <v>Brittany Kaiser and Mark Di Stefano</v>
      </c>
      <c r="D16" s="51" t="str">
        <f>IFERROR(__xludf.DUMMYFUNCTION("""COMPUTED_VALUE"""),"2019/11/06 15:15:00")</f>
        <v>2019/11/06 15:15:00</v>
      </c>
      <c r="E16" s="51" t="str">
        <f>IFERROR(__xludf.DUMMYFUNCTION("""COMPUTED_VALUE"""),"2019/11/06 15:35:00")</f>
        <v>2019/11/06 15:35:00</v>
      </c>
      <c r="F16" s="51" t="str">
        <f>IFERROR(__xludf.DUMMYFUNCTION("""COMPUTED_VALUE"""),"0fb8a55b-7f8f-45a2-91ef-d82a226dcad6")</f>
        <v>0fb8a55b-7f8f-45a2-91ef-d82a226dcad6</v>
      </c>
      <c r="G16" s="58">
        <f>IFERROR(__xludf.DUMMYFUNCTION("""COMPUTED_VALUE"""),43775.0)</f>
        <v>43775</v>
      </c>
      <c r="H16" s="60">
        <f>IFERROR(__xludf.DUMMYFUNCTION("""COMPUTED_VALUE"""),0.6354166666666666)</f>
        <v>0.6354166667</v>
      </c>
      <c r="I16" s="58">
        <f>IFERROR(__xludf.DUMMYFUNCTION("""COMPUTED_VALUE"""),43775.0)</f>
        <v>43775</v>
      </c>
      <c r="J16" s="60">
        <f>IFERROR(__xludf.DUMMYFUNCTION("""COMPUTED_VALUE"""),0.6493055555555556)</f>
        <v>0.6493055556</v>
      </c>
      <c r="K16" s="60">
        <f t="shared" si="1"/>
        <v>0.01388888889</v>
      </c>
      <c r="L16" s="51" t="s">
        <v>111</v>
      </c>
      <c r="M16" s="62" t="s">
        <v>560</v>
      </c>
      <c r="N16" s="62" t="str">
        <f t="shared" si="2"/>
        <v>DT_6_14_0fb8a55b-7f8f-45a2-91ef-d82a226dcad6_000000_000000.mp4</v>
      </c>
      <c r="O16" s="50"/>
      <c r="P16" s="50"/>
      <c r="Q16" s="63"/>
      <c r="R16" s="51"/>
      <c r="S16" s="51"/>
      <c r="T16" s="51"/>
    </row>
    <row r="17">
      <c r="A17" s="51" t="str">
        <f>IFERROR(__xludf.DUMMYFUNCTION("""COMPUTED_VALUE"""),"What will the first human martians look like?")</f>
        <v>What will the first human martians look like?</v>
      </c>
      <c r="B17" s="51" t="str">
        <f>IFERROR(__xludf.DUMMYFUNCTION("""COMPUTED_VALUE"""),"DeepTech")</f>
        <v>DeepTech</v>
      </c>
      <c r="C17" s="56" t="str">
        <f>IFERROR(__xludf.DUMMYFUNCTION("""COMPUTED_VALUE"""),"Scott Solomon")</f>
        <v>Scott Solomon</v>
      </c>
      <c r="D17" s="51" t="str">
        <f>IFERROR(__xludf.DUMMYFUNCTION("""COMPUTED_VALUE"""),"2019/11/06 15:35:00")</f>
        <v>2019/11/06 15:35:00</v>
      </c>
      <c r="E17" s="51" t="str">
        <f>IFERROR(__xludf.DUMMYFUNCTION("""COMPUTED_VALUE"""),"2019/11/06 15:55:00")</f>
        <v>2019/11/06 15:55:00</v>
      </c>
      <c r="F17" s="51" t="str">
        <f>IFERROR(__xludf.DUMMYFUNCTION("""COMPUTED_VALUE"""),"b834088e-e41d-4ee5-8b35-5691609ff728")</f>
        <v>b834088e-e41d-4ee5-8b35-5691609ff728</v>
      </c>
      <c r="G17" s="58">
        <f>IFERROR(__xludf.DUMMYFUNCTION("""COMPUTED_VALUE"""),43775.0)</f>
        <v>43775</v>
      </c>
      <c r="H17" s="60">
        <f>IFERROR(__xludf.DUMMYFUNCTION("""COMPUTED_VALUE"""),0.6493055555555556)</f>
        <v>0.6493055556</v>
      </c>
      <c r="I17" s="58">
        <f>IFERROR(__xludf.DUMMYFUNCTION("""COMPUTED_VALUE"""),43775.0)</f>
        <v>43775</v>
      </c>
      <c r="J17" s="60">
        <f>IFERROR(__xludf.DUMMYFUNCTION("""COMPUTED_VALUE"""),0.6631944444444444)</f>
        <v>0.6631944444</v>
      </c>
      <c r="K17" s="60">
        <f t="shared" si="1"/>
        <v>0.01388888889</v>
      </c>
      <c r="L17" s="51" t="s">
        <v>111</v>
      </c>
      <c r="M17" s="62" t="s">
        <v>561</v>
      </c>
      <c r="N17" s="62" t="str">
        <f t="shared" si="2"/>
        <v>DT_6_15_b834088e-e41d-4ee5-8b35-5691609ff728_000000_000000.mp4</v>
      </c>
      <c r="O17" s="50"/>
      <c r="P17" s="50"/>
      <c r="Q17" s="63"/>
      <c r="R17" s="51"/>
      <c r="S17" s="51"/>
      <c r="T17" s="51"/>
    </row>
    <row r="18">
      <c r="A18" s="51" t="str">
        <f>IFERROR(__xludf.DUMMYFUNCTION("""COMPUTED_VALUE"""),"Where will we be in 2050?")</f>
        <v>Where will we be in 2050?</v>
      </c>
      <c r="B18" s="51" t="str">
        <f>IFERROR(__xludf.DUMMYFUNCTION("""COMPUTED_VALUE"""),"DeepTech")</f>
        <v>DeepTech</v>
      </c>
      <c r="C18" s="56" t="str">
        <f>IFERROR(__xludf.DUMMYFUNCTION("""COMPUTED_VALUE"""),"Alex Wright-Gladstein, Marc Mengler, Mitchell Baker, Peter O'Malley and Robin Pagnamenta")</f>
        <v>Alex Wright-Gladstein, Marc Mengler, Mitchell Baker, Peter O'Malley and Robin Pagnamenta</v>
      </c>
      <c r="D18" s="51" t="str">
        <f>IFERROR(__xludf.DUMMYFUNCTION("""COMPUTED_VALUE"""),"2019/11/06 15:55:00")</f>
        <v>2019/11/06 15:55:00</v>
      </c>
      <c r="E18" s="51" t="str">
        <f>IFERROR(__xludf.DUMMYFUNCTION("""COMPUTED_VALUE"""),"2019/11/06 16:20:00")</f>
        <v>2019/11/06 16:20:00</v>
      </c>
      <c r="F18" s="51" t="str">
        <f>IFERROR(__xludf.DUMMYFUNCTION("""COMPUTED_VALUE"""),"892f1ab6-eb0b-4dc6-81b7-c3abc9d9eba2")</f>
        <v>892f1ab6-eb0b-4dc6-81b7-c3abc9d9eba2</v>
      </c>
      <c r="G18" s="58">
        <f>IFERROR(__xludf.DUMMYFUNCTION("""COMPUTED_VALUE"""),43775.0)</f>
        <v>43775</v>
      </c>
      <c r="H18" s="60">
        <f>IFERROR(__xludf.DUMMYFUNCTION("""COMPUTED_VALUE"""),0.6631944444444444)</f>
        <v>0.6631944444</v>
      </c>
      <c r="I18" s="58">
        <f>IFERROR(__xludf.DUMMYFUNCTION("""COMPUTED_VALUE"""),43775.0)</f>
        <v>43775</v>
      </c>
      <c r="J18" s="60">
        <f>IFERROR(__xludf.DUMMYFUNCTION("""COMPUTED_VALUE"""),0.6805555555555556)</f>
        <v>0.6805555556</v>
      </c>
      <c r="K18" s="60">
        <f t="shared" si="1"/>
        <v>0.01736111111</v>
      </c>
      <c r="L18" s="51" t="s">
        <v>107</v>
      </c>
      <c r="M18" s="62" t="s">
        <v>562</v>
      </c>
      <c r="N18" s="62" t="str">
        <f t="shared" si="2"/>
        <v>DT_6_16_892f1ab6-eb0b-4dc6-81b7-c3abc9d9eba2_000000_000000.mp4</v>
      </c>
      <c r="O18" s="50"/>
      <c r="P18" s="50"/>
      <c r="Q18" s="63"/>
      <c r="R18" s="51"/>
      <c r="S18" s="51"/>
      <c r="T18" s="51"/>
    </row>
    <row r="19">
      <c r="A19" s="51" t="str">
        <f>IFERROR(__xludf.DUMMYFUNCTION("""COMPUTED_VALUE"""),"Extraterrestrial entrepreneurs: Doing business in the new space market")</f>
        <v>Extraterrestrial entrepreneurs: Doing business in the new space market</v>
      </c>
      <c r="B19" s="51" t="str">
        <f>IFERROR(__xludf.DUMMYFUNCTION("""COMPUTED_VALUE"""),"DeepTech")</f>
        <v>DeepTech</v>
      </c>
      <c r="C19" s="56" t="str">
        <f>IFERROR(__xludf.DUMMYFUNCTION("""COMPUTED_VALUE"""),"Alan Boehme and Chantelle Baier")</f>
        <v>Alan Boehme and Chantelle Baier</v>
      </c>
      <c r="D19" s="51" t="str">
        <f>IFERROR(__xludf.DUMMYFUNCTION("""COMPUTED_VALUE"""),"2019/11/06 16:20:00")</f>
        <v>2019/11/06 16:20:00</v>
      </c>
      <c r="E19" s="51" t="str">
        <f>IFERROR(__xludf.DUMMYFUNCTION("""COMPUTED_VALUE"""),"2019/11/06 16:40:00")</f>
        <v>2019/11/06 16:40:00</v>
      </c>
      <c r="F19" s="51" t="str">
        <f>IFERROR(__xludf.DUMMYFUNCTION("""COMPUTED_VALUE"""),"102a2943-0682-4789-8944-33e68885e9c9")</f>
        <v>102a2943-0682-4789-8944-33e68885e9c9</v>
      </c>
      <c r="G19" s="58">
        <f>IFERROR(__xludf.DUMMYFUNCTION("""COMPUTED_VALUE"""),43775.0)</f>
        <v>43775</v>
      </c>
      <c r="H19" s="60">
        <f>IFERROR(__xludf.DUMMYFUNCTION("""COMPUTED_VALUE"""),0.6805555555555556)</f>
        <v>0.6805555556</v>
      </c>
      <c r="I19" s="58">
        <f>IFERROR(__xludf.DUMMYFUNCTION("""COMPUTED_VALUE"""),43775.0)</f>
        <v>43775</v>
      </c>
      <c r="J19" s="60">
        <f>IFERROR(__xludf.DUMMYFUNCTION("""COMPUTED_VALUE"""),0.6944444444444444)</f>
        <v>0.6944444444</v>
      </c>
      <c r="K19" s="60">
        <f t="shared" si="1"/>
        <v>0.01388888889</v>
      </c>
      <c r="L19" s="51" t="s">
        <v>111</v>
      </c>
      <c r="M19" s="62" t="s">
        <v>563</v>
      </c>
      <c r="N19" s="62" t="str">
        <f t="shared" si="2"/>
        <v>DT_6_17_102a2943-0682-4789-8944-33e68885e9c9_000000_000000.mp4</v>
      </c>
      <c r="O19" s="50"/>
      <c r="P19" s="50"/>
      <c r="Q19" s="63"/>
      <c r="R19" s="51"/>
      <c r="S19" s="51"/>
      <c r="T19" s="51"/>
    </row>
    <row r="20">
      <c r="A20" s="51"/>
      <c r="B20" s="51"/>
      <c r="C20" s="56"/>
      <c r="D20" s="51"/>
      <c r="E20" s="51"/>
      <c r="F20" s="51"/>
      <c r="G20" s="51" t="str">
        <f>IFERROR(__xludf.DUMMYFUNCTION("""COMPUTED_VALUE"""),"#VALUE!")</f>
        <v>#VALUE!</v>
      </c>
      <c r="H20" s="51" t="str">
        <f>IFERROR(__xludf.DUMMYFUNCTION("""COMPUTED_VALUE"""),"")</f>
        <v/>
      </c>
      <c r="I20" s="51" t="str">
        <f>IFERROR(__xludf.DUMMYFUNCTION("""COMPUTED_VALUE"""),"#VALUE!")</f>
        <v>#VALUE!</v>
      </c>
      <c r="J20" s="51" t="str">
        <f>IFERROR(__xludf.DUMMYFUNCTION("""COMPUTED_VALUE"""),"")</f>
        <v/>
      </c>
      <c r="K20" s="51">
        <f t="shared" si="1"/>
        <v>0</v>
      </c>
      <c r="L20" s="51" t="s">
        <v>257</v>
      </c>
      <c r="M20" s="51"/>
      <c r="N20" s="51"/>
      <c r="O20" s="51"/>
      <c r="P20" s="51"/>
      <c r="Q20" s="51"/>
      <c r="R20" s="51"/>
      <c r="S20" s="51"/>
      <c r="T20" s="51"/>
    </row>
    <row r="21">
      <c r="A21" s="51"/>
      <c r="B21" s="51"/>
      <c r="C21" s="56"/>
      <c r="D21" s="51"/>
      <c r="E21" s="51"/>
      <c r="F21" s="51"/>
      <c r="G21" s="51" t="str">
        <f>IFERROR(__xludf.DUMMYFUNCTION("""COMPUTED_VALUE"""),"#VALUE!")</f>
        <v>#VALUE!</v>
      </c>
      <c r="H21" s="51" t="str">
        <f>IFERROR(__xludf.DUMMYFUNCTION("""COMPUTED_VALUE"""),"")</f>
        <v/>
      </c>
      <c r="I21" s="51" t="str">
        <f>IFERROR(__xludf.DUMMYFUNCTION("""COMPUTED_VALUE"""),"#VALUE!")</f>
        <v>#VALUE!</v>
      </c>
      <c r="J21" s="51" t="str">
        <f>IFERROR(__xludf.DUMMYFUNCTION("""COMPUTED_VALUE"""),"")</f>
        <v/>
      </c>
      <c r="K21" s="51">
        <f t="shared" si="1"/>
        <v>0</v>
      </c>
      <c r="L21" s="51" t="s">
        <v>257</v>
      </c>
      <c r="M21" s="51"/>
      <c r="N21" s="51"/>
      <c r="O21" s="51"/>
      <c r="P21" s="51"/>
      <c r="Q21" s="51"/>
      <c r="R21" s="51"/>
      <c r="S21" s="51"/>
      <c r="T21" s="51"/>
    </row>
    <row r="22">
      <c r="A22" s="51"/>
      <c r="B22" s="51"/>
      <c r="C22" s="56"/>
      <c r="D22" s="51"/>
      <c r="E22" s="51"/>
      <c r="F22" s="51"/>
      <c r="G22" s="51" t="str">
        <f>IFERROR(__xludf.DUMMYFUNCTION("""COMPUTED_VALUE"""),"#VALUE!")</f>
        <v>#VALUE!</v>
      </c>
      <c r="H22" s="51" t="str">
        <f>IFERROR(__xludf.DUMMYFUNCTION("""COMPUTED_VALUE"""),"")</f>
        <v/>
      </c>
      <c r="I22" s="51" t="str">
        <f>IFERROR(__xludf.DUMMYFUNCTION("""COMPUTED_VALUE"""),"#VALUE!")</f>
        <v>#VALUE!</v>
      </c>
      <c r="J22" s="51" t="str">
        <f>IFERROR(__xludf.DUMMYFUNCTION("""COMPUTED_VALUE"""),"")</f>
        <v/>
      </c>
      <c r="K22" s="51">
        <f t="shared" si="1"/>
        <v>0</v>
      </c>
      <c r="L22" s="51" t="s">
        <v>257</v>
      </c>
      <c r="M22" s="51"/>
      <c r="N22" s="51"/>
      <c r="O22" s="51"/>
      <c r="P22" s="51"/>
      <c r="Q22" s="51"/>
      <c r="R22" s="51"/>
      <c r="S22" s="51"/>
      <c r="T22" s="51"/>
    </row>
    <row r="23">
      <c r="A23" s="51"/>
      <c r="B23" s="51"/>
      <c r="C23" s="56"/>
      <c r="D23" s="51"/>
      <c r="E23" s="51"/>
      <c r="F23" s="51"/>
      <c r="G23" s="51" t="str">
        <f>IFERROR(__xludf.DUMMYFUNCTION("""COMPUTED_VALUE"""),"#VALUE!")</f>
        <v>#VALUE!</v>
      </c>
      <c r="H23" s="51" t="str">
        <f>IFERROR(__xludf.DUMMYFUNCTION("""COMPUTED_VALUE"""),"")</f>
        <v/>
      </c>
      <c r="I23" s="51" t="str">
        <f>IFERROR(__xludf.DUMMYFUNCTION("""COMPUTED_VALUE"""),"#VALUE!")</f>
        <v>#VALUE!</v>
      </c>
      <c r="J23" s="51" t="str">
        <f>IFERROR(__xludf.DUMMYFUNCTION("""COMPUTED_VALUE"""),"")</f>
        <v/>
      </c>
      <c r="K23" s="51">
        <f t="shared" si="1"/>
        <v>0</v>
      </c>
      <c r="L23" s="51" t="s">
        <v>257</v>
      </c>
      <c r="M23" s="51"/>
      <c r="N23" s="51"/>
      <c r="O23" s="51"/>
      <c r="P23" s="51"/>
      <c r="Q23" s="51"/>
      <c r="R23" s="51"/>
      <c r="S23" s="51"/>
      <c r="T23" s="51"/>
    </row>
    <row r="24">
      <c r="A24" s="51"/>
      <c r="B24" s="51"/>
      <c r="C24" s="56"/>
      <c r="D24" s="51"/>
      <c r="E24" s="51"/>
      <c r="F24" s="51"/>
      <c r="G24" s="51" t="str">
        <f>IFERROR(__xludf.DUMMYFUNCTION("""COMPUTED_VALUE"""),"#VALUE!")</f>
        <v>#VALUE!</v>
      </c>
      <c r="H24" s="51" t="str">
        <f>IFERROR(__xludf.DUMMYFUNCTION("""COMPUTED_VALUE"""),"")</f>
        <v/>
      </c>
      <c r="I24" s="51" t="str">
        <f>IFERROR(__xludf.DUMMYFUNCTION("""COMPUTED_VALUE"""),"#VALUE!")</f>
        <v>#VALUE!</v>
      </c>
      <c r="J24" s="51" t="str">
        <f>IFERROR(__xludf.DUMMYFUNCTION("""COMPUTED_VALUE"""),"")</f>
        <v/>
      </c>
      <c r="K24" s="51"/>
      <c r="L24" s="51" t="s">
        <v>257</v>
      </c>
      <c r="M24" s="51"/>
      <c r="N24" s="51"/>
      <c r="O24" s="51"/>
      <c r="P24" s="51"/>
      <c r="Q24" s="51"/>
      <c r="R24" s="51"/>
      <c r="S24" s="51"/>
      <c r="T24" s="51"/>
    </row>
    <row r="25">
      <c r="A25" s="51"/>
      <c r="B25" s="51"/>
      <c r="C25" s="56"/>
      <c r="D25" s="51"/>
      <c r="E25" s="51"/>
      <c r="F25" s="51"/>
      <c r="G25" s="51" t="str">
        <f>IFERROR(__xludf.DUMMYFUNCTION("""COMPUTED_VALUE"""),"#VALUE!")</f>
        <v>#VALUE!</v>
      </c>
      <c r="H25" s="51" t="str">
        <f>IFERROR(__xludf.DUMMYFUNCTION("""COMPUTED_VALUE"""),"")</f>
        <v/>
      </c>
      <c r="I25" s="51" t="str">
        <f>IFERROR(__xludf.DUMMYFUNCTION("""COMPUTED_VALUE"""),"#VALUE!")</f>
        <v>#VALUE!</v>
      </c>
      <c r="J25" s="51" t="str">
        <f>IFERROR(__xludf.DUMMYFUNCTION("""COMPUTED_VALUE"""),"")</f>
        <v/>
      </c>
      <c r="K25" s="51"/>
      <c r="L25" s="51" t="s">
        <v>257</v>
      </c>
      <c r="M25" s="51"/>
      <c r="N25" s="51"/>
      <c r="O25" s="51"/>
      <c r="P25" s="51"/>
      <c r="Q25" s="51"/>
      <c r="R25" s="51"/>
      <c r="S25" s="51"/>
      <c r="T25" s="51"/>
    </row>
    <row r="26">
      <c r="A26" s="51"/>
      <c r="B26" s="51"/>
      <c r="C26" s="56"/>
      <c r="D26" s="51"/>
      <c r="E26" s="51"/>
      <c r="F26" s="51"/>
      <c r="G26" s="51" t="str">
        <f>IFERROR(__xludf.DUMMYFUNCTION("""COMPUTED_VALUE"""),"#VALUE!")</f>
        <v>#VALUE!</v>
      </c>
      <c r="H26" s="51" t="str">
        <f>IFERROR(__xludf.DUMMYFUNCTION("""COMPUTED_VALUE"""),"")</f>
        <v/>
      </c>
      <c r="I26" s="51" t="str">
        <f>IFERROR(__xludf.DUMMYFUNCTION("""COMPUTED_VALUE"""),"#VALUE!")</f>
        <v>#VALUE!</v>
      </c>
      <c r="J26" s="51" t="str">
        <f>IFERROR(__xludf.DUMMYFUNCTION("""COMPUTED_VALUE"""),"")</f>
        <v/>
      </c>
      <c r="K26" s="51"/>
      <c r="L26" s="51" t="s">
        <v>257</v>
      </c>
      <c r="M26" s="51"/>
      <c r="N26" s="51"/>
      <c r="O26" s="51"/>
      <c r="P26" s="51"/>
      <c r="Q26" s="51"/>
      <c r="R26" s="51"/>
      <c r="S26" s="51"/>
      <c r="T26" s="51"/>
    </row>
    <row r="27">
      <c r="A27" s="51"/>
      <c r="B27" s="51"/>
      <c r="C27" s="56"/>
      <c r="D27" s="51"/>
      <c r="E27" s="51"/>
      <c r="F27" s="51"/>
      <c r="G27" s="51" t="str">
        <f>IFERROR(__xludf.DUMMYFUNCTION("""COMPUTED_VALUE"""),"#VALUE!")</f>
        <v>#VALUE!</v>
      </c>
      <c r="H27" s="51" t="str">
        <f>IFERROR(__xludf.DUMMYFUNCTION("""COMPUTED_VALUE"""),"")</f>
        <v/>
      </c>
      <c r="I27" s="51" t="str">
        <f>IFERROR(__xludf.DUMMYFUNCTION("""COMPUTED_VALUE"""),"#VALUE!")</f>
        <v>#VALUE!</v>
      </c>
      <c r="J27" s="51" t="str">
        <f>IFERROR(__xludf.DUMMYFUNCTION("""COMPUTED_VALUE"""),"")</f>
        <v/>
      </c>
      <c r="K27" s="51"/>
      <c r="L27" s="51" t="s">
        <v>257</v>
      </c>
      <c r="M27" s="51"/>
      <c r="N27" s="51"/>
      <c r="O27" s="51"/>
      <c r="P27" s="51"/>
      <c r="Q27" s="51"/>
      <c r="R27" s="51"/>
      <c r="S27" s="51"/>
      <c r="T27" s="51"/>
    </row>
    <row r="28">
      <c r="A28" s="51"/>
      <c r="B28" s="51"/>
      <c r="C28" s="56"/>
      <c r="D28" s="51"/>
      <c r="E28" s="51"/>
      <c r="F28" s="51"/>
      <c r="G28" s="51" t="str">
        <f>IFERROR(__xludf.DUMMYFUNCTION("""COMPUTED_VALUE"""),"#VALUE!")</f>
        <v>#VALUE!</v>
      </c>
      <c r="H28" s="51" t="str">
        <f>IFERROR(__xludf.DUMMYFUNCTION("""COMPUTED_VALUE"""),"")</f>
        <v/>
      </c>
      <c r="I28" s="51" t="str">
        <f>IFERROR(__xludf.DUMMYFUNCTION("""COMPUTED_VALUE"""),"#VALUE!")</f>
        <v>#VALUE!</v>
      </c>
      <c r="J28" s="51" t="str">
        <f>IFERROR(__xludf.DUMMYFUNCTION("""COMPUTED_VALUE"""),"")</f>
        <v/>
      </c>
      <c r="K28" s="51"/>
      <c r="L28" s="51" t="s">
        <v>257</v>
      </c>
      <c r="M28" s="51"/>
      <c r="N28" s="51"/>
      <c r="O28" s="51"/>
      <c r="P28" s="51"/>
      <c r="Q28" s="51"/>
      <c r="R28" s="51"/>
      <c r="S28" s="51"/>
      <c r="T28" s="51"/>
    </row>
    <row r="29">
      <c r="A29" s="51"/>
      <c r="B29" s="51"/>
      <c r="C29" s="56"/>
      <c r="D29" s="51"/>
      <c r="E29" s="51"/>
      <c r="F29" s="51"/>
      <c r="G29" s="51" t="str">
        <f>IFERROR(__xludf.DUMMYFUNCTION("""COMPUTED_VALUE"""),"#VALUE!")</f>
        <v>#VALUE!</v>
      </c>
      <c r="H29" s="51" t="str">
        <f>IFERROR(__xludf.DUMMYFUNCTION("""COMPUTED_VALUE"""),"")</f>
        <v/>
      </c>
      <c r="I29" s="51" t="str">
        <f>IFERROR(__xludf.DUMMYFUNCTION("""COMPUTED_VALUE"""),"#VALUE!")</f>
        <v>#VALUE!</v>
      </c>
      <c r="J29" s="51" t="str">
        <f>IFERROR(__xludf.DUMMYFUNCTION("""COMPUTED_VALUE"""),"")</f>
        <v/>
      </c>
      <c r="K29" s="51"/>
      <c r="L29" s="51" t="s">
        <v>257</v>
      </c>
      <c r="M29" s="51"/>
      <c r="N29" s="51"/>
      <c r="O29" s="51"/>
      <c r="P29" s="51"/>
      <c r="Q29" s="51"/>
      <c r="R29" s="51"/>
      <c r="S29" s="51"/>
      <c r="T29" s="51"/>
    </row>
    <row r="30">
      <c r="A30" s="51"/>
      <c r="B30" s="51"/>
      <c r="C30" s="56"/>
      <c r="D30" s="51"/>
      <c r="E30" s="51"/>
      <c r="F30" s="51"/>
      <c r="G30" s="51" t="str">
        <f>IFERROR(__xludf.DUMMYFUNCTION("""COMPUTED_VALUE"""),"#VALUE!")</f>
        <v>#VALUE!</v>
      </c>
      <c r="H30" s="51" t="str">
        <f>IFERROR(__xludf.DUMMYFUNCTION("""COMPUTED_VALUE"""),"")</f>
        <v/>
      </c>
      <c r="I30" s="51" t="str">
        <f>IFERROR(__xludf.DUMMYFUNCTION("""COMPUTED_VALUE"""),"#VALUE!")</f>
        <v>#VALUE!</v>
      </c>
      <c r="J30" s="51" t="str">
        <f>IFERROR(__xludf.DUMMYFUNCTION("""COMPUTED_VALUE"""),"")</f>
        <v/>
      </c>
      <c r="K30" s="51"/>
      <c r="L30" s="51" t="s">
        <v>257</v>
      </c>
      <c r="M30" s="51"/>
      <c r="N30" s="51"/>
      <c r="O30" s="51"/>
      <c r="P30" s="51"/>
      <c r="Q30" s="51"/>
      <c r="R30" s="51"/>
      <c r="S30" s="51"/>
      <c r="T30" s="51"/>
    </row>
    <row r="31">
      <c r="A31" s="51"/>
      <c r="B31" s="51"/>
      <c r="C31" s="56"/>
      <c r="D31" s="51"/>
      <c r="E31" s="51"/>
      <c r="F31" s="51"/>
      <c r="G31" s="51" t="str">
        <f>IFERROR(__xludf.DUMMYFUNCTION("""COMPUTED_VALUE"""),"#VALUE!")</f>
        <v>#VALUE!</v>
      </c>
      <c r="H31" s="51" t="str">
        <f>IFERROR(__xludf.DUMMYFUNCTION("""COMPUTED_VALUE"""),"")</f>
        <v/>
      </c>
      <c r="I31" s="51" t="str">
        <f>IFERROR(__xludf.DUMMYFUNCTION("""COMPUTED_VALUE"""),"#VALUE!")</f>
        <v>#VALUE!</v>
      </c>
      <c r="J31" s="51" t="str">
        <f>IFERROR(__xludf.DUMMYFUNCTION("""COMPUTED_VALUE"""),"")</f>
        <v/>
      </c>
      <c r="K31" s="51"/>
      <c r="L31" s="51" t="s">
        <v>257</v>
      </c>
      <c r="M31" s="51"/>
      <c r="N31" s="51"/>
      <c r="O31" s="51"/>
      <c r="P31" s="51"/>
      <c r="Q31" s="51"/>
      <c r="R31" s="51"/>
      <c r="S31" s="51"/>
      <c r="T31" s="51"/>
    </row>
    <row r="32">
      <c r="A32" s="51"/>
      <c r="B32" s="51"/>
      <c r="C32" s="56"/>
      <c r="D32" s="51"/>
      <c r="E32" s="51"/>
      <c r="F32" s="51"/>
      <c r="G32" s="51" t="str">
        <f>IFERROR(__xludf.DUMMYFUNCTION("""COMPUTED_VALUE"""),"#VALUE!")</f>
        <v>#VALUE!</v>
      </c>
      <c r="H32" s="51" t="str">
        <f>IFERROR(__xludf.DUMMYFUNCTION("""COMPUTED_VALUE"""),"")</f>
        <v/>
      </c>
      <c r="I32" s="51" t="str">
        <f>IFERROR(__xludf.DUMMYFUNCTION("""COMPUTED_VALUE"""),"#VALUE!")</f>
        <v>#VALUE!</v>
      </c>
      <c r="J32" s="51" t="str">
        <f>IFERROR(__xludf.DUMMYFUNCTION("""COMPUTED_VALUE"""),"")</f>
        <v/>
      </c>
      <c r="K32" s="51"/>
      <c r="L32" s="51" t="s">
        <v>257</v>
      </c>
      <c r="M32" s="51"/>
      <c r="N32" s="51"/>
      <c r="O32" s="51"/>
      <c r="P32" s="51"/>
      <c r="Q32" s="51"/>
      <c r="R32" s="51"/>
      <c r="S32" s="51"/>
      <c r="T32" s="51"/>
    </row>
    <row r="33">
      <c r="A33" s="51"/>
      <c r="B33" s="51"/>
      <c r="C33" s="56"/>
      <c r="D33" s="51"/>
      <c r="E33" s="51"/>
      <c r="F33" s="51"/>
      <c r="G33" s="51" t="str">
        <f>IFERROR(__xludf.DUMMYFUNCTION("""COMPUTED_VALUE"""),"#VALUE!")</f>
        <v>#VALUE!</v>
      </c>
      <c r="H33" s="51" t="str">
        <f>IFERROR(__xludf.DUMMYFUNCTION("""COMPUTED_VALUE"""),"")</f>
        <v/>
      </c>
      <c r="I33" s="51" t="str">
        <f>IFERROR(__xludf.DUMMYFUNCTION("""COMPUTED_VALUE"""),"#VALUE!")</f>
        <v>#VALUE!</v>
      </c>
      <c r="J33" s="51" t="str">
        <f>IFERROR(__xludf.DUMMYFUNCTION("""COMPUTED_VALUE"""),"")</f>
        <v/>
      </c>
      <c r="K33" s="51"/>
      <c r="L33" s="51" t="s">
        <v>257</v>
      </c>
      <c r="M33" s="51"/>
      <c r="N33" s="51"/>
      <c r="O33" s="51"/>
      <c r="P33" s="51"/>
      <c r="Q33" s="51"/>
      <c r="R33" s="51"/>
      <c r="S33" s="51"/>
      <c r="T33" s="51"/>
    </row>
    <row r="34">
      <c r="A34" s="51"/>
      <c r="B34" s="51"/>
      <c r="C34" s="56"/>
      <c r="D34" s="51"/>
      <c r="E34" s="51"/>
      <c r="F34" s="51"/>
      <c r="G34" s="51" t="str">
        <f>IFERROR(__xludf.DUMMYFUNCTION("""COMPUTED_VALUE"""),"#VALUE!")</f>
        <v>#VALUE!</v>
      </c>
      <c r="H34" s="51" t="str">
        <f>IFERROR(__xludf.DUMMYFUNCTION("""COMPUTED_VALUE"""),"")</f>
        <v/>
      </c>
      <c r="I34" s="51" t="str">
        <f>IFERROR(__xludf.DUMMYFUNCTION("""COMPUTED_VALUE"""),"#VALUE!")</f>
        <v>#VALUE!</v>
      </c>
      <c r="J34" s="51" t="str">
        <f>IFERROR(__xludf.DUMMYFUNCTION("""COMPUTED_VALUE"""),"")</f>
        <v/>
      </c>
      <c r="K34" s="51"/>
      <c r="L34" s="51" t="s">
        <v>257</v>
      </c>
      <c r="M34" s="51"/>
      <c r="N34" s="51"/>
      <c r="O34" s="51"/>
      <c r="P34" s="51"/>
      <c r="Q34" s="51"/>
      <c r="R34" s="51"/>
      <c r="S34" s="51"/>
      <c r="T34" s="51"/>
    </row>
    <row r="35">
      <c r="A35" s="51"/>
      <c r="B35" s="51"/>
      <c r="C35" s="56"/>
      <c r="D35" s="51"/>
      <c r="E35" s="51"/>
      <c r="F35" s="51"/>
      <c r="G35" s="51" t="str">
        <f>IFERROR(__xludf.DUMMYFUNCTION("""COMPUTED_VALUE"""),"#VALUE!")</f>
        <v>#VALUE!</v>
      </c>
      <c r="H35" s="51" t="str">
        <f>IFERROR(__xludf.DUMMYFUNCTION("""COMPUTED_VALUE"""),"")</f>
        <v/>
      </c>
      <c r="I35" s="51" t="str">
        <f>IFERROR(__xludf.DUMMYFUNCTION("""COMPUTED_VALUE"""),"#VALUE!")</f>
        <v>#VALUE!</v>
      </c>
      <c r="J35" s="51" t="str">
        <f>IFERROR(__xludf.DUMMYFUNCTION("""COMPUTED_VALUE"""),"")</f>
        <v/>
      </c>
      <c r="K35" s="51"/>
      <c r="L35" s="51" t="s">
        <v>257</v>
      </c>
      <c r="M35" s="51"/>
      <c r="N35" s="51"/>
      <c r="O35" s="51"/>
      <c r="P35" s="51"/>
      <c r="Q35" s="51"/>
      <c r="R35" s="51"/>
      <c r="S35" s="51"/>
      <c r="T35" s="51"/>
    </row>
    <row r="36">
      <c r="A36" s="51"/>
      <c r="B36" s="51"/>
      <c r="C36" s="56"/>
      <c r="D36" s="51"/>
      <c r="E36" s="51"/>
      <c r="F36" s="51"/>
      <c r="G36" s="51" t="str">
        <f>IFERROR(__xludf.DUMMYFUNCTION("""COMPUTED_VALUE"""),"#VALUE!")</f>
        <v>#VALUE!</v>
      </c>
      <c r="H36" s="51" t="str">
        <f>IFERROR(__xludf.DUMMYFUNCTION("""COMPUTED_VALUE"""),"")</f>
        <v/>
      </c>
      <c r="I36" s="51" t="str">
        <f>IFERROR(__xludf.DUMMYFUNCTION("""COMPUTED_VALUE"""),"#VALUE!")</f>
        <v>#VALUE!</v>
      </c>
      <c r="J36" s="51" t="str">
        <f>IFERROR(__xludf.DUMMYFUNCTION("""COMPUTED_VALUE"""),"")</f>
        <v/>
      </c>
      <c r="K36" s="51"/>
      <c r="L36" s="51" t="s">
        <v>257</v>
      </c>
      <c r="M36" s="51"/>
      <c r="N36" s="51"/>
      <c r="O36" s="51"/>
      <c r="P36" s="51"/>
      <c r="Q36" s="51"/>
      <c r="R36" s="51"/>
      <c r="S36" s="51"/>
      <c r="T36" s="51"/>
    </row>
    <row r="37">
      <c r="A37" s="51"/>
      <c r="B37" s="51"/>
      <c r="C37" s="56"/>
      <c r="D37" s="51"/>
      <c r="E37" s="51"/>
      <c r="F37" s="51"/>
      <c r="G37" s="51" t="str">
        <f>IFERROR(__xludf.DUMMYFUNCTION("""COMPUTED_VALUE"""),"#VALUE!")</f>
        <v>#VALUE!</v>
      </c>
      <c r="H37" s="51" t="str">
        <f>IFERROR(__xludf.DUMMYFUNCTION("""COMPUTED_VALUE"""),"")</f>
        <v/>
      </c>
      <c r="I37" s="51" t="str">
        <f>IFERROR(__xludf.DUMMYFUNCTION("""COMPUTED_VALUE"""),"#VALUE!")</f>
        <v>#VALUE!</v>
      </c>
      <c r="J37" s="51" t="str">
        <f>IFERROR(__xludf.DUMMYFUNCTION("""COMPUTED_VALUE"""),"")</f>
        <v/>
      </c>
      <c r="K37" s="51"/>
      <c r="L37" s="51" t="s">
        <v>257</v>
      </c>
      <c r="M37" s="51"/>
      <c r="N37" s="51"/>
      <c r="O37" s="51"/>
      <c r="P37" s="51"/>
      <c r="Q37" s="51"/>
      <c r="R37" s="51"/>
      <c r="S37" s="51"/>
      <c r="T37" s="51"/>
    </row>
    <row r="38">
      <c r="A38" s="51"/>
      <c r="B38" s="51"/>
      <c r="C38" s="56"/>
      <c r="D38" s="51"/>
      <c r="E38" s="51"/>
      <c r="F38" s="51"/>
      <c r="G38" s="51" t="str">
        <f>IFERROR(__xludf.DUMMYFUNCTION("""COMPUTED_VALUE"""),"#VALUE!")</f>
        <v>#VALUE!</v>
      </c>
      <c r="H38" s="51" t="str">
        <f>IFERROR(__xludf.DUMMYFUNCTION("""COMPUTED_VALUE"""),"")</f>
        <v/>
      </c>
      <c r="I38" s="51" t="str">
        <f>IFERROR(__xludf.DUMMYFUNCTION("""COMPUTED_VALUE"""),"#VALUE!")</f>
        <v>#VALUE!</v>
      </c>
      <c r="J38" s="51" t="str">
        <f>IFERROR(__xludf.DUMMYFUNCTION("""COMPUTED_VALUE"""),"")</f>
        <v/>
      </c>
      <c r="K38" s="51"/>
      <c r="L38" s="51" t="s">
        <v>257</v>
      </c>
      <c r="M38" s="51"/>
      <c r="N38" s="51"/>
      <c r="O38" s="51"/>
      <c r="P38" s="51"/>
      <c r="Q38" s="51"/>
      <c r="R38" s="51"/>
      <c r="S38" s="51"/>
      <c r="T38" s="51"/>
    </row>
    <row r="39">
      <c r="A39" s="51"/>
      <c r="B39" s="51"/>
      <c r="C39" s="56"/>
      <c r="D39" s="51"/>
      <c r="E39" s="51"/>
      <c r="F39" s="51"/>
      <c r="G39" s="51" t="str">
        <f>IFERROR(__xludf.DUMMYFUNCTION("""COMPUTED_VALUE"""),"#VALUE!")</f>
        <v>#VALUE!</v>
      </c>
      <c r="H39" s="51" t="str">
        <f>IFERROR(__xludf.DUMMYFUNCTION("""COMPUTED_VALUE"""),"")</f>
        <v/>
      </c>
      <c r="I39" s="51" t="str">
        <f>IFERROR(__xludf.DUMMYFUNCTION("""COMPUTED_VALUE"""),"#VALUE!")</f>
        <v>#VALUE!</v>
      </c>
      <c r="J39" s="51" t="str">
        <f>IFERROR(__xludf.DUMMYFUNCTION("""COMPUTED_VALUE"""),"")</f>
        <v/>
      </c>
      <c r="K39" s="51"/>
      <c r="L39" s="51" t="s">
        <v>257</v>
      </c>
      <c r="M39" s="51"/>
      <c r="N39" s="51"/>
      <c r="O39" s="51"/>
      <c r="P39" s="51"/>
      <c r="Q39" s="51"/>
      <c r="R39" s="51"/>
      <c r="S39" s="51"/>
      <c r="T39" s="51"/>
    </row>
    <row r="40">
      <c r="A40" s="51"/>
      <c r="B40" s="51"/>
      <c r="C40" s="56"/>
      <c r="D40" s="51"/>
      <c r="E40" s="51"/>
      <c r="F40" s="51"/>
      <c r="G40" s="51" t="str">
        <f>IFERROR(__xludf.DUMMYFUNCTION("""COMPUTED_VALUE"""),"#VALUE!")</f>
        <v>#VALUE!</v>
      </c>
      <c r="H40" s="51" t="str">
        <f>IFERROR(__xludf.DUMMYFUNCTION("""COMPUTED_VALUE"""),"")</f>
        <v/>
      </c>
      <c r="I40" s="51" t="str">
        <f>IFERROR(__xludf.DUMMYFUNCTION("""COMPUTED_VALUE"""),"#VALUE!")</f>
        <v>#VALUE!</v>
      </c>
      <c r="J40" s="51" t="str">
        <f>IFERROR(__xludf.DUMMYFUNCTION("""COMPUTED_VALUE"""),"")</f>
        <v/>
      </c>
      <c r="K40" s="51"/>
      <c r="L40" s="51" t="s">
        <v>257</v>
      </c>
      <c r="M40" s="51"/>
      <c r="N40" s="51"/>
      <c r="O40" s="51"/>
      <c r="P40" s="51"/>
      <c r="Q40" s="51"/>
      <c r="R40" s="51"/>
      <c r="S40" s="51"/>
      <c r="T40" s="51"/>
    </row>
    <row r="41">
      <c r="A41" s="51"/>
      <c r="B41" s="51"/>
      <c r="C41" s="56"/>
      <c r="D41" s="51"/>
      <c r="E41" s="51"/>
      <c r="F41" s="51"/>
      <c r="G41" s="51" t="str">
        <f>IFERROR(__xludf.DUMMYFUNCTION("""COMPUTED_VALUE"""),"#VALUE!")</f>
        <v>#VALUE!</v>
      </c>
      <c r="H41" s="51" t="str">
        <f>IFERROR(__xludf.DUMMYFUNCTION("""COMPUTED_VALUE"""),"")</f>
        <v/>
      </c>
      <c r="I41" s="51" t="str">
        <f>IFERROR(__xludf.DUMMYFUNCTION("""COMPUTED_VALUE"""),"#VALUE!")</f>
        <v>#VALUE!</v>
      </c>
      <c r="J41" s="51" t="str">
        <f>IFERROR(__xludf.DUMMYFUNCTION("""COMPUTED_VALUE"""),"")</f>
        <v/>
      </c>
      <c r="K41" s="51"/>
      <c r="L41" s="51" t="s">
        <v>257</v>
      </c>
      <c r="M41" s="51"/>
      <c r="N41" s="51"/>
      <c r="O41" s="51"/>
      <c r="P41" s="51"/>
      <c r="Q41" s="51"/>
      <c r="R41" s="51"/>
      <c r="S41" s="51"/>
      <c r="T41" s="51"/>
    </row>
    <row r="42">
      <c r="A42" s="51"/>
      <c r="B42" s="51"/>
      <c r="C42" s="56"/>
      <c r="D42" s="51"/>
      <c r="E42" s="51"/>
      <c r="F42" s="51"/>
      <c r="G42" s="51" t="str">
        <f>IFERROR(__xludf.DUMMYFUNCTION("""COMPUTED_VALUE"""),"#VALUE!")</f>
        <v>#VALUE!</v>
      </c>
      <c r="H42" s="51" t="str">
        <f>IFERROR(__xludf.DUMMYFUNCTION("""COMPUTED_VALUE"""),"")</f>
        <v/>
      </c>
      <c r="I42" s="51" t="str">
        <f>IFERROR(__xludf.DUMMYFUNCTION("""COMPUTED_VALUE"""),"#VALUE!")</f>
        <v>#VALUE!</v>
      </c>
      <c r="J42" s="51" t="str">
        <f>IFERROR(__xludf.DUMMYFUNCTION("""COMPUTED_VALUE"""),"")</f>
        <v/>
      </c>
      <c r="K42" s="51"/>
      <c r="L42" s="51" t="s">
        <v>257</v>
      </c>
      <c r="M42" s="51"/>
      <c r="N42" s="51"/>
      <c r="O42" s="51"/>
      <c r="P42" s="51"/>
      <c r="Q42" s="51"/>
      <c r="R42" s="51"/>
      <c r="S42" s="51"/>
      <c r="T42" s="51"/>
    </row>
    <row r="43">
      <c r="A43" s="51"/>
      <c r="B43" s="51"/>
      <c r="C43" s="56"/>
      <c r="D43" s="51"/>
      <c r="E43" s="51"/>
      <c r="F43" s="51"/>
      <c r="G43" s="51" t="str">
        <f>IFERROR(__xludf.DUMMYFUNCTION("""COMPUTED_VALUE"""),"#VALUE!")</f>
        <v>#VALUE!</v>
      </c>
      <c r="H43" s="51" t="str">
        <f>IFERROR(__xludf.DUMMYFUNCTION("""COMPUTED_VALUE"""),"")</f>
        <v/>
      </c>
      <c r="I43" s="51" t="str">
        <f>IFERROR(__xludf.DUMMYFUNCTION("""COMPUTED_VALUE"""),"#VALUE!")</f>
        <v>#VALUE!</v>
      </c>
      <c r="J43" s="51" t="str">
        <f>IFERROR(__xludf.DUMMYFUNCTION("""COMPUTED_VALUE"""),"")</f>
        <v/>
      </c>
      <c r="K43" s="51"/>
      <c r="L43" s="51" t="s">
        <v>257</v>
      </c>
      <c r="M43" s="51"/>
      <c r="N43" s="51"/>
      <c r="O43" s="51"/>
      <c r="P43" s="51"/>
      <c r="Q43" s="51"/>
      <c r="R43" s="51"/>
      <c r="S43" s="51"/>
      <c r="T43" s="51"/>
    </row>
    <row r="44">
      <c r="A44" s="51"/>
      <c r="B44" s="51"/>
      <c r="C44" s="56"/>
      <c r="D44" s="51"/>
      <c r="E44" s="51"/>
      <c r="F44" s="51"/>
      <c r="G44" s="51" t="str">
        <f>IFERROR(__xludf.DUMMYFUNCTION("""COMPUTED_VALUE"""),"#VALUE!")</f>
        <v>#VALUE!</v>
      </c>
      <c r="H44" s="51" t="str">
        <f>IFERROR(__xludf.DUMMYFUNCTION("""COMPUTED_VALUE"""),"")</f>
        <v/>
      </c>
      <c r="I44" s="51" t="str">
        <f>IFERROR(__xludf.DUMMYFUNCTION("""COMPUTED_VALUE"""),"#VALUE!")</f>
        <v>#VALUE!</v>
      </c>
      <c r="J44" s="51" t="str">
        <f>IFERROR(__xludf.DUMMYFUNCTION("""COMPUTED_VALUE"""),"")</f>
        <v/>
      </c>
      <c r="K44" s="51"/>
      <c r="L44" s="51" t="s">
        <v>257</v>
      </c>
      <c r="M44" s="51"/>
      <c r="N44" s="51"/>
      <c r="O44" s="51"/>
      <c r="P44" s="51"/>
      <c r="Q44" s="51"/>
      <c r="R44" s="51"/>
      <c r="S44" s="51"/>
      <c r="T44" s="51"/>
    </row>
    <row r="45">
      <c r="A45" s="51"/>
      <c r="B45" s="51"/>
      <c r="C45" s="56"/>
      <c r="D45" s="51"/>
      <c r="E45" s="51"/>
      <c r="F45" s="51"/>
      <c r="G45" s="51" t="str">
        <f>IFERROR(__xludf.DUMMYFUNCTION("""COMPUTED_VALUE"""),"#VALUE!")</f>
        <v>#VALUE!</v>
      </c>
      <c r="H45" s="51" t="str">
        <f>IFERROR(__xludf.DUMMYFUNCTION("""COMPUTED_VALUE"""),"")</f>
        <v/>
      </c>
      <c r="I45" s="51" t="str">
        <f>IFERROR(__xludf.DUMMYFUNCTION("""COMPUTED_VALUE"""),"#VALUE!")</f>
        <v>#VALUE!</v>
      </c>
      <c r="J45" s="51" t="str">
        <f>IFERROR(__xludf.DUMMYFUNCTION("""COMPUTED_VALUE"""),"")</f>
        <v/>
      </c>
      <c r="K45" s="51"/>
      <c r="L45" s="51" t="s">
        <v>257</v>
      </c>
      <c r="M45" s="51"/>
      <c r="N45" s="51"/>
      <c r="O45" s="51"/>
      <c r="P45" s="51"/>
      <c r="Q45" s="51"/>
      <c r="R45" s="51"/>
      <c r="S45" s="51"/>
      <c r="T45" s="51"/>
    </row>
    <row r="46">
      <c r="A46" s="51"/>
      <c r="B46" s="51"/>
      <c r="C46" s="56"/>
      <c r="D46" s="51"/>
      <c r="E46" s="51"/>
      <c r="F46" s="51"/>
      <c r="G46" s="51" t="str">
        <f>IFERROR(__xludf.DUMMYFUNCTION("""COMPUTED_VALUE"""),"#VALUE!")</f>
        <v>#VALUE!</v>
      </c>
      <c r="H46" s="51" t="str">
        <f>IFERROR(__xludf.DUMMYFUNCTION("""COMPUTED_VALUE"""),"")</f>
        <v/>
      </c>
      <c r="I46" s="51" t="str">
        <f>IFERROR(__xludf.DUMMYFUNCTION("""COMPUTED_VALUE"""),"#VALUE!")</f>
        <v>#VALUE!</v>
      </c>
      <c r="J46" s="51" t="str">
        <f>IFERROR(__xludf.DUMMYFUNCTION("""COMPUTED_VALUE"""),"")</f>
        <v/>
      </c>
      <c r="K46" s="51"/>
      <c r="L46" s="51" t="s">
        <v>257</v>
      </c>
      <c r="M46" s="51"/>
      <c r="N46" s="51"/>
      <c r="O46" s="51"/>
      <c r="P46" s="51"/>
      <c r="Q46" s="51"/>
      <c r="R46" s="51"/>
      <c r="S46" s="51"/>
      <c r="T46" s="51"/>
    </row>
    <row r="47">
      <c r="A47" s="51"/>
      <c r="B47" s="51"/>
      <c r="C47" s="56"/>
      <c r="D47" s="51"/>
      <c r="E47" s="51"/>
      <c r="F47" s="51"/>
      <c r="G47" s="51" t="str">
        <f>IFERROR(__xludf.DUMMYFUNCTION("""COMPUTED_VALUE"""),"#VALUE!")</f>
        <v>#VALUE!</v>
      </c>
      <c r="H47" s="51" t="str">
        <f>IFERROR(__xludf.DUMMYFUNCTION("""COMPUTED_VALUE"""),"")</f>
        <v/>
      </c>
      <c r="I47" s="51" t="str">
        <f>IFERROR(__xludf.DUMMYFUNCTION("""COMPUTED_VALUE"""),"#VALUE!")</f>
        <v>#VALUE!</v>
      </c>
      <c r="J47" s="51" t="str">
        <f>IFERROR(__xludf.DUMMYFUNCTION("""COMPUTED_VALUE"""),"")</f>
        <v/>
      </c>
      <c r="K47" s="51"/>
      <c r="L47" s="51" t="s">
        <v>257</v>
      </c>
      <c r="M47" s="51"/>
      <c r="N47" s="51"/>
      <c r="O47" s="51"/>
      <c r="P47" s="51"/>
      <c r="Q47" s="51"/>
      <c r="R47" s="51"/>
      <c r="S47" s="51"/>
      <c r="T47" s="51"/>
    </row>
    <row r="48">
      <c r="A48" s="51"/>
      <c r="B48" s="51"/>
      <c r="C48" s="56"/>
      <c r="D48" s="51"/>
      <c r="E48" s="51"/>
      <c r="F48" s="51"/>
      <c r="G48" s="51" t="str">
        <f>IFERROR(__xludf.DUMMYFUNCTION("""COMPUTED_VALUE"""),"#VALUE!")</f>
        <v>#VALUE!</v>
      </c>
      <c r="H48" s="51" t="str">
        <f>IFERROR(__xludf.DUMMYFUNCTION("""COMPUTED_VALUE"""),"")</f>
        <v/>
      </c>
      <c r="I48" s="51" t="str">
        <f>IFERROR(__xludf.DUMMYFUNCTION("""COMPUTED_VALUE"""),"#VALUE!")</f>
        <v>#VALUE!</v>
      </c>
      <c r="J48" s="51" t="str">
        <f>IFERROR(__xludf.DUMMYFUNCTION("""COMPUTED_VALUE"""),"")</f>
        <v/>
      </c>
      <c r="K48" s="51"/>
      <c r="L48" s="51" t="s">
        <v>257</v>
      </c>
      <c r="M48" s="51"/>
      <c r="N48" s="51"/>
      <c r="O48" s="51"/>
      <c r="P48" s="51"/>
      <c r="Q48" s="51"/>
      <c r="R48" s="51"/>
      <c r="S48" s="51"/>
      <c r="T48" s="51"/>
    </row>
    <row r="49">
      <c r="A49" s="51"/>
      <c r="B49" s="51"/>
      <c r="C49" s="56"/>
      <c r="D49" s="51"/>
      <c r="E49" s="51"/>
      <c r="F49" s="51"/>
      <c r="G49" s="51" t="str">
        <f>IFERROR(__xludf.DUMMYFUNCTION("""COMPUTED_VALUE"""),"#VALUE!")</f>
        <v>#VALUE!</v>
      </c>
      <c r="H49" s="51" t="str">
        <f>IFERROR(__xludf.DUMMYFUNCTION("""COMPUTED_VALUE"""),"")</f>
        <v/>
      </c>
      <c r="I49" s="51" t="str">
        <f>IFERROR(__xludf.DUMMYFUNCTION("""COMPUTED_VALUE"""),"#VALUE!")</f>
        <v>#VALUE!</v>
      </c>
      <c r="J49" s="51" t="str">
        <f>IFERROR(__xludf.DUMMYFUNCTION("""COMPUTED_VALUE"""),"")</f>
        <v/>
      </c>
      <c r="K49" s="51"/>
      <c r="L49" s="51" t="s">
        <v>257</v>
      </c>
      <c r="M49" s="51"/>
      <c r="N49" s="51"/>
      <c r="O49" s="51"/>
      <c r="P49" s="51"/>
      <c r="Q49" s="51"/>
      <c r="R49" s="51"/>
      <c r="S49" s="51"/>
      <c r="T49" s="51"/>
    </row>
    <row r="50">
      <c r="A50" s="51"/>
      <c r="B50" s="51"/>
      <c r="C50" s="56"/>
      <c r="D50" s="51"/>
      <c r="E50" s="51"/>
      <c r="F50" s="51"/>
      <c r="G50" s="51" t="str">
        <f>IFERROR(__xludf.DUMMYFUNCTION("""COMPUTED_VALUE"""),"#VALUE!")</f>
        <v>#VALUE!</v>
      </c>
      <c r="H50" s="51" t="str">
        <f>IFERROR(__xludf.DUMMYFUNCTION("""COMPUTED_VALUE"""),"")</f>
        <v/>
      </c>
      <c r="I50" s="51" t="str">
        <f>IFERROR(__xludf.DUMMYFUNCTION("""COMPUTED_VALUE"""),"#VALUE!")</f>
        <v>#VALUE!</v>
      </c>
      <c r="J50" s="51" t="str">
        <f>IFERROR(__xludf.DUMMYFUNCTION("""COMPUTED_VALUE"""),"")</f>
        <v/>
      </c>
      <c r="K50" s="51"/>
      <c r="L50" s="51" t="s">
        <v>257</v>
      </c>
      <c r="M50" s="51"/>
      <c r="N50" s="51"/>
      <c r="O50" s="51"/>
      <c r="P50" s="51"/>
      <c r="Q50" s="51"/>
      <c r="R50" s="51"/>
      <c r="S50" s="51"/>
      <c r="T50" s="51"/>
    </row>
    <row r="51">
      <c r="A51" s="51"/>
      <c r="B51" s="51"/>
      <c r="C51" s="56"/>
      <c r="D51" s="51"/>
      <c r="E51" s="51"/>
      <c r="F51" s="51"/>
      <c r="G51" s="51" t="str">
        <f>IFERROR(__xludf.DUMMYFUNCTION("""COMPUTED_VALUE"""),"#VALUE!")</f>
        <v>#VALUE!</v>
      </c>
      <c r="H51" s="51" t="str">
        <f>IFERROR(__xludf.DUMMYFUNCTION("""COMPUTED_VALUE"""),"")</f>
        <v/>
      </c>
      <c r="I51" s="51" t="str">
        <f>IFERROR(__xludf.DUMMYFUNCTION("""COMPUTED_VALUE"""),"#VALUE!")</f>
        <v>#VALUE!</v>
      </c>
      <c r="J51" s="51" t="str">
        <f>IFERROR(__xludf.DUMMYFUNCTION("""COMPUTED_VALUE"""),"")</f>
        <v/>
      </c>
      <c r="K51" s="51"/>
      <c r="L51" s="51" t="s">
        <v>257</v>
      </c>
      <c r="M51" s="51"/>
      <c r="N51" s="51"/>
      <c r="O51" s="51"/>
      <c r="P51" s="51"/>
      <c r="Q51" s="51"/>
      <c r="R51" s="51"/>
      <c r="S51" s="51"/>
      <c r="T51" s="51"/>
    </row>
    <row r="52">
      <c r="A52" s="51"/>
      <c r="B52" s="51"/>
      <c r="C52" s="56"/>
      <c r="D52" s="51"/>
      <c r="E52" s="51"/>
      <c r="F52" s="51"/>
      <c r="G52" s="51" t="str">
        <f>IFERROR(__xludf.DUMMYFUNCTION("""COMPUTED_VALUE"""),"#VALUE!")</f>
        <v>#VALUE!</v>
      </c>
      <c r="H52" s="51" t="str">
        <f>IFERROR(__xludf.DUMMYFUNCTION("""COMPUTED_VALUE"""),"")</f>
        <v/>
      </c>
      <c r="I52" s="51" t="str">
        <f>IFERROR(__xludf.DUMMYFUNCTION("""COMPUTED_VALUE"""),"#VALUE!")</f>
        <v>#VALUE!</v>
      </c>
      <c r="J52" s="51" t="str">
        <f>IFERROR(__xludf.DUMMYFUNCTION("""COMPUTED_VALUE"""),"")</f>
        <v/>
      </c>
      <c r="K52" s="51"/>
      <c r="L52" s="51" t="s">
        <v>257</v>
      </c>
      <c r="M52" s="51"/>
      <c r="N52" s="51"/>
      <c r="O52" s="51"/>
      <c r="P52" s="51"/>
      <c r="Q52" s="51"/>
      <c r="R52" s="51"/>
      <c r="S52" s="51"/>
      <c r="T52" s="51"/>
    </row>
    <row r="53">
      <c r="A53" s="51"/>
      <c r="B53" s="51"/>
      <c r="C53" s="56"/>
      <c r="D53" s="51"/>
      <c r="E53" s="51"/>
      <c r="F53" s="51"/>
      <c r="G53" s="51" t="str">
        <f>IFERROR(__xludf.DUMMYFUNCTION("""COMPUTED_VALUE"""),"#VALUE!")</f>
        <v>#VALUE!</v>
      </c>
      <c r="H53" s="51" t="str">
        <f>IFERROR(__xludf.DUMMYFUNCTION("""COMPUTED_VALUE"""),"")</f>
        <v/>
      </c>
      <c r="I53" s="51" t="str">
        <f>IFERROR(__xludf.DUMMYFUNCTION("""COMPUTED_VALUE"""),"#VALUE!")</f>
        <v>#VALUE!</v>
      </c>
      <c r="J53" s="51" t="str">
        <f>IFERROR(__xludf.DUMMYFUNCTION("""COMPUTED_VALUE"""),"")</f>
        <v/>
      </c>
      <c r="K53" s="51"/>
      <c r="L53" s="51" t="s">
        <v>257</v>
      </c>
      <c r="M53" s="51"/>
      <c r="N53" s="51"/>
      <c r="O53" s="51"/>
      <c r="P53" s="51"/>
      <c r="Q53" s="51"/>
      <c r="R53" s="51"/>
      <c r="S53" s="51"/>
      <c r="T53" s="51"/>
    </row>
    <row r="54">
      <c r="A54" s="51"/>
      <c r="B54" s="51"/>
      <c r="C54" s="56"/>
      <c r="D54" s="51"/>
      <c r="E54" s="51"/>
      <c r="F54" s="51"/>
      <c r="G54" s="51" t="str">
        <f>IFERROR(__xludf.DUMMYFUNCTION("""COMPUTED_VALUE"""),"#VALUE!")</f>
        <v>#VALUE!</v>
      </c>
      <c r="H54" s="51" t="str">
        <f>IFERROR(__xludf.DUMMYFUNCTION("""COMPUTED_VALUE"""),"")</f>
        <v/>
      </c>
      <c r="I54" s="51" t="str">
        <f>IFERROR(__xludf.DUMMYFUNCTION("""COMPUTED_VALUE"""),"#VALUE!")</f>
        <v>#VALUE!</v>
      </c>
      <c r="J54" s="51" t="str">
        <f>IFERROR(__xludf.DUMMYFUNCTION("""COMPUTED_VALUE"""),"")</f>
        <v/>
      </c>
      <c r="K54" s="51"/>
      <c r="L54" s="51" t="s">
        <v>257</v>
      </c>
      <c r="M54" s="51"/>
      <c r="N54" s="51"/>
      <c r="O54" s="51"/>
      <c r="P54" s="51"/>
      <c r="Q54" s="51"/>
      <c r="R54" s="51"/>
      <c r="S54" s="51"/>
      <c r="T54" s="51"/>
    </row>
    <row r="55">
      <c r="A55" s="51"/>
      <c r="B55" s="51"/>
      <c r="C55" s="56"/>
      <c r="D55" s="51"/>
      <c r="E55" s="51"/>
      <c r="F55" s="51"/>
      <c r="G55" s="51" t="str">
        <f>IFERROR(__xludf.DUMMYFUNCTION("""COMPUTED_VALUE"""),"#VALUE!")</f>
        <v>#VALUE!</v>
      </c>
      <c r="H55" s="51" t="str">
        <f>IFERROR(__xludf.DUMMYFUNCTION("""COMPUTED_VALUE"""),"")</f>
        <v/>
      </c>
      <c r="I55" s="51" t="str">
        <f>IFERROR(__xludf.DUMMYFUNCTION("""COMPUTED_VALUE"""),"#VALUE!")</f>
        <v>#VALUE!</v>
      </c>
      <c r="J55" s="51" t="str">
        <f>IFERROR(__xludf.DUMMYFUNCTION("""COMPUTED_VALUE"""),"")</f>
        <v/>
      </c>
      <c r="K55" s="51"/>
      <c r="L55" s="51" t="s">
        <v>257</v>
      </c>
      <c r="M55" s="51"/>
      <c r="N55" s="51"/>
      <c r="O55" s="51"/>
      <c r="P55" s="51"/>
      <c r="Q55" s="51"/>
      <c r="R55" s="51"/>
      <c r="S55" s="51"/>
      <c r="T55" s="51"/>
    </row>
    <row r="56">
      <c r="A56" s="51"/>
      <c r="B56" s="51"/>
      <c r="C56" s="56"/>
      <c r="D56" s="51"/>
      <c r="E56" s="51"/>
      <c r="F56" s="51"/>
      <c r="G56" s="51" t="str">
        <f>IFERROR(__xludf.DUMMYFUNCTION("""COMPUTED_VALUE"""),"#VALUE!")</f>
        <v>#VALUE!</v>
      </c>
      <c r="H56" s="51" t="str">
        <f>IFERROR(__xludf.DUMMYFUNCTION("""COMPUTED_VALUE"""),"")</f>
        <v/>
      </c>
      <c r="I56" s="51" t="str">
        <f>IFERROR(__xludf.DUMMYFUNCTION("""COMPUTED_VALUE"""),"#VALUE!")</f>
        <v>#VALUE!</v>
      </c>
      <c r="J56" s="51" t="str">
        <f>IFERROR(__xludf.DUMMYFUNCTION("""COMPUTED_VALUE"""),"")</f>
        <v/>
      </c>
      <c r="K56" s="51"/>
      <c r="L56" s="51" t="s">
        <v>257</v>
      </c>
      <c r="M56" s="51"/>
      <c r="N56" s="51"/>
      <c r="O56" s="51"/>
      <c r="P56" s="51"/>
      <c r="Q56" s="51"/>
      <c r="R56" s="51"/>
      <c r="S56" s="51"/>
      <c r="T56" s="51"/>
    </row>
    <row r="57">
      <c r="A57" s="51"/>
      <c r="B57" s="51"/>
      <c r="C57" s="56"/>
      <c r="D57" s="51"/>
      <c r="E57" s="51"/>
      <c r="F57" s="51"/>
      <c r="G57" s="51" t="str">
        <f>IFERROR(__xludf.DUMMYFUNCTION("""COMPUTED_VALUE"""),"#VALUE!")</f>
        <v>#VALUE!</v>
      </c>
      <c r="H57" s="51" t="str">
        <f>IFERROR(__xludf.DUMMYFUNCTION("""COMPUTED_VALUE"""),"")</f>
        <v/>
      </c>
      <c r="I57" s="51" t="str">
        <f>IFERROR(__xludf.DUMMYFUNCTION("""COMPUTED_VALUE"""),"#VALUE!")</f>
        <v>#VALUE!</v>
      </c>
      <c r="J57" s="51" t="str">
        <f>IFERROR(__xludf.DUMMYFUNCTION("""COMPUTED_VALUE"""),"")</f>
        <v/>
      </c>
      <c r="K57" s="51"/>
      <c r="L57" s="51" t="s">
        <v>257</v>
      </c>
      <c r="M57" s="51"/>
      <c r="N57" s="51"/>
      <c r="O57" s="51"/>
      <c r="P57" s="51"/>
      <c r="Q57" s="51"/>
      <c r="R57" s="51"/>
      <c r="S57" s="51"/>
      <c r="T57" s="51"/>
    </row>
    <row r="58">
      <c r="A58" s="51"/>
      <c r="B58" s="51"/>
      <c r="C58" s="56"/>
      <c r="D58" s="51"/>
      <c r="E58" s="51"/>
      <c r="F58" s="51"/>
      <c r="G58" s="51" t="str">
        <f>IFERROR(__xludf.DUMMYFUNCTION("""COMPUTED_VALUE"""),"#VALUE!")</f>
        <v>#VALUE!</v>
      </c>
      <c r="H58" s="51" t="str">
        <f>IFERROR(__xludf.DUMMYFUNCTION("""COMPUTED_VALUE"""),"")</f>
        <v/>
      </c>
      <c r="I58" s="51" t="str">
        <f>IFERROR(__xludf.DUMMYFUNCTION("""COMPUTED_VALUE"""),"#VALUE!")</f>
        <v>#VALUE!</v>
      </c>
      <c r="J58" s="51" t="str">
        <f>IFERROR(__xludf.DUMMYFUNCTION("""COMPUTED_VALUE"""),"")</f>
        <v/>
      </c>
      <c r="K58" s="51"/>
      <c r="L58" s="51" t="s">
        <v>257</v>
      </c>
      <c r="M58" s="51"/>
      <c r="N58" s="51"/>
      <c r="O58" s="51"/>
      <c r="P58" s="51"/>
      <c r="Q58" s="51"/>
      <c r="R58" s="51"/>
      <c r="S58" s="51"/>
      <c r="T58" s="51"/>
    </row>
    <row r="59">
      <c r="A59" s="51"/>
      <c r="B59" s="51"/>
      <c r="C59" s="56"/>
      <c r="D59" s="51"/>
      <c r="E59" s="51"/>
      <c r="F59" s="51"/>
      <c r="G59" s="51" t="str">
        <f>IFERROR(__xludf.DUMMYFUNCTION("""COMPUTED_VALUE"""),"#VALUE!")</f>
        <v>#VALUE!</v>
      </c>
      <c r="H59" s="51" t="str">
        <f>IFERROR(__xludf.DUMMYFUNCTION("""COMPUTED_VALUE"""),"")</f>
        <v/>
      </c>
      <c r="I59" s="51" t="str">
        <f>IFERROR(__xludf.DUMMYFUNCTION("""COMPUTED_VALUE"""),"#VALUE!")</f>
        <v>#VALUE!</v>
      </c>
      <c r="J59" s="51" t="str">
        <f>IFERROR(__xludf.DUMMYFUNCTION("""COMPUTED_VALUE"""),"")</f>
        <v/>
      </c>
      <c r="K59" s="51"/>
      <c r="L59" s="51" t="s">
        <v>257</v>
      </c>
      <c r="M59" s="51"/>
      <c r="N59" s="51"/>
      <c r="O59" s="51"/>
      <c r="P59" s="51"/>
      <c r="Q59" s="51"/>
      <c r="R59" s="51"/>
      <c r="S59" s="51"/>
      <c r="T59" s="51"/>
    </row>
    <row r="60">
      <c r="A60" s="51"/>
      <c r="B60" s="51"/>
      <c r="C60" s="56"/>
      <c r="D60" s="51"/>
      <c r="E60" s="51"/>
      <c r="F60" s="51"/>
      <c r="G60" s="51" t="str">
        <f>IFERROR(__xludf.DUMMYFUNCTION("""COMPUTED_VALUE"""),"#VALUE!")</f>
        <v>#VALUE!</v>
      </c>
      <c r="H60" s="51" t="str">
        <f>IFERROR(__xludf.DUMMYFUNCTION("""COMPUTED_VALUE"""),"")</f>
        <v/>
      </c>
      <c r="I60" s="51" t="str">
        <f>IFERROR(__xludf.DUMMYFUNCTION("""COMPUTED_VALUE"""),"#VALUE!")</f>
        <v>#VALUE!</v>
      </c>
      <c r="J60" s="51" t="str">
        <f>IFERROR(__xludf.DUMMYFUNCTION("""COMPUTED_VALUE"""),"")</f>
        <v/>
      </c>
      <c r="K60" s="51"/>
      <c r="L60" s="51" t="s">
        <v>257</v>
      </c>
      <c r="M60" s="51"/>
      <c r="N60" s="51"/>
      <c r="O60" s="51"/>
      <c r="P60" s="51"/>
      <c r="Q60" s="51"/>
      <c r="R60" s="51"/>
      <c r="S60" s="51"/>
      <c r="T60" s="51"/>
    </row>
    <row r="61">
      <c r="A61" s="51"/>
      <c r="B61" s="51"/>
      <c r="C61" s="56"/>
      <c r="D61" s="51"/>
      <c r="E61" s="51"/>
      <c r="F61" s="51"/>
      <c r="G61" s="51" t="str">
        <f>IFERROR(__xludf.DUMMYFUNCTION("""COMPUTED_VALUE"""),"#VALUE!")</f>
        <v>#VALUE!</v>
      </c>
      <c r="H61" s="51" t="str">
        <f>IFERROR(__xludf.DUMMYFUNCTION("""COMPUTED_VALUE"""),"")</f>
        <v/>
      </c>
      <c r="I61" s="51" t="str">
        <f>IFERROR(__xludf.DUMMYFUNCTION("""COMPUTED_VALUE"""),"#VALUE!")</f>
        <v>#VALUE!</v>
      </c>
      <c r="J61" s="51" t="str">
        <f>IFERROR(__xludf.DUMMYFUNCTION("""COMPUTED_VALUE"""),"")</f>
        <v/>
      </c>
      <c r="K61" s="51"/>
      <c r="L61" s="51" t="s">
        <v>257</v>
      </c>
      <c r="M61" s="51"/>
      <c r="N61" s="51"/>
      <c r="O61" s="51"/>
      <c r="P61" s="51"/>
      <c r="Q61" s="51"/>
      <c r="R61" s="51"/>
      <c r="S61" s="51"/>
      <c r="T61" s="51"/>
    </row>
    <row r="62">
      <c r="A62" s="51"/>
      <c r="B62" s="51"/>
      <c r="C62" s="56"/>
      <c r="D62" s="51"/>
      <c r="E62" s="51"/>
      <c r="F62" s="51"/>
      <c r="G62" s="51" t="str">
        <f>IFERROR(__xludf.DUMMYFUNCTION("""COMPUTED_VALUE"""),"#VALUE!")</f>
        <v>#VALUE!</v>
      </c>
      <c r="H62" s="51" t="str">
        <f>IFERROR(__xludf.DUMMYFUNCTION("""COMPUTED_VALUE"""),"")</f>
        <v/>
      </c>
      <c r="I62" s="51" t="str">
        <f>IFERROR(__xludf.DUMMYFUNCTION("""COMPUTED_VALUE"""),"#VALUE!")</f>
        <v>#VALUE!</v>
      </c>
      <c r="J62" s="51" t="str">
        <f>IFERROR(__xludf.DUMMYFUNCTION("""COMPUTED_VALUE"""),"")</f>
        <v/>
      </c>
      <c r="K62" s="51"/>
      <c r="L62" s="51" t="s">
        <v>257</v>
      </c>
      <c r="M62" s="51"/>
      <c r="N62" s="51"/>
      <c r="O62" s="51"/>
      <c r="P62" s="51"/>
      <c r="Q62" s="51"/>
      <c r="R62" s="51"/>
      <c r="S62" s="51"/>
      <c r="T62" s="51"/>
    </row>
    <row r="63">
      <c r="A63" s="51"/>
      <c r="B63" s="51"/>
      <c r="C63" s="56"/>
      <c r="D63" s="51"/>
      <c r="E63" s="51"/>
      <c r="F63" s="51"/>
      <c r="G63" s="51" t="str">
        <f>IFERROR(__xludf.DUMMYFUNCTION("""COMPUTED_VALUE"""),"#VALUE!")</f>
        <v>#VALUE!</v>
      </c>
      <c r="H63" s="51" t="str">
        <f>IFERROR(__xludf.DUMMYFUNCTION("""COMPUTED_VALUE"""),"")</f>
        <v/>
      </c>
      <c r="I63" s="51" t="str">
        <f>IFERROR(__xludf.DUMMYFUNCTION("""COMPUTED_VALUE"""),"#VALUE!")</f>
        <v>#VALUE!</v>
      </c>
      <c r="J63" s="51" t="str">
        <f>IFERROR(__xludf.DUMMYFUNCTION("""COMPUTED_VALUE"""),"")</f>
        <v/>
      </c>
      <c r="K63" s="51"/>
      <c r="L63" s="51" t="s">
        <v>257</v>
      </c>
      <c r="M63" s="51"/>
      <c r="N63" s="51"/>
      <c r="O63" s="51"/>
      <c r="P63" s="51"/>
      <c r="Q63" s="51"/>
      <c r="R63" s="51"/>
      <c r="S63" s="51"/>
      <c r="T63" s="51"/>
    </row>
    <row r="64">
      <c r="A64" s="51"/>
      <c r="B64" s="51"/>
      <c r="C64" s="56"/>
      <c r="D64" s="51"/>
      <c r="E64" s="51"/>
      <c r="F64" s="51"/>
      <c r="G64" s="51" t="str">
        <f>IFERROR(__xludf.DUMMYFUNCTION("""COMPUTED_VALUE"""),"#VALUE!")</f>
        <v>#VALUE!</v>
      </c>
      <c r="H64" s="51" t="str">
        <f>IFERROR(__xludf.DUMMYFUNCTION("""COMPUTED_VALUE"""),"")</f>
        <v/>
      </c>
      <c r="I64" s="51" t="str">
        <f>IFERROR(__xludf.DUMMYFUNCTION("""COMPUTED_VALUE"""),"#VALUE!")</f>
        <v>#VALUE!</v>
      </c>
      <c r="J64" s="51" t="str">
        <f>IFERROR(__xludf.DUMMYFUNCTION("""COMPUTED_VALUE"""),"")</f>
        <v/>
      </c>
      <c r="K64" s="51"/>
      <c r="L64" s="51" t="s">
        <v>257</v>
      </c>
      <c r="M64" s="51"/>
      <c r="N64" s="51"/>
      <c r="O64" s="51"/>
      <c r="P64" s="51"/>
      <c r="Q64" s="51"/>
      <c r="R64" s="51"/>
      <c r="S64" s="51"/>
      <c r="T64" s="51"/>
    </row>
    <row r="65">
      <c r="A65" s="51"/>
      <c r="B65" s="51"/>
      <c r="C65" s="56"/>
      <c r="D65" s="51"/>
      <c r="E65" s="51"/>
      <c r="F65" s="51"/>
      <c r="G65" s="51" t="str">
        <f>IFERROR(__xludf.DUMMYFUNCTION("""COMPUTED_VALUE"""),"#VALUE!")</f>
        <v>#VALUE!</v>
      </c>
      <c r="H65" s="51" t="str">
        <f>IFERROR(__xludf.DUMMYFUNCTION("""COMPUTED_VALUE"""),"")</f>
        <v/>
      </c>
      <c r="I65" s="51" t="str">
        <f>IFERROR(__xludf.DUMMYFUNCTION("""COMPUTED_VALUE"""),"#VALUE!")</f>
        <v>#VALUE!</v>
      </c>
      <c r="J65" s="51" t="str">
        <f>IFERROR(__xludf.DUMMYFUNCTION("""COMPUTED_VALUE"""),"")</f>
        <v/>
      </c>
      <c r="K65" s="51"/>
      <c r="L65" s="51" t="s">
        <v>257</v>
      </c>
      <c r="M65" s="51"/>
      <c r="N65" s="51"/>
      <c r="O65" s="51"/>
      <c r="P65" s="51"/>
      <c r="Q65" s="51"/>
      <c r="R65" s="51"/>
      <c r="S65" s="51"/>
      <c r="T65" s="51"/>
    </row>
    <row r="66">
      <c r="A66" s="51"/>
      <c r="B66" s="51"/>
      <c r="C66" s="56"/>
      <c r="D66" s="51"/>
      <c r="E66" s="51"/>
      <c r="F66" s="51"/>
      <c r="G66" s="51" t="str">
        <f>IFERROR(__xludf.DUMMYFUNCTION("""COMPUTED_VALUE"""),"#VALUE!")</f>
        <v>#VALUE!</v>
      </c>
      <c r="H66" s="51" t="str">
        <f>IFERROR(__xludf.DUMMYFUNCTION("""COMPUTED_VALUE"""),"")</f>
        <v/>
      </c>
      <c r="I66" s="51" t="str">
        <f>IFERROR(__xludf.DUMMYFUNCTION("""COMPUTED_VALUE"""),"#VALUE!")</f>
        <v>#VALUE!</v>
      </c>
      <c r="J66" s="51" t="str">
        <f>IFERROR(__xludf.DUMMYFUNCTION("""COMPUTED_VALUE"""),"")</f>
        <v/>
      </c>
      <c r="K66" s="51"/>
      <c r="L66" s="51" t="s">
        <v>257</v>
      </c>
      <c r="M66" s="51"/>
      <c r="N66" s="51"/>
      <c r="O66" s="51"/>
      <c r="P66" s="51"/>
      <c r="Q66" s="51"/>
      <c r="R66" s="51"/>
      <c r="S66" s="51"/>
      <c r="T66" s="51"/>
    </row>
    <row r="67">
      <c r="A67" s="51"/>
      <c r="B67" s="51"/>
      <c r="C67" s="56"/>
      <c r="D67" s="51"/>
      <c r="E67" s="51"/>
      <c r="F67" s="51"/>
      <c r="G67" s="51" t="str">
        <f>IFERROR(__xludf.DUMMYFUNCTION("""COMPUTED_VALUE"""),"#VALUE!")</f>
        <v>#VALUE!</v>
      </c>
      <c r="H67" s="51" t="str">
        <f>IFERROR(__xludf.DUMMYFUNCTION("""COMPUTED_VALUE"""),"")</f>
        <v/>
      </c>
      <c r="I67" s="51" t="str">
        <f>IFERROR(__xludf.DUMMYFUNCTION("""COMPUTED_VALUE"""),"#VALUE!")</f>
        <v>#VALUE!</v>
      </c>
      <c r="J67" s="51" t="str">
        <f>IFERROR(__xludf.DUMMYFUNCTION("""COMPUTED_VALUE"""),"")</f>
        <v/>
      </c>
      <c r="K67" s="51"/>
      <c r="L67" s="51" t="s">
        <v>257</v>
      </c>
      <c r="M67" s="51"/>
      <c r="N67" s="51"/>
      <c r="O67" s="51"/>
      <c r="P67" s="51"/>
      <c r="Q67" s="51"/>
      <c r="R67" s="51"/>
      <c r="S67" s="51"/>
      <c r="T67" s="51"/>
    </row>
    <row r="68">
      <c r="A68" s="51"/>
      <c r="B68" s="51"/>
      <c r="C68" s="56"/>
      <c r="D68" s="51"/>
      <c r="E68" s="51"/>
      <c r="F68" s="51"/>
      <c r="G68" s="51" t="str">
        <f>IFERROR(__xludf.DUMMYFUNCTION("""COMPUTED_VALUE"""),"#VALUE!")</f>
        <v>#VALUE!</v>
      </c>
      <c r="H68" s="51" t="str">
        <f>IFERROR(__xludf.DUMMYFUNCTION("""COMPUTED_VALUE"""),"")</f>
        <v/>
      </c>
      <c r="I68" s="51" t="str">
        <f>IFERROR(__xludf.DUMMYFUNCTION("""COMPUTED_VALUE"""),"#VALUE!")</f>
        <v>#VALUE!</v>
      </c>
      <c r="J68" s="51" t="str">
        <f>IFERROR(__xludf.DUMMYFUNCTION("""COMPUTED_VALUE"""),"")</f>
        <v/>
      </c>
      <c r="K68" s="51"/>
      <c r="L68" s="51" t="s">
        <v>257</v>
      </c>
      <c r="M68" s="51"/>
      <c r="N68" s="51"/>
      <c r="O68" s="51"/>
      <c r="P68" s="51"/>
      <c r="Q68" s="51"/>
      <c r="R68" s="51"/>
      <c r="S68" s="51"/>
      <c r="T68" s="51"/>
    </row>
    <row r="69">
      <c r="A69" s="51"/>
      <c r="B69" s="51"/>
      <c r="C69" s="56"/>
      <c r="D69" s="51"/>
      <c r="E69" s="51"/>
      <c r="F69" s="51"/>
      <c r="G69" s="51" t="str">
        <f>IFERROR(__xludf.DUMMYFUNCTION("""COMPUTED_VALUE"""),"#VALUE!")</f>
        <v>#VALUE!</v>
      </c>
      <c r="H69" s="51" t="str">
        <f>IFERROR(__xludf.DUMMYFUNCTION("""COMPUTED_VALUE"""),"")</f>
        <v/>
      </c>
      <c r="I69" s="51" t="str">
        <f>IFERROR(__xludf.DUMMYFUNCTION("""COMPUTED_VALUE"""),"#VALUE!")</f>
        <v>#VALUE!</v>
      </c>
      <c r="J69" s="51" t="str">
        <f>IFERROR(__xludf.DUMMYFUNCTION("""COMPUTED_VALUE"""),"")</f>
        <v/>
      </c>
      <c r="K69" s="51"/>
      <c r="L69" s="51" t="s">
        <v>257</v>
      </c>
      <c r="M69" s="51"/>
      <c r="N69" s="51"/>
      <c r="O69" s="51"/>
      <c r="P69" s="51"/>
      <c r="Q69" s="51"/>
      <c r="R69" s="51"/>
      <c r="S69" s="51"/>
      <c r="T69" s="51"/>
    </row>
    <row r="70">
      <c r="A70" s="51"/>
      <c r="B70" s="51"/>
      <c r="C70" s="56"/>
      <c r="D70" s="51"/>
      <c r="E70" s="51"/>
      <c r="F70" s="51"/>
      <c r="G70" s="51" t="str">
        <f>IFERROR(__xludf.DUMMYFUNCTION("""COMPUTED_VALUE"""),"#VALUE!")</f>
        <v>#VALUE!</v>
      </c>
      <c r="H70" s="51" t="str">
        <f>IFERROR(__xludf.DUMMYFUNCTION("""COMPUTED_VALUE"""),"")</f>
        <v/>
      </c>
      <c r="I70" s="51" t="str">
        <f>IFERROR(__xludf.DUMMYFUNCTION("""COMPUTED_VALUE"""),"#VALUE!")</f>
        <v>#VALUE!</v>
      </c>
      <c r="J70" s="51" t="str">
        <f>IFERROR(__xludf.DUMMYFUNCTION("""COMPUTED_VALUE"""),"")</f>
        <v/>
      </c>
      <c r="K70" s="51"/>
      <c r="L70" s="51" t="s">
        <v>257</v>
      </c>
      <c r="M70" s="51"/>
      <c r="N70" s="51"/>
      <c r="O70" s="51"/>
      <c r="P70" s="51"/>
      <c r="Q70" s="51"/>
      <c r="R70" s="51"/>
      <c r="S70" s="51"/>
      <c r="T70" s="51"/>
    </row>
    <row r="71">
      <c r="A71" s="51"/>
      <c r="B71" s="51"/>
      <c r="C71" s="56"/>
      <c r="D71" s="51"/>
      <c r="E71" s="51"/>
      <c r="F71" s="51"/>
      <c r="G71" s="51" t="str">
        <f>IFERROR(__xludf.DUMMYFUNCTION("""COMPUTED_VALUE"""),"#VALUE!")</f>
        <v>#VALUE!</v>
      </c>
      <c r="H71" s="51" t="str">
        <f>IFERROR(__xludf.DUMMYFUNCTION("""COMPUTED_VALUE"""),"")</f>
        <v/>
      </c>
      <c r="I71" s="51" t="str">
        <f>IFERROR(__xludf.DUMMYFUNCTION("""COMPUTED_VALUE"""),"#VALUE!")</f>
        <v>#VALUE!</v>
      </c>
      <c r="J71" s="51" t="str">
        <f>IFERROR(__xludf.DUMMYFUNCTION("""COMPUTED_VALUE"""),"")</f>
        <v/>
      </c>
      <c r="K71" s="51"/>
      <c r="L71" s="51" t="s">
        <v>257</v>
      </c>
      <c r="M71" s="51"/>
      <c r="N71" s="51"/>
      <c r="O71" s="51"/>
      <c r="P71" s="51"/>
      <c r="Q71" s="51"/>
      <c r="R71" s="51"/>
      <c r="S71" s="51"/>
      <c r="T71" s="51"/>
    </row>
    <row r="72">
      <c r="A72" s="51"/>
      <c r="B72" s="51"/>
      <c r="C72" s="56"/>
      <c r="D72" s="51"/>
      <c r="E72" s="51"/>
      <c r="F72" s="51"/>
      <c r="G72" s="51" t="str">
        <f>IFERROR(__xludf.DUMMYFUNCTION("""COMPUTED_VALUE"""),"#VALUE!")</f>
        <v>#VALUE!</v>
      </c>
      <c r="H72" s="51" t="str">
        <f>IFERROR(__xludf.DUMMYFUNCTION("""COMPUTED_VALUE"""),"")</f>
        <v/>
      </c>
      <c r="I72" s="51" t="str">
        <f>IFERROR(__xludf.DUMMYFUNCTION("""COMPUTED_VALUE"""),"#VALUE!")</f>
        <v>#VALUE!</v>
      </c>
      <c r="J72" s="51" t="str">
        <f>IFERROR(__xludf.DUMMYFUNCTION("""COMPUTED_VALUE"""),"")</f>
        <v/>
      </c>
      <c r="K72" s="51"/>
      <c r="L72" s="51" t="s">
        <v>257</v>
      </c>
      <c r="M72" s="51"/>
      <c r="N72" s="51"/>
      <c r="O72" s="51"/>
      <c r="P72" s="51"/>
      <c r="Q72" s="51"/>
      <c r="R72" s="51"/>
      <c r="S72" s="51"/>
      <c r="T72" s="51"/>
    </row>
    <row r="73">
      <c r="A73" s="51"/>
      <c r="B73" s="51"/>
      <c r="C73" s="56"/>
      <c r="D73" s="51"/>
      <c r="E73" s="51"/>
      <c r="F73" s="51"/>
      <c r="G73" s="51" t="str">
        <f>IFERROR(__xludf.DUMMYFUNCTION("""COMPUTED_VALUE"""),"#VALUE!")</f>
        <v>#VALUE!</v>
      </c>
      <c r="H73" s="51" t="str">
        <f>IFERROR(__xludf.DUMMYFUNCTION("""COMPUTED_VALUE"""),"")</f>
        <v/>
      </c>
      <c r="I73" s="51" t="str">
        <f>IFERROR(__xludf.DUMMYFUNCTION("""COMPUTED_VALUE"""),"#VALUE!")</f>
        <v>#VALUE!</v>
      </c>
      <c r="J73" s="51" t="str">
        <f>IFERROR(__xludf.DUMMYFUNCTION("""COMPUTED_VALUE"""),"")</f>
        <v/>
      </c>
      <c r="K73" s="51"/>
      <c r="L73" s="51" t="s">
        <v>257</v>
      </c>
      <c r="M73" s="51"/>
      <c r="N73" s="51"/>
      <c r="O73" s="51"/>
      <c r="P73" s="51"/>
      <c r="Q73" s="51"/>
      <c r="R73" s="51"/>
      <c r="S73" s="51"/>
      <c r="T73" s="51"/>
    </row>
    <row r="74">
      <c r="A74" s="51"/>
      <c r="B74" s="51"/>
      <c r="C74" s="56"/>
      <c r="D74" s="51"/>
      <c r="E74" s="51"/>
      <c r="F74" s="51"/>
      <c r="G74" s="51" t="str">
        <f>IFERROR(__xludf.DUMMYFUNCTION("""COMPUTED_VALUE"""),"#VALUE!")</f>
        <v>#VALUE!</v>
      </c>
      <c r="H74" s="51" t="str">
        <f>IFERROR(__xludf.DUMMYFUNCTION("""COMPUTED_VALUE"""),"")</f>
        <v/>
      </c>
      <c r="I74" s="51" t="str">
        <f>IFERROR(__xludf.DUMMYFUNCTION("""COMPUTED_VALUE"""),"#VALUE!")</f>
        <v>#VALUE!</v>
      </c>
      <c r="J74" s="51" t="str">
        <f>IFERROR(__xludf.DUMMYFUNCTION("""COMPUTED_VALUE"""),"")</f>
        <v/>
      </c>
      <c r="K74" s="51"/>
      <c r="L74" s="51" t="s">
        <v>257</v>
      </c>
      <c r="M74" s="51"/>
      <c r="N74" s="51"/>
      <c r="O74" s="51"/>
      <c r="P74" s="51"/>
      <c r="Q74" s="51"/>
      <c r="R74" s="51"/>
      <c r="S74" s="51"/>
      <c r="T74" s="51"/>
    </row>
    <row r="75">
      <c r="A75" s="51"/>
      <c r="B75" s="51"/>
      <c r="C75" s="56"/>
      <c r="D75" s="51"/>
      <c r="E75" s="51"/>
      <c r="F75" s="51"/>
      <c r="G75" s="51" t="str">
        <f>IFERROR(__xludf.DUMMYFUNCTION("""COMPUTED_VALUE"""),"#VALUE!")</f>
        <v>#VALUE!</v>
      </c>
      <c r="H75" s="51" t="str">
        <f>IFERROR(__xludf.DUMMYFUNCTION("""COMPUTED_VALUE"""),"")</f>
        <v/>
      </c>
      <c r="I75" s="51" t="str">
        <f>IFERROR(__xludf.DUMMYFUNCTION("""COMPUTED_VALUE"""),"#VALUE!")</f>
        <v>#VALUE!</v>
      </c>
      <c r="J75" s="51" t="str">
        <f>IFERROR(__xludf.DUMMYFUNCTION("""COMPUTED_VALUE"""),"")</f>
        <v/>
      </c>
      <c r="K75" s="51"/>
      <c r="L75" s="51" t="s">
        <v>257</v>
      </c>
      <c r="M75" s="51"/>
      <c r="N75" s="51"/>
      <c r="O75" s="51"/>
      <c r="P75" s="51"/>
      <c r="Q75" s="51"/>
      <c r="R75" s="51"/>
      <c r="S75" s="51"/>
      <c r="T75" s="51"/>
    </row>
    <row r="76">
      <c r="A76" s="51"/>
      <c r="B76" s="51"/>
      <c r="C76" s="56"/>
      <c r="D76" s="51"/>
      <c r="E76" s="51"/>
      <c r="F76" s="51"/>
      <c r="G76" s="51" t="str">
        <f>IFERROR(__xludf.DUMMYFUNCTION("""COMPUTED_VALUE"""),"#VALUE!")</f>
        <v>#VALUE!</v>
      </c>
      <c r="H76" s="51" t="str">
        <f>IFERROR(__xludf.DUMMYFUNCTION("""COMPUTED_VALUE"""),"")</f>
        <v/>
      </c>
      <c r="I76" s="51" t="str">
        <f>IFERROR(__xludf.DUMMYFUNCTION("""COMPUTED_VALUE"""),"#VALUE!")</f>
        <v>#VALUE!</v>
      </c>
      <c r="J76" s="51" t="str">
        <f>IFERROR(__xludf.DUMMYFUNCTION("""COMPUTED_VALUE"""),"")</f>
        <v/>
      </c>
      <c r="K76" s="51"/>
      <c r="L76" s="51" t="s">
        <v>257</v>
      </c>
      <c r="M76" s="51"/>
      <c r="N76" s="51"/>
      <c r="O76" s="51"/>
      <c r="P76" s="51"/>
      <c r="Q76" s="51"/>
      <c r="R76" s="51"/>
      <c r="S76" s="51"/>
      <c r="T76" s="51"/>
    </row>
    <row r="77">
      <c r="A77" s="51"/>
      <c r="B77" s="51"/>
      <c r="C77" s="56"/>
      <c r="D77" s="51"/>
      <c r="E77" s="51"/>
      <c r="F77" s="51"/>
      <c r="G77" s="51" t="str">
        <f>IFERROR(__xludf.DUMMYFUNCTION("""COMPUTED_VALUE"""),"#VALUE!")</f>
        <v>#VALUE!</v>
      </c>
      <c r="H77" s="51" t="str">
        <f>IFERROR(__xludf.DUMMYFUNCTION("""COMPUTED_VALUE"""),"")</f>
        <v/>
      </c>
      <c r="I77" s="51" t="str">
        <f>IFERROR(__xludf.DUMMYFUNCTION("""COMPUTED_VALUE"""),"#VALUE!")</f>
        <v>#VALUE!</v>
      </c>
      <c r="J77" s="51" t="str">
        <f>IFERROR(__xludf.DUMMYFUNCTION("""COMPUTED_VALUE"""),"")</f>
        <v/>
      </c>
      <c r="K77" s="51"/>
      <c r="L77" s="51" t="s">
        <v>257</v>
      </c>
      <c r="M77" s="51"/>
      <c r="N77" s="51"/>
      <c r="O77" s="51"/>
      <c r="P77" s="51"/>
      <c r="Q77" s="51"/>
      <c r="R77" s="51"/>
      <c r="S77" s="51"/>
      <c r="T77" s="51"/>
    </row>
    <row r="78">
      <c r="A78" s="51"/>
      <c r="B78" s="51"/>
      <c r="C78" s="56"/>
      <c r="D78" s="51"/>
      <c r="E78" s="51"/>
      <c r="F78" s="51"/>
      <c r="G78" s="51" t="str">
        <f>IFERROR(__xludf.DUMMYFUNCTION("""COMPUTED_VALUE"""),"#VALUE!")</f>
        <v>#VALUE!</v>
      </c>
      <c r="H78" s="51" t="str">
        <f>IFERROR(__xludf.DUMMYFUNCTION("""COMPUTED_VALUE"""),"")</f>
        <v/>
      </c>
      <c r="I78" s="51" t="str">
        <f>IFERROR(__xludf.DUMMYFUNCTION("""COMPUTED_VALUE"""),"#VALUE!")</f>
        <v>#VALUE!</v>
      </c>
      <c r="J78" s="51" t="str">
        <f>IFERROR(__xludf.DUMMYFUNCTION("""COMPUTED_VALUE"""),"")</f>
        <v/>
      </c>
      <c r="K78" s="51"/>
      <c r="L78" s="51" t="s">
        <v>257</v>
      </c>
      <c r="M78" s="51"/>
      <c r="N78" s="51"/>
      <c r="O78" s="51"/>
      <c r="P78" s="51"/>
      <c r="Q78" s="51"/>
      <c r="R78" s="51"/>
      <c r="S78" s="51"/>
      <c r="T78" s="51"/>
    </row>
    <row r="79">
      <c r="A79" s="51"/>
      <c r="B79" s="51"/>
      <c r="C79" s="56"/>
      <c r="D79" s="51"/>
      <c r="E79" s="51"/>
      <c r="F79" s="51"/>
      <c r="G79" s="51" t="str">
        <f>IFERROR(__xludf.DUMMYFUNCTION("""COMPUTED_VALUE"""),"#VALUE!")</f>
        <v>#VALUE!</v>
      </c>
      <c r="H79" s="51" t="str">
        <f>IFERROR(__xludf.DUMMYFUNCTION("""COMPUTED_VALUE"""),"")</f>
        <v/>
      </c>
      <c r="I79" s="51" t="str">
        <f>IFERROR(__xludf.DUMMYFUNCTION("""COMPUTED_VALUE"""),"#VALUE!")</f>
        <v>#VALUE!</v>
      </c>
      <c r="J79" s="51" t="str">
        <f>IFERROR(__xludf.DUMMYFUNCTION("""COMPUTED_VALUE"""),"")</f>
        <v/>
      </c>
      <c r="K79" s="51"/>
      <c r="L79" s="51" t="s">
        <v>257</v>
      </c>
      <c r="M79" s="51"/>
      <c r="N79" s="51"/>
      <c r="O79" s="51"/>
      <c r="P79" s="51"/>
      <c r="Q79" s="51"/>
      <c r="R79" s="51"/>
      <c r="S79" s="51"/>
      <c r="T79" s="51"/>
    </row>
    <row r="80">
      <c r="A80" s="51"/>
      <c r="B80" s="51"/>
      <c r="C80" s="56"/>
      <c r="D80" s="51"/>
      <c r="E80" s="51"/>
      <c r="F80" s="51"/>
      <c r="G80" s="51" t="str">
        <f>IFERROR(__xludf.DUMMYFUNCTION("""COMPUTED_VALUE"""),"#VALUE!")</f>
        <v>#VALUE!</v>
      </c>
      <c r="H80" s="51" t="str">
        <f>IFERROR(__xludf.DUMMYFUNCTION("""COMPUTED_VALUE"""),"")</f>
        <v/>
      </c>
      <c r="I80" s="51" t="str">
        <f>IFERROR(__xludf.DUMMYFUNCTION("""COMPUTED_VALUE"""),"#VALUE!")</f>
        <v>#VALUE!</v>
      </c>
      <c r="J80" s="51" t="str">
        <f>IFERROR(__xludf.DUMMYFUNCTION("""COMPUTED_VALUE"""),"")</f>
        <v/>
      </c>
      <c r="K80" s="51"/>
      <c r="L80" s="51" t="s">
        <v>257</v>
      </c>
      <c r="M80" s="51"/>
      <c r="N80" s="51"/>
      <c r="O80" s="51"/>
      <c r="P80" s="51"/>
      <c r="Q80" s="51"/>
      <c r="R80" s="51"/>
      <c r="S80" s="51"/>
      <c r="T80" s="51"/>
    </row>
    <row r="81">
      <c r="A81" s="51"/>
      <c r="B81" s="51"/>
      <c r="C81" s="56"/>
      <c r="D81" s="51"/>
      <c r="E81" s="51"/>
      <c r="F81" s="51"/>
      <c r="G81" s="51" t="str">
        <f>IFERROR(__xludf.DUMMYFUNCTION("""COMPUTED_VALUE"""),"#VALUE!")</f>
        <v>#VALUE!</v>
      </c>
      <c r="H81" s="51" t="str">
        <f>IFERROR(__xludf.DUMMYFUNCTION("""COMPUTED_VALUE"""),"")</f>
        <v/>
      </c>
      <c r="I81" s="51" t="str">
        <f>IFERROR(__xludf.DUMMYFUNCTION("""COMPUTED_VALUE"""),"#VALUE!")</f>
        <v>#VALUE!</v>
      </c>
      <c r="J81" s="51" t="str">
        <f>IFERROR(__xludf.DUMMYFUNCTION("""COMPUTED_VALUE"""),"")</f>
        <v/>
      </c>
      <c r="K81" s="51"/>
      <c r="L81" s="51" t="s">
        <v>257</v>
      </c>
      <c r="M81" s="51"/>
      <c r="N81" s="51"/>
      <c r="O81" s="51"/>
      <c r="P81" s="51"/>
      <c r="Q81" s="51"/>
      <c r="R81" s="51"/>
      <c r="S81" s="51"/>
      <c r="T81" s="51"/>
    </row>
    <row r="82">
      <c r="A82" s="51"/>
      <c r="B82" s="51"/>
      <c r="C82" s="56"/>
      <c r="D82" s="51"/>
      <c r="E82" s="51"/>
      <c r="F82" s="51"/>
      <c r="G82" s="51" t="str">
        <f>IFERROR(__xludf.DUMMYFUNCTION("""COMPUTED_VALUE"""),"#VALUE!")</f>
        <v>#VALUE!</v>
      </c>
      <c r="H82" s="51" t="str">
        <f>IFERROR(__xludf.DUMMYFUNCTION("""COMPUTED_VALUE"""),"")</f>
        <v/>
      </c>
      <c r="I82" s="51" t="str">
        <f>IFERROR(__xludf.DUMMYFUNCTION("""COMPUTED_VALUE"""),"#VALUE!")</f>
        <v>#VALUE!</v>
      </c>
      <c r="J82" s="51" t="str">
        <f>IFERROR(__xludf.DUMMYFUNCTION("""COMPUTED_VALUE"""),"")</f>
        <v/>
      </c>
      <c r="K82" s="51"/>
      <c r="L82" s="51" t="s">
        <v>257</v>
      </c>
      <c r="M82" s="51"/>
      <c r="N82" s="51"/>
      <c r="O82" s="51"/>
      <c r="P82" s="51"/>
      <c r="Q82" s="51"/>
      <c r="R82" s="51"/>
      <c r="S82" s="51"/>
      <c r="T82" s="51"/>
    </row>
    <row r="83">
      <c r="A83" s="51"/>
      <c r="B83" s="51"/>
      <c r="C83" s="56"/>
      <c r="D83" s="51"/>
      <c r="E83" s="51"/>
      <c r="F83" s="51"/>
      <c r="G83" s="51" t="str">
        <f>IFERROR(__xludf.DUMMYFUNCTION("""COMPUTED_VALUE"""),"#VALUE!")</f>
        <v>#VALUE!</v>
      </c>
      <c r="H83" s="51" t="str">
        <f>IFERROR(__xludf.DUMMYFUNCTION("""COMPUTED_VALUE"""),"")</f>
        <v/>
      </c>
      <c r="I83" s="51" t="str">
        <f>IFERROR(__xludf.DUMMYFUNCTION("""COMPUTED_VALUE"""),"#VALUE!")</f>
        <v>#VALUE!</v>
      </c>
      <c r="J83" s="51" t="str">
        <f>IFERROR(__xludf.DUMMYFUNCTION("""COMPUTED_VALUE"""),"")</f>
        <v/>
      </c>
      <c r="K83" s="51"/>
      <c r="L83" s="51" t="s">
        <v>257</v>
      </c>
      <c r="M83" s="51"/>
      <c r="N83" s="51"/>
      <c r="O83" s="51"/>
      <c r="P83" s="51"/>
      <c r="Q83" s="51"/>
      <c r="R83" s="51"/>
      <c r="S83" s="51"/>
      <c r="T83" s="51"/>
    </row>
    <row r="84">
      <c r="A84" s="51"/>
      <c r="B84" s="51"/>
      <c r="C84" s="56"/>
      <c r="D84" s="51"/>
      <c r="E84" s="51"/>
      <c r="F84" s="51"/>
      <c r="G84" s="51" t="str">
        <f>IFERROR(__xludf.DUMMYFUNCTION("""COMPUTED_VALUE"""),"#VALUE!")</f>
        <v>#VALUE!</v>
      </c>
      <c r="H84" s="51" t="str">
        <f>IFERROR(__xludf.DUMMYFUNCTION("""COMPUTED_VALUE"""),"")</f>
        <v/>
      </c>
      <c r="I84" s="51" t="str">
        <f>IFERROR(__xludf.DUMMYFUNCTION("""COMPUTED_VALUE"""),"#VALUE!")</f>
        <v>#VALUE!</v>
      </c>
      <c r="J84" s="51" t="str">
        <f>IFERROR(__xludf.DUMMYFUNCTION("""COMPUTED_VALUE"""),"")</f>
        <v/>
      </c>
      <c r="K84" s="51"/>
      <c r="L84" s="51" t="s">
        <v>257</v>
      </c>
      <c r="M84" s="51"/>
      <c r="N84" s="51"/>
      <c r="O84" s="51"/>
      <c r="P84" s="51"/>
      <c r="Q84" s="51"/>
      <c r="R84" s="51"/>
      <c r="S84" s="51"/>
      <c r="T84" s="51"/>
    </row>
    <row r="85">
      <c r="A85" s="51"/>
      <c r="B85" s="51"/>
      <c r="C85" s="56"/>
      <c r="D85" s="51"/>
      <c r="E85" s="51"/>
      <c r="F85" s="51"/>
      <c r="G85" s="51" t="str">
        <f>IFERROR(__xludf.DUMMYFUNCTION("""COMPUTED_VALUE"""),"#VALUE!")</f>
        <v>#VALUE!</v>
      </c>
      <c r="H85" s="51" t="str">
        <f>IFERROR(__xludf.DUMMYFUNCTION("""COMPUTED_VALUE"""),"")</f>
        <v/>
      </c>
      <c r="I85" s="51" t="str">
        <f>IFERROR(__xludf.DUMMYFUNCTION("""COMPUTED_VALUE"""),"#VALUE!")</f>
        <v>#VALUE!</v>
      </c>
      <c r="J85" s="51" t="str">
        <f>IFERROR(__xludf.DUMMYFUNCTION("""COMPUTED_VALUE"""),"")</f>
        <v/>
      </c>
      <c r="K85" s="51"/>
      <c r="L85" s="51" t="s">
        <v>257</v>
      </c>
      <c r="M85" s="51"/>
      <c r="N85" s="51"/>
      <c r="O85" s="51"/>
      <c r="P85" s="51"/>
      <c r="Q85" s="51"/>
      <c r="R85" s="51"/>
      <c r="S85" s="51"/>
      <c r="T85" s="51"/>
    </row>
    <row r="86">
      <c r="A86" s="51"/>
      <c r="B86" s="51"/>
      <c r="C86" s="56"/>
      <c r="D86" s="51"/>
      <c r="E86" s="51"/>
      <c r="F86" s="51"/>
      <c r="G86" s="51" t="str">
        <f>IFERROR(__xludf.DUMMYFUNCTION("""COMPUTED_VALUE"""),"#VALUE!")</f>
        <v>#VALUE!</v>
      </c>
      <c r="H86" s="51" t="str">
        <f>IFERROR(__xludf.DUMMYFUNCTION("""COMPUTED_VALUE"""),"")</f>
        <v/>
      </c>
      <c r="I86" s="51" t="str">
        <f>IFERROR(__xludf.DUMMYFUNCTION("""COMPUTED_VALUE"""),"#VALUE!")</f>
        <v>#VALUE!</v>
      </c>
      <c r="J86" s="51" t="str">
        <f>IFERROR(__xludf.DUMMYFUNCTION("""COMPUTED_VALUE"""),"")</f>
        <v/>
      </c>
      <c r="K86" s="51"/>
      <c r="L86" s="51" t="s">
        <v>257</v>
      </c>
      <c r="M86" s="51"/>
      <c r="N86" s="51"/>
      <c r="O86" s="51"/>
      <c r="P86" s="51"/>
      <c r="Q86" s="51"/>
      <c r="R86" s="51"/>
      <c r="S86" s="51"/>
      <c r="T86" s="51"/>
    </row>
    <row r="87">
      <c r="A87" s="51"/>
      <c r="B87" s="51"/>
      <c r="C87" s="56"/>
      <c r="D87" s="51"/>
      <c r="E87" s="51"/>
      <c r="F87" s="51"/>
      <c r="G87" s="51" t="str">
        <f>IFERROR(__xludf.DUMMYFUNCTION("""COMPUTED_VALUE"""),"#VALUE!")</f>
        <v>#VALUE!</v>
      </c>
      <c r="H87" s="51" t="str">
        <f>IFERROR(__xludf.DUMMYFUNCTION("""COMPUTED_VALUE"""),"")</f>
        <v/>
      </c>
      <c r="I87" s="51" t="str">
        <f>IFERROR(__xludf.DUMMYFUNCTION("""COMPUTED_VALUE"""),"#VALUE!")</f>
        <v>#VALUE!</v>
      </c>
      <c r="J87" s="51" t="str">
        <f>IFERROR(__xludf.DUMMYFUNCTION("""COMPUTED_VALUE"""),"")</f>
        <v/>
      </c>
      <c r="K87" s="51"/>
      <c r="L87" s="51" t="s">
        <v>257</v>
      </c>
      <c r="M87" s="51"/>
      <c r="N87" s="51"/>
      <c r="O87" s="51"/>
      <c r="P87" s="51"/>
      <c r="Q87" s="51"/>
      <c r="R87" s="51"/>
      <c r="S87" s="51"/>
      <c r="T87" s="51"/>
    </row>
    <row r="88">
      <c r="A88" s="51"/>
      <c r="B88" s="51"/>
      <c r="C88" s="56"/>
      <c r="D88" s="51"/>
      <c r="E88" s="51"/>
      <c r="F88" s="51"/>
      <c r="G88" s="51" t="str">
        <f>IFERROR(__xludf.DUMMYFUNCTION("""COMPUTED_VALUE"""),"#VALUE!")</f>
        <v>#VALUE!</v>
      </c>
      <c r="H88" s="51" t="str">
        <f>IFERROR(__xludf.DUMMYFUNCTION("""COMPUTED_VALUE"""),"")</f>
        <v/>
      </c>
      <c r="I88" s="51" t="str">
        <f>IFERROR(__xludf.DUMMYFUNCTION("""COMPUTED_VALUE"""),"#VALUE!")</f>
        <v>#VALUE!</v>
      </c>
      <c r="J88" s="51" t="str">
        <f>IFERROR(__xludf.DUMMYFUNCTION("""COMPUTED_VALUE"""),"")</f>
        <v/>
      </c>
      <c r="K88" s="51"/>
      <c r="L88" s="51" t="s">
        <v>257</v>
      </c>
      <c r="M88" s="51"/>
      <c r="N88" s="51"/>
      <c r="O88" s="51"/>
      <c r="P88" s="51"/>
      <c r="Q88" s="51"/>
      <c r="R88" s="51"/>
      <c r="S88" s="51"/>
      <c r="T88" s="51"/>
    </row>
    <row r="89">
      <c r="A89" s="51"/>
      <c r="B89" s="51"/>
      <c r="C89" s="56"/>
      <c r="D89" s="51"/>
      <c r="E89" s="51"/>
      <c r="F89" s="51"/>
      <c r="G89" s="51" t="str">
        <f>IFERROR(__xludf.DUMMYFUNCTION("""COMPUTED_VALUE"""),"#VALUE!")</f>
        <v>#VALUE!</v>
      </c>
      <c r="H89" s="51" t="str">
        <f>IFERROR(__xludf.DUMMYFUNCTION("""COMPUTED_VALUE"""),"")</f>
        <v/>
      </c>
      <c r="I89" s="51" t="str">
        <f>IFERROR(__xludf.DUMMYFUNCTION("""COMPUTED_VALUE"""),"#VALUE!")</f>
        <v>#VALUE!</v>
      </c>
      <c r="J89" s="51" t="str">
        <f>IFERROR(__xludf.DUMMYFUNCTION("""COMPUTED_VALUE"""),"")</f>
        <v/>
      </c>
      <c r="K89" s="51"/>
      <c r="L89" s="51" t="s">
        <v>257</v>
      </c>
      <c r="M89" s="51"/>
      <c r="N89" s="51"/>
      <c r="O89" s="51"/>
      <c r="P89" s="51"/>
      <c r="Q89" s="51"/>
      <c r="R89" s="51"/>
      <c r="S89" s="51"/>
      <c r="T89" s="51"/>
    </row>
    <row r="90">
      <c r="A90" s="51"/>
      <c r="B90" s="51"/>
      <c r="C90" s="56"/>
      <c r="D90" s="51"/>
      <c r="E90" s="51"/>
      <c r="F90" s="51"/>
      <c r="G90" s="51" t="str">
        <f>IFERROR(__xludf.DUMMYFUNCTION("""COMPUTED_VALUE"""),"#VALUE!")</f>
        <v>#VALUE!</v>
      </c>
      <c r="H90" s="51" t="str">
        <f>IFERROR(__xludf.DUMMYFUNCTION("""COMPUTED_VALUE"""),"")</f>
        <v/>
      </c>
      <c r="I90" s="51" t="str">
        <f>IFERROR(__xludf.DUMMYFUNCTION("""COMPUTED_VALUE"""),"#VALUE!")</f>
        <v>#VALUE!</v>
      </c>
      <c r="J90" s="51" t="str">
        <f>IFERROR(__xludf.DUMMYFUNCTION("""COMPUTED_VALUE"""),"")</f>
        <v/>
      </c>
      <c r="K90" s="51"/>
      <c r="L90" s="51" t="s">
        <v>257</v>
      </c>
      <c r="M90" s="51"/>
      <c r="N90" s="51"/>
      <c r="O90" s="51"/>
      <c r="P90" s="51"/>
      <c r="Q90" s="51"/>
      <c r="R90" s="51"/>
      <c r="S90" s="51"/>
      <c r="T90" s="51"/>
    </row>
    <row r="91">
      <c r="A91" s="51"/>
      <c r="B91" s="51"/>
      <c r="C91" s="56"/>
      <c r="D91" s="51"/>
      <c r="E91" s="51"/>
      <c r="F91" s="51"/>
      <c r="G91" s="51" t="str">
        <f>IFERROR(__xludf.DUMMYFUNCTION("""COMPUTED_VALUE"""),"#VALUE!")</f>
        <v>#VALUE!</v>
      </c>
      <c r="H91" s="51" t="str">
        <f>IFERROR(__xludf.DUMMYFUNCTION("""COMPUTED_VALUE"""),"")</f>
        <v/>
      </c>
      <c r="I91" s="51" t="str">
        <f>IFERROR(__xludf.DUMMYFUNCTION("""COMPUTED_VALUE"""),"#VALUE!")</f>
        <v>#VALUE!</v>
      </c>
      <c r="J91" s="51" t="str">
        <f>IFERROR(__xludf.DUMMYFUNCTION("""COMPUTED_VALUE"""),"")</f>
        <v/>
      </c>
      <c r="K91" s="51"/>
      <c r="L91" s="51" t="s">
        <v>257</v>
      </c>
      <c r="M91" s="51"/>
      <c r="N91" s="51"/>
      <c r="O91" s="51"/>
      <c r="P91" s="51"/>
      <c r="Q91" s="51"/>
      <c r="R91" s="51"/>
      <c r="S91" s="51"/>
      <c r="T91" s="51"/>
    </row>
    <row r="92">
      <c r="A92" s="51"/>
      <c r="B92" s="51"/>
      <c r="C92" s="56"/>
      <c r="D92" s="51"/>
      <c r="E92" s="51"/>
      <c r="F92" s="51"/>
      <c r="G92" s="51" t="str">
        <f>IFERROR(__xludf.DUMMYFUNCTION("""COMPUTED_VALUE"""),"#VALUE!")</f>
        <v>#VALUE!</v>
      </c>
      <c r="H92" s="51" t="str">
        <f>IFERROR(__xludf.DUMMYFUNCTION("""COMPUTED_VALUE"""),"")</f>
        <v/>
      </c>
      <c r="I92" s="51" t="str">
        <f>IFERROR(__xludf.DUMMYFUNCTION("""COMPUTED_VALUE"""),"#VALUE!")</f>
        <v>#VALUE!</v>
      </c>
      <c r="J92" s="51" t="str">
        <f>IFERROR(__xludf.DUMMYFUNCTION("""COMPUTED_VALUE"""),"")</f>
        <v/>
      </c>
      <c r="K92" s="51"/>
      <c r="L92" s="51" t="s">
        <v>257</v>
      </c>
      <c r="M92" s="51"/>
      <c r="N92" s="51"/>
      <c r="O92" s="51"/>
      <c r="P92" s="51"/>
      <c r="Q92" s="51"/>
      <c r="R92" s="51"/>
      <c r="S92" s="51"/>
      <c r="T92" s="51"/>
    </row>
    <row r="93">
      <c r="A93" s="51"/>
      <c r="B93" s="51"/>
      <c r="C93" s="56"/>
      <c r="D93" s="51"/>
      <c r="E93" s="51"/>
      <c r="F93" s="51"/>
      <c r="G93" s="51" t="str">
        <f>IFERROR(__xludf.DUMMYFUNCTION("""COMPUTED_VALUE"""),"#VALUE!")</f>
        <v>#VALUE!</v>
      </c>
      <c r="H93" s="51" t="str">
        <f>IFERROR(__xludf.DUMMYFUNCTION("""COMPUTED_VALUE"""),"")</f>
        <v/>
      </c>
      <c r="I93" s="51" t="str">
        <f>IFERROR(__xludf.DUMMYFUNCTION("""COMPUTED_VALUE"""),"#VALUE!")</f>
        <v>#VALUE!</v>
      </c>
      <c r="J93" s="51" t="str">
        <f>IFERROR(__xludf.DUMMYFUNCTION("""COMPUTED_VALUE"""),"")</f>
        <v/>
      </c>
      <c r="K93" s="51"/>
      <c r="L93" s="51" t="s">
        <v>257</v>
      </c>
      <c r="M93" s="51"/>
      <c r="N93" s="51"/>
      <c r="O93" s="51"/>
      <c r="P93" s="51"/>
      <c r="Q93" s="51"/>
      <c r="R93" s="51"/>
      <c r="S93" s="51"/>
      <c r="T93" s="51"/>
    </row>
    <row r="94">
      <c r="A94" s="51"/>
      <c r="B94" s="51"/>
      <c r="C94" s="56"/>
      <c r="D94" s="51"/>
      <c r="E94" s="51"/>
      <c r="F94" s="51"/>
      <c r="G94" s="51" t="str">
        <f>IFERROR(__xludf.DUMMYFUNCTION("""COMPUTED_VALUE"""),"#VALUE!")</f>
        <v>#VALUE!</v>
      </c>
      <c r="H94" s="51" t="str">
        <f>IFERROR(__xludf.DUMMYFUNCTION("""COMPUTED_VALUE"""),"")</f>
        <v/>
      </c>
      <c r="I94" s="51" t="str">
        <f>IFERROR(__xludf.DUMMYFUNCTION("""COMPUTED_VALUE"""),"#VALUE!")</f>
        <v>#VALUE!</v>
      </c>
      <c r="J94" s="51" t="str">
        <f>IFERROR(__xludf.DUMMYFUNCTION("""COMPUTED_VALUE"""),"")</f>
        <v/>
      </c>
      <c r="K94" s="51"/>
      <c r="L94" s="51" t="s">
        <v>257</v>
      </c>
      <c r="M94" s="51"/>
      <c r="N94" s="51"/>
      <c r="O94" s="51"/>
      <c r="P94" s="51"/>
      <c r="Q94" s="51"/>
      <c r="R94" s="51"/>
      <c r="S94" s="51"/>
      <c r="T94" s="51"/>
    </row>
    <row r="95">
      <c r="A95" s="51"/>
      <c r="B95" s="51"/>
      <c r="C95" s="56"/>
      <c r="D95" s="51"/>
      <c r="E95" s="51"/>
      <c r="F95" s="51"/>
      <c r="G95" s="51" t="str">
        <f>IFERROR(__xludf.DUMMYFUNCTION("""COMPUTED_VALUE"""),"#VALUE!")</f>
        <v>#VALUE!</v>
      </c>
      <c r="H95" s="51" t="str">
        <f>IFERROR(__xludf.DUMMYFUNCTION("""COMPUTED_VALUE"""),"")</f>
        <v/>
      </c>
      <c r="I95" s="51" t="str">
        <f>IFERROR(__xludf.DUMMYFUNCTION("""COMPUTED_VALUE"""),"#VALUE!")</f>
        <v>#VALUE!</v>
      </c>
      <c r="J95" s="51" t="str">
        <f>IFERROR(__xludf.DUMMYFUNCTION("""COMPUTED_VALUE"""),"")</f>
        <v/>
      </c>
      <c r="K95" s="51"/>
      <c r="L95" s="51" t="s">
        <v>257</v>
      </c>
      <c r="M95" s="51"/>
      <c r="N95" s="51"/>
      <c r="O95" s="51"/>
      <c r="P95" s="51"/>
      <c r="Q95" s="51"/>
      <c r="R95" s="51"/>
      <c r="S95" s="51"/>
      <c r="T95" s="51"/>
    </row>
    <row r="96">
      <c r="A96" s="51"/>
      <c r="B96" s="51"/>
      <c r="C96" s="56"/>
      <c r="D96" s="51"/>
      <c r="E96" s="51"/>
      <c r="F96" s="51"/>
      <c r="G96" s="51" t="str">
        <f>IFERROR(__xludf.DUMMYFUNCTION("""COMPUTED_VALUE"""),"#VALUE!")</f>
        <v>#VALUE!</v>
      </c>
      <c r="H96" s="51" t="str">
        <f>IFERROR(__xludf.DUMMYFUNCTION("""COMPUTED_VALUE"""),"")</f>
        <v/>
      </c>
      <c r="I96" s="51" t="str">
        <f>IFERROR(__xludf.DUMMYFUNCTION("""COMPUTED_VALUE"""),"#VALUE!")</f>
        <v>#VALUE!</v>
      </c>
      <c r="J96" s="51" t="str">
        <f>IFERROR(__xludf.DUMMYFUNCTION("""COMPUTED_VALUE"""),"")</f>
        <v/>
      </c>
      <c r="K96" s="51"/>
      <c r="L96" s="51" t="s">
        <v>257</v>
      </c>
      <c r="M96" s="51"/>
      <c r="N96" s="51"/>
      <c r="O96" s="51"/>
      <c r="P96" s="51"/>
      <c r="Q96" s="51"/>
      <c r="R96" s="51"/>
      <c r="S96" s="51"/>
      <c r="T96" s="51"/>
    </row>
    <row r="97">
      <c r="A97" s="51"/>
      <c r="B97" s="51"/>
      <c r="C97" s="56"/>
      <c r="D97" s="51"/>
      <c r="E97" s="51"/>
      <c r="F97" s="51"/>
      <c r="G97" s="51" t="str">
        <f>IFERROR(__xludf.DUMMYFUNCTION("""COMPUTED_VALUE"""),"#VALUE!")</f>
        <v>#VALUE!</v>
      </c>
      <c r="H97" s="51" t="str">
        <f>IFERROR(__xludf.DUMMYFUNCTION("""COMPUTED_VALUE"""),"")</f>
        <v/>
      </c>
      <c r="I97" s="51" t="str">
        <f>IFERROR(__xludf.DUMMYFUNCTION("""COMPUTED_VALUE"""),"#VALUE!")</f>
        <v>#VALUE!</v>
      </c>
      <c r="J97" s="51" t="str">
        <f>IFERROR(__xludf.DUMMYFUNCTION("""COMPUTED_VALUE"""),"")</f>
        <v/>
      </c>
      <c r="K97" s="51"/>
      <c r="L97" s="51" t="s">
        <v>257</v>
      </c>
      <c r="M97" s="51"/>
      <c r="N97" s="51"/>
      <c r="O97" s="51"/>
      <c r="P97" s="51"/>
      <c r="Q97" s="51"/>
      <c r="R97" s="51"/>
      <c r="S97" s="51"/>
      <c r="T97" s="51"/>
    </row>
    <row r="98">
      <c r="A98" s="51"/>
      <c r="B98" s="51"/>
      <c r="C98" s="56"/>
      <c r="D98" s="51"/>
      <c r="E98" s="51"/>
      <c r="F98" s="51"/>
      <c r="G98" s="51" t="str">
        <f>IFERROR(__xludf.DUMMYFUNCTION("""COMPUTED_VALUE"""),"#VALUE!")</f>
        <v>#VALUE!</v>
      </c>
      <c r="H98" s="51" t="str">
        <f>IFERROR(__xludf.DUMMYFUNCTION("""COMPUTED_VALUE"""),"")</f>
        <v/>
      </c>
      <c r="I98" s="51" t="str">
        <f>IFERROR(__xludf.DUMMYFUNCTION("""COMPUTED_VALUE"""),"#VALUE!")</f>
        <v>#VALUE!</v>
      </c>
      <c r="J98" s="51" t="str">
        <f>IFERROR(__xludf.DUMMYFUNCTION("""COMPUTED_VALUE"""),"")</f>
        <v/>
      </c>
      <c r="K98" s="51"/>
      <c r="L98" s="51" t="s">
        <v>257</v>
      </c>
      <c r="M98" s="51"/>
      <c r="N98" s="51"/>
      <c r="O98" s="51"/>
      <c r="P98" s="51"/>
      <c r="Q98" s="51"/>
      <c r="R98" s="51"/>
      <c r="S98" s="51"/>
      <c r="T98" s="51"/>
    </row>
    <row r="99">
      <c r="A99" s="51"/>
      <c r="B99" s="51"/>
      <c r="C99" s="56"/>
      <c r="D99" s="51"/>
      <c r="E99" s="51"/>
      <c r="F99" s="51"/>
      <c r="G99" s="51" t="str">
        <f>IFERROR(__xludf.DUMMYFUNCTION("""COMPUTED_VALUE"""),"#VALUE!")</f>
        <v>#VALUE!</v>
      </c>
      <c r="H99" s="51" t="str">
        <f>IFERROR(__xludf.DUMMYFUNCTION("""COMPUTED_VALUE"""),"")</f>
        <v/>
      </c>
      <c r="I99" s="51" t="str">
        <f>IFERROR(__xludf.DUMMYFUNCTION("""COMPUTED_VALUE"""),"#VALUE!")</f>
        <v>#VALUE!</v>
      </c>
      <c r="J99" s="51" t="str">
        <f>IFERROR(__xludf.DUMMYFUNCTION("""COMPUTED_VALUE"""),"")</f>
        <v/>
      </c>
      <c r="K99" s="51"/>
      <c r="L99" s="51" t="s">
        <v>257</v>
      </c>
      <c r="M99" s="51"/>
      <c r="N99" s="51"/>
      <c r="O99" s="51"/>
      <c r="P99" s="51"/>
      <c r="Q99" s="51"/>
      <c r="R99" s="51"/>
      <c r="S99" s="51"/>
      <c r="T99" s="51"/>
    </row>
    <row r="100">
      <c r="A100" s="51"/>
      <c r="B100" s="51"/>
      <c r="C100" s="56"/>
      <c r="D100" s="51"/>
      <c r="E100" s="51"/>
      <c r="F100" s="51"/>
      <c r="G100" s="51" t="str">
        <f>IFERROR(__xludf.DUMMYFUNCTION("""COMPUTED_VALUE"""),"#VALUE!")</f>
        <v>#VALUE!</v>
      </c>
      <c r="H100" s="51" t="str">
        <f>IFERROR(__xludf.DUMMYFUNCTION("""COMPUTED_VALUE"""),"")</f>
        <v/>
      </c>
      <c r="I100" s="51" t="str">
        <f>IFERROR(__xludf.DUMMYFUNCTION("""COMPUTED_VALUE"""),"#VALUE!")</f>
        <v>#VALUE!</v>
      </c>
      <c r="J100" s="51" t="str">
        <f>IFERROR(__xludf.DUMMYFUNCTION("""COMPUTED_VALUE"""),"")</f>
        <v/>
      </c>
      <c r="K100" s="51"/>
      <c r="L100" s="51" t="s">
        <v>257</v>
      </c>
      <c r="M100" s="51"/>
      <c r="N100" s="51"/>
      <c r="O100" s="51"/>
      <c r="P100" s="51"/>
      <c r="Q100" s="51"/>
      <c r="R100" s="51"/>
      <c r="S100" s="51"/>
      <c r="T100" s="51"/>
    </row>
    <row r="101">
      <c r="A101" s="51"/>
      <c r="B101" s="51"/>
      <c r="C101" s="56"/>
      <c r="D101" s="51"/>
      <c r="E101" s="51"/>
      <c r="F101" s="51"/>
      <c r="G101" s="51" t="str">
        <f>IFERROR(__xludf.DUMMYFUNCTION("""COMPUTED_VALUE"""),"#VALUE!")</f>
        <v>#VALUE!</v>
      </c>
      <c r="H101" s="51" t="str">
        <f>IFERROR(__xludf.DUMMYFUNCTION("""COMPUTED_VALUE"""),"")</f>
        <v/>
      </c>
      <c r="I101" s="51" t="str">
        <f>IFERROR(__xludf.DUMMYFUNCTION("""COMPUTED_VALUE"""),"#VALUE!")</f>
        <v>#VALUE!</v>
      </c>
      <c r="J101" s="51" t="str">
        <f>IFERROR(__xludf.DUMMYFUNCTION("""COMPUTED_VALUE"""),"")</f>
        <v/>
      </c>
      <c r="K101" s="51"/>
      <c r="L101" s="51" t="s">
        <v>257</v>
      </c>
      <c r="M101" s="51"/>
      <c r="N101" s="51"/>
      <c r="O101" s="51"/>
      <c r="P101" s="51"/>
      <c r="Q101" s="51"/>
      <c r="R101" s="51"/>
      <c r="S101" s="51"/>
      <c r="T101" s="51"/>
    </row>
    <row r="102">
      <c r="A102" s="51"/>
      <c r="B102" s="51"/>
      <c r="C102" s="56"/>
      <c r="D102" s="51"/>
      <c r="E102" s="51"/>
      <c r="F102" s="51"/>
      <c r="G102" s="51" t="str">
        <f>IFERROR(__xludf.DUMMYFUNCTION("""COMPUTED_VALUE"""),"#VALUE!")</f>
        <v>#VALUE!</v>
      </c>
      <c r="H102" s="51" t="str">
        <f>IFERROR(__xludf.DUMMYFUNCTION("""COMPUTED_VALUE"""),"")</f>
        <v/>
      </c>
      <c r="I102" s="51" t="str">
        <f>IFERROR(__xludf.DUMMYFUNCTION("""COMPUTED_VALUE"""),"#VALUE!")</f>
        <v>#VALUE!</v>
      </c>
      <c r="J102" s="51" t="str">
        <f>IFERROR(__xludf.DUMMYFUNCTION("""COMPUTED_VALUE"""),"")</f>
        <v/>
      </c>
      <c r="K102" s="51"/>
      <c r="L102" s="51" t="s">
        <v>257</v>
      </c>
      <c r="M102" s="51"/>
      <c r="N102" s="51"/>
      <c r="O102" s="51"/>
      <c r="P102" s="51"/>
      <c r="Q102" s="51"/>
      <c r="R102" s="51"/>
      <c r="S102" s="51"/>
      <c r="T102" s="51"/>
    </row>
    <row r="103">
      <c r="A103" s="51"/>
      <c r="B103" s="51"/>
      <c r="C103" s="56"/>
      <c r="D103" s="51"/>
      <c r="E103" s="51"/>
      <c r="F103" s="51"/>
      <c r="G103" s="51" t="str">
        <f>IFERROR(__xludf.DUMMYFUNCTION("""COMPUTED_VALUE"""),"#VALUE!")</f>
        <v>#VALUE!</v>
      </c>
      <c r="H103" s="51" t="str">
        <f>IFERROR(__xludf.DUMMYFUNCTION("""COMPUTED_VALUE"""),"")</f>
        <v/>
      </c>
      <c r="I103" s="51" t="str">
        <f>IFERROR(__xludf.DUMMYFUNCTION("""COMPUTED_VALUE"""),"#VALUE!")</f>
        <v>#VALUE!</v>
      </c>
      <c r="J103" s="51" t="str">
        <f>IFERROR(__xludf.DUMMYFUNCTION("""COMPUTED_VALUE"""),"")</f>
        <v/>
      </c>
      <c r="K103" s="51"/>
      <c r="L103" s="51" t="s">
        <v>257</v>
      </c>
      <c r="M103" s="51"/>
      <c r="N103" s="51"/>
      <c r="O103" s="51"/>
      <c r="P103" s="51"/>
      <c r="Q103" s="51"/>
      <c r="R103" s="51"/>
      <c r="S103" s="51"/>
      <c r="T103" s="51"/>
    </row>
    <row r="104">
      <c r="A104" s="51"/>
      <c r="B104" s="51"/>
      <c r="C104" s="56"/>
      <c r="D104" s="51"/>
      <c r="E104" s="51"/>
      <c r="F104" s="51"/>
      <c r="G104" s="51" t="str">
        <f>IFERROR(__xludf.DUMMYFUNCTION("""COMPUTED_VALUE"""),"#VALUE!")</f>
        <v>#VALUE!</v>
      </c>
      <c r="H104" s="51" t="str">
        <f>IFERROR(__xludf.DUMMYFUNCTION("""COMPUTED_VALUE"""),"")</f>
        <v/>
      </c>
      <c r="I104" s="51" t="str">
        <f>IFERROR(__xludf.DUMMYFUNCTION("""COMPUTED_VALUE"""),"#VALUE!")</f>
        <v>#VALUE!</v>
      </c>
      <c r="J104" s="51" t="str">
        <f>IFERROR(__xludf.DUMMYFUNCTION("""COMPUTED_VALUE"""),"")</f>
        <v/>
      </c>
      <c r="K104" s="51"/>
      <c r="L104" s="51" t="s">
        <v>257</v>
      </c>
      <c r="M104" s="51"/>
      <c r="N104" s="51"/>
      <c r="O104" s="51"/>
      <c r="P104" s="51"/>
      <c r="Q104" s="51"/>
      <c r="R104" s="51"/>
      <c r="S104" s="51"/>
      <c r="T104" s="51"/>
    </row>
    <row r="105">
      <c r="A105" s="51"/>
      <c r="B105" s="51"/>
      <c r="C105" s="56"/>
      <c r="D105" s="51"/>
      <c r="E105" s="51"/>
      <c r="F105" s="51"/>
      <c r="G105" s="51" t="str">
        <f>IFERROR(__xludf.DUMMYFUNCTION("""COMPUTED_VALUE"""),"#VALUE!")</f>
        <v>#VALUE!</v>
      </c>
      <c r="H105" s="51" t="str">
        <f>IFERROR(__xludf.DUMMYFUNCTION("""COMPUTED_VALUE"""),"")</f>
        <v/>
      </c>
      <c r="I105" s="51" t="str">
        <f>IFERROR(__xludf.DUMMYFUNCTION("""COMPUTED_VALUE"""),"#VALUE!")</f>
        <v>#VALUE!</v>
      </c>
      <c r="J105" s="51" t="str">
        <f>IFERROR(__xludf.DUMMYFUNCTION("""COMPUTED_VALUE"""),"")</f>
        <v/>
      </c>
      <c r="K105" s="51"/>
      <c r="L105" s="51" t="s">
        <v>257</v>
      </c>
      <c r="M105" s="51"/>
      <c r="N105" s="51"/>
      <c r="O105" s="51"/>
      <c r="P105" s="51"/>
      <c r="Q105" s="51"/>
      <c r="R105" s="51"/>
      <c r="S105" s="51"/>
      <c r="T105" s="51"/>
    </row>
    <row r="106">
      <c r="A106" s="51"/>
      <c r="B106" s="51"/>
      <c r="C106" s="56"/>
      <c r="D106" s="51"/>
      <c r="E106" s="51"/>
      <c r="F106" s="51"/>
      <c r="G106" s="51" t="str">
        <f>IFERROR(__xludf.DUMMYFUNCTION("""COMPUTED_VALUE"""),"#VALUE!")</f>
        <v>#VALUE!</v>
      </c>
      <c r="H106" s="51" t="str">
        <f>IFERROR(__xludf.DUMMYFUNCTION("""COMPUTED_VALUE"""),"")</f>
        <v/>
      </c>
      <c r="I106" s="51" t="str">
        <f>IFERROR(__xludf.DUMMYFUNCTION("""COMPUTED_VALUE"""),"#VALUE!")</f>
        <v>#VALUE!</v>
      </c>
      <c r="J106" s="51" t="str">
        <f>IFERROR(__xludf.DUMMYFUNCTION("""COMPUTED_VALUE"""),"")</f>
        <v/>
      </c>
      <c r="K106" s="51"/>
      <c r="L106" s="51" t="s">
        <v>257</v>
      </c>
      <c r="M106" s="51"/>
      <c r="N106" s="51"/>
      <c r="O106" s="51"/>
      <c r="P106" s="51"/>
      <c r="Q106" s="51"/>
      <c r="R106" s="51"/>
      <c r="S106" s="51"/>
      <c r="T106" s="51"/>
    </row>
    <row r="107">
      <c r="A107" s="51"/>
      <c r="B107" s="51"/>
      <c r="C107" s="56"/>
      <c r="D107" s="51"/>
      <c r="E107" s="51"/>
      <c r="F107" s="51"/>
      <c r="G107" s="51" t="str">
        <f>IFERROR(__xludf.DUMMYFUNCTION("""COMPUTED_VALUE"""),"#VALUE!")</f>
        <v>#VALUE!</v>
      </c>
      <c r="H107" s="51" t="str">
        <f>IFERROR(__xludf.DUMMYFUNCTION("""COMPUTED_VALUE"""),"")</f>
        <v/>
      </c>
      <c r="I107" s="51" t="str">
        <f>IFERROR(__xludf.DUMMYFUNCTION("""COMPUTED_VALUE"""),"#VALUE!")</f>
        <v>#VALUE!</v>
      </c>
      <c r="J107" s="51" t="str">
        <f>IFERROR(__xludf.DUMMYFUNCTION("""COMPUTED_VALUE"""),"")</f>
        <v/>
      </c>
      <c r="K107" s="51"/>
      <c r="L107" s="51" t="s">
        <v>257</v>
      </c>
      <c r="M107" s="51"/>
      <c r="N107" s="51"/>
      <c r="O107" s="51"/>
      <c r="P107" s="51"/>
      <c r="Q107" s="51"/>
      <c r="R107" s="51"/>
      <c r="S107" s="51"/>
      <c r="T107" s="51"/>
    </row>
    <row r="108">
      <c r="A108" s="51"/>
      <c r="B108" s="51"/>
      <c r="C108" s="56"/>
      <c r="D108" s="51"/>
      <c r="E108" s="51"/>
      <c r="F108" s="51"/>
      <c r="G108" s="51" t="str">
        <f>IFERROR(__xludf.DUMMYFUNCTION("""COMPUTED_VALUE"""),"#VALUE!")</f>
        <v>#VALUE!</v>
      </c>
      <c r="H108" s="51" t="str">
        <f>IFERROR(__xludf.DUMMYFUNCTION("""COMPUTED_VALUE"""),"")</f>
        <v/>
      </c>
      <c r="I108" s="51" t="str">
        <f>IFERROR(__xludf.DUMMYFUNCTION("""COMPUTED_VALUE"""),"#VALUE!")</f>
        <v>#VALUE!</v>
      </c>
      <c r="J108" s="51" t="str">
        <f>IFERROR(__xludf.DUMMYFUNCTION("""COMPUTED_VALUE"""),"")</f>
        <v/>
      </c>
      <c r="K108" s="51"/>
      <c r="L108" s="51" t="s">
        <v>257</v>
      </c>
      <c r="M108" s="51"/>
      <c r="N108" s="51"/>
      <c r="O108" s="51"/>
      <c r="P108" s="51"/>
      <c r="Q108" s="51"/>
      <c r="R108" s="51"/>
      <c r="S108" s="51"/>
      <c r="T108" s="51"/>
    </row>
    <row r="109">
      <c r="A109" s="51"/>
      <c r="B109" s="51"/>
      <c r="C109" s="56"/>
      <c r="D109" s="51"/>
      <c r="E109" s="51"/>
      <c r="F109" s="51"/>
      <c r="G109" s="51" t="str">
        <f>IFERROR(__xludf.DUMMYFUNCTION("""COMPUTED_VALUE"""),"#VALUE!")</f>
        <v>#VALUE!</v>
      </c>
      <c r="H109" s="51" t="str">
        <f>IFERROR(__xludf.DUMMYFUNCTION("""COMPUTED_VALUE"""),"")</f>
        <v/>
      </c>
      <c r="I109" s="51" t="str">
        <f>IFERROR(__xludf.DUMMYFUNCTION("""COMPUTED_VALUE"""),"#VALUE!")</f>
        <v>#VALUE!</v>
      </c>
      <c r="J109" s="51" t="str">
        <f>IFERROR(__xludf.DUMMYFUNCTION("""COMPUTED_VALUE"""),"")</f>
        <v/>
      </c>
      <c r="K109" s="51"/>
      <c r="L109" s="51" t="s">
        <v>257</v>
      </c>
      <c r="M109" s="51"/>
      <c r="N109" s="51"/>
      <c r="O109" s="51"/>
      <c r="P109" s="51"/>
      <c r="Q109" s="51"/>
      <c r="R109" s="51"/>
      <c r="S109" s="51"/>
      <c r="T109" s="51"/>
    </row>
    <row r="110">
      <c r="A110" s="51"/>
      <c r="B110" s="51"/>
      <c r="C110" s="56"/>
      <c r="D110" s="51"/>
      <c r="E110" s="51"/>
      <c r="F110" s="51"/>
      <c r="G110" s="51" t="str">
        <f>IFERROR(__xludf.DUMMYFUNCTION("""COMPUTED_VALUE"""),"#VALUE!")</f>
        <v>#VALUE!</v>
      </c>
      <c r="H110" s="51" t="str">
        <f>IFERROR(__xludf.DUMMYFUNCTION("""COMPUTED_VALUE"""),"")</f>
        <v/>
      </c>
      <c r="I110" s="51" t="str">
        <f>IFERROR(__xludf.DUMMYFUNCTION("""COMPUTED_VALUE"""),"#VALUE!")</f>
        <v>#VALUE!</v>
      </c>
      <c r="J110" s="51" t="str">
        <f>IFERROR(__xludf.DUMMYFUNCTION("""COMPUTED_VALUE"""),"")</f>
        <v/>
      </c>
      <c r="K110" s="51"/>
      <c r="L110" s="51" t="s">
        <v>257</v>
      </c>
      <c r="M110" s="51"/>
      <c r="N110" s="51"/>
      <c r="O110" s="51"/>
      <c r="P110" s="51"/>
      <c r="Q110" s="51"/>
      <c r="R110" s="51"/>
      <c r="S110" s="51"/>
      <c r="T110" s="51"/>
    </row>
    <row r="111">
      <c r="A111" s="51"/>
      <c r="B111" s="51"/>
      <c r="C111" s="56"/>
      <c r="D111" s="51"/>
      <c r="E111" s="51"/>
      <c r="F111" s="51"/>
      <c r="G111" s="51" t="str">
        <f>IFERROR(__xludf.DUMMYFUNCTION("""COMPUTED_VALUE"""),"#VALUE!")</f>
        <v>#VALUE!</v>
      </c>
      <c r="H111" s="51" t="str">
        <f>IFERROR(__xludf.DUMMYFUNCTION("""COMPUTED_VALUE"""),"")</f>
        <v/>
      </c>
      <c r="I111" s="51" t="str">
        <f>IFERROR(__xludf.DUMMYFUNCTION("""COMPUTED_VALUE"""),"#VALUE!")</f>
        <v>#VALUE!</v>
      </c>
      <c r="J111" s="51" t="str">
        <f>IFERROR(__xludf.DUMMYFUNCTION("""COMPUTED_VALUE"""),"")</f>
        <v/>
      </c>
      <c r="K111" s="51"/>
      <c r="L111" s="51" t="s">
        <v>257</v>
      </c>
      <c r="M111" s="51"/>
      <c r="N111" s="51"/>
      <c r="O111" s="51"/>
      <c r="P111" s="51"/>
      <c r="Q111" s="51"/>
      <c r="R111" s="51"/>
      <c r="S111" s="51"/>
      <c r="T111" s="51"/>
    </row>
    <row r="112">
      <c r="A112" s="51"/>
      <c r="B112" s="51"/>
      <c r="C112" s="56"/>
      <c r="D112" s="51"/>
      <c r="E112" s="51"/>
      <c r="F112" s="51"/>
      <c r="G112" s="51" t="str">
        <f>IFERROR(__xludf.DUMMYFUNCTION("""COMPUTED_VALUE"""),"#VALUE!")</f>
        <v>#VALUE!</v>
      </c>
      <c r="H112" s="51" t="str">
        <f>IFERROR(__xludf.DUMMYFUNCTION("""COMPUTED_VALUE"""),"")</f>
        <v/>
      </c>
      <c r="I112" s="51" t="str">
        <f>IFERROR(__xludf.DUMMYFUNCTION("""COMPUTED_VALUE"""),"#VALUE!")</f>
        <v>#VALUE!</v>
      </c>
      <c r="J112" s="51" t="str">
        <f>IFERROR(__xludf.DUMMYFUNCTION("""COMPUTED_VALUE"""),"")</f>
        <v/>
      </c>
      <c r="K112" s="51"/>
      <c r="L112" s="51" t="s">
        <v>257</v>
      </c>
      <c r="M112" s="51"/>
      <c r="N112" s="51"/>
      <c r="O112" s="51"/>
      <c r="P112" s="51"/>
      <c r="Q112" s="51"/>
      <c r="R112" s="51"/>
      <c r="S112" s="51"/>
      <c r="T112" s="51"/>
    </row>
    <row r="113">
      <c r="A113" s="51"/>
      <c r="B113" s="51"/>
      <c r="C113" s="56"/>
      <c r="D113" s="51"/>
      <c r="E113" s="51"/>
      <c r="F113" s="51"/>
      <c r="G113" s="51" t="str">
        <f>IFERROR(__xludf.DUMMYFUNCTION("""COMPUTED_VALUE"""),"#VALUE!")</f>
        <v>#VALUE!</v>
      </c>
      <c r="H113" s="51" t="str">
        <f>IFERROR(__xludf.DUMMYFUNCTION("""COMPUTED_VALUE"""),"")</f>
        <v/>
      </c>
      <c r="I113" s="51" t="str">
        <f>IFERROR(__xludf.DUMMYFUNCTION("""COMPUTED_VALUE"""),"#VALUE!")</f>
        <v>#VALUE!</v>
      </c>
      <c r="J113" s="51" t="str">
        <f>IFERROR(__xludf.DUMMYFUNCTION("""COMPUTED_VALUE"""),"")</f>
        <v/>
      </c>
      <c r="K113" s="51"/>
      <c r="L113" s="51" t="s">
        <v>257</v>
      </c>
      <c r="M113" s="51"/>
      <c r="N113" s="51"/>
      <c r="O113" s="51"/>
      <c r="P113" s="51"/>
      <c r="Q113" s="51"/>
      <c r="R113" s="51"/>
      <c r="S113" s="51"/>
      <c r="T113" s="51"/>
    </row>
    <row r="114">
      <c r="A114" s="51"/>
      <c r="B114" s="51"/>
      <c r="C114" s="56"/>
      <c r="D114" s="51"/>
      <c r="E114" s="51"/>
      <c r="F114" s="51"/>
      <c r="G114" s="51" t="str">
        <f>IFERROR(__xludf.DUMMYFUNCTION("""COMPUTED_VALUE"""),"#VALUE!")</f>
        <v>#VALUE!</v>
      </c>
      <c r="H114" s="51" t="str">
        <f>IFERROR(__xludf.DUMMYFUNCTION("""COMPUTED_VALUE"""),"")</f>
        <v/>
      </c>
      <c r="I114" s="51" t="str">
        <f>IFERROR(__xludf.DUMMYFUNCTION("""COMPUTED_VALUE"""),"#VALUE!")</f>
        <v>#VALUE!</v>
      </c>
      <c r="J114" s="51" t="str">
        <f>IFERROR(__xludf.DUMMYFUNCTION("""COMPUTED_VALUE"""),"")</f>
        <v/>
      </c>
      <c r="K114" s="51"/>
      <c r="L114" s="51" t="s">
        <v>257</v>
      </c>
      <c r="M114" s="51"/>
      <c r="N114" s="51"/>
      <c r="O114" s="51"/>
      <c r="P114" s="51"/>
      <c r="Q114" s="51"/>
      <c r="R114" s="51"/>
      <c r="S114" s="51"/>
      <c r="T114" s="51"/>
    </row>
    <row r="115">
      <c r="A115" s="51"/>
      <c r="B115" s="51"/>
      <c r="C115" s="56"/>
      <c r="D115" s="51"/>
      <c r="E115" s="51"/>
      <c r="F115" s="51"/>
      <c r="G115" s="51" t="str">
        <f>IFERROR(__xludf.DUMMYFUNCTION("""COMPUTED_VALUE"""),"#VALUE!")</f>
        <v>#VALUE!</v>
      </c>
      <c r="H115" s="51" t="str">
        <f>IFERROR(__xludf.DUMMYFUNCTION("""COMPUTED_VALUE"""),"")</f>
        <v/>
      </c>
      <c r="I115" s="51" t="str">
        <f>IFERROR(__xludf.DUMMYFUNCTION("""COMPUTED_VALUE"""),"#VALUE!")</f>
        <v>#VALUE!</v>
      </c>
      <c r="J115" s="51" t="str">
        <f>IFERROR(__xludf.DUMMYFUNCTION("""COMPUTED_VALUE"""),"")</f>
        <v/>
      </c>
      <c r="K115" s="51"/>
      <c r="L115" s="51" t="s">
        <v>257</v>
      </c>
      <c r="M115" s="51"/>
      <c r="N115" s="51"/>
      <c r="O115" s="51"/>
      <c r="P115" s="51"/>
      <c r="Q115" s="51"/>
      <c r="R115" s="51"/>
      <c r="S115" s="51"/>
      <c r="T115" s="51"/>
    </row>
    <row r="116">
      <c r="A116" s="51"/>
      <c r="B116" s="51"/>
      <c r="C116" s="56"/>
      <c r="D116" s="51"/>
      <c r="E116" s="51"/>
      <c r="F116" s="51"/>
      <c r="G116" s="51" t="str">
        <f>IFERROR(__xludf.DUMMYFUNCTION("""COMPUTED_VALUE"""),"#VALUE!")</f>
        <v>#VALUE!</v>
      </c>
      <c r="H116" s="51" t="str">
        <f>IFERROR(__xludf.DUMMYFUNCTION("""COMPUTED_VALUE"""),"")</f>
        <v/>
      </c>
      <c r="I116" s="51" t="str">
        <f>IFERROR(__xludf.DUMMYFUNCTION("""COMPUTED_VALUE"""),"#VALUE!")</f>
        <v>#VALUE!</v>
      </c>
      <c r="J116" s="51" t="str">
        <f>IFERROR(__xludf.DUMMYFUNCTION("""COMPUTED_VALUE"""),"")</f>
        <v/>
      </c>
      <c r="K116" s="51"/>
      <c r="L116" s="51" t="s">
        <v>257</v>
      </c>
      <c r="M116" s="51"/>
      <c r="N116" s="51"/>
      <c r="O116" s="51"/>
      <c r="P116" s="51"/>
      <c r="Q116" s="51"/>
      <c r="R116" s="51"/>
      <c r="S116" s="51"/>
      <c r="T116" s="51"/>
    </row>
    <row r="117">
      <c r="A117" s="51"/>
      <c r="B117" s="51"/>
      <c r="C117" s="56"/>
      <c r="D117" s="51"/>
      <c r="E117" s="51"/>
      <c r="F117" s="51"/>
      <c r="G117" s="51" t="str">
        <f>IFERROR(__xludf.DUMMYFUNCTION("""COMPUTED_VALUE"""),"#VALUE!")</f>
        <v>#VALUE!</v>
      </c>
      <c r="H117" s="51" t="str">
        <f>IFERROR(__xludf.DUMMYFUNCTION("""COMPUTED_VALUE"""),"")</f>
        <v/>
      </c>
      <c r="I117" s="51" t="str">
        <f>IFERROR(__xludf.DUMMYFUNCTION("""COMPUTED_VALUE"""),"#VALUE!")</f>
        <v>#VALUE!</v>
      </c>
      <c r="J117" s="51" t="str">
        <f>IFERROR(__xludf.DUMMYFUNCTION("""COMPUTED_VALUE"""),"")</f>
        <v/>
      </c>
      <c r="K117" s="51"/>
      <c r="L117" s="51" t="s">
        <v>257</v>
      </c>
      <c r="M117" s="51"/>
      <c r="N117" s="51"/>
      <c r="O117" s="51"/>
      <c r="P117" s="51"/>
      <c r="Q117" s="51"/>
      <c r="R117" s="51"/>
      <c r="S117" s="51"/>
      <c r="T117" s="51"/>
    </row>
    <row r="118">
      <c r="A118" s="51"/>
      <c r="B118" s="51"/>
      <c r="C118" s="56"/>
      <c r="D118" s="51"/>
      <c r="E118" s="51"/>
      <c r="F118" s="51"/>
      <c r="G118" s="51" t="str">
        <f>IFERROR(__xludf.DUMMYFUNCTION("""COMPUTED_VALUE"""),"#VALUE!")</f>
        <v>#VALUE!</v>
      </c>
      <c r="H118" s="51" t="str">
        <f>IFERROR(__xludf.DUMMYFUNCTION("""COMPUTED_VALUE"""),"")</f>
        <v/>
      </c>
      <c r="I118" s="51" t="str">
        <f>IFERROR(__xludf.DUMMYFUNCTION("""COMPUTED_VALUE"""),"#VALUE!")</f>
        <v>#VALUE!</v>
      </c>
      <c r="J118" s="51" t="str">
        <f>IFERROR(__xludf.DUMMYFUNCTION("""COMPUTED_VALUE"""),"")</f>
        <v/>
      </c>
      <c r="K118" s="51"/>
      <c r="L118" s="51" t="s">
        <v>257</v>
      </c>
      <c r="M118" s="51"/>
      <c r="N118" s="51"/>
      <c r="O118" s="51"/>
      <c r="P118" s="51"/>
      <c r="Q118" s="51"/>
      <c r="R118" s="51"/>
      <c r="S118" s="51"/>
      <c r="T118" s="51"/>
    </row>
    <row r="119">
      <c r="A119" s="51"/>
      <c r="B119" s="51"/>
      <c r="C119" s="56"/>
      <c r="D119" s="51"/>
      <c r="E119" s="51"/>
      <c r="F119" s="51"/>
      <c r="G119" s="51" t="str">
        <f>IFERROR(__xludf.DUMMYFUNCTION("""COMPUTED_VALUE"""),"#VALUE!")</f>
        <v>#VALUE!</v>
      </c>
      <c r="H119" s="51" t="str">
        <f>IFERROR(__xludf.DUMMYFUNCTION("""COMPUTED_VALUE"""),"")</f>
        <v/>
      </c>
      <c r="I119" s="51" t="str">
        <f>IFERROR(__xludf.DUMMYFUNCTION("""COMPUTED_VALUE"""),"#VALUE!")</f>
        <v>#VALUE!</v>
      </c>
      <c r="J119" s="51" t="str">
        <f>IFERROR(__xludf.DUMMYFUNCTION("""COMPUTED_VALUE"""),"")</f>
        <v/>
      </c>
      <c r="K119" s="51"/>
      <c r="L119" s="51" t="s">
        <v>257</v>
      </c>
      <c r="M119" s="51"/>
      <c r="N119" s="51"/>
      <c r="O119" s="51"/>
      <c r="P119" s="51"/>
      <c r="Q119" s="51"/>
      <c r="R119" s="51"/>
      <c r="S119" s="51"/>
      <c r="T119" s="51"/>
    </row>
    <row r="120">
      <c r="A120" s="51"/>
      <c r="B120" s="51"/>
      <c r="C120" s="56"/>
      <c r="D120" s="51"/>
      <c r="E120" s="51"/>
      <c r="F120" s="51"/>
      <c r="G120" s="51" t="str">
        <f>IFERROR(__xludf.DUMMYFUNCTION("""COMPUTED_VALUE"""),"#VALUE!")</f>
        <v>#VALUE!</v>
      </c>
      <c r="H120" s="51" t="str">
        <f>IFERROR(__xludf.DUMMYFUNCTION("""COMPUTED_VALUE"""),"")</f>
        <v/>
      </c>
      <c r="I120" s="51" t="str">
        <f>IFERROR(__xludf.DUMMYFUNCTION("""COMPUTED_VALUE"""),"#VALUE!")</f>
        <v>#VALUE!</v>
      </c>
      <c r="J120" s="51" t="str">
        <f>IFERROR(__xludf.DUMMYFUNCTION("""COMPUTED_VALUE"""),"")</f>
        <v/>
      </c>
      <c r="K120" s="51"/>
      <c r="L120" s="51" t="s">
        <v>257</v>
      </c>
      <c r="M120" s="51"/>
      <c r="N120" s="51"/>
      <c r="O120" s="51"/>
      <c r="P120" s="51"/>
      <c r="Q120" s="51"/>
      <c r="R120" s="51"/>
      <c r="S120" s="51"/>
      <c r="T120" s="51"/>
    </row>
    <row r="121">
      <c r="A121" s="51"/>
      <c r="B121" s="51"/>
      <c r="C121" s="56"/>
      <c r="D121" s="51"/>
      <c r="E121" s="51"/>
      <c r="F121" s="51"/>
      <c r="G121" s="51" t="str">
        <f>IFERROR(__xludf.DUMMYFUNCTION("""COMPUTED_VALUE"""),"#VALUE!")</f>
        <v>#VALUE!</v>
      </c>
      <c r="H121" s="51" t="str">
        <f>IFERROR(__xludf.DUMMYFUNCTION("""COMPUTED_VALUE"""),"")</f>
        <v/>
      </c>
      <c r="I121" s="51" t="str">
        <f>IFERROR(__xludf.DUMMYFUNCTION("""COMPUTED_VALUE"""),"#VALUE!")</f>
        <v>#VALUE!</v>
      </c>
      <c r="J121" s="51" t="str">
        <f>IFERROR(__xludf.DUMMYFUNCTION("""COMPUTED_VALUE"""),"")</f>
        <v/>
      </c>
      <c r="K121" s="51"/>
      <c r="L121" s="51" t="s">
        <v>257</v>
      </c>
      <c r="M121" s="51"/>
      <c r="N121" s="51"/>
      <c r="O121" s="51"/>
      <c r="P121" s="51"/>
      <c r="Q121" s="51"/>
      <c r="R121" s="51"/>
      <c r="S121" s="51"/>
      <c r="T121" s="51"/>
    </row>
    <row r="122">
      <c r="A122" s="51"/>
      <c r="B122" s="51"/>
      <c r="C122" s="56"/>
      <c r="D122" s="51"/>
      <c r="E122" s="51"/>
      <c r="F122" s="51"/>
      <c r="G122" s="51" t="str">
        <f>IFERROR(__xludf.DUMMYFUNCTION("""COMPUTED_VALUE"""),"#VALUE!")</f>
        <v>#VALUE!</v>
      </c>
      <c r="H122" s="51" t="str">
        <f>IFERROR(__xludf.DUMMYFUNCTION("""COMPUTED_VALUE"""),"")</f>
        <v/>
      </c>
      <c r="I122" s="51" t="str">
        <f>IFERROR(__xludf.DUMMYFUNCTION("""COMPUTED_VALUE"""),"#VALUE!")</f>
        <v>#VALUE!</v>
      </c>
      <c r="J122" s="51" t="str">
        <f>IFERROR(__xludf.DUMMYFUNCTION("""COMPUTED_VALUE"""),"")</f>
        <v/>
      </c>
      <c r="K122" s="51"/>
      <c r="L122" s="51" t="s">
        <v>257</v>
      </c>
      <c r="M122" s="51"/>
      <c r="N122" s="51"/>
      <c r="O122" s="51"/>
      <c r="P122" s="51"/>
      <c r="Q122" s="51"/>
      <c r="R122" s="51"/>
      <c r="S122" s="51"/>
      <c r="T122" s="51"/>
    </row>
    <row r="123">
      <c r="A123" s="51"/>
      <c r="B123" s="51"/>
      <c r="C123" s="56"/>
      <c r="D123" s="51"/>
      <c r="E123" s="51"/>
      <c r="F123" s="51"/>
      <c r="G123" s="51" t="str">
        <f>IFERROR(__xludf.DUMMYFUNCTION("""COMPUTED_VALUE"""),"#VALUE!")</f>
        <v>#VALUE!</v>
      </c>
      <c r="H123" s="51" t="str">
        <f>IFERROR(__xludf.DUMMYFUNCTION("""COMPUTED_VALUE"""),"")</f>
        <v/>
      </c>
      <c r="I123" s="51" t="str">
        <f>IFERROR(__xludf.DUMMYFUNCTION("""COMPUTED_VALUE"""),"#VALUE!")</f>
        <v>#VALUE!</v>
      </c>
      <c r="J123" s="51" t="str">
        <f>IFERROR(__xludf.DUMMYFUNCTION("""COMPUTED_VALUE"""),"")</f>
        <v/>
      </c>
      <c r="K123" s="51"/>
      <c r="L123" s="51" t="s">
        <v>257</v>
      </c>
      <c r="M123" s="51"/>
      <c r="N123" s="51"/>
      <c r="O123" s="51"/>
      <c r="P123" s="51"/>
      <c r="Q123" s="51"/>
      <c r="R123" s="51"/>
      <c r="S123" s="51"/>
      <c r="T123" s="51"/>
    </row>
    <row r="124">
      <c r="A124" s="51"/>
      <c r="B124" s="51"/>
      <c r="C124" s="56"/>
      <c r="D124" s="51"/>
      <c r="E124" s="51"/>
      <c r="F124" s="51"/>
      <c r="G124" s="51" t="str">
        <f>IFERROR(__xludf.DUMMYFUNCTION("""COMPUTED_VALUE"""),"#VALUE!")</f>
        <v>#VALUE!</v>
      </c>
      <c r="H124" s="51" t="str">
        <f>IFERROR(__xludf.DUMMYFUNCTION("""COMPUTED_VALUE"""),"")</f>
        <v/>
      </c>
      <c r="I124" s="51" t="str">
        <f>IFERROR(__xludf.DUMMYFUNCTION("""COMPUTED_VALUE"""),"#VALUE!")</f>
        <v>#VALUE!</v>
      </c>
      <c r="J124" s="51" t="str">
        <f>IFERROR(__xludf.DUMMYFUNCTION("""COMPUTED_VALUE"""),"")</f>
        <v/>
      </c>
      <c r="K124" s="51"/>
      <c r="L124" s="51" t="s">
        <v>257</v>
      </c>
      <c r="M124" s="51"/>
      <c r="N124" s="51"/>
      <c r="O124" s="51"/>
      <c r="P124" s="51"/>
      <c r="Q124" s="51"/>
      <c r="R124" s="51"/>
      <c r="S124" s="51"/>
      <c r="T124" s="51"/>
    </row>
    <row r="125">
      <c r="A125" s="51"/>
      <c r="B125" s="51"/>
      <c r="C125" s="56"/>
      <c r="D125" s="51"/>
      <c r="E125" s="51"/>
      <c r="F125" s="51"/>
      <c r="G125" s="51" t="str">
        <f>IFERROR(__xludf.DUMMYFUNCTION("""COMPUTED_VALUE"""),"#VALUE!")</f>
        <v>#VALUE!</v>
      </c>
      <c r="H125" s="51" t="str">
        <f>IFERROR(__xludf.DUMMYFUNCTION("""COMPUTED_VALUE"""),"")</f>
        <v/>
      </c>
      <c r="I125" s="51" t="str">
        <f>IFERROR(__xludf.DUMMYFUNCTION("""COMPUTED_VALUE"""),"#VALUE!")</f>
        <v>#VALUE!</v>
      </c>
      <c r="J125" s="51" t="str">
        <f>IFERROR(__xludf.DUMMYFUNCTION("""COMPUTED_VALUE"""),"")</f>
        <v/>
      </c>
      <c r="K125" s="51"/>
      <c r="L125" s="51" t="s">
        <v>257</v>
      </c>
      <c r="M125" s="51"/>
      <c r="N125" s="51"/>
      <c r="O125" s="51"/>
      <c r="P125" s="51"/>
      <c r="Q125" s="51"/>
      <c r="R125" s="51"/>
      <c r="S125" s="51"/>
      <c r="T125" s="51"/>
    </row>
    <row r="126">
      <c r="A126" s="51"/>
      <c r="B126" s="51"/>
      <c r="C126" s="56"/>
      <c r="D126" s="51"/>
      <c r="E126" s="51"/>
      <c r="F126" s="51"/>
      <c r="G126" s="51" t="str">
        <f>IFERROR(__xludf.DUMMYFUNCTION("""COMPUTED_VALUE"""),"#VALUE!")</f>
        <v>#VALUE!</v>
      </c>
      <c r="H126" s="51" t="str">
        <f>IFERROR(__xludf.DUMMYFUNCTION("""COMPUTED_VALUE"""),"")</f>
        <v/>
      </c>
      <c r="I126" s="51" t="str">
        <f>IFERROR(__xludf.DUMMYFUNCTION("""COMPUTED_VALUE"""),"#VALUE!")</f>
        <v>#VALUE!</v>
      </c>
      <c r="J126" s="51" t="str">
        <f>IFERROR(__xludf.DUMMYFUNCTION("""COMPUTED_VALUE"""),"")</f>
        <v/>
      </c>
      <c r="K126" s="51"/>
      <c r="L126" s="51" t="s">
        <v>257</v>
      </c>
      <c r="M126" s="51"/>
      <c r="N126" s="51"/>
      <c r="O126" s="51"/>
      <c r="P126" s="51"/>
      <c r="Q126" s="51"/>
      <c r="R126" s="51"/>
      <c r="S126" s="51"/>
      <c r="T126" s="51"/>
    </row>
    <row r="127">
      <c r="A127" s="51"/>
      <c r="B127" s="51"/>
      <c r="C127" s="56"/>
      <c r="D127" s="51"/>
      <c r="E127" s="51"/>
      <c r="F127" s="51"/>
      <c r="G127" s="51" t="str">
        <f>IFERROR(__xludf.DUMMYFUNCTION("""COMPUTED_VALUE"""),"#VALUE!")</f>
        <v>#VALUE!</v>
      </c>
      <c r="H127" s="51" t="str">
        <f>IFERROR(__xludf.DUMMYFUNCTION("""COMPUTED_VALUE"""),"")</f>
        <v/>
      </c>
      <c r="I127" s="51" t="str">
        <f>IFERROR(__xludf.DUMMYFUNCTION("""COMPUTED_VALUE"""),"#VALUE!")</f>
        <v>#VALUE!</v>
      </c>
      <c r="J127" s="51" t="str">
        <f>IFERROR(__xludf.DUMMYFUNCTION("""COMPUTED_VALUE"""),"")</f>
        <v/>
      </c>
      <c r="K127" s="51"/>
      <c r="L127" s="51" t="s">
        <v>257</v>
      </c>
      <c r="M127" s="51"/>
      <c r="N127" s="51"/>
      <c r="O127" s="51"/>
      <c r="P127" s="51"/>
      <c r="Q127" s="51"/>
      <c r="R127" s="51"/>
      <c r="S127" s="51"/>
      <c r="T127" s="51"/>
    </row>
    <row r="128">
      <c r="A128" s="51"/>
      <c r="B128" s="51"/>
      <c r="C128" s="56"/>
      <c r="D128" s="51"/>
      <c r="E128" s="51"/>
      <c r="F128" s="51"/>
      <c r="G128" s="51" t="str">
        <f>IFERROR(__xludf.DUMMYFUNCTION("""COMPUTED_VALUE"""),"#VALUE!")</f>
        <v>#VALUE!</v>
      </c>
      <c r="H128" s="51" t="str">
        <f>IFERROR(__xludf.DUMMYFUNCTION("""COMPUTED_VALUE"""),"")</f>
        <v/>
      </c>
      <c r="I128" s="51" t="str">
        <f>IFERROR(__xludf.DUMMYFUNCTION("""COMPUTED_VALUE"""),"#VALUE!")</f>
        <v>#VALUE!</v>
      </c>
      <c r="J128" s="51" t="str">
        <f>IFERROR(__xludf.DUMMYFUNCTION("""COMPUTED_VALUE"""),"")</f>
        <v/>
      </c>
      <c r="K128" s="51"/>
      <c r="L128" s="51" t="s">
        <v>257</v>
      </c>
      <c r="M128" s="51"/>
      <c r="N128" s="51"/>
      <c r="O128" s="51"/>
      <c r="P128" s="51"/>
      <c r="Q128" s="51"/>
      <c r="R128" s="51"/>
      <c r="S128" s="51"/>
      <c r="T128" s="51"/>
    </row>
    <row r="129">
      <c r="A129" s="51"/>
      <c r="B129" s="51"/>
      <c r="C129" s="56"/>
      <c r="D129" s="51"/>
      <c r="E129" s="51"/>
      <c r="F129" s="51"/>
      <c r="G129" s="51" t="str">
        <f>IFERROR(__xludf.DUMMYFUNCTION("""COMPUTED_VALUE"""),"#VALUE!")</f>
        <v>#VALUE!</v>
      </c>
      <c r="H129" s="51" t="str">
        <f>IFERROR(__xludf.DUMMYFUNCTION("""COMPUTED_VALUE"""),"")</f>
        <v/>
      </c>
      <c r="I129" s="51" t="str">
        <f>IFERROR(__xludf.DUMMYFUNCTION("""COMPUTED_VALUE"""),"#VALUE!")</f>
        <v>#VALUE!</v>
      </c>
      <c r="J129" s="51" t="str">
        <f>IFERROR(__xludf.DUMMYFUNCTION("""COMPUTED_VALUE"""),"")</f>
        <v/>
      </c>
      <c r="K129" s="51"/>
      <c r="L129" s="51" t="s">
        <v>257</v>
      </c>
      <c r="M129" s="51"/>
      <c r="N129" s="51"/>
      <c r="O129" s="51"/>
      <c r="P129" s="51"/>
      <c r="Q129" s="51"/>
      <c r="R129" s="51"/>
      <c r="S129" s="51"/>
      <c r="T129" s="51"/>
    </row>
    <row r="130">
      <c r="A130" s="51"/>
      <c r="B130" s="51"/>
      <c r="C130" s="56"/>
      <c r="D130" s="51"/>
      <c r="E130" s="51"/>
      <c r="F130" s="51"/>
      <c r="G130" s="51" t="str">
        <f>IFERROR(__xludf.DUMMYFUNCTION("""COMPUTED_VALUE"""),"#VALUE!")</f>
        <v>#VALUE!</v>
      </c>
      <c r="H130" s="51" t="str">
        <f>IFERROR(__xludf.DUMMYFUNCTION("""COMPUTED_VALUE"""),"")</f>
        <v/>
      </c>
      <c r="I130" s="51" t="str">
        <f>IFERROR(__xludf.DUMMYFUNCTION("""COMPUTED_VALUE"""),"#VALUE!")</f>
        <v>#VALUE!</v>
      </c>
      <c r="J130" s="51" t="str">
        <f>IFERROR(__xludf.DUMMYFUNCTION("""COMPUTED_VALUE"""),"")</f>
        <v/>
      </c>
      <c r="K130" s="51"/>
      <c r="L130" s="51" t="s">
        <v>257</v>
      </c>
      <c r="M130" s="51"/>
      <c r="N130" s="51"/>
      <c r="O130" s="51"/>
      <c r="P130" s="51"/>
      <c r="Q130" s="51"/>
      <c r="R130" s="51"/>
      <c r="S130" s="51"/>
      <c r="T130" s="51"/>
    </row>
    <row r="131">
      <c r="A131" s="51"/>
      <c r="B131" s="51"/>
      <c r="C131" s="56"/>
      <c r="D131" s="51"/>
      <c r="E131" s="51"/>
      <c r="F131" s="51"/>
      <c r="G131" s="51" t="str">
        <f>IFERROR(__xludf.DUMMYFUNCTION("""COMPUTED_VALUE"""),"#VALUE!")</f>
        <v>#VALUE!</v>
      </c>
      <c r="H131" s="51" t="str">
        <f>IFERROR(__xludf.DUMMYFUNCTION("""COMPUTED_VALUE"""),"")</f>
        <v/>
      </c>
      <c r="I131" s="51" t="str">
        <f>IFERROR(__xludf.DUMMYFUNCTION("""COMPUTED_VALUE"""),"#VALUE!")</f>
        <v>#VALUE!</v>
      </c>
      <c r="J131" s="51" t="str">
        <f>IFERROR(__xludf.DUMMYFUNCTION("""COMPUTED_VALUE"""),"")</f>
        <v/>
      </c>
      <c r="K131" s="51"/>
      <c r="L131" s="51" t="s">
        <v>257</v>
      </c>
      <c r="M131" s="51"/>
      <c r="N131" s="51"/>
      <c r="O131" s="51"/>
      <c r="P131" s="51"/>
      <c r="Q131" s="51"/>
      <c r="R131" s="51"/>
      <c r="S131" s="51"/>
      <c r="T131" s="51"/>
    </row>
    <row r="132">
      <c r="A132" s="51"/>
      <c r="B132" s="51"/>
      <c r="C132" s="56"/>
      <c r="D132" s="51"/>
      <c r="E132" s="51"/>
      <c r="F132" s="51"/>
      <c r="G132" s="51" t="str">
        <f>IFERROR(__xludf.DUMMYFUNCTION("""COMPUTED_VALUE"""),"#VALUE!")</f>
        <v>#VALUE!</v>
      </c>
      <c r="H132" s="51" t="str">
        <f>IFERROR(__xludf.DUMMYFUNCTION("""COMPUTED_VALUE"""),"")</f>
        <v/>
      </c>
      <c r="I132" s="51" t="str">
        <f>IFERROR(__xludf.DUMMYFUNCTION("""COMPUTED_VALUE"""),"#VALUE!")</f>
        <v>#VALUE!</v>
      </c>
      <c r="J132" s="51" t="str">
        <f>IFERROR(__xludf.DUMMYFUNCTION("""COMPUTED_VALUE"""),"")</f>
        <v/>
      </c>
      <c r="K132" s="51"/>
      <c r="L132" s="51" t="s">
        <v>257</v>
      </c>
      <c r="M132" s="51"/>
      <c r="N132" s="51"/>
      <c r="O132" s="51"/>
      <c r="P132" s="51"/>
      <c r="Q132" s="51"/>
      <c r="R132" s="51"/>
      <c r="S132" s="51"/>
      <c r="T132" s="51"/>
    </row>
    <row r="133">
      <c r="A133" s="51"/>
      <c r="B133" s="51"/>
      <c r="C133" s="56"/>
      <c r="D133" s="51"/>
      <c r="E133" s="51"/>
      <c r="F133" s="51"/>
      <c r="G133" s="51" t="str">
        <f>IFERROR(__xludf.DUMMYFUNCTION("""COMPUTED_VALUE"""),"#VALUE!")</f>
        <v>#VALUE!</v>
      </c>
      <c r="H133" s="51" t="str">
        <f>IFERROR(__xludf.DUMMYFUNCTION("""COMPUTED_VALUE"""),"")</f>
        <v/>
      </c>
      <c r="I133" s="51" t="str">
        <f>IFERROR(__xludf.DUMMYFUNCTION("""COMPUTED_VALUE"""),"#VALUE!")</f>
        <v>#VALUE!</v>
      </c>
      <c r="J133" s="51" t="str">
        <f>IFERROR(__xludf.DUMMYFUNCTION("""COMPUTED_VALUE"""),"")</f>
        <v/>
      </c>
      <c r="K133" s="51"/>
      <c r="L133" s="51" t="s">
        <v>257</v>
      </c>
      <c r="M133" s="51"/>
      <c r="N133" s="51"/>
      <c r="O133" s="51"/>
      <c r="P133" s="51"/>
      <c r="Q133" s="51"/>
      <c r="R133" s="51"/>
      <c r="S133" s="51"/>
      <c r="T133" s="51"/>
    </row>
    <row r="134">
      <c r="A134" s="51"/>
      <c r="B134" s="51"/>
      <c r="C134" s="56"/>
      <c r="D134" s="51"/>
      <c r="E134" s="51"/>
      <c r="F134" s="51"/>
      <c r="G134" s="51" t="str">
        <f>IFERROR(__xludf.DUMMYFUNCTION("""COMPUTED_VALUE"""),"#VALUE!")</f>
        <v>#VALUE!</v>
      </c>
      <c r="H134" s="51" t="str">
        <f>IFERROR(__xludf.DUMMYFUNCTION("""COMPUTED_VALUE"""),"")</f>
        <v/>
      </c>
      <c r="I134" s="51" t="str">
        <f>IFERROR(__xludf.DUMMYFUNCTION("""COMPUTED_VALUE"""),"#VALUE!")</f>
        <v>#VALUE!</v>
      </c>
      <c r="J134" s="51" t="str">
        <f>IFERROR(__xludf.DUMMYFUNCTION("""COMPUTED_VALUE"""),"")</f>
        <v/>
      </c>
      <c r="K134" s="51"/>
      <c r="L134" s="51" t="s">
        <v>257</v>
      </c>
      <c r="M134" s="51"/>
      <c r="N134" s="51"/>
      <c r="O134" s="51"/>
      <c r="P134" s="51"/>
      <c r="Q134" s="51"/>
      <c r="R134" s="51"/>
      <c r="S134" s="51"/>
      <c r="T134" s="51"/>
    </row>
    <row r="135">
      <c r="A135" s="51"/>
      <c r="B135" s="51"/>
      <c r="C135" s="56"/>
      <c r="D135" s="51"/>
      <c r="E135" s="51"/>
      <c r="F135" s="51"/>
      <c r="G135" s="51" t="str">
        <f>IFERROR(__xludf.DUMMYFUNCTION("""COMPUTED_VALUE"""),"#VALUE!")</f>
        <v>#VALUE!</v>
      </c>
      <c r="H135" s="51" t="str">
        <f>IFERROR(__xludf.DUMMYFUNCTION("""COMPUTED_VALUE"""),"")</f>
        <v/>
      </c>
      <c r="I135" s="51" t="str">
        <f>IFERROR(__xludf.DUMMYFUNCTION("""COMPUTED_VALUE"""),"#VALUE!")</f>
        <v>#VALUE!</v>
      </c>
      <c r="J135" s="51" t="str">
        <f>IFERROR(__xludf.DUMMYFUNCTION("""COMPUTED_VALUE"""),"")</f>
        <v/>
      </c>
      <c r="K135" s="51"/>
      <c r="L135" s="51" t="s">
        <v>257</v>
      </c>
      <c r="M135" s="51"/>
      <c r="N135" s="51"/>
      <c r="O135" s="51"/>
      <c r="P135" s="51"/>
      <c r="Q135" s="51"/>
      <c r="R135" s="51"/>
      <c r="S135" s="51"/>
      <c r="T135" s="51"/>
    </row>
    <row r="136">
      <c r="A136" s="51"/>
      <c r="B136" s="51"/>
      <c r="C136" s="56"/>
      <c r="D136" s="51"/>
      <c r="E136" s="51"/>
      <c r="F136" s="51"/>
      <c r="G136" s="51" t="str">
        <f>IFERROR(__xludf.DUMMYFUNCTION("""COMPUTED_VALUE"""),"#VALUE!")</f>
        <v>#VALUE!</v>
      </c>
      <c r="H136" s="51" t="str">
        <f>IFERROR(__xludf.DUMMYFUNCTION("""COMPUTED_VALUE"""),"")</f>
        <v/>
      </c>
      <c r="I136" s="51" t="str">
        <f>IFERROR(__xludf.DUMMYFUNCTION("""COMPUTED_VALUE"""),"#VALUE!")</f>
        <v>#VALUE!</v>
      </c>
      <c r="J136" s="51" t="str">
        <f>IFERROR(__xludf.DUMMYFUNCTION("""COMPUTED_VALUE"""),"")</f>
        <v/>
      </c>
      <c r="K136" s="51"/>
      <c r="L136" s="51" t="s">
        <v>257</v>
      </c>
      <c r="M136" s="51"/>
      <c r="N136" s="51"/>
      <c r="O136" s="51"/>
      <c r="P136" s="51"/>
      <c r="Q136" s="51"/>
      <c r="R136" s="51"/>
      <c r="S136" s="51"/>
      <c r="T136" s="51"/>
    </row>
    <row r="137">
      <c r="A137" s="51"/>
      <c r="B137" s="51"/>
      <c r="C137" s="56"/>
      <c r="D137" s="51"/>
      <c r="E137" s="51"/>
      <c r="F137" s="51"/>
      <c r="G137" s="51" t="str">
        <f>IFERROR(__xludf.DUMMYFUNCTION("""COMPUTED_VALUE"""),"#VALUE!")</f>
        <v>#VALUE!</v>
      </c>
      <c r="H137" s="51" t="str">
        <f>IFERROR(__xludf.DUMMYFUNCTION("""COMPUTED_VALUE"""),"")</f>
        <v/>
      </c>
      <c r="I137" s="51" t="str">
        <f>IFERROR(__xludf.DUMMYFUNCTION("""COMPUTED_VALUE"""),"#VALUE!")</f>
        <v>#VALUE!</v>
      </c>
      <c r="J137" s="51" t="str">
        <f>IFERROR(__xludf.DUMMYFUNCTION("""COMPUTED_VALUE"""),"")</f>
        <v/>
      </c>
      <c r="K137" s="51"/>
      <c r="L137" s="51" t="s">
        <v>257</v>
      </c>
      <c r="M137" s="51"/>
      <c r="N137" s="51"/>
      <c r="O137" s="51"/>
      <c r="P137" s="51"/>
      <c r="Q137" s="51"/>
      <c r="R137" s="51"/>
      <c r="S137" s="51"/>
      <c r="T137" s="51"/>
    </row>
    <row r="138">
      <c r="A138" s="51"/>
      <c r="B138" s="51"/>
      <c r="C138" s="56"/>
      <c r="D138" s="51"/>
      <c r="E138" s="51"/>
      <c r="F138" s="51"/>
      <c r="G138" s="51" t="str">
        <f>IFERROR(__xludf.DUMMYFUNCTION("""COMPUTED_VALUE"""),"#VALUE!")</f>
        <v>#VALUE!</v>
      </c>
      <c r="H138" s="51" t="str">
        <f>IFERROR(__xludf.DUMMYFUNCTION("""COMPUTED_VALUE"""),"")</f>
        <v/>
      </c>
      <c r="I138" s="51" t="str">
        <f>IFERROR(__xludf.DUMMYFUNCTION("""COMPUTED_VALUE"""),"#VALUE!")</f>
        <v>#VALUE!</v>
      </c>
      <c r="J138" s="51" t="str">
        <f>IFERROR(__xludf.DUMMYFUNCTION("""COMPUTED_VALUE"""),"")</f>
        <v/>
      </c>
      <c r="K138" s="51"/>
      <c r="L138" s="51" t="s">
        <v>257</v>
      </c>
      <c r="M138" s="51"/>
      <c r="N138" s="51"/>
      <c r="O138" s="51"/>
      <c r="P138" s="51"/>
      <c r="Q138" s="51"/>
      <c r="R138" s="51"/>
      <c r="S138" s="51"/>
      <c r="T138" s="51"/>
    </row>
    <row r="139">
      <c r="A139" s="51"/>
      <c r="B139" s="51"/>
      <c r="C139" s="56"/>
      <c r="D139" s="51"/>
      <c r="E139" s="51"/>
      <c r="F139" s="51"/>
      <c r="G139" s="51" t="str">
        <f>IFERROR(__xludf.DUMMYFUNCTION("""COMPUTED_VALUE"""),"#VALUE!")</f>
        <v>#VALUE!</v>
      </c>
      <c r="H139" s="51" t="str">
        <f>IFERROR(__xludf.DUMMYFUNCTION("""COMPUTED_VALUE"""),"")</f>
        <v/>
      </c>
      <c r="I139" s="51" t="str">
        <f>IFERROR(__xludf.DUMMYFUNCTION("""COMPUTED_VALUE"""),"#VALUE!")</f>
        <v>#VALUE!</v>
      </c>
      <c r="J139" s="51" t="str">
        <f>IFERROR(__xludf.DUMMYFUNCTION("""COMPUTED_VALUE"""),"")</f>
        <v/>
      </c>
      <c r="K139" s="51"/>
      <c r="L139" s="51" t="s">
        <v>257</v>
      </c>
      <c r="M139" s="51"/>
      <c r="N139" s="51"/>
      <c r="O139" s="51"/>
      <c r="P139" s="51"/>
      <c r="Q139" s="51"/>
      <c r="R139" s="51"/>
      <c r="S139" s="51"/>
      <c r="T139" s="51"/>
    </row>
    <row r="140">
      <c r="A140" s="51"/>
      <c r="B140" s="51"/>
      <c r="C140" s="56"/>
      <c r="D140" s="51"/>
      <c r="E140" s="51"/>
      <c r="F140" s="51"/>
      <c r="G140" s="51" t="str">
        <f>IFERROR(__xludf.DUMMYFUNCTION("""COMPUTED_VALUE"""),"#VALUE!")</f>
        <v>#VALUE!</v>
      </c>
      <c r="H140" s="51" t="str">
        <f>IFERROR(__xludf.DUMMYFUNCTION("""COMPUTED_VALUE"""),"")</f>
        <v/>
      </c>
      <c r="I140" s="51" t="str">
        <f>IFERROR(__xludf.DUMMYFUNCTION("""COMPUTED_VALUE"""),"#VALUE!")</f>
        <v>#VALUE!</v>
      </c>
      <c r="J140" s="51" t="str">
        <f>IFERROR(__xludf.DUMMYFUNCTION("""COMPUTED_VALUE"""),"")</f>
        <v/>
      </c>
      <c r="K140" s="51"/>
      <c r="L140" s="51" t="s">
        <v>257</v>
      </c>
      <c r="M140" s="51"/>
      <c r="N140" s="51"/>
      <c r="O140" s="51"/>
      <c r="P140" s="51"/>
      <c r="Q140" s="51"/>
      <c r="R140" s="51"/>
      <c r="S140" s="51"/>
      <c r="T140" s="51"/>
    </row>
    <row r="141">
      <c r="A141" s="51"/>
      <c r="B141" s="51"/>
      <c r="C141" s="56"/>
      <c r="D141" s="51"/>
      <c r="E141" s="51"/>
      <c r="F141" s="51"/>
      <c r="G141" s="51" t="str">
        <f>IFERROR(__xludf.DUMMYFUNCTION("""COMPUTED_VALUE"""),"#VALUE!")</f>
        <v>#VALUE!</v>
      </c>
      <c r="H141" s="51" t="str">
        <f>IFERROR(__xludf.DUMMYFUNCTION("""COMPUTED_VALUE"""),"")</f>
        <v/>
      </c>
      <c r="I141" s="51" t="str">
        <f>IFERROR(__xludf.DUMMYFUNCTION("""COMPUTED_VALUE"""),"#VALUE!")</f>
        <v>#VALUE!</v>
      </c>
      <c r="J141" s="51" t="str">
        <f>IFERROR(__xludf.DUMMYFUNCTION("""COMPUTED_VALUE"""),"")</f>
        <v/>
      </c>
      <c r="K141" s="51"/>
      <c r="L141" s="51" t="s">
        <v>257</v>
      </c>
      <c r="M141" s="51"/>
      <c r="N141" s="51"/>
      <c r="O141" s="51"/>
      <c r="P141" s="51"/>
      <c r="Q141" s="51"/>
      <c r="R141" s="51"/>
      <c r="S141" s="51"/>
      <c r="T141" s="51"/>
    </row>
    <row r="142">
      <c r="A142" s="51"/>
      <c r="B142" s="51"/>
      <c r="C142" s="56"/>
      <c r="D142" s="51"/>
      <c r="E142" s="51"/>
      <c r="F142" s="51"/>
      <c r="G142" s="51" t="str">
        <f>IFERROR(__xludf.DUMMYFUNCTION("""COMPUTED_VALUE"""),"#VALUE!")</f>
        <v>#VALUE!</v>
      </c>
      <c r="H142" s="51" t="str">
        <f>IFERROR(__xludf.DUMMYFUNCTION("""COMPUTED_VALUE"""),"")</f>
        <v/>
      </c>
      <c r="I142" s="51" t="str">
        <f>IFERROR(__xludf.DUMMYFUNCTION("""COMPUTED_VALUE"""),"#VALUE!")</f>
        <v>#VALUE!</v>
      </c>
      <c r="J142" s="51" t="str">
        <f>IFERROR(__xludf.DUMMYFUNCTION("""COMPUTED_VALUE"""),"")</f>
        <v/>
      </c>
      <c r="K142" s="51"/>
      <c r="L142" s="51" t="s">
        <v>257</v>
      </c>
      <c r="M142" s="51"/>
      <c r="N142" s="51"/>
      <c r="O142" s="51"/>
      <c r="P142" s="51"/>
      <c r="Q142" s="51"/>
      <c r="R142" s="51"/>
      <c r="S142" s="51"/>
      <c r="T142" s="51"/>
    </row>
    <row r="143">
      <c r="A143" s="51"/>
      <c r="B143" s="51"/>
      <c r="C143" s="56"/>
      <c r="D143" s="51"/>
      <c r="E143" s="51"/>
      <c r="F143" s="51"/>
      <c r="G143" s="51" t="str">
        <f>IFERROR(__xludf.DUMMYFUNCTION("""COMPUTED_VALUE"""),"#VALUE!")</f>
        <v>#VALUE!</v>
      </c>
      <c r="H143" s="51" t="str">
        <f>IFERROR(__xludf.DUMMYFUNCTION("""COMPUTED_VALUE"""),"")</f>
        <v/>
      </c>
      <c r="I143" s="51" t="str">
        <f>IFERROR(__xludf.DUMMYFUNCTION("""COMPUTED_VALUE"""),"#VALUE!")</f>
        <v>#VALUE!</v>
      </c>
      <c r="J143" s="51" t="str">
        <f>IFERROR(__xludf.DUMMYFUNCTION("""COMPUTED_VALUE"""),"")</f>
        <v/>
      </c>
      <c r="K143" s="51"/>
      <c r="L143" s="51" t="s">
        <v>257</v>
      </c>
      <c r="M143" s="51"/>
      <c r="N143" s="51"/>
      <c r="O143" s="51"/>
      <c r="P143" s="51"/>
      <c r="Q143" s="51"/>
      <c r="R143" s="51"/>
      <c r="S143" s="51"/>
      <c r="T143" s="51"/>
    </row>
    <row r="144">
      <c r="A144" s="51"/>
      <c r="B144" s="51"/>
      <c r="C144" s="56"/>
      <c r="D144" s="51"/>
      <c r="E144" s="51"/>
      <c r="F144" s="51"/>
      <c r="G144" s="51" t="str">
        <f>IFERROR(__xludf.DUMMYFUNCTION("""COMPUTED_VALUE"""),"#VALUE!")</f>
        <v>#VALUE!</v>
      </c>
      <c r="H144" s="51" t="str">
        <f>IFERROR(__xludf.DUMMYFUNCTION("""COMPUTED_VALUE"""),"")</f>
        <v/>
      </c>
      <c r="I144" s="51" t="str">
        <f>IFERROR(__xludf.DUMMYFUNCTION("""COMPUTED_VALUE"""),"#VALUE!")</f>
        <v>#VALUE!</v>
      </c>
      <c r="J144" s="51" t="str">
        <f>IFERROR(__xludf.DUMMYFUNCTION("""COMPUTED_VALUE"""),"")</f>
        <v/>
      </c>
      <c r="K144" s="51"/>
      <c r="L144" s="51" t="s">
        <v>257</v>
      </c>
      <c r="M144" s="51"/>
      <c r="N144" s="51"/>
      <c r="O144" s="51"/>
      <c r="P144" s="51"/>
      <c r="Q144" s="51"/>
      <c r="R144" s="51"/>
      <c r="S144" s="51"/>
      <c r="T144" s="51"/>
    </row>
    <row r="145">
      <c r="A145" s="51"/>
      <c r="B145" s="51"/>
      <c r="C145" s="56"/>
      <c r="D145" s="51"/>
      <c r="E145" s="51"/>
      <c r="F145" s="51"/>
      <c r="G145" s="51" t="str">
        <f>IFERROR(__xludf.DUMMYFUNCTION("""COMPUTED_VALUE"""),"#VALUE!")</f>
        <v>#VALUE!</v>
      </c>
      <c r="H145" s="51" t="str">
        <f>IFERROR(__xludf.DUMMYFUNCTION("""COMPUTED_VALUE"""),"")</f>
        <v/>
      </c>
      <c r="I145" s="51" t="str">
        <f>IFERROR(__xludf.DUMMYFUNCTION("""COMPUTED_VALUE"""),"#VALUE!")</f>
        <v>#VALUE!</v>
      </c>
      <c r="J145" s="51" t="str">
        <f>IFERROR(__xludf.DUMMYFUNCTION("""COMPUTED_VALUE"""),"")</f>
        <v/>
      </c>
      <c r="K145" s="51"/>
      <c r="L145" s="51" t="s">
        <v>257</v>
      </c>
      <c r="M145" s="51"/>
      <c r="N145" s="51"/>
      <c r="O145" s="51"/>
      <c r="P145" s="51"/>
      <c r="Q145" s="51"/>
      <c r="R145" s="51"/>
      <c r="S145" s="51"/>
      <c r="T145" s="51"/>
    </row>
    <row r="146">
      <c r="A146" s="51"/>
      <c r="B146" s="51"/>
      <c r="C146" s="56"/>
      <c r="D146" s="51"/>
      <c r="E146" s="51"/>
      <c r="F146" s="51"/>
      <c r="G146" s="51" t="str">
        <f>IFERROR(__xludf.DUMMYFUNCTION("""COMPUTED_VALUE"""),"#VALUE!")</f>
        <v>#VALUE!</v>
      </c>
      <c r="H146" s="51" t="str">
        <f>IFERROR(__xludf.DUMMYFUNCTION("""COMPUTED_VALUE"""),"")</f>
        <v/>
      </c>
      <c r="I146" s="51" t="str">
        <f>IFERROR(__xludf.DUMMYFUNCTION("""COMPUTED_VALUE"""),"#VALUE!")</f>
        <v>#VALUE!</v>
      </c>
      <c r="J146" s="51" t="str">
        <f>IFERROR(__xludf.DUMMYFUNCTION("""COMPUTED_VALUE"""),"")</f>
        <v/>
      </c>
      <c r="K146" s="51"/>
      <c r="L146" s="51" t="s">
        <v>257</v>
      </c>
      <c r="M146" s="51"/>
      <c r="N146" s="51"/>
      <c r="O146" s="51"/>
      <c r="P146" s="51"/>
      <c r="Q146" s="51"/>
      <c r="R146" s="51"/>
      <c r="S146" s="51"/>
      <c r="T146" s="51"/>
    </row>
    <row r="147">
      <c r="A147" s="51"/>
      <c r="B147" s="51"/>
      <c r="C147" s="56"/>
      <c r="D147" s="51"/>
      <c r="E147" s="51"/>
      <c r="F147" s="51"/>
      <c r="G147" s="51" t="str">
        <f>IFERROR(__xludf.DUMMYFUNCTION("""COMPUTED_VALUE"""),"#VALUE!")</f>
        <v>#VALUE!</v>
      </c>
      <c r="H147" s="51" t="str">
        <f>IFERROR(__xludf.DUMMYFUNCTION("""COMPUTED_VALUE"""),"")</f>
        <v/>
      </c>
      <c r="I147" s="51" t="str">
        <f>IFERROR(__xludf.DUMMYFUNCTION("""COMPUTED_VALUE"""),"#VALUE!")</f>
        <v>#VALUE!</v>
      </c>
      <c r="J147" s="51" t="str">
        <f>IFERROR(__xludf.DUMMYFUNCTION("""COMPUTED_VALUE"""),"")</f>
        <v/>
      </c>
      <c r="K147" s="51"/>
      <c r="L147" s="51" t="s">
        <v>257</v>
      </c>
      <c r="M147" s="51"/>
      <c r="N147" s="51"/>
      <c r="O147" s="51"/>
      <c r="P147" s="51"/>
      <c r="Q147" s="51"/>
      <c r="R147" s="51"/>
      <c r="S147" s="51"/>
      <c r="T147" s="51"/>
    </row>
    <row r="148">
      <c r="A148" s="51"/>
      <c r="B148" s="51"/>
      <c r="C148" s="56"/>
      <c r="D148" s="51"/>
      <c r="E148" s="51"/>
      <c r="F148" s="51"/>
      <c r="G148" s="51" t="str">
        <f>IFERROR(__xludf.DUMMYFUNCTION("""COMPUTED_VALUE"""),"#VALUE!")</f>
        <v>#VALUE!</v>
      </c>
      <c r="H148" s="51" t="str">
        <f>IFERROR(__xludf.DUMMYFUNCTION("""COMPUTED_VALUE"""),"")</f>
        <v/>
      </c>
      <c r="I148" s="51" t="str">
        <f>IFERROR(__xludf.DUMMYFUNCTION("""COMPUTED_VALUE"""),"#VALUE!")</f>
        <v>#VALUE!</v>
      </c>
      <c r="J148" s="51" t="str">
        <f>IFERROR(__xludf.DUMMYFUNCTION("""COMPUTED_VALUE"""),"")</f>
        <v/>
      </c>
      <c r="K148" s="51"/>
      <c r="L148" s="51" t="s">
        <v>257</v>
      </c>
      <c r="M148" s="51"/>
      <c r="N148" s="51"/>
      <c r="O148" s="51"/>
      <c r="P148" s="51"/>
      <c r="Q148" s="51"/>
      <c r="R148" s="51"/>
      <c r="S148" s="51"/>
      <c r="T148" s="51"/>
    </row>
    <row r="149">
      <c r="A149" s="51"/>
      <c r="B149" s="51"/>
      <c r="C149" s="56"/>
      <c r="D149" s="51"/>
      <c r="E149" s="51"/>
      <c r="F149" s="51"/>
      <c r="G149" s="51" t="str">
        <f>IFERROR(__xludf.DUMMYFUNCTION("""COMPUTED_VALUE"""),"#VALUE!")</f>
        <v>#VALUE!</v>
      </c>
      <c r="H149" s="51" t="str">
        <f>IFERROR(__xludf.DUMMYFUNCTION("""COMPUTED_VALUE"""),"")</f>
        <v/>
      </c>
      <c r="I149" s="51" t="str">
        <f>IFERROR(__xludf.DUMMYFUNCTION("""COMPUTED_VALUE"""),"#VALUE!")</f>
        <v>#VALUE!</v>
      </c>
      <c r="J149" s="51" t="str">
        <f>IFERROR(__xludf.DUMMYFUNCTION("""COMPUTED_VALUE"""),"")</f>
        <v/>
      </c>
      <c r="K149" s="51"/>
      <c r="L149" s="51" t="s">
        <v>257</v>
      </c>
      <c r="M149" s="51"/>
      <c r="N149" s="51"/>
      <c r="O149" s="51"/>
      <c r="P149" s="51"/>
      <c r="Q149" s="51"/>
      <c r="R149" s="51"/>
      <c r="S149" s="51"/>
      <c r="T149" s="51"/>
    </row>
    <row r="150">
      <c r="A150" s="51"/>
      <c r="B150" s="51"/>
      <c r="C150" s="56"/>
      <c r="D150" s="51"/>
      <c r="E150" s="51"/>
      <c r="F150" s="51"/>
      <c r="G150" s="51" t="str">
        <f>IFERROR(__xludf.DUMMYFUNCTION("""COMPUTED_VALUE"""),"#VALUE!")</f>
        <v>#VALUE!</v>
      </c>
      <c r="H150" s="51" t="str">
        <f>IFERROR(__xludf.DUMMYFUNCTION("""COMPUTED_VALUE"""),"")</f>
        <v/>
      </c>
      <c r="I150" s="51" t="str">
        <f>IFERROR(__xludf.DUMMYFUNCTION("""COMPUTED_VALUE"""),"#VALUE!")</f>
        <v>#VALUE!</v>
      </c>
      <c r="J150" s="51" t="str">
        <f>IFERROR(__xludf.DUMMYFUNCTION("""COMPUTED_VALUE"""),"")</f>
        <v/>
      </c>
      <c r="K150" s="51"/>
      <c r="L150" s="51" t="s">
        <v>257</v>
      </c>
      <c r="M150" s="51"/>
      <c r="N150" s="51"/>
      <c r="O150" s="51"/>
      <c r="P150" s="51"/>
      <c r="Q150" s="51"/>
      <c r="R150" s="51"/>
      <c r="S150" s="51"/>
      <c r="T150" s="51"/>
    </row>
    <row r="151">
      <c r="A151" s="51"/>
      <c r="B151" s="51"/>
      <c r="C151" s="56"/>
      <c r="D151" s="51"/>
      <c r="E151" s="51"/>
      <c r="F151" s="51"/>
      <c r="G151" s="51" t="str">
        <f>IFERROR(__xludf.DUMMYFUNCTION("""COMPUTED_VALUE"""),"#VALUE!")</f>
        <v>#VALUE!</v>
      </c>
      <c r="H151" s="51" t="str">
        <f>IFERROR(__xludf.DUMMYFUNCTION("""COMPUTED_VALUE"""),"")</f>
        <v/>
      </c>
      <c r="I151" s="51" t="str">
        <f>IFERROR(__xludf.DUMMYFUNCTION("""COMPUTED_VALUE"""),"#VALUE!")</f>
        <v>#VALUE!</v>
      </c>
      <c r="J151" s="51" t="str">
        <f>IFERROR(__xludf.DUMMYFUNCTION("""COMPUTED_VALUE"""),"")</f>
        <v/>
      </c>
      <c r="K151" s="51"/>
      <c r="L151" s="51" t="s">
        <v>257</v>
      </c>
      <c r="M151" s="51"/>
      <c r="N151" s="51"/>
      <c r="O151" s="51"/>
      <c r="P151" s="51"/>
      <c r="Q151" s="51"/>
      <c r="R151" s="51"/>
      <c r="S151" s="51"/>
      <c r="T151" s="51"/>
    </row>
    <row r="152">
      <c r="A152" s="51"/>
      <c r="B152" s="51"/>
      <c r="C152" s="56"/>
      <c r="D152" s="51"/>
      <c r="E152" s="51"/>
      <c r="F152" s="51"/>
      <c r="G152" s="51" t="str">
        <f>IFERROR(__xludf.DUMMYFUNCTION("""COMPUTED_VALUE"""),"#VALUE!")</f>
        <v>#VALUE!</v>
      </c>
      <c r="H152" s="51" t="str">
        <f>IFERROR(__xludf.DUMMYFUNCTION("""COMPUTED_VALUE"""),"")</f>
        <v/>
      </c>
      <c r="I152" s="51" t="str">
        <f>IFERROR(__xludf.DUMMYFUNCTION("""COMPUTED_VALUE"""),"#VALUE!")</f>
        <v>#VALUE!</v>
      </c>
      <c r="J152" s="51" t="str">
        <f>IFERROR(__xludf.DUMMYFUNCTION("""COMPUTED_VALUE"""),"")</f>
        <v/>
      </c>
      <c r="K152" s="51"/>
      <c r="L152" s="51" t="s">
        <v>257</v>
      </c>
      <c r="M152" s="51"/>
      <c r="N152" s="51"/>
      <c r="O152" s="51"/>
      <c r="P152" s="51"/>
      <c r="Q152" s="51"/>
      <c r="R152" s="51"/>
      <c r="S152" s="51"/>
      <c r="T152" s="51"/>
    </row>
    <row r="153">
      <c r="A153" s="51"/>
      <c r="B153" s="51"/>
      <c r="C153" s="56"/>
      <c r="D153" s="51"/>
      <c r="E153" s="51"/>
      <c r="F153" s="51"/>
      <c r="G153" s="51" t="str">
        <f>IFERROR(__xludf.DUMMYFUNCTION("""COMPUTED_VALUE"""),"#VALUE!")</f>
        <v>#VALUE!</v>
      </c>
      <c r="H153" s="51" t="str">
        <f>IFERROR(__xludf.DUMMYFUNCTION("""COMPUTED_VALUE"""),"")</f>
        <v/>
      </c>
      <c r="I153" s="51" t="str">
        <f>IFERROR(__xludf.DUMMYFUNCTION("""COMPUTED_VALUE"""),"#VALUE!")</f>
        <v>#VALUE!</v>
      </c>
      <c r="J153" s="51" t="str">
        <f>IFERROR(__xludf.DUMMYFUNCTION("""COMPUTED_VALUE"""),"")</f>
        <v/>
      </c>
      <c r="K153" s="51"/>
      <c r="L153" s="51" t="s">
        <v>257</v>
      </c>
      <c r="M153" s="51"/>
      <c r="N153" s="51"/>
      <c r="O153" s="51"/>
      <c r="P153" s="51"/>
      <c r="Q153" s="51"/>
      <c r="R153" s="51"/>
      <c r="S153" s="51"/>
      <c r="T153" s="51"/>
    </row>
    <row r="154">
      <c r="A154" s="51"/>
      <c r="B154" s="51"/>
      <c r="C154" s="56"/>
      <c r="D154" s="51"/>
      <c r="E154" s="51"/>
      <c r="F154" s="51"/>
      <c r="G154" s="51" t="str">
        <f>IFERROR(__xludf.DUMMYFUNCTION("""COMPUTED_VALUE"""),"#VALUE!")</f>
        <v>#VALUE!</v>
      </c>
      <c r="H154" s="51" t="str">
        <f>IFERROR(__xludf.DUMMYFUNCTION("""COMPUTED_VALUE"""),"")</f>
        <v/>
      </c>
      <c r="I154" s="51" t="str">
        <f>IFERROR(__xludf.DUMMYFUNCTION("""COMPUTED_VALUE"""),"#VALUE!")</f>
        <v>#VALUE!</v>
      </c>
      <c r="J154" s="51" t="str">
        <f>IFERROR(__xludf.DUMMYFUNCTION("""COMPUTED_VALUE"""),"")</f>
        <v/>
      </c>
      <c r="K154" s="51"/>
      <c r="L154" s="51" t="s">
        <v>257</v>
      </c>
      <c r="M154" s="51"/>
      <c r="N154" s="51"/>
      <c r="O154" s="51"/>
      <c r="P154" s="51"/>
      <c r="Q154" s="51"/>
      <c r="R154" s="51"/>
      <c r="S154" s="51"/>
      <c r="T154" s="51"/>
    </row>
    <row r="155">
      <c r="A155" s="51"/>
      <c r="B155" s="51"/>
      <c r="C155" s="56"/>
      <c r="D155" s="51"/>
      <c r="E155" s="51"/>
      <c r="F155" s="51"/>
      <c r="G155" s="51" t="str">
        <f>IFERROR(__xludf.DUMMYFUNCTION("""COMPUTED_VALUE"""),"#VALUE!")</f>
        <v>#VALUE!</v>
      </c>
      <c r="H155" s="51" t="str">
        <f>IFERROR(__xludf.DUMMYFUNCTION("""COMPUTED_VALUE"""),"")</f>
        <v/>
      </c>
      <c r="I155" s="51" t="str">
        <f>IFERROR(__xludf.DUMMYFUNCTION("""COMPUTED_VALUE"""),"#VALUE!")</f>
        <v>#VALUE!</v>
      </c>
      <c r="J155" s="51" t="str">
        <f>IFERROR(__xludf.DUMMYFUNCTION("""COMPUTED_VALUE"""),"")</f>
        <v/>
      </c>
      <c r="K155" s="51"/>
      <c r="L155" s="51" t="s">
        <v>257</v>
      </c>
      <c r="M155" s="51"/>
      <c r="N155" s="51"/>
      <c r="O155" s="51"/>
      <c r="P155" s="51"/>
      <c r="Q155" s="51"/>
      <c r="R155" s="51"/>
      <c r="S155" s="51"/>
      <c r="T155" s="51"/>
    </row>
    <row r="156">
      <c r="A156" s="51"/>
      <c r="B156" s="51"/>
      <c r="C156" s="56"/>
      <c r="D156" s="51"/>
      <c r="E156" s="51"/>
      <c r="F156" s="51"/>
      <c r="G156" s="51" t="str">
        <f>IFERROR(__xludf.DUMMYFUNCTION("""COMPUTED_VALUE"""),"#VALUE!")</f>
        <v>#VALUE!</v>
      </c>
      <c r="H156" s="51" t="str">
        <f>IFERROR(__xludf.DUMMYFUNCTION("""COMPUTED_VALUE"""),"")</f>
        <v/>
      </c>
      <c r="I156" s="51" t="str">
        <f>IFERROR(__xludf.DUMMYFUNCTION("""COMPUTED_VALUE"""),"#VALUE!")</f>
        <v>#VALUE!</v>
      </c>
      <c r="J156" s="51" t="str">
        <f>IFERROR(__xludf.DUMMYFUNCTION("""COMPUTED_VALUE"""),"")</f>
        <v/>
      </c>
      <c r="K156" s="51"/>
      <c r="L156" s="51" t="s">
        <v>257</v>
      </c>
      <c r="M156" s="51"/>
      <c r="N156" s="51"/>
      <c r="O156" s="51"/>
      <c r="P156" s="51"/>
      <c r="Q156" s="51"/>
      <c r="R156" s="51"/>
      <c r="S156" s="51"/>
      <c r="T156" s="51"/>
    </row>
    <row r="157">
      <c r="A157" s="51"/>
      <c r="B157" s="51"/>
      <c r="C157" s="56"/>
      <c r="D157" s="51"/>
      <c r="E157" s="51"/>
      <c r="F157" s="51"/>
      <c r="G157" s="51" t="str">
        <f>IFERROR(__xludf.DUMMYFUNCTION("""COMPUTED_VALUE"""),"#VALUE!")</f>
        <v>#VALUE!</v>
      </c>
      <c r="H157" s="51" t="str">
        <f>IFERROR(__xludf.DUMMYFUNCTION("""COMPUTED_VALUE"""),"")</f>
        <v/>
      </c>
      <c r="I157" s="51" t="str">
        <f>IFERROR(__xludf.DUMMYFUNCTION("""COMPUTED_VALUE"""),"#VALUE!")</f>
        <v>#VALUE!</v>
      </c>
      <c r="J157" s="51" t="str">
        <f>IFERROR(__xludf.DUMMYFUNCTION("""COMPUTED_VALUE"""),"")</f>
        <v/>
      </c>
      <c r="K157" s="51"/>
      <c r="L157" s="51" t="s">
        <v>257</v>
      </c>
      <c r="M157" s="51"/>
      <c r="N157" s="51"/>
      <c r="O157" s="51"/>
      <c r="P157" s="51"/>
      <c r="Q157" s="51"/>
      <c r="R157" s="51"/>
      <c r="S157" s="51"/>
      <c r="T157" s="51"/>
    </row>
    <row r="158">
      <c r="A158" s="51"/>
      <c r="B158" s="51"/>
      <c r="C158" s="56"/>
      <c r="D158" s="51"/>
      <c r="E158" s="51"/>
      <c r="F158" s="51"/>
      <c r="G158" s="51" t="str">
        <f>IFERROR(__xludf.DUMMYFUNCTION("""COMPUTED_VALUE"""),"#VALUE!")</f>
        <v>#VALUE!</v>
      </c>
      <c r="H158" s="51" t="str">
        <f>IFERROR(__xludf.DUMMYFUNCTION("""COMPUTED_VALUE"""),"")</f>
        <v/>
      </c>
      <c r="I158" s="51" t="str">
        <f>IFERROR(__xludf.DUMMYFUNCTION("""COMPUTED_VALUE"""),"#VALUE!")</f>
        <v>#VALUE!</v>
      </c>
      <c r="J158" s="51" t="str">
        <f>IFERROR(__xludf.DUMMYFUNCTION("""COMPUTED_VALUE"""),"")</f>
        <v/>
      </c>
      <c r="K158" s="51"/>
      <c r="L158" s="51" t="s">
        <v>257</v>
      </c>
      <c r="M158" s="51"/>
      <c r="N158" s="51"/>
      <c r="O158" s="51"/>
      <c r="P158" s="51"/>
      <c r="Q158" s="51"/>
      <c r="R158" s="51"/>
      <c r="S158" s="51"/>
      <c r="T158" s="51"/>
    </row>
    <row r="159">
      <c r="A159" s="51"/>
      <c r="B159" s="51"/>
      <c r="C159" s="56"/>
      <c r="D159" s="51"/>
      <c r="E159" s="51"/>
      <c r="F159" s="51"/>
      <c r="G159" s="51" t="str">
        <f>IFERROR(__xludf.DUMMYFUNCTION("""COMPUTED_VALUE"""),"#VALUE!")</f>
        <v>#VALUE!</v>
      </c>
      <c r="H159" s="51" t="str">
        <f>IFERROR(__xludf.DUMMYFUNCTION("""COMPUTED_VALUE"""),"")</f>
        <v/>
      </c>
      <c r="I159" s="51" t="str">
        <f>IFERROR(__xludf.DUMMYFUNCTION("""COMPUTED_VALUE"""),"#VALUE!")</f>
        <v>#VALUE!</v>
      </c>
      <c r="J159" s="51" t="str">
        <f>IFERROR(__xludf.DUMMYFUNCTION("""COMPUTED_VALUE"""),"")</f>
        <v/>
      </c>
      <c r="K159" s="51"/>
      <c r="L159" s="51" t="s">
        <v>257</v>
      </c>
      <c r="M159" s="51"/>
      <c r="N159" s="51"/>
      <c r="O159" s="51"/>
      <c r="P159" s="51"/>
      <c r="Q159" s="51"/>
      <c r="R159" s="51"/>
      <c r="S159" s="51"/>
      <c r="T159" s="51"/>
    </row>
    <row r="160">
      <c r="A160" s="51"/>
      <c r="B160" s="51"/>
      <c r="C160" s="56"/>
      <c r="D160" s="51"/>
      <c r="E160" s="51"/>
      <c r="F160" s="51"/>
      <c r="G160" s="51" t="str">
        <f>IFERROR(__xludf.DUMMYFUNCTION("""COMPUTED_VALUE"""),"#VALUE!")</f>
        <v>#VALUE!</v>
      </c>
      <c r="H160" s="51" t="str">
        <f>IFERROR(__xludf.DUMMYFUNCTION("""COMPUTED_VALUE"""),"")</f>
        <v/>
      </c>
      <c r="I160" s="51" t="str">
        <f>IFERROR(__xludf.DUMMYFUNCTION("""COMPUTED_VALUE"""),"#VALUE!")</f>
        <v>#VALUE!</v>
      </c>
      <c r="J160" s="51" t="str">
        <f>IFERROR(__xludf.DUMMYFUNCTION("""COMPUTED_VALUE"""),"")</f>
        <v/>
      </c>
      <c r="K160" s="51"/>
      <c r="L160" s="51" t="s">
        <v>257</v>
      </c>
      <c r="M160" s="51"/>
      <c r="N160" s="51"/>
      <c r="O160" s="51"/>
      <c r="P160" s="51"/>
      <c r="Q160" s="51"/>
      <c r="R160" s="51"/>
      <c r="S160" s="51"/>
      <c r="T160" s="51"/>
    </row>
    <row r="161">
      <c r="A161" s="51"/>
      <c r="B161" s="51"/>
      <c r="C161" s="56"/>
      <c r="D161" s="51"/>
      <c r="E161" s="51"/>
      <c r="F161" s="51"/>
      <c r="G161" s="51" t="str">
        <f>IFERROR(__xludf.DUMMYFUNCTION("""COMPUTED_VALUE"""),"#VALUE!")</f>
        <v>#VALUE!</v>
      </c>
      <c r="H161" s="51" t="str">
        <f>IFERROR(__xludf.DUMMYFUNCTION("""COMPUTED_VALUE"""),"")</f>
        <v/>
      </c>
      <c r="I161" s="51" t="str">
        <f>IFERROR(__xludf.DUMMYFUNCTION("""COMPUTED_VALUE"""),"#VALUE!")</f>
        <v>#VALUE!</v>
      </c>
      <c r="J161" s="51" t="str">
        <f>IFERROR(__xludf.DUMMYFUNCTION("""COMPUTED_VALUE"""),"")</f>
        <v/>
      </c>
      <c r="K161" s="51"/>
      <c r="L161" s="51" t="s">
        <v>257</v>
      </c>
      <c r="M161" s="51"/>
      <c r="N161" s="51"/>
      <c r="O161" s="51"/>
      <c r="P161" s="51"/>
      <c r="Q161" s="51"/>
      <c r="R161" s="51"/>
      <c r="S161" s="51"/>
      <c r="T161" s="51"/>
    </row>
    <row r="162">
      <c r="A162" s="51"/>
      <c r="B162" s="51"/>
      <c r="C162" s="56"/>
      <c r="D162" s="51"/>
      <c r="E162" s="51"/>
      <c r="F162" s="51"/>
      <c r="G162" s="51" t="str">
        <f>IFERROR(__xludf.DUMMYFUNCTION("""COMPUTED_VALUE"""),"#VALUE!")</f>
        <v>#VALUE!</v>
      </c>
      <c r="H162" s="51" t="str">
        <f>IFERROR(__xludf.DUMMYFUNCTION("""COMPUTED_VALUE"""),"")</f>
        <v/>
      </c>
      <c r="I162" s="51" t="str">
        <f>IFERROR(__xludf.DUMMYFUNCTION("""COMPUTED_VALUE"""),"#VALUE!")</f>
        <v>#VALUE!</v>
      </c>
      <c r="J162" s="51" t="str">
        <f>IFERROR(__xludf.DUMMYFUNCTION("""COMPUTED_VALUE"""),"")</f>
        <v/>
      </c>
      <c r="K162" s="51"/>
      <c r="L162" s="51" t="s">
        <v>257</v>
      </c>
      <c r="M162" s="51"/>
      <c r="N162" s="51"/>
      <c r="O162" s="51"/>
      <c r="P162" s="51"/>
      <c r="Q162" s="51"/>
      <c r="R162" s="51"/>
      <c r="S162" s="51"/>
      <c r="T162" s="51"/>
    </row>
    <row r="163">
      <c r="A163" s="51"/>
      <c r="B163" s="51"/>
      <c r="C163" s="56"/>
      <c r="D163" s="51"/>
      <c r="E163" s="51"/>
      <c r="F163" s="51"/>
      <c r="G163" s="51" t="str">
        <f>IFERROR(__xludf.DUMMYFUNCTION("""COMPUTED_VALUE"""),"#VALUE!")</f>
        <v>#VALUE!</v>
      </c>
      <c r="H163" s="51" t="str">
        <f>IFERROR(__xludf.DUMMYFUNCTION("""COMPUTED_VALUE"""),"")</f>
        <v/>
      </c>
      <c r="I163" s="51" t="str">
        <f>IFERROR(__xludf.DUMMYFUNCTION("""COMPUTED_VALUE"""),"#VALUE!")</f>
        <v>#VALUE!</v>
      </c>
      <c r="J163" s="51" t="str">
        <f>IFERROR(__xludf.DUMMYFUNCTION("""COMPUTED_VALUE"""),"")</f>
        <v/>
      </c>
      <c r="K163" s="51"/>
      <c r="L163" s="51" t="s">
        <v>257</v>
      </c>
      <c r="M163" s="51"/>
      <c r="N163" s="51"/>
      <c r="O163" s="51"/>
      <c r="P163" s="51"/>
      <c r="Q163" s="51"/>
      <c r="R163" s="51"/>
      <c r="S163" s="51"/>
      <c r="T163" s="51"/>
    </row>
    <row r="164">
      <c r="A164" s="51"/>
      <c r="B164" s="51"/>
      <c r="C164" s="56"/>
      <c r="D164" s="51"/>
      <c r="E164" s="51"/>
      <c r="F164" s="51"/>
      <c r="G164" s="51" t="str">
        <f>IFERROR(__xludf.DUMMYFUNCTION("""COMPUTED_VALUE"""),"#VALUE!")</f>
        <v>#VALUE!</v>
      </c>
      <c r="H164" s="51" t="str">
        <f>IFERROR(__xludf.DUMMYFUNCTION("""COMPUTED_VALUE"""),"")</f>
        <v/>
      </c>
      <c r="I164" s="51" t="str">
        <f>IFERROR(__xludf.DUMMYFUNCTION("""COMPUTED_VALUE"""),"#VALUE!")</f>
        <v>#VALUE!</v>
      </c>
      <c r="J164" s="51" t="str">
        <f>IFERROR(__xludf.DUMMYFUNCTION("""COMPUTED_VALUE"""),"")</f>
        <v/>
      </c>
      <c r="K164" s="51"/>
      <c r="L164" s="51" t="s">
        <v>257</v>
      </c>
      <c r="M164" s="51"/>
      <c r="N164" s="51"/>
      <c r="O164" s="51"/>
      <c r="P164" s="51"/>
      <c r="Q164" s="51"/>
      <c r="R164" s="51"/>
      <c r="S164" s="51"/>
      <c r="T164" s="51"/>
    </row>
    <row r="165">
      <c r="A165" s="51"/>
      <c r="B165" s="51"/>
      <c r="C165" s="56"/>
      <c r="D165" s="51"/>
      <c r="E165" s="51"/>
      <c r="F165" s="51"/>
      <c r="G165" s="51" t="str">
        <f>IFERROR(__xludf.DUMMYFUNCTION("""COMPUTED_VALUE"""),"#VALUE!")</f>
        <v>#VALUE!</v>
      </c>
      <c r="H165" s="51" t="str">
        <f>IFERROR(__xludf.DUMMYFUNCTION("""COMPUTED_VALUE"""),"")</f>
        <v/>
      </c>
      <c r="I165" s="51" t="str">
        <f>IFERROR(__xludf.DUMMYFUNCTION("""COMPUTED_VALUE"""),"#VALUE!")</f>
        <v>#VALUE!</v>
      </c>
      <c r="J165" s="51" t="str">
        <f>IFERROR(__xludf.DUMMYFUNCTION("""COMPUTED_VALUE"""),"")</f>
        <v/>
      </c>
      <c r="K165" s="51"/>
      <c r="L165" s="51" t="s">
        <v>257</v>
      </c>
      <c r="M165" s="51"/>
      <c r="N165" s="51"/>
      <c r="O165" s="51"/>
      <c r="P165" s="51"/>
      <c r="Q165" s="51"/>
      <c r="R165" s="51"/>
      <c r="S165" s="51"/>
      <c r="T165" s="51"/>
    </row>
    <row r="166">
      <c r="A166" s="51"/>
      <c r="B166" s="51"/>
      <c r="C166" s="56"/>
      <c r="D166" s="51"/>
      <c r="E166" s="51"/>
      <c r="F166" s="51"/>
      <c r="G166" s="51" t="str">
        <f>IFERROR(__xludf.DUMMYFUNCTION("""COMPUTED_VALUE"""),"#VALUE!")</f>
        <v>#VALUE!</v>
      </c>
      <c r="H166" s="51" t="str">
        <f>IFERROR(__xludf.DUMMYFUNCTION("""COMPUTED_VALUE"""),"")</f>
        <v/>
      </c>
      <c r="I166" s="51" t="str">
        <f>IFERROR(__xludf.DUMMYFUNCTION("""COMPUTED_VALUE"""),"#VALUE!")</f>
        <v>#VALUE!</v>
      </c>
      <c r="J166" s="51" t="str">
        <f>IFERROR(__xludf.DUMMYFUNCTION("""COMPUTED_VALUE"""),"")</f>
        <v/>
      </c>
      <c r="K166" s="51"/>
      <c r="L166" s="51" t="s">
        <v>257</v>
      </c>
      <c r="M166" s="51"/>
      <c r="N166" s="51"/>
      <c r="O166" s="51"/>
      <c r="P166" s="51"/>
      <c r="Q166" s="51"/>
      <c r="R166" s="51"/>
      <c r="S166" s="51"/>
      <c r="T166" s="51"/>
    </row>
    <row r="167">
      <c r="A167" s="51"/>
      <c r="B167" s="51"/>
      <c r="C167" s="56"/>
      <c r="D167" s="51"/>
      <c r="E167" s="51"/>
      <c r="F167" s="51"/>
      <c r="G167" s="51" t="str">
        <f>IFERROR(__xludf.DUMMYFUNCTION("""COMPUTED_VALUE"""),"#VALUE!")</f>
        <v>#VALUE!</v>
      </c>
      <c r="H167" s="51" t="str">
        <f>IFERROR(__xludf.DUMMYFUNCTION("""COMPUTED_VALUE"""),"")</f>
        <v/>
      </c>
      <c r="I167" s="51" t="str">
        <f>IFERROR(__xludf.DUMMYFUNCTION("""COMPUTED_VALUE"""),"#VALUE!")</f>
        <v>#VALUE!</v>
      </c>
      <c r="J167" s="51" t="str">
        <f>IFERROR(__xludf.DUMMYFUNCTION("""COMPUTED_VALUE"""),"")</f>
        <v/>
      </c>
      <c r="K167" s="51"/>
      <c r="L167" s="51" t="s">
        <v>257</v>
      </c>
      <c r="M167" s="51"/>
      <c r="N167" s="51"/>
      <c r="O167" s="51"/>
      <c r="P167" s="51"/>
      <c r="Q167" s="51"/>
      <c r="R167" s="51"/>
      <c r="S167" s="51"/>
      <c r="T167" s="51"/>
    </row>
    <row r="168">
      <c r="A168" s="51"/>
      <c r="B168" s="51"/>
      <c r="C168" s="56"/>
      <c r="D168" s="51"/>
      <c r="E168" s="51"/>
      <c r="F168" s="51"/>
      <c r="G168" s="51" t="str">
        <f>IFERROR(__xludf.DUMMYFUNCTION("""COMPUTED_VALUE"""),"#VALUE!")</f>
        <v>#VALUE!</v>
      </c>
      <c r="H168" s="51" t="str">
        <f>IFERROR(__xludf.DUMMYFUNCTION("""COMPUTED_VALUE"""),"")</f>
        <v/>
      </c>
      <c r="I168" s="51" t="str">
        <f>IFERROR(__xludf.DUMMYFUNCTION("""COMPUTED_VALUE"""),"#VALUE!")</f>
        <v>#VALUE!</v>
      </c>
      <c r="J168" s="51" t="str">
        <f>IFERROR(__xludf.DUMMYFUNCTION("""COMPUTED_VALUE"""),"")</f>
        <v/>
      </c>
      <c r="K168" s="51"/>
      <c r="L168" s="51" t="s">
        <v>257</v>
      </c>
      <c r="M168" s="51"/>
      <c r="N168" s="51"/>
      <c r="O168" s="51"/>
      <c r="P168" s="51"/>
      <c r="Q168" s="51"/>
      <c r="R168" s="51"/>
      <c r="S168" s="51"/>
      <c r="T168" s="51"/>
    </row>
    <row r="169">
      <c r="A169" s="51"/>
      <c r="B169" s="51"/>
      <c r="C169" s="56"/>
      <c r="D169" s="51"/>
      <c r="E169" s="51"/>
      <c r="F169" s="51"/>
      <c r="G169" s="51" t="str">
        <f>IFERROR(__xludf.DUMMYFUNCTION("""COMPUTED_VALUE"""),"#VALUE!")</f>
        <v>#VALUE!</v>
      </c>
      <c r="H169" s="51" t="str">
        <f>IFERROR(__xludf.DUMMYFUNCTION("""COMPUTED_VALUE"""),"")</f>
        <v/>
      </c>
      <c r="I169" s="51" t="str">
        <f>IFERROR(__xludf.DUMMYFUNCTION("""COMPUTED_VALUE"""),"#VALUE!")</f>
        <v>#VALUE!</v>
      </c>
      <c r="J169" s="51" t="str">
        <f>IFERROR(__xludf.DUMMYFUNCTION("""COMPUTED_VALUE"""),"")</f>
        <v/>
      </c>
      <c r="K169" s="51"/>
      <c r="L169" s="51" t="s">
        <v>257</v>
      </c>
      <c r="M169" s="51"/>
      <c r="N169" s="51"/>
      <c r="O169" s="51"/>
      <c r="P169" s="51"/>
      <c r="Q169" s="51"/>
      <c r="R169" s="51"/>
      <c r="S169" s="51"/>
      <c r="T169" s="51"/>
    </row>
    <row r="170">
      <c r="A170" s="51"/>
      <c r="B170" s="51"/>
      <c r="C170" s="56"/>
      <c r="D170" s="51"/>
      <c r="E170" s="51"/>
      <c r="F170" s="51"/>
      <c r="G170" s="51" t="str">
        <f>IFERROR(__xludf.DUMMYFUNCTION("""COMPUTED_VALUE"""),"#VALUE!")</f>
        <v>#VALUE!</v>
      </c>
      <c r="H170" s="51" t="str">
        <f>IFERROR(__xludf.DUMMYFUNCTION("""COMPUTED_VALUE"""),"")</f>
        <v/>
      </c>
      <c r="I170" s="51" t="str">
        <f>IFERROR(__xludf.DUMMYFUNCTION("""COMPUTED_VALUE"""),"#VALUE!")</f>
        <v>#VALUE!</v>
      </c>
      <c r="J170" s="51" t="str">
        <f>IFERROR(__xludf.DUMMYFUNCTION("""COMPUTED_VALUE"""),"")</f>
        <v/>
      </c>
      <c r="K170" s="51"/>
      <c r="L170" s="51" t="s">
        <v>257</v>
      </c>
      <c r="M170" s="51"/>
      <c r="N170" s="51"/>
      <c r="O170" s="51"/>
      <c r="P170" s="51"/>
      <c r="Q170" s="51"/>
      <c r="R170" s="51"/>
      <c r="S170" s="51"/>
      <c r="T170" s="51"/>
    </row>
    <row r="171">
      <c r="A171" s="51"/>
      <c r="B171" s="51"/>
      <c r="C171" s="56"/>
      <c r="D171" s="51"/>
      <c r="E171" s="51"/>
      <c r="F171" s="51"/>
      <c r="G171" s="51" t="str">
        <f>IFERROR(__xludf.DUMMYFUNCTION("""COMPUTED_VALUE"""),"#VALUE!")</f>
        <v>#VALUE!</v>
      </c>
      <c r="H171" s="51" t="str">
        <f>IFERROR(__xludf.DUMMYFUNCTION("""COMPUTED_VALUE"""),"")</f>
        <v/>
      </c>
      <c r="I171" s="51" t="str">
        <f>IFERROR(__xludf.DUMMYFUNCTION("""COMPUTED_VALUE"""),"#VALUE!")</f>
        <v>#VALUE!</v>
      </c>
      <c r="J171" s="51" t="str">
        <f>IFERROR(__xludf.DUMMYFUNCTION("""COMPUTED_VALUE"""),"")</f>
        <v/>
      </c>
      <c r="K171" s="51"/>
      <c r="L171" s="51" t="s">
        <v>257</v>
      </c>
      <c r="M171" s="51"/>
      <c r="N171" s="51"/>
      <c r="O171" s="51"/>
      <c r="P171" s="51"/>
      <c r="Q171" s="51"/>
      <c r="R171" s="51"/>
      <c r="S171" s="51"/>
      <c r="T171" s="51"/>
    </row>
    <row r="172">
      <c r="A172" s="51"/>
      <c r="B172" s="51"/>
      <c r="C172" s="56"/>
      <c r="D172" s="51"/>
      <c r="E172" s="51"/>
      <c r="F172" s="51"/>
      <c r="G172" s="51" t="str">
        <f>IFERROR(__xludf.DUMMYFUNCTION("""COMPUTED_VALUE"""),"#VALUE!")</f>
        <v>#VALUE!</v>
      </c>
      <c r="H172" s="51" t="str">
        <f>IFERROR(__xludf.DUMMYFUNCTION("""COMPUTED_VALUE"""),"")</f>
        <v/>
      </c>
      <c r="I172" s="51" t="str">
        <f>IFERROR(__xludf.DUMMYFUNCTION("""COMPUTED_VALUE"""),"#VALUE!")</f>
        <v>#VALUE!</v>
      </c>
      <c r="J172" s="51" t="str">
        <f>IFERROR(__xludf.DUMMYFUNCTION("""COMPUTED_VALUE"""),"")</f>
        <v/>
      </c>
      <c r="K172" s="51"/>
      <c r="L172" s="51" t="s">
        <v>257</v>
      </c>
      <c r="M172" s="51"/>
      <c r="N172" s="51"/>
      <c r="O172" s="51"/>
      <c r="P172" s="51"/>
      <c r="Q172" s="51"/>
      <c r="R172" s="51"/>
      <c r="S172" s="51"/>
      <c r="T172" s="51"/>
    </row>
    <row r="173">
      <c r="A173" s="51"/>
      <c r="B173" s="51"/>
      <c r="C173" s="56"/>
      <c r="D173" s="51"/>
      <c r="E173" s="51"/>
      <c r="F173" s="51"/>
      <c r="G173" s="51" t="str">
        <f>IFERROR(__xludf.DUMMYFUNCTION("""COMPUTED_VALUE"""),"#VALUE!")</f>
        <v>#VALUE!</v>
      </c>
      <c r="H173" s="51" t="str">
        <f>IFERROR(__xludf.DUMMYFUNCTION("""COMPUTED_VALUE"""),"")</f>
        <v/>
      </c>
      <c r="I173" s="51" t="str">
        <f>IFERROR(__xludf.DUMMYFUNCTION("""COMPUTED_VALUE"""),"#VALUE!")</f>
        <v>#VALUE!</v>
      </c>
      <c r="J173" s="51" t="str">
        <f>IFERROR(__xludf.DUMMYFUNCTION("""COMPUTED_VALUE"""),"")</f>
        <v/>
      </c>
      <c r="K173" s="51"/>
      <c r="L173" s="51" t="s">
        <v>257</v>
      </c>
      <c r="M173" s="51"/>
      <c r="N173" s="51"/>
      <c r="O173" s="51"/>
      <c r="P173" s="51"/>
      <c r="Q173" s="51"/>
      <c r="R173" s="51"/>
      <c r="S173" s="51"/>
      <c r="T173" s="51"/>
    </row>
    <row r="174">
      <c r="A174" s="51"/>
      <c r="B174" s="51"/>
      <c r="C174" s="56"/>
      <c r="D174" s="51"/>
      <c r="E174" s="51"/>
      <c r="F174" s="51"/>
      <c r="G174" s="51" t="str">
        <f>IFERROR(__xludf.DUMMYFUNCTION("""COMPUTED_VALUE"""),"#VALUE!")</f>
        <v>#VALUE!</v>
      </c>
      <c r="H174" s="51" t="str">
        <f>IFERROR(__xludf.DUMMYFUNCTION("""COMPUTED_VALUE"""),"")</f>
        <v/>
      </c>
      <c r="I174" s="51" t="str">
        <f>IFERROR(__xludf.DUMMYFUNCTION("""COMPUTED_VALUE"""),"#VALUE!")</f>
        <v>#VALUE!</v>
      </c>
      <c r="J174" s="51" t="str">
        <f>IFERROR(__xludf.DUMMYFUNCTION("""COMPUTED_VALUE"""),"")</f>
        <v/>
      </c>
      <c r="K174" s="51"/>
      <c r="L174" s="51" t="s">
        <v>257</v>
      </c>
      <c r="M174" s="51"/>
      <c r="N174" s="51"/>
      <c r="O174" s="51"/>
      <c r="P174" s="51"/>
      <c r="Q174" s="51"/>
      <c r="R174" s="51"/>
      <c r="S174" s="51"/>
      <c r="T174" s="51"/>
    </row>
    <row r="175">
      <c r="A175" s="51"/>
      <c r="B175" s="51"/>
      <c r="C175" s="56"/>
      <c r="D175" s="51"/>
      <c r="E175" s="51"/>
      <c r="F175" s="51"/>
      <c r="G175" s="51" t="str">
        <f>IFERROR(__xludf.DUMMYFUNCTION("""COMPUTED_VALUE"""),"#VALUE!")</f>
        <v>#VALUE!</v>
      </c>
      <c r="H175" s="51" t="str">
        <f>IFERROR(__xludf.DUMMYFUNCTION("""COMPUTED_VALUE"""),"")</f>
        <v/>
      </c>
      <c r="I175" s="51" t="str">
        <f>IFERROR(__xludf.DUMMYFUNCTION("""COMPUTED_VALUE"""),"#VALUE!")</f>
        <v>#VALUE!</v>
      </c>
      <c r="J175" s="51" t="str">
        <f>IFERROR(__xludf.DUMMYFUNCTION("""COMPUTED_VALUE"""),"")</f>
        <v/>
      </c>
      <c r="K175" s="51"/>
      <c r="L175" s="51" t="s">
        <v>257</v>
      </c>
      <c r="M175" s="51"/>
      <c r="N175" s="51"/>
      <c r="O175" s="51"/>
      <c r="P175" s="51"/>
      <c r="Q175" s="51"/>
      <c r="R175" s="51"/>
      <c r="S175" s="51"/>
      <c r="T175" s="51"/>
    </row>
    <row r="176">
      <c r="A176" s="51"/>
      <c r="B176" s="51"/>
      <c r="C176" s="56"/>
      <c r="D176" s="51"/>
      <c r="E176" s="51"/>
      <c r="F176" s="51"/>
      <c r="G176" s="51" t="str">
        <f>IFERROR(__xludf.DUMMYFUNCTION("""COMPUTED_VALUE"""),"#VALUE!")</f>
        <v>#VALUE!</v>
      </c>
      <c r="H176" s="51" t="str">
        <f>IFERROR(__xludf.DUMMYFUNCTION("""COMPUTED_VALUE"""),"")</f>
        <v/>
      </c>
      <c r="I176" s="51" t="str">
        <f>IFERROR(__xludf.DUMMYFUNCTION("""COMPUTED_VALUE"""),"#VALUE!")</f>
        <v>#VALUE!</v>
      </c>
      <c r="J176" s="51" t="str">
        <f>IFERROR(__xludf.DUMMYFUNCTION("""COMPUTED_VALUE"""),"")</f>
        <v/>
      </c>
      <c r="K176" s="51"/>
      <c r="L176" s="51" t="s">
        <v>257</v>
      </c>
      <c r="M176" s="51"/>
      <c r="N176" s="51"/>
      <c r="O176" s="51"/>
      <c r="P176" s="51"/>
      <c r="Q176" s="51"/>
      <c r="R176" s="51"/>
      <c r="S176" s="51"/>
      <c r="T176" s="51"/>
    </row>
    <row r="177">
      <c r="A177" s="51"/>
      <c r="B177" s="51"/>
      <c r="C177" s="56"/>
      <c r="D177" s="51"/>
      <c r="E177" s="51"/>
      <c r="F177" s="51"/>
      <c r="G177" s="51" t="str">
        <f>IFERROR(__xludf.DUMMYFUNCTION("""COMPUTED_VALUE"""),"#VALUE!")</f>
        <v>#VALUE!</v>
      </c>
      <c r="H177" s="51" t="str">
        <f>IFERROR(__xludf.DUMMYFUNCTION("""COMPUTED_VALUE"""),"")</f>
        <v/>
      </c>
      <c r="I177" s="51" t="str">
        <f>IFERROR(__xludf.DUMMYFUNCTION("""COMPUTED_VALUE"""),"#VALUE!")</f>
        <v>#VALUE!</v>
      </c>
      <c r="J177" s="51" t="str">
        <f>IFERROR(__xludf.DUMMYFUNCTION("""COMPUTED_VALUE"""),"")</f>
        <v/>
      </c>
      <c r="K177" s="51"/>
      <c r="L177" s="51" t="s">
        <v>257</v>
      </c>
      <c r="M177" s="51"/>
      <c r="N177" s="51"/>
      <c r="O177" s="51"/>
      <c r="P177" s="51"/>
      <c r="Q177" s="51"/>
      <c r="R177" s="51"/>
      <c r="S177" s="51"/>
      <c r="T177" s="51"/>
    </row>
    <row r="178">
      <c r="A178" s="51"/>
      <c r="B178" s="51"/>
      <c r="C178" s="56"/>
      <c r="D178" s="51"/>
      <c r="E178" s="51"/>
      <c r="F178" s="51"/>
      <c r="G178" s="51" t="str">
        <f>IFERROR(__xludf.DUMMYFUNCTION("""COMPUTED_VALUE"""),"#VALUE!")</f>
        <v>#VALUE!</v>
      </c>
      <c r="H178" s="51" t="str">
        <f>IFERROR(__xludf.DUMMYFUNCTION("""COMPUTED_VALUE"""),"")</f>
        <v/>
      </c>
      <c r="I178" s="51" t="str">
        <f>IFERROR(__xludf.DUMMYFUNCTION("""COMPUTED_VALUE"""),"#VALUE!")</f>
        <v>#VALUE!</v>
      </c>
      <c r="J178" s="51" t="str">
        <f>IFERROR(__xludf.DUMMYFUNCTION("""COMPUTED_VALUE"""),"")</f>
        <v/>
      </c>
      <c r="K178" s="51"/>
      <c r="L178" s="51" t="s">
        <v>257</v>
      </c>
      <c r="M178" s="51"/>
      <c r="N178" s="51"/>
      <c r="O178" s="51"/>
      <c r="P178" s="51"/>
      <c r="Q178" s="51"/>
      <c r="R178" s="51"/>
      <c r="S178" s="51"/>
      <c r="T178" s="51"/>
    </row>
    <row r="179">
      <c r="A179" s="51"/>
      <c r="B179" s="51"/>
      <c r="C179" s="56"/>
      <c r="D179" s="51"/>
      <c r="E179" s="51"/>
      <c r="F179" s="51"/>
      <c r="G179" s="51" t="str">
        <f>IFERROR(__xludf.DUMMYFUNCTION("""COMPUTED_VALUE"""),"#VALUE!")</f>
        <v>#VALUE!</v>
      </c>
      <c r="H179" s="51" t="str">
        <f>IFERROR(__xludf.DUMMYFUNCTION("""COMPUTED_VALUE"""),"")</f>
        <v/>
      </c>
      <c r="I179" s="51" t="str">
        <f>IFERROR(__xludf.DUMMYFUNCTION("""COMPUTED_VALUE"""),"#VALUE!")</f>
        <v>#VALUE!</v>
      </c>
      <c r="J179" s="51" t="str">
        <f>IFERROR(__xludf.DUMMYFUNCTION("""COMPUTED_VALUE"""),"")</f>
        <v/>
      </c>
      <c r="K179" s="51"/>
      <c r="L179" s="51" t="s">
        <v>257</v>
      </c>
      <c r="M179" s="51"/>
      <c r="N179" s="51"/>
      <c r="O179" s="51"/>
      <c r="P179" s="51"/>
      <c r="Q179" s="51"/>
      <c r="R179" s="51"/>
      <c r="S179" s="51"/>
      <c r="T179" s="51"/>
    </row>
    <row r="180">
      <c r="A180" s="51"/>
      <c r="B180" s="51"/>
      <c r="C180" s="56"/>
      <c r="D180" s="51"/>
      <c r="E180" s="51"/>
      <c r="F180" s="51"/>
      <c r="G180" s="51" t="str">
        <f>IFERROR(__xludf.DUMMYFUNCTION("""COMPUTED_VALUE"""),"#VALUE!")</f>
        <v>#VALUE!</v>
      </c>
      <c r="H180" s="51" t="str">
        <f>IFERROR(__xludf.DUMMYFUNCTION("""COMPUTED_VALUE"""),"")</f>
        <v/>
      </c>
      <c r="I180" s="51" t="str">
        <f>IFERROR(__xludf.DUMMYFUNCTION("""COMPUTED_VALUE"""),"#VALUE!")</f>
        <v>#VALUE!</v>
      </c>
      <c r="J180" s="51" t="str">
        <f>IFERROR(__xludf.DUMMYFUNCTION("""COMPUTED_VALUE"""),"")</f>
        <v/>
      </c>
      <c r="K180" s="51"/>
      <c r="L180" s="51" t="s">
        <v>257</v>
      </c>
      <c r="M180" s="51"/>
      <c r="N180" s="51"/>
      <c r="O180" s="51"/>
      <c r="P180" s="51"/>
      <c r="Q180" s="51"/>
      <c r="R180" s="51"/>
      <c r="S180" s="51"/>
      <c r="T180" s="51"/>
    </row>
    <row r="181">
      <c r="A181" s="51"/>
      <c r="B181" s="51"/>
      <c r="C181" s="56"/>
      <c r="D181" s="51"/>
      <c r="E181" s="51"/>
      <c r="F181" s="51"/>
      <c r="G181" s="51" t="str">
        <f>IFERROR(__xludf.DUMMYFUNCTION("""COMPUTED_VALUE"""),"#VALUE!")</f>
        <v>#VALUE!</v>
      </c>
      <c r="H181" s="51" t="str">
        <f>IFERROR(__xludf.DUMMYFUNCTION("""COMPUTED_VALUE"""),"")</f>
        <v/>
      </c>
      <c r="I181" s="51" t="str">
        <f>IFERROR(__xludf.DUMMYFUNCTION("""COMPUTED_VALUE"""),"#VALUE!")</f>
        <v>#VALUE!</v>
      </c>
      <c r="J181" s="51" t="str">
        <f>IFERROR(__xludf.DUMMYFUNCTION("""COMPUTED_VALUE"""),"")</f>
        <v/>
      </c>
      <c r="K181" s="51"/>
      <c r="L181" s="51" t="s">
        <v>257</v>
      </c>
      <c r="M181" s="51"/>
      <c r="N181" s="51"/>
      <c r="O181" s="51"/>
      <c r="P181" s="51"/>
      <c r="Q181" s="51"/>
      <c r="R181" s="51"/>
      <c r="S181" s="51"/>
      <c r="T181" s="51"/>
    </row>
    <row r="182">
      <c r="A182" s="51"/>
      <c r="B182" s="51"/>
      <c r="C182" s="56"/>
      <c r="D182" s="51"/>
      <c r="E182" s="51"/>
      <c r="F182" s="51"/>
      <c r="G182" s="51" t="str">
        <f>IFERROR(__xludf.DUMMYFUNCTION("""COMPUTED_VALUE"""),"#VALUE!")</f>
        <v>#VALUE!</v>
      </c>
      <c r="H182" s="51" t="str">
        <f>IFERROR(__xludf.DUMMYFUNCTION("""COMPUTED_VALUE"""),"")</f>
        <v/>
      </c>
      <c r="I182" s="51" t="str">
        <f>IFERROR(__xludf.DUMMYFUNCTION("""COMPUTED_VALUE"""),"#VALUE!")</f>
        <v>#VALUE!</v>
      </c>
      <c r="J182" s="51" t="str">
        <f>IFERROR(__xludf.DUMMYFUNCTION("""COMPUTED_VALUE"""),"")</f>
        <v/>
      </c>
      <c r="K182" s="51"/>
      <c r="L182" s="51" t="s">
        <v>257</v>
      </c>
      <c r="M182" s="51"/>
      <c r="N182" s="51"/>
      <c r="O182" s="51"/>
      <c r="P182" s="51"/>
      <c r="Q182" s="51"/>
      <c r="R182" s="51"/>
      <c r="S182" s="51"/>
      <c r="T182" s="51"/>
    </row>
    <row r="183">
      <c r="A183" s="51"/>
      <c r="B183" s="51"/>
      <c r="C183" s="56"/>
      <c r="D183" s="51"/>
      <c r="E183" s="51"/>
      <c r="F183" s="51"/>
      <c r="G183" s="51" t="str">
        <f>IFERROR(__xludf.DUMMYFUNCTION("""COMPUTED_VALUE"""),"#VALUE!")</f>
        <v>#VALUE!</v>
      </c>
      <c r="H183" s="51" t="str">
        <f>IFERROR(__xludf.DUMMYFUNCTION("""COMPUTED_VALUE"""),"")</f>
        <v/>
      </c>
      <c r="I183" s="51" t="str">
        <f>IFERROR(__xludf.DUMMYFUNCTION("""COMPUTED_VALUE"""),"#VALUE!")</f>
        <v>#VALUE!</v>
      </c>
      <c r="J183" s="51" t="str">
        <f>IFERROR(__xludf.DUMMYFUNCTION("""COMPUTED_VALUE"""),"")</f>
        <v/>
      </c>
      <c r="K183" s="51"/>
      <c r="L183" s="51" t="s">
        <v>257</v>
      </c>
      <c r="M183" s="51"/>
      <c r="N183" s="51"/>
      <c r="O183" s="51"/>
      <c r="P183" s="51"/>
      <c r="Q183" s="51"/>
      <c r="R183" s="51"/>
      <c r="S183" s="51"/>
      <c r="T183" s="51"/>
    </row>
    <row r="184">
      <c r="A184" s="51"/>
      <c r="B184" s="51"/>
      <c r="C184" s="56"/>
      <c r="D184" s="51"/>
      <c r="E184" s="51"/>
      <c r="F184" s="51"/>
      <c r="G184" s="51" t="str">
        <f>IFERROR(__xludf.DUMMYFUNCTION("""COMPUTED_VALUE"""),"#VALUE!")</f>
        <v>#VALUE!</v>
      </c>
      <c r="H184" s="51" t="str">
        <f>IFERROR(__xludf.DUMMYFUNCTION("""COMPUTED_VALUE"""),"")</f>
        <v/>
      </c>
      <c r="I184" s="51" t="str">
        <f>IFERROR(__xludf.DUMMYFUNCTION("""COMPUTED_VALUE"""),"#VALUE!")</f>
        <v>#VALUE!</v>
      </c>
      <c r="J184" s="51" t="str">
        <f>IFERROR(__xludf.DUMMYFUNCTION("""COMPUTED_VALUE"""),"")</f>
        <v/>
      </c>
      <c r="K184" s="51"/>
      <c r="L184" s="51" t="s">
        <v>257</v>
      </c>
      <c r="M184" s="51"/>
      <c r="N184" s="51"/>
      <c r="O184" s="51"/>
      <c r="P184" s="51"/>
      <c r="Q184" s="51"/>
      <c r="R184" s="51"/>
      <c r="S184" s="51"/>
      <c r="T184" s="51"/>
    </row>
    <row r="185">
      <c r="A185" s="51"/>
      <c r="B185" s="51"/>
      <c r="C185" s="56"/>
      <c r="D185" s="51"/>
      <c r="E185" s="51"/>
      <c r="F185" s="51"/>
      <c r="G185" s="51" t="str">
        <f>IFERROR(__xludf.DUMMYFUNCTION("""COMPUTED_VALUE"""),"#VALUE!")</f>
        <v>#VALUE!</v>
      </c>
      <c r="H185" s="51" t="str">
        <f>IFERROR(__xludf.DUMMYFUNCTION("""COMPUTED_VALUE"""),"")</f>
        <v/>
      </c>
      <c r="I185" s="51" t="str">
        <f>IFERROR(__xludf.DUMMYFUNCTION("""COMPUTED_VALUE"""),"#VALUE!")</f>
        <v>#VALUE!</v>
      </c>
      <c r="J185" s="51" t="str">
        <f>IFERROR(__xludf.DUMMYFUNCTION("""COMPUTED_VALUE"""),"")</f>
        <v/>
      </c>
      <c r="K185" s="51"/>
      <c r="L185" s="51" t="s">
        <v>257</v>
      </c>
      <c r="M185" s="51"/>
      <c r="N185" s="51"/>
      <c r="O185" s="51"/>
      <c r="P185" s="51"/>
      <c r="Q185" s="51"/>
      <c r="R185" s="51"/>
      <c r="S185" s="51"/>
      <c r="T185" s="51"/>
    </row>
    <row r="186">
      <c r="A186" s="51"/>
      <c r="B186" s="51"/>
      <c r="C186" s="56"/>
      <c r="D186" s="51"/>
      <c r="E186" s="51"/>
      <c r="F186" s="51"/>
      <c r="G186" s="51" t="str">
        <f>IFERROR(__xludf.DUMMYFUNCTION("""COMPUTED_VALUE"""),"#VALUE!")</f>
        <v>#VALUE!</v>
      </c>
      <c r="H186" s="51" t="str">
        <f>IFERROR(__xludf.DUMMYFUNCTION("""COMPUTED_VALUE"""),"")</f>
        <v/>
      </c>
      <c r="I186" s="51" t="str">
        <f>IFERROR(__xludf.DUMMYFUNCTION("""COMPUTED_VALUE"""),"#VALUE!")</f>
        <v>#VALUE!</v>
      </c>
      <c r="J186" s="51" t="str">
        <f>IFERROR(__xludf.DUMMYFUNCTION("""COMPUTED_VALUE"""),"")</f>
        <v/>
      </c>
      <c r="K186" s="51"/>
      <c r="L186" s="51" t="s">
        <v>257</v>
      </c>
      <c r="M186" s="51"/>
      <c r="N186" s="51"/>
      <c r="O186" s="51"/>
      <c r="P186" s="51"/>
      <c r="Q186" s="51"/>
      <c r="R186" s="51"/>
      <c r="S186" s="51"/>
      <c r="T186" s="51"/>
    </row>
    <row r="187">
      <c r="A187" s="51"/>
      <c r="B187" s="51"/>
      <c r="C187" s="56"/>
      <c r="D187" s="51"/>
      <c r="E187" s="51"/>
      <c r="F187" s="51"/>
      <c r="G187" s="51" t="str">
        <f>IFERROR(__xludf.DUMMYFUNCTION("""COMPUTED_VALUE"""),"#VALUE!")</f>
        <v>#VALUE!</v>
      </c>
      <c r="H187" s="51" t="str">
        <f>IFERROR(__xludf.DUMMYFUNCTION("""COMPUTED_VALUE"""),"")</f>
        <v/>
      </c>
      <c r="I187" s="51" t="str">
        <f>IFERROR(__xludf.DUMMYFUNCTION("""COMPUTED_VALUE"""),"#VALUE!")</f>
        <v>#VALUE!</v>
      </c>
      <c r="J187" s="51" t="str">
        <f>IFERROR(__xludf.DUMMYFUNCTION("""COMPUTED_VALUE"""),"")</f>
        <v/>
      </c>
      <c r="K187" s="51"/>
      <c r="L187" s="51" t="s">
        <v>257</v>
      </c>
      <c r="M187" s="51"/>
      <c r="N187" s="51"/>
      <c r="O187" s="51"/>
      <c r="P187" s="51"/>
      <c r="Q187" s="51"/>
      <c r="R187" s="51"/>
      <c r="S187" s="51"/>
      <c r="T187" s="51"/>
    </row>
    <row r="188">
      <c r="A188" s="51"/>
      <c r="B188" s="51"/>
      <c r="C188" s="56"/>
      <c r="D188" s="51"/>
      <c r="E188" s="51"/>
      <c r="F188" s="51"/>
      <c r="G188" s="51" t="str">
        <f>IFERROR(__xludf.DUMMYFUNCTION("""COMPUTED_VALUE"""),"#VALUE!")</f>
        <v>#VALUE!</v>
      </c>
      <c r="H188" s="51" t="str">
        <f>IFERROR(__xludf.DUMMYFUNCTION("""COMPUTED_VALUE"""),"")</f>
        <v/>
      </c>
      <c r="I188" s="51" t="str">
        <f>IFERROR(__xludf.DUMMYFUNCTION("""COMPUTED_VALUE"""),"#VALUE!")</f>
        <v>#VALUE!</v>
      </c>
      <c r="J188" s="51" t="str">
        <f>IFERROR(__xludf.DUMMYFUNCTION("""COMPUTED_VALUE"""),"")</f>
        <v/>
      </c>
      <c r="K188" s="51"/>
      <c r="L188" s="51" t="s">
        <v>257</v>
      </c>
      <c r="M188" s="51"/>
      <c r="N188" s="51"/>
      <c r="O188" s="51"/>
      <c r="P188" s="51"/>
      <c r="Q188" s="51"/>
      <c r="R188" s="51"/>
      <c r="S188" s="51"/>
      <c r="T188" s="51"/>
    </row>
    <row r="189">
      <c r="A189" s="51"/>
      <c r="B189" s="51"/>
      <c r="C189" s="56"/>
      <c r="D189" s="51"/>
      <c r="E189" s="51"/>
      <c r="F189" s="51"/>
      <c r="G189" s="51" t="str">
        <f>IFERROR(__xludf.DUMMYFUNCTION("""COMPUTED_VALUE"""),"#VALUE!")</f>
        <v>#VALUE!</v>
      </c>
      <c r="H189" s="51" t="str">
        <f>IFERROR(__xludf.DUMMYFUNCTION("""COMPUTED_VALUE"""),"")</f>
        <v/>
      </c>
      <c r="I189" s="51" t="str">
        <f>IFERROR(__xludf.DUMMYFUNCTION("""COMPUTED_VALUE"""),"#VALUE!")</f>
        <v>#VALUE!</v>
      </c>
      <c r="J189" s="51" t="str">
        <f>IFERROR(__xludf.DUMMYFUNCTION("""COMPUTED_VALUE"""),"")</f>
        <v/>
      </c>
      <c r="K189" s="51"/>
      <c r="L189" s="51" t="s">
        <v>257</v>
      </c>
      <c r="M189" s="51"/>
      <c r="N189" s="51"/>
      <c r="O189" s="51"/>
      <c r="P189" s="51"/>
      <c r="Q189" s="51"/>
      <c r="R189" s="51"/>
      <c r="S189" s="51"/>
      <c r="T189" s="51"/>
    </row>
    <row r="190">
      <c r="A190" s="51"/>
      <c r="B190" s="51"/>
      <c r="C190" s="56"/>
      <c r="D190" s="51"/>
      <c r="E190" s="51"/>
      <c r="F190" s="51"/>
      <c r="G190" s="51" t="str">
        <f>IFERROR(__xludf.DUMMYFUNCTION("""COMPUTED_VALUE"""),"#VALUE!")</f>
        <v>#VALUE!</v>
      </c>
      <c r="H190" s="51" t="str">
        <f>IFERROR(__xludf.DUMMYFUNCTION("""COMPUTED_VALUE"""),"")</f>
        <v/>
      </c>
      <c r="I190" s="51" t="str">
        <f>IFERROR(__xludf.DUMMYFUNCTION("""COMPUTED_VALUE"""),"#VALUE!")</f>
        <v>#VALUE!</v>
      </c>
      <c r="J190" s="51" t="str">
        <f>IFERROR(__xludf.DUMMYFUNCTION("""COMPUTED_VALUE"""),"")</f>
        <v/>
      </c>
      <c r="K190" s="51"/>
      <c r="L190" s="51" t="s">
        <v>257</v>
      </c>
      <c r="M190" s="51"/>
      <c r="N190" s="51"/>
      <c r="O190" s="51"/>
      <c r="P190" s="51"/>
      <c r="Q190" s="51"/>
      <c r="R190" s="51"/>
      <c r="S190" s="51"/>
      <c r="T190" s="51"/>
    </row>
    <row r="191">
      <c r="A191" s="51"/>
      <c r="B191" s="51"/>
      <c r="C191" s="56"/>
      <c r="D191" s="51"/>
      <c r="E191" s="51"/>
      <c r="F191" s="51"/>
      <c r="G191" s="51" t="str">
        <f>IFERROR(__xludf.DUMMYFUNCTION("""COMPUTED_VALUE"""),"#VALUE!")</f>
        <v>#VALUE!</v>
      </c>
      <c r="H191" s="51" t="str">
        <f>IFERROR(__xludf.DUMMYFUNCTION("""COMPUTED_VALUE"""),"")</f>
        <v/>
      </c>
      <c r="I191" s="51" t="str">
        <f>IFERROR(__xludf.DUMMYFUNCTION("""COMPUTED_VALUE"""),"#VALUE!")</f>
        <v>#VALUE!</v>
      </c>
      <c r="J191" s="51" t="str">
        <f>IFERROR(__xludf.DUMMYFUNCTION("""COMPUTED_VALUE"""),"")</f>
        <v/>
      </c>
      <c r="K191" s="51"/>
      <c r="L191" s="51" t="s">
        <v>257</v>
      </c>
      <c r="M191" s="51"/>
      <c r="N191" s="51"/>
      <c r="O191" s="51"/>
      <c r="P191" s="51"/>
      <c r="Q191" s="51"/>
      <c r="R191" s="51"/>
      <c r="S191" s="51"/>
      <c r="T191" s="51"/>
    </row>
    <row r="192">
      <c r="A192" s="51"/>
      <c r="B192" s="51"/>
      <c r="C192" s="56"/>
      <c r="D192" s="51"/>
      <c r="E192" s="51"/>
      <c r="F192" s="51"/>
      <c r="G192" s="51" t="str">
        <f>IFERROR(__xludf.DUMMYFUNCTION("""COMPUTED_VALUE"""),"#VALUE!")</f>
        <v>#VALUE!</v>
      </c>
      <c r="H192" s="51" t="str">
        <f>IFERROR(__xludf.DUMMYFUNCTION("""COMPUTED_VALUE"""),"")</f>
        <v/>
      </c>
      <c r="I192" s="51" t="str">
        <f>IFERROR(__xludf.DUMMYFUNCTION("""COMPUTED_VALUE"""),"#VALUE!")</f>
        <v>#VALUE!</v>
      </c>
      <c r="J192" s="51" t="str">
        <f>IFERROR(__xludf.DUMMYFUNCTION("""COMPUTED_VALUE"""),"")</f>
        <v/>
      </c>
      <c r="K192" s="51"/>
      <c r="L192" s="51" t="s">
        <v>257</v>
      </c>
      <c r="M192" s="51"/>
      <c r="N192" s="51"/>
      <c r="O192" s="51"/>
      <c r="P192" s="51"/>
      <c r="Q192" s="51"/>
      <c r="R192" s="51"/>
      <c r="S192" s="51"/>
      <c r="T192" s="51"/>
    </row>
    <row r="193">
      <c r="A193" s="51"/>
      <c r="B193" s="51"/>
      <c r="C193" s="56"/>
      <c r="D193" s="51"/>
      <c r="E193" s="51"/>
      <c r="F193" s="51"/>
      <c r="G193" s="51" t="str">
        <f>IFERROR(__xludf.DUMMYFUNCTION("""COMPUTED_VALUE"""),"#VALUE!")</f>
        <v>#VALUE!</v>
      </c>
      <c r="H193" s="51" t="str">
        <f>IFERROR(__xludf.DUMMYFUNCTION("""COMPUTED_VALUE"""),"")</f>
        <v/>
      </c>
      <c r="I193" s="51" t="str">
        <f>IFERROR(__xludf.DUMMYFUNCTION("""COMPUTED_VALUE"""),"#VALUE!")</f>
        <v>#VALUE!</v>
      </c>
      <c r="J193" s="51" t="str">
        <f>IFERROR(__xludf.DUMMYFUNCTION("""COMPUTED_VALUE"""),"")</f>
        <v/>
      </c>
      <c r="K193" s="51"/>
      <c r="L193" s="51" t="s">
        <v>257</v>
      </c>
      <c r="M193" s="51"/>
      <c r="N193" s="51"/>
      <c r="O193" s="51"/>
      <c r="P193" s="51"/>
      <c r="Q193" s="51"/>
      <c r="R193" s="51"/>
      <c r="S193" s="51"/>
      <c r="T193" s="51"/>
    </row>
    <row r="194">
      <c r="A194" s="51"/>
      <c r="B194" s="51"/>
      <c r="C194" s="56"/>
      <c r="D194" s="51"/>
      <c r="E194" s="51"/>
      <c r="F194" s="51"/>
      <c r="G194" s="51" t="str">
        <f>IFERROR(__xludf.DUMMYFUNCTION("""COMPUTED_VALUE"""),"#VALUE!")</f>
        <v>#VALUE!</v>
      </c>
      <c r="H194" s="51" t="str">
        <f>IFERROR(__xludf.DUMMYFUNCTION("""COMPUTED_VALUE"""),"")</f>
        <v/>
      </c>
      <c r="I194" s="51" t="str">
        <f>IFERROR(__xludf.DUMMYFUNCTION("""COMPUTED_VALUE"""),"#VALUE!")</f>
        <v>#VALUE!</v>
      </c>
      <c r="J194" s="51" t="str">
        <f>IFERROR(__xludf.DUMMYFUNCTION("""COMPUTED_VALUE"""),"")</f>
        <v/>
      </c>
      <c r="K194" s="51"/>
      <c r="L194" s="51" t="s">
        <v>257</v>
      </c>
      <c r="M194" s="51"/>
      <c r="N194" s="51"/>
      <c r="O194" s="51"/>
      <c r="P194" s="51"/>
      <c r="Q194" s="51"/>
      <c r="R194" s="51"/>
      <c r="S194" s="51"/>
      <c r="T194" s="51"/>
    </row>
    <row r="195">
      <c r="A195" s="51"/>
      <c r="B195" s="51"/>
      <c r="C195" s="56"/>
      <c r="D195" s="51"/>
      <c r="E195" s="51"/>
      <c r="F195" s="51"/>
      <c r="G195" s="51" t="str">
        <f>IFERROR(__xludf.DUMMYFUNCTION("""COMPUTED_VALUE"""),"#VALUE!")</f>
        <v>#VALUE!</v>
      </c>
      <c r="H195" s="51" t="str">
        <f>IFERROR(__xludf.DUMMYFUNCTION("""COMPUTED_VALUE"""),"")</f>
        <v/>
      </c>
      <c r="I195" s="51" t="str">
        <f>IFERROR(__xludf.DUMMYFUNCTION("""COMPUTED_VALUE"""),"#VALUE!")</f>
        <v>#VALUE!</v>
      </c>
      <c r="J195" s="51" t="str">
        <f>IFERROR(__xludf.DUMMYFUNCTION("""COMPUTED_VALUE"""),"")</f>
        <v/>
      </c>
      <c r="K195" s="51"/>
      <c r="L195" s="51" t="s">
        <v>257</v>
      </c>
      <c r="M195" s="51"/>
      <c r="N195" s="51"/>
      <c r="O195" s="51"/>
      <c r="P195" s="51"/>
      <c r="Q195" s="51"/>
      <c r="R195" s="51"/>
      <c r="S195" s="51"/>
      <c r="T195" s="51"/>
    </row>
    <row r="196">
      <c r="A196" s="51"/>
      <c r="B196" s="51"/>
      <c r="C196" s="56"/>
      <c r="D196" s="51"/>
      <c r="E196" s="51"/>
      <c r="F196" s="51"/>
      <c r="G196" s="51" t="str">
        <f>IFERROR(__xludf.DUMMYFUNCTION("""COMPUTED_VALUE"""),"#VALUE!")</f>
        <v>#VALUE!</v>
      </c>
      <c r="H196" s="51" t="str">
        <f>IFERROR(__xludf.DUMMYFUNCTION("""COMPUTED_VALUE"""),"")</f>
        <v/>
      </c>
      <c r="I196" s="51" t="str">
        <f>IFERROR(__xludf.DUMMYFUNCTION("""COMPUTED_VALUE"""),"#VALUE!")</f>
        <v>#VALUE!</v>
      </c>
      <c r="J196" s="51" t="str">
        <f>IFERROR(__xludf.DUMMYFUNCTION("""COMPUTED_VALUE"""),"")</f>
        <v/>
      </c>
      <c r="K196" s="51"/>
      <c r="L196" s="51" t="s">
        <v>257</v>
      </c>
      <c r="M196" s="51"/>
      <c r="N196" s="51"/>
      <c r="O196" s="51"/>
      <c r="P196" s="51"/>
      <c r="Q196" s="51"/>
      <c r="R196" s="51"/>
      <c r="S196" s="51"/>
      <c r="T196" s="51"/>
    </row>
    <row r="197">
      <c r="A197" s="51"/>
      <c r="B197" s="51"/>
      <c r="C197" s="56"/>
      <c r="D197" s="51"/>
      <c r="E197" s="51"/>
      <c r="F197" s="51"/>
      <c r="G197" s="51" t="str">
        <f>IFERROR(__xludf.DUMMYFUNCTION("""COMPUTED_VALUE"""),"#VALUE!")</f>
        <v>#VALUE!</v>
      </c>
      <c r="H197" s="51" t="str">
        <f>IFERROR(__xludf.DUMMYFUNCTION("""COMPUTED_VALUE"""),"")</f>
        <v/>
      </c>
      <c r="I197" s="51" t="str">
        <f>IFERROR(__xludf.DUMMYFUNCTION("""COMPUTED_VALUE"""),"#VALUE!")</f>
        <v>#VALUE!</v>
      </c>
      <c r="J197" s="51" t="str">
        <f>IFERROR(__xludf.DUMMYFUNCTION("""COMPUTED_VALUE"""),"")</f>
        <v/>
      </c>
      <c r="K197" s="51"/>
      <c r="L197" s="51" t="s">
        <v>257</v>
      </c>
      <c r="M197" s="51"/>
      <c r="N197" s="51"/>
      <c r="O197" s="51"/>
      <c r="P197" s="51"/>
      <c r="Q197" s="51"/>
      <c r="R197" s="51"/>
      <c r="S197" s="51"/>
      <c r="T197" s="51"/>
    </row>
    <row r="198">
      <c r="A198" s="51"/>
      <c r="B198" s="51"/>
      <c r="C198" s="56"/>
      <c r="D198" s="51"/>
      <c r="E198" s="51"/>
      <c r="F198" s="51"/>
      <c r="G198" s="51" t="str">
        <f>IFERROR(__xludf.DUMMYFUNCTION("""COMPUTED_VALUE"""),"#VALUE!")</f>
        <v>#VALUE!</v>
      </c>
      <c r="H198" s="51" t="str">
        <f>IFERROR(__xludf.DUMMYFUNCTION("""COMPUTED_VALUE"""),"")</f>
        <v/>
      </c>
      <c r="I198" s="51" t="str">
        <f>IFERROR(__xludf.DUMMYFUNCTION("""COMPUTED_VALUE"""),"#VALUE!")</f>
        <v>#VALUE!</v>
      </c>
      <c r="J198" s="51" t="str">
        <f>IFERROR(__xludf.DUMMYFUNCTION("""COMPUTED_VALUE"""),"")</f>
        <v/>
      </c>
      <c r="K198" s="51"/>
      <c r="L198" s="51" t="s">
        <v>257</v>
      </c>
      <c r="M198" s="51"/>
      <c r="N198" s="51"/>
      <c r="O198" s="51"/>
      <c r="P198" s="51"/>
      <c r="Q198" s="51"/>
      <c r="R198" s="51"/>
      <c r="S198" s="51"/>
      <c r="T198" s="51"/>
    </row>
    <row r="199">
      <c r="A199" s="51"/>
      <c r="B199" s="51"/>
      <c r="C199" s="56"/>
      <c r="D199" s="51"/>
      <c r="E199" s="51"/>
      <c r="F199" s="51"/>
      <c r="G199" s="51" t="str">
        <f>IFERROR(__xludf.DUMMYFUNCTION("""COMPUTED_VALUE"""),"#VALUE!")</f>
        <v>#VALUE!</v>
      </c>
      <c r="H199" s="51" t="str">
        <f>IFERROR(__xludf.DUMMYFUNCTION("""COMPUTED_VALUE"""),"")</f>
        <v/>
      </c>
      <c r="I199" s="51" t="str">
        <f>IFERROR(__xludf.DUMMYFUNCTION("""COMPUTED_VALUE"""),"#VALUE!")</f>
        <v>#VALUE!</v>
      </c>
      <c r="J199" s="51" t="str">
        <f>IFERROR(__xludf.DUMMYFUNCTION("""COMPUTED_VALUE"""),"")</f>
        <v/>
      </c>
      <c r="K199" s="51"/>
      <c r="L199" s="51" t="s">
        <v>257</v>
      </c>
      <c r="M199" s="51"/>
      <c r="N199" s="51"/>
      <c r="O199" s="51"/>
      <c r="P199" s="51"/>
      <c r="Q199" s="51"/>
      <c r="R199" s="51"/>
      <c r="S199" s="51"/>
      <c r="T199" s="51"/>
    </row>
    <row r="200">
      <c r="A200" s="51"/>
      <c r="B200" s="51"/>
      <c r="C200" s="56"/>
      <c r="D200" s="51"/>
      <c r="E200" s="51"/>
      <c r="F200" s="51"/>
      <c r="G200" s="51" t="str">
        <f>IFERROR(__xludf.DUMMYFUNCTION("""COMPUTED_VALUE"""),"#VALUE!")</f>
        <v>#VALUE!</v>
      </c>
      <c r="H200" s="51" t="str">
        <f>IFERROR(__xludf.DUMMYFUNCTION("""COMPUTED_VALUE"""),"")</f>
        <v/>
      </c>
      <c r="I200" s="51" t="str">
        <f>IFERROR(__xludf.DUMMYFUNCTION("""COMPUTED_VALUE"""),"#VALUE!")</f>
        <v>#VALUE!</v>
      </c>
      <c r="J200" s="51" t="str">
        <f>IFERROR(__xludf.DUMMYFUNCTION("""COMPUTED_VALUE"""),"")</f>
        <v/>
      </c>
      <c r="K200" s="51"/>
      <c r="L200" s="51" t="s">
        <v>257</v>
      </c>
      <c r="M200" s="51"/>
      <c r="N200" s="51"/>
      <c r="O200" s="51"/>
      <c r="P200" s="51"/>
      <c r="Q200" s="51"/>
      <c r="R200" s="51"/>
      <c r="S200" s="51"/>
      <c r="T200" s="51"/>
    </row>
    <row r="201">
      <c r="A201" s="51"/>
      <c r="B201" s="51"/>
      <c r="C201" s="56"/>
      <c r="D201" s="51"/>
      <c r="E201" s="51"/>
      <c r="F201" s="51"/>
      <c r="G201" s="51" t="str">
        <f>IFERROR(__xludf.DUMMYFUNCTION("""COMPUTED_VALUE"""),"#VALUE!")</f>
        <v>#VALUE!</v>
      </c>
      <c r="H201" s="51" t="str">
        <f>IFERROR(__xludf.DUMMYFUNCTION("""COMPUTED_VALUE"""),"")</f>
        <v/>
      </c>
      <c r="I201" s="51" t="str">
        <f>IFERROR(__xludf.DUMMYFUNCTION("""COMPUTED_VALUE"""),"#VALUE!")</f>
        <v>#VALUE!</v>
      </c>
      <c r="J201" s="51" t="str">
        <f>IFERROR(__xludf.DUMMYFUNCTION("""COMPUTED_VALUE"""),"")</f>
        <v/>
      </c>
      <c r="K201" s="51"/>
      <c r="L201" s="51" t="s">
        <v>257</v>
      </c>
      <c r="M201" s="51"/>
      <c r="N201" s="51"/>
      <c r="O201" s="51"/>
      <c r="P201" s="51"/>
      <c r="Q201" s="51"/>
      <c r="R201" s="51"/>
      <c r="S201" s="51"/>
      <c r="T201" s="51"/>
    </row>
    <row r="202">
      <c r="A202" s="51"/>
      <c r="B202" s="51"/>
      <c r="C202" s="56"/>
      <c r="D202" s="51"/>
      <c r="E202" s="51"/>
      <c r="F202" s="51"/>
      <c r="G202" s="51" t="str">
        <f>IFERROR(__xludf.DUMMYFUNCTION("""COMPUTED_VALUE"""),"#VALUE!")</f>
        <v>#VALUE!</v>
      </c>
      <c r="H202" s="51" t="str">
        <f>IFERROR(__xludf.DUMMYFUNCTION("""COMPUTED_VALUE"""),"")</f>
        <v/>
      </c>
      <c r="I202" s="51" t="str">
        <f>IFERROR(__xludf.DUMMYFUNCTION("""COMPUTED_VALUE"""),"#VALUE!")</f>
        <v>#VALUE!</v>
      </c>
      <c r="J202" s="51" t="str">
        <f>IFERROR(__xludf.DUMMYFUNCTION("""COMPUTED_VALUE"""),"")</f>
        <v/>
      </c>
      <c r="K202" s="51"/>
      <c r="L202" s="51" t="s">
        <v>257</v>
      </c>
      <c r="M202" s="51"/>
      <c r="N202" s="51"/>
      <c r="O202" s="51"/>
      <c r="P202" s="51"/>
      <c r="Q202" s="51"/>
      <c r="R202" s="51"/>
      <c r="S202" s="51"/>
      <c r="T202" s="51"/>
    </row>
    <row r="203">
      <c r="A203" s="51"/>
      <c r="B203" s="51"/>
      <c r="C203" s="56"/>
      <c r="D203" s="51"/>
      <c r="E203" s="51"/>
      <c r="F203" s="51"/>
      <c r="G203" s="51" t="str">
        <f>IFERROR(__xludf.DUMMYFUNCTION("""COMPUTED_VALUE"""),"#VALUE!")</f>
        <v>#VALUE!</v>
      </c>
      <c r="H203" s="51" t="str">
        <f>IFERROR(__xludf.DUMMYFUNCTION("""COMPUTED_VALUE"""),"")</f>
        <v/>
      </c>
      <c r="I203" s="51" t="str">
        <f>IFERROR(__xludf.DUMMYFUNCTION("""COMPUTED_VALUE"""),"#VALUE!")</f>
        <v>#VALUE!</v>
      </c>
      <c r="J203" s="51" t="str">
        <f>IFERROR(__xludf.DUMMYFUNCTION("""COMPUTED_VALUE"""),"")</f>
        <v/>
      </c>
      <c r="K203" s="51"/>
      <c r="L203" s="51" t="s">
        <v>257</v>
      </c>
      <c r="M203" s="51"/>
      <c r="N203" s="51"/>
      <c r="O203" s="51"/>
      <c r="P203" s="51"/>
      <c r="Q203" s="51"/>
      <c r="R203" s="51"/>
      <c r="S203" s="51"/>
      <c r="T203" s="51"/>
    </row>
    <row r="204">
      <c r="A204" s="51"/>
      <c r="B204" s="51"/>
      <c r="C204" s="56"/>
      <c r="D204" s="51"/>
      <c r="E204" s="51"/>
      <c r="F204" s="51"/>
      <c r="G204" s="51" t="str">
        <f>IFERROR(__xludf.DUMMYFUNCTION("""COMPUTED_VALUE"""),"#VALUE!")</f>
        <v>#VALUE!</v>
      </c>
      <c r="H204" s="51" t="str">
        <f>IFERROR(__xludf.DUMMYFUNCTION("""COMPUTED_VALUE"""),"")</f>
        <v/>
      </c>
      <c r="I204" s="51" t="str">
        <f>IFERROR(__xludf.DUMMYFUNCTION("""COMPUTED_VALUE"""),"#VALUE!")</f>
        <v>#VALUE!</v>
      </c>
      <c r="J204" s="51" t="str">
        <f>IFERROR(__xludf.DUMMYFUNCTION("""COMPUTED_VALUE"""),"")</f>
        <v/>
      </c>
      <c r="K204" s="51"/>
      <c r="L204" s="51" t="s">
        <v>257</v>
      </c>
      <c r="M204" s="51"/>
      <c r="N204" s="51"/>
      <c r="O204" s="51"/>
      <c r="P204" s="51"/>
      <c r="Q204" s="51"/>
      <c r="R204" s="51"/>
      <c r="S204" s="51"/>
      <c r="T204" s="51"/>
    </row>
    <row r="205">
      <c r="A205" s="51"/>
      <c r="B205" s="51"/>
      <c r="C205" s="56"/>
      <c r="D205" s="51"/>
      <c r="E205" s="51"/>
      <c r="F205" s="51"/>
      <c r="G205" s="51" t="str">
        <f>IFERROR(__xludf.DUMMYFUNCTION("""COMPUTED_VALUE"""),"#VALUE!")</f>
        <v>#VALUE!</v>
      </c>
      <c r="H205" s="51" t="str">
        <f>IFERROR(__xludf.DUMMYFUNCTION("""COMPUTED_VALUE"""),"")</f>
        <v/>
      </c>
      <c r="I205" s="51" t="str">
        <f>IFERROR(__xludf.DUMMYFUNCTION("""COMPUTED_VALUE"""),"#VALUE!")</f>
        <v>#VALUE!</v>
      </c>
      <c r="J205" s="51" t="str">
        <f>IFERROR(__xludf.DUMMYFUNCTION("""COMPUTED_VALUE"""),"")</f>
        <v/>
      </c>
      <c r="K205" s="51"/>
      <c r="L205" s="51" t="s">
        <v>257</v>
      </c>
      <c r="M205" s="51"/>
      <c r="N205" s="51"/>
      <c r="O205" s="51"/>
      <c r="P205" s="51"/>
      <c r="Q205" s="51"/>
      <c r="R205" s="51"/>
      <c r="S205" s="51"/>
      <c r="T205" s="51"/>
    </row>
    <row r="206">
      <c r="A206" s="51"/>
      <c r="B206" s="51"/>
      <c r="C206" s="56"/>
      <c r="D206" s="51"/>
      <c r="E206" s="51"/>
      <c r="F206" s="51"/>
      <c r="G206" s="51" t="str">
        <f>IFERROR(__xludf.DUMMYFUNCTION("""COMPUTED_VALUE"""),"#VALUE!")</f>
        <v>#VALUE!</v>
      </c>
      <c r="H206" s="51" t="str">
        <f>IFERROR(__xludf.DUMMYFUNCTION("""COMPUTED_VALUE"""),"")</f>
        <v/>
      </c>
      <c r="I206" s="51" t="str">
        <f>IFERROR(__xludf.DUMMYFUNCTION("""COMPUTED_VALUE"""),"#VALUE!")</f>
        <v>#VALUE!</v>
      </c>
      <c r="J206" s="51" t="str">
        <f>IFERROR(__xludf.DUMMYFUNCTION("""COMPUTED_VALUE"""),"")</f>
        <v/>
      </c>
      <c r="K206" s="51"/>
      <c r="L206" s="51" t="s">
        <v>257</v>
      </c>
      <c r="M206" s="51"/>
      <c r="N206" s="51"/>
      <c r="O206" s="51"/>
      <c r="P206" s="51"/>
      <c r="Q206" s="51"/>
      <c r="R206" s="51"/>
      <c r="S206" s="51"/>
      <c r="T206" s="51"/>
    </row>
    <row r="207">
      <c r="A207" s="51"/>
      <c r="B207" s="51"/>
      <c r="C207" s="56"/>
      <c r="D207" s="51"/>
      <c r="E207" s="51"/>
      <c r="F207" s="51"/>
      <c r="G207" s="51" t="str">
        <f>IFERROR(__xludf.DUMMYFUNCTION("""COMPUTED_VALUE"""),"#VALUE!")</f>
        <v>#VALUE!</v>
      </c>
      <c r="H207" s="51" t="str">
        <f>IFERROR(__xludf.DUMMYFUNCTION("""COMPUTED_VALUE"""),"")</f>
        <v/>
      </c>
      <c r="I207" s="51" t="str">
        <f>IFERROR(__xludf.DUMMYFUNCTION("""COMPUTED_VALUE"""),"#VALUE!")</f>
        <v>#VALUE!</v>
      </c>
      <c r="J207" s="51" t="str">
        <f>IFERROR(__xludf.DUMMYFUNCTION("""COMPUTED_VALUE"""),"")</f>
        <v/>
      </c>
      <c r="K207" s="51"/>
      <c r="L207" s="51" t="s">
        <v>257</v>
      </c>
      <c r="M207" s="51"/>
      <c r="N207" s="51"/>
      <c r="O207" s="51"/>
      <c r="P207" s="51"/>
      <c r="Q207" s="51"/>
      <c r="R207" s="51"/>
      <c r="S207" s="51"/>
      <c r="T207" s="51"/>
    </row>
    <row r="208">
      <c r="A208" s="51"/>
      <c r="B208" s="51"/>
      <c r="C208" s="56"/>
      <c r="D208" s="51"/>
      <c r="E208" s="51"/>
      <c r="F208" s="51"/>
      <c r="G208" s="51" t="str">
        <f>IFERROR(__xludf.DUMMYFUNCTION("""COMPUTED_VALUE"""),"#VALUE!")</f>
        <v>#VALUE!</v>
      </c>
      <c r="H208" s="51" t="str">
        <f>IFERROR(__xludf.DUMMYFUNCTION("""COMPUTED_VALUE"""),"")</f>
        <v/>
      </c>
      <c r="I208" s="51" t="str">
        <f>IFERROR(__xludf.DUMMYFUNCTION("""COMPUTED_VALUE"""),"#VALUE!")</f>
        <v>#VALUE!</v>
      </c>
      <c r="J208" s="51" t="str">
        <f>IFERROR(__xludf.DUMMYFUNCTION("""COMPUTED_VALUE"""),"")</f>
        <v/>
      </c>
      <c r="K208" s="51"/>
      <c r="L208" s="51" t="s">
        <v>257</v>
      </c>
      <c r="M208" s="51"/>
      <c r="N208" s="51"/>
      <c r="O208" s="51"/>
      <c r="P208" s="51"/>
      <c r="Q208" s="51"/>
      <c r="R208" s="51"/>
      <c r="S208" s="51"/>
      <c r="T208" s="51"/>
    </row>
    <row r="209">
      <c r="A209" s="51"/>
      <c r="B209" s="51"/>
      <c r="C209" s="56"/>
      <c r="D209" s="51"/>
      <c r="E209" s="51"/>
      <c r="F209" s="51"/>
      <c r="G209" s="51" t="str">
        <f>IFERROR(__xludf.DUMMYFUNCTION("""COMPUTED_VALUE"""),"#VALUE!")</f>
        <v>#VALUE!</v>
      </c>
      <c r="H209" s="51" t="str">
        <f>IFERROR(__xludf.DUMMYFUNCTION("""COMPUTED_VALUE"""),"")</f>
        <v/>
      </c>
      <c r="I209" s="51" t="str">
        <f>IFERROR(__xludf.DUMMYFUNCTION("""COMPUTED_VALUE"""),"#VALUE!")</f>
        <v>#VALUE!</v>
      </c>
      <c r="J209" s="51" t="str">
        <f>IFERROR(__xludf.DUMMYFUNCTION("""COMPUTED_VALUE"""),"")</f>
        <v/>
      </c>
      <c r="K209" s="51"/>
      <c r="L209" s="51" t="s">
        <v>257</v>
      </c>
      <c r="M209" s="51"/>
      <c r="N209" s="51"/>
      <c r="O209" s="51"/>
      <c r="P209" s="51"/>
      <c r="Q209" s="51"/>
      <c r="R209" s="51"/>
      <c r="S209" s="51"/>
      <c r="T209" s="51"/>
    </row>
    <row r="210">
      <c r="A210" s="51"/>
      <c r="B210" s="51"/>
      <c r="C210" s="56"/>
      <c r="D210" s="51"/>
      <c r="E210" s="51"/>
      <c r="F210" s="51"/>
      <c r="G210" s="51" t="str">
        <f>IFERROR(__xludf.DUMMYFUNCTION("""COMPUTED_VALUE"""),"#VALUE!")</f>
        <v>#VALUE!</v>
      </c>
      <c r="H210" s="51" t="str">
        <f>IFERROR(__xludf.DUMMYFUNCTION("""COMPUTED_VALUE"""),"")</f>
        <v/>
      </c>
      <c r="I210" s="51" t="str">
        <f>IFERROR(__xludf.DUMMYFUNCTION("""COMPUTED_VALUE"""),"#VALUE!")</f>
        <v>#VALUE!</v>
      </c>
      <c r="J210" s="51" t="str">
        <f>IFERROR(__xludf.DUMMYFUNCTION("""COMPUTED_VALUE"""),"")</f>
        <v/>
      </c>
      <c r="K210" s="51"/>
      <c r="L210" s="51" t="s">
        <v>257</v>
      </c>
      <c r="M210" s="51"/>
      <c r="N210" s="51"/>
      <c r="O210" s="51"/>
      <c r="P210" s="51"/>
      <c r="Q210" s="51"/>
      <c r="R210" s="51"/>
      <c r="S210" s="51"/>
      <c r="T210" s="51"/>
    </row>
    <row r="211">
      <c r="A211" s="51"/>
      <c r="B211" s="51"/>
      <c r="C211" s="56"/>
      <c r="D211" s="51"/>
      <c r="E211" s="51"/>
      <c r="F211" s="51"/>
      <c r="G211" s="51" t="str">
        <f>IFERROR(__xludf.DUMMYFUNCTION("""COMPUTED_VALUE"""),"#VALUE!")</f>
        <v>#VALUE!</v>
      </c>
      <c r="H211" s="51" t="str">
        <f>IFERROR(__xludf.DUMMYFUNCTION("""COMPUTED_VALUE"""),"")</f>
        <v/>
      </c>
      <c r="I211" s="51" t="str">
        <f>IFERROR(__xludf.DUMMYFUNCTION("""COMPUTED_VALUE"""),"#VALUE!")</f>
        <v>#VALUE!</v>
      </c>
      <c r="J211" s="51" t="str">
        <f>IFERROR(__xludf.DUMMYFUNCTION("""COMPUTED_VALUE"""),"")</f>
        <v/>
      </c>
      <c r="K211" s="51"/>
      <c r="L211" s="51" t="s">
        <v>257</v>
      </c>
      <c r="M211" s="51"/>
      <c r="N211" s="51"/>
      <c r="O211" s="51"/>
      <c r="P211" s="51"/>
      <c r="Q211" s="51"/>
      <c r="R211" s="51"/>
      <c r="S211" s="51"/>
      <c r="T211" s="51"/>
    </row>
    <row r="212">
      <c r="A212" s="51"/>
      <c r="B212" s="51"/>
      <c r="C212" s="56"/>
      <c r="D212" s="51"/>
      <c r="E212" s="51"/>
      <c r="F212" s="51"/>
      <c r="G212" s="51" t="str">
        <f>IFERROR(__xludf.DUMMYFUNCTION("""COMPUTED_VALUE"""),"#VALUE!")</f>
        <v>#VALUE!</v>
      </c>
      <c r="H212" s="51" t="str">
        <f>IFERROR(__xludf.DUMMYFUNCTION("""COMPUTED_VALUE"""),"")</f>
        <v/>
      </c>
      <c r="I212" s="51" t="str">
        <f>IFERROR(__xludf.DUMMYFUNCTION("""COMPUTED_VALUE"""),"#VALUE!")</f>
        <v>#VALUE!</v>
      </c>
      <c r="J212" s="51" t="str">
        <f>IFERROR(__xludf.DUMMYFUNCTION("""COMPUTED_VALUE"""),"")</f>
        <v/>
      </c>
      <c r="K212" s="51"/>
      <c r="L212" s="51" t="s">
        <v>257</v>
      </c>
      <c r="M212" s="51"/>
      <c r="N212" s="51"/>
      <c r="O212" s="51"/>
      <c r="P212" s="51"/>
      <c r="Q212" s="51"/>
      <c r="R212" s="51"/>
      <c r="S212" s="51"/>
      <c r="T212" s="51"/>
    </row>
    <row r="213">
      <c r="A213" s="51"/>
      <c r="B213" s="51"/>
      <c r="C213" s="56"/>
      <c r="D213" s="51"/>
      <c r="E213" s="51"/>
      <c r="F213" s="51"/>
      <c r="G213" s="51" t="str">
        <f>IFERROR(__xludf.DUMMYFUNCTION("""COMPUTED_VALUE"""),"#VALUE!")</f>
        <v>#VALUE!</v>
      </c>
      <c r="H213" s="51" t="str">
        <f>IFERROR(__xludf.DUMMYFUNCTION("""COMPUTED_VALUE"""),"")</f>
        <v/>
      </c>
      <c r="I213" s="51" t="str">
        <f>IFERROR(__xludf.DUMMYFUNCTION("""COMPUTED_VALUE"""),"#VALUE!")</f>
        <v>#VALUE!</v>
      </c>
      <c r="J213" s="51" t="str">
        <f>IFERROR(__xludf.DUMMYFUNCTION("""COMPUTED_VALUE"""),"")</f>
        <v/>
      </c>
      <c r="K213" s="51"/>
      <c r="L213" s="51" t="s">
        <v>257</v>
      </c>
      <c r="M213" s="51"/>
      <c r="N213" s="51"/>
      <c r="O213" s="51"/>
      <c r="P213" s="51"/>
      <c r="Q213" s="51"/>
      <c r="R213" s="51"/>
      <c r="S213" s="51"/>
      <c r="T213" s="51"/>
    </row>
    <row r="214">
      <c r="A214" s="51"/>
      <c r="B214" s="51"/>
      <c r="C214" s="56"/>
      <c r="D214" s="51"/>
      <c r="E214" s="51"/>
      <c r="F214" s="51"/>
      <c r="G214" s="51" t="str">
        <f>IFERROR(__xludf.DUMMYFUNCTION("""COMPUTED_VALUE"""),"#VALUE!")</f>
        <v>#VALUE!</v>
      </c>
      <c r="H214" s="51" t="str">
        <f>IFERROR(__xludf.DUMMYFUNCTION("""COMPUTED_VALUE"""),"")</f>
        <v/>
      </c>
      <c r="I214" s="51" t="str">
        <f>IFERROR(__xludf.DUMMYFUNCTION("""COMPUTED_VALUE"""),"#VALUE!")</f>
        <v>#VALUE!</v>
      </c>
      <c r="J214" s="51" t="str">
        <f>IFERROR(__xludf.DUMMYFUNCTION("""COMPUTED_VALUE"""),"")</f>
        <v/>
      </c>
      <c r="K214" s="51"/>
      <c r="L214" s="51" t="s">
        <v>257</v>
      </c>
      <c r="M214" s="51"/>
      <c r="N214" s="51"/>
      <c r="O214" s="51"/>
      <c r="P214" s="51"/>
      <c r="Q214" s="51"/>
      <c r="R214" s="51"/>
      <c r="S214" s="51"/>
      <c r="T214" s="51"/>
    </row>
    <row r="215">
      <c r="A215" s="51"/>
      <c r="B215" s="51"/>
      <c r="C215" s="56"/>
      <c r="D215" s="51"/>
      <c r="E215" s="51"/>
      <c r="F215" s="51"/>
      <c r="G215" s="51" t="str">
        <f>IFERROR(__xludf.DUMMYFUNCTION("""COMPUTED_VALUE"""),"#VALUE!")</f>
        <v>#VALUE!</v>
      </c>
      <c r="H215" s="51" t="str">
        <f>IFERROR(__xludf.DUMMYFUNCTION("""COMPUTED_VALUE"""),"")</f>
        <v/>
      </c>
      <c r="I215" s="51" t="str">
        <f>IFERROR(__xludf.DUMMYFUNCTION("""COMPUTED_VALUE"""),"#VALUE!")</f>
        <v>#VALUE!</v>
      </c>
      <c r="J215" s="51" t="str">
        <f>IFERROR(__xludf.DUMMYFUNCTION("""COMPUTED_VALUE"""),"")</f>
        <v/>
      </c>
      <c r="K215" s="51"/>
      <c r="L215" s="51" t="s">
        <v>257</v>
      </c>
      <c r="M215" s="51"/>
      <c r="N215" s="51"/>
      <c r="O215" s="51"/>
      <c r="P215" s="51"/>
      <c r="Q215" s="51"/>
      <c r="R215" s="51"/>
      <c r="S215" s="51"/>
      <c r="T215" s="51"/>
    </row>
    <row r="216">
      <c r="A216" s="51"/>
      <c r="B216" s="51"/>
      <c r="C216" s="56"/>
      <c r="D216" s="51"/>
      <c r="E216" s="51"/>
      <c r="F216" s="51"/>
      <c r="G216" s="51" t="str">
        <f>IFERROR(__xludf.DUMMYFUNCTION("""COMPUTED_VALUE"""),"#VALUE!")</f>
        <v>#VALUE!</v>
      </c>
      <c r="H216" s="51" t="str">
        <f>IFERROR(__xludf.DUMMYFUNCTION("""COMPUTED_VALUE"""),"")</f>
        <v/>
      </c>
      <c r="I216" s="51" t="str">
        <f>IFERROR(__xludf.DUMMYFUNCTION("""COMPUTED_VALUE"""),"#VALUE!")</f>
        <v>#VALUE!</v>
      </c>
      <c r="J216" s="51" t="str">
        <f>IFERROR(__xludf.DUMMYFUNCTION("""COMPUTED_VALUE"""),"")</f>
        <v/>
      </c>
      <c r="K216" s="51"/>
      <c r="L216" s="51" t="s">
        <v>257</v>
      </c>
      <c r="M216" s="51"/>
      <c r="N216" s="51"/>
      <c r="O216" s="51"/>
      <c r="P216" s="51"/>
      <c r="Q216" s="51"/>
      <c r="R216" s="51"/>
      <c r="S216" s="51"/>
      <c r="T216" s="51"/>
    </row>
    <row r="217">
      <c r="A217" s="51"/>
      <c r="B217" s="51"/>
      <c r="C217" s="56"/>
      <c r="D217" s="51"/>
      <c r="E217" s="51"/>
      <c r="F217" s="51"/>
      <c r="G217" s="51" t="str">
        <f>IFERROR(__xludf.DUMMYFUNCTION("""COMPUTED_VALUE"""),"#VALUE!")</f>
        <v>#VALUE!</v>
      </c>
      <c r="H217" s="51" t="str">
        <f>IFERROR(__xludf.DUMMYFUNCTION("""COMPUTED_VALUE"""),"")</f>
        <v/>
      </c>
      <c r="I217" s="51" t="str">
        <f>IFERROR(__xludf.DUMMYFUNCTION("""COMPUTED_VALUE"""),"#VALUE!")</f>
        <v>#VALUE!</v>
      </c>
      <c r="J217" s="51" t="str">
        <f>IFERROR(__xludf.DUMMYFUNCTION("""COMPUTED_VALUE"""),"")</f>
        <v/>
      </c>
      <c r="K217" s="51"/>
      <c r="L217" s="51" t="s">
        <v>257</v>
      </c>
      <c r="M217" s="51"/>
      <c r="N217" s="51"/>
      <c r="O217" s="51"/>
      <c r="P217" s="51"/>
      <c r="Q217" s="51"/>
      <c r="R217" s="51"/>
      <c r="S217" s="51"/>
      <c r="T217" s="51"/>
    </row>
    <row r="218">
      <c r="A218" s="51"/>
      <c r="B218" s="51"/>
      <c r="C218" s="56"/>
      <c r="D218" s="51"/>
      <c r="E218" s="51"/>
      <c r="F218" s="51"/>
      <c r="G218" s="51" t="str">
        <f>IFERROR(__xludf.DUMMYFUNCTION("""COMPUTED_VALUE"""),"#VALUE!")</f>
        <v>#VALUE!</v>
      </c>
      <c r="H218" s="51" t="str">
        <f>IFERROR(__xludf.DUMMYFUNCTION("""COMPUTED_VALUE"""),"")</f>
        <v/>
      </c>
      <c r="I218" s="51" t="str">
        <f>IFERROR(__xludf.DUMMYFUNCTION("""COMPUTED_VALUE"""),"#VALUE!")</f>
        <v>#VALUE!</v>
      </c>
      <c r="J218" s="51" t="str">
        <f>IFERROR(__xludf.DUMMYFUNCTION("""COMPUTED_VALUE"""),"")</f>
        <v/>
      </c>
      <c r="K218" s="51"/>
      <c r="L218" s="51" t="s">
        <v>257</v>
      </c>
      <c r="M218" s="51"/>
      <c r="N218" s="51"/>
      <c r="O218" s="51"/>
      <c r="P218" s="51"/>
      <c r="Q218" s="51"/>
      <c r="R218" s="51"/>
      <c r="S218" s="51"/>
      <c r="T218" s="51"/>
    </row>
    <row r="219">
      <c r="A219" s="51"/>
      <c r="B219" s="51"/>
      <c r="C219" s="56"/>
      <c r="D219" s="51"/>
      <c r="E219" s="51"/>
      <c r="F219" s="51"/>
      <c r="G219" s="51" t="str">
        <f>IFERROR(__xludf.DUMMYFUNCTION("""COMPUTED_VALUE"""),"#VALUE!")</f>
        <v>#VALUE!</v>
      </c>
      <c r="H219" s="51" t="str">
        <f>IFERROR(__xludf.DUMMYFUNCTION("""COMPUTED_VALUE"""),"")</f>
        <v/>
      </c>
      <c r="I219" s="51" t="str">
        <f>IFERROR(__xludf.DUMMYFUNCTION("""COMPUTED_VALUE"""),"#VALUE!")</f>
        <v>#VALUE!</v>
      </c>
      <c r="J219" s="51" t="str">
        <f>IFERROR(__xludf.DUMMYFUNCTION("""COMPUTED_VALUE"""),"")</f>
        <v/>
      </c>
      <c r="K219" s="51"/>
      <c r="L219" s="51" t="s">
        <v>257</v>
      </c>
      <c r="M219" s="51"/>
      <c r="N219" s="51"/>
      <c r="O219" s="51"/>
      <c r="P219" s="51"/>
      <c r="Q219" s="51"/>
      <c r="R219" s="51"/>
      <c r="S219" s="51"/>
      <c r="T219" s="51"/>
    </row>
    <row r="220">
      <c r="A220" s="51"/>
      <c r="B220" s="51"/>
      <c r="C220" s="56"/>
      <c r="D220" s="51"/>
      <c r="E220" s="51"/>
      <c r="F220" s="51"/>
      <c r="G220" s="51" t="str">
        <f>IFERROR(__xludf.DUMMYFUNCTION("""COMPUTED_VALUE"""),"#VALUE!")</f>
        <v>#VALUE!</v>
      </c>
      <c r="H220" s="51" t="str">
        <f>IFERROR(__xludf.DUMMYFUNCTION("""COMPUTED_VALUE"""),"")</f>
        <v/>
      </c>
      <c r="I220" s="51" t="str">
        <f>IFERROR(__xludf.DUMMYFUNCTION("""COMPUTED_VALUE"""),"#VALUE!")</f>
        <v>#VALUE!</v>
      </c>
      <c r="J220" s="51" t="str">
        <f>IFERROR(__xludf.DUMMYFUNCTION("""COMPUTED_VALUE"""),"")</f>
        <v/>
      </c>
      <c r="K220" s="51"/>
      <c r="L220" s="51" t="s">
        <v>257</v>
      </c>
      <c r="M220" s="51"/>
      <c r="N220" s="51"/>
      <c r="O220" s="51"/>
      <c r="P220" s="51"/>
      <c r="Q220" s="51"/>
      <c r="R220" s="51"/>
      <c r="S220" s="51"/>
      <c r="T220" s="51"/>
    </row>
    <row r="221">
      <c r="A221" s="51"/>
      <c r="B221" s="51"/>
      <c r="C221" s="56"/>
      <c r="D221" s="51"/>
      <c r="E221" s="51"/>
      <c r="F221" s="51"/>
      <c r="G221" s="51" t="str">
        <f>IFERROR(__xludf.DUMMYFUNCTION("""COMPUTED_VALUE"""),"#VALUE!")</f>
        <v>#VALUE!</v>
      </c>
      <c r="H221" s="51" t="str">
        <f>IFERROR(__xludf.DUMMYFUNCTION("""COMPUTED_VALUE"""),"")</f>
        <v/>
      </c>
      <c r="I221" s="51" t="str">
        <f>IFERROR(__xludf.DUMMYFUNCTION("""COMPUTED_VALUE"""),"#VALUE!")</f>
        <v>#VALUE!</v>
      </c>
      <c r="J221" s="51" t="str">
        <f>IFERROR(__xludf.DUMMYFUNCTION("""COMPUTED_VALUE"""),"")</f>
        <v/>
      </c>
      <c r="K221" s="51"/>
      <c r="L221" s="51" t="s">
        <v>257</v>
      </c>
      <c r="M221" s="51"/>
      <c r="N221" s="51"/>
      <c r="O221" s="51"/>
      <c r="P221" s="51"/>
      <c r="Q221" s="51"/>
      <c r="R221" s="51"/>
      <c r="S221" s="51"/>
      <c r="T221" s="51"/>
    </row>
    <row r="222">
      <c r="A222" s="51"/>
      <c r="B222" s="51"/>
      <c r="C222" s="56"/>
      <c r="D222" s="51"/>
      <c r="E222" s="51"/>
      <c r="F222" s="51"/>
      <c r="G222" s="51" t="str">
        <f>IFERROR(__xludf.DUMMYFUNCTION("""COMPUTED_VALUE"""),"#VALUE!")</f>
        <v>#VALUE!</v>
      </c>
      <c r="H222" s="51" t="str">
        <f>IFERROR(__xludf.DUMMYFUNCTION("""COMPUTED_VALUE"""),"")</f>
        <v/>
      </c>
      <c r="I222" s="51" t="str">
        <f>IFERROR(__xludf.DUMMYFUNCTION("""COMPUTED_VALUE"""),"#VALUE!")</f>
        <v>#VALUE!</v>
      </c>
      <c r="J222" s="51" t="str">
        <f>IFERROR(__xludf.DUMMYFUNCTION("""COMPUTED_VALUE"""),"")</f>
        <v/>
      </c>
      <c r="K222" s="51"/>
      <c r="L222" s="51" t="s">
        <v>257</v>
      </c>
      <c r="M222" s="51"/>
      <c r="N222" s="51"/>
      <c r="O222" s="51"/>
      <c r="P222" s="51"/>
      <c r="Q222" s="51"/>
      <c r="R222" s="51"/>
      <c r="S222" s="51"/>
      <c r="T222" s="51"/>
    </row>
    <row r="223">
      <c r="A223" s="51"/>
      <c r="B223" s="51"/>
      <c r="C223" s="56"/>
      <c r="D223" s="51"/>
      <c r="E223" s="51"/>
      <c r="F223" s="51"/>
      <c r="G223" s="51" t="str">
        <f>IFERROR(__xludf.DUMMYFUNCTION("""COMPUTED_VALUE"""),"#VALUE!")</f>
        <v>#VALUE!</v>
      </c>
      <c r="H223" s="51" t="str">
        <f>IFERROR(__xludf.DUMMYFUNCTION("""COMPUTED_VALUE"""),"")</f>
        <v/>
      </c>
      <c r="I223" s="51" t="str">
        <f>IFERROR(__xludf.DUMMYFUNCTION("""COMPUTED_VALUE"""),"#VALUE!")</f>
        <v>#VALUE!</v>
      </c>
      <c r="J223" s="51" t="str">
        <f>IFERROR(__xludf.DUMMYFUNCTION("""COMPUTED_VALUE"""),"")</f>
        <v/>
      </c>
      <c r="K223" s="51"/>
      <c r="L223" s="51" t="s">
        <v>257</v>
      </c>
      <c r="M223" s="51"/>
      <c r="N223" s="51"/>
      <c r="O223" s="51"/>
      <c r="P223" s="51"/>
      <c r="Q223" s="51"/>
      <c r="R223" s="51"/>
      <c r="S223" s="51"/>
      <c r="T223" s="51"/>
    </row>
    <row r="224">
      <c r="A224" s="51"/>
      <c r="B224" s="51"/>
      <c r="C224" s="56"/>
      <c r="D224" s="51"/>
      <c r="E224" s="51"/>
      <c r="F224" s="51"/>
      <c r="G224" s="51" t="str">
        <f>IFERROR(__xludf.DUMMYFUNCTION("""COMPUTED_VALUE"""),"#VALUE!")</f>
        <v>#VALUE!</v>
      </c>
      <c r="H224" s="51" t="str">
        <f>IFERROR(__xludf.DUMMYFUNCTION("""COMPUTED_VALUE"""),"")</f>
        <v/>
      </c>
      <c r="I224" s="51" t="str">
        <f>IFERROR(__xludf.DUMMYFUNCTION("""COMPUTED_VALUE"""),"#VALUE!")</f>
        <v>#VALUE!</v>
      </c>
      <c r="J224" s="51" t="str">
        <f>IFERROR(__xludf.DUMMYFUNCTION("""COMPUTED_VALUE"""),"")</f>
        <v/>
      </c>
      <c r="K224" s="51"/>
      <c r="L224" s="51" t="s">
        <v>257</v>
      </c>
      <c r="M224" s="51"/>
      <c r="N224" s="51"/>
      <c r="O224" s="51"/>
      <c r="P224" s="51"/>
      <c r="Q224" s="51"/>
      <c r="R224" s="51"/>
      <c r="S224" s="51"/>
      <c r="T224" s="51"/>
    </row>
    <row r="225">
      <c r="A225" s="51"/>
      <c r="B225" s="51"/>
      <c r="C225" s="56"/>
      <c r="D225" s="51"/>
      <c r="E225" s="51"/>
      <c r="F225" s="51"/>
      <c r="G225" s="51" t="str">
        <f>IFERROR(__xludf.DUMMYFUNCTION("""COMPUTED_VALUE"""),"#VALUE!")</f>
        <v>#VALUE!</v>
      </c>
      <c r="H225" s="51" t="str">
        <f>IFERROR(__xludf.DUMMYFUNCTION("""COMPUTED_VALUE"""),"")</f>
        <v/>
      </c>
      <c r="I225" s="51" t="str">
        <f>IFERROR(__xludf.DUMMYFUNCTION("""COMPUTED_VALUE"""),"#VALUE!")</f>
        <v>#VALUE!</v>
      </c>
      <c r="J225" s="51" t="str">
        <f>IFERROR(__xludf.DUMMYFUNCTION("""COMPUTED_VALUE"""),"")</f>
        <v/>
      </c>
      <c r="K225" s="51"/>
      <c r="L225" s="51" t="s">
        <v>257</v>
      </c>
      <c r="M225" s="51"/>
      <c r="N225" s="51"/>
      <c r="O225" s="51"/>
      <c r="P225" s="51"/>
      <c r="Q225" s="51"/>
      <c r="R225" s="51"/>
      <c r="S225" s="51"/>
      <c r="T225" s="51"/>
    </row>
    <row r="226">
      <c r="A226" s="51"/>
      <c r="B226" s="51"/>
      <c r="C226" s="56"/>
      <c r="D226" s="51"/>
      <c r="E226" s="51"/>
      <c r="F226" s="51"/>
      <c r="G226" s="51" t="str">
        <f>IFERROR(__xludf.DUMMYFUNCTION("""COMPUTED_VALUE"""),"#VALUE!")</f>
        <v>#VALUE!</v>
      </c>
      <c r="H226" s="51" t="str">
        <f>IFERROR(__xludf.DUMMYFUNCTION("""COMPUTED_VALUE"""),"")</f>
        <v/>
      </c>
      <c r="I226" s="51" t="str">
        <f>IFERROR(__xludf.DUMMYFUNCTION("""COMPUTED_VALUE"""),"#VALUE!")</f>
        <v>#VALUE!</v>
      </c>
      <c r="J226" s="51" t="str">
        <f>IFERROR(__xludf.DUMMYFUNCTION("""COMPUTED_VALUE"""),"")</f>
        <v/>
      </c>
      <c r="K226" s="51"/>
      <c r="L226" s="51" t="s">
        <v>257</v>
      </c>
      <c r="M226" s="51"/>
      <c r="N226" s="51"/>
      <c r="O226" s="51"/>
      <c r="P226" s="51"/>
      <c r="Q226" s="51"/>
      <c r="R226" s="51"/>
      <c r="S226" s="51"/>
      <c r="T226" s="51"/>
    </row>
    <row r="227">
      <c r="A227" s="51"/>
      <c r="B227" s="51"/>
      <c r="C227" s="56"/>
      <c r="D227" s="51"/>
      <c r="E227" s="51"/>
      <c r="F227" s="51"/>
      <c r="G227" s="51" t="str">
        <f>IFERROR(__xludf.DUMMYFUNCTION("""COMPUTED_VALUE"""),"#VALUE!")</f>
        <v>#VALUE!</v>
      </c>
      <c r="H227" s="51" t="str">
        <f>IFERROR(__xludf.DUMMYFUNCTION("""COMPUTED_VALUE"""),"")</f>
        <v/>
      </c>
      <c r="I227" s="51" t="str">
        <f>IFERROR(__xludf.DUMMYFUNCTION("""COMPUTED_VALUE"""),"#VALUE!")</f>
        <v>#VALUE!</v>
      </c>
      <c r="J227" s="51" t="str">
        <f>IFERROR(__xludf.DUMMYFUNCTION("""COMPUTED_VALUE"""),"")</f>
        <v/>
      </c>
      <c r="K227" s="51"/>
      <c r="L227" s="51" t="s">
        <v>257</v>
      </c>
      <c r="M227" s="51"/>
      <c r="N227" s="51"/>
      <c r="O227" s="51"/>
      <c r="P227" s="51"/>
      <c r="Q227" s="51"/>
      <c r="R227" s="51"/>
      <c r="S227" s="51"/>
      <c r="T227" s="51"/>
    </row>
    <row r="228">
      <c r="A228" s="51"/>
      <c r="B228" s="51"/>
      <c r="C228" s="56"/>
      <c r="D228" s="51"/>
      <c r="E228" s="51"/>
      <c r="F228" s="51"/>
      <c r="G228" s="51" t="str">
        <f>IFERROR(__xludf.DUMMYFUNCTION("""COMPUTED_VALUE"""),"#VALUE!")</f>
        <v>#VALUE!</v>
      </c>
      <c r="H228" s="51" t="str">
        <f>IFERROR(__xludf.DUMMYFUNCTION("""COMPUTED_VALUE"""),"")</f>
        <v/>
      </c>
      <c r="I228" s="51" t="str">
        <f>IFERROR(__xludf.DUMMYFUNCTION("""COMPUTED_VALUE"""),"#VALUE!")</f>
        <v>#VALUE!</v>
      </c>
      <c r="J228" s="51" t="str">
        <f>IFERROR(__xludf.DUMMYFUNCTION("""COMPUTED_VALUE"""),"")</f>
        <v/>
      </c>
      <c r="K228" s="51"/>
      <c r="L228" s="51" t="s">
        <v>257</v>
      </c>
      <c r="M228" s="51"/>
      <c r="N228" s="51"/>
      <c r="O228" s="51"/>
      <c r="P228" s="51"/>
      <c r="Q228" s="51"/>
      <c r="R228" s="51"/>
      <c r="S228" s="51"/>
      <c r="T228" s="51"/>
    </row>
    <row r="229">
      <c r="A229" s="51"/>
      <c r="B229" s="51"/>
      <c r="C229" s="56"/>
      <c r="D229" s="51"/>
      <c r="E229" s="51"/>
      <c r="F229" s="51"/>
      <c r="G229" s="51" t="str">
        <f>IFERROR(__xludf.DUMMYFUNCTION("""COMPUTED_VALUE"""),"#VALUE!")</f>
        <v>#VALUE!</v>
      </c>
      <c r="H229" s="51" t="str">
        <f>IFERROR(__xludf.DUMMYFUNCTION("""COMPUTED_VALUE"""),"")</f>
        <v/>
      </c>
      <c r="I229" s="51" t="str">
        <f>IFERROR(__xludf.DUMMYFUNCTION("""COMPUTED_VALUE"""),"#VALUE!")</f>
        <v>#VALUE!</v>
      </c>
      <c r="J229" s="51" t="str">
        <f>IFERROR(__xludf.DUMMYFUNCTION("""COMPUTED_VALUE"""),"")</f>
        <v/>
      </c>
      <c r="K229" s="51"/>
      <c r="L229" s="51" t="s">
        <v>257</v>
      </c>
      <c r="M229" s="51"/>
      <c r="N229" s="51"/>
      <c r="O229" s="51"/>
      <c r="P229" s="51"/>
      <c r="Q229" s="51"/>
      <c r="R229" s="51"/>
      <c r="S229" s="51"/>
      <c r="T229" s="51"/>
    </row>
    <row r="230">
      <c r="A230" s="51"/>
      <c r="B230" s="51"/>
      <c r="C230" s="56"/>
      <c r="D230" s="51"/>
      <c r="E230" s="51"/>
      <c r="F230" s="51"/>
      <c r="G230" s="51" t="str">
        <f>IFERROR(__xludf.DUMMYFUNCTION("""COMPUTED_VALUE"""),"#VALUE!")</f>
        <v>#VALUE!</v>
      </c>
      <c r="H230" s="51" t="str">
        <f>IFERROR(__xludf.DUMMYFUNCTION("""COMPUTED_VALUE"""),"")</f>
        <v/>
      </c>
      <c r="I230" s="51" t="str">
        <f>IFERROR(__xludf.DUMMYFUNCTION("""COMPUTED_VALUE"""),"#VALUE!")</f>
        <v>#VALUE!</v>
      </c>
      <c r="J230" s="51" t="str">
        <f>IFERROR(__xludf.DUMMYFUNCTION("""COMPUTED_VALUE"""),"")</f>
        <v/>
      </c>
      <c r="K230" s="51"/>
      <c r="L230" s="51" t="s">
        <v>257</v>
      </c>
      <c r="M230" s="51"/>
      <c r="N230" s="51"/>
      <c r="O230" s="51"/>
      <c r="P230" s="51"/>
      <c r="Q230" s="51"/>
      <c r="R230" s="51"/>
      <c r="S230" s="51"/>
      <c r="T230" s="51"/>
    </row>
    <row r="231">
      <c r="A231" s="51"/>
      <c r="B231" s="51"/>
      <c r="C231" s="56"/>
      <c r="D231" s="51"/>
      <c r="E231" s="51"/>
      <c r="F231" s="51"/>
      <c r="G231" s="51" t="str">
        <f>IFERROR(__xludf.DUMMYFUNCTION("""COMPUTED_VALUE"""),"#VALUE!")</f>
        <v>#VALUE!</v>
      </c>
      <c r="H231" s="51" t="str">
        <f>IFERROR(__xludf.DUMMYFUNCTION("""COMPUTED_VALUE"""),"")</f>
        <v/>
      </c>
      <c r="I231" s="51" t="str">
        <f>IFERROR(__xludf.DUMMYFUNCTION("""COMPUTED_VALUE"""),"#VALUE!")</f>
        <v>#VALUE!</v>
      </c>
      <c r="J231" s="51" t="str">
        <f>IFERROR(__xludf.DUMMYFUNCTION("""COMPUTED_VALUE"""),"")</f>
        <v/>
      </c>
      <c r="K231" s="51"/>
      <c r="L231" s="51" t="s">
        <v>257</v>
      </c>
      <c r="M231" s="51"/>
      <c r="N231" s="51"/>
      <c r="O231" s="51"/>
      <c r="P231" s="51"/>
      <c r="Q231" s="51"/>
      <c r="R231" s="51"/>
      <c r="S231" s="51"/>
      <c r="T231" s="51"/>
    </row>
    <row r="232">
      <c r="A232" s="51"/>
      <c r="B232" s="51"/>
      <c r="C232" s="56"/>
      <c r="D232" s="51"/>
      <c r="E232" s="51"/>
      <c r="F232" s="51"/>
      <c r="G232" s="51" t="str">
        <f>IFERROR(__xludf.DUMMYFUNCTION("""COMPUTED_VALUE"""),"#VALUE!")</f>
        <v>#VALUE!</v>
      </c>
      <c r="H232" s="51" t="str">
        <f>IFERROR(__xludf.DUMMYFUNCTION("""COMPUTED_VALUE"""),"")</f>
        <v/>
      </c>
      <c r="I232" s="51" t="str">
        <f>IFERROR(__xludf.DUMMYFUNCTION("""COMPUTED_VALUE"""),"#VALUE!")</f>
        <v>#VALUE!</v>
      </c>
      <c r="J232" s="51" t="str">
        <f>IFERROR(__xludf.DUMMYFUNCTION("""COMPUTED_VALUE"""),"")</f>
        <v/>
      </c>
      <c r="K232" s="51"/>
      <c r="L232" s="51" t="s">
        <v>257</v>
      </c>
      <c r="M232" s="51"/>
      <c r="N232" s="51"/>
      <c r="O232" s="51"/>
      <c r="P232" s="51"/>
      <c r="Q232" s="51"/>
      <c r="R232" s="51"/>
      <c r="S232" s="51"/>
      <c r="T232" s="51"/>
    </row>
    <row r="233">
      <c r="A233" s="51"/>
      <c r="B233" s="51"/>
      <c r="C233" s="56"/>
      <c r="D233" s="51"/>
      <c r="E233" s="51"/>
      <c r="F233" s="51"/>
      <c r="G233" s="51" t="str">
        <f>IFERROR(__xludf.DUMMYFUNCTION("""COMPUTED_VALUE"""),"#VALUE!")</f>
        <v>#VALUE!</v>
      </c>
      <c r="H233" s="51" t="str">
        <f>IFERROR(__xludf.DUMMYFUNCTION("""COMPUTED_VALUE"""),"")</f>
        <v/>
      </c>
      <c r="I233" s="51" t="str">
        <f>IFERROR(__xludf.DUMMYFUNCTION("""COMPUTED_VALUE"""),"#VALUE!")</f>
        <v>#VALUE!</v>
      </c>
      <c r="J233" s="51" t="str">
        <f>IFERROR(__xludf.DUMMYFUNCTION("""COMPUTED_VALUE"""),"")</f>
        <v/>
      </c>
      <c r="K233" s="51"/>
      <c r="L233" s="51" t="s">
        <v>257</v>
      </c>
      <c r="M233" s="51"/>
      <c r="N233" s="51"/>
      <c r="O233" s="51"/>
      <c r="P233" s="51"/>
      <c r="Q233" s="51"/>
      <c r="R233" s="51"/>
      <c r="S233" s="51"/>
      <c r="T233" s="51"/>
    </row>
    <row r="234">
      <c r="A234" s="51"/>
      <c r="B234" s="51"/>
      <c r="C234" s="56"/>
      <c r="D234" s="51"/>
      <c r="E234" s="51"/>
      <c r="F234" s="51"/>
      <c r="G234" s="51" t="str">
        <f>IFERROR(__xludf.DUMMYFUNCTION("""COMPUTED_VALUE"""),"#VALUE!")</f>
        <v>#VALUE!</v>
      </c>
      <c r="H234" s="51" t="str">
        <f>IFERROR(__xludf.DUMMYFUNCTION("""COMPUTED_VALUE"""),"")</f>
        <v/>
      </c>
      <c r="I234" s="51" t="str">
        <f>IFERROR(__xludf.DUMMYFUNCTION("""COMPUTED_VALUE"""),"#VALUE!")</f>
        <v>#VALUE!</v>
      </c>
      <c r="J234" s="51" t="str">
        <f>IFERROR(__xludf.DUMMYFUNCTION("""COMPUTED_VALUE"""),"")</f>
        <v/>
      </c>
      <c r="K234" s="51"/>
      <c r="L234" s="51" t="s">
        <v>257</v>
      </c>
      <c r="M234" s="51"/>
      <c r="N234" s="51"/>
      <c r="O234" s="51"/>
      <c r="P234" s="51"/>
      <c r="Q234" s="51"/>
      <c r="R234" s="51"/>
      <c r="S234" s="51"/>
      <c r="T234" s="51"/>
    </row>
    <row r="235">
      <c r="A235" s="51"/>
      <c r="B235" s="51"/>
      <c r="C235" s="56"/>
      <c r="D235" s="51"/>
      <c r="E235" s="51"/>
      <c r="F235" s="51"/>
      <c r="G235" s="51" t="str">
        <f>IFERROR(__xludf.DUMMYFUNCTION("""COMPUTED_VALUE"""),"#VALUE!")</f>
        <v>#VALUE!</v>
      </c>
      <c r="H235" s="51" t="str">
        <f>IFERROR(__xludf.DUMMYFUNCTION("""COMPUTED_VALUE"""),"")</f>
        <v/>
      </c>
      <c r="I235" s="51" t="str">
        <f>IFERROR(__xludf.DUMMYFUNCTION("""COMPUTED_VALUE"""),"#VALUE!")</f>
        <v>#VALUE!</v>
      </c>
      <c r="J235" s="51" t="str">
        <f>IFERROR(__xludf.DUMMYFUNCTION("""COMPUTED_VALUE"""),"")</f>
        <v/>
      </c>
      <c r="K235" s="51"/>
      <c r="L235" s="51" t="s">
        <v>257</v>
      </c>
      <c r="M235" s="51"/>
      <c r="N235" s="51"/>
      <c r="O235" s="51"/>
      <c r="P235" s="51"/>
      <c r="Q235" s="51"/>
      <c r="R235" s="51"/>
      <c r="S235" s="51"/>
      <c r="T235" s="51"/>
    </row>
    <row r="236">
      <c r="A236" s="51"/>
      <c r="B236" s="51"/>
      <c r="C236" s="56"/>
      <c r="D236" s="51"/>
      <c r="E236" s="51"/>
      <c r="F236" s="51"/>
      <c r="G236" s="51" t="str">
        <f>IFERROR(__xludf.DUMMYFUNCTION("""COMPUTED_VALUE"""),"#VALUE!")</f>
        <v>#VALUE!</v>
      </c>
      <c r="H236" s="51" t="str">
        <f>IFERROR(__xludf.DUMMYFUNCTION("""COMPUTED_VALUE"""),"")</f>
        <v/>
      </c>
      <c r="I236" s="51" t="str">
        <f>IFERROR(__xludf.DUMMYFUNCTION("""COMPUTED_VALUE"""),"#VALUE!")</f>
        <v>#VALUE!</v>
      </c>
      <c r="J236" s="51" t="str">
        <f>IFERROR(__xludf.DUMMYFUNCTION("""COMPUTED_VALUE"""),"")</f>
        <v/>
      </c>
      <c r="K236" s="51"/>
      <c r="L236" s="51" t="s">
        <v>257</v>
      </c>
      <c r="M236" s="51"/>
      <c r="N236" s="51"/>
      <c r="O236" s="51"/>
      <c r="P236" s="51"/>
      <c r="Q236" s="51"/>
      <c r="R236" s="51"/>
      <c r="S236" s="51"/>
      <c r="T236" s="51"/>
    </row>
    <row r="237">
      <c r="A237" s="51"/>
      <c r="B237" s="51"/>
      <c r="C237" s="56"/>
      <c r="D237" s="51"/>
      <c r="E237" s="51"/>
      <c r="F237" s="51"/>
      <c r="G237" s="51" t="str">
        <f>IFERROR(__xludf.DUMMYFUNCTION("""COMPUTED_VALUE"""),"#VALUE!")</f>
        <v>#VALUE!</v>
      </c>
      <c r="H237" s="51" t="str">
        <f>IFERROR(__xludf.DUMMYFUNCTION("""COMPUTED_VALUE"""),"")</f>
        <v/>
      </c>
      <c r="I237" s="51" t="str">
        <f>IFERROR(__xludf.DUMMYFUNCTION("""COMPUTED_VALUE"""),"#VALUE!")</f>
        <v>#VALUE!</v>
      </c>
      <c r="J237" s="51" t="str">
        <f>IFERROR(__xludf.DUMMYFUNCTION("""COMPUTED_VALUE"""),"")</f>
        <v/>
      </c>
      <c r="K237" s="51"/>
      <c r="L237" s="51" t="s">
        <v>257</v>
      </c>
      <c r="M237" s="51"/>
      <c r="N237" s="51"/>
      <c r="O237" s="51"/>
      <c r="P237" s="51"/>
      <c r="Q237" s="51"/>
      <c r="R237" s="51"/>
      <c r="S237" s="51"/>
      <c r="T237" s="51"/>
    </row>
    <row r="238">
      <c r="A238" s="51"/>
      <c r="B238" s="51"/>
      <c r="C238" s="56"/>
      <c r="D238" s="51"/>
      <c r="E238" s="51"/>
      <c r="F238" s="51"/>
      <c r="G238" s="51" t="str">
        <f>IFERROR(__xludf.DUMMYFUNCTION("""COMPUTED_VALUE"""),"#VALUE!")</f>
        <v>#VALUE!</v>
      </c>
      <c r="H238" s="51" t="str">
        <f>IFERROR(__xludf.DUMMYFUNCTION("""COMPUTED_VALUE"""),"")</f>
        <v/>
      </c>
      <c r="I238" s="51" t="str">
        <f>IFERROR(__xludf.DUMMYFUNCTION("""COMPUTED_VALUE"""),"#VALUE!")</f>
        <v>#VALUE!</v>
      </c>
      <c r="J238" s="51" t="str">
        <f>IFERROR(__xludf.DUMMYFUNCTION("""COMPUTED_VALUE"""),"")</f>
        <v/>
      </c>
      <c r="K238" s="51"/>
      <c r="L238" s="51" t="s">
        <v>257</v>
      </c>
      <c r="M238" s="51"/>
      <c r="N238" s="51"/>
      <c r="O238" s="51"/>
      <c r="P238" s="51"/>
      <c r="Q238" s="51"/>
      <c r="R238" s="51"/>
      <c r="S238" s="51"/>
      <c r="T238" s="51"/>
    </row>
    <row r="239">
      <c r="A239" s="51"/>
      <c r="B239" s="51"/>
      <c r="C239" s="56"/>
      <c r="D239" s="51"/>
      <c r="E239" s="51"/>
      <c r="F239" s="51"/>
      <c r="G239" s="51" t="str">
        <f>IFERROR(__xludf.DUMMYFUNCTION("""COMPUTED_VALUE"""),"#VALUE!")</f>
        <v>#VALUE!</v>
      </c>
      <c r="H239" s="51" t="str">
        <f>IFERROR(__xludf.DUMMYFUNCTION("""COMPUTED_VALUE"""),"")</f>
        <v/>
      </c>
      <c r="I239" s="51" t="str">
        <f>IFERROR(__xludf.DUMMYFUNCTION("""COMPUTED_VALUE"""),"#VALUE!")</f>
        <v>#VALUE!</v>
      </c>
      <c r="J239" s="51" t="str">
        <f>IFERROR(__xludf.DUMMYFUNCTION("""COMPUTED_VALUE"""),"")</f>
        <v/>
      </c>
      <c r="K239" s="51"/>
      <c r="L239" s="51" t="s">
        <v>257</v>
      </c>
      <c r="M239" s="51"/>
      <c r="N239" s="51"/>
      <c r="O239" s="51"/>
      <c r="P239" s="51"/>
      <c r="Q239" s="51"/>
      <c r="R239" s="51"/>
      <c r="S239" s="51"/>
      <c r="T239" s="51"/>
    </row>
    <row r="240">
      <c r="A240" s="51"/>
      <c r="B240" s="51"/>
      <c r="C240" s="56"/>
      <c r="D240" s="51"/>
      <c r="E240" s="51"/>
      <c r="F240" s="51"/>
      <c r="G240" s="51" t="str">
        <f>IFERROR(__xludf.DUMMYFUNCTION("""COMPUTED_VALUE"""),"#VALUE!")</f>
        <v>#VALUE!</v>
      </c>
      <c r="H240" s="51" t="str">
        <f>IFERROR(__xludf.DUMMYFUNCTION("""COMPUTED_VALUE"""),"")</f>
        <v/>
      </c>
      <c r="I240" s="51" t="str">
        <f>IFERROR(__xludf.DUMMYFUNCTION("""COMPUTED_VALUE"""),"#VALUE!")</f>
        <v>#VALUE!</v>
      </c>
      <c r="J240" s="51" t="str">
        <f>IFERROR(__xludf.DUMMYFUNCTION("""COMPUTED_VALUE"""),"")</f>
        <v/>
      </c>
      <c r="K240" s="51"/>
      <c r="L240" s="51" t="s">
        <v>257</v>
      </c>
      <c r="M240" s="51"/>
      <c r="N240" s="51"/>
      <c r="O240" s="51"/>
      <c r="P240" s="51"/>
      <c r="Q240" s="51"/>
      <c r="R240" s="51"/>
      <c r="S240" s="51"/>
      <c r="T240" s="51"/>
    </row>
    <row r="241">
      <c r="A241" s="51"/>
      <c r="B241" s="51"/>
      <c r="C241" s="56"/>
      <c r="D241" s="51"/>
      <c r="E241" s="51"/>
      <c r="F241" s="51"/>
      <c r="G241" s="51" t="str">
        <f>IFERROR(__xludf.DUMMYFUNCTION("""COMPUTED_VALUE"""),"#VALUE!")</f>
        <v>#VALUE!</v>
      </c>
      <c r="H241" s="51" t="str">
        <f>IFERROR(__xludf.DUMMYFUNCTION("""COMPUTED_VALUE"""),"")</f>
        <v/>
      </c>
      <c r="I241" s="51" t="str">
        <f>IFERROR(__xludf.DUMMYFUNCTION("""COMPUTED_VALUE"""),"#VALUE!")</f>
        <v>#VALUE!</v>
      </c>
      <c r="J241" s="51" t="str">
        <f>IFERROR(__xludf.DUMMYFUNCTION("""COMPUTED_VALUE"""),"")</f>
        <v/>
      </c>
      <c r="K241" s="51"/>
      <c r="L241" s="51" t="s">
        <v>257</v>
      </c>
      <c r="M241" s="51"/>
      <c r="N241" s="51"/>
      <c r="O241" s="51"/>
      <c r="P241" s="51"/>
      <c r="Q241" s="51"/>
      <c r="R241" s="51"/>
      <c r="S241" s="51"/>
      <c r="T241" s="51"/>
    </row>
    <row r="242">
      <c r="A242" s="51"/>
      <c r="B242" s="51"/>
      <c r="C242" s="56"/>
      <c r="D242" s="51"/>
      <c r="E242" s="51"/>
      <c r="F242" s="51"/>
      <c r="G242" s="51" t="str">
        <f>IFERROR(__xludf.DUMMYFUNCTION("""COMPUTED_VALUE"""),"#VALUE!")</f>
        <v>#VALUE!</v>
      </c>
      <c r="H242" s="51" t="str">
        <f>IFERROR(__xludf.DUMMYFUNCTION("""COMPUTED_VALUE"""),"")</f>
        <v/>
      </c>
      <c r="I242" s="51" t="str">
        <f>IFERROR(__xludf.DUMMYFUNCTION("""COMPUTED_VALUE"""),"#VALUE!")</f>
        <v>#VALUE!</v>
      </c>
      <c r="J242" s="51" t="str">
        <f>IFERROR(__xludf.DUMMYFUNCTION("""COMPUTED_VALUE"""),"")</f>
        <v/>
      </c>
      <c r="K242" s="51"/>
      <c r="L242" s="51" t="s">
        <v>257</v>
      </c>
      <c r="M242" s="51"/>
      <c r="N242" s="51"/>
      <c r="O242" s="51"/>
      <c r="P242" s="51"/>
      <c r="Q242" s="51"/>
      <c r="R242" s="51"/>
      <c r="S242" s="51"/>
      <c r="T242" s="51"/>
    </row>
    <row r="243">
      <c r="A243" s="51"/>
      <c r="B243" s="51"/>
      <c r="C243" s="56"/>
      <c r="D243" s="51"/>
      <c r="E243" s="51"/>
      <c r="F243" s="51"/>
      <c r="G243" s="51" t="str">
        <f>IFERROR(__xludf.DUMMYFUNCTION("""COMPUTED_VALUE"""),"#VALUE!")</f>
        <v>#VALUE!</v>
      </c>
      <c r="H243" s="51" t="str">
        <f>IFERROR(__xludf.DUMMYFUNCTION("""COMPUTED_VALUE"""),"")</f>
        <v/>
      </c>
      <c r="I243" s="51" t="str">
        <f>IFERROR(__xludf.DUMMYFUNCTION("""COMPUTED_VALUE"""),"#VALUE!")</f>
        <v>#VALUE!</v>
      </c>
      <c r="J243" s="51" t="str">
        <f>IFERROR(__xludf.DUMMYFUNCTION("""COMPUTED_VALUE"""),"")</f>
        <v/>
      </c>
      <c r="K243" s="51"/>
      <c r="L243" s="51" t="s">
        <v>257</v>
      </c>
      <c r="M243" s="51"/>
      <c r="N243" s="51"/>
      <c r="O243" s="51"/>
      <c r="P243" s="51"/>
      <c r="Q243" s="51"/>
      <c r="R243" s="51"/>
      <c r="S243" s="51"/>
      <c r="T243" s="51"/>
    </row>
    <row r="244">
      <c r="A244" s="51"/>
      <c r="B244" s="51"/>
      <c r="C244" s="56"/>
      <c r="D244" s="51"/>
      <c r="E244" s="51"/>
      <c r="F244" s="51"/>
      <c r="G244" s="51" t="str">
        <f>IFERROR(__xludf.DUMMYFUNCTION("""COMPUTED_VALUE"""),"#VALUE!")</f>
        <v>#VALUE!</v>
      </c>
      <c r="H244" s="51" t="str">
        <f>IFERROR(__xludf.DUMMYFUNCTION("""COMPUTED_VALUE"""),"")</f>
        <v/>
      </c>
      <c r="I244" s="51" t="str">
        <f>IFERROR(__xludf.DUMMYFUNCTION("""COMPUTED_VALUE"""),"#VALUE!")</f>
        <v>#VALUE!</v>
      </c>
      <c r="J244" s="51" t="str">
        <f>IFERROR(__xludf.DUMMYFUNCTION("""COMPUTED_VALUE"""),"")</f>
        <v/>
      </c>
      <c r="K244" s="51"/>
      <c r="L244" s="51" t="s">
        <v>257</v>
      </c>
      <c r="M244" s="51"/>
      <c r="N244" s="51"/>
      <c r="O244" s="51"/>
      <c r="P244" s="51"/>
      <c r="Q244" s="51"/>
      <c r="R244" s="51"/>
      <c r="S244" s="51"/>
      <c r="T244" s="51"/>
    </row>
    <row r="245">
      <c r="A245" s="51"/>
      <c r="B245" s="51"/>
      <c r="C245" s="56"/>
      <c r="D245" s="51"/>
      <c r="E245" s="51"/>
      <c r="F245" s="51"/>
      <c r="G245" s="51" t="str">
        <f>IFERROR(__xludf.DUMMYFUNCTION("""COMPUTED_VALUE"""),"#VALUE!")</f>
        <v>#VALUE!</v>
      </c>
      <c r="H245" s="51" t="str">
        <f>IFERROR(__xludf.DUMMYFUNCTION("""COMPUTED_VALUE"""),"")</f>
        <v/>
      </c>
      <c r="I245" s="51" t="str">
        <f>IFERROR(__xludf.DUMMYFUNCTION("""COMPUTED_VALUE"""),"#VALUE!")</f>
        <v>#VALUE!</v>
      </c>
      <c r="J245" s="51" t="str">
        <f>IFERROR(__xludf.DUMMYFUNCTION("""COMPUTED_VALUE"""),"")</f>
        <v/>
      </c>
      <c r="K245" s="51"/>
      <c r="L245" s="51" t="s">
        <v>257</v>
      </c>
      <c r="M245" s="51"/>
      <c r="N245" s="51"/>
      <c r="O245" s="51"/>
      <c r="P245" s="51"/>
      <c r="Q245" s="51"/>
      <c r="R245" s="51"/>
      <c r="S245" s="51"/>
      <c r="T245" s="51"/>
    </row>
    <row r="246">
      <c r="A246" s="51"/>
      <c r="B246" s="51"/>
      <c r="C246" s="56"/>
      <c r="D246" s="51"/>
      <c r="E246" s="51"/>
      <c r="F246" s="51"/>
      <c r="G246" s="51" t="str">
        <f>IFERROR(__xludf.DUMMYFUNCTION("""COMPUTED_VALUE"""),"#VALUE!")</f>
        <v>#VALUE!</v>
      </c>
      <c r="H246" s="51" t="str">
        <f>IFERROR(__xludf.DUMMYFUNCTION("""COMPUTED_VALUE"""),"")</f>
        <v/>
      </c>
      <c r="I246" s="51" t="str">
        <f>IFERROR(__xludf.DUMMYFUNCTION("""COMPUTED_VALUE"""),"#VALUE!")</f>
        <v>#VALUE!</v>
      </c>
      <c r="J246" s="51" t="str">
        <f>IFERROR(__xludf.DUMMYFUNCTION("""COMPUTED_VALUE"""),"")</f>
        <v/>
      </c>
      <c r="K246" s="51"/>
      <c r="L246" s="51" t="s">
        <v>257</v>
      </c>
      <c r="M246" s="51"/>
      <c r="N246" s="51"/>
      <c r="O246" s="51"/>
      <c r="P246" s="51"/>
      <c r="Q246" s="51"/>
      <c r="R246" s="51"/>
      <c r="S246" s="51"/>
      <c r="T246" s="51"/>
    </row>
    <row r="247">
      <c r="A247" s="51"/>
      <c r="B247" s="51"/>
      <c r="C247" s="56"/>
      <c r="D247" s="51"/>
      <c r="E247" s="51"/>
      <c r="F247" s="51"/>
      <c r="G247" s="51" t="str">
        <f>IFERROR(__xludf.DUMMYFUNCTION("""COMPUTED_VALUE"""),"#VALUE!")</f>
        <v>#VALUE!</v>
      </c>
      <c r="H247" s="51" t="str">
        <f>IFERROR(__xludf.DUMMYFUNCTION("""COMPUTED_VALUE"""),"")</f>
        <v/>
      </c>
      <c r="I247" s="51" t="str">
        <f>IFERROR(__xludf.DUMMYFUNCTION("""COMPUTED_VALUE"""),"#VALUE!")</f>
        <v>#VALUE!</v>
      </c>
      <c r="J247" s="51" t="str">
        <f>IFERROR(__xludf.DUMMYFUNCTION("""COMPUTED_VALUE"""),"")</f>
        <v/>
      </c>
      <c r="K247" s="51"/>
      <c r="L247" s="51" t="s">
        <v>257</v>
      </c>
      <c r="M247" s="51"/>
      <c r="N247" s="51"/>
      <c r="O247" s="51"/>
      <c r="P247" s="51"/>
      <c r="Q247" s="51"/>
      <c r="R247" s="51"/>
      <c r="S247" s="51"/>
      <c r="T247" s="51"/>
    </row>
    <row r="248">
      <c r="A248" s="51"/>
      <c r="B248" s="51"/>
      <c r="C248" s="56"/>
      <c r="D248" s="51"/>
      <c r="E248" s="51"/>
      <c r="F248" s="51"/>
      <c r="G248" s="51" t="str">
        <f>IFERROR(__xludf.DUMMYFUNCTION("""COMPUTED_VALUE"""),"#VALUE!")</f>
        <v>#VALUE!</v>
      </c>
      <c r="H248" s="51" t="str">
        <f>IFERROR(__xludf.DUMMYFUNCTION("""COMPUTED_VALUE"""),"")</f>
        <v/>
      </c>
      <c r="I248" s="51" t="str">
        <f>IFERROR(__xludf.DUMMYFUNCTION("""COMPUTED_VALUE"""),"#VALUE!")</f>
        <v>#VALUE!</v>
      </c>
      <c r="J248" s="51" t="str">
        <f>IFERROR(__xludf.DUMMYFUNCTION("""COMPUTED_VALUE"""),"")</f>
        <v/>
      </c>
      <c r="K248" s="51"/>
      <c r="L248" s="51" t="s">
        <v>257</v>
      </c>
      <c r="M248" s="51"/>
      <c r="N248" s="51"/>
      <c r="O248" s="51"/>
      <c r="P248" s="51"/>
      <c r="Q248" s="51"/>
      <c r="R248" s="51"/>
      <c r="S248" s="51"/>
      <c r="T248" s="51"/>
    </row>
    <row r="249">
      <c r="A249" s="51"/>
      <c r="B249" s="51"/>
      <c r="C249" s="56"/>
      <c r="D249" s="51"/>
      <c r="E249" s="51"/>
      <c r="F249" s="51"/>
      <c r="G249" s="51" t="str">
        <f>IFERROR(__xludf.DUMMYFUNCTION("""COMPUTED_VALUE"""),"#VALUE!")</f>
        <v>#VALUE!</v>
      </c>
      <c r="H249" s="51" t="str">
        <f>IFERROR(__xludf.DUMMYFUNCTION("""COMPUTED_VALUE"""),"")</f>
        <v/>
      </c>
      <c r="I249" s="51" t="str">
        <f>IFERROR(__xludf.DUMMYFUNCTION("""COMPUTED_VALUE"""),"#VALUE!")</f>
        <v>#VALUE!</v>
      </c>
      <c r="J249" s="51" t="str">
        <f>IFERROR(__xludf.DUMMYFUNCTION("""COMPUTED_VALUE"""),"")</f>
        <v/>
      </c>
      <c r="K249" s="51"/>
      <c r="L249" s="51" t="s">
        <v>257</v>
      </c>
      <c r="M249" s="51"/>
      <c r="N249" s="51"/>
      <c r="O249" s="51"/>
      <c r="P249" s="51"/>
      <c r="Q249" s="51"/>
      <c r="R249" s="51"/>
      <c r="S249" s="51"/>
      <c r="T249" s="51"/>
    </row>
    <row r="250">
      <c r="A250" s="51"/>
      <c r="B250" s="51"/>
      <c r="C250" s="56"/>
      <c r="D250" s="51"/>
      <c r="E250" s="51"/>
      <c r="F250" s="51"/>
      <c r="G250" s="51" t="str">
        <f>IFERROR(__xludf.DUMMYFUNCTION("""COMPUTED_VALUE"""),"#VALUE!")</f>
        <v>#VALUE!</v>
      </c>
      <c r="H250" s="51" t="str">
        <f>IFERROR(__xludf.DUMMYFUNCTION("""COMPUTED_VALUE"""),"")</f>
        <v/>
      </c>
      <c r="I250" s="51" t="str">
        <f>IFERROR(__xludf.DUMMYFUNCTION("""COMPUTED_VALUE"""),"#VALUE!")</f>
        <v>#VALUE!</v>
      </c>
      <c r="J250" s="51" t="str">
        <f>IFERROR(__xludf.DUMMYFUNCTION("""COMPUTED_VALUE"""),"")</f>
        <v/>
      </c>
      <c r="K250" s="51"/>
      <c r="L250" s="51" t="s">
        <v>257</v>
      </c>
      <c r="M250" s="51"/>
      <c r="N250" s="51"/>
      <c r="O250" s="51"/>
      <c r="P250" s="51"/>
      <c r="Q250" s="51"/>
      <c r="R250" s="51"/>
      <c r="S250" s="51"/>
      <c r="T250" s="51"/>
    </row>
    <row r="251">
      <c r="A251" s="51"/>
      <c r="B251" s="51"/>
      <c r="C251" s="56"/>
      <c r="D251" s="51"/>
      <c r="E251" s="51"/>
      <c r="F251" s="51"/>
      <c r="G251" s="51" t="str">
        <f>IFERROR(__xludf.DUMMYFUNCTION("""COMPUTED_VALUE"""),"#VALUE!")</f>
        <v>#VALUE!</v>
      </c>
      <c r="H251" s="51" t="str">
        <f>IFERROR(__xludf.DUMMYFUNCTION("""COMPUTED_VALUE"""),"")</f>
        <v/>
      </c>
      <c r="I251" s="51" t="str">
        <f>IFERROR(__xludf.DUMMYFUNCTION("""COMPUTED_VALUE"""),"#VALUE!")</f>
        <v>#VALUE!</v>
      </c>
      <c r="J251" s="51" t="str">
        <f>IFERROR(__xludf.DUMMYFUNCTION("""COMPUTED_VALUE"""),"")</f>
        <v/>
      </c>
      <c r="K251" s="51"/>
      <c r="L251" s="51" t="s">
        <v>257</v>
      </c>
      <c r="M251" s="51"/>
      <c r="N251" s="51"/>
      <c r="O251" s="51"/>
      <c r="P251" s="51"/>
      <c r="Q251" s="51"/>
      <c r="R251" s="51"/>
      <c r="S251" s="51"/>
      <c r="T251" s="51"/>
    </row>
    <row r="252">
      <c r="A252" s="51"/>
      <c r="B252" s="51"/>
      <c r="C252" s="56"/>
      <c r="D252" s="51"/>
      <c r="E252" s="51"/>
      <c r="F252" s="51"/>
      <c r="G252" s="51" t="str">
        <f>IFERROR(__xludf.DUMMYFUNCTION("""COMPUTED_VALUE"""),"#VALUE!")</f>
        <v>#VALUE!</v>
      </c>
      <c r="H252" s="51" t="str">
        <f>IFERROR(__xludf.DUMMYFUNCTION("""COMPUTED_VALUE"""),"")</f>
        <v/>
      </c>
      <c r="I252" s="51" t="str">
        <f>IFERROR(__xludf.DUMMYFUNCTION("""COMPUTED_VALUE"""),"#VALUE!")</f>
        <v>#VALUE!</v>
      </c>
      <c r="J252" s="51" t="str">
        <f>IFERROR(__xludf.DUMMYFUNCTION("""COMPUTED_VALUE"""),"")</f>
        <v/>
      </c>
      <c r="K252" s="51"/>
      <c r="L252" s="51" t="s">
        <v>257</v>
      </c>
      <c r="M252" s="51"/>
      <c r="N252" s="51"/>
      <c r="O252" s="51"/>
      <c r="P252" s="51"/>
      <c r="Q252" s="51"/>
      <c r="R252" s="51"/>
      <c r="S252" s="51"/>
      <c r="T252" s="51"/>
    </row>
    <row r="253">
      <c r="A253" s="51"/>
      <c r="B253" s="51"/>
      <c r="C253" s="56"/>
      <c r="D253" s="51"/>
      <c r="E253" s="51"/>
      <c r="F253" s="51"/>
      <c r="G253" s="51" t="str">
        <f>IFERROR(__xludf.DUMMYFUNCTION("""COMPUTED_VALUE"""),"#VALUE!")</f>
        <v>#VALUE!</v>
      </c>
      <c r="H253" s="51" t="str">
        <f>IFERROR(__xludf.DUMMYFUNCTION("""COMPUTED_VALUE"""),"")</f>
        <v/>
      </c>
      <c r="I253" s="51" t="str">
        <f>IFERROR(__xludf.DUMMYFUNCTION("""COMPUTED_VALUE"""),"#VALUE!")</f>
        <v>#VALUE!</v>
      </c>
      <c r="J253" s="51" t="str">
        <f>IFERROR(__xludf.DUMMYFUNCTION("""COMPUTED_VALUE"""),"")</f>
        <v/>
      </c>
      <c r="K253" s="51"/>
      <c r="L253" s="51" t="s">
        <v>257</v>
      </c>
      <c r="M253" s="51"/>
      <c r="N253" s="51"/>
      <c r="O253" s="51"/>
      <c r="P253" s="51"/>
      <c r="Q253" s="51"/>
      <c r="R253" s="51"/>
      <c r="S253" s="51"/>
      <c r="T253" s="51"/>
    </row>
    <row r="254">
      <c r="A254" s="51"/>
      <c r="B254" s="51"/>
      <c r="C254" s="56"/>
      <c r="D254" s="51"/>
      <c r="E254" s="51"/>
      <c r="F254" s="51"/>
      <c r="G254" s="51" t="str">
        <f>IFERROR(__xludf.DUMMYFUNCTION("""COMPUTED_VALUE"""),"#VALUE!")</f>
        <v>#VALUE!</v>
      </c>
      <c r="H254" s="51" t="str">
        <f>IFERROR(__xludf.DUMMYFUNCTION("""COMPUTED_VALUE"""),"")</f>
        <v/>
      </c>
      <c r="I254" s="51" t="str">
        <f>IFERROR(__xludf.DUMMYFUNCTION("""COMPUTED_VALUE"""),"#VALUE!")</f>
        <v>#VALUE!</v>
      </c>
      <c r="J254" s="51" t="str">
        <f>IFERROR(__xludf.DUMMYFUNCTION("""COMPUTED_VALUE"""),"")</f>
        <v/>
      </c>
      <c r="K254" s="51"/>
      <c r="L254" s="51" t="s">
        <v>257</v>
      </c>
      <c r="M254" s="51"/>
      <c r="N254" s="51"/>
      <c r="O254" s="51"/>
      <c r="P254" s="51"/>
      <c r="Q254" s="51"/>
      <c r="R254" s="51"/>
      <c r="S254" s="51"/>
      <c r="T254" s="51"/>
    </row>
    <row r="255">
      <c r="A255" s="51"/>
      <c r="B255" s="51"/>
      <c r="C255" s="56"/>
      <c r="D255" s="51"/>
      <c r="E255" s="51"/>
      <c r="F255" s="51"/>
      <c r="G255" s="51" t="str">
        <f>IFERROR(__xludf.DUMMYFUNCTION("""COMPUTED_VALUE"""),"#VALUE!")</f>
        <v>#VALUE!</v>
      </c>
      <c r="H255" s="51" t="str">
        <f>IFERROR(__xludf.DUMMYFUNCTION("""COMPUTED_VALUE"""),"")</f>
        <v/>
      </c>
      <c r="I255" s="51" t="str">
        <f>IFERROR(__xludf.DUMMYFUNCTION("""COMPUTED_VALUE"""),"#VALUE!")</f>
        <v>#VALUE!</v>
      </c>
      <c r="J255" s="51" t="str">
        <f>IFERROR(__xludf.DUMMYFUNCTION("""COMPUTED_VALUE"""),"")</f>
        <v/>
      </c>
      <c r="K255" s="51"/>
      <c r="L255" s="51" t="s">
        <v>257</v>
      </c>
      <c r="M255" s="51"/>
      <c r="N255" s="51"/>
      <c r="O255" s="51"/>
      <c r="P255" s="51"/>
      <c r="Q255" s="51"/>
      <c r="R255" s="51"/>
      <c r="S255" s="51"/>
      <c r="T255" s="51"/>
    </row>
    <row r="256">
      <c r="A256" s="51"/>
      <c r="B256" s="51"/>
      <c r="C256" s="56"/>
      <c r="D256" s="51"/>
      <c r="E256" s="51"/>
      <c r="F256" s="51"/>
      <c r="G256" s="51" t="str">
        <f>IFERROR(__xludf.DUMMYFUNCTION("""COMPUTED_VALUE"""),"#VALUE!")</f>
        <v>#VALUE!</v>
      </c>
      <c r="H256" s="51" t="str">
        <f>IFERROR(__xludf.DUMMYFUNCTION("""COMPUTED_VALUE"""),"")</f>
        <v/>
      </c>
      <c r="I256" s="51" t="str">
        <f>IFERROR(__xludf.DUMMYFUNCTION("""COMPUTED_VALUE"""),"#VALUE!")</f>
        <v>#VALUE!</v>
      </c>
      <c r="J256" s="51" t="str">
        <f>IFERROR(__xludf.DUMMYFUNCTION("""COMPUTED_VALUE"""),"")</f>
        <v/>
      </c>
      <c r="K256" s="51"/>
      <c r="L256" s="51" t="s">
        <v>257</v>
      </c>
      <c r="M256" s="51"/>
      <c r="N256" s="51"/>
      <c r="O256" s="51"/>
      <c r="P256" s="51"/>
      <c r="Q256" s="51"/>
      <c r="R256" s="51"/>
      <c r="S256" s="51"/>
      <c r="T256" s="51"/>
    </row>
    <row r="257">
      <c r="A257" s="51"/>
      <c r="B257" s="51"/>
      <c r="C257" s="56"/>
      <c r="D257" s="51"/>
      <c r="E257" s="51"/>
      <c r="F257" s="51"/>
      <c r="G257" s="51" t="str">
        <f>IFERROR(__xludf.DUMMYFUNCTION("""COMPUTED_VALUE"""),"#VALUE!")</f>
        <v>#VALUE!</v>
      </c>
      <c r="H257" s="51" t="str">
        <f>IFERROR(__xludf.DUMMYFUNCTION("""COMPUTED_VALUE"""),"")</f>
        <v/>
      </c>
      <c r="I257" s="51" t="str">
        <f>IFERROR(__xludf.DUMMYFUNCTION("""COMPUTED_VALUE"""),"#VALUE!")</f>
        <v>#VALUE!</v>
      </c>
      <c r="J257" s="51" t="str">
        <f>IFERROR(__xludf.DUMMYFUNCTION("""COMPUTED_VALUE"""),"")</f>
        <v/>
      </c>
      <c r="K257" s="51"/>
      <c r="L257" s="51" t="s">
        <v>257</v>
      </c>
      <c r="M257" s="51"/>
      <c r="N257" s="51"/>
      <c r="O257" s="51"/>
      <c r="P257" s="51"/>
      <c r="Q257" s="51"/>
      <c r="R257" s="51"/>
      <c r="S257" s="51"/>
      <c r="T257" s="51"/>
    </row>
    <row r="258">
      <c r="A258" s="51"/>
      <c r="B258" s="51"/>
      <c r="C258" s="56"/>
      <c r="D258" s="51"/>
      <c r="E258" s="51"/>
      <c r="F258" s="51"/>
      <c r="G258" s="51" t="str">
        <f>IFERROR(__xludf.DUMMYFUNCTION("""COMPUTED_VALUE"""),"#VALUE!")</f>
        <v>#VALUE!</v>
      </c>
      <c r="H258" s="51" t="str">
        <f>IFERROR(__xludf.DUMMYFUNCTION("""COMPUTED_VALUE"""),"")</f>
        <v/>
      </c>
      <c r="I258" s="51" t="str">
        <f>IFERROR(__xludf.DUMMYFUNCTION("""COMPUTED_VALUE"""),"#VALUE!")</f>
        <v>#VALUE!</v>
      </c>
      <c r="J258" s="51" t="str">
        <f>IFERROR(__xludf.DUMMYFUNCTION("""COMPUTED_VALUE"""),"")</f>
        <v/>
      </c>
      <c r="K258" s="51"/>
      <c r="L258" s="51" t="s">
        <v>257</v>
      </c>
      <c r="M258" s="51"/>
      <c r="N258" s="51"/>
      <c r="O258" s="51"/>
      <c r="P258" s="51"/>
      <c r="Q258" s="51"/>
      <c r="R258" s="51"/>
      <c r="S258" s="51"/>
      <c r="T258" s="51"/>
    </row>
    <row r="259">
      <c r="A259" s="51"/>
      <c r="B259" s="51"/>
      <c r="C259" s="56"/>
      <c r="D259" s="51"/>
      <c r="E259" s="51"/>
      <c r="F259" s="51"/>
      <c r="G259" s="51" t="str">
        <f>IFERROR(__xludf.DUMMYFUNCTION("""COMPUTED_VALUE"""),"#VALUE!")</f>
        <v>#VALUE!</v>
      </c>
      <c r="H259" s="51" t="str">
        <f>IFERROR(__xludf.DUMMYFUNCTION("""COMPUTED_VALUE"""),"")</f>
        <v/>
      </c>
      <c r="I259" s="51" t="str">
        <f>IFERROR(__xludf.DUMMYFUNCTION("""COMPUTED_VALUE"""),"#VALUE!")</f>
        <v>#VALUE!</v>
      </c>
      <c r="J259" s="51" t="str">
        <f>IFERROR(__xludf.DUMMYFUNCTION("""COMPUTED_VALUE"""),"")</f>
        <v/>
      </c>
      <c r="K259" s="51"/>
      <c r="L259" s="51" t="s">
        <v>257</v>
      </c>
      <c r="M259" s="51"/>
      <c r="N259" s="51"/>
      <c r="O259" s="51"/>
      <c r="P259" s="51"/>
      <c r="Q259" s="51"/>
      <c r="R259" s="51"/>
      <c r="S259" s="51"/>
      <c r="T259" s="51"/>
    </row>
    <row r="260">
      <c r="A260" s="51"/>
      <c r="B260" s="51"/>
      <c r="C260" s="56"/>
      <c r="D260" s="51"/>
      <c r="E260" s="51"/>
      <c r="F260" s="51"/>
      <c r="G260" s="51" t="str">
        <f>IFERROR(__xludf.DUMMYFUNCTION("""COMPUTED_VALUE"""),"#VALUE!")</f>
        <v>#VALUE!</v>
      </c>
      <c r="H260" s="51" t="str">
        <f>IFERROR(__xludf.DUMMYFUNCTION("""COMPUTED_VALUE"""),"")</f>
        <v/>
      </c>
      <c r="I260" s="51" t="str">
        <f>IFERROR(__xludf.DUMMYFUNCTION("""COMPUTED_VALUE"""),"#VALUE!")</f>
        <v>#VALUE!</v>
      </c>
      <c r="J260" s="51" t="str">
        <f>IFERROR(__xludf.DUMMYFUNCTION("""COMPUTED_VALUE"""),"")</f>
        <v/>
      </c>
      <c r="K260" s="51"/>
      <c r="L260" s="51" t="s">
        <v>257</v>
      </c>
      <c r="M260" s="51"/>
      <c r="N260" s="51"/>
      <c r="O260" s="51"/>
      <c r="P260" s="51"/>
      <c r="Q260" s="51"/>
      <c r="R260" s="51"/>
      <c r="S260" s="51"/>
      <c r="T260" s="51"/>
    </row>
    <row r="261">
      <c r="A261" s="51"/>
      <c r="B261" s="51"/>
      <c r="C261" s="56"/>
      <c r="D261" s="51"/>
      <c r="E261" s="51"/>
      <c r="F261" s="51"/>
      <c r="G261" s="51" t="str">
        <f>IFERROR(__xludf.DUMMYFUNCTION("""COMPUTED_VALUE"""),"#VALUE!")</f>
        <v>#VALUE!</v>
      </c>
      <c r="H261" s="51" t="str">
        <f>IFERROR(__xludf.DUMMYFUNCTION("""COMPUTED_VALUE"""),"")</f>
        <v/>
      </c>
      <c r="I261" s="51" t="str">
        <f>IFERROR(__xludf.DUMMYFUNCTION("""COMPUTED_VALUE"""),"#VALUE!")</f>
        <v>#VALUE!</v>
      </c>
      <c r="J261" s="51" t="str">
        <f>IFERROR(__xludf.DUMMYFUNCTION("""COMPUTED_VALUE"""),"")</f>
        <v/>
      </c>
      <c r="K261" s="51"/>
      <c r="L261" s="51" t="s">
        <v>257</v>
      </c>
      <c r="M261" s="51"/>
      <c r="N261" s="51"/>
      <c r="O261" s="51"/>
      <c r="P261" s="51"/>
      <c r="Q261" s="51"/>
      <c r="R261" s="51"/>
      <c r="S261" s="51"/>
      <c r="T261" s="51"/>
    </row>
    <row r="262">
      <c r="A262" s="51"/>
      <c r="B262" s="51"/>
      <c r="C262" s="56"/>
      <c r="D262" s="51"/>
      <c r="E262" s="51"/>
      <c r="F262" s="51"/>
      <c r="G262" s="51" t="str">
        <f>IFERROR(__xludf.DUMMYFUNCTION("""COMPUTED_VALUE"""),"#VALUE!")</f>
        <v>#VALUE!</v>
      </c>
      <c r="H262" s="51" t="str">
        <f>IFERROR(__xludf.DUMMYFUNCTION("""COMPUTED_VALUE"""),"")</f>
        <v/>
      </c>
      <c r="I262" s="51" t="str">
        <f>IFERROR(__xludf.DUMMYFUNCTION("""COMPUTED_VALUE"""),"#VALUE!")</f>
        <v>#VALUE!</v>
      </c>
      <c r="J262" s="51" t="str">
        <f>IFERROR(__xludf.DUMMYFUNCTION("""COMPUTED_VALUE"""),"")</f>
        <v/>
      </c>
      <c r="K262" s="51"/>
      <c r="L262" s="51" t="s">
        <v>257</v>
      </c>
      <c r="M262" s="51"/>
      <c r="N262" s="51"/>
      <c r="O262" s="51"/>
      <c r="P262" s="51"/>
      <c r="Q262" s="51"/>
      <c r="R262" s="51"/>
      <c r="S262" s="51"/>
      <c r="T262" s="51"/>
    </row>
    <row r="263">
      <c r="A263" s="51"/>
      <c r="B263" s="51"/>
      <c r="C263" s="56"/>
      <c r="D263" s="51"/>
      <c r="E263" s="51"/>
      <c r="F263" s="51"/>
      <c r="G263" s="51" t="str">
        <f>IFERROR(__xludf.DUMMYFUNCTION("""COMPUTED_VALUE"""),"#VALUE!")</f>
        <v>#VALUE!</v>
      </c>
      <c r="H263" s="51" t="str">
        <f>IFERROR(__xludf.DUMMYFUNCTION("""COMPUTED_VALUE"""),"")</f>
        <v/>
      </c>
      <c r="I263" s="51" t="str">
        <f>IFERROR(__xludf.DUMMYFUNCTION("""COMPUTED_VALUE"""),"#VALUE!")</f>
        <v>#VALUE!</v>
      </c>
      <c r="J263" s="51" t="str">
        <f>IFERROR(__xludf.DUMMYFUNCTION("""COMPUTED_VALUE"""),"")</f>
        <v/>
      </c>
      <c r="K263" s="51"/>
      <c r="L263" s="51" t="s">
        <v>257</v>
      </c>
      <c r="M263" s="51"/>
      <c r="N263" s="51"/>
      <c r="O263" s="51"/>
      <c r="P263" s="51"/>
      <c r="Q263" s="51"/>
      <c r="R263" s="51"/>
      <c r="S263" s="51"/>
      <c r="T263" s="51"/>
    </row>
    <row r="264">
      <c r="A264" s="51"/>
      <c r="B264" s="51"/>
      <c r="C264" s="56"/>
      <c r="D264" s="51"/>
      <c r="E264" s="51"/>
      <c r="F264" s="51"/>
      <c r="G264" s="51" t="str">
        <f>IFERROR(__xludf.DUMMYFUNCTION("""COMPUTED_VALUE"""),"#VALUE!")</f>
        <v>#VALUE!</v>
      </c>
      <c r="H264" s="51" t="str">
        <f>IFERROR(__xludf.DUMMYFUNCTION("""COMPUTED_VALUE"""),"")</f>
        <v/>
      </c>
      <c r="I264" s="51" t="str">
        <f>IFERROR(__xludf.DUMMYFUNCTION("""COMPUTED_VALUE"""),"#VALUE!")</f>
        <v>#VALUE!</v>
      </c>
      <c r="J264" s="51" t="str">
        <f>IFERROR(__xludf.DUMMYFUNCTION("""COMPUTED_VALUE"""),"")</f>
        <v/>
      </c>
      <c r="K264" s="51"/>
      <c r="L264" s="51" t="s">
        <v>257</v>
      </c>
      <c r="M264" s="51"/>
      <c r="N264" s="51"/>
      <c r="O264" s="51"/>
      <c r="P264" s="51"/>
      <c r="Q264" s="51"/>
      <c r="R264" s="51"/>
      <c r="S264" s="51"/>
      <c r="T264" s="51"/>
    </row>
    <row r="265">
      <c r="A265" s="51"/>
      <c r="B265" s="51"/>
      <c r="C265" s="56"/>
      <c r="D265" s="51"/>
      <c r="E265" s="51"/>
      <c r="F265" s="51"/>
      <c r="G265" s="51" t="str">
        <f>IFERROR(__xludf.DUMMYFUNCTION("""COMPUTED_VALUE"""),"#VALUE!")</f>
        <v>#VALUE!</v>
      </c>
      <c r="H265" s="51" t="str">
        <f>IFERROR(__xludf.DUMMYFUNCTION("""COMPUTED_VALUE"""),"")</f>
        <v/>
      </c>
      <c r="I265" s="51" t="str">
        <f>IFERROR(__xludf.DUMMYFUNCTION("""COMPUTED_VALUE"""),"#VALUE!")</f>
        <v>#VALUE!</v>
      </c>
      <c r="J265" s="51" t="str">
        <f>IFERROR(__xludf.DUMMYFUNCTION("""COMPUTED_VALUE"""),"")</f>
        <v/>
      </c>
      <c r="K265" s="51"/>
      <c r="L265" s="51" t="s">
        <v>257</v>
      </c>
      <c r="M265" s="51"/>
      <c r="N265" s="51"/>
      <c r="O265" s="51"/>
      <c r="P265" s="51"/>
      <c r="Q265" s="51"/>
      <c r="R265" s="51"/>
      <c r="S265" s="51"/>
      <c r="T265" s="51"/>
    </row>
    <row r="266">
      <c r="A266" s="51"/>
      <c r="B266" s="51"/>
      <c r="C266" s="56"/>
      <c r="D266" s="51"/>
      <c r="E266" s="51"/>
      <c r="F266" s="51"/>
      <c r="G266" s="51" t="str">
        <f>IFERROR(__xludf.DUMMYFUNCTION("""COMPUTED_VALUE"""),"#VALUE!")</f>
        <v>#VALUE!</v>
      </c>
      <c r="H266" s="51" t="str">
        <f>IFERROR(__xludf.DUMMYFUNCTION("""COMPUTED_VALUE"""),"")</f>
        <v/>
      </c>
      <c r="I266" s="51" t="str">
        <f>IFERROR(__xludf.DUMMYFUNCTION("""COMPUTED_VALUE"""),"#VALUE!")</f>
        <v>#VALUE!</v>
      </c>
      <c r="J266" s="51" t="str">
        <f>IFERROR(__xludf.DUMMYFUNCTION("""COMPUTED_VALUE"""),"")</f>
        <v/>
      </c>
      <c r="K266" s="51"/>
      <c r="L266" s="51" t="s">
        <v>257</v>
      </c>
      <c r="M266" s="51"/>
      <c r="N266" s="51"/>
      <c r="O266" s="51"/>
      <c r="P266" s="51"/>
      <c r="Q266" s="51"/>
      <c r="R266" s="51"/>
      <c r="S266" s="51"/>
      <c r="T266" s="51"/>
    </row>
    <row r="267">
      <c r="A267" s="51"/>
      <c r="B267" s="51"/>
      <c r="C267" s="56"/>
      <c r="D267" s="51"/>
      <c r="E267" s="51"/>
      <c r="F267" s="51"/>
      <c r="G267" s="51" t="str">
        <f>IFERROR(__xludf.DUMMYFUNCTION("""COMPUTED_VALUE"""),"#VALUE!")</f>
        <v>#VALUE!</v>
      </c>
      <c r="H267" s="51" t="str">
        <f>IFERROR(__xludf.DUMMYFUNCTION("""COMPUTED_VALUE"""),"")</f>
        <v/>
      </c>
      <c r="I267" s="51" t="str">
        <f>IFERROR(__xludf.DUMMYFUNCTION("""COMPUTED_VALUE"""),"#VALUE!")</f>
        <v>#VALUE!</v>
      </c>
      <c r="J267" s="51" t="str">
        <f>IFERROR(__xludf.DUMMYFUNCTION("""COMPUTED_VALUE"""),"")</f>
        <v/>
      </c>
      <c r="K267" s="51"/>
      <c r="L267" s="51" t="s">
        <v>257</v>
      </c>
      <c r="M267" s="51"/>
      <c r="N267" s="51"/>
      <c r="O267" s="51"/>
      <c r="P267" s="51"/>
      <c r="Q267" s="51"/>
      <c r="R267" s="51"/>
      <c r="S267" s="51"/>
      <c r="T267" s="51"/>
    </row>
    <row r="268">
      <c r="A268" s="51"/>
      <c r="B268" s="51"/>
      <c r="C268" s="56"/>
      <c r="D268" s="51"/>
      <c r="E268" s="51"/>
      <c r="F268" s="51"/>
      <c r="G268" s="51" t="str">
        <f>IFERROR(__xludf.DUMMYFUNCTION("""COMPUTED_VALUE"""),"#VALUE!")</f>
        <v>#VALUE!</v>
      </c>
      <c r="H268" s="51" t="str">
        <f>IFERROR(__xludf.DUMMYFUNCTION("""COMPUTED_VALUE"""),"")</f>
        <v/>
      </c>
      <c r="I268" s="51" t="str">
        <f>IFERROR(__xludf.DUMMYFUNCTION("""COMPUTED_VALUE"""),"#VALUE!")</f>
        <v>#VALUE!</v>
      </c>
      <c r="J268" s="51" t="str">
        <f>IFERROR(__xludf.DUMMYFUNCTION("""COMPUTED_VALUE"""),"")</f>
        <v/>
      </c>
      <c r="K268" s="51"/>
      <c r="L268" s="51" t="s">
        <v>257</v>
      </c>
      <c r="M268" s="51"/>
      <c r="N268" s="51"/>
      <c r="O268" s="51"/>
      <c r="P268" s="51"/>
      <c r="Q268" s="51"/>
      <c r="R268" s="51"/>
      <c r="S268" s="51"/>
      <c r="T268" s="51"/>
    </row>
    <row r="269">
      <c r="A269" s="51"/>
      <c r="B269" s="51"/>
      <c r="C269" s="56"/>
      <c r="D269" s="51"/>
      <c r="E269" s="51"/>
      <c r="F269" s="51"/>
      <c r="G269" s="51" t="str">
        <f>IFERROR(__xludf.DUMMYFUNCTION("""COMPUTED_VALUE"""),"#VALUE!")</f>
        <v>#VALUE!</v>
      </c>
      <c r="H269" s="51" t="str">
        <f>IFERROR(__xludf.DUMMYFUNCTION("""COMPUTED_VALUE"""),"")</f>
        <v/>
      </c>
      <c r="I269" s="51" t="str">
        <f>IFERROR(__xludf.DUMMYFUNCTION("""COMPUTED_VALUE"""),"#VALUE!")</f>
        <v>#VALUE!</v>
      </c>
      <c r="J269" s="51" t="str">
        <f>IFERROR(__xludf.DUMMYFUNCTION("""COMPUTED_VALUE"""),"")</f>
        <v/>
      </c>
      <c r="K269" s="51"/>
      <c r="L269" s="51" t="s">
        <v>257</v>
      </c>
      <c r="M269" s="51"/>
      <c r="N269" s="51"/>
      <c r="O269" s="51"/>
      <c r="P269" s="51"/>
      <c r="Q269" s="51"/>
      <c r="R269" s="51"/>
      <c r="S269" s="51"/>
      <c r="T269" s="51"/>
    </row>
    <row r="270">
      <c r="A270" s="51"/>
      <c r="B270" s="51"/>
      <c r="C270" s="56"/>
      <c r="D270" s="51"/>
      <c r="E270" s="51"/>
      <c r="F270" s="51"/>
      <c r="G270" s="51" t="str">
        <f>IFERROR(__xludf.DUMMYFUNCTION("""COMPUTED_VALUE"""),"#VALUE!")</f>
        <v>#VALUE!</v>
      </c>
      <c r="H270" s="51" t="str">
        <f>IFERROR(__xludf.DUMMYFUNCTION("""COMPUTED_VALUE"""),"")</f>
        <v/>
      </c>
      <c r="I270" s="51" t="str">
        <f>IFERROR(__xludf.DUMMYFUNCTION("""COMPUTED_VALUE"""),"#VALUE!")</f>
        <v>#VALUE!</v>
      </c>
      <c r="J270" s="51" t="str">
        <f>IFERROR(__xludf.DUMMYFUNCTION("""COMPUTED_VALUE"""),"")</f>
        <v/>
      </c>
      <c r="K270" s="51"/>
      <c r="L270" s="51" t="s">
        <v>257</v>
      </c>
      <c r="M270" s="51"/>
      <c r="N270" s="51"/>
      <c r="O270" s="51"/>
      <c r="P270" s="51"/>
      <c r="Q270" s="51"/>
      <c r="R270" s="51"/>
      <c r="S270" s="51"/>
      <c r="T270" s="51"/>
    </row>
    <row r="271">
      <c r="A271" s="51"/>
      <c r="B271" s="51"/>
      <c r="C271" s="56"/>
      <c r="D271" s="51"/>
      <c r="E271" s="51"/>
      <c r="F271" s="51"/>
      <c r="G271" s="51" t="str">
        <f>IFERROR(__xludf.DUMMYFUNCTION("""COMPUTED_VALUE"""),"#VALUE!")</f>
        <v>#VALUE!</v>
      </c>
      <c r="H271" s="51" t="str">
        <f>IFERROR(__xludf.DUMMYFUNCTION("""COMPUTED_VALUE"""),"")</f>
        <v/>
      </c>
      <c r="I271" s="51" t="str">
        <f>IFERROR(__xludf.DUMMYFUNCTION("""COMPUTED_VALUE"""),"#VALUE!")</f>
        <v>#VALUE!</v>
      </c>
      <c r="J271" s="51" t="str">
        <f>IFERROR(__xludf.DUMMYFUNCTION("""COMPUTED_VALUE"""),"")</f>
        <v/>
      </c>
      <c r="K271" s="51"/>
      <c r="L271" s="51" t="s">
        <v>257</v>
      </c>
      <c r="M271" s="51"/>
      <c r="N271" s="51"/>
      <c r="O271" s="51"/>
      <c r="P271" s="51"/>
      <c r="Q271" s="51"/>
      <c r="R271" s="51"/>
      <c r="S271" s="51"/>
      <c r="T271" s="51"/>
    </row>
    <row r="272">
      <c r="A272" s="51"/>
      <c r="B272" s="51"/>
      <c r="C272" s="56"/>
      <c r="D272" s="51"/>
      <c r="E272" s="51"/>
      <c r="F272" s="51"/>
      <c r="G272" s="51" t="str">
        <f>IFERROR(__xludf.DUMMYFUNCTION("""COMPUTED_VALUE"""),"#VALUE!")</f>
        <v>#VALUE!</v>
      </c>
      <c r="H272" s="51" t="str">
        <f>IFERROR(__xludf.DUMMYFUNCTION("""COMPUTED_VALUE"""),"")</f>
        <v/>
      </c>
      <c r="I272" s="51" t="str">
        <f>IFERROR(__xludf.DUMMYFUNCTION("""COMPUTED_VALUE"""),"#VALUE!")</f>
        <v>#VALUE!</v>
      </c>
      <c r="J272" s="51" t="str">
        <f>IFERROR(__xludf.DUMMYFUNCTION("""COMPUTED_VALUE"""),"")</f>
        <v/>
      </c>
      <c r="K272" s="51"/>
      <c r="L272" s="51" t="s">
        <v>257</v>
      </c>
      <c r="M272" s="51"/>
      <c r="N272" s="51"/>
      <c r="O272" s="51"/>
      <c r="P272" s="51"/>
      <c r="Q272" s="51"/>
      <c r="R272" s="51"/>
      <c r="S272" s="51"/>
      <c r="T272" s="51"/>
    </row>
    <row r="273">
      <c r="A273" s="51"/>
      <c r="B273" s="51"/>
      <c r="C273" s="56"/>
      <c r="D273" s="51"/>
      <c r="E273" s="51"/>
      <c r="F273" s="51"/>
      <c r="G273" s="51" t="str">
        <f>IFERROR(__xludf.DUMMYFUNCTION("""COMPUTED_VALUE"""),"#VALUE!")</f>
        <v>#VALUE!</v>
      </c>
      <c r="H273" s="51" t="str">
        <f>IFERROR(__xludf.DUMMYFUNCTION("""COMPUTED_VALUE"""),"")</f>
        <v/>
      </c>
      <c r="I273" s="51" t="str">
        <f>IFERROR(__xludf.DUMMYFUNCTION("""COMPUTED_VALUE"""),"#VALUE!")</f>
        <v>#VALUE!</v>
      </c>
      <c r="J273" s="51" t="str">
        <f>IFERROR(__xludf.DUMMYFUNCTION("""COMPUTED_VALUE"""),"")</f>
        <v/>
      </c>
      <c r="K273" s="51"/>
      <c r="L273" s="51" t="s">
        <v>257</v>
      </c>
      <c r="M273" s="51"/>
      <c r="N273" s="51"/>
      <c r="O273" s="51"/>
      <c r="P273" s="51"/>
      <c r="Q273" s="51"/>
      <c r="R273" s="51"/>
      <c r="S273" s="51"/>
      <c r="T273" s="51"/>
    </row>
    <row r="274">
      <c r="A274" s="51"/>
      <c r="B274" s="51"/>
      <c r="C274" s="56"/>
      <c r="D274" s="51"/>
      <c r="E274" s="51"/>
      <c r="F274" s="51"/>
      <c r="G274" s="51" t="str">
        <f>IFERROR(__xludf.DUMMYFUNCTION("""COMPUTED_VALUE"""),"#VALUE!")</f>
        <v>#VALUE!</v>
      </c>
      <c r="H274" s="51" t="str">
        <f>IFERROR(__xludf.DUMMYFUNCTION("""COMPUTED_VALUE"""),"")</f>
        <v/>
      </c>
      <c r="I274" s="51" t="str">
        <f>IFERROR(__xludf.DUMMYFUNCTION("""COMPUTED_VALUE"""),"#VALUE!")</f>
        <v>#VALUE!</v>
      </c>
      <c r="J274" s="51" t="str">
        <f>IFERROR(__xludf.DUMMYFUNCTION("""COMPUTED_VALUE"""),"")</f>
        <v/>
      </c>
      <c r="K274" s="51"/>
      <c r="L274" s="51" t="s">
        <v>257</v>
      </c>
      <c r="M274" s="51"/>
      <c r="N274" s="51"/>
      <c r="O274" s="51"/>
      <c r="P274" s="51"/>
      <c r="Q274" s="51"/>
      <c r="R274" s="51"/>
      <c r="S274" s="51"/>
      <c r="T274" s="51"/>
    </row>
    <row r="275">
      <c r="A275" s="51"/>
      <c r="B275" s="51"/>
      <c r="C275" s="56"/>
      <c r="D275" s="51"/>
      <c r="E275" s="51"/>
      <c r="F275" s="51"/>
      <c r="G275" s="51" t="str">
        <f>IFERROR(__xludf.DUMMYFUNCTION("""COMPUTED_VALUE"""),"#VALUE!")</f>
        <v>#VALUE!</v>
      </c>
      <c r="H275" s="51" t="str">
        <f>IFERROR(__xludf.DUMMYFUNCTION("""COMPUTED_VALUE"""),"")</f>
        <v/>
      </c>
      <c r="I275" s="51" t="str">
        <f>IFERROR(__xludf.DUMMYFUNCTION("""COMPUTED_VALUE"""),"#VALUE!")</f>
        <v>#VALUE!</v>
      </c>
      <c r="J275" s="51" t="str">
        <f>IFERROR(__xludf.DUMMYFUNCTION("""COMPUTED_VALUE"""),"")</f>
        <v/>
      </c>
      <c r="K275" s="51"/>
      <c r="L275" s="51" t="s">
        <v>257</v>
      </c>
      <c r="M275" s="51"/>
      <c r="N275" s="51"/>
      <c r="O275" s="51"/>
      <c r="P275" s="51"/>
      <c r="Q275" s="51"/>
      <c r="R275" s="51"/>
      <c r="S275" s="51"/>
      <c r="T275" s="51"/>
    </row>
    <row r="276">
      <c r="A276" s="51"/>
      <c r="B276" s="51"/>
      <c r="C276" s="56"/>
      <c r="D276" s="51"/>
      <c r="E276" s="51"/>
      <c r="F276" s="51"/>
      <c r="G276" s="51" t="str">
        <f>IFERROR(__xludf.DUMMYFUNCTION("""COMPUTED_VALUE"""),"#VALUE!")</f>
        <v>#VALUE!</v>
      </c>
      <c r="H276" s="51" t="str">
        <f>IFERROR(__xludf.DUMMYFUNCTION("""COMPUTED_VALUE"""),"")</f>
        <v/>
      </c>
      <c r="I276" s="51" t="str">
        <f>IFERROR(__xludf.DUMMYFUNCTION("""COMPUTED_VALUE"""),"#VALUE!")</f>
        <v>#VALUE!</v>
      </c>
      <c r="J276" s="51" t="str">
        <f>IFERROR(__xludf.DUMMYFUNCTION("""COMPUTED_VALUE"""),"")</f>
        <v/>
      </c>
      <c r="K276" s="51"/>
      <c r="L276" s="51" t="s">
        <v>257</v>
      </c>
      <c r="M276" s="51"/>
      <c r="N276" s="51"/>
      <c r="O276" s="51"/>
      <c r="P276" s="51"/>
      <c r="Q276" s="51"/>
      <c r="R276" s="51"/>
      <c r="S276" s="51"/>
      <c r="T276" s="51"/>
    </row>
    <row r="277">
      <c r="A277" s="51"/>
      <c r="B277" s="51"/>
      <c r="C277" s="56"/>
      <c r="D277" s="51"/>
      <c r="E277" s="51"/>
      <c r="F277" s="51"/>
      <c r="G277" s="51" t="str">
        <f>IFERROR(__xludf.DUMMYFUNCTION("""COMPUTED_VALUE"""),"#VALUE!")</f>
        <v>#VALUE!</v>
      </c>
      <c r="H277" s="51" t="str">
        <f>IFERROR(__xludf.DUMMYFUNCTION("""COMPUTED_VALUE"""),"")</f>
        <v/>
      </c>
      <c r="I277" s="51" t="str">
        <f>IFERROR(__xludf.DUMMYFUNCTION("""COMPUTED_VALUE"""),"#VALUE!")</f>
        <v>#VALUE!</v>
      </c>
      <c r="J277" s="51" t="str">
        <f>IFERROR(__xludf.DUMMYFUNCTION("""COMPUTED_VALUE"""),"")</f>
        <v/>
      </c>
      <c r="K277" s="51"/>
      <c r="L277" s="51" t="s">
        <v>257</v>
      </c>
      <c r="M277" s="51"/>
      <c r="N277" s="51"/>
      <c r="O277" s="51"/>
      <c r="P277" s="51"/>
      <c r="Q277" s="51"/>
      <c r="R277" s="51"/>
      <c r="S277" s="51"/>
      <c r="T277" s="51"/>
    </row>
    <row r="278">
      <c r="A278" s="51"/>
      <c r="B278" s="51"/>
      <c r="C278" s="56"/>
      <c r="D278" s="51"/>
      <c r="E278" s="51"/>
      <c r="F278" s="51"/>
      <c r="G278" s="51" t="str">
        <f>IFERROR(__xludf.DUMMYFUNCTION("""COMPUTED_VALUE"""),"#VALUE!")</f>
        <v>#VALUE!</v>
      </c>
      <c r="H278" s="51" t="str">
        <f>IFERROR(__xludf.DUMMYFUNCTION("""COMPUTED_VALUE"""),"")</f>
        <v/>
      </c>
      <c r="I278" s="51" t="str">
        <f>IFERROR(__xludf.DUMMYFUNCTION("""COMPUTED_VALUE"""),"#VALUE!")</f>
        <v>#VALUE!</v>
      </c>
      <c r="J278" s="51" t="str">
        <f>IFERROR(__xludf.DUMMYFUNCTION("""COMPUTED_VALUE"""),"")</f>
        <v/>
      </c>
      <c r="K278" s="51"/>
      <c r="L278" s="51" t="s">
        <v>257</v>
      </c>
      <c r="M278" s="51"/>
      <c r="N278" s="51"/>
      <c r="O278" s="51"/>
      <c r="P278" s="51"/>
      <c r="Q278" s="51"/>
      <c r="R278" s="51"/>
      <c r="S278" s="51"/>
      <c r="T278" s="51"/>
    </row>
    <row r="279">
      <c r="A279" s="51"/>
      <c r="B279" s="51"/>
      <c r="C279" s="56"/>
      <c r="D279" s="51"/>
      <c r="E279" s="51"/>
      <c r="F279" s="51"/>
      <c r="G279" s="51" t="str">
        <f>IFERROR(__xludf.DUMMYFUNCTION("""COMPUTED_VALUE"""),"#VALUE!")</f>
        <v>#VALUE!</v>
      </c>
      <c r="H279" s="51" t="str">
        <f>IFERROR(__xludf.DUMMYFUNCTION("""COMPUTED_VALUE"""),"")</f>
        <v/>
      </c>
      <c r="I279" s="51" t="str">
        <f>IFERROR(__xludf.DUMMYFUNCTION("""COMPUTED_VALUE"""),"#VALUE!")</f>
        <v>#VALUE!</v>
      </c>
      <c r="J279" s="51" t="str">
        <f>IFERROR(__xludf.DUMMYFUNCTION("""COMPUTED_VALUE"""),"")</f>
        <v/>
      </c>
      <c r="K279" s="51"/>
      <c r="L279" s="51" t="s">
        <v>257</v>
      </c>
      <c r="M279" s="51"/>
      <c r="N279" s="51"/>
      <c r="O279" s="51"/>
      <c r="P279" s="51"/>
      <c r="Q279" s="51"/>
      <c r="R279" s="51"/>
      <c r="S279" s="51"/>
      <c r="T279" s="51"/>
    </row>
    <row r="280">
      <c r="A280" s="51"/>
      <c r="B280" s="51"/>
      <c r="C280" s="56"/>
      <c r="D280" s="51"/>
      <c r="E280" s="51"/>
      <c r="F280" s="51"/>
      <c r="G280" s="51" t="str">
        <f>IFERROR(__xludf.DUMMYFUNCTION("""COMPUTED_VALUE"""),"#VALUE!")</f>
        <v>#VALUE!</v>
      </c>
      <c r="H280" s="51" t="str">
        <f>IFERROR(__xludf.DUMMYFUNCTION("""COMPUTED_VALUE"""),"")</f>
        <v/>
      </c>
      <c r="I280" s="51" t="str">
        <f>IFERROR(__xludf.DUMMYFUNCTION("""COMPUTED_VALUE"""),"#VALUE!")</f>
        <v>#VALUE!</v>
      </c>
      <c r="J280" s="51" t="str">
        <f>IFERROR(__xludf.DUMMYFUNCTION("""COMPUTED_VALUE"""),"")</f>
        <v/>
      </c>
      <c r="K280" s="51"/>
      <c r="L280" s="51" t="s">
        <v>257</v>
      </c>
      <c r="M280" s="51"/>
      <c r="N280" s="51"/>
      <c r="O280" s="51"/>
      <c r="P280" s="51"/>
      <c r="Q280" s="51"/>
      <c r="R280" s="51"/>
      <c r="S280" s="51"/>
      <c r="T280" s="51"/>
    </row>
    <row r="281">
      <c r="A281" s="51"/>
      <c r="B281" s="51"/>
      <c r="C281" s="56"/>
      <c r="D281" s="51"/>
      <c r="E281" s="51"/>
      <c r="F281" s="51"/>
      <c r="G281" s="51" t="str">
        <f>IFERROR(__xludf.DUMMYFUNCTION("""COMPUTED_VALUE"""),"#VALUE!")</f>
        <v>#VALUE!</v>
      </c>
      <c r="H281" s="51" t="str">
        <f>IFERROR(__xludf.DUMMYFUNCTION("""COMPUTED_VALUE"""),"")</f>
        <v/>
      </c>
      <c r="I281" s="51" t="str">
        <f>IFERROR(__xludf.DUMMYFUNCTION("""COMPUTED_VALUE"""),"#VALUE!")</f>
        <v>#VALUE!</v>
      </c>
      <c r="J281" s="51" t="str">
        <f>IFERROR(__xludf.DUMMYFUNCTION("""COMPUTED_VALUE"""),"")</f>
        <v/>
      </c>
      <c r="K281" s="51"/>
      <c r="L281" s="51" t="s">
        <v>257</v>
      </c>
      <c r="M281" s="51"/>
      <c r="N281" s="51"/>
      <c r="O281" s="51"/>
      <c r="P281" s="51"/>
      <c r="Q281" s="51"/>
      <c r="R281" s="51"/>
      <c r="S281" s="51"/>
      <c r="T281" s="51"/>
    </row>
    <row r="282">
      <c r="A282" s="51"/>
      <c r="B282" s="51"/>
      <c r="C282" s="56"/>
      <c r="D282" s="51"/>
      <c r="E282" s="51"/>
      <c r="F282" s="51"/>
      <c r="G282" s="51" t="str">
        <f>IFERROR(__xludf.DUMMYFUNCTION("""COMPUTED_VALUE"""),"#VALUE!")</f>
        <v>#VALUE!</v>
      </c>
      <c r="H282" s="51" t="str">
        <f>IFERROR(__xludf.DUMMYFUNCTION("""COMPUTED_VALUE"""),"")</f>
        <v/>
      </c>
      <c r="I282" s="51" t="str">
        <f>IFERROR(__xludf.DUMMYFUNCTION("""COMPUTED_VALUE"""),"#VALUE!")</f>
        <v>#VALUE!</v>
      </c>
      <c r="J282" s="51" t="str">
        <f>IFERROR(__xludf.DUMMYFUNCTION("""COMPUTED_VALUE"""),"")</f>
        <v/>
      </c>
      <c r="K282" s="51"/>
      <c r="L282" s="51" t="s">
        <v>257</v>
      </c>
      <c r="M282" s="51"/>
      <c r="N282" s="51"/>
      <c r="O282" s="51"/>
      <c r="P282" s="51"/>
      <c r="Q282" s="51"/>
      <c r="R282" s="51"/>
      <c r="S282" s="51"/>
      <c r="T282" s="51"/>
    </row>
    <row r="283">
      <c r="A283" s="51"/>
      <c r="B283" s="51"/>
      <c r="C283" s="56"/>
      <c r="D283" s="51"/>
      <c r="E283" s="51"/>
      <c r="F283" s="51"/>
      <c r="G283" s="51" t="str">
        <f>IFERROR(__xludf.DUMMYFUNCTION("""COMPUTED_VALUE"""),"#VALUE!")</f>
        <v>#VALUE!</v>
      </c>
      <c r="H283" s="51" t="str">
        <f>IFERROR(__xludf.DUMMYFUNCTION("""COMPUTED_VALUE"""),"")</f>
        <v/>
      </c>
      <c r="I283" s="51" t="str">
        <f>IFERROR(__xludf.DUMMYFUNCTION("""COMPUTED_VALUE"""),"#VALUE!")</f>
        <v>#VALUE!</v>
      </c>
      <c r="J283" s="51" t="str">
        <f>IFERROR(__xludf.DUMMYFUNCTION("""COMPUTED_VALUE"""),"")</f>
        <v/>
      </c>
      <c r="K283" s="51"/>
      <c r="L283" s="51" t="s">
        <v>257</v>
      </c>
      <c r="M283" s="51"/>
      <c r="N283" s="51"/>
      <c r="O283" s="51"/>
      <c r="P283" s="51"/>
      <c r="Q283" s="51"/>
      <c r="R283" s="51"/>
      <c r="S283" s="51"/>
      <c r="T283" s="51"/>
    </row>
    <row r="284">
      <c r="A284" s="51"/>
      <c r="B284" s="51"/>
      <c r="C284" s="56"/>
      <c r="D284" s="51"/>
      <c r="E284" s="51"/>
      <c r="F284" s="51"/>
      <c r="G284" s="51" t="str">
        <f>IFERROR(__xludf.DUMMYFUNCTION("""COMPUTED_VALUE"""),"#VALUE!")</f>
        <v>#VALUE!</v>
      </c>
      <c r="H284" s="51" t="str">
        <f>IFERROR(__xludf.DUMMYFUNCTION("""COMPUTED_VALUE"""),"")</f>
        <v/>
      </c>
      <c r="I284" s="51" t="str">
        <f>IFERROR(__xludf.DUMMYFUNCTION("""COMPUTED_VALUE"""),"#VALUE!")</f>
        <v>#VALUE!</v>
      </c>
      <c r="J284" s="51" t="str">
        <f>IFERROR(__xludf.DUMMYFUNCTION("""COMPUTED_VALUE"""),"")</f>
        <v/>
      </c>
      <c r="K284" s="51"/>
      <c r="L284" s="51" t="s">
        <v>257</v>
      </c>
      <c r="M284" s="51"/>
      <c r="N284" s="51"/>
      <c r="O284" s="51"/>
      <c r="P284" s="51"/>
      <c r="Q284" s="51"/>
      <c r="R284" s="51"/>
      <c r="S284" s="51"/>
      <c r="T284" s="51"/>
    </row>
    <row r="285">
      <c r="A285" s="51"/>
      <c r="B285" s="51"/>
      <c r="C285" s="56"/>
      <c r="D285" s="51"/>
      <c r="E285" s="51"/>
      <c r="F285" s="51"/>
      <c r="G285" s="51" t="str">
        <f>IFERROR(__xludf.DUMMYFUNCTION("""COMPUTED_VALUE"""),"#VALUE!")</f>
        <v>#VALUE!</v>
      </c>
      <c r="H285" s="51" t="str">
        <f>IFERROR(__xludf.DUMMYFUNCTION("""COMPUTED_VALUE"""),"")</f>
        <v/>
      </c>
      <c r="I285" s="51" t="str">
        <f>IFERROR(__xludf.DUMMYFUNCTION("""COMPUTED_VALUE"""),"#VALUE!")</f>
        <v>#VALUE!</v>
      </c>
      <c r="J285" s="51" t="str">
        <f>IFERROR(__xludf.DUMMYFUNCTION("""COMPUTED_VALUE"""),"")</f>
        <v/>
      </c>
      <c r="K285" s="51"/>
      <c r="L285" s="51" t="s">
        <v>257</v>
      </c>
      <c r="M285" s="51"/>
      <c r="N285" s="51"/>
      <c r="O285" s="51"/>
      <c r="P285" s="51"/>
      <c r="Q285" s="51"/>
      <c r="R285" s="51"/>
      <c r="S285" s="51"/>
      <c r="T285" s="51"/>
    </row>
    <row r="286">
      <c r="A286" s="51"/>
      <c r="B286" s="51"/>
      <c r="C286" s="56"/>
      <c r="D286" s="51"/>
      <c r="E286" s="51"/>
      <c r="F286" s="51"/>
      <c r="G286" s="51" t="str">
        <f>IFERROR(__xludf.DUMMYFUNCTION("""COMPUTED_VALUE"""),"#VALUE!")</f>
        <v>#VALUE!</v>
      </c>
      <c r="H286" s="51" t="str">
        <f>IFERROR(__xludf.DUMMYFUNCTION("""COMPUTED_VALUE"""),"")</f>
        <v/>
      </c>
      <c r="I286" s="51" t="str">
        <f>IFERROR(__xludf.DUMMYFUNCTION("""COMPUTED_VALUE"""),"#VALUE!")</f>
        <v>#VALUE!</v>
      </c>
      <c r="J286" s="51" t="str">
        <f>IFERROR(__xludf.DUMMYFUNCTION("""COMPUTED_VALUE"""),"")</f>
        <v/>
      </c>
      <c r="K286" s="51"/>
      <c r="L286" s="51" t="s">
        <v>257</v>
      </c>
      <c r="M286" s="51"/>
      <c r="N286" s="51"/>
      <c r="O286" s="51"/>
      <c r="P286" s="51"/>
      <c r="Q286" s="51"/>
      <c r="R286" s="51"/>
      <c r="S286" s="51"/>
      <c r="T286" s="51"/>
    </row>
    <row r="287">
      <c r="A287" s="51"/>
      <c r="B287" s="51"/>
      <c r="C287" s="56"/>
      <c r="D287" s="51"/>
      <c r="E287" s="51"/>
      <c r="F287" s="51"/>
      <c r="G287" s="51" t="str">
        <f>IFERROR(__xludf.DUMMYFUNCTION("""COMPUTED_VALUE"""),"#VALUE!")</f>
        <v>#VALUE!</v>
      </c>
      <c r="H287" s="51" t="str">
        <f>IFERROR(__xludf.DUMMYFUNCTION("""COMPUTED_VALUE"""),"")</f>
        <v/>
      </c>
      <c r="I287" s="51" t="str">
        <f>IFERROR(__xludf.DUMMYFUNCTION("""COMPUTED_VALUE"""),"#VALUE!")</f>
        <v>#VALUE!</v>
      </c>
      <c r="J287" s="51" t="str">
        <f>IFERROR(__xludf.DUMMYFUNCTION("""COMPUTED_VALUE"""),"")</f>
        <v/>
      </c>
      <c r="K287" s="51"/>
      <c r="L287" s="51" t="s">
        <v>257</v>
      </c>
      <c r="M287" s="51"/>
      <c r="N287" s="51"/>
      <c r="O287" s="51"/>
      <c r="P287" s="51"/>
      <c r="Q287" s="51"/>
      <c r="R287" s="51"/>
      <c r="S287" s="51"/>
      <c r="T287" s="51"/>
    </row>
    <row r="288">
      <c r="A288" s="51"/>
      <c r="B288" s="51"/>
      <c r="C288" s="56"/>
      <c r="D288" s="51"/>
      <c r="E288" s="51"/>
      <c r="F288" s="51"/>
      <c r="G288" s="51" t="str">
        <f>IFERROR(__xludf.DUMMYFUNCTION("""COMPUTED_VALUE"""),"#VALUE!")</f>
        <v>#VALUE!</v>
      </c>
      <c r="H288" s="51" t="str">
        <f>IFERROR(__xludf.DUMMYFUNCTION("""COMPUTED_VALUE"""),"")</f>
        <v/>
      </c>
      <c r="I288" s="51" t="str">
        <f>IFERROR(__xludf.DUMMYFUNCTION("""COMPUTED_VALUE"""),"#VALUE!")</f>
        <v>#VALUE!</v>
      </c>
      <c r="J288" s="51" t="str">
        <f>IFERROR(__xludf.DUMMYFUNCTION("""COMPUTED_VALUE"""),"")</f>
        <v/>
      </c>
      <c r="K288" s="51"/>
      <c r="L288" s="51" t="s">
        <v>257</v>
      </c>
      <c r="M288" s="51"/>
      <c r="N288" s="51"/>
      <c r="O288" s="51"/>
      <c r="P288" s="51"/>
      <c r="Q288" s="51"/>
      <c r="R288" s="51"/>
      <c r="S288" s="51"/>
      <c r="T288" s="51"/>
    </row>
    <row r="289">
      <c r="A289" s="51"/>
      <c r="B289" s="51"/>
      <c r="C289" s="56"/>
      <c r="D289" s="51"/>
      <c r="E289" s="51"/>
      <c r="F289" s="51"/>
      <c r="G289" s="51" t="str">
        <f>IFERROR(__xludf.DUMMYFUNCTION("""COMPUTED_VALUE"""),"#VALUE!")</f>
        <v>#VALUE!</v>
      </c>
      <c r="H289" s="51" t="str">
        <f>IFERROR(__xludf.DUMMYFUNCTION("""COMPUTED_VALUE"""),"")</f>
        <v/>
      </c>
      <c r="I289" s="51" t="str">
        <f>IFERROR(__xludf.DUMMYFUNCTION("""COMPUTED_VALUE"""),"#VALUE!")</f>
        <v>#VALUE!</v>
      </c>
      <c r="J289" s="51" t="str">
        <f>IFERROR(__xludf.DUMMYFUNCTION("""COMPUTED_VALUE"""),"")</f>
        <v/>
      </c>
      <c r="K289" s="51"/>
      <c r="L289" s="51" t="s">
        <v>257</v>
      </c>
      <c r="M289" s="51"/>
      <c r="N289" s="51"/>
      <c r="O289" s="51"/>
      <c r="P289" s="51"/>
      <c r="Q289" s="51"/>
      <c r="R289" s="51"/>
      <c r="S289" s="51"/>
      <c r="T289" s="51"/>
    </row>
    <row r="290">
      <c r="A290" s="51"/>
      <c r="B290" s="51"/>
      <c r="C290" s="56"/>
      <c r="D290" s="51"/>
      <c r="E290" s="51"/>
      <c r="F290" s="51"/>
      <c r="G290" s="51" t="str">
        <f>IFERROR(__xludf.DUMMYFUNCTION("""COMPUTED_VALUE"""),"#VALUE!")</f>
        <v>#VALUE!</v>
      </c>
      <c r="H290" s="51" t="str">
        <f>IFERROR(__xludf.DUMMYFUNCTION("""COMPUTED_VALUE"""),"")</f>
        <v/>
      </c>
      <c r="I290" s="51" t="str">
        <f>IFERROR(__xludf.DUMMYFUNCTION("""COMPUTED_VALUE"""),"#VALUE!")</f>
        <v>#VALUE!</v>
      </c>
      <c r="J290" s="51" t="str">
        <f>IFERROR(__xludf.DUMMYFUNCTION("""COMPUTED_VALUE"""),"")</f>
        <v/>
      </c>
      <c r="K290" s="51"/>
      <c r="L290" s="51" t="s">
        <v>257</v>
      </c>
      <c r="M290" s="51"/>
      <c r="N290" s="51"/>
      <c r="O290" s="51"/>
      <c r="P290" s="51"/>
      <c r="Q290" s="51"/>
      <c r="R290" s="51"/>
      <c r="S290" s="51"/>
      <c r="T290" s="51"/>
    </row>
    <row r="291">
      <c r="A291" s="51"/>
      <c r="B291" s="51"/>
      <c r="C291" s="56"/>
      <c r="D291" s="51"/>
      <c r="E291" s="51"/>
      <c r="F291" s="51"/>
      <c r="G291" s="51" t="str">
        <f>IFERROR(__xludf.DUMMYFUNCTION("""COMPUTED_VALUE"""),"#VALUE!")</f>
        <v>#VALUE!</v>
      </c>
      <c r="H291" s="51" t="str">
        <f>IFERROR(__xludf.DUMMYFUNCTION("""COMPUTED_VALUE"""),"")</f>
        <v/>
      </c>
      <c r="I291" s="51" t="str">
        <f>IFERROR(__xludf.DUMMYFUNCTION("""COMPUTED_VALUE"""),"#VALUE!")</f>
        <v>#VALUE!</v>
      </c>
      <c r="J291" s="51" t="str">
        <f>IFERROR(__xludf.DUMMYFUNCTION("""COMPUTED_VALUE"""),"")</f>
        <v/>
      </c>
      <c r="K291" s="51"/>
      <c r="L291" s="51" t="s">
        <v>257</v>
      </c>
      <c r="M291" s="51"/>
      <c r="N291" s="51"/>
      <c r="O291" s="51"/>
      <c r="P291" s="51"/>
      <c r="Q291" s="51"/>
      <c r="R291" s="51"/>
      <c r="S291" s="51"/>
      <c r="T291" s="51"/>
    </row>
    <row r="292">
      <c r="A292" s="51"/>
      <c r="B292" s="51"/>
      <c r="C292" s="56"/>
      <c r="D292" s="51"/>
      <c r="E292" s="51"/>
      <c r="F292" s="51"/>
      <c r="G292" s="51" t="str">
        <f>IFERROR(__xludf.DUMMYFUNCTION("""COMPUTED_VALUE"""),"#VALUE!")</f>
        <v>#VALUE!</v>
      </c>
      <c r="H292" s="51" t="str">
        <f>IFERROR(__xludf.DUMMYFUNCTION("""COMPUTED_VALUE"""),"")</f>
        <v/>
      </c>
      <c r="I292" s="51" t="str">
        <f>IFERROR(__xludf.DUMMYFUNCTION("""COMPUTED_VALUE"""),"#VALUE!")</f>
        <v>#VALUE!</v>
      </c>
      <c r="J292" s="51" t="str">
        <f>IFERROR(__xludf.DUMMYFUNCTION("""COMPUTED_VALUE"""),"")</f>
        <v/>
      </c>
      <c r="K292" s="51"/>
      <c r="L292" s="51" t="s">
        <v>257</v>
      </c>
      <c r="M292" s="51"/>
      <c r="N292" s="51"/>
      <c r="O292" s="51"/>
      <c r="P292" s="51"/>
      <c r="Q292" s="51"/>
      <c r="R292" s="51"/>
      <c r="S292" s="51"/>
      <c r="T292" s="51"/>
    </row>
    <row r="293">
      <c r="A293" s="51"/>
      <c r="B293" s="51"/>
      <c r="C293" s="56"/>
      <c r="D293" s="51"/>
      <c r="E293" s="51"/>
      <c r="F293" s="51"/>
      <c r="G293" s="51" t="str">
        <f>IFERROR(__xludf.DUMMYFUNCTION("""COMPUTED_VALUE"""),"#VALUE!")</f>
        <v>#VALUE!</v>
      </c>
      <c r="H293" s="51" t="str">
        <f>IFERROR(__xludf.DUMMYFUNCTION("""COMPUTED_VALUE"""),"")</f>
        <v/>
      </c>
      <c r="I293" s="51" t="str">
        <f>IFERROR(__xludf.DUMMYFUNCTION("""COMPUTED_VALUE"""),"#VALUE!")</f>
        <v>#VALUE!</v>
      </c>
      <c r="J293" s="51" t="str">
        <f>IFERROR(__xludf.DUMMYFUNCTION("""COMPUTED_VALUE"""),"")</f>
        <v/>
      </c>
      <c r="K293" s="51"/>
      <c r="L293" s="51" t="s">
        <v>257</v>
      </c>
      <c r="M293" s="51"/>
      <c r="N293" s="51"/>
      <c r="O293" s="51"/>
      <c r="P293" s="51"/>
      <c r="Q293" s="51"/>
      <c r="R293" s="51"/>
      <c r="S293" s="51"/>
      <c r="T293" s="51"/>
    </row>
    <row r="294">
      <c r="A294" s="51"/>
      <c r="B294" s="51"/>
      <c r="C294" s="56"/>
      <c r="D294" s="51"/>
      <c r="E294" s="51"/>
      <c r="F294" s="51"/>
      <c r="G294" s="51" t="str">
        <f>IFERROR(__xludf.DUMMYFUNCTION("""COMPUTED_VALUE"""),"#VALUE!")</f>
        <v>#VALUE!</v>
      </c>
      <c r="H294" s="51" t="str">
        <f>IFERROR(__xludf.DUMMYFUNCTION("""COMPUTED_VALUE"""),"")</f>
        <v/>
      </c>
      <c r="I294" s="51" t="str">
        <f>IFERROR(__xludf.DUMMYFUNCTION("""COMPUTED_VALUE"""),"#VALUE!")</f>
        <v>#VALUE!</v>
      </c>
      <c r="J294" s="51" t="str">
        <f>IFERROR(__xludf.DUMMYFUNCTION("""COMPUTED_VALUE"""),"")</f>
        <v/>
      </c>
      <c r="K294" s="51"/>
      <c r="L294" s="51" t="s">
        <v>257</v>
      </c>
      <c r="M294" s="51"/>
      <c r="N294" s="51"/>
      <c r="O294" s="51"/>
      <c r="P294" s="51"/>
      <c r="Q294" s="51"/>
      <c r="R294" s="51"/>
      <c r="S294" s="51"/>
      <c r="T294" s="51"/>
    </row>
    <row r="295">
      <c r="A295" s="51"/>
      <c r="B295" s="51"/>
      <c r="C295" s="56"/>
      <c r="D295" s="51"/>
      <c r="E295" s="51"/>
      <c r="F295" s="51"/>
      <c r="G295" s="51" t="str">
        <f>IFERROR(__xludf.DUMMYFUNCTION("""COMPUTED_VALUE"""),"#VALUE!")</f>
        <v>#VALUE!</v>
      </c>
      <c r="H295" s="51" t="str">
        <f>IFERROR(__xludf.DUMMYFUNCTION("""COMPUTED_VALUE"""),"")</f>
        <v/>
      </c>
      <c r="I295" s="51" t="str">
        <f>IFERROR(__xludf.DUMMYFUNCTION("""COMPUTED_VALUE"""),"#VALUE!")</f>
        <v>#VALUE!</v>
      </c>
      <c r="J295" s="51" t="str">
        <f>IFERROR(__xludf.DUMMYFUNCTION("""COMPUTED_VALUE"""),"")</f>
        <v/>
      </c>
      <c r="K295" s="51"/>
      <c r="L295" s="51" t="s">
        <v>257</v>
      </c>
      <c r="M295" s="51"/>
      <c r="N295" s="51"/>
      <c r="O295" s="51"/>
      <c r="P295" s="51"/>
      <c r="Q295" s="51"/>
      <c r="R295" s="51"/>
      <c r="S295" s="51"/>
      <c r="T295" s="51"/>
    </row>
    <row r="296">
      <c r="A296" s="51"/>
      <c r="B296" s="51"/>
      <c r="C296" s="56"/>
      <c r="D296" s="51"/>
      <c r="E296" s="51"/>
      <c r="F296" s="51"/>
      <c r="G296" s="51" t="str">
        <f>IFERROR(__xludf.DUMMYFUNCTION("""COMPUTED_VALUE"""),"#VALUE!")</f>
        <v>#VALUE!</v>
      </c>
      <c r="H296" s="51" t="str">
        <f>IFERROR(__xludf.DUMMYFUNCTION("""COMPUTED_VALUE"""),"")</f>
        <v/>
      </c>
      <c r="I296" s="51" t="str">
        <f>IFERROR(__xludf.DUMMYFUNCTION("""COMPUTED_VALUE"""),"#VALUE!")</f>
        <v>#VALUE!</v>
      </c>
      <c r="J296" s="51" t="str">
        <f>IFERROR(__xludf.DUMMYFUNCTION("""COMPUTED_VALUE"""),"")</f>
        <v/>
      </c>
      <c r="K296" s="51"/>
      <c r="L296" s="51" t="s">
        <v>257</v>
      </c>
      <c r="M296" s="51"/>
      <c r="N296" s="51"/>
      <c r="O296" s="51"/>
      <c r="P296" s="51"/>
      <c r="Q296" s="51"/>
      <c r="R296" s="51"/>
      <c r="S296" s="51"/>
      <c r="T296" s="51"/>
    </row>
    <row r="297">
      <c r="A297" s="51"/>
      <c r="B297" s="51"/>
      <c r="C297" s="56"/>
      <c r="D297" s="51"/>
      <c r="E297" s="51"/>
      <c r="F297" s="51"/>
      <c r="G297" s="51" t="str">
        <f>IFERROR(__xludf.DUMMYFUNCTION("""COMPUTED_VALUE"""),"#VALUE!")</f>
        <v>#VALUE!</v>
      </c>
      <c r="H297" s="51" t="str">
        <f>IFERROR(__xludf.DUMMYFUNCTION("""COMPUTED_VALUE"""),"")</f>
        <v/>
      </c>
      <c r="I297" s="51" t="str">
        <f>IFERROR(__xludf.DUMMYFUNCTION("""COMPUTED_VALUE"""),"#VALUE!")</f>
        <v>#VALUE!</v>
      </c>
      <c r="J297" s="51" t="str">
        <f>IFERROR(__xludf.DUMMYFUNCTION("""COMPUTED_VALUE"""),"")</f>
        <v/>
      </c>
      <c r="K297" s="51"/>
      <c r="L297" s="51" t="s">
        <v>257</v>
      </c>
      <c r="M297" s="51"/>
      <c r="N297" s="51"/>
      <c r="O297" s="51"/>
      <c r="P297" s="51"/>
      <c r="Q297" s="51"/>
      <c r="R297" s="51"/>
      <c r="S297" s="51"/>
      <c r="T297" s="51"/>
    </row>
    <row r="298">
      <c r="A298" s="51"/>
      <c r="B298" s="51"/>
      <c r="C298" s="56"/>
      <c r="D298" s="51"/>
      <c r="E298" s="51"/>
      <c r="F298" s="51"/>
      <c r="G298" s="51" t="str">
        <f>IFERROR(__xludf.DUMMYFUNCTION("""COMPUTED_VALUE"""),"#VALUE!")</f>
        <v>#VALUE!</v>
      </c>
      <c r="H298" s="51" t="str">
        <f>IFERROR(__xludf.DUMMYFUNCTION("""COMPUTED_VALUE"""),"")</f>
        <v/>
      </c>
      <c r="I298" s="51" t="str">
        <f>IFERROR(__xludf.DUMMYFUNCTION("""COMPUTED_VALUE"""),"#VALUE!")</f>
        <v>#VALUE!</v>
      </c>
      <c r="J298" s="51" t="str">
        <f>IFERROR(__xludf.DUMMYFUNCTION("""COMPUTED_VALUE"""),"")</f>
        <v/>
      </c>
      <c r="K298" s="51"/>
      <c r="L298" s="51" t="s">
        <v>257</v>
      </c>
      <c r="M298" s="51"/>
      <c r="N298" s="51"/>
      <c r="O298" s="51"/>
      <c r="P298" s="51"/>
      <c r="Q298" s="51"/>
      <c r="R298" s="51"/>
      <c r="S298" s="51"/>
      <c r="T298" s="51"/>
    </row>
    <row r="299">
      <c r="A299" s="51"/>
      <c r="B299" s="51"/>
      <c r="C299" s="56"/>
      <c r="D299" s="51"/>
      <c r="E299" s="51"/>
      <c r="F299" s="51"/>
      <c r="G299" s="51" t="str">
        <f>IFERROR(__xludf.DUMMYFUNCTION("""COMPUTED_VALUE"""),"#VALUE!")</f>
        <v>#VALUE!</v>
      </c>
      <c r="H299" s="51" t="str">
        <f>IFERROR(__xludf.DUMMYFUNCTION("""COMPUTED_VALUE"""),"")</f>
        <v/>
      </c>
      <c r="I299" s="51" t="str">
        <f>IFERROR(__xludf.DUMMYFUNCTION("""COMPUTED_VALUE"""),"#VALUE!")</f>
        <v>#VALUE!</v>
      </c>
      <c r="J299" s="51" t="str">
        <f>IFERROR(__xludf.DUMMYFUNCTION("""COMPUTED_VALUE"""),"")</f>
        <v/>
      </c>
      <c r="K299" s="51"/>
      <c r="L299" s="51" t="s">
        <v>257</v>
      </c>
      <c r="M299" s="51"/>
      <c r="N299" s="51"/>
      <c r="O299" s="51"/>
      <c r="P299" s="51"/>
      <c r="Q299" s="51"/>
      <c r="R299" s="51"/>
      <c r="S299" s="51"/>
      <c r="T299" s="51"/>
    </row>
    <row r="300">
      <c r="A300" s="51"/>
      <c r="B300" s="51"/>
      <c r="C300" s="56"/>
      <c r="D300" s="51"/>
      <c r="E300" s="51"/>
      <c r="F300" s="51"/>
      <c r="G300" s="51" t="str">
        <f>IFERROR(__xludf.DUMMYFUNCTION("""COMPUTED_VALUE"""),"#VALUE!")</f>
        <v>#VALUE!</v>
      </c>
      <c r="H300" s="51" t="str">
        <f>IFERROR(__xludf.DUMMYFUNCTION("""COMPUTED_VALUE"""),"")</f>
        <v/>
      </c>
      <c r="I300" s="51" t="str">
        <f>IFERROR(__xludf.DUMMYFUNCTION("""COMPUTED_VALUE"""),"#VALUE!")</f>
        <v>#VALUE!</v>
      </c>
      <c r="J300" s="51" t="str">
        <f>IFERROR(__xludf.DUMMYFUNCTION("""COMPUTED_VALUE"""),"")</f>
        <v/>
      </c>
      <c r="K300" s="51"/>
      <c r="L300" s="51" t="s">
        <v>257</v>
      </c>
      <c r="M300" s="51"/>
      <c r="N300" s="51"/>
      <c r="O300" s="51"/>
      <c r="P300" s="51"/>
      <c r="Q300" s="51"/>
      <c r="R300" s="51"/>
      <c r="S300" s="51"/>
      <c r="T300" s="51"/>
    </row>
    <row r="301">
      <c r="A301" s="51"/>
      <c r="B301" s="51"/>
      <c r="C301" s="56"/>
      <c r="D301" s="51"/>
      <c r="E301" s="51"/>
      <c r="F301" s="51"/>
      <c r="G301" s="51" t="str">
        <f>IFERROR(__xludf.DUMMYFUNCTION("""COMPUTED_VALUE"""),"#VALUE!")</f>
        <v>#VALUE!</v>
      </c>
      <c r="H301" s="51" t="str">
        <f>IFERROR(__xludf.DUMMYFUNCTION("""COMPUTED_VALUE"""),"")</f>
        <v/>
      </c>
      <c r="I301" s="51" t="str">
        <f>IFERROR(__xludf.DUMMYFUNCTION("""COMPUTED_VALUE"""),"#VALUE!")</f>
        <v>#VALUE!</v>
      </c>
      <c r="J301" s="51" t="str">
        <f>IFERROR(__xludf.DUMMYFUNCTION("""COMPUTED_VALUE"""),"")</f>
        <v/>
      </c>
      <c r="K301" s="51"/>
      <c r="L301" s="51" t="s">
        <v>257</v>
      </c>
      <c r="M301" s="51"/>
      <c r="N301" s="51"/>
      <c r="O301" s="51"/>
      <c r="P301" s="51"/>
      <c r="Q301" s="51"/>
      <c r="R301" s="51"/>
      <c r="S301" s="51"/>
      <c r="T301" s="51"/>
    </row>
    <row r="302">
      <c r="A302" s="51"/>
      <c r="B302" s="51"/>
      <c r="C302" s="56"/>
      <c r="D302" s="51"/>
      <c r="E302" s="51"/>
      <c r="F302" s="51"/>
      <c r="G302" s="51" t="str">
        <f>IFERROR(__xludf.DUMMYFUNCTION("""COMPUTED_VALUE"""),"#VALUE!")</f>
        <v>#VALUE!</v>
      </c>
      <c r="H302" s="51" t="str">
        <f>IFERROR(__xludf.DUMMYFUNCTION("""COMPUTED_VALUE"""),"")</f>
        <v/>
      </c>
      <c r="I302" s="51" t="str">
        <f>IFERROR(__xludf.DUMMYFUNCTION("""COMPUTED_VALUE"""),"#VALUE!")</f>
        <v>#VALUE!</v>
      </c>
      <c r="J302" s="51" t="str">
        <f>IFERROR(__xludf.DUMMYFUNCTION("""COMPUTED_VALUE"""),"")</f>
        <v/>
      </c>
      <c r="K302" s="51"/>
      <c r="L302" s="51" t="s">
        <v>257</v>
      </c>
      <c r="M302" s="51"/>
      <c r="N302" s="51"/>
      <c r="O302" s="51"/>
      <c r="P302" s="51"/>
      <c r="Q302" s="51"/>
      <c r="R302" s="51"/>
      <c r="S302" s="51"/>
      <c r="T302" s="51"/>
    </row>
    <row r="303">
      <c r="A303" s="51"/>
      <c r="B303" s="51"/>
      <c r="C303" s="56"/>
      <c r="D303" s="51"/>
      <c r="E303" s="51"/>
      <c r="F303" s="51"/>
      <c r="G303" s="51" t="str">
        <f>IFERROR(__xludf.DUMMYFUNCTION("""COMPUTED_VALUE"""),"#VALUE!")</f>
        <v>#VALUE!</v>
      </c>
      <c r="H303" s="51" t="str">
        <f>IFERROR(__xludf.DUMMYFUNCTION("""COMPUTED_VALUE"""),"")</f>
        <v/>
      </c>
      <c r="I303" s="51" t="str">
        <f>IFERROR(__xludf.DUMMYFUNCTION("""COMPUTED_VALUE"""),"#VALUE!")</f>
        <v>#VALUE!</v>
      </c>
      <c r="J303" s="51" t="str">
        <f>IFERROR(__xludf.DUMMYFUNCTION("""COMPUTED_VALUE"""),"")</f>
        <v/>
      </c>
      <c r="K303" s="51"/>
      <c r="L303" s="51" t="s">
        <v>257</v>
      </c>
      <c r="M303" s="51"/>
      <c r="N303" s="51"/>
      <c r="O303" s="51"/>
      <c r="P303" s="51"/>
      <c r="Q303" s="51"/>
      <c r="R303" s="51"/>
      <c r="S303" s="51"/>
      <c r="T303" s="51"/>
    </row>
    <row r="304">
      <c r="A304" s="51"/>
      <c r="B304" s="51"/>
      <c r="C304" s="56"/>
      <c r="D304" s="51"/>
      <c r="E304" s="51"/>
      <c r="F304" s="51"/>
      <c r="G304" s="51" t="str">
        <f>IFERROR(__xludf.DUMMYFUNCTION("""COMPUTED_VALUE"""),"#VALUE!")</f>
        <v>#VALUE!</v>
      </c>
      <c r="H304" s="51" t="str">
        <f>IFERROR(__xludf.DUMMYFUNCTION("""COMPUTED_VALUE"""),"")</f>
        <v/>
      </c>
      <c r="I304" s="51" t="str">
        <f>IFERROR(__xludf.DUMMYFUNCTION("""COMPUTED_VALUE"""),"#VALUE!")</f>
        <v>#VALUE!</v>
      </c>
      <c r="J304" s="51" t="str">
        <f>IFERROR(__xludf.DUMMYFUNCTION("""COMPUTED_VALUE"""),"")</f>
        <v/>
      </c>
      <c r="K304" s="51"/>
      <c r="L304" s="51" t="s">
        <v>257</v>
      </c>
      <c r="M304" s="51"/>
      <c r="N304" s="51"/>
      <c r="O304" s="51"/>
      <c r="P304" s="51"/>
      <c r="Q304" s="51"/>
      <c r="R304" s="51"/>
      <c r="S304" s="51"/>
      <c r="T304" s="51"/>
    </row>
    <row r="305">
      <c r="A305" s="51"/>
      <c r="B305" s="51"/>
      <c r="C305" s="56"/>
      <c r="D305" s="51"/>
      <c r="E305" s="51"/>
      <c r="F305" s="51"/>
      <c r="G305" s="51" t="str">
        <f>IFERROR(__xludf.DUMMYFUNCTION("""COMPUTED_VALUE"""),"#VALUE!")</f>
        <v>#VALUE!</v>
      </c>
      <c r="H305" s="51" t="str">
        <f>IFERROR(__xludf.DUMMYFUNCTION("""COMPUTED_VALUE"""),"")</f>
        <v/>
      </c>
      <c r="I305" s="51" t="str">
        <f>IFERROR(__xludf.DUMMYFUNCTION("""COMPUTED_VALUE"""),"#VALUE!")</f>
        <v>#VALUE!</v>
      </c>
      <c r="J305" s="51" t="str">
        <f>IFERROR(__xludf.DUMMYFUNCTION("""COMPUTED_VALUE"""),"")</f>
        <v/>
      </c>
      <c r="K305" s="51"/>
      <c r="L305" s="51" t="s">
        <v>257</v>
      </c>
      <c r="M305" s="51"/>
      <c r="N305" s="51"/>
      <c r="O305" s="51"/>
      <c r="P305" s="51"/>
      <c r="Q305" s="51"/>
      <c r="R305" s="51"/>
      <c r="S305" s="51"/>
      <c r="T305" s="51"/>
    </row>
    <row r="306">
      <c r="A306" s="51"/>
      <c r="B306" s="51"/>
      <c r="C306" s="56"/>
      <c r="D306" s="51"/>
      <c r="E306" s="51"/>
      <c r="F306" s="51"/>
      <c r="G306" s="51" t="str">
        <f>IFERROR(__xludf.DUMMYFUNCTION("""COMPUTED_VALUE"""),"#VALUE!")</f>
        <v>#VALUE!</v>
      </c>
      <c r="H306" s="51" t="str">
        <f>IFERROR(__xludf.DUMMYFUNCTION("""COMPUTED_VALUE"""),"")</f>
        <v/>
      </c>
      <c r="I306" s="51" t="str">
        <f>IFERROR(__xludf.DUMMYFUNCTION("""COMPUTED_VALUE"""),"#VALUE!")</f>
        <v>#VALUE!</v>
      </c>
      <c r="J306" s="51" t="str">
        <f>IFERROR(__xludf.DUMMYFUNCTION("""COMPUTED_VALUE"""),"")</f>
        <v/>
      </c>
      <c r="K306" s="51"/>
      <c r="L306" s="51" t="s">
        <v>257</v>
      </c>
      <c r="M306" s="51"/>
      <c r="N306" s="51"/>
      <c r="O306" s="51"/>
      <c r="P306" s="51"/>
      <c r="Q306" s="51"/>
      <c r="R306" s="51"/>
      <c r="S306" s="51"/>
      <c r="T306" s="51"/>
    </row>
    <row r="307">
      <c r="A307" s="51"/>
      <c r="B307" s="51"/>
      <c r="C307" s="56"/>
      <c r="D307" s="51"/>
      <c r="E307" s="51"/>
      <c r="F307" s="51"/>
      <c r="G307" s="51" t="str">
        <f>IFERROR(__xludf.DUMMYFUNCTION("""COMPUTED_VALUE"""),"#VALUE!")</f>
        <v>#VALUE!</v>
      </c>
      <c r="H307" s="51" t="str">
        <f>IFERROR(__xludf.DUMMYFUNCTION("""COMPUTED_VALUE"""),"")</f>
        <v/>
      </c>
      <c r="I307" s="51" t="str">
        <f>IFERROR(__xludf.DUMMYFUNCTION("""COMPUTED_VALUE"""),"#VALUE!")</f>
        <v>#VALUE!</v>
      </c>
      <c r="J307" s="51" t="str">
        <f>IFERROR(__xludf.DUMMYFUNCTION("""COMPUTED_VALUE"""),"")</f>
        <v/>
      </c>
      <c r="K307" s="51"/>
      <c r="L307" s="51" t="s">
        <v>257</v>
      </c>
      <c r="M307" s="51"/>
      <c r="N307" s="51"/>
      <c r="O307" s="51"/>
      <c r="P307" s="51"/>
      <c r="Q307" s="51"/>
      <c r="R307" s="51"/>
      <c r="S307" s="51"/>
      <c r="T307" s="51"/>
    </row>
    <row r="308">
      <c r="A308" s="51"/>
      <c r="B308" s="51"/>
      <c r="C308" s="56"/>
      <c r="D308" s="51"/>
      <c r="E308" s="51"/>
      <c r="F308" s="51"/>
      <c r="G308" s="51" t="str">
        <f>IFERROR(__xludf.DUMMYFUNCTION("""COMPUTED_VALUE"""),"#VALUE!")</f>
        <v>#VALUE!</v>
      </c>
      <c r="H308" s="51" t="str">
        <f>IFERROR(__xludf.DUMMYFUNCTION("""COMPUTED_VALUE"""),"")</f>
        <v/>
      </c>
      <c r="I308" s="51" t="str">
        <f>IFERROR(__xludf.DUMMYFUNCTION("""COMPUTED_VALUE"""),"#VALUE!")</f>
        <v>#VALUE!</v>
      </c>
      <c r="J308" s="51" t="str">
        <f>IFERROR(__xludf.DUMMYFUNCTION("""COMPUTED_VALUE"""),"")</f>
        <v/>
      </c>
      <c r="K308" s="51"/>
      <c r="L308" s="51" t="s">
        <v>257</v>
      </c>
      <c r="M308" s="51"/>
      <c r="N308" s="51"/>
      <c r="O308" s="51"/>
      <c r="P308" s="51"/>
      <c r="Q308" s="51"/>
      <c r="R308" s="51"/>
      <c r="S308" s="51"/>
      <c r="T308" s="51"/>
    </row>
    <row r="309">
      <c r="A309" s="51"/>
      <c r="B309" s="51"/>
      <c r="C309" s="56"/>
      <c r="D309" s="51"/>
      <c r="E309" s="51"/>
      <c r="F309" s="51"/>
      <c r="G309" s="51" t="str">
        <f>IFERROR(__xludf.DUMMYFUNCTION("""COMPUTED_VALUE"""),"#VALUE!")</f>
        <v>#VALUE!</v>
      </c>
      <c r="H309" s="51" t="str">
        <f>IFERROR(__xludf.DUMMYFUNCTION("""COMPUTED_VALUE"""),"")</f>
        <v/>
      </c>
      <c r="I309" s="51" t="str">
        <f>IFERROR(__xludf.DUMMYFUNCTION("""COMPUTED_VALUE"""),"#VALUE!")</f>
        <v>#VALUE!</v>
      </c>
      <c r="J309" s="51" t="str">
        <f>IFERROR(__xludf.DUMMYFUNCTION("""COMPUTED_VALUE"""),"")</f>
        <v/>
      </c>
      <c r="K309" s="51"/>
      <c r="L309" s="51" t="s">
        <v>257</v>
      </c>
      <c r="M309" s="51"/>
      <c r="N309" s="51"/>
      <c r="O309" s="51"/>
      <c r="P309" s="51"/>
      <c r="Q309" s="51"/>
      <c r="R309" s="51"/>
      <c r="S309" s="51"/>
      <c r="T309" s="51"/>
    </row>
    <row r="310">
      <c r="A310" s="51"/>
      <c r="B310" s="51"/>
      <c r="C310" s="56"/>
      <c r="D310" s="51"/>
      <c r="E310" s="51"/>
      <c r="F310" s="51"/>
      <c r="G310" s="51" t="str">
        <f>IFERROR(__xludf.DUMMYFUNCTION("""COMPUTED_VALUE"""),"#VALUE!")</f>
        <v>#VALUE!</v>
      </c>
      <c r="H310" s="51" t="str">
        <f>IFERROR(__xludf.DUMMYFUNCTION("""COMPUTED_VALUE"""),"")</f>
        <v/>
      </c>
      <c r="I310" s="51" t="str">
        <f>IFERROR(__xludf.DUMMYFUNCTION("""COMPUTED_VALUE"""),"#VALUE!")</f>
        <v>#VALUE!</v>
      </c>
      <c r="J310" s="51" t="str">
        <f>IFERROR(__xludf.DUMMYFUNCTION("""COMPUTED_VALUE"""),"")</f>
        <v/>
      </c>
      <c r="K310" s="51"/>
      <c r="L310" s="51" t="s">
        <v>257</v>
      </c>
      <c r="M310" s="51"/>
      <c r="N310" s="51"/>
      <c r="O310" s="51"/>
      <c r="P310" s="51"/>
      <c r="Q310" s="51"/>
      <c r="R310" s="51"/>
      <c r="S310" s="51"/>
      <c r="T310" s="51"/>
    </row>
    <row r="311">
      <c r="A311" s="51"/>
      <c r="B311" s="51"/>
      <c r="C311" s="56"/>
      <c r="D311" s="51"/>
      <c r="E311" s="51"/>
      <c r="F311" s="51"/>
      <c r="G311" s="51" t="str">
        <f>IFERROR(__xludf.DUMMYFUNCTION("""COMPUTED_VALUE"""),"#VALUE!")</f>
        <v>#VALUE!</v>
      </c>
      <c r="H311" s="51" t="str">
        <f>IFERROR(__xludf.DUMMYFUNCTION("""COMPUTED_VALUE"""),"")</f>
        <v/>
      </c>
      <c r="I311" s="51" t="str">
        <f>IFERROR(__xludf.DUMMYFUNCTION("""COMPUTED_VALUE"""),"#VALUE!")</f>
        <v>#VALUE!</v>
      </c>
      <c r="J311" s="51" t="str">
        <f>IFERROR(__xludf.DUMMYFUNCTION("""COMPUTED_VALUE"""),"")</f>
        <v/>
      </c>
      <c r="K311" s="51"/>
      <c r="L311" s="51" t="s">
        <v>257</v>
      </c>
      <c r="M311" s="51"/>
      <c r="N311" s="51"/>
      <c r="O311" s="51"/>
      <c r="P311" s="51"/>
      <c r="Q311" s="51"/>
      <c r="R311" s="51"/>
      <c r="S311" s="51"/>
      <c r="T311" s="51"/>
    </row>
    <row r="312">
      <c r="A312" s="51"/>
      <c r="B312" s="51"/>
      <c r="C312" s="56"/>
      <c r="D312" s="51"/>
      <c r="E312" s="51"/>
      <c r="F312" s="51"/>
      <c r="G312" s="51" t="str">
        <f>IFERROR(__xludf.DUMMYFUNCTION("""COMPUTED_VALUE"""),"#VALUE!")</f>
        <v>#VALUE!</v>
      </c>
      <c r="H312" s="51" t="str">
        <f>IFERROR(__xludf.DUMMYFUNCTION("""COMPUTED_VALUE"""),"")</f>
        <v/>
      </c>
      <c r="I312" s="51" t="str">
        <f>IFERROR(__xludf.DUMMYFUNCTION("""COMPUTED_VALUE"""),"#VALUE!")</f>
        <v>#VALUE!</v>
      </c>
      <c r="J312" s="51" t="str">
        <f>IFERROR(__xludf.DUMMYFUNCTION("""COMPUTED_VALUE"""),"")</f>
        <v/>
      </c>
      <c r="K312" s="51"/>
      <c r="L312" s="51" t="s">
        <v>257</v>
      </c>
      <c r="M312" s="51"/>
      <c r="N312" s="51"/>
      <c r="O312" s="51"/>
      <c r="P312" s="51"/>
      <c r="Q312" s="51"/>
      <c r="R312" s="51"/>
      <c r="S312" s="51"/>
      <c r="T312" s="51"/>
    </row>
    <row r="313">
      <c r="A313" s="51"/>
      <c r="B313" s="51"/>
      <c r="C313" s="56"/>
      <c r="D313" s="51"/>
      <c r="E313" s="51"/>
      <c r="F313" s="51"/>
      <c r="G313" s="51" t="str">
        <f>IFERROR(__xludf.DUMMYFUNCTION("""COMPUTED_VALUE"""),"#VALUE!")</f>
        <v>#VALUE!</v>
      </c>
      <c r="H313" s="51" t="str">
        <f>IFERROR(__xludf.DUMMYFUNCTION("""COMPUTED_VALUE"""),"")</f>
        <v/>
      </c>
      <c r="I313" s="51" t="str">
        <f>IFERROR(__xludf.DUMMYFUNCTION("""COMPUTED_VALUE"""),"#VALUE!")</f>
        <v>#VALUE!</v>
      </c>
      <c r="J313" s="51" t="str">
        <f>IFERROR(__xludf.DUMMYFUNCTION("""COMPUTED_VALUE"""),"")</f>
        <v/>
      </c>
      <c r="K313" s="51"/>
      <c r="L313" s="51" t="s">
        <v>257</v>
      </c>
      <c r="M313" s="51"/>
      <c r="N313" s="51"/>
      <c r="O313" s="51"/>
      <c r="P313" s="51"/>
      <c r="Q313" s="51"/>
      <c r="R313" s="51"/>
      <c r="S313" s="51"/>
      <c r="T313" s="51"/>
    </row>
    <row r="314">
      <c r="A314" s="51"/>
      <c r="B314" s="51"/>
      <c r="C314" s="56"/>
      <c r="D314" s="51"/>
      <c r="E314" s="51"/>
      <c r="F314" s="51"/>
      <c r="G314" s="51" t="str">
        <f>IFERROR(__xludf.DUMMYFUNCTION("""COMPUTED_VALUE"""),"#VALUE!")</f>
        <v>#VALUE!</v>
      </c>
      <c r="H314" s="51" t="str">
        <f>IFERROR(__xludf.DUMMYFUNCTION("""COMPUTED_VALUE"""),"")</f>
        <v/>
      </c>
      <c r="I314" s="51" t="str">
        <f>IFERROR(__xludf.DUMMYFUNCTION("""COMPUTED_VALUE"""),"#VALUE!")</f>
        <v>#VALUE!</v>
      </c>
      <c r="J314" s="51" t="str">
        <f>IFERROR(__xludf.DUMMYFUNCTION("""COMPUTED_VALUE"""),"")</f>
        <v/>
      </c>
      <c r="K314" s="51"/>
      <c r="L314" s="51" t="s">
        <v>257</v>
      </c>
      <c r="M314" s="51"/>
      <c r="N314" s="51"/>
      <c r="O314" s="51"/>
      <c r="P314" s="51"/>
      <c r="Q314" s="51"/>
      <c r="R314" s="51"/>
      <c r="S314" s="51"/>
      <c r="T314" s="51"/>
    </row>
    <row r="315">
      <c r="A315" s="51"/>
      <c r="B315" s="51"/>
      <c r="C315" s="56"/>
      <c r="D315" s="51"/>
      <c r="E315" s="51"/>
      <c r="F315" s="51"/>
      <c r="G315" s="51" t="str">
        <f>IFERROR(__xludf.DUMMYFUNCTION("""COMPUTED_VALUE"""),"#VALUE!")</f>
        <v>#VALUE!</v>
      </c>
      <c r="H315" s="51" t="str">
        <f>IFERROR(__xludf.DUMMYFUNCTION("""COMPUTED_VALUE"""),"")</f>
        <v/>
      </c>
      <c r="I315" s="51" t="str">
        <f>IFERROR(__xludf.DUMMYFUNCTION("""COMPUTED_VALUE"""),"#VALUE!")</f>
        <v>#VALUE!</v>
      </c>
      <c r="J315" s="51" t="str">
        <f>IFERROR(__xludf.DUMMYFUNCTION("""COMPUTED_VALUE"""),"")</f>
        <v/>
      </c>
      <c r="K315" s="51"/>
      <c r="L315" s="51" t="s">
        <v>257</v>
      </c>
      <c r="M315" s="51"/>
      <c r="N315" s="51"/>
      <c r="O315" s="51"/>
      <c r="P315" s="51"/>
      <c r="Q315" s="51"/>
      <c r="R315" s="51"/>
      <c r="S315" s="51"/>
      <c r="T315" s="51"/>
    </row>
    <row r="316">
      <c r="A316" s="51"/>
      <c r="B316" s="51"/>
      <c r="C316" s="56"/>
      <c r="D316" s="51"/>
      <c r="E316" s="51"/>
      <c r="F316" s="51"/>
      <c r="G316" s="51" t="str">
        <f>IFERROR(__xludf.DUMMYFUNCTION("""COMPUTED_VALUE"""),"#VALUE!")</f>
        <v>#VALUE!</v>
      </c>
      <c r="H316" s="51" t="str">
        <f>IFERROR(__xludf.DUMMYFUNCTION("""COMPUTED_VALUE"""),"")</f>
        <v/>
      </c>
      <c r="I316" s="51" t="str">
        <f>IFERROR(__xludf.DUMMYFUNCTION("""COMPUTED_VALUE"""),"#VALUE!")</f>
        <v>#VALUE!</v>
      </c>
      <c r="J316" s="51" t="str">
        <f>IFERROR(__xludf.DUMMYFUNCTION("""COMPUTED_VALUE"""),"")</f>
        <v/>
      </c>
      <c r="K316" s="51"/>
      <c r="L316" s="51" t="s">
        <v>257</v>
      </c>
      <c r="M316" s="51"/>
      <c r="N316" s="51"/>
      <c r="O316" s="51"/>
      <c r="P316" s="51"/>
      <c r="Q316" s="51"/>
      <c r="R316" s="51"/>
      <c r="S316" s="51"/>
      <c r="T316" s="51"/>
    </row>
    <row r="317">
      <c r="A317" s="51"/>
      <c r="B317" s="51"/>
      <c r="C317" s="56"/>
      <c r="D317" s="51"/>
      <c r="E317" s="51"/>
      <c r="F317" s="51"/>
      <c r="G317" s="51" t="str">
        <f>IFERROR(__xludf.DUMMYFUNCTION("""COMPUTED_VALUE"""),"#VALUE!")</f>
        <v>#VALUE!</v>
      </c>
      <c r="H317" s="51" t="str">
        <f>IFERROR(__xludf.DUMMYFUNCTION("""COMPUTED_VALUE"""),"")</f>
        <v/>
      </c>
      <c r="I317" s="51" t="str">
        <f>IFERROR(__xludf.DUMMYFUNCTION("""COMPUTED_VALUE"""),"#VALUE!")</f>
        <v>#VALUE!</v>
      </c>
      <c r="J317" s="51" t="str">
        <f>IFERROR(__xludf.DUMMYFUNCTION("""COMPUTED_VALUE"""),"")</f>
        <v/>
      </c>
      <c r="K317" s="51"/>
      <c r="L317" s="51" t="s">
        <v>257</v>
      </c>
      <c r="M317" s="51"/>
      <c r="N317" s="51"/>
      <c r="O317" s="51"/>
      <c r="P317" s="51"/>
      <c r="Q317" s="51"/>
      <c r="R317" s="51"/>
      <c r="S317" s="51"/>
      <c r="T317" s="51"/>
    </row>
    <row r="318">
      <c r="A318" s="51"/>
      <c r="B318" s="51"/>
      <c r="C318" s="56"/>
      <c r="D318" s="51"/>
      <c r="E318" s="51"/>
      <c r="F318" s="51"/>
      <c r="G318" s="51" t="str">
        <f>IFERROR(__xludf.DUMMYFUNCTION("""COMPUTED_VALUE"""),"#VALUE!")</f>
        <v>#VALUE!</v>
      </c>
      <c r="H318" s="51" t="str">
        <f>IFERROR(__xludf.DUMMYFUNCTION("""COMPUTED_VALUE"""),"")</f>
        <v/>
      </c>
      <c r="I318" s="51" t="str">
        <f>IFERROR(__xludf.DUMMYFUNCTION("""COMPUTED_VALUE"""),"#VALUE!")</f>
        <v>#VALUE!</v>
      </c>
      <c r="J318" s="51" t="str">
        <f>IFERROR(__xludf.DUMMYFUNCTION("""COMPUTED_VALUE"""),"")</f>
        <v/>
      </c>
      <c r="K318" s="51"/>
      <c r="L318" s="51" t="s">
        <v>257</v>
      </c>
      <c r="M318" s="51"/>
      <c r="N318" s="51"/>
      <c r="O318" s="51"/>
      <c r="P318" s="51"/>
      <c r="Q318" s="51"/>
      <c r="R318" s="51"/>
      <c r="S318" s="51"/>
      <c r="T318" s="51"/>
    </row>
    <row r="319">
      <c r="A319" s="51"/>
      <c r="B319" s="51"/>
      <c r="C319" s="56"/>
      <c r="D319" s="51"/>
      <c r="E319" s="51"/>
      <c r="F319" s="51"/>
      <c r="G319" s="51" t="str">
        <f>IFERROR(__xludf.DUMMYFUNCTION("""COMPUTED_VALUE"""),"#VALUE!")</f>
        <v>#VALUE!</v>
      </c>
      <c r="H319" s="51" t="str">
        <f>IFERROR(__xludf.DUMMYFUNCTION("""COMPUTED_VALUE"""),"")</f>
        <v/>
      </c>
      <c r="I319" s="51" t="str">
        <f>IFERROR(__xludf.DUMMYFUNCTION("""COMPUTED_VALUE"""),"#VALUE!")</f>
        <v>#VALUE!</v>
      </c>
      <c r="J319" s="51" t="str">
        <f>IFERROR(__xludf.DUMMYFUNCTION("""COMPUTED_VALUE"""),"")</f>
        <v/>
      </c>
      <c r="K319" s="51"/>
      <c r="L319" s="51" t="s">
        <v>257</v>
      </c>
      <c r="M319" s="51"/>
      <c r="N319" s="51"/>
      <c r="O319" s="51"/>
      <c r="P319" s="51"/>
      <c r="Q319" s="51"/>
      <c r="R319" s="51"/>
      <c r="S319" s="51"/>
      <c r="T319" s="51"/>
    </row>
    <row r="320">
      <c r="A320" s="51"/>
      <c r="B320" s="51"/>
      <c r="C320" s="56"/>
      <c r="D320" s="51"/>
      <c r="E320" s="51"/>
      <c r="F320" s="51"/>
      <c r="G320" s="51" t="str">
        <f>IFERROR(__xludf.DUMMYFUNCTION("""COMPUTED_VALUE"""),"#VALUE!")</f>
        <v>#VALUE!</v>
      </c>
      <c r="H320" s="51" t="str">
        <f>IFERROR(__xludf.DUMMYFUNCTION("""COMPUTED_VALUE"""),"")</f>
        <v/>
      </c>
      <c r="I320" s="51" t="str">
        <f>IFERROR(__xludf.DUMMYFUNCTION("""COMPUTED_VALUE"""),"#VALUE!")</f>
        <v>#VALUE!</v>
      </c>
      <c r="J320" s="51" t="str">
        <f>IFERROR(__xludf.DUMMYFUNCTION("""COMPUTED_VALUE"""),"")</f>
        <v/>
      </c>
      <c r="K320" s="51"/>
      <c r="L320" s="51" t="s">
        <v>257</v>
      </c>
      <c r="M320" s="51"/>
      <c r="N320" s="51"/>
      <c r="O320" s="51"/>
      <c r="P320" s="51"/>
      <c r="Q320" s="51"/>
      <c r="R320" s="51"/>
      <c r="S320" s="51"/>
      <c r="T320" s="51"/>
    </row>
    <row r="321">
      <c r="A321" s="51"/>
      <c r="B321" s="51"/>
      <c r="C321" s="56"/>
      <c r="D321" s="51"/>
      <c r="E321" s="51"/>
      <c r="F321" s="51"/>
      <c r="G321" s="51" t="str">
        <f>IFERROR(__xludf.DUMMYFUNCTION("""COMPUTED_VALUE"""),"#VALUE!")</f>
        <v>#VALUE!</v>
      </c>
      <c r="H321" s="51" t="str">
        <f>IFERROR(__xludf.DUMMYFUNCTION("""COMPUTED_VALUE"""),"")</f>
        <v/>
      </c>
      <c r="I321" s="51" t="str">
        <f>IFERROR(__xludf.DUMMYFUNCTION("""COMPUTED_VALUE"""),"#VALUE!")</f>
        <v>#VALUE!</v>
      </c>
      <c r="J321" s="51" t="str">
        <f>IFERROR(__xludf.DUMMYFUNCTION("""COMPUTED_VALUE"""),"")</f>
        <v/>
      </c>
      <c r="K321" s="51"/>
      <c r="L321" s="51" t="s">
        <v>257</v>
      </c>
      <c r="M321" s="51"/>
      <c r="N321" s="51"/>
      <c r="O321" s="51"/>
      <c r="P321" s="51"/>
      <c r="Q321" s="51"/>
      <c r="R321" s="51"/>
      <c r="S321" s="51"/>
      <c r="T321" s="51"/>
    </row>
    <row r="322">
      <c r="A322" s="51"/>
      <c r="B322" s="51"/>
      <c r="C322" s="56"/>
      <c r="D322" s="51"/>
      <c r="E322" s="51"/>
      <c r="F322" s="51"/>
      <c r="G322" s="51" t="str">
        <f>IFERROR(__xludf.DUMMYFUNCTION("""COMPUTED_VALUE"""),"#VALUE!")</f>
        <v>#VALUE!</v>
      </c>
      <c r="H322" s="51" t="str">
        <f>IFERROR(__xludf.DUMMYFUNCTION("""COMPUTED_VALUE"""),"")</f>
        <v/>
      </c>
      <c r="I322" s="51" t="str">
        <f>IFERROR(__xludf.DUMMYFUNCTION("""COMPUTED_VALUE"""),"#VALUE!")</f>
        <v>#VALUE!</v>
      </c>
      <c r="J322" s="51" t="str">
        <f>IFERROR(__xludf.DUMMYFUNCTION("""COMPUTED_VALUE"""),"")</f>
        <v/>
      </c>
      <c r="K322" s="51"/>
      <c r="L322" s="51" t="s">
        <v>257</v>
      </c>
      <c r="M322" s="51"/>
      <c r="N322" s="51"/>
      <c r="O322" s="51"/>
      <c r="P322" s="51"/>
      <c r="Q322" s="51"/>
      <c r="R322" s="51"/>
      <c r="S322" s="51"/>
      <c r="T322" s="51"/>
    </row>
    <row r="323">
      <c r="A323" s="51"/>
      <c r="B323" s="51"/>
      <c r="C323" s="56"/>
      <c r="D323" s="51"/>
      <c r="E323" s="51"/>
      <c r="F323" s="51"/>
      <c r="G323" s="51" t="str">
        <f>IFERROR(__xludf.DUMMYFUNCTION("""COMPUTED_VALUE"""),"#VALUE!")</f>
        <v>#VALUE!</v>
      </c>
      <c r="H323" s="51" t="str">
        <f>IFERROR(__xludf.DUMMYFUNCTION("""COMPUTED_VALUE"""),"")</f>
        <v/>
      </c>
      <c r="I323" s="51" t="str">
        <f>IFERROR(__xludf.DUMMYFUNCTION("""COMPUTED_VALUE"""),"#VALUE!")</f>
        <v>#VALUE!</v>
      </c>
      <c r="J323" s="51" t="str">
        <f>IFERROR(__xludf.DUMMYFUNCTION("""COMPUTED_VALUE"""),"")</f>
        <v/>
      </c>
      <c r="K323" s="51"/>
      <c r="L323" s="51" t="s">
        <v>257</v>
      </c>
      <c r="M323" s="51"/>
      <c r="N323" s="51"/>
      <c r="O323" s="51"/>
      <c r="P323" s="51"/>
      <c r="Q323" s="51"/>
      <c r="R323" s="51"/>
      <c r="S323" s="51"/>
      <c r="T323" s="51"/>
    </row>
    <row r="324">
      <c r="A324" s="51"/>
      <c r="B324" s="51"/>
      <c r="C324" s="56"/>
      <c r="D324" s="51"/>
      <c r="E324" s="51"/>
      <c r="F324" s="51"/>
      <c r="G324" s="51" t="str">
        <f>IFERROR(__xludf.DUMMYFUNCTION("""COMPUTED_VALUE"""),"#VALUE!")</f>
        <v>#VALUE!</v>
      </c>
      <c r="H324" s="51" t="str">
        <f>IFERROR(__xludf.DUMMYFUNCTION("""COMPUTED_VALUE"""),"")</f>
        <v/>
      </c>
      <c r="I324" s="51" t="str">
        <f>IFERROR(__xludf.DUMMYFUNCTION("""COMPUTED_VALUE"""),"#VALUE!")</f>
        <v>#VALUE!</v>
      </c>
      <c r="J324" s="51" t="str">
        <f>IFERROR(__xludf.DUMMYFUNCTION("""COMPUTED_VALUE"""),"")</f>
        <v/>
      </c>
      <c r="K324" s="51"/>
      <c r="L324" s="51" t="s">
        <v>257</v>
      </c>
      <c r="M324" s="51"/>
      <c r="N324" s="51"/>
      <c r="O324" s="51"/>
      <c r="P324" s="51"/>
      <c r="Q324" s="51"/>
      <c r="R324" s="51"/>
      <c r="S324" s="51"/>
      <c r="T324" s="51"/>
    </row>
    <row r="325">
      <c r="A325" s="51"/>
      <c r="B325" s="51"/>
      <c r="C325" s="56"/>
      <c r="D325" s="51"/>
      <c r="E325" s="51"/>
      <c r="F325" s="51"/>
      <c r="G325" s="51" t="str">
        <f>IFERROR(__xludf.DUMMYFUNCTION("""COMPUTED_VALUE"""),"#VALUE!")</f>
        <v>#VALUE!</v>
      </c>
      <c r="H325" s="51" t="str">
        <f>IFERROR(__xludf.DUMMYFUNCTION("""COMPUTED_VALUE"""),"")</f>
        <v/>
      </c>
      <c r="I325" s="51" t="str">
        <f>IFERROR(__xludf.DUMMYFUNCTION("""COMPUTED_VALUE"""),"#VALUE!")</f>
        <v>#VALUE!</v>
      </c>
      <c r="J325" s="51" t="str">
        <f>IFERROR(__xludf.DUMMYFUNCTION("""COMPUTED_VALUE"""),"")</f>
        <v/>
      </c>
      <c r="K325" s="51"/>
      <c r="L325" s="51" t="s">
        <v>257</v>
      </c>
      <c r="M325" s="51"/>
      <c r="N325" s="51"/>
      <c r="O325" s="51"/>
      <c r="P325" s="51"/>
      <c r="Q325" s="51"/>
      <c r="R325" s="51"/>
      <c r="S325" s="51"/>
      <c r="T325" s="51"/>
    </row>
    <row r="326">
      <c r="A326" s="51"/>
      <c r="B326" s="51"/>
      <c r="C326" s="56"/>
      <c r="D326" s="51"/>
      <c r="E326" s="51"/>
      <c r="F326" s="51"/>
      <c r="G326" s="51" t="str">
        <f>IFERROR(__xludf.DUMMYFUNCTION("""COMPUTED_VALUE"""),"#VALUE!")</f>
        <v>#VALUE!</v>
      </c>
      <c r="H326" s="51" t="str">
        <f>IFERROR(__xludf.DUMMYFUNCTION("""COMPUTED_VALUE"""),"")</f>
        <v/>
      </c>
      <c r="I326" s="51" t="str">
        <f>IFERROR(__xludf.DUMMYFUNCTION("""COMPUTED_VALUE"""),"#VALUE!")</f>
        <v>#VALUE!</v>
      </c>
      <c r="J326" s="51" t="str">
        <f>IFERROR(__xludf.DUMMYFUNCTION("""COMPUTED_VALUE"""),"")</f>
        <v/>
      </c>
      <c r="K326" s="51"/>
      <c r="L326" s="51" t="s">
        <v>257</v>
      </c>
      <c r="M326" s="51"/>
      <c r="N326" s="51"/>
      <c r="O326" s="51"/>
      <c r="P326" s="51"/>
      <c r="Q326" s="51"/>
      <c r="R326" s="51"/>
      <c r="S326" s="51"/>
      <c r="T326" s="51"/>
    </row>
    <row r="327">
      <c r="A327" s="51"/>
      <c r="B327" s="51"/>
      <c r="C327" s="56"/>
      <c r="D327" s="51"/>
      <c r="E327" s="51"/>
      <c r="F327" s="51"/>
      <c r="G327" s="51" t="str">
        <f>IFERROR(__xludf.DUMMYFUNCTION("""COMPUTED_VALUE"""),"#VALUE!")</f>
        <v>#VALUE!</v>
      </c>
      <c r="H327" s="51" t="str">
        <f>IFERROR(__xludf.DUMMYFUNCTION("""COMPUTED_VALUE"""),"")</f>
        <v/>
      </c>
      <c r="I327" s="51" t="str">
        <f>IFERROR(__xludf.DUMMYFUNCTION("""COMPUTED_VALUE"""),"#VALUE!")</f>
        <v>#VALUE!</v>
      </c>
      <c r="J327" s="51" t="str">
        <f>IFERROR(__xludf.DUMMYFUNCTION("""COMPUTED_VALUE"""),"")</f>
        <v/>
      </c>
      <c r="K327" s="51"/>
      <c r="L327" s="51" t="s">
        <v>257</v>
      </c>
      <c r="M327" s="51"/>
      <c r="N327" s="51"/>
      <c r="O327" s="51"/>
      <c r="P327" s="51"/>
      <c r="Q327" s="51"/>
      <c r="R327" s="51"/>
      <c r="S327" s="51"/>
      <c r="T327" s="51"/>
    </row>
    <row r="328">
      <c r="A328" s="51"/>
      <c r="B328" s="51"/>
      <c r="C328" s="56"/>
      <c r="D328" s="51"/>
      <c r="E328" s="51"/>
      <c r="F328" s="51"/>
      <c r="G328" s="51" t="str">
        <f>IFERROR(__xludf.DUMMYFUNCTION("""COMPUTED_VALUE"""),"#VALUE!")</f>
        <v>#VALUE!</v>
      </c>
      <c r="H328" s="51" t="str">
        <f>IFERROR(__xludf.DUMMYFUNCTION("""COMPUTED_VALUE"""),"")</f>
        <v/>
      </c>
      <c r="I328" s="51" t="str">
        <f>IFERROR(__xludf.DUMMYFUNCTION("""COMPUTED_VALUE"""),"#VALUE!")</f>
        <v>#VALUE!</v>
      </c>
      <c r="J328" s="51" t="str">
        <f>IFERROR(__xludf.DUMMYFUNCTION("""COMPUTED_VALUE"""),"")</f>
        <v/>
      </c>
      <c r="K328" s="51"/>
      <c r="L328" s="51" t="s">
        <v>257</v>
      </c>
      <c r="M328" s="51"/>
      <c r="N328" s="51"/>
      <c r="O328" s="51"/>
      <c r="P328" s="51"/>
      <c r="Q328" s="51"/>
      <c r="R328" s="51"/>
      <c r="S328" s="51"/>
      <c r="T328" s="51"/>
    </row>
    <row r="329">
      <c r="A329" s="51"/>
      <c r="B329" s="51"/>
      <c r="C329" s="56"/>
      <c r="D329" s="51"/>
      <c r="E329" s="51"/>
      <c r="F329" s="51"/>
      <c r="G329" s="51" t="str">
        <f>IFERROR(__xludf.DUMMYFUNCTION("""COMPUTED_VALUE"""),"#VALUE!")</f>
        <v>#VALUE!</v>
      </c>
      <c r="H329" s="51" t="str">
        <f>IFERROR(__xludf.DUMMYFUNCTION("""COMPUTED_VALUE"""),"")</f>
        <v/>
      </c>
      <c r="I329" s="51" t="str">
        <f>IFERROR(__xludf.DUMMYFUNCTION("""COMPUTED_VALUE"""),"#VALUE!")</f>
        <v>#VALUE!</v>
      </c>
      <c r="J329" s="51" t="str">
        <f>IFERROR(__xludf.DUMMYFUNCTION("""COMPUTED_VALUE"""),"")</f>
        <v/>
      </c>
      <c r="K329" s="51"/>
      <c r="L329" s="51" t="s">
        <v>257</v>
      </c>
      <c r="M329" s="51"/>
      <c r="N329" s="51"/>
      <c r="O329" s="51"/>
      <c r="P329" s="51"/>
      <c r="Q329" s="51"/>
      <c r="R329" s="51"/>
      <c r="S329" s="51"/>
      <c r="T329" s="51"/>
    </row>
    <row r="330">
      <c r="A330" s="51"/>
      <c r="B330" s="51"/>
      <c r="C330" s="56"/>
      <c r="D330" s="51"/>
      <c r="E330" s="51"/>
      <c r="F330" s="51"/>
      <c r="G330" s="51" t="str">
        <f>IFERROR(__xludf.DUMMYFUNCTION("""COMPUTED_VALUE"""),"#VALUE!")</f>
        <v>#VALUE!</v>
      </c>
      <c r="H330" s="51" t="str">
        <f>IFERROR(__xludf.DUMMYFUNCTION("""COMPUTED_VALUE"""),"")</f>
        <v/>
      </c>
      <c r="I330" s="51" t="str">
        <f>IFERROR(__xludf.DUMMYFUNCTION("""COMPUTED_VALUE"""),"#VALUE!")</f>
        <v>#VALUE!</v>
      </c>
      <c r="J330" s="51" t="str">
        <f>IFERROR(__xludf.DUMMYFUNCTION("""COMPUTED_VALUE"""),"")</f>
        <v/>
      </c>
      <c r="K330" s="51"/>
      <c r="L330" s="51" t="s">
        <v>257</v>
      </c>
      <c r="M330" s="51"/>
      <c r="N330" s="51"/>
      <c r="O330" s="51"/>
      <c r="P330" s="51"/>
      <c r="Q330" s="51"/>
      <c r="R330" s="51"/>
      <c r="S330" s="51"/>
      <c r="T330" s="51"/>
    </row>
    <row r="331">
      <c r="A331" s="51"/>
      <c r="B331" s="51"/>
      <c r="C331" s="56"/>
      <c r="D331" s="51"/>
      <c r="E331" s="51"/>
      <c r="F331" s="51"/>
      <c r="G331" s="51" t="str">
        <f>IFERROR(__xludf.DUMMYFUNCTION("""COMPUTED_VALUE"""),"#VALUE!")</f>
        <v>#VALUE!</v>
      </c>
      <c r="H331" s="51" t="str">
        <f>IFERROR(__xludf.DUMMYFUNCTION("""COMPUTED_VALUE"""),"")</f>
        <v/>
      </c>
      <c r="I331" s="51" t="str">
        <f>IFERROR(__xludf.DUMMYFUNCTION("""COMPUTED_VALUE"""),"#VALUE!")</f>
        <v>#VALUE!</v>
      </c>
      <c r="J331" s="51" t="str">
        <f>IFERROR(__xludf.DUMMYFUNCTION("""COMPUTED_VALUE"""),"")</f>
        <v/>
      </c>
      <c r="K331" s="51"/>
      <c r="L331" s="51" t="s">
        <v>257</v>
      </c>
      <c r="M331" s="51"/>
      <c r="N331" s="51"/>
      <c r="O331" s="51"/>
      <c r="P331" s="51"/>
      <c r="Q331" s="51"/>
      <c r="R331" s="51"/>
      <c r="S331" s="51"/>
      <c r="T331" s="51"/>
    </row>
    <row r="332">
      <c r="A332" s="51"/>
      <c r="B332" s="51"/>
      <c r="C332" s="56"/>
      <c r="D332" s="51"/>
      <c r="E332" s="51"/>
      <c r="F332" s="51"/>
      <c r="G332" s="51" t="str">
        <f>IFERROR(__xludf.DUMMYFUNCTION("""COMPUTED_VALUE"""),"#VALUE!")</f>
        <v>#VALUE!</v>
      </c>
      <c r="H332" s="51" t="str">
        <f>IFERROR(__xludf.DUMMYFUNCTION("""COMPUTED_VALUE"""),"")</f>
        <v/>
      </c>
      <c r="I332" s="51" t="str">
        <f>IFERROR(__xludf.DUMMYFUNCTION("""COMPUTED_VALUE"""),"#VALUE!")</f>
        <v>#VALUE!</v>
      </c>
      <c r="J332" s="51" t="str">
        <f>IFERROR(__xludf.DUMMYFUNCTION("""COMPUTED_VALUE"""),"")</f>
        <v/>
      </c>
      <c r="K332" s="51"/>
      <c r="L332" s="51" t="s">
        <v>257</v>
      </c>
      <c r="M332" s="51"/>
      <c r="N332" s="51"/>
      <c r="O332" s="51"/>
      <c r="P332" s="51"/>
      <c r="Q332" s="51"/>
      <c r="R332" s="51"/>
      <c r="S332" s="51"/>
      <c r="T332" s="51"/>
    </row>
    <row r="333">
      <c r="A333" s="51"/>
      <c r="B333" s="51"/>
      <c r="C333" s="56"/>
      <c r="D333" s="51"/>
      <c r="E333" s="51"/>
      <c r="F333" s="51"/>
      <c r="G333" s="51" t="str">
        <f>IFERROR(__xludf.DUMMYFUNCTION("""COMPUTED_VALUE"""),"#VALUE!")</f>
        <v>#VALUE!</v>
      </c>
      <c r="H333" s="51" t="str">
        <f>IFERROR(__xludf.DUMMYFUNCTION("""COMPUTED_VALUE"""),"")</f>
        <v/>
      </c>
      <c r="I333" s="51" t="str">
        <f>IFERROR(__xludf.DUMMYFUNCTION("""COMPUTED_VALUE"""),"#VALUE!")</f>
        <v>#VALUE!</v>
      </c>
      <c r="J333" s="51" t="str">
        <f>IFERROR(__xludf.DUMMYFUNCTION("""COMPUTED_VALUE"""),"")</f>
        <v/>
      </c>
      <c r="K333" s="51"/>
      <c r="L333" s="51" t="s">
        <v>257</v>
      </c>
      <c r="M333" s="51"/>
      <c r="N333" s="51"/>
      <c r="O333" s="51"/>
      <c r="P333" s="51"/>
      <c r="Q333" s="51"/>
      <c r="R333" s="51"/>
      <c r="S333" s="51"/>
      <c r="T333" s="51"/>
    </row>
    <row r="334">
      <c r="A334" s="51"/>
      <c r="B334" s="51"/>
      <c r="C334" s="56"/>
      <c r="D334" s="51"/>
      <c r="E334" s="51"/>
      <c r="F334" s="51"/>
      <c r="G334" s="51" t="str">
        <f>IFERROR(__xludf.DUMMYFUNCTION("""COMPUTED_VALUE"""),"#VALUE!")</f>
        <v>#VALUE!</v>
      </c>
      <c r="H334" s="51" t="str">
        <f>IFERROR(__xludf.DUMMYFUNCTION("""COMPUTED_VALUE"""),"")</f>
        <v/>
      </c>
      <c r="I334" s="51" t="str">
        <f>IFERROR(__xludf.DUMMYFUNCTION("""COMPUTED_VALUE"""),"#VALUE!")</f>
        <v>#VALUE!</v>
      </c>
      <c r="J334" s="51" t="str">
        <f>IFERROR(__xludf.DUMMYFUNCTION("""COMPUTED_VALUE"""),"")</f>
        <v/>
      </c>
      <c r="K334" s="51"/>
      <c r="L334" s="51" t="s">
        <v>257</v>
      </c>
      <c r="M334" s="51"/>
      <c r="N334" s="51"/>
      <c r="O334" s="51"/>
      <c r="P334" s="51"/>
      <c r="Q334" s="51"/>
      <c r="R334" s="51"/>
      <c r="S334" s="51"/>
      <c r="T334" s="51"/>
    </row>
    <row r="335">
      <c r="A335" s="51"/>
      <c r="B335" s="51"/>
      <c r="C335" s="56"/>
      <c r="D335" s="51"/>
      <c r="E335" s="51"/>
      <c r="F335" s="51"/>
      <c r="G335" s="51" t="str">
        <f>IFERROR(__xludf.DUMMYFUNCTION("""COMPUTED_VALUE"""),"#VALUE!")</f>
        <v>#VALUE!</v>
      </c>
      <c r="H335" s="51" t="str">
        <f>IFERROR(__xludf.DUMMYFUNCTION("""COMPUTED_VALUE"""),"")</f>
        <v/>
      </c>
      <c r="I335" s="51" t="str">
        <f>IFERROR(__xludf.DUMMYFUNCTION("""COMPUTED_VALUE"""),"#VALUE!")</f>
        <v>#VALUE!</v>
      </c>
      <c r="J335" s="51" t="str">
        <f>IFERROR(__xludf.DUMMYFUNCTION("""COMPUTED_VALUE"""),"")</f>
        <v/>
      </c>
      <c r="K335" s="51"/>
      <c r="L335" s="51" t="s">
        <v>257</v>
      </c>
      <c r="M335" s="51"/>
      <c r="N335" s="51"/>
      <c r="O335" s="51"/>
      <c r="P335" s="51"/>
      <c r="Q335" s="51"/>
      <c r="R335" s="51"/>
      <c r="S335" s="51"/>
      <c r="T335" s="51"/>
    </row>
    <row r="336">
      <c r="A336" s="51"/>
      <c r="B336" s="51"/>
      <c r="C336" s="56"/>
      <c r="D336" s="51"/>
      <c r="E336" s="51"/>
      <c r="F336" s="51"/>
      <c r="G336" s="51" t="str">
        <f>IFERROR(__xludf.DUMMYFUNCTION("""COMPUTED_VALUE"""),"#VALUE!")</f>
        <v>#VALUE!</v>
      </c>
      <c r="H336" s="51" t="str">
        <f>IFERROR(__xludf.DUMMYFUNCTION("""COMPUTED_VALUE"""),"")</f>
        <v/>
      </c>
      <c r="I336" s="51" t="str">
        <f>IFERROR(__xludf.DUMMYFUNCTION("""COMPUTED_VALUE"""),"#VALUE!")</f>
        <v>#VALUE!</v>
      </c>
      <c r="J336" s="51" t="str">
        <f>IFERROR(__xludf.DUMMYFUNCTION("""COMPUTED_VALUE"""),"")</f>
        <v/>
      </c>
      <c r="K336" s="51"/>
      <c r="L336" s="51" t="s">
        <v>257</v>
      </c>
      <c r="M336" s="51"/>
      <c r="N336" s="51"/>
      <c r="O336" s="51"/>
      <c r="P336" s="51"/>
      <c r="Q336" s="51"/>
      <c r="R336" s="51"/>
      <c r="S336" s="51"/>
      <c r="T336" s="51"/>
    </row>
    <row r="337">
      <c r="A337" s="51"/>
      <c r="B337" s="51"/>
      <c r="C337" s="56"/>
      <c r="D337" s="51"/>
      <c r="E337" s="51"/>
      <c r="F337" s="51"/>
      <c r="G337" s="51" t="str">
        <f>IFERROR(__xludf.DUMMYFUNCTION("""COMPUTED_VALUE"""),"#VALUE!")</f>
        <v>#VALUE!</v>
      </c>
      <c r="H337" s="51" t="str">
        <f>IFERROR(__xludf.DUMMYFUNCTION("""COMPUTED_VALUE"""),"")</f>
        <v/>
      </c>
      <c r="I337" s="51" t="str">
        <f>IFERROR(__xludf.DUMMYFUNCTION("""COMPUTED_VALUE"""),"#VALUE!")</f>
        <v>#VALUE!</v>
      </c>
      <c r="J337" s="51" t="str">
        <f>IFERROR(__xludf.DUMMYFUNCTION("""COMPUTED_VALUE"""),"")</f>
        <v/>
      </c>
      <c r="K337" s="51"/>
      <c r="L337" s="51" t="s">
        <v>257</v>
      </c>
      <c r="M337" s="51"/>
      <c r="N337" s="51"/>
      <c r="O337" s="51"/>
      <c r="P337" s="51"/>
      <c r="Q337" s="51"/>
      <c r="R337" s="51"/>
      <c r="S337" s="51"/>
      <c r="T337" s="51"/>
    </row>
    <row r="338">
      <c r="A338" s="51"/>
      <c r="B338" s="51"/>
      <c r="C338" s="56"/>
      <c r="D338" s="51"/>
      <c r="E338" s="51"/>
      <c r="F338" s="51"/>
      <c r="G338" s="51" t="str">
        <f>IFERROR(__xludf.DUMMYFUNCTION("""COMPUTED_VALUE"""),"#VALUE!")</f>
        <v>#VALUE!</v>
      </c>
      <c r="H338" s="51" t="str">
        <f>IFERROR(__xludf.DUMMYFUNCTION("""COMPUTED_VALUE"""),"")</f>
        <v/>
      </c>
      <c r="I338" s="51" t="str">
        <f>IFERROR(__xludf.DUMMYFUNCTION("""COMPUTED_VALUE"""),"#VALUE!")</f>
        <v>#VALUE!</v>
      </c>
      <c r="J338" s="51" t="str">
        <f>IFERROR(__xludf.DUMMYFUNCTION("""COMPUTED_VALUE"""),"")</f>
        <v/>
      </c>
      <c r="K338" s="51"/>
      <c r="L338" s="51" t="s">
        <v>257</v>
      </c>
      <c r="M338" s="51"/>
      <c r="N338" s="51"/>
      <c r="O338" s="51"/>
      <c r="P338" s="51"/>
      <c r="Q338" s="51"/>
      <c r="R338" s="51"/>
      <c r="S338" s="51"/>
      <c r="T338" s="51"/>
    </row>
    <row r="339">
      <c r="A339" s="51"/>
      <c r="B339" s="51"/>
      <c r="C339" s="56"/>
      <c r="D339" s="51"/>
      <c r="E339" s="51"/>
      <c r="F339" s="51"/>
      <c r="G339" s="51" t="str">
        <f>IFERROR(__xludf.DUMMYFUNCTION("""COMPUTED_VALUE"""),"#VALUE!")</f>
        <v>#VALUE!</v>
      </c>
      <c r="H339" s="51" t="str">
        <f>IFERROR(__xludf.DUMMYFUNCTION("""COMPUTED_VALUE"""),"")</f>
        <v/>
      </c>
      <c r="I339" s="51" t="str">
        <f>IFERROR(__xludf.DUMMYFUNCTION("""COMPUTED_VALUE"""),"#VALUE!")</f>
        <v>#VALUE!</v>
      </c>
      <c r="J339" s="51" t="str">
        <f>IFERROR(__xludf.DUMMYFUNCTION("""COMPUTED_VALUE"""),"")</f>
        <v/>
      </c>
      <c r="K339" s="51"/>
      <c r="L339" s="51" t="s">
        <v>257</v>
      </c>
      <c r="M339" s="51"/>
      <c r="N339" s="51"/>
      <c r="O339" s="51"/>
      <c r="P339" s="51"/>
      <c r="Q339" s="51"/>
      <c r="R339" s="51"/>
      <c r="S339" s="51"/>
      <c r="T339" s="51"/>
    </row>
    <row r="340">
      <c r="A340" s="51"/>
      <c r="B340" s="51"/>
      <c r="C340" s="56"/>
      <c r="D340" s="51"/>
      <c r="E340" s="51"/>
      <c r="F340" s="51"/>
      <c r="G340" s="51" t="str">
        <f>IFERROR(__xludf.DUMMYFUNCTION("""COMPUTED_VALUE"""),"#VALUE!")</f>
        <v>#VALUE!</v>
      </c>
      <c r="H340" s="51" t="str">
        <f>IFERROR(__xludf.DUMMYFUNCTION("""COMPUTED_VALUE"""),"")</f>
        <v/>
      </c>
      <c r="I340" s="51" t="str">
        <f>IFERROR(__xludf.DUMMYFUNCTION("""COMPUTED_VALUE"""),"#VALUE!")</f>
        <v>#VALUE!</v>
      </c>
      <c r="J340" s="51" t="str">
        <f>IFERROR(__xludf.DUMMYFUNCTION("""COMPUTED_VALUE"""),"")</f>
        <v/>
      </c>
      <c r="K340" s="51"/>
      <c r="L340" s="51" t="s">
        <v>257</v>
      </c>
      <c r="M340" s="51"/>
      <c r="N340" s="51"/>
      <c r="O340" s="51"/>
      <c r="P340" s="51"/>
      <c r="Q340" s="51"/>
      <c r="R340" s="51"/>
      <c r="S340" s="51"/>
      <c r="T340" s="51"/>
    </row>
    <row r="341">
      <c r="A341" s="51"/>
      <c r="B341" s="51"/>
      <c r="C341" s="56"/>
      <c r="D341" s="51"/>
      <c r="E341" s="51"/>
      <c r="F341" s="51"/>
      <c r="G341" s="51" t="str">
        <f>IFERROR(__xludf.DUMMYFUNCTION("""COMPUTED_VALUE"""),"#VALUE!")</f>
        <v>#VALUE!</v>
      </c>
      <c r="H341" s="51" t="str">
        <f>IFERROR(__xludf.DUMMYFUNCTION("""COMPUTED_VALUE"""),"")</f>
        <v/>
      </c>
      <c r="I341" s="51" t="str">
        <f>IFERROR(__xludf.DUMMYFUNCTION("""COMPUTED_VALUE"""),"#VALUE!")</f>
        <v>#VALUE!</v>
      </c>
      <c r="J341" s="51" t="str">
        <f>IFERROR(__xludf.DUMMYFUNCTION("""COMPUTED_VALUE"""),"")</f>
        <v/>
      </c>
      <c r="K341" s="51"/>
      <c r="L341" s="51" t="s">
        <v>257</v>
      </c>
      <c r="M341" s="51"/>
      <c r="N341" s="51"/>
      <c r="O341" s="51"/>
      <c r="P341" s="51"/>
      <c r="Q341" s="51"/>
      <c r="R341" s="51"/>
      <c r="S341" s="51"/>
      <c r="T341" s="51"/>
    </row>
    <row r="342">
      <c r="A342" s="51"/>
      <c r="B342" s="51"/>
      <c r="C342" s="56"/>
      <c r="D342" s="51"/>
      <c r="E342" s="51"/>
      <c r="F342" s="51"/>
      <c r="G342" s="51" t="str">
        <f>IFERROR(__xludf.DUMMYFUNCTION("""COMPUTED_VALUE"""),"#VALUE!")</f>
        <v>#VALUE!</v>
      </c>
      <c r="H342" s="51" t="str">
        <f>IFERROR(__xludf.DUMMYFUNCTION("""COMPUTED_VALUE"""),"")</f>
        <v/>
      </c>
      <c r="I342" s="51" t="str">
        <f>IFERROR(__xludf.DUMMYFUNCTION("""COMPUTED_VALUE"""),"#VALUE!")</f>
        <v>#VALUE!</v>
      </c>
      <c r="J342" s="51" t="str">
        <f>IFERROR(__xludf.DUMMYFUNCTION("""COMPUTED_VALUE"""),"")</f>
        <v/>
      </c>
      <c r="K342" s="51"/>
      <c r="L342" s="51" t="s">
        <v>257</v>
      </c>
      <c r="M342" s="51"/>
      <c r="N342" s="51"/>
      <c r="O342" s="51"/>
      <c r="P342" s="51"/>
      <c r="Q342" s="51"/>
      <c r="R342" s="51"/>
      <c r="S342" s="51"/>
      <c r="T342" s="51"/>
    </row>
    <row r="343">
      <c r="A343" s="51"/>
      <c r="B343" s="51"/>
      <c r="C343" s="56"/>
      <c r="D343" s="51"/>
      <c r="E343" s="51"/>
      <c r="F343" s="51"/>
      <c r="G343" s="51" t="str">
        <f>IFERROR(__xludf.DUMMYFUNCTION("""COMPUTED_VALUE"""),"#VALUE!")</f>
        <v>#VALUE!</v>
      </c>
      <c r="H343" s="51" t="str">
        <f>IFERROR(__xludf.DUMMYFUNCTION("""COMPUTED_VALUE"""),"")</f>
        <v/>
      </c>
      <c r="I343" s="51" t="str">
        <f>IFERROR(__xludf.DUMMYFUNCTION("""COMPUTED_VALUE"""),"#VALUE!")</f>
        <v>#VALUE!</v>
      </c>
      <c r="J343" s="51" t="str">
        <f>IFERROR(__xludf.DUMMYFUNCTION("""COMPUTED_VALUE"""),"")</f>
        <v/>
      </c>
      <c r="K343" s="51"/>
      <c r="L343" s="51" t="s">
        <v>257</v>
      </c>
      <c r="M343" s="51"/>
      <c r="N343" s="51"/>
      <c r="O343" s="51"/>
      <c r="P343" s="51"/>
      <c r="Q343" s="51"/>
      <c r="R343" s="51"/>
      <c r="S343" s="51"/>
      <c r="T343" s="51"/>
    </row>
    <row r="344">
      <c r="A344" s="51"/>
      <c r="B344" s="51"/>
      <c r="C344" s="56"/>
      <c r="D344" s="51"/>
      <c r="E344" s="51"/>
      <c r="F344" s="51"/>
      <c r="G344" s="51" t="str">
        <f>IFERROR(__xludf.DUMMYFUNCTION("""COMPUTED_VALUE"""),"#VALUE!")</f>
        <v>#VALUE!</v>
      </c>
      <c r="H344" s="51" t="str">
        <f>IFERROR(__xludf.DUMMYFUNCTION("""COMPUTED_VALUE"""),"")</f>
        <v/>
      </c>
      <c r="I344" s="51" t="str">
        <f>IFERROR(__xludf.DUMMYFUNCTION("""COMPUTED_VALUE"""),"#VALUE!")</f>
        <v>#VALUE!</v>
      </c>
      <c r="J344" s="51" t="str">
        <f>IFERROR(__xludf.DUMMYFUNCTION("""COMPUTED_VALUE"""),"")</f>
        <v/>
      </c>
      <c r="K344" s="51"/>
      <c r="L344" s="51" t="s">
        <v>257</v>
      </c>
      <c r="M344" s="51"/>
      <c r="N344" s="51"/>
      <c r="O344" s="51"/>
      <c r="P344" s="51"/>
      <c r="Q344" s="51"/>
      <c r="R344" s="51"/>
      <c r="S344" s="51"/>
      <c r="T344" s="51"/>
    </row>
    <row r="345">
      <c r="A345" s="51"/>
      <c r="B345" s="51"/>
      <c r="C345" s="56"/>
      <c r="D345" s="51"/>
      <c r="E345" s="51"/>
      <c r="F345" s="51"/>
      <c r="G345" s="51" t="str">
        <f>IFERROR(__xludf.DUMMYFUNCTION("""COMPUTED_VALUE"""),"#VALUE!")</f>
        <v>#VALUE!</v>
      </c>
      <c r="H345" s="51" t="str">
        <f>IFERROR(__xludf.DUMMYFUNCTION("""COMPUTED_VALUE"""),"")</f>
        <v/>
      </c>
      <c r="I345" s="51" t="str">
        <f>IFERROR(__xludf.DUMMYFUNCTION("""COMPUTED_VALUE"""),"#VALUE!")</f>
        <v>#VALUE!</v>
      </c>
      <c r="J345" s="51" t="str">
        <f>IFERROR(__xludf.DUMMYFUNCTION("""COMPUTED_VALUE"""),"")</f>
        <v/>
      </c>
      <c r="K345" s="51"/>
      <c r="L345" s="51" t="s">
        <v>257</v>
      </c>
      <c r="M345" s="51"/>
      <c r="N345" s="51"/>
      <c r="O345" s="51"/>
      <c r="P345" s="51"/>
      <c r="Q345" s="51"/>
      <c r="R345" s="51"/>
      <c r="S345" s="51"/>
      <c r="T345" s="51"/>
    </row>
    <row r="346">
      <c r="A346" s="51"/>
      <c r="B346" s="51"/>
      <c r="C346" s="56"/>
      <c r="D346" s="51"/>
      <c r="E346" s="51"/>
      <c r="F346" s="51"/>
      <c r="G346" s="51" t="str">
        <f>IFERROR(__xludf.DUMMYFUNCTION("""COMPUTED_VALUE"""),"#VALUE!")</f>
        <v>#VALUE!</v>
      </c>
      <c r="H346" s="51" t="str">
        <f>IFERROR(__xludf.DUMMYFUNCTION("""COMPUTED_VALUE"""),"")</f>
        <v/>
      </c>
      <c r="I346" s="51" t="str">
        <f>IFERROR(__xludf.DUMMYFUNCTION("""COMPUTED_VALUE"""),"#VALUE!")</f>
        <v>#VALUE!</v>
      </c>
      <c r="J346" s="51" t="str">
        <f>IFERROR(__xludf.DUMMYFUNCTION("""COMPUTED_VALUE"""),"")</f>
        <v/>
      </c>
      <c r="K346" s="51"/>
      <c r="L346" s="51" t="s">
        <v>257</v>
      </c>
      <c r="M346" s="51"/>
      <c r="N346" s="51"/>
      <c r="O346" s="51"/>
      <c r="P346" s="51"/>
      <c r="Q346" s="51"/>
      <c r="R346" s="51"/>
      <c r="S346" s="51"/>
      <c r="T346" s="51"/>
    </row>
    <row r="347">
      <c r="A347" s="51"/>
      <c r="B347" s="51"/>
      <c r="C347" s="56"/>
      <c r="D347" s="51"/>
      <c r="E347" s="51"/>
      <c r="F347" s="51"/>
      <c r="G347" s="51" t="str">
        <f>IFERROR(__xludf.DUMMYFUNCTION("""COMPUTED_VALUE"""),"#VALUE!")</f>
        <v>#VALUE!</v>
      </c>
      <c r="H347" s="51" t="str">
        <f>IFERROR(__xludf.DUMMYFUNCTION("""COMPUTED_VALUE"""),"")</f>
        <v/>
      </c>
      <c r="I347" s="51" t="str">
        <f>IFERROR(__xludf.DUMMYFUNCTION("""COMPUTED_VALUE"""),"#VALUE!")</f>
        <v>#VALUE!</v>
      </c>
      <c r="J347" s="51" t="str">
        <f>IFERROR(__xludf.DUMMYFUNCTION("""COMPUTED_VALUE"""),"")</f>
        <v/>
      </c>
      <c r="K347" s="51"/>
      <c r="L347" s="51" t="s">
        <v>257</v>
      </c>
      <c r="M347" s="51"/>
      <c r="N347" s="51"/>
      <c r="O347" s="51"/>
      <c r="P347" s="51"/>
      <c r="Q347" s="51"/>
      <c r="R347" s="51"/>
      <c r="S347" s="51"/>
      <c r="T347" s="51"/>
    </row>
    <row r="348">
      <c r="A348" s="51"/>
      <c r="B348" s="51"/>
      <c r="C348" s="56"/>
      <c r="D348" s="51"/>
      <c r="E348" s="51"/>
      <c r="F348" s="51"/>
      <c r="G348" s="51" t="str">
        <f>IFERROR(__xludf.DUMMYFUNCTION("""COMPUTED_VALUE"""),"#VALUE!")</f>
        <v>#VALUE!</v>
      </c>
      <c r="H348" s="51" t="str">
        <f>IFERROR(__xludf.DUMMYFUNCTION("""COMPUTED_VALUE"""),"")</f>
        <v/>
      </c>
      <c r="I348" s="51" t="str">
        <f>IFERROR(__xludf.DUMMYFUNCTION("""COMPUTED_VALUE"""),"#VALUE!")</f>
        <v>#VALUE!</v>
      </c>
      <c r="J348" s="51" t="str">
        <f>IFERROR(__xludf.DUMMYFUNCTION("""COMPUTED_VALUE"""),"")</f>
        <v/>
      </c>
      <c r="K348" s="51"/>
      <c r="L348" s="51" t="s">
        <v>257</v>
      </c>
      <c r="M348" s="51"/>
      <c r="N348" s="51"/>
      <c r="O348" s="51"/>
      <c r="P348" s="51"/>
      <c r="Q348" s="51"/>
      <c r="R348" s="51"/>
      <c r="S348" s="51"/>
      <c r="T348" s="51"/>
    </row>
    <row r="349">
      <c r="A349" s="51"/>
      <c r="B349" s="51"/>
      <c r="C349" s="56"/>
      <c r="D349" s="51"/>
      <c r="E349" s="51"/>
      <c r="F349" s="51"/>
      <c r="G349" s="51" t="str">
        <f>IFERROR(__xludf.DUMMYFUNCTION("""COMPUTED_VALUE"""),"#VALUE!")</f>
        <v>#VALUE!</v>
      </c>
      <c r="H349" s="51" t="str">
        <f>IFERROR(__xludf.DUMMYFUNCTION("""COMPUTED_VALUE"""),"")</f>
        <v/>
      </c>
      <c r="I349" s="51" t="str">
        <f>IFERROR(__xludf.DUMMYFUNCTION("""COMPUTED_VALUE"""),"#VALUE!")</f>
        <v>#VALUE!</v>
      </c>
      <c r="J349" s="51" t="str">
        <f>IFERROR(__xludf.DUMMYFUNCTION("""COMPUTED_VALUE"""),"")</f>
        <v/>
      </c>
      <c r="K349" s="51"/>
      <c r="L349" s="51" t="s">
        <v>257</v>
      </c>
      <c r="M349" s="51"/>
      <c r="N349" s="51"/>
      <c r="O349" s="51"/>
      <c r="P349" s="51"/>
      <c r="Q349" s="51"/>
      <c r="R349" s="51"/>
      <c r="S349" s="51"/>
      <c r="T349" s="51"/>
    </row>
    <row r="350">
      <c r="A350" s="51"/>
      <c r="B350" s="51"/>
      <c r="C350" s="56"/>
      <c r="D350" s="51"/>
      <c r="E350" s="51"/>
      <c r="F350" s="51"/>
      <c r="G350" s="51" t="str">
        <f>IFERROR(__xludf.DUMMYFUNCTION("""COMPUTED_VALUE"""),"#VALUE!")</f>
        <v>#VALUE!</v>
      </c>
      <c r="H350" s="51" t="str">
        <f>IFERROR(__xludf.DUMMYFUNCTION("""COMPUTED_VALUE"""),"")</f>
        <v/>
      </c>
      <c r="I350" s="51" t="str">
        <f>IFERROR(__xludf.DUMMYFUNCTION("""COMPUTED_VALUE"""),"#VALUE!")</f>
        <v>#VALUE!</v>
      </c>
      <c r="J350" s="51" t="str">
        <f>IFERROR(__xludf.DUMMYFUNCTION("""COMPUTED_VALUE"""),"")</f>
        <v/>
      </c>
      <c r="K350" s="51"/>
      <c r="L350" s="51" t="s">
        <v>257</v>
      </c>
      <c r="M350" s="51"/>
      <c r="N350" s="51"/>
      <c r="O350" s="51"/>
      <c r="P350" s="51"/>
      <c r="Q350" s="51"/>
      <c r="R350" s="51"/>
      <c r="S350" s="51"/>
      <c r="T350" s="51"/>
    </row>
    <row r="351">
      <c r="A351" s="51"/>
      <c r="B351" s="51"/>
      <c r="C351" s="56"/>
      <c r="D351" s="51"/>
      <c r="E351" s="51"/>
      <c r="F351" s="51"/>
      <c r="G351" s="51" t="str">
        <f>IFERROR(__xludf.DUMMYFUNCTION("""COMPUTED_VALUE"""),"#VALUE!")</f>
        <v>#VALUE!</v>
      </c>
      <c r="H351" s="51" t="str">
        <f>IFERROR(__xludf.DUMMYFUNCTION("""COMPUTED_VALUE"""),"")</f>
        <v/>
      </c>
      <c r="I351" s="51" t="str">
        <f>IFERROR(__xludf.DUMMYFUNCTION("""COMPUTED_VALUE"""),"#VALUE!")</f>
        <v>#VALUE!</v>
      </c>
      <c r="J351" s="51" t="str">
        <f>IFERROR(__xludf.DUMMYFUNCTION("""COMPUTED_VALUE"""),"")</f>
        <v/>
      </c>
      <c r="K351" s="51"/>
      <c r="L351" s="51" t="s">
        <v>257</v>
      </c>
      <c r="M351" s="51"/>
      <c r="N351" s="51"/>
      <c r="O351" s="51"/>
      <c r="P351" s="51"/>
      <c r="Q351" s="51"/>
      <c r="R351" s="51"/>
      <c r="S351" s="51"/>
      <c r="T351" s="51"/>
    </row>
    <row r="352">
      <c r="A352" s="51"/>
      <c r="B352" s="51"/>
      <c r="C352" s="56"/>
      <c r="D352" s="51"/>
      <c r="E352" s="51"/>
      <c r="F352" s="51"/>
      <c r="G352" s="51" t="str">
        <f>IFERROR(__xludf.DUMMYFUNCTION("""COMPUTED_VALUE"""),"#VALUE!")</f>
        <v>#VALUE!</v>
      </c>
      <c r="H352" s="51" t="str">
        <f>IFERROR(__xludf.DUMMYFUNCTION("""COMPUTED_VALUE"""),"")</f>
        <v/>
      </c>
      <c r="I352" s="51" t="str">
        <f>IFERROR(__xludf.DUMMYFUNCTION("""COMPUTED_VALUE"""),"#VALUE!")</f>
        <v>#VALUE!</v>
      </c>
      <c r="J352" s="51" t="str">
        <f>IFERROR(__xludf.DUMMYFUNCTION("""COMPUTED_VALUE"""),"")</f>
        <v/>
      </c>
      <c r="K352" s="51"/>
      <c r="L352" s="51" t="s">
        <v>257</v>
      </c>
      <c r="M352" s="51"/>
      <c r="N352" s="51"/>
      <c r="O352" s="51"/>
      <c r="P352" s="51"/>
      <c r="Q352" s="51"/>
      <c r="R352" s="51"/>
      <c r="S352" s="51"/>
      <c r="T352" s="51"/>
    </row>
    <row r="353">
      <c r="A353" s="51"/>
      <c r="B353" s="51"/>
      <c r="C353" s="56"/>
      <c r="D353" s="51"/>
      <c r="E353" s="51"/>
      <c r="F353" s="51"/>
      <c r="G353" s="51" t="str">
        <f>IFERROR(__xludf.DUMMYFUNCTION("""COMPUTED_VALUE"""),"#VALUE!")</f>
        <v>#VALUE!</v>
      </c>
      <c r="H353" s="51" t="str">
        <f>IFERROR(__xludf.DUMMYFUNCTION("""COMPUTED_VALUE"""),"")</f>
        <v/>
      </c>
      <c r="I353" s="51" t="str">
        <f>IFERROR(__xludf.DUMMYFUNCTION("""COMPUTED_VALUE"""),"#VALUE!")</f>
        <v>#VALUE!</v>
      </c>
      <c r="J353" s="51" t="str">
        <f>IFERROR(__xludf.DUMMYFUNCTION("""COMPUTED_VALUE"""),"")</f>
        <v/>
      </c>
      <c r="K353" s="51"/>
      <c r="L353" s="51" t="s">
        <v>257</v>
      </c>
      <c r="M353" s="51"/>
      <c r="N353" s="51"/>
      <c r="O353" s="51"/>
      <c r="P353" s="51"/>
      <c r="Q353" s="51"/>
      <c r="R353" s="51"/>
      <c r="S353" s="51"/>
      <c r="T353" s="51"/>
    </row>
    <row r="354">
      <c r="A354" s="51"/>
      <c r="B354" s="51"/>
      <c r="C354" s="56"/>
      <c r="D354" s="51"/>
      <c r="E354" s="51"/>
      <c r="F354" s="51"/>
      <c r="G354" s="51" t="str">
        <f>IFERROR(__xludf.DUMMYFUNCTION("""COMPUTED_VALUE"""),"#VALUE!")</f>
        <v>#VALUE!</v>
      </c>
      <c r="H354" s="51" t="str">
        <f>IFERROR(__xludf.DUMMYFUNCTION("""COMPUTED_VALUE"""),"")</f>
        <v/>
      </c>
      <c r="I354" s="51" t="str">
        <f>IFERROR(__xludf.DUMMYFUNCTION("""COMPUTED_VALUE"""),"#VALUE!")</f>
        <v>#VALUE!</v>
      </c>
      <c r="J354" s="51" t="str">
        <f>IFERROR(__xludf.DUMMYFUNCTION("""COMPUTED_VALUE"""),"")</f>
        <v/>
      </c>
      <c r="K354" s="51"/>
      <c r="L354" s="51" t="s">
        <v>257</v>
      </c>
      <c r="M354" s="51"/>
      <c r="N354" s="51"/>
      <c r="O354" s="51"/>
      <c r="P354" s="51"/>
      <c r="Q354" s="51"/>
      <c r="R354" s="51"/>
      <c r="S354" s="51"/>
      <c r="T354" s="51"/>
    </row>
    <row r="355">
      <c r="A355" s="51"/>
      <c r="B355" s="51"/>
      <c r="C355" s="56"/>
      <c r="D355" s="51"/>
      <c r="E355" s="51"/>
      <c r="F355" s="51"/>
      <c r="G355" s="51" t="str">
        <f>IFERROR(__xludf.DUMMYFUNCTION("""COMPUTED_VALUE"""),"#VALUE!")</f>
        <v>#VALUE!</v>
      </c>
      <c r="H355" s="51" t="str">
        <f>IFERROR(__xludf.DUMMYFUNCTION("""COMPUTED_VALUE"""),"")</f>
        <v/>
      </c>
      <c r="I355" s="51" t="str">
        <f>IFERROR(__xludf.DUMMYFUNCTION("""COMPUTED_VALUE"""),"#VALUE!")</f>
        <v>#VALUE!</v>
      </c>
      <c r="J355" s="51" t="str">
        <f>IFERROR(__xludf.DUMMYFUNCTION("""COMPUTED_VALUE"""),"")</f>
        <v/>
      </c>
      <c r="K355" s="51"/>
      <c r="L355" s="51" t="s">
        <v>257</v>
      </c>
      <c r="M355" s="51"/>
      <c r="N355" s="51"/>
      <c r="O355" s="51"/>
      <c r="P355" s="51"/>
      <c r="Q355" s="51"/>
      <c r="R355" s="51"/>
      <c r="S355" s="51"/>
      <c r="T355" s="51"/>
    </row>
    <row r="356">
      <c r="A356" s="51"/>
      <c r="B356" s="51"/>
      <c r="C356" s="56"/>
      <c r="D356" s="51"/>
      <c r="E356" s="51"/>
      <c r="F356" s="51"/>
      <c r="G356" s="51" t="str">
        <f>IFERROR(__xludf.DUMMYFUNCTION("""COMPUTED_VALUE"""),"#VALUE!")</f>
        <v>#VALUE!</v>
      </c>
      <c r="H356" s="51" t="str">
        <f>IFERROR(__xludf.DUMMYFUNCTION("""COMPUTED_VALUE"""),"")</f>
        <v/>
      </c>
      <c r="I356" s="51" t="str">
        <f>IFERROR(__xludf.DUMMYFUNCTION("""COMPUTED_VALUE"""),"#VALUE!")</f>
        <v>#VALUE!</v>
      </c>
      <c r="J356" s="51" t="str">
        <f>IFERROR(__xludf.DUMMYFUNCTION("""COMPUTED_VALUE"""),"")</f>
        <v/>
      </c>
      <c r="K356" s="51"/>
      <c r="L356" s="51" t="s">
        <v>257</v>
      </c>
      <c r="M356" s="51"/>
      <c r="N356" s="51"/>
      <c r="O356" s="51"/>
      <c r="P356" s="51"/>
      <c r="Q356" s="51"/>
      <c r="R356" s="51"/>
      <c r="S356" s="51"/>
      <c r="T356" s="51"/>
    </row>
    <row r="357">
      <c r="A357" s="51"/>
      <c r="B357" s="51"/>
      <c r="C357" s="56"/>
      <c r="D357" s="51"/>
      <c r="E357" s="51"/>
      <c r="F357" s="51"/>
      <c r="G357" s="51" t="str">
        <f>IFERROR(__xludf.DUMMYFUNCTION("""COMPUTED_VALUE"""),"#VALUE!")</f>
        <v>#VALUE!</v>
      </c>
      <c r="H357" s="51" t="str">
        <f>IFERROR(__xludf.DUMMYFUNCTION("""COMPUTED_VALUE"""),"")</f>
        <v/>
      </c>
      <c r="I357" s="51" t="str">
        <f>IFERROR(__xludf.DUMMYFUNCTION("""COMPUTED_VALUE"""),"#VALUE!")</f>
        <v>#VALUE!</v>
      </c>
      <c r="J357" s="51" t="str">
        <f>IFERROR(__xludf.DUMMYFUNCTION("""COMPUTED_VALUE"""),"")</f>
        <v/>
      </c>
      <c r="K357" s="51"/>
      <c r="L357" s="51" t="s">
        <v>257</v>
      </c>
      <c r="M357" s="51"/>
      <c r="N357" s="51"/>
      <c r="O357" s="51"/>
      <c r="P357" s="51"/>
      <c r="Q357" s="51"/>
      <c r="R357" s="51"/>
      <c r="S357" s="51"/>
      <c r="T357" s="51"/>
    </row>
    <row r="358">
      <c r="A358" s="51"/>
      <c r="B358" s="51"/>
      <c r="C358" s="56"/>
      <c r="D358" s="51"/>
      <c r="E358" s="51"/>
      <c r="F358" s="51"/>
      <c r="G358" s="51" t="str">
        <f>IFERROR(__xludf.DUMMYFUNCTION("""COMPUTED_VALUE"""),"#VALUE!")</f>
        <v>#VALUE!</v>
      </c>
      <c r="H358" s="51" t="str">
        <f>IFERROR(__xludf.DUMMYFUNCTION("""COMPUTED_VALUE"""),"")</f>
        <v/>
      </c>
      <c r="I358" s="51" t="str">
        <f>IFERROR(__xludf.DUMMYFUNCTION("""COMPUTED_VALUE"""),"#VALUE!")</f>
        <v>#VALUE!</v>
      </c>
      <c r="J358" s="51" t="str">
        <f>IFERROR(__xludf.DUMMYFUNCTION("""COMPUTED_VALUE"""),"")</f>
        <v/>
      </c>
      <c r="K358" s="51"/>
      <c r="L358" s="51" t="s">
        <v>257</v>
      </c>
      <c r="M358" s="51"/>
      <c r="N358" s="51"/>
      <c r="O358" s="51"/>
      <c r="P358" s="51"/>
      <c r="Q358" s="51"/>
      <c r="R358" s="51"/>
      <c r="S358" s="51"/>
      <c r="T358" s="51"/>
    </row>
    <row r="359">
      <c r="A359" s="51"/>
      <c r="B359" s="51"/>
      <c r="C359" s="56"/>
      <c r="D359" s="51"/>
      <c r="E359" s="51"/>
      <c r="F359" s="51"/>
      <c r="G359" s="51" t="str">
        <f>IFERROR(__xludf.DUMMYFUNCTION("""COMPUTED_VALUE"""),"#VALUE!")</f>
        <v>#VALUE!</v>
      </c>
      <c r="H359" s="51" t="str">
        <f>IFERROR(__xludf.DUMMYFUNCTION("""COMPUTED_VALUE"""),"")</f>
        <v/>
      </c>
      <c r="I359" s="51" t="str">
        <f>IFERROR(__xludf.DUMMYFUNCTION("""COMPUTED_VALUE"""),"#VALUE!")</f>
        <v>#VALUE!</v>
      </c>
      <c r="J359" s="51" t="str">
        <f>IFERROR(__xludf.DUMMYFUNCTION("""COMPUTED_VALUE"""),"")</f>
        <v/>
      </c>
      <c r="K359" s="51"/>
      <c r="L359" s="51" t="s">
        <v>257</v>
      </c>
      <c r="M359" s="51"/>
      <c r="N359" s="51"/>
      <c r="O359" s="51"/>
      <c r="P359" s="51"/>
      <c r="Q359" s="51"/>
      <c r="R359" s="51"/>
      <c r="S359" s="51"/>
      <c r="T359" s="51"/>
    </row>
    <row r="360">
      <c r="A360" s="51"/>
      <c r="B360" s="51"/>
      <c r="C360" s="56"/>
      <c r="D360" s="51"/>
      <c r="E360" s="51"/>
      <c r="F360" s="51"/>
      <c r="G360" s="51" t="str">
        <f>IFERROR(__xludf.DUMMYFUNCTION("""COMPUTED_VALUE"""),"#VALUE!")</f>
        <v>#VALUE!</v>
      </c>
      <c r="H360" s="51" t="str">
        <f>IFERROR(__xludf.DUMMYFUNCTION("""COMPUTED_VALUE"""),"")</f>
        <v/>
      </c>
      <c r="I360" s="51" t="str">
        <f>IFERROR(__xludf.DUMMYFUNCTION("""COMPUTED_VALUE"""),"#VALUE!")</f>
        <v>#VALUE!</v>
      </c>
      <c r="J360" s="51" t="str">
        <f>IFERROR(__xludf.DUMMYFUNCTION("""COMPUTED_VALUE"""),"")</f>
        <v/>
      </c>
      <c r="K360" s="51"/>
      <c r="L360" s="51" t="s">
        <v>257</v>
      </c>
      <c r="M360" s="51"/>
      <c r="N360" s="51"/>
      <c r="O360" s="51"/>
      <c r="P360" s="51"/>
      <c r="Q360" s="51"/>
      <c r="R360" s="51"/>
      <c r="S360" s="51"/>
      <c r="T360" s="51"/>
    </row>
    <row r="361">
      <c r="A361" s="51"/>
      <c r="B361" s="51"/>
      <c r="C361" s="56"/>
      <c r="D361" s="51"/>
      <c r="E361" s="51"/>
      <c r="F361" s="51"/>
      <c r="G361" s="51" t="str">
        <f>IFERROR(__xludf.DUMMYFUNCTION("""COMPUTED_VALUE"""),"#VALUE!")</f>
        <v>#VALUE!</v>
      </c>
      <c r="H361" s="51" t="str">
        <f>IFERROR(__xludf.DUMMYFUNCTION("""COMPUTED_VALUE"""),"")</f>
        <v/>
      </c>
      <c r="I361" s="51" t="str">
        <f>IFERROR(__xludf.DUMMYFUNCTION("""COMPUTED_VALUE"""),"#VALUE!")</f>
        <v>#VALUE!</v>
      </c>
      <c r="J361" s="51" t="str">
        <f>IFERROR(__xludf.DUMMYFUNCTION("""COMPUTED_VALUE"""),"")</f>
        <v/>
      </c>
      <c r="K361" s="51"/>
      <c r="L361" s="51" t="s">
        <v>257</v>
      </c>
      <c r="M361" s="51"/>
      <c r="N361" s="51"/>
      <c r="O361" s="51"/>
      <c r="P361" s="51"/>
      <c r="Q361" s="51"/>
      <c r="R361" s="51"/>
      <c r="S361" s="51"/>
      <c r="T361" s="51"/>
    </row>
    <row r="362">
      <c r="A362" s="51"/>
      <c r="B362" s="51"/>
      <c r="C362" s="56"/>
      <c r="D362" s="51"/>
      <c r="E362" s="51"/>
      <c r="F362" s="51"/>
      <c r="G362" s="51" t="str">
        <f>IFERROR(__xludf.DUMMYFUNCTION("""COMPUTED_VALUE"""),"#VALUE!")</f>
        <v>#VALUE!</v>
      </c>
      <c r="H362" s="51" t="str">
        <f>IFERROR(__xludf.DUMMYFUNCTION("""COMPUTED_VALUE"""),"")</f>
        <v/>
      </c>
      <c r="I362" s="51" t="str">
        <f>IFERROR(__xludf.DUMMYFUNCTION("""COMPUTED_VALUE"""),"#VALUE!")</f>
        <v>#VALUE!</v>
      </c>
      <c r="J362" s="51" t="str">
        <f>IFERROR(__xludf.DUMMYFUNCTION("""COMPUTED_VALUE"""),"")</f>
        <v/>
      </c>
      <c r="K362" s="51"/>
      <c r="L362" s="51" t="s">
        <v>257</v>
      </c>
      <c r="M362" s="51"/>
      <c r="N362" s="51"/>
      <c r="O362" s="51"/>
      <c r="P362" s="51"/>
      <c r="Q362" s="51"/>
      <c r="R362" s="51"/>
      <c r="S362" s="51"/>
      <c r="T362" s="51"/>
    </row>
    <row r="363">
      <c r="A363" s="51"/>
      <c r="B363" s="51"/>
      <c r="C363" s="56"/>
      <c r="D363" s="51"/>
      <c r="E363" s="51"/>
      <c r="F363" s="51"/>
      <c r="G363" s="51" t="str">
        <f>IFERROR(__xludf.DUMMYFUNCTION("""COMPUTED_VALUE"""),"#VALUE!")</f>
        <v>#VALUE!</v>
      </c>
      <c r="H363" s="51" t="str">
        <f>IFERROR(__xludf.DUMMYFUNCTION("""COMPUTED_VALUE"""),"")</f>
        <v/>
      </c>
      <c r="I363" s="51" t="str">
        <f>IFERROR(__xludf.DUMMYFUNCTION("""COMPUTED_VALUE"""),"#VALUE!")</f>
        <v>#VALUE!</v>
      </c>
      <c r="J363" s="51" t="str">
        <f>IFERROR(__xludf.DUMMYFUNCTION("""COMPUTED_VALUE"""),"")</f>
        <v/>
      </c>
      <c r="K363" s="51"/>
      <c r="L363" s="51" t="s">
        <v>257</v>
      </c>
      <c r="M363" s="51"/>
      <c r="N363" s="51"/>
      <c r="O363" s="51"/>
      <c r="P363" s="51"/>
      <c r="Q363" s="51"/>
      <c r="R363" s="51"/>
      <c r="S363" s="51"/>
      <c r="T363" s="51"/>
    </row>
    <row r="364">
      <c r="A364" s="51"/>
      <c r="B364" s="51"/>
      <c r="C364" s="56"/>
      <c r="D364" s="51"/>
      <c r="E364" s="51"/>
      <c r="F364" s="51"/>
      <c r="G364" s="51" t="str">
        <f>IFERROR(__xludf.DUMMYFUNCTION("""COMPUTED_VALUE"""),"#VALUE!")</f>
        <v>#VALUE!</v>
      </c>
      <c r="H364" s="51" t="str">
        <f>IFERROR(__xludf.DUMMYFUNCTION("""COMPUTED_VALUE"""),"")</f>
        <v/>
      </c>
      <c r="I364" s="51" t="str">
        <f>IFERROR(__xludf.DUMMYFUNCTION("""COMPUTED_VALUE"""),"#VALUE!")</f>
        <v>#VALUE!</v>
      </c>
      <c r="J364" s="51" t="str">
        <f>IFERROR(__xludf.DUMMYFUNCTION("""COMPUTED_VALUE"""),"")</f>
        <v/>
      </c>
      <c r="K364" s="51"/>
      <c r="L364" s="51" t="s">
        <v>257</v>
      </c>
      <c r="M364" s="51"/>
      <c r="N364" s="51"/>
      <c r="O364" s="51"/>
      <c r="P364" s="51"/>
      <c r="Q364" s="51"/>
      <c r="R364" s="51"/>
      <c r="S364" s="51"/>
      <c r="T364" s="51"/>
    </row>
    <row r="365">
      <c r="A365" s="51"/>
      <c r="B365" s="51"/>
      <c r="C365" s="56"/>
      <c r="D365" s="51"/>
      <c r="E365" s="51"/>
      <c r="F365" s="51"/>
      <c r="G365" s="51" t="str">
        <f>IFERROR(__xludf.DUMMYFUNCTION("""COMPUTED_VALUE"""),"#VALUE!")</f>
        <v>#VALUE!</v>
      </c>
      <c r="H365" s="51" t="str">
        <f>IFERROR(__xludf.DUMMYFUNCTION("""COMPUTED_VALUE"""),"")</f>
        <v/>
      </c>
      <c r="I365" s="51" t="str">
        <f>IFERROR(__xludf.DUMMYFUNCTION("""COMPUTED_VALUE"""),"#VALUE!")</f>
        <v>#VALUE!</v>
      </c>
      <c r="J365" s="51" t="str">
        <f>IFERROR(__xludf.DUMMYFUNCTION("""COMPUTED_VALUE"""),"")</f>
        <v/>
      </c>
      <c r="K365" s="51"/>
      <c r="L365" s="51" t="s">
        <v>257</v>
      </c>
      <c r="M365" s="51"/>
      <c r="N365" s="51"/>
      <c r="O365" s="51"/>
      <c r="P365" s="51"/>
      <c r="Q365" s="51"/>
      <c r="R365" s="51"/>
      <c r="S365" s="51"/>
      <c r="T365" s="51"/>
    </row>
    <row r="366">
      <c r="A366" s="51"/>
      <c r="B366" s="51"/>
      <c r="C366" s="56"/>
      <c r="D366" s="51"/>
      <c r="E366" s="51"/>
      <c r="F366" s="51"/>
      <c r="G366" s="51" t="str">
        <f>IFERROR(__xludf.DUMMYFUNCTION("""COMPUTED_VALUE"""),"#VALUE!")</f>
        <v>#VALUE!</v>
      </c>
      <c r="H366" s="51" t="str">
        <f>IFERROR(__xludf.DUMMYFUNCTION("""COMPUTED_VALUE"""),"")</f>
        <v/>
      </c>
      <c r="I366" s="51" t="str">
        <f>IFERROR(__xludf.DUMMYFUNCTION("""COMPUTED_VALUE"""),"#VALUE!")</f>
        <v>#VALUE!</v>
      </c>
      <c r="J366" s="51" t="str">
        <f>IFERROR(__xludf.DUMMYFUNCTION("""COMPUTED_VALUE"""),"")</f>
        <v/>
      </c>
      <c r="K366" s="51"/>
      <c r="L366" s="51" t="s">
        <v>257</v>
      </c>
      <c r="M366" s="51"/>
      <c r="N366" s="51"/>
      <c r="O366" s="51"/>
      <c r="P366" s="51"/>
      <c r="Q366" s="51"/>
      <c r="R366" s="51"/>
      <c r="S366" s="51"/>
      <c r="T366" s="51"/>
    </row>
    <row r="367">
      <c r="A367" s="51"/>
      <c r="B367" s="51"/>
      <c r="C367" s="56"/>
      <c r="D367" s="51"/>
      <c r="E367" s="51"/>
      <c r="F367" s="51"/>
      <c r="G367" s="51" t="str">
        <f>IFERROR(__xludf.DUMMYFUNCTION("""COMPUTED_VALUE"""),"#VALUE!")</f>
        <v>#VALUE!</v>
      </c>
      <c r="H367" s="51" t="str">
        <f>IFERROR(__xludf.DUMMYFUNCTION("""COMPUTED_VALUE"""),"")</f>
        <v/>
      </c>
      <c r="I367" s="51" t="str">
        <f>IFERROR(__xludf.DUMMYFUNCTION("""COMPUTED_VALUE"""),"#VALUE!")</f>
        <v>#VALUE!</v>
      </c>
      <c r="J367" s="51" t="str">
        <f>IFERROR(__xludf.DUMMYFUNCTION("""COMPUTED_VALUE"""),"")</f>
        <v/>
      </c>
      <c r="K367" s="51"/>
      <c r="L367" s="51" t="s">
        <v>257</v>
      </c>
      <c r="M367" s="51"/>
      <c r="N367" s="51"/>
      <c r="O367" s="51"/>
      <c r="P367" s="51"/>
      <c r="Q367" s="51"/>
      <c r="R367" s="51"/>
      <c r="S367" s="51"/>
      <c r="T367" s="51"/>
    </row>
    <row r="368">
      <c r="A368" s="51"/>
      <c r="B368" s="51"/>
      <c r="C368" s="56"/>
      <c r="D368" s="51"/>
      <c r="E368" s="51"/>
      <c r="F368" s="51"/>
      <c r="G368" s="51" t="str">
        <f>IFERROR(__xludf.DUMMYFUNCTION("""COMPUTED_VALUE"""),"#VALUE!")</f>
        <v>#VALUE!</v>
      </c>
      <c r="H368" s="51" t="str">
        <f>IFERROR(__xludf.DUMMYFUNCTION("""COMPUTED_VALUE"""),"")</f>
        <v/>
      </c>
      <c r="I368" s="51" t="str">
        <f>IFERROR(__xludf.DUMMYFUNCTION("""COMPUTED_VALUE"""),"#VALUE!")</f>
        <v>#VALUE!</v>
      </c>
      <c r="J368" s="51" t="str">
        <f>IFERROR(__xludf.DUMMYFUNCTION("""COMPUTED_VALUE"""),"")</f>
        <v/>
      </c>
      <c r="K368" s="51"/>
      <c r="L368" s="51" t="s">
        <v>257</v>
      </c>
      <c r="M368" s="51"/>
      <c r="N368" s="51"/>
      <c r="O368" s="51"/>
      <c r="P368" s="51"/>
      <c r="Q368" s="51"/>
      <c r="R368" s="51"/>
      <c r="S368" s="51"/>
      <c r="T368" s="51"/>
    </row>
    <row r="369">
      <c r="A369" s="51"/>
      <c r="B369" s="51"/>
      <c r="C369" s="56"/>
      <c r="D369" s="51"/>
      <c r="E369" s="51"/>
      <c r="F369" s="51"/>
      <c r="G369" s="51" t="str">
        <f>IFERROR(__xludf.DUMMYFUNCTION("""COMPUTED_VALUE"""),"#VALUE!")</f>
        <v>#VALUE!</v>
      </c>
      <c r="H369" s="51" t="str">
        <f>IFERROR(__xludf.DUMMYFUNCTION("""COMPUTED_VALUE"""),"")</f>
        <v/>
      </c>
      <c r="I369" s="51" t="str">
        <f>IFERROR(__xludf.DUMMYFUNCTION("""COMPUTED_VALUE"""),"#VALUE!")</f>
        <v>#VALUE!</v>
      </c>
      <c r="J369" s="51" t="str">
        <f>IFERROR(__xludf.DUMMYFUNCTION("""COMPUTED_VALUE"""),"")</f>
        <v/>
      </c>
      <c r="K369" s="51"/>
      <c r="L369" s="51" t="s">
        <v>257</v>
      </c>
      <c r="M369" s="51"/>
      <c r="N369" s="51"/>
      <c r="O369" s="51"/>
      <c r="P369" s="51"/>
      <c r="Q369" s="51"/>
      <c r="R369" s="51"/>
      <c r="S369" s="51"/>
      <c r="T369" s="51"/>
    </row>
    <row r="370">
      <c r="A370" s="51"/>
      <c r="B370" s="51"/>
      <c r="C370" s="56"/>
      <c r="D370" s="51"/>
      <c r="E370" s="51"/>
      <c r="F370" s="51"/>
      <c r="G370" s="51" t="str">
        <f>IFERROR(__xludf.DUMMYFUNCTION("""COMPUTED_VALUE"""),"#VALUE!")</f>
        <v>#VALUE!</v>
      </c>
      <c r="H370" s="51" t="str">
        <f>IFERROR(__xludf.DUMMYFUNCTION("""COMPUTED_VALUE"""),"")</f>
        <v/>
      </c>
      <c r="I370" s="51" t="str">
        <f>IFERROR(__xludf.DUMMYFUNCTION("""COMPUTED_VALUE"""),"#VALUE!")</f>
        <v>#VALUE!</v>
      </c>
      <c r="J370" s="51" t="str">
        <f>IFERROR(__xludf.DUMMYFUNCTION("""COMPUTED_VALUE"""),"")</f>
        <v/>
      </c>
      <c r="K370" s="51"/>
      <c r="L370" s="51" t="s">
        <v>257</v>
      </c>
      <c r="M370" s="51"/>
      <c r="N370" s="51"/>
      <c r="O370" s="51"/>
      <c r="P370" s="51"/>
      <c r="Q370" s="51"/>
      <c r="R370" s="51"/>
      <c r="S370" s="51"/>
      <c r="T370" s="51"/>
    </row>
    <row r="371">
      <c r="A371" s="51"/>
      <c r="B371" s="51"/>
      <c r="C371" s="56"/>
      <c r="D371" s="51"/>
      <c r="E371" s="51"/>
      <c r="F371" s="51"/>
      <c r="G371" s="51" t="str">
        <f>IFERROR(__xludf.DUMMYFUNCTION("""COMPUTED_VALUE"""),"#VALUE!")</f>
        <v>#VALUE!</v>
      </c>
      <c r="H371" s="51" t="str">
        <f>IFERROR(__xludf.DUMMYFUNCTION("""COMPUTED_VALUE"""),"")</f>
        <v/>
      </c>
      <c r="I371" s="51" t="str">
        <f>IFERROR(__xludf.DUMMYFUNCTION("""COMPUTED_VALUE"""),"#VALUE!")</f>
        <v>#VALUE!</v>
      </c>
      <c r="J371" s="51" t="str">
        <f>IFERROR(__xludf.DUMMYFUNCTION("""COMPUTED_VALUE"""),"")</f>
        <v/>
      </c>
      <c r="K371" s="51"/>
      <c r="L371" s="51" t="s">
        <v>257</v>
      </c>
      <c r="M371" s="51"/>
      <c r="N371" s="51"/>
      <c r="O371" s="51"/>
      <c r="P371" s="51"/>
      <c r="Q371" s="51"/>
      <c r="R371" s="51"/>
      <c r="S371" s="51"/>
      <c r="T371" s="51"/>
    </row>
    <row r="372">
      <c r="A372" s="51"/>
      <c r="B372" s="51"/>
      <c r="C372" s="56"/>
      <c r="D372" s="51"/>
      <c r="E372" s="51"/>
      <c r="F372" s="51"/>
      <c r="G372" s="51" t="str">
        <f>IFERROR(__xludf.DUMMYFUNCTION("""COMPUTED_VALUE"""),"#VALUE!")</f>
        <v>#VALUE!</v>
      </c>
      <c r="H372" s="51" t="str">
        <f>IFERROR(__xludf.DUMMYFUNCTION("""COMPUTED_VALUE"""),"")</f>
        <v/>
      </c>
      <c r="I372" s="51" t="str">
        <f>IFERROR(__xludf.DUMMYFUNCTION("""COMPUTED_VALUE"""),"#VALUE!")</f>
        <v>#VALUE!</v>
      </c>
      <c r="J372" s="51" t="str">
        <f>IFERROR(__xludf.DUMMYFUNCTION("""COMPUTED_VALUE"""),"")</f>
        <v/>
      </c>
      <c r="K372" s="51"/>
      <c r="L372" s="51" t="s">
        <v>257</v>
      </c>
      <c r="M372" s="51"/>
      <c r="N372" s="51"/>
      <c r="O372" s="51"/>
      <c r="P372" s="51"/>
      <c r="Q372" s="51"/>
      <c r="R372" s="51"/>
      <c r="S372" s="51"/>
      <c r="T372" s="51"/>
    </row>
    <row r="373">
      <c r="A373" s="51"/>
      <c r="B373" s="51"/>
      <c r="C373" s="56"/>
      <c r="D373" s="51"/>
      <c r="E373" s="51"/>
      <c r="F373" s="51"/>
      <c r="G373" s="51" t="str">
        <f>IFERROR(__xludf.DUMMYFUNCTION("""COMPUTED_VALUE"""),"#VALUE!")</f>
        <v>#VALUE!</v>
      </c>
      <c r="H373" s="51" t="str">
        <f>IFERROR(__xludf.DUMMYFUNCTION("""COMPUTED_VALUE"""),"")</f>
        <v/>
      </c>
      <c r="I373" s="51" t="str">
        <f>IFERROR(__xludf.DUMMYFUNCTION("""COMPUTED_VALUE"""),"#VALUE!")</f>
        <v>#VALUE!</v>
      </c>
      <c r="J373" s="51" t="str">
        <f>IFERROR(__xludf.DUMMYFUNCTION("""COMPUTED_VALUE"""),"")</f>
        <v/>
      </c>
      <c r="K373" s="51"/>
      <c r="L373" s="51" t="s">
        <v>257</v>
      </c>
      <c r="M373" s="51"/>
      <c r="N373" s="51"/>
      <c r="O373" s="51"/>
      <c r="P373" s="51"/>
      <c r="Q373" s="51"/>
      <c r="R373" s="51"/>
      <c r="S373" s="51"/>
      <c r="T373" s="51"/>
    </row>
    <row r="374">
      <c r="A374" s="51"/>
      <c r="B374" s="51"/>
      <c r="C374" s="56"/>
      <c r="D374" s="51"/>
      <c r="E374" s="51"/>
      <c r="F374" s="51"/>
      <c r="G374" s="51" t="str">
        <f>IFERROR(__xludf.DUMMYFUNCTION("""COMPUTED_VALUE"""),"#VALUE!")</f>
        <v>#VALUE!</v>
      </c>
      <c r="H374" s="51" t="str">
        <f>IFERROR(__xludf.DUMMYFUNCTION("""COMPUTED_VALUE"""),"")</f>
        <v/>
      </c>
      <c r="I374" s="51" t="str">
        <f>IFERROR(__xludf.DUMMYFUNCTION("""COMPUTED_VALUE"""),"#VALUE!")</f>
        <v>#VALUE!</v>
      </c>
      <c r="J374" s="51" t="str">
        <f>IFERROR(__xludf.DUMMYFUNCTION("""COMPUTED_VALUE"""),"")</f>
        <v/>
      </c>
      <c r="K374" s="51"/>
      <c r="L374" s="51" t="s">
        <v>257</v>
      </c>
      <c r="M374" s="51"/>
      <c r="N374" s="51"/>
      <c r="O374" s="51"/>
      <c r="P374" s="51"/>
      <c r="Q374" s="51"/>
      <c r="R374" s="51"/>
      <c r="S374" s="51"/>
      <c r="T374" s="51"/>
    </row>
    <row r="375">
      <c r="A375" s="51"/>
      <c r="B375" s="51"/>
      <c r="C375" s="56"/>
      <c r="D375" s="51"/>
      <c r="E375" s="51"/>
      <c r="F375" s="51"/>
      <c r="G375" s="51" t="str">
        <f>IFERROR(__xludf.DUMMYFUNCTION("""COMPUTED_VALUE"""),"#VALUE!")</f>
        <v>#VALUE!</v>
      </c>
      <c r="H375" s="51" t="str">
        <f>IFERROR(__xludf.DUMMYFUNCTION("""COMPUTED_VALUE"""),"")</f>
        <v/>
      </c>
      <c r="I375" s="51" t="str">
        <f>IFERROR(__xludf.DUMMYFUNCTION("""COMPUTED_VALUE"""),"#VALUE!")</f>
        <v>#VALUE!</v>
      </c>
      <c r="J375" s="51" t="str">
        <f>IFERROR(__xludf.DUMMYFUNCTION("""COMPUTED_VALUE"""),"")</f>
        <v/>
      </c>
      <c r="K375" s="51"/>
      <c r="L375" s="51" t="s">
        <v>257</v>
      </c>
      <c r="M375" s="51"/>
      <c r="N375" s="51"/>
      <c r="O375" s="51"/>
      <c r="P375" s="51"/>
      <c r="Q375" s="51"/>
      <c r="R375" s="51"/>
      <c r="S375" s="51"/>
      <c r="T375" s="51"/>
    </row>
    <row r="376">
      <c r="A376" s="51"/>
      <c r="B376" s="51"/>
      <c r="C376" s="56"/>
      <c r="D376" s="51"/>
      <c r="E376" s="51"/>
      <c r="F376" s="51"/>
      <c r="G376" s="51" t="str">
        <f>IFERROR(__xludf.DUMMYFUNCTION("""COMPUTED_VALUE"""),"#VALUE!")</f>
        <v>#VALUE!</v>
      </c>
      <c r="H376" s="51" t="str">
        <f>IFERROR(__xludf.DUMMYFUNCTION("""COMPUTED_VALUE"""),"")</f>
        <v/>
      </c>
      <c r="I376" s="51" t="str">
        <f>IFERROR(__xludf.DUMMYFUNCTION("""COMPUTED_VALUE"""),"#VALUE!")</f>
        <v>#VALUE!</v>
      </c>
      <c r="J376" s="51" t="str">
        <f>IFERROR(__xludf.DUMMYFUNCTION("""COMPUTED_VALUE"""),"")</f>
        <v/>
      </c>
      <c r="K376" s="51"/>
      <c r="L376" s="51" t="s">
        <v>257</v>
      </c>
      <c r="M376" s="51"/>
      <c r="N376" s="51"/>
      <c r="O376" s="51"/>
      <c r="P376" s="51"/>
      <c r="Q376" s="51"/>
      <c r="R376" s="51"/>
      <c r="S376" s="51"/>
      <c r="T376" s="51"/>
    </row>
    <row r="377">
      <c r="A377" s="51"/>
      <c r="B377" s="51"/>
      <c r="C377" s="56"/>
      <c r="D377" s="51"/>
      <c r="E377" s="51"/>
      <c r="F377" s="51"/>
      <c r="G377" s="51" t="str">
        <f>IFERROR(__xludf.DUMMYFUNCTION("""COMPUTED_VALUE"""),"#VALUE!")</f>
        <v>#VALUE!</v>
      </c>
      <c r="H377" s="51" t="str">
        <f>IFERROR(__xludf.DUMMYFUNCTION("""COMPUTED_VALUE"""),"")</f>
        <v/>
      </c>
      <c r="I377" s="51" t="str">
        <f>IFERROR(__xludf.DUMMYFUNCTION("""COMPUTED_VALUE"""),"#VALUE!")</f>
        <v>#VALUE!</v>
      </c>
      <c r="J377" s="51" t="str">
        <f>IFERROR(__xludf.DUMMYFUNCTION("""COMPUTED_VALUE"""),"")</f>
        <v/>
      </c>
      <c r="K377" s="51"/>
      <c r="L377" s="51" t="s">
        <v>257</v>
      </c>
      <c r="M377" s="51"/>
      <c r="N377" s="51"/>
      <c r="O377" s="51"/>
      <c r="P377" s="51"/>
      <c r="Q377" s="51"/>
      <c r="R377" s="51"/>
      <c r="S377" s="51"/>
      <c r="T377" s="51"/>
    </row>
    <row r="378">
      <c r="A378" s="51"/>
      <c r="B378" s="51"/>
      <c r="C378" s="56"/>
      <c r="D378" s="51"/>
      <c r="E378" s="51"/>
      <c r="F378" s="51"/>
      <c r="G378" s="51" t="str">
        <f>IFERROR(__xludf.DUMMYFUNCTION("""COMPUTED_VALUE"""),"#VALUE!")</f>
        <v>#VALUE!</v>
      </c>
      <c r="H378" s="51" t="str">
        <f>IFERROR(__xludf.DUMMYFUNCTION("""COMPUTED_VALUE"""),"")</f>
        <v/>
      </c>
      <c r="I378" s="51" t="str">
        <f>IFERROR(__xludf.DUMMYFUNCTION("""COMPUTED_VALUE"""),"#VALUE!")</f>
        <v>#VALUE!</v>
      </c>
      <c r="J378" s="51" t="str">
        <f>IFERROR(__xludf.DUMMYFUNCTION("""COMPUTED_VALUE"""),"")</f>
        <v/>
      </c>
      <c r="K378" s="51"/>
      <c r="L378" s="51" t="s">
        <v>257</v>
      </c>
      <c r="M378" s="51"/>
      <c r="N378" s="51"/>
      <c r="O378" s="51"/>
      <c r="P378" s="51"/>
      <c r="Q378" s="51"/>
      <c r="R378" s="51"/>
      <c r="S378" s="51"/>
      <c r="T378" s="51"/>
    </row>
    <row r="379">
      <c r="A379" s="51"/>
      <c r="B379" s="51"/>
      <c r="C379" s="56"/>
      <c r="D379" s="51"/>
      <c r="E379" s="51"/>
      <c r="F379" s="51"/>
      <c r="G379" s="51" t="str">
        <f>IFERROR(__xludf.DUMMYFUNCTION("""COMPUTED_VALUE"""),"#VALUE!")</f>
        <v>#VALUE!</v>
      </c>
      <c r="H379" s="51" t="str">
        <f>IFERROR(__xludf.DUMMYFUNCTION("""COMPUTED_VALUE"""),"")</f>
        <v/>
      </c>
      <c r="I379" s="51" t="str">
        <f>IFERROR(__xludf.DUMMYFUNCTION("""COMPUTED_VALUE"""),"#VALUE!")</f>
        <v>#VALUE!</v>
      </c>
      <c r="J379" s="51" t="str">
        <f>IFERROR(__xludf.DUMMYFUNCTION("""COMPUTED_VALUE"""),"")</f>
        <v/>
      </c>
      <c r="K379" s="51"/>
      <c r="L379" s="51" t="s">
        <v>257</v>
      </c>
      <c r="M379" s="51"/>
      <c r="N379" s="51"/>
      <c r="O379" s="51"/>
      <c r="P379" s="51"/>
      <c r="Q379" s="51"/>
      <c r="R379" s="51"/>
      <c r="S379" s="51"/>
      <c r="T379" s="51"/>
    </row>
    <row r="380">
      <c r="A380" s="51"/>
      <c r="B380" s="51"/>
      <c r="C380" s="56"/>
      <c r="D380" s="51"/>
      <c r="E380" s="51"/>
      <c r="F380" s="51"/>
      <c r="G380" s="51" t="str">
        <f>IFERROR(__xludf.DUMMYFUNCTION("""COMPUTED_VALUE"""),"#VALUE!")</f>
        <v>#VALUE!</v>
      </c>
      <c r="H380" s="51" t="str">
        <f>IFERROR(__xludf.DUMMYFUNCTION("""COMPUTED_VALUE"""),"")</f>
        <v/>
      </c>
      <c r="I380" s="51" t="str">
        <f>IFERROR(__xludf.DUMMYFUNCTION("""COMPUTED_VALUE"""),"#VALUE!")</f>
        <v>#VALUE!</v>
      </c>
      <c r="J380" s="51" t="str">
        <f>IFERROR(__xludf.DUMMYFUNCTION("""COMPUTED_VALUE"""),"")</f>
        <v/>
      </c>
      <c r="K380" s="51"/>
      <c r="L380" s="51" t="s">
        <v>257</v>
      </c>
      <c r="M380" s="51"/>
      <c r="N380" s="51"/>
      <c r="O380" s="51"/>
      <c r="P380" s="51"/>
      <c r="Q380" s="51"/>
      <c r="R380" s="51"/>
      <c r="S380" s="51"/>
      <c r="T380" s="51"/>
    </row>
    <row r="381">
      <c r="A381" s="51"/>
      <c r="B381" s="51"/>
      <c r="C381" s="56"/>
      <c r="D381" s="51"/>
      <c r="E381" s="51"/>
      <c r="F381" s="51"/>
      <c r="G381" s="51" t="str">
        <f>IFERROR(__xludf.DUMMYFUNCTION("""COMPUTED_VALUE"""),"#VALUE!")</f>
        <v>#VALUE!</v>
      </c>
      <c r="H381" s="51" t="str">
        <f>IFERROR(__xludf.DUMMYFUNCTION("""COMPUTED_VALUE"""),"")</f>
        <v/>
      </c>
      <c r="I381" s="51" t="str">
        <f>IFERROR(__xludf.DUMMYFUNCTION("""COMPUTED_VALUE"""),"#VALUE!")</f>
        <v>#VALUE!</v>
      </c>
      <c r="J381" s="51" t="str">
        <f>IFERROR(__xludf.DUMMYFUNCTION("""COMPUTED_VALUE"""),"")</f>
        <v/>
      </c>
      <c r="K381" s="51"/>
      <c r="L381" s="51" t="s">
        <v>257</v>
      </c>
      <c r="M381" s="51"/>
      <c r="N381" s="51"/>
      <c r="O381" s="51"/>
      <c r="P381" s="51"/>
      <c r="Q381" s="51"/>
      <c r="R381" s="51"/>
      <c r="S381" s="51"/>
      <c r="T381" s="51"/>
    </row>
    <row r="382">
      <c r="A382" s="51"/>
      <c r="B382" s="51"/>
      <c r="C382" s="56"/>
      <c r="D382" s="51"/>
      <c r="E382" s="51"/>
      <c r="F382" s="51"/>
      <c r="G382" s="51" t="str">
        <f>IFERROR(__xludf.DUMMYFUNCTION("""COMPUTED_VALUE"""),"#VALUE!")</f>
        <v>#VALUE!</v>
      </c>
      <c r="H382" s="51" t="str">
        <f>IFERROR(__xludf.DUMMYFUNCTION("""COMPUTED_VALUE"""),"")</f>
        <v/>
      </c>
      <c r="I382" s="51" t="str">
        <f>IFERROR(__xludf.DUMMYFUNCTION("""COMPUTED_VALUE"""),"#VALUE!")</f>
        <v>#VALUE!</v>
      </c>
      <c r="J382" s="51" t="str">
        <f>IFERROR(__xludf.DUMMYFUNCTION("""COMPUTED_VALUE"""),"")</f>
        <v/>
      </c>
      <c r="K382" s="51"/>
      <c r="L382" s="51" t="s">
        <v>257</v>
      </c>
      <c r="M382" s="51"/>
      <c r="N382" s="51"/>
      <c r="O382" s="51"/>
      <c r="P382" s="51"/>
      <c r="Q382" s="51"/>
      <c r="R382" s="51"/>
      <c r="S382" s="51"/>
      <c r="T382" s="51"/>
    </row>
    <row r="383">
      <c r="A383" s="51"/>
      <c r="B383" s="51"/>
      <c r="C383" s="56"/>
      <c r="D383" s="51"/>
      <c r="E383" s="51"/>
      <c r="F383" s="51"/>
      <c r="G383" s="51" t="str">
        <f>IFERROR(__xludf.DUMMYFUNCTION("""COMPUTED_VALUE"""),"#VALUE!")</f>
        <v>#VALUE!</v>
      </c>
      <c r="H383" s="51" t="str">
        <f>IFERROR(__xludf.DUMMYFUNCTION("""COMPUTED_VALUE"""),"")</f>
        <v/>
      </c>
      <c r="I383" s="51" t="str">
        <f>IFERROR(__xludf.DUMMYFUNCTION("""COMPUTED_VALUE"""),"#VALUE!")</f>
        <v>#VALUE!</v>
      </c>
      <c r="J383" s="51" t="str">
        <f>IFERROR(__xludf.DUMMYFUNCTION("""COMPUTED_VALUE"""),"")</f>
        <v/>
      </c>
      <c r="K383" s="51"/>
      <c r="L383" s="51" t="s">
        <v>257</v>
      </c>
      <c r="M383" s="51"/>
      <c r="N383" s="51"/>
      <c r="O383" s="51"/>
      <c r="P383" s="51"/>
      <c r="Q383" s="51"/>
      <c r="R383" s="51"/>
      <c r="S383" s="51"/>
      <c r="T383" s="51"/>
    </row>
    <row r="384">
      <c r="A384" s="51"/>
      <c r="B384" s="51"/>
      <c r="C384" s="56"/>
      <c r="D384" s="51"/>
      <c r="E384" s="51"/>
      <c r="F384" s="51"/>
      <c r="G384" s="51" t="str">
        <f>IFERROR(__xludf.DUMMYFUNCTION("""COMPUTED_VALUE"""),"#VALUE!")</f>
        <v>#VALUE!</v>
      </c>
      <c r="H384" s="51" t="str">
        <f>IFERROR(__xludf.DUMMYFUNCTION("""COMPUTED_VALUE"""),"")</f>
        <v/>
      </c>
      <c r="I384" s="51" t="str">
        <f>IFERROR(__xludf.DUMMYFUNCTION("""COMPUTED_VALUE"""),"#VALUE!")</f>
        <v>#VALUE!</v>
      </c>
      <c r="J384" s="51" t="str">
        <f>IFERROR(__xludf.DUMMYFUNCTION("""COMPUTED_VALUE"""),"")</f>
        <v/>
      </c>
      <c r="K384" s="51"/>
      <c r="L384" s="51" t="s">
        <v>257</v>
      </c>
      <c r="M384" s="51"/>
      <c r="N384" s="51"/>
      <c r="O384" s="51"/>
      <c r="P384" s="51"/>
      <c r="Q384" s="51"/>
      <c r="R384" s="51"/>
      <c r="S384" s="51"/>
      <c r="T384" s="51"/>
    </row>
    <row r="385">
      <c r="A385" s="51"/>
      <c r="B385" s="51"/>
      <c r="C385" s="56"/>
      <c r="D385" s="51"/>
      <c r="E385" s="51"/>
      <c r="F385" s="51"/>
      <c r="G385" s="51" t="str">
        <f>IFERROR(__xludf.DUMMYFUNCTION("""COMPUTED_VALUE"""),"#VALUE!")</f>
        <v>#VALUE!</v>
      </c>
      <c r="H385" s="51" t="str">
        <f>IFERROR(__xludf.DUMMYFUNCTION("""COMPUTED_VALUE"""),"")</f>
        <v/>
      </c>
      <c r="I385" s="51" t="str">
        <f>IFERROR(__xludf.DUMMYFUNCTION("""COMPUTED_VALUE"""),"#VALUE!")</f>
        <v>#VALUE!</v>
      </c>
      <c r="J385" s="51" t="str">
        <f>IFERROR(__xludf.DUMMYFUNCTION("""COMPUTED_VALUE"""),"")</f>
        <v/>
      </c>
      <c r="K385" s="51"/>
      <c r="L385" s="51" t="s">
        <v>257</v>
      </c>
      <c r="M385" s="51"/>
      <c r="N385" s="51"/>
      <c r="O385" s="51"/>
      <c r="P385" s="51"/>
      <c r="Q385" s="51"/>
      <c r="R385" s="51"/>
      <c r="S385" s="51"/>
      <c r="T385" s="51"/>
    </row>
    <row r="386">
      <c r="A386" s="51"/>
      <c r="B386" s="51"/>
      <c r="C386" s="56"/>
      <c r="D386" s="51"/>
      <c r="E386" s="51"/>
      <c r="F386" s="51"/>
      <c r="G386" s="51" t="str">
        <f>IFERROR(__xludf.DUMMYFUNCTION("""COMPUTED_VALUE"""),"#VALUE!")</f>
        <v>#VALUE!</v>
      </c>
      <c r="H386" s="51" t="str">
        <f>IFERROR(__xludf.DUMMYFUNCTION("""COMPUTED_VALUE"""),"")</f>
        <v/>
      </c>
      <c r="I386" s="51" t="str">
        <f>IFERROR(__xludf.DUMMYFUNCTION("""COMPUTED_VALUE"""),"#VALUE!")</f>
        <v>#VALUE!</v>
      </c>
      <c r="J386" s="51" t="str">
        <f>IFERROR(__xludf.DUMMYFUNCTION("""COMPUTED_VALUE"""),"")</f>
        <v/>
      </c>
      <c r="K386" s="51"/>
      <c r="L386" s="51" t="s">
        <v>257</v>
      </c>
      <c r="M386" s="51"/>
      <c r="N386" s="51"/>
      <c r="O386" s="51"/>
      <c r="P386" s="51"/>
      <c r="Q386" s="51"/>
      <c r="R386" s="51"/>
      <c r="S386" s="51"/>
      <c r="T386" s="51"/>
    </row>
    <row r="387">
      <c r="A387" s="51"/>
      <c r="B387" s="51"/>
      <c r="C387" s="56"/>
      <c r="D387" s="51"/>
      <c r="E387" s="51"/>
      <c r="F387" s="51"/>
      <c r="G387" s="51" t="str">
        <f>IFERROR(__xludf.DUMMYFUNCTION("""COMPUTED_VALUE"""),"#VALUE!")</f>
        <v>#VALUE!</v>
      </c>
      <c r="H387" s="51" t="str">
        <f>IFERROR(__xludf.DUMMYFUNCTION("""COMPUTED_VALUE"""),"")</f>
        <v/>
      </c>
      <c r="I387" s="51" t="str">
        <f>IFERROR(__xludf.DUMMYFUNCTION("""COMPUTED_VALUE"""),"#VALUE!")</f>
        <v>#VALUE!</v>
      </c>
      <c r="J387" s="51" t="str">
        <f>IFERROR(__xludf.DUMMYFUNCTION("""COMPUTED_VALUE"""),"")</f>
        <v/>
      </c>
      <c r="K387" s="51"/>
      <c r="L387" s="51" t="s">
        <v>257</v>
      </c>
      <c r="M387" s="51"/>
      <c r="N387" s="51"/>
      <c r="O387" s="51"/>
      <c r="P387" s="51"/>
      <c r="Q387" s="51"/>
      <c r="R387" s="51"/>
      <c r="S387" s="51"/>
      <c r="T387" s="51"/>
    </row>
    <row r="388">
      <c r="A388" s="51"/>
      <c r="B388" s="51"/>
      <c r="C388" s="56"/>
      <c r="D388" s="51"/>
      <c r="E388" s="51"/>
      <c r="F388" s="51"/>
      <c r="G388" s="51" t="str">
        <f>IFERROR(__xludf.DUMMYFUNCTION("""COMPUTED_VALUE"""),"#VALUE!")</f>
        <v>#VALUE!</v>
      </c>
      <c r="H388" s="51" t="str">
        <f>IFERROR(__xludf.DUMMYFUNCTION("""COMPUTED_VALUE"""),"")</f>
        <v/>
      </c>
      <c r="I388" s="51" t="str">
        <f>IFERROR(__xludf.DUMMYFUNCTION("""COMPUTED_VALUE"""),"#VALUE!")</f>
        <v>#VALUE!</v>
      </c>
      <c r="J388" s="51" t="str">
        <f>IFERROR(__xludf.DUMMYFUNCTION("""COMPUTED_VALUE"""),"")</f>
        <v/>
      </c>
      <c r="K388" s="51"/>
      <c r="L388" s="51" t="s">
        <v>257</v>
      </c>
      <c r="M388" s="51"/>
      <c r="N388" s="51"/>
      <c r="O388" s="51"/>
      <c r="P388" s="51"/>
      <c r="Q388" s="51"/>
      <c r="R388" s="51"/>
      <c r="S388" s="51"/>
      <c r="T388" s="51"/>
    </row>
    <row r="389">
      <c r="A389" s="51"/>
      <c r="B389" s="51"/>
      <c r="C389" s="56"/>
      <c r="D389" s="51"/>
      <c r="E389" s="51"/>
      <c r="F389" s="51"/>
      <c r="G389" s="51" t="str">
        <f>IFERROR(__xludf.DUMMYFUNCTION("""COMPUTED_VALUE"""),"#VALUE!")</f>
        <v>#VALUE!</v>
      </c>
      <c r="H389" s="51" t="str">
        <f>IFERROR(__xludf.DUMMYFUNCTION("""COMPUTED_VALUE"""),"")</f>
        <v/>
      </c>
      <c r="I389" s="51" t="str">
        <f>IFERROR(__xludf.DUMMYFUNCTION("""COMPUTED_VALUE"""),"#VALUE!")</f>
        <v>#VALUE!</v>
      </c>
      <c r="J389" s="51" t="str">
        <f>IFERROR(__xludf.DUMMYFUNCTION("""COMPUTED_VALUE"""),"")</f>
        <v/>
      </c>
      <c r="K389" s="51"/>
      <c r="L389" s="51" t="s">
        <v>257</v>
      </c>
      <c r="M389" s="51"/>
      <c r="N389" s="51"/>
      <c r="O389" s="51"/>
      <c r="P389" s="51"/>
      <c r="Q389" s="51"/>
      <c r="R389" s="51"/>
      <c r="S389" s="51"/>
      <c r="T389" s="51"/>
    </row>
    <row r="390">
      <c r="A390" s="51"/>
      <c r="B390" s="51"/>
      <c r="C390" s="56"/>
      <c r="D390" s="51"/>
      <c r="E390" s="51"/>
      <c r="F390" s="51"/>
      <c r="G390" s="51" t="str">
        <f>IFERROR(__xludf.DUMMYFUNCTION("""COMPUTED_VALUE"""),"#VALUE!")</f>
        <v>#VALUE!</v>
      </c>
      <c r="H390" s="51" t="str">
        <f>IFERROR(__xludf.DUMMYFUNCTION("""COMPUTED_VALUE"""),"")</f>
        <v/>
      </c>
      <c r="I390" s="51" t="str">
        <f>IFERROR(__xludf.DUMMYFUNCTION("""COMPUTED_VALUE"""),"#VALUE!")</f>
        <v>#VALUE!</v>
      </c>
      <c r="J390" s="51" t="str">
        <f>IFERROR(__xludf.DUMMYFUNCTION("""COMPUTED_VALUE"""),"")</f>
        <v/>
      </c>
      <c r="K390" s="51"/>
      <c r="L390" s="51" t="s">
        <v>257</v>
      </c>
      <c r="M390" s="51"/>
      <c r="N390" s="51"/>
      <c r="O390" s="51"/>
      <c r="P390" s="51"/>
      <c r="Q390" s="51"/>
      <c r="R390" s="51"/>
      <c r="S390" s="51"/>
      <c r="T390" s="51"/>
    </row>
    <row r="391">
      <c r="A391" s="51"/>
      <c r="B391" s="51"/>
      <c r="C391" s="56"/>
      <c r="D391" s="51"/>
      <c r="E391" s="51"/>
      <c r="F391" s="51"/>
      <c r="G391" s="51" t="str">
        <f>IFERROR(__xludf.DUMMYFUNCTION("""COMPUTED_VALUE"""),"#VALUE!")</f>
        <v>#VALUE!</v>
      </c>
      <c r="H391" s="51" t="str">
        <f>IFERROR(__xludf.DUMMYFUNCTION("""COMPUTED_VALUE"""),"")</f>
        <v/>
      </c>
      <c r="I391" s="51" t="str">
        <f>IFERROR(__xludf.DUMMYFUNCTION("""COMPUTED_VALUE"""),"#VALUE!")</f>
        <v>#VALUE!</v>
      </c>
      <c r="J391" s="51" t="str">
        <f>IFERROR(__xludf.DUMMYFUNCTION("""COMPUTED_VALUE"""),"")</f>
        <v/>
      </c>
      <c r="K391" s="51"/>
      <c r="L391" s="51" t="s">
        <v>257</v>
      </c>
      <c r="M391" s="51"/>
      <c r="N391" s="51"/>
      <c r="O391" s="51"/>
      <c r="P391" s="51"/>
      <c r="Q391" s="51"/>
      <c r="R391" s="51"/>
      <c r="S391" s="51"/>
      <c r="T391" s="51"/>
    </row>
    <row r="392">
      <c r="A392" s="51"/>
      <c r="B392" s="51"/>
      <c r="C392" s="56"/>
      <c r="D392" s="51"/>
      <c r="E392" s="51"/>
      <c r="F392" s="51"/>
      <c r="G392" s="51" t="str">
        <f>IFERROR(__xludf.DUMMYFUNCTION("""COMPUTED_VALUE"""),"#VALUE!")</f>
        <v>#VALUE!</v>
      </c>
      <c r="H392" s="51" t="str">
        <f>IFERROR(__xludf.DUMMYFUNCTION("""COMPUTED_VALUE"""),"")</f>
        <v/>
      </c>
      <c r="I392" s="51" t="str">
        <f>IFERROR(__xludf.DUMMYFUNCTION("""COMPUTED_VALUE"""),"#VALUE!")</f>
        <v>#VALUE!</v>
      </c>
      <c r="J392" s="51" t="str">
        <f>IFERROR(__xludf.DUMMYFUNCTION("""COMPUTED_VALUE"""),"")</f>
        <v/>
      </c>
      <c r="K392" s="51"/>
      <c r="L392" s="51" t="s">
        <v>257</v>
      </c>
      <c r="M392" s="51"/>
      <c r="N392" s="51"/>
      <c r="O392" s="51"/>
      <c r="P392" s="51"/>
      <c r="Q392" s="51"/>
      <c r="R392" s="51"/>
      <c r="S392" s="51"/>
      <c r="T392" s="51"/>
    </row>
    <row r="393">
      <c r="A393" s="51"/>
      <c r="B393" s="51"/>
      <c r="C393" s="56"/>
      <c r="D393" s="51"/>
      <c r="E393" s="51"/>
      <c r="F393" s="51"/>
      <c r="G393" s="51" t="str">
        <f>IFERROR(__xludf.DUMMYFUNCTION("""COMPUTED_VALUE"""),"#VALUE!")</f>
        <v>#VALUE!</v>
      </c>
      <c r="H393" s="51" t="str">
        <f>IFERROR(__xludf.DUMMYFUNCTION("""COMPUTED_VALUE"""),"")</f>
        <v/>
      </c>
      <c r="I393" s="51" t="str">
        <f>IFERROR(__xludf.DUMMYFUNCTION("""COMPUTED_VALUE"""),"#VALUE!")</f>
        <v>#VALUE!</v>
      </c>
      <c r="J393" s="51" t="str">
        <f>IFERROR(__xludf.DUMMYFUNCTION("""COMPUTED_VALUE"""),"")</f>
        <v/>
      </c>
      <c r="K393" s="51"/>
      <c r="L393" s="51" t="s">
        <v>257</v>
      </c>
      <c r="M393" s="51"/>
      <c r="N393" s="51"/>
      <c r="O393" s="51"/>
      <c r="P393" s="51"/>
      <c r="Q393" s="51"/>
      <c r="R393" s="51"/>
      <c r="S393" s="51"/>
      <c r="T393" s="51"/>
    </row>
    <row r="394">
      <c r="A394" s="51"/>
      <c r="B394" s="51"/>
      <c r="C394" s="56"/>
      <c r="D394" s="51"/>
      <c r="E394" s="51"/>
      <c r="F394" s="51"/>
      <c r="G394" s="51" t="str">
        <f>IFERROR(__xludf.DUMMYFUNCTION("""COMPUTED_VALUE"""),"#VALUE!")</f>
        <v>#VALUE!</v>
      </c>
      <c r="H394" s="51" t="str">
        <f>IFERROR(__xludf.DUMMYFUNCTION("""COMPUTED_VALUE"""),"")</f>
        <v/>
      </c>
      <c r="I394" s="51" t="str">
        <f>IFERROR(__xludf.DUMMYFUNCTION("""COMPUTED_VALUE"""),"#VALUE!")</f>
        <v>#VALUE!</v>
      </c>
      <c r="J394" s="51" t="str">
        <f>IFERROR(__xludf.DUMMYFUNCTION("""COMPUTED_VALUE"""),"")</f>
        <v/>
      </c>
      <c r="K394" s="51"/>
      <c r="L394" s="51" t="s">
        <v>257</v>
      </c>
      <c r="M394" s="51"/>
      <c r="N394" s="51"/>
      <c r="O394" s="51"/>
      <c r="P394" s="51"/>
      <c r="Q394" s="51"/>
      <c r="R394" s="51"/>
      <c r="S394" s="51"/>
      <c r="T394" s="51"/>
    </row>
    <row r="395">
      <c r="A395" s="51"/>
      <c r="B395" s="51"/>
      <c r="C395" s="56"/>
      <c r="D395" s="51"/>
      <c r="E395" s="51"/>
      <c r="F395" s="51"/>
      <c r="G395" s="51" t="str">
        <f>IFERROR(__xludf.DUMMYFUNCTION("""COMPUTED_VALUE"""),"#VALUE!")</f>
        <v>#VALUE!</v>
      </c>
      <c r="H395" s="51" t="str">
        <f>IFERROR(__xludf.DUMMYFUNCTION("""COMPUTED_VALUE"""),"")</f>
        <v/>
      </c>
      <c r="I395" s="51" t="str">
        <f>IFERROR(__xludf.DUMMYFUNCTION("""COMPUTED_VALUE"""),"#VALUE!")</f>
        <v>#VALUE!</v>
      </c>
      <c r="J395" s="51" t="str">
        <f>IFERROR(__xludf.DUMMYFUNCTION("""COMPUTED_VALUE"""),"")</f>
        <v/>
      </c>
      <c r="K395" s="51"/>
      <c r="L395" s="51" t="s">
        <v>257</v>
      </c>
      <c r="M395" s="51"/>
      <c r="N395" s="51"/>
      <c r="O395" s="51"/>
      <c r="P395" s="51"/>
      <c r="Q395" s="51"/>
      <c r="R395" s="51"/>
      <c r="S395" s="51"/>
      <c r="T395" s="51"/>
    </row>
    <row r="396">
      <c r="A396" s="51"/>
      <c r="B396" s="51"/>
      <c r="C396" s="56"/>
      <c r="D396" s="51"/>
      <c r="E396" s="51"/>
      <c r="F396" s="51"/>
      <c r="G396" s="51" t="str">
        <f>IFERROR(__xludf.DUMMYFUNCTION("""COMPUTED_VALUE"""),"#VALUE!")</f>
        <v>#VALUE!</v>
      </c>
      <c r="H396" s="51" t="str">
        <f>IFERROR(__xludf.DUMMYFUNCTION("""COMPUTED_VALUE"""),"")</f>
        <v/>
      </c>
      <c r="I396" s="51" t="str">
        <f>IFERROR(__xludf.DUMMYFUNCTION("""COMPUTED_VALUE"""),"#VALUE!")</f>
        <v>#VALUE!</v>
      </c>
      <c r="J396" s="51" t="str">
        <f>IFERROR(__xludf.DUMMYFUNCTION("""COMPUTED_VALUE"""),"")</f>
        <v/>
      </c>
      <c r="K396" s="51"/>
      <c r="L396" s="51" t="s">
        <v>257</v>
      </c>
      <c r="M396" s="51"/>
      <c r="N396" s="51"/>
      <c r="O396" s="51"/>
      <c r="P396" s="51"/>
      <c r="Q396" s="51"/>
      <c r="R396" s="51"/>
      <c r="S396" s="51"/>
      <c r="T396" s="51"/>
    </row>
    <row r="397">
      <c r="A397" s="51"/>
      <c r="B397" s="51"/>
      <c r="C397" s="56"/>
      <c r="D397" s="51"/>
      <c r="E397" s="51"/>
      <c r="F397" s="51"/>
      <c r="G397" s="51" t="str">
        <f>IFERROR(__xludf.DUMMYFUNCTION("""COMPUTED_VALUE"""),"#VALUE!")</f>
        <v>#VALUE!</v>
      </c>
      <c r="H397" s="51" t="str">
        <f>IFERROR(__xludf.DUMMYFUNCTION("""COMPUTED_VALUE"""),"")</f>
        <v/>
      </c>
      <c r="I397" s="51" t="str">
        <f>IFERROR(__xludf.DUMMYFUNCTION("""COMPUTED_VALUE"""),"#VALUE!")</f>
        <v>#VALUE!</v>
      </c>
      <c r="J397" s="51" t="str">
        <f>IFERROR(__xludf.DUMMYFUNCTION("""COMPUTED_VALUE"""),"")</f>
        <v/>
      </c>
      <c r="K397" s="51"/>
      <c r="L397" s="51" t="s">
        <v>257</v>
      </c>
      <c r="M397" s="51"/>
      <c r="N397" s="51"/>
      <c r="O397" s="51"/>
      <c r="P397" s="51"/>
      <c r="Q397" s="51"/>
      <c r="R397" s="51"/>
      <c r="S397" s="51"/>
      <c r="T397" s="51"/>
    </row>
    <row r="398">
      <c r="A398" s="51"/>
      <c r="B398" s="51"/>
      <c r="C398" s="56"/>
      <c r="D398" s="51"/>
      <c r="E398" s="51"/>
      <c r="F398" s="51"/>
      <c r="G398" s="51" t="str">
        <f>IFERROR(__xludf.DUMMYFUNCTION("""COMPUTED_VALUE"""),"#VALUE!")</f>
        <v>#VALUE!</v>
      </c>
      <c r="H398" s="51" t="str">
        <f>IFERROR(__xludf.DUMMYFUNCTION("""COMPUTED_VALUE"""),"")</f>
        <v/>
      </c>
      <c r="I398" s="51" t="str">
        <f>IFERROR(__xludf.DUMMYFUNCTION("""COMPUTED_VALUE"""),"#VALUE!")</f>
        <v>#VALUE!</v>
      </c>
      <c r="J398" s="51" t="str">
        <f>IFERROR(__xludf.DUMMYFUNCTION("""COMPUTED_VALUE"""),"")</f>
        <v/>
      </c>
      <c r="K398" s="51"/>
      <c r="L398" s="51" t="s">
        <v>257</v>
      </c>
      <c r="M398" s="51"/>
      <c r="N398" s="51"/>
      <c r="O398" s="51"/>
      <c r="P398" s="51"/>
      <c r="Q398" s="51"/>
      <c r="R398" s="51"/>
      <c r="S398" s="51"/>
      <c r="T398" s="51"/>
    </row>
    <row r="399">
      <c r="A399" s="51"/>
      <c r="B399" s="51"/>
      <c r="C399" s="56"/>
      <c r="D399" s="51"/>
      <c r="E399" s="51"/>
      <c r="F399" s="51"/>
      <c r="G399" s="51" t="str">
        <f>IFERROR(__xludf.DUMMYFUNCTION("""COMPUTED_VALUE"""),"#VALUE!")</f>
        <v>#VALUE!</v>
      </c>
      <c r="H399" s="51" t="str">
        <f>IFERROR(__xludf.DUMMYFUNCTION("""COMPUTED_VALUE"""),"")</f>
        <v/>
      </c>
      <c r="I399" s="51" t="str">
        <f>IFERROR(__xludf.DUMMYFUNCTION("""COMPUTED_VALUE"""),"#VALUE!")</f>
        <v>#VALUE!</v>
      </c>
      <c r="J399" s="51" t="str">
        <f>IFERROR(__xludf.DUMMYFUNCTION("""COMPUTED_VALUE"""),"")</f>
        <v/>
      </c>
      <c r="K399" s="51"/>
      <c r="L399" s="51" t="s">
        <v>257</v>
      </c>
      <c r="M399" s="51"/>
      <c r="N399" s="51"/>
      <c r="O399" s="51"/>
      <c r="P399" s="51"/>
      <c r="Q399" s="51"/>
      <c r="R399" s="51"/>
      <c r="S399" s="51"/>
      <c r="T399" s="51"/>
    </row>
    <row r="400">
      <c r="A400" s="51"/>
      <c r="B400" s="51"/>
      <c r="C400" s="56"/>
      <c r="D400" s="51"/>
      <c r="E400" s="51"/>
      <c r="F400" s="51"/>
      <c r="G400" s="51" t="str">
        <f>IFERROR(__xludf.DUMMYFUNCTION("""COMPUTED_VALUE"""),"#VALUE!")</f>
        <v>#VALUE!</v>
      </c>
      <c r="H400" s="51" t="str">
        <f>IFERROR(__xludf.DUMMYFUNCTION("""COMPUTED_VALUE"""),"")</f>
        <v/>
      </c>
      <c r="I400" s="51" t="str">
        <f>IFERROR(__xludf.DUMMYFUNCTION("""COMPUTED_VALUE"""),"#VALUE!")</f>
        <v>#VALUE!</v>
      </c>
      <c r="J400" s="51" t="str">
        <f>IFERROR(__xludf.DUMMYFUNCTION("""COMPUTED_VALUE"""),"")</f>
        <v/>
      </c>
      <c r="K400" s="51"/>
      <c r="L400" s="51" t="s">
        <v>257</v>
      </c>
      <c r="M400" s="51"/>
      <c r="N400" s="51"/>
      <c r="O400" s="51"/>
      <c r="P400" s="51"/>
      <c r="Q400" s="51"/>
      <c r="R400" s="51"/>
      <c r="S400" s="51"/>
      <c r="T400" s="51"/>
    </row>
    <row r="401">
      <c r="A401" s="51"/>
      <c r="B401" s="51"/>
      <c r="C401" s="56"/>
      <c r="D401" s="51"/>
      <c r="E401" s="51"/>
      <c r="F401" s="51"/>
      <c r="G401" s="51" t="str">
        <f>IFERROR(__xludf.DUMMYFUNCTION("""COMPUTED_VALUE"""),"#VALUE!")</f>
        <v>#VALUE!</v>
      </c>
      <c r="H401" s="51" t="str">
        <f>IFERROR(__xludf.DUMMYFUNCTION("""COMPUTED_VALUE"""),"")</f>
        <v/>
      </c>
      <c r="I401" s="51" t="str">
        <f>IFERROR(__xludf.DUMMYFUNCTION("""COMPUTED_VALUE"""),"#VALUE!")</f>
        <v>#VALUE!</v>
      </c>
      <c r="J401" s="51" t="str">
        <f>IFERROR(__xludf.DUMMYFUNCTION("""COMPUTED_VALUE"""),"")</f>
        <v/>
      </c>
      <c r="K401" s="51"/>
      <c r="L401" s="51" t="s">
        <v>257</v>
      </c>
      <c r="M401" s="51"/>
      <c r="N401" s="51"/>
      <c r="O401" s="51"/>
      <c r="P401" s="51"/>
      <c r="Q401" s="51"/>
      <c r="R401" s="51"/>
      <c r="S401" s="51"/>
      <c r="T401" s="51"/>
    </row>
    <row r="402">
      <c r="A402" s="51"/>
      <c r="B402" s="51"/>
      <c r="C402" s="56"/>
      <c r="D402" s="51"/>
      <c r="E402" s="51"/>
      <c r="F402" s="51"/>
      <c r="G402" s="51" t="str">
        <f>IFERROR(__xludf.DUMMYFUNCTION("""COMPUTED_VALUE"""),"#VALUE!")</f>
        <v>#VALUE!</v>
      </c>
      <c r="H402" s="51" t="str">
        <f>IFERROR(__xludf.DUMMYFUNCTION("""COMPUTED_VALUE"""),"")</f>
        <v/>
      </c>
      <c r="I402" s="51" t="str">
        <f>IFERROR(__xludf.DUMMYFUNCTION("""COMPUTED_VALUE"""),"#VALUE!")</f>
        <v>#VALUE!</v>
      </c>
      <c r="J402" s="51" t="str">
        <f>IFERROR(__xludf.DUMMYFUNCTION("""COMPUTED_VALUE"""),"")</f>
        <v/>
      </c>
      <c r="K402" s="51"/>
      <c r="L402" s="51" t="s">
        <v>257</v>
      </c>
      <c r="M402" s="51"/>
      <c r="N402" s="51"/>
      <c r="O402" s="51"/>
      <c r="P402" s="51"/>
      <c r="Q402" s="51"/>
      <c r="R402" s="51"/>
      <c r="S402" s="51"/>
      <c r="T402" s="51"/>
    </row>
    <row r="403">
      <c r="A403" s="51"/>
      <c r="B403" s="51"/>
      <c r="C403" s="56"/>
      <c r="D403" s="51"/>
      <c r="E403" s="51"/>
      <c r="F403" s="51"/>
      <c r="G403" s="51" t="str">
        <f>IFERROR(__xludf.DUMMYFUNCTION("""COMPUTED_VALUE"""),"#VALUE!")</f>
        <v>#VALUE!</v>
      </c>
      <c r="H403" s="51" t="str">
        <f>IFERROR(__xludf.DUMMYFUNCTION("""COMPUTED_VALUE"""),"")</f>
        <v/>
      </c>
      <c r="I403" s="51" t="str">
        <f>IFERROR(__xludf.DUMMYFUNCTION("""COMPUTED_VALUE"""),"#VALUE!")</f>
        <v>#VALUE!</v>
      </c>
      <c r="J403" s="51" t="str">
        <f>IFERROR(__xludf.DUMMYFUNCTION("""COMPUTED_VALUE"""),"")</f>
        <v/>
      </c>
      <c r="K403" s="51"/>
      <c r="L403" s="51" t="s">
        <v>257</v>
      </c>
      <c r="M403" s="51"/>
      <c r="N403" s="51"/>
      <c r="O403" s="51"/>
      <c r="P403" s="51"/>
      <c r="Q403" s="51"/>
      <c r="R403" s="51"/>
      <c r="S403" s="51"/>
      <c r="T403" s="51"/>
    </row>
    <row r="404">
      <c r="A404" s="51"/>
      <c r="B404" s="51"/>
      <c r="C404" s="56"/>
      <c r="D404" s="51"/>
      <c r="E404" s="51"/>
      <c r="F404" s="51"/>
      <c r="G404" s="51" t="str">
        <f>IFERROR(__xludf.DUMMYFUNCTION("""COMPUTED_VALUE"""),"#VALUE!")</f>
        <v>#VALUE!</v>
      </c>
      <c r="H404" s="51" t="str">
        <f>IFERROR(__xludf.DUMMYFUNCTION("""COMPUTED_VALUE"""),"")</f>
        <v/>
      </c>
      <c r="I404" s="51" t="str">
        <f>IFERROR(__xludf.DUMMYFUNCTION("""COMPUTED_VALUE"""),"#VALUE!")</f>
        <v>#VALUE!</v>
      </c>
      <c r="J404" s="51" t="str">
        <f>IFERROR(__xludf.DUMMYFUNCTION("""COMPUTED_VALUE"""),"")</f>
        <v/>
      </c>
      <c r="K404" s="51"/>
      <c r="L404" s="51" t="s">
        <v>257</v>
      </c>
      <c r="M404" s="51"/>
      <c r="N404" s="51"/>
      <c r="O404" s="51"/>
      <c r="P404" s="51"/>
      <c r="Q404" s="51"/>
      <c r="R404" s="51"/>
      <c r="S404" s="51"/>
      <c r="T404" s="51"/>
    </row>
    <row r="405">
      <c r="A405" s="51"/>
      <c r="B405" s="51"/>
      <c r="C405" s="56"/>
      <c r="D405" s="51"/>
      <c r="E405" s="51"/>
      <c r="F405" s="51"/>
      <c r="G405" s="51" t="str">
        <f>IFERROR(__xludf.DUMMYFUNCTION("""COMPUTED_VALUE"""),"#VALUE!")</f>
        <v>#VALUE!</v>
      </c>
      <c r="H405" s="51" t="str">
        <f>IFERROR(__xludf.DUMMYFUNCTION("""COMPUTED_VALUE"""),"")</f>
        <v/>
      </c>
      <c r="I405" s="51" t="str">
        <f>IFERROR(__xludf.DUMMYFUNCTION("""COMPUTED_VALUE"""),"#VALUE!")</f>
        <v>#VALUE!</v>
      </c>
      <c r="J405" s="51" t="str">
        <f>IFERROR(__xludf.DUMMYFUNCTION("""COMPUTED_VALUE"""),"")</f>
        <v/>
      </c>
      <c r="K405" s="51"/>
      <c r="L405" s="51" t="s">
        <v>257</v>
      </c>
      <c r="M405" s="51"/>
      <c r="N405" s="51"/>
      <c r="O405" s="51"/>
      <c r="P405" s="51"/>
      <c r="Q405" s="51"/>
      <c r="R405" s="51"/>
      <c r="S405" s="51"/>
      <c r="T405" s="51"/>
    </row>
    <row r="406">
      <c r="A406" s="51"/>
      <c r="B406" s="51"/>
      <c r="C406" s="56"/>
      <c r="D406" s="51"/>
      <c r="E406" s="51"/>
      <c r="F406" s="51"/>
      <c r="G406" s="51" t="str">
        <f>IFERROR(__xludf.DUMMYFUNCTION("""COMPUTED_VALUE"""),"#VALUE!")</f>
        <v>#VALUE!</v>
      </c>
      <c r="H406" s="51" t="str">
        <f>IFERROR(__xludf.DUMMYFUNCTION("""COMPUTED_VALUE"""),"")</f>
        <v/>
      </c>
      <c r="I406" s="51" t="str">
        <f>IFERROR(__xludf.DUMMYFUNCTION("""COMPUTED_VALUE"""),"#VALUE!")</f>
        <v>#VALUE!</v>
      </c>
      <c r="J406" s="51" t="str">
        <f>IFERROR(__xludf.DUMMYFUNCTION("""COMPUTED_VALUE"""),"")</f>
        <v/>
      </c>
      <c r="K406" s="51"/>
      <c r="L406" s="51" t="s">
        <v>257</v>
      </c>
      <c r="M406" s="51"/>
      <c r="N406" s="51"/>
      <c r="O406" s="51"/>
      <c r="P406" s="51"/>
      <c r="Q406" s="51"/>
      <c r="R406" s="51"/>
      <c r="S406" s="51"/>
      <c r="T406" s="51"/>
    </row>
    <row r="407">
      <c r="A407" s="51"/>
      <c r="B407" s="51"/>
      <c r="C407" s="56"/>
      <c r="D407" s="51"/>
      <c r="E407" s="51"/>
      <c r="F407" s="51"/>
      <c r="G407" s="51" t="str">
        <f>IFERROR(__xludf.DUMMYFUNCTION("""COMPUTED_VALUE"""),"#VALUE!")</f>
        <v>#VALUE!</v>
      </c>
      <c r="H407" s="51" t="str">
        <f>IFERROR(__xludf.DUMMYFUNCTION("""COMPUTED_VALUE"""),"")</f>
        <v/>
      </c>
      <c r="I407" s="51" t="str">
        <f>IFERROR(__xludf.DUMMYFUNCTION("""COMPUTED_VALUE"""),"#VALUE!")</f>
        <v>#VALUE!</v>
      </c>
      <c r="J407" s="51" t="str">
        <f>IFERROR(__xludf.DUMMYFUNCTION("""COMPUTED_VALUE"""),"")</f>
        <v/>
      </c>
      <c r="K407" s="51"/>
      <c r="L407" s="51" t="s">
        <v>257</v>
      </c>
      <c r="M407" s="51"/>
      <c r="N407" s="51"/>
      <c r="O407" s="51"/>
      <c r="P407" s="51"/>
      <c r="Q407" s="51"/>
      <c r="R407" s="51"/>
      <c r="S407" s="51"/>
      <c r="T407" s="51"/>
    </row>
    <row r="408">
      <c r="A408" s="51"/>
      <c r="B408" s="51"/>
      <c r="C408" s="56"/>
      <c r="D408" s="51"/>
      <c r="E408" s="51"/>
      <c r="F408" s="51"/>
      <c r="G408" s="51" t="str">
        <f>IFERROR(__xludf.DUMMYFUNCTION("""COMPUTED_VALUE"""),"#VALUE!")</f>
        <v>#VALUE!</v>
      </c>
      <c r="H408" s="51" t="str">
        <f>IFERROR(__xludf.DUMMYFUNCTION("""COMPUTED_VALUE"""),"")</f>
        <v/>
      </c>
      <c r="I408" s="51" t="str">
        <f>IFERROR(__xludf.DUMMYFUNCTION("""COMPUTED_VALUE"""),"#VALUE!")</f>
        <v>#VALUE!</v>
      </c>
      <c r="J408" s="51" t="str">
        <f>IFERROR(__xludf.DUMMYFUNCTION("""COMPUTED_VALUE"""),"")</f>
        <v/>
      </c>
      <c r="K408" s="51"/>
      <c r="L408" s="51" t="s">
        <v>257</v>
      </c>
      <c r="M408" s="51"/>
      <c r="N408" s="51"/>
      <c r="O408" s="51"/>
      <c r="P408" s="51"/>
      <c r="Q408" s="51"/>
      <c r="R408" s="51"/>
      <c r="S408" s="51"/>
      <c r="T408" s="51"/>
    </row>
    <row r="409">
      <c r="A409" s="51"/>
      <c r="B409" s="51"/>
      <c r="C409" s="56"/>
      <c r="D409" s="51"/>
      <c r="E409" s="51"/>
      <c r="F409" s="51"/>
      <c r="G409" s="51" t="str">
        <f>IFERROR(__xludf.DUMMYFUNCTION("""COMPUTED_VALUE"""),"#VALUE!")</f>
        <v>#VALUE!</v>
      </c>
      <c r="H409" s="51" t="str">
        <f>IFERROR(__xludf.DUMMYFUNCTION("""COMPUTED_VALUE"""),"")</f>
        <v/>
      </c>
      <c r="I409" s="51" t="str">
        <f>IFERROR(__xludf.DUMMYFUNCTION("""COMPUTED_VALUE"""),"#VALUE!")</f>
        <v>#VALUE!</v>
      </c>
      <c r="J409" s="51" t="str">
        <f>IFERROR(__xludf.DUMMYFUNCTION("""COMPUTED_VALUE"""),"")</f>
        <v/>
      </c>
      <c r="K409" s="51"/>
      <c r="L409" s="51" t="s">
        <v>257</v>
      </c>
      <c r="M409" s="51"/>
      <c r="N409" s="51"/>
      <c r="O409" s="51"/>
      <c r="P409" s="51"/>
      <c r="Q409" s="51"/>
      <c r="R409" s="51"/>
      <c r="S409" s="51"/>
      <c r="T409" s="51"/>
    </row>
    <row r="410">
      <c r="A410" s="51"/>
      <c r="B410" s="51"/>
      <c r="C410" s="56"/>
      <c r="D410" s="51"/>
      <c r="E410" s="51"/>
      <c r="F410" s="51"/>
      <c r="G410" s="51" t="str">
        <f>IFERROR(__xludf.DUMMYFUNCTION("""COMPUTED_VALUE"""),"#VALUE!")</f>
        <v>#VALUE!</v>
      </c>
      <c r="H410" s="51" t="str">
        <f>IFERROR(__xludf.DUMMYFUNCTION("""COMPUTED_VALUE"""),"")</f>
        <v/>
      </c>
      <c r="I410" s="51" t="str">
        <f>IFERROR(__xludf.DUMMYFUNCTION("""COMPUTED_VALUE"""),"#VALUE!")</f>
        <v>#VALUE!</v>
      </c>
      <c r="J410" s="51" t="str">
        <f>IFERROR(__xludf.DUMMYFUNCTION("""COMPUTED_VALUE"""),"")</f>
        <v/>
      </c>
      <c r="K410" s="51"/>
      <c r="L410" s="51" t="s">
        <v>257</v>
      </c>
      <c r="M410" s="51"/>
      <c r="N410" s="51"/>
      <c r="O410" s="51"/>
      <c r="P410" s="51"/>
      <c r="Q410" s="51"/>
      <c r="R410" s="51"/>
      <c r="S410" s="51"/>
      <c r="T410" s="51"/>
    </row>
    <row r="411">
      <c r="A411" s="51"/>
      <c r="B411" s="51"/>
      <c r="C411" s="56"/>
      <c r="D411" s="51"/>
      <c r="E411" s="51"/>
      <c r="F411" s="51"/>
      <c r="G411" s="51" t="str">
        <f>IFERROR(__xludf.DUMMYFUNCTION("""COMPUTED_VALUE"""),"#VALUE!")</f>
        <v>#VALUE!</v>
      </c>
      <c r="H411" s="51" t="str">
        <f>IFERROR(__xludf.DUMMYFUNCTION("""COMPUTED_VALUE"""),"")</f>
        <v/>
      </c>
      <c r="I411" s="51" t="str">
        <f>IFERROR(__xludf.DUMMYFUNCTION("""COMPUTED_VALUE"""),"#VALUE!")</f>
        <v>#VALUE!</v>
      </c>
      <c r="J411" s="51" t="str">
        <f>IFERROR(__xludf.DUMMYFUNCTION("""COMPUTED_VALUE"""),"")</f>
        <v/>
      </c>
      <c r="K411" s="51"/>
      <c r="L411" s="51" t="s">
        <v>257</v>
      </c>
      <c r="M411" s="51"/>
      <c r="N411" s="51"/>
      <c r="O411" s="51"/>
      <c r="P411" s="51"/>
      <c r="Q411" s="51"/>
      <c r="R411" s="51"/>
      <c r="S411" s="51"/>
      <c r="T411" s="51"/>
    </row>
    <row r="412">
      <c r="A412" s="51"/>
      <c r="B412" s="51"/>
      <c r="C412" s="56"/>
      <c r="D412" s="51"/>
      <c r="E412" s="51"/>
      <c r="F412" s="51"/>
      <c r="G412" s="51" t="str">
        <f>IFERROR(__xludf.DUMMYFUNCTION("""COMPUTED_VALUE"""),"#VALUE!")</f>
        <v>#VALUE!</v>
      </c>
      <c r="H412" s="51" t="str">
        <f>IFERROR(__xludf.DUMMYFUNCTION("""COMPUTED_VALUE"""),"")</f>
        <v/>
      </c>
      <c r="I412" s="51" t="str">
        <f>IFERROR(__xludf.DUMMYFUNCTION("""COMPUTED_VALUE"""),"#VALUE!")</f>
        <v>#VALUE!</v>
      </c>
      <c r="J412" s="51" t="str">
        <f>IFERROR(__xludf.DUMMYFUNCTION("""COMPUTED_VALUE"""),"")</f>
        <v/>
      </c>
      <c r="K412" s="51"/>
      <c r="L412" s="51" t="s">
        <v>257</v>
      </c>
      <c r="M412" s="51"/>
      <c r="N412" s="51"/>
      <c r="O412" s="51"/>
      <c r="P412" s="51"/>
      <c r="Q412" s="51"/>
      <c r="R412" s="51"/>
      <c r="S412" s="51"/>
      <c r="T412" s="51"/>
    </row>
    <row r="413">
      <c r="A413" s="51"/>
      <c r="B413" s="51"/>
      <c r="C413" s="56"/>
      <c r="D413" s="51"/>
      <c r="E413" s="51"/>
      <c r="F413" s="51"/>
      <c r="G413" s="51" t="str">
        <f>IFERROR(__xludf.DUMMYFUNCTION("""COMPUTED_VALUE"""),"#VALUE!")</f>
        <v>#VALUE!</v>
      </c>
      <c r="H413" s="51" t="str">
        <f>IFERROR(__xludf.DUMMYFUNCTION("""COMPUTED_VALUE"""),"")</f>
        <v/>
      </c>
      <c r="I413" s="51" t="str">
        <f>IFERROR(__xludf.DUMMYFUNCTION("""COMPUTED_VALUE"""),"#VALUE!")</f>
        <v>#VALUE!</v>
      </c>
      <c r="J413" s="51" t="str">
        <f>IFERROR(__xludf.DUMMYFUNCTION("""COMPUTED_VALUE"""),"")</f>
        <v/>
      </c>
      <c r="K413" s="51"/>
      <c r="L413" s="51" t="s">
        <v>257</v>
      </c>
      <c r="M413" s="51"/>
      <c r="N413" s="51"/>
      <c r="O413" s="51"/>
      <c r="P413" s="51"/>
      <c r="Q413" s="51"/>
      <c r="R413" s="51"/>
      <c r="S413" s="51"/>
      <c r="T413" s="51"/>
    </row>
    <row r="414">
      <c r="A414" s="51"/>
      <c r="B414" s="51"/>
      <c r="C414" s="56"/>
      <c r="D414" s="51"/>
      <c r="E414" s="51"/>
      <c r="F414" s="51"/>
      <c r="G414" s="51" t="str">
        <f>IFERROR(__xludf.DUMMYFUNCTION("""COMPUTED_VALUE"""),"#VALUE!")</f>
        <v>#VALUE!</v>
      </c>
      <c r="H414" s="51" t="str">
        <f>IFERROR(__xludf.DUMMYFUNCTION("""COMPUTED_VALUE"""),"")</f>
        <v/>
      </c>
      <c r="I414" s="51" t="str">
        <f>IFERROR(__xludf.DUMMYFUNCTION("""COMPUTED_VALUE"""),"#VALUE!")</f>
        <v>#VALUE!</v>
      </c>
      <c r="J414" s="51" t="str">
        <f>IFERROR(__xludf.DUMMYFUNCTION("""COMPUTED_VALUE"""),"")</f>
        <v/>
      </c>
      <c r="K414" s="51"/>
      <c r="L414" s="51" t="s">
        <v>257</v>
      </c>
      <c r="M414" s="51"/>
      <c r="N414" s="51"/>
      <c r="O414" s="51"/>
      <c r="P414" s="51"/>
      <c r="Q414" s="51"/>
      <c r="R414" s="51"/>
      <c r="S414" s="51"/>
      <c r="T414" s="51"/>
    </row>
    <row r="415">
      <c r="A415" s="51"/>
      <c r="B415" s="51"/>
      <c r="C415" s="56"/>
      <c r="D415" s="51"/>
      <c r="E415" s="51"/>
      <c r="F415" s="51"/>
      <c r="G415" s="51" t="str">
        <f>IFERROR(__xludf.DUMMYFUNCTION("""COMPUTED_VALUE"""),"#VALUE!")</f>
        <v>#VALUE!</v>
      </c>
      <c r="H415" s="51" t="str">
        <f>IFERROR(__xludf.DUMMYFUNCTION("""COMPUTED_VALUE"""),"")</f>
        <v/>
      </c>
      <c r="I415" s="51" t="str">
        <f>IFERROR(__xludf.DUMMYFUNCTION("""COMPUTED_VALUE"""),"#VALUE!")</f>
        <v>#VALUE!</v>
      </c>
      <c r="J415" s="51" t="str">
        <f>IFERROR(__xludf.DUMMYFUNCTION("""COMPUTED_VALUE"""),"")</f>
        <v/>
      </c>
      <c r="K415" s="51"/>
      <c r="L415" s="51" t="s">
        <v>257</v>
      </c>
      <c r="M415" s="51"/>
      <c r="N415" s="51"/>
      <c r="O415" s="51"/>
      <c r="P415" s="51"/>
      <c r="Q415" s="51"/>
      <c r="R415" s="51"/>
      <c r="S415" s="51"/>
      <c r="T415" s="51"/>
    </row>
    <row r="416">
      <c r="A416" s="51"/>
      <c r="B416" s="51"/>
      <c r="C416" s="56"/>
      <c r="D416" s="51"/>
      <c r="E416" s="51"/>
      <c r="F416" s="51"/>
      <c r="G416" s="51" t="str">
        <f>IFERROR(__xludf.DUMMYFUNCTION("""COMPUTED_VALUE"""),"#VALUE!")</f>
        <v>#VALUE!</v>
      </c>
      <c r="H416" s="51" t="str">
        <f>IFERROR(__xludf.DUMMYFUNCTION("""COMPUTED_VALUE"""),"")</f>
        <v/>
      </c>
      <c r="I416" s="51" t="str">
        <f>IFERROR(__xludf.DUMMYFUNCTION("""COMPUTED_VALUE"""),"#VALUE!")</f>
        <v>#VALUE!</v>
      </c>
      <c r="J416" s="51" t="str">
        <f>IFERROR(__xludf.DUMMYFUNCTION("""COMPUTED_VALUE"""),"")</f>
        <v/>
      </c>
      <c r="K416" s="51"/>
      <c r="L416" s="51" t="s">
        <v>257</v>
      </c>
      <c r="M416" s="51"/>
      <c r="N416" s="51"/>
      <c r="O416" s="51"/>
      <c r="P416" s="51"/>
      <c r="Q416" s="51"/>
      <c r="R416" s="51"/>
      <c r="S416" s="51"/>
      <c r="T416" s="51"/>
    </row>
    <row r="417">
      <c r="A417" s="51"/>
      <c r="B417" s="51"/>
      <c r="C417" s="56"/>
      <c r="D417" s="51"/>
      <c r="E417" s="51"/>
      <c r="F417" s="51"/>
      <c r="G417" s="51" t="str">
        <f>IFERROR(__xludf.DUMMYFUNCTION("""COMPUTED_VALUE"""),"#VALUE!")</f>
        <v>#VALUE!</v>
      </c>
      <c r="H417" s="51" t="str">
        <f>IFERROR(__xludf.DUMMYFUNCTION("""COMPUTED_VALUE"""),"")</f>
        <v/>
      </c>
      <c r="I417" s="51" t="str">
        <f>IFERROR(__xludf.DUMMYFUNCTION("""COMPUTED_VALUE"""),"#VALUE!")</f>
        <v>#VALUE!</v>
      </c>
      <c r="J417" s="51" t="str">
        <f>IFERROR(__xludf.DUMMYFUNCTION("""COMPUTED_VALUE"""),"")</f>
        <v/>
      </c>
      <c r="K417" s="51"/>
      <c r="L417" s="51" t="s">
        <v>257</v>
      </c>
      <c r="M417" s="51"/>
      <c r="N417" s="51"/>
      <c r="O417" s="51"/>
      <c r="P417" s="51"/>
      <c r="Q417" s="51"/>
      <c r="R417" s="51"/>
      <c r="S417" s="51"/>
      <c r="T417" s="51"/>
    </row>
    <row r="418">
      <c r="A418" s="51"/>
      <c r="B418" s="51"/>
      <c r="C418" s="56"/>
      <c r="D418" s="51"/>
      <c r="E418" s="51"/>
      <c r="F418" s="51"/>
      <c r="G418" s="51" t="str">
        <f>IFERROR(__xludf.DUMMYFUNCTION("""COMPUTED_VALUE"""),"#VALUE!")</f>
        <v>#VALUE!</v>
      </c>
      <c r="H418" s="51" t="str">
        <f>IFERROR(__xludf.DUMMYFUNCTION("""COMPUTED_VALUE"""),"")</f>
        <v/>
      </c>
      <c r="I418" s="51" t="str">
        <f>IFERROR(__xludf.DUMMYFUNCTION("""COMPUTED_VALUE"""),"#VALUE!")</f>
        <v>#VALUE!</v>
      </c>
      <c r="J418" s="51" t="str">
        <f>IFERROR(__xludf.DUMMYFUNCTION("""COMPUTED_VALUE"""),"")</f>
        <v/>
      </c>
      <c r="K418" s="51"/>
      <c r="L418" s="51" t="s">
        <v>257</v>
      </c>
      <c r="M418" s="51"/>
      <c r="N418" s="51"/>
      <c r="O418" s="51"/>
      <c r="P418" s="51"/>
      <c r="Q418" s="51"/>
      <c r="R418" s="51"/>
      <c r="S418" s="51"/>
      <c r="T418" s="51"/>
    </row>
    <row r="419">
      <c r="A419" s="51"/>
      <c r="B419" s="51"/>
      <c r="C419" s="56"/>
      <c r="D419" s="51"/>
      <c r="E419" s="51"/>
      <c r="F419" s="51"/>
      <c r="G419" s="51" t="str">
        <f>IFERROR(__xludf.DUMMYFUNCTION("""COMPUTED_VALUE"""),"#VALUE!")</f>
        <v>#VALUE!</v>
      </c>
      <c r="H419" s="51" t="str">
        <f>IFERROR(__xludf.DUMMYFUNCTION("""COMPUTED_VALUE"""),"")</f>
        <v/>
      </c>
      <c r="I419" s="51" t="str">
        <f>IFERROR(__xludf.DUMMYFUNCTION("""COMPUTED_VALUE"""),"#VALUE!")</f>
        <v>#VALUE!</v>
      </c>
      <c r="J419" s="51" t="str">
        <f>IFERROR(__xludf.DUMMYFUNCTION("""COMPUTED_VALUE"""),"")</f>
        <v/>
      </c>
      <c r="K419" s="51"/>
      <c r="L419" s="51" t="s">
        <v>257</v>
      </c>
      <c r="M419" s="51"/>
      <c r="N419" s="51"/>
      <c r="O419" s="51"/>
      <c r="P419" s="51"/>
      <c r="Q419" s="51"/>
      <c r="R419" s="51"/>
      <c r="S419" s="51"/>
      <c r="T419" s="51"/>
    </row>
    <row r="420">
      <c r="A420" s="51"/>
      <c r="B420" s="51"/>
      <c r="C420" s="56"/>
      <c r="D420" s="51"/>
      <c r="E420" s="51"/>
      <c r="F420" s="51"/>
      <c r="G420" s="51" t="str">
        <f>IFERROR(__xludf.DUMMYFUNCTION("""COMPUTED_VALUE"""),"#VALUE!")</f>
        <v>#VALUE!</v>
      </c>
      <c r="H420" s="51" t="str">
        <f>IFERROR(__xludf.DUMMYFUNCTION("""COMPUTED_VALUE"""),"")</f>
        <v/>
      </c>
      <c r="I420" s="51" t="str">
        <f>IFERROR(__xludf.DUMMYFUNCTION("""COMPUTED_VALUE"""),"#VALUE!")</f>
        <v>#VALUE!</v>
      </c>
      <c r="J420" s="51" t="str">
        <f>IFERROR(__xludf.DUMMYFUNCTION("""COMPUTED_VALUE"""),"")</f>
        <v/>
      </c>
      <c r="K420" s="51"/>
      <c r="L420" s="51" t="s">
        <v>257</v>
      </c>
      <c r="M420" s="51"/>
      <c r="N420" s="51"/>
      <c r="O420" s="51"/>
      <c r="P420" s="51"/>
      <c r="Q420" s="51"/>
      <c r="R420" s="51"/>
      <c r="S420" s="51"/>
      <c r="T420" s="51"/>
    </row>
    <row r="421">
      <c r="A421" s="51"/>
      <c r="B421" s="51"/>
      <c r="C421" s="56"/>
      <c r="D421" s="51"/>
      <c r="E421" s="51"/>
      <c r="F421" s="51"/>
      <c r="G421" s="51" t="str">
        <f>IFERROR(__xludf.DUMMYFUNCTION("""COMPUTED_VALUE"""),"#VALUE!")</f>
        <v>#VALUE!</v>
      </c>
      <c r="H421" s="51" t="str">
        <f>IFERROR(__xludf.DUMMYFUNCTION("""COMPUTED_VALUE"""),"")</f>
        <v/>
      </c>
      <c r="I421" s="51" t="str">
        <f>IFERROR(__xludf.DUMMYFUNCTION("""COMPUTED_VALUE"""),"#VALUE!")</f>
        <v>#VALUE!</v>
      </c>
      <c r="J421" s="51" t="str">
        <f>IFERROR(__xludf.DUMMYFUNCTION("""COMPUTED_VALUE"""),"")</f>
        <v/>
      </c>
      <c r="K421" s="51"/>
      <c r="L421" s="51" t="s">
        <v>257</v>
      </c>
      <c r="M421" s="51"/>
      <c r="N421" s="51"/>
      <c r="O421" s="51"/>
      <c r="P421" s="51"/>
      <c r="Q421" s="51"/>
      <c r="R421" s="51"/>
      <c r="S421" s="51"/>
      <c r="T421" s="51"/>
    </row>
    <row r="422">
      <c r="A422" s="51"/>
      <c r="B422" s="51"/>
      <c r="C422" s="56"/>
      <c r="D422" s="51"/>
      <c r="E422" s="51"/>
      <c r="F422" s="51"/>
      <c r="G422" s="51" t="str">
        <f>IFERROR(__xludf.DUMMYFUNCTION("""COMPUTED_VALUE"""),"#VALUE!")</f>
        <v>#VALUE!</v>
      </c>
      <c r="H422" s="51" t="str">
        <f>IFERROR(__xludf.DUMMYFUNCTION("""COMPUTED_VALUE"""),"")</f>
        <v/>
      </c>
      <c r="I422" s="51" t="str">
        <f>IFERROR(__xludf.DUMMYFUNCTION("""COMPUTED_VALUE"""),"#VALUE!")</f>
        <v>#VALUE!</v>
      </c>
      <c r="J422" s="51" t="str">
        <f>IFERROR(__xludf.DUMMYFUNCTION("""COMPUTED_VALUE"""),"")</f>
        <v/>
      </c>
      <c r="K422" s="51"/>
      <c r="L422" s="51" t="s">
        <v>257</v>
      </c>
      <c r="M422" s="51"/>
      <c r="N422" s="51"/>
      <c r="O422" s="51"/>
      <c r="P422" s="51"/>
      <c r="Q422" s="51"/>
      <c r="R422" s="51"/>
      <c r="S422" s="51"/>
      <c r="T422" s="51"/>
    </row>
    <row r="423">
      <c r="A423" s="51"/>
      <c r="B423" s="51"/>
      <c r="C423" s="56"/>
      <c r="D423" s="51"/>
      <c r="E423" s="51"/>
      <c r="F423" s="51"/>
      <c r="G423" s="51" t="str">
        <f>IFERROR(__xludf.DUMMYFUNCTION("""COMPUTED_VALUE"""),"#VALUE!")</f>
        <v>#VALUE!</v>
      </c>
      <c r="H423" s="51" t="str">
        <f>IFERROR(__xludf.DUMMYFUNCTION("""COMPUTED_VALUE"""),"")</f>
        <v/>
      </c>
      <c r="I423" s="51" t="str">
        <f>IFERROR(__xludf.DUMMYFUNCTION("""COMPUTED_VALUE"""),"#VALUE!")</f>
        <v>#VALUE!</v>
      </c>
      <c r="J423" s="51" t="str">
        <f>IFERROR(__xludf.DUMMYFUNCTION("""COMPUTED_VALUE"""),"")</f>
        <v/>
      </c>
      <c r="K423" s="51"/>
      <c r="L423" s="51" t="s">
        <v>257</v>
      </c>
      <c r="M423" s="51"/>
      <c r="N423" s="51"/>
      <c r="O423" s="51"/>
      <c r="P423" s="51"/>
      <c r="Q423" s="51"/>
      <c r="R423" s="51"/>
      <c r="S423" s="51"/>
      <c r="T423" s="51"/>
    </row>
    <row r="424">
      <c r="A424" s="51"/>
      <c r="B424" s="51"/>
      <c r="C424" s="56"/>
      <c r="D424" s="51"/>
      <c r="E424" s="51"/>
      <c r="F424" s="51"/>
      <c r="G424" s="51" t="str">
        <f>IFERROR(__xludf.DUMMYFUNCTION("""COMPUTED_VALUE"""),"#VALUE!")</f>
        <v>#VALUE!</v>
      </c>
      <c r="H424" s="51" t="str">
        <f>IFERROR(__xludf.DUMMYFUNCTION("""COMPUTED_VALUE"""),"")</f>
        <v/>
      </c>
      <c r="I424" s="51" t="str">
        <f>IFERROR(__xludf.DUMMYFUNCTION("""COMPUTED_VALUE"""),"#VALUE!")</f>
        <v>#VALUE!</v>
      </c>
      <c r="J424" s="51" t="str">
        <f>IFERROR(__xludf.DUMMYFUNCTION("""COMPUTED_VALUE"""),"")</f>
        <v/>
      </c>
      <c r="K424" s="51"/>
      <c r="L424" s="51" t="s">
        <v>257</v>
      </c>
      <c r="M424" s="51"/>
      <c r="N424" s="51"/>
      <c r="O424" s="51"/>
      <c r="P424" s="51"/>
      <c r="Q424" s="51"/>
      <c r="R424" s="51"/>
      <c r="S424" s="51"/>
      <c r="T424" s="51"/>
    </row>
    <row r="425">
      <c r="A425" s="51"/>
      <c r="B425" s="51"/>
      <c r="C425" s="56"/>
      <c r="D425" s="51"/>
      <c r="E425" s="51"/>
      <c r="F425" s="51"/>
      <c r="G425" s="51" t="str">
        <f>IFERROR(__xludf.DUMMYFUNCTION("""COMPUTED_VALUE"""),"#VALUE!")</f>
        <v>#VALUE!</v>
      </c>
      <c r="H425" s="51" t="str">
        <f>IFERROR(__xludf.DUMMYFUNCTION("""COMPUTED_VALUE"""),"")</f>
        <v/>
      </c>
      <c r="I425" s="51" t="str">
        <f>IFERROR(__xludf.DUMMYFUNCTION("""COMPUTED_VALUE"""),"#VALUE!")</f>
        <v>#VALUE!</v>
      </c>
      <c r="J425" s="51" t="str">
        <f>IFERROR(__xludf.DUMMYFUNCTION("""COMPUTED_VALUE"""),"")</f>
        <v/>
      </c>
      <c r="K425" s="51"/>
      <c r="L425" s="51" t="s">
        <v>257</v>
      </c>
      <c r="M425" s="51"/>
      <c r="N425" s="51"/>
      <c r="O425" s="51"/>
      <c r="P425" s="51"/>
      <c r="Q425" s="51"/>
      <c r="R425" s="51"/>
      <c r="S425" s="51"/>
      <c r="T425" s="51"/>
    </row>
    <row r="426">
      <c r="A426" s="51"/>
      <c r="B426" s="51"/>
      <c r="C426" s="56"/>
      <c r="D426" s="51"/>
      <c r="E426" s="51"/>
      <c r="F426" s="51"/>
      <c r="G426" s="51" t="str">
        <f>IFERROR(__xludf.DUMMYFUNCTION("""COMPUTED_VALUE"""),"#VALUE!")</f>
        <v>#VALUE!</v>
      </c>
      <c r="H426" s="51" t="str">
        <f>IFERROR(__xludf.DUMMYFUNCTION("""COMPUTED_VALUE"""),"")</f>
        <v/>
      </c>
      <c r="I426" s="51" t="str">
        <f>IFERROR(__xludf.DUMMYFUNCTION("""COMPUTED_VALUE"""),"#VALUE!")</f>
        <v>#VALUE!</v>
      </c>
      <c r="J426" s="51" t="str">
        <f>IFERROR(__xludf.DUMMYFUNCTION("""COMPUTED_VALUE"""),"")</f>
        <v/>
      </c>
      <c r="K426" s="51"/>
      <c r="L426" s="51" t="s">
        <v>257</v>
      </c>
      <c r="M426" s="51"/>
      <c r="N426" s="51"/>
      <c r="O426" s="51"/>
      <c r="P426" s="51"/>
      <c r="Q426" s="51"/>
      <c r="R426" s="51"/>
      <c r="S426" s="51"/>
      <c r="T426" s="51"/>
    </row>
    <row r="427">
      <c r="A427" s="51"/>
      <c r="B427" s="51"/>
      <c r="C427" s="56"/>
      <c r="D427" s="51"/>
      <c r="E427" s="51"/>
      <c r="F427" s="51"/>
      <c r="G427" s="51" t="str">
        <f>IFERROR(__xludf.DUMMYFUNCTION("""COMPUTED_VALUE"""),"#VALUE!")</f>
        <v>#VALUE!</v>
      </c>
      <c r="H427" s="51" t="str">
        <f>IFERROR(__xludf.DUMMYFUNCTION("""COMPUTED_VALUE"""),"")</f>
        <v/>
      </c>
      <c r="I427" s="51" t="str">
        <f>IFERROR(__xludf.DUMMYFUNCTION("""COMPUTED_VALUE"""),"#VALUE!")</f>
        <v>#VALUE!</v>
      </c>
      <c r="J427" s="51" t="str">
        <f>IFERROR(__xludf.DUMMYFUNCTION("""COMPUTED_VALUE"""),"")</f>
        <v/>
      </c>
      <c r="K427" s="51"/>
      <c r="L427" s="51" t="s">
        <v>257</v>
      </c>
      <c r="M427" s="51"/>
      <c r="N427" s="51"/>
      <c r="O427" s="51"/>
      <c r="P427" s="51"/>
      <c r="Q427" s="51"/>
      <c r="R427" s="51"/>
      <c r="S427" s="51"/>
      <c r="T427" s="51"/>
    </row>
    <row r="428">
      <c r="A428" s="51"/>
      <c r="B428" s="51"/>
      <c r="C428" s="56"/>
      <c r="D428" s="51"/>
      <c r="E428" s="51"/>
      <c r="F428" s="51"/>
      <c r="G428" s="51" t="str">
        <f>IFERROR(__xludf.DUMMYFUNCTION("""COMPUTED_VALUE"""),"#VALUE!")</f>
        <v>#VALUE!</v>
      </c>
      <c r="H428" s="51" t="str">
        <f>IFERROR(__xludf.DUMMYFUNCTION("""COMPUTED_VALUE"""),"")</f>
        <v/>
      </c>
      <c r="I428" s="51" t="str">
        <f>IFERROR(__xludf.DUMMYFUNCTION("""COMPUTED_VALUE"""),"#VALUE!")</f>
        <v>#VALUE!</v>
      </c>
      <c r="J428" s="51" t="str">
        <f>IFERROR(__xludf.DUMMYFUNCTION("""COMPUTED_VALUE"""),"")</f>
        <v/>
      </c>
      <c r="K428" s="51"/>
      <c r="L428" s="51" t="s">
        <v>257</v>
      </c>
      <c r="M428" s="51"/>
      <c r="N428" s="51"/>
      <c r="O428" s="51"/>
      <c r="P428" s="51"/>
      <c r="Q428" s="51"/>
      <c r="R428" s="51"/>
      <c r="S428" s="51"/>
      <c r="T428" s="51"/>
    </row>
    <row r="429">
      <c r="A429" s="51"/>
      <c r="B429" s="51"/>
      <c r="C429" s="56"/>
      <c r="D429" s="51"/>
      <c r="E429" s="51"/>
      <c r="F429" s="51"/>
      <c r="G429" s="51" t="str">
        <f>IFERROR(__xludf.DUMMYFUNCTION("""COMPUTED_VALUE"""),"#VALUE!")</f>
        <v>#VALUE!</v>
      </c>
      <c r="H429" s="51" t="str">
        <f>IFERROR(__xludf.DUMMYFUNCTION("""COMPUTED_VALUE"""),"")</f>
        <v/>
      </c>
      <c r="I429" s="51" t="str">
        <f>IFERROR(__xludf.DUMMYFUNCTION("""COMPUTED_VALUE"""),"#VALUE!")</f>
        <v>#VALUE!</v>
      </c>
      <c r="J429" s="51" t="str">
        <f>IFERROR(__xludf.DUMMYFUNCTION("""COMPUTED_VALUE"""),"")</f>
        <v/>
      </c>
      <c r="K429" s="51"/>
      <c r="L429" s="51" t="s">
        <v>257</v>
      </c>
      <c r="M429" s="51"/>
      <c r="N429" s="51"/>
      <c r="O429" s="51"/>
      <c r="P429" s="51"/>
      <c r="Q429" s="51"/>
      <c r="R429" s="51"/>
      <c r="S429" s="51"/>
      <c r="T429" s="51"/>
    </row>
    <row r="430">
      <c r="A430" s="51"/>
      <c r="B430" s="51"/>
      <c r="C430" s="56"/>
      <c r="D430" s="51"/>
      <c r="E430" s="51"/>
      <c r="F430" s="51"/>
      <c r="G430" s="51" t="str">
        <f>IFERROR(__xludf.DUMMYFUNCTION("""COMPUTED_VALUE"""),"#VALUE!")</f>
        <v>#VALUE!</v>
      </c>
      <c r="H430" s="51" t="str">
        <f>IFERROR(__xludf.DUMMYFUNCTION("""COMPUTED_VALUE"""),"")</f>
        <v/>
      </c>
      <c r="I430" s="51" t="str">
        <f>IFERROR(__xludf.DUMMYFUNCTION("""COMPUTED_VALUE"""),"#VALUE!")</f>
        <v>#VALUE!</v>
      </c>
      <c r="J430" s="51" t="str">
        <f>IFERROR(__xludf.DUMMYFUNCTION("""COMPUTED_VALUE"""),"")</f>
        <v/>
      </c>
      <c r="K430" s="51"/>
      <c r="L430" s="51" t="s">
        <v>257</v>
      </c>
      <c r="M430" s="51"/>
      <c r="N430" s="51"/>
      <c r="O430" s="51"/>
      <c r="P430" s="51"/>
      <c r="Q430" s="51"/>
      <c r="R430" s="51"/>
      <c r="S430" s="51"/>
      <c r="T430" s="51"/>
    </row>
    <row r="431">
      <c r="A431" s="51"/>
      <c r="B431" s="51"/>
      <c r="C431" s="56"/>
      <c r="D431" s="51"/>
      <c r="E431" s="51"/>
      <c r="F431" s="51"/>
      <c r="G431" s="51" t="str">
        <f>IFERROR(__xludf.DUMMYFUNCTION("""COMPUTED_VALUE"""),"#VALUE!")</f>
        <v>#VALUE!</v>
      </c>
      <c r="H431" s="51" t="str">
        <f>IFERROR(__xludf.DUMMYFUNCTION("""COMPUTED_VALUE"""),"")</f>
        <v/>
      </c>
      <c r="I431" s="51" t="str">
        <f>IFERROR(__xludf.DUMMYFUNCTION("""COMPUTED_VALUE"""),"#VALUE!")</f>
        <v>#VALUE!</v>
      </c>
      <c r="J431" s="51" t="str">
        <f>IFERROR(__xludf.DUMMYFUNCTION("""COMPUTED_VALUE"""),"")</f>
        <v/>
      </c>
      <c r="K431" s="51"/>
      <c r="L431" s="51" t="s">
        <v>257</v>
      </c>
      <c r="M431" s="51"/>
      <c r="N431" s="51"/>
      <c r="O431" s="51"/>
      <c r="P431" s="51"/>
      <c r="Q431" s="51"/>
      <c r="R431" s="51"/>
      <c r="S431" s="51"/>
      <c r="T431" s="51"/>
    </row>
    <row r="432">
      <c r="A432" s="51"/>
      <c r="B432" s="51"/>
      <c r="C432" s="56"/>
      <c r="D432" s="51"/>
      <c r="E432" s="51"/>
      <c r="F432" s="51"/>
      <c r="G432" s="51" t="str">
        <f>IFERROR(__xludf.DUMMYFUNCTION("""COMPUTED_VALUE"""),"#VALUE!")</f>
        <v>#VALUE!</v>
      </c>
      <c r="H432" s="51" t="str">
        <f>IFERROR(__xludf.DUMMYFUNCTION("""COMPUTED_VALUE"""),"")</f>
        <v/>
      </c>
      <c r="I432" s="51" t="str">
        <f>IFERROR(__xludf.DUMMYFUNCTION("""COMPUTED_VALUE"""),"#VALUE!")</f>
        <v>#VALUE!</v>
      </c>
      <c r="J432" s="51" t="str">
        <f>IFERROR(__xludf.DUMMYFUNCTION("""COMPUTED_VALUE"""),"")</f>
        <v/>
      </c>
      <c r="K432" s="51"/>
      <c r="L432" s="51" t="s">
        <v>257</v>
      </c>
      <c r="M432" s="51"/>
      <c r="N432" s="51"/>
      <c r="O432" s="51"/>
      <c r="P432" s="51"/>
      <c r="Q432" s="51"/>
      <c r="R432" s="51"/>
      <c r="S432" s="51"/>
      <c r="T432" s="51"/>
    </row>
    <row r="433">
      <c r="A433" s="51"/>
      <c r="B433" s="51"/>
      <c r="C433" s="56"/>
      <c r="D433" s="51"/>
      <c r="E433" s="51"/>
      <c r="F433" s="51"/>
      <c r="G433" s="51" t="str">
        <f>IFERROR(__xludf.DUMMYFUNCTION("""COMPUTED_VALUE"""),"#VALUE!")</f>
        <v>#VALUE!</v>
      </c>
      <c r="H433" s="51" t="str">
        <f>IFERROR(__xludf.DUMMYFUNCTION("""COMPUTED_VALUE"""),"")</f>
        <v/>
      </c>
      <c r="I433" s="51" t="str">
        <f>IFERROR(__xludf.DUMMYFUNCTION("""COMPUTED_VALUE"""),"#VALUE!")</f>
        <v>#VALUE!</v>
      </c>
      <c r="J433" s="51" t="str">
        <f>IFERROR(__xludf.DUMMYFUNCTION("""COMPUTED_VALUE"""),"")</f>
        <v/>
      </c>
      <c r="K433" s="51"/>
      <c r="L433" s="51" t="s">
        <v>257</v>
      </c>
      <c r="M433" s="51"/>
      <c r="N433" s="51"/>
      <c r="O433" s="51"/>
      <c r="P433" s="51"/>
      <c r="Q433" s="51"/>
      <c r="R433" s="51"/>
      <c r="S433" s="51"/>
      <c r="T433" s="51"/>
    </row>
    <row r="434">
      <c r="A434" s="51"/>
      <c r="B434" s="51"/>
      <c r="C434" s="56"/>
      <c r="D434" s="51"/>
      <c r="E434" s="51"/>
      <c r="F434" s="51"/>
      <c r="G434" s="51" t="str">
        <f>IFERROR(__xludf.DUMMYFUNCTION("""COMPUTED_VALUE"""),"#VALUE!")</f>
        <v>#VALUE!</v>
      </c>
      <c r="H434" s="51" t="str">
        <f>IFERROR(__xludf.DUMMYFUNCTION("""COMPUTED_VALUE"""),"")</f>
        <v/>
      </c>
      <c r="I434" s="51" t="str">
        <f>IFERROR(__xludf.DUMMYFUNCTION("""COMPUTED_VALUE"""),"#VALUE!")</f>
        <v>#VALUE!</v>
      </c>
      <c r="J434" s="51" t="str">
        <f>IFERROR(__xludf.DUMMYFUNCTION("""COMPUTED_VALUE"""),"")</f>
        <v/>
      </c>
      <c r="K434" s="51"/>
      <c r="L434" s="51" t="s">
        <v>257</v>
      </c>
      <c r="M434" s="51"/>
      <c r="N434" s="51"/>
      <c r="O434" s="51"/>
      <c r="P434" s="51"/>
      <c r="Q434" s="51"/>
      <c r="R434" s="51"/>
      <c r="S434" s="51"/>
      <c r="T434" s="51"/>
    </row>
    <row r="435">
      <c r="A435" s="51"/>
      <c r="B435" s="51"/>
      <c r="C435" s="56"/>
      <c r="D435" s="51"/>
      <c r="E435" s="51"/>
      <c r="F435" s="51"/>
      <c r="G435" s="51" t="str">
        <f>IFERROR(__xludf.DUMMYFUNCTION("""COMPUTED_VALUE"""),"#VALUE!")</f>
        <v>#VALUE!</v>
      </c>
      <c r="H435" s="51" t="str">
        <f>IFERROR(__xludf.DUMMYFUNCTION("""COMPUTED_VALUE"""),"")</f>
        <v/>
      </c>
      <c r="I435" s="51" t="str">
        <f>IFERROR(__xludf.DUMMYFUNCTION("""COMPUTED_VALUE"""),"#VALUE!")</f>
        <v>#VALUE!</v>
      </c>
      <c r="J435" s="51" t="str">
        <f>IFERROR(__xludf.DUMMYFUNCTION("""COMPUTED_VALUE"""),"")</f>
        <v/>
      </c>
      <c r="K435" s="51"/>
      <c r="L435" s="51" t="s">
        <v>257</v>
      </c>
      <c r="M435" s="51"/>
      <c r="N435" s="51"/>
      <c r="O435" s="51"/>
      <c r="P435" s="51"/>
      <c r="Q435" s="51"/>
      <c r="R435" s="51"/>
      <c r="S435" s="51"/>
      <c r="T435" s="51"/>
    </row>
    <row r="436">
      <c r="A436" s="51"/>
      <c r="B436" s="51"/>
      <c r="C436" s="56"/>
      <c r="D436" s="51"/>
      <c r="E436" s="51"/>
      <c r="F436" s="51"/>
      <c r="G436" s="51" t="str">
        <f>IFERROR(__xludf.DUMMYFUNCTION("""COMPUTED_VALUE"""),"#VALUE!")</f>
        <v>#VALUE!</v>
      </c>
      <c r="H436" s="51" t="str">
        <f>IFERROR(__xludf.DUMMYFUNCTION("""COMPUTED_VALUE"""),"")</f>
        <v/>
      </c>
      <c r="I436" s="51" t="str">
        <f>IFERROR(__xludf.DUMMYFUNCTION("""COMPUTED_VALUE"""),"#VALUE!")</f>
        <v>#VALUE!</v>
      </c>
      <c r="J436" s="51" t="str">
        <f>IFERROR(__xludf.DUMMYFUNCTION("""COMPUTED_VALUE"""),"")</f>
        <v/>
      </c>
      <c r="K436" s="51"/>
      <c r="L436" s="51" t="s">
        <v>257</v>
      </c>
      <c r="M436" s="51"/>
      <c r="N436" s="51"/>
      <c r="O436" s="51"/>
      <c r="P436" s="51"/>
      <c r="Q436" s="51"/>
      <c r="R436" s="51"/>
      <c r="S436" s="51"/>
      <c r="T436" s="51"/>
    </row>
    <row r="437">
      <c r="A437" s="51"/>
      <c r="B437" s="51"/>
      <c r="C437" s="56"/>
      <c r="D437" s="51"/>
      <c r="E437" s="51"/>
      <c r="F437" s="51"/>
      <c r="G437" s="51" t="str">
        <f>IFERROR(__xludf.DUMMYFUNCTION("""COMPUTED_VALUE"""),"#VALUE!")</f>
        <v>#VALUE!</v>
      </c>
      <c r="H437" s="51" t="str">
        <f>IFERROR(__xludf.DUMMYFUNCTION("""COMPUTED_VALUE"""),"")</f>
        <v/>
      </c>
      <c r="I437" s="51" t="str">
        <f>IFERROR(__xludf.DUMMYFUNCTION("""COMPUTED_VALUE"""),"#VALUE!")</f>
        <v>#VALUE!</v>
      </c>
      <c r="J437" s="51" t="str">
        <f>IFERROR(__xludf.DUMMYFUNCTION("""COMPUTED_VALUE"""),"")</f>
        <v/>
      </c>
      <c r="K437" s="51"/>
      <c r="L437" s="51" t="s">
        <v>257</v>
      </c>
      <c r="M437" s="51"/>
      <c r="N437" s="51"/>
      <c r="O437" s="51"/>
      <c r="P437" s="51"/>
      <c r="Q437" s="51"/>
      <c r="R437" s="51"/>
      <c r="S437" s="51"/>
      <c r="T437" s="51"/>
    </row>
    <row r="438">
      <c r="A438" s="51"/>
      <c r="B438" s="51"/>
      <c r="C438" s="56"/>
      <c r="D438" s="51"/>
      <c r="E438" s="51"/>
      <c r="F438" s="51"/>
      <c r="G438" s="51" t="str">
        <f>IFERROR(__xludf.DUMMYFUNCTION("""COMPUTED_VALUE"""),"#VALUE!")</f>
        <v>#VALUE!</v>
      </c>
      <c r="H438" s="51" t="str">
        <f>IFERROR(__xludf.DUMMYFUNCTION("""COMPUTED_VALUE"""),"")</f>
        <v/>
      </c>
      <c r="I438" s="51" t="str">
        <f>IFERROR(__xludf.DUMMYFUNCTION("""COMPUTED_VALUE"""),"#VALUE!")</f>
        <v>#VALUE!</v>
      </c>
      <c r="J438" s="51" t="str">
        <f>IFERROR(__xludf.DUMMYFUNCTION("""COMPUTED_VALUE"""),"")</f>
        <v/>
      </c>
      <c r="K438" s="51"/>
      <c r="L438" s="51" t="s">
        <v>257</v>
      </c>
      <c r="M438" s="51"/>
      <c r="N438" s="51"/>
      <c r="O438" s="51"/>
      <c r="P438" s="51"/>
      <c r="Q438" s="51"/>
      <c r="R438" s="51"/>
      <c r="S438" s="51"/>
      <c r="T438" s="51"/>
    </row>
    <row r="439">
      <c r="A439" s="51"/>
      <c r="B439" s="51"/>
      <c r="C439" s="56"/>
      <c r="D439" s="51"/>
      <c r="E439" s="51"/>
      <c r="F439" s="51"/>
      <c r="G439" s="51" t="str">
        <f>IFERROR(__xludf.DUMMYFUNCTION("""COMPUTED_VALUE"""),"#VALUE!")</f>
        <v>#VALUE!</v>
      </c>
      <c r="H439" s="51" t="str">
        <f>IFERROR(__xludf.DUMMYFUNCTION("""COMPUTED_VALUE"""),"")</f>
        <v/>
      </c>
      <c r="I439" s="51" t="str">
        <f>IFERROR(__xludf.DUMMYFUNCTION("""COMPUTED_VALUE"""),"#VALUE!")</f>
        <v>#VALUE!</v>
      </c>
      <c r="J439" s="51" t="str">
        <f>IFERROR(__xludf.DUMMYFUNCTION("""COMPUTED_VALUE"""),"")</f>
        <v/>
      </c>
      <c r="K439" s="51"/>
      <c r="L439" s="51" t="s">
        <v>257</v>
      </c>
      <c r="M439" s="51"/>
      <c r="N439" s="51"/>
      <c r="O439" s="51"/>
      <c r="P439" s="51"/>
      <c r="Q439" s="51"/>
      <c r="R439" s="51"/>
      <c r="S439" s="51"/>
      <c r="T439" s="51"/>
    </row>
    <row r="440">
      <c r="A440" s="51"/>
      <c r="B440" s="51"/>
      <c r="C440" s="56"/>
      <c r="D440" s="51"/>
      <c r="E440" s="51"/>
      <c r="F440" s="51"/>
      <c r="G440" s="51" t="str">
        <f>IFERROR(__xludf.DUMMYFUNCTION("""COMPUTED_VALUE"""),"#VALUE!")</f>
        <v>#VALUE!</v>
      </c>
      <c r="H440" s="51" t="str">
        <f>IFERROR(__xludf.DUMMYFUNCTION("""COMPUTED_VALUE"""),"")</f>
        <v/>
      </c>
      <c r="I440" s="51" t="str">
        <f>IFERROR(__xludf.DUMMYFUNCTION("""COMPUTED_VALUE"""),"#VALUE!")</f>
        <v>#VALUE!</v>
      </c>
      <c r="J440" s="51" t="str">
        <f>IFERROR(__xludf.DUMMYFUNCTION("""COMPUTED_VALUE"""),"")</f>
        <v/>
      </c>
      <c r="K440" s="51"/>
      <c r="L440" s="51" t="s">
        <v>257</v>
      </c>
      <c r="M440" s="51"/>
      <c r="N440" s="51"/>
      <c r="O440" s="51"/>
      <c r="P440" s="51"/>
      <c r="Q440" s="51"/>
      <c r="R440" s="51"/>
      <c r="S440" s="51"/>
      <c r="T440" s="51"/>
    </row>
    <row r="441">
      <c r="A441" s="51"/>
      <c r="B441" s="51"/>
      <c r="C441" s="56"/>
      <c r="D441" s="51"/>
      <c r="E441" s="51"/>
      <c r="F441" s="51"/>
      <c r="G441" s="51" t="str">
        <f>IFERROR(__xludf.DUMMYFUNCTION("""COMPUTED_VALUE"""),"#VALUE!")</f>
        <v>#VALUE!</v>
      </c>
      <c r="H441" s="51" t="str">
        <f>IFERROR(__xludf.DUMMYFUNCTION("""COMPUTED_VALUE"""),"")</f>
        <v/>
      </c>
      <c r="I441" s="51" t="str">
        <f>IFERROR(__xludf.DUMMYFUNCTION("""COMPUTED_VALUE"""),"#VALUE!")</f>
        <v>#VALUE!</v>
      </c>
      <c r="J441" s="51" t="str">
        <f>IFERROR(__xludf.DUMMYFUNCTION("""COMPUTED_VALUE"""),"")</f>
        <v/>
      </c>
      <c r="K441" s="51"/>
      <c r="L441" s="51" t="s">
        <v>257</v>
      </c>
      <c r="M441" s="51"/>
      <c r="N441" s="51"/>
      <c r="O441" s="51"/>
      <c r="P441" s="51"/>
      <c r="Q441" s="51"/>
      <c r="R441" s="51"/>
      <c r="S441" s="51"/>
      <c r="T441" s="51"/>
    </row>
    <row r="442">
      <c r="A442" s="51"/>
      <c r="B442" s="51"/>
      <c r="C442" s="56"/>
      <c r="D442" s="51"/>
      <c r="E442" s="51"/>
      <c r="F442" s="51"/>
      <c r="G442" s="51" t="str">
        <f>IFERROR(__xludf.DUMMYFUNCTION("""COMPUTED_VALUE"""),"#VALUE!")</f>
        <v>#VALUE!</v>
      </c>
      <c r="H442" s="51" t="str">
        <f>IFERROR(__xludf.DUMMYFUNCTION("""COMPUTED_VALUE"""),"")</f>
        <v/>
      </c>
      <c r="I442" s="51" t="str">
        <f>IFERROR(__xludf.DUMMYFUNCTION("""COMPUTED_VALUE"""),"#VALUE!")</f>
        <v>#VALUE!</v>
      </c>
      <c r="J442" s="51" t="str">
        <f>IFERROR(__xludf.DUMMYFUNCTION("""COMPUTED_VALUE"""),"")</f>
        <v/>
      </c>
      <c r="K442" s="51"/>
      <c r="L442" s="51" t="s">
        <v>257</v>
      </c>
      <c r="M442" s="51"/>
      <c r="N442" s="51"/>
      <c r="O442" s="51"/>
      <c r="P442" s="51"/>
      <c r="Q442" s="51"/>
      <c r="R442" s="51"/>
      <c r="S442" s="51"/>
      <c r="T442" s="51"/>
    </row>
    <row r="443">
      <c r="A443" s="51"/>
      <c r="B443" s="51"/>
      <c r="C443" s="56"/>
      <c r="D443" s="51"/>
      <c r="E443" s="51"/>
      <c r="F443" s="51"/>
      <c r="G443" s="51" t="str">
        <f>IFERROR(__xludf.DUMMYFUNCTION("""COMPUTED_VALUE"""),"#VALUE!")</f>
        <v>#VALUE!</v>
      </c>
      <c r="H443" s="51" t="str">
        <f>IFERROR(__xludf.DUMMYFUNCTION("""COMPUTED_VALUE"""),"")</f>
        <v/>
      </c>
      <c r="I443" s="51" t="str">
        <f>IFERROR(__xludf.DUMMYFUNCTION("""COMPUTED_VALUE"""),"#VALUE!")</f>
        <v>#VALUE!</v>
      </c>
      <c r="J443" s="51" t="str">
        <f>IFERROR(__xludf.DUMMYFUNCTION("""COMPUTED_VALUE"""),"")</f>
        <v/>
      </c>
      <c r="K443" s="51"/>
      <c r="L443" s="51" t="s">
        <v>257</v>
      </c>
      <c r="M443" s="51"/>
      <c r="N443" s="51"/>
      <c r="O443" s="51"/>
      <c r="P443" s="51"/>
      <c r="Q443" s="51"/>
      <c r="R443" s="51"/>
      <c r="S443" s="51"/>
      <c r="T443" s="51"/>
    </row>
    <row r="444">
      <c r="A444" s="51"/>
      <c r="B444" s="51"/>
      <c r="C444" s="56"/>
      <c r="D444" s="51"/>
      <c r="E444" s="51"/>
      <c r="F444" s="51"/>
      <c r="G444" s="51" t="str">
        <f>IFERROR(__xludf.DUMMYFUNCTION("""COMPUTED_VALUE"""),"#VALUE!")</f>
        <v>#VALUE!</v>
      </c>
      <c r="H444" s="51" t="str">
        <f>IFERROR(__xludf.DUMMYFUNCTION("""COMPUTED_VALUE"""),"")</f>
        <v/>
      </c>
      <c r="I444" s="51" t="str">
        <f>IFERROR(__xludf.DUMMYFUNCTION("""COMPUTED_VALUE"""),"#VALUE!")</f>
        <v>#VALUE!</v>
      </c>
      <c r="J444" s="51" t="str">
        <f>IFERROR(__xludf.DUMMYFUNCTION("""COMPUTED_VALUE"""),"")</f>
        <v/>
      </c>
      <c r="K444" s="51"/>
      <c r="L444" s="51" t="s">
        <v>257</v>
      </c>
      <c r="M444" s="51"/>
      <c r="N444" s="51"/>
      <c r="O444" s="51"/>
      <c r="P444" s="51"/>
      <c r="Q444" s="51"/>
      <c r="R444" s="51"/>
      <c r="S444" s="51"/>
      <c r="T444" s="51"/>
    </row>
    <row r="445">
      <c r="A445" s="51"/>
      <c r="B445" s="51"/>
      <c r="C445" s="56"/>
      <c r="D445" s="51"/>
      <c r="E445" s="51"/>
      <c r="F445" s="51"/>
      <c r="G445" s="51" t="str">
        <f>IFERROR(__xludf.DUMMYFUNCTION("""COMPUTED_VALUE"""),"#VALUE!")</f>
        <v>#VALUE!</v>
      </c>
      <c r="H445" s="51" t="str">
        <f>IFERROR(__xludf.DUMMYFUNCTION("""COMPUTED_VALUE"""),"")</f>
        <v/>
      </c>
      <c r="I445" s="51" t="str">
        <f>IFERROR(__xludf.DUMMYFUNCTION("""COMPUTED_VALUE"""),"#VALUE!")</f>
        <v>#VALUE!</v>
      </c>
      <c r="J445" s="51" t="str">
        <f>IFERROR(__xludf.DUMMYFUNCTION("""COMPUTED_VALUE"""),"")</f>
        <v/>
      </c>
      <c r="K445" s="51"/>
      <c r="L445" s="51" t="s">
        <v>257</v>
      </c>
      <c r="M445" s="51"/>
      <c r="N445" s="51"/>
      <c r="O445" s="51"/>
      <c r="P445" s="51"/>
      <c r="Q445" s="51"/>
      <c r="R445" s="51"/>
      <c r="S445" s="51"/>
      <c r="T445" s="51"/>
    </row>
    <row r="446">
      <c r="A446" s="51"/>
      <c r="B446" s="51"/>
      <c r="C446" s="56"/>
      <c r="D446" s="51"/>
      <c r="E446" s="51"/>
      <c r="F446" s="51"/>
      <c r="G446" s="51" t="str">
        <f>IFERROR(__xludf.DUMMYFUNCTION("""COMPUTED_VALUE"""),"#VALUE!")</f>
        <v>#VALUE!</v>
      </c>
      <c r="H446" s="51" t="str">
        <f>IFERROR(__xludf.DUMMYFUNCTION("""COMPUTED_VALUE"""),"")</f>
        <v/>
      </c>
      <c r="I446" s="51" t="str">
        <f>IFERROR(__xludf.DUMMYFUNCTION("""COMPUTED_VALUE"""),"#VALUE!")</f>
        <v>#VALUE!</v>
      </c>
      <c r="J446" s="51" t="str">
        <f>IFERROR(__xludf.DUMMYFUNCTION("""COMPUTED_VALUE"""),"")</f>
        <v/>
      </c>
      <c r="K446" s="51"/>
      <c r="L446" s="51" t="s">
        <v>257</v>
      </c>
      <c r="M446" s="51"/>
      <c r="N446" s="51"/>
      <c r="O446" s="51"/>
      <c r="P446" s="51"/>
      <c r="Q446" s="51"/>
      <c r="R446" s="51"/>
      <c r="S446" s="51"/>
      <c r="T446" s="51"/>
    </row>
    <row r="447">
      <c r="A447" s="51"/>
      <c r="B447" s="51"/>
      <c r="C447" s="56"/>
      <c r="D447" s="51"/>
      <c r="E447" s="51"/>
      <c r="F447" s="51"/>
      <c r="G447" s="51" t="str">
        <f>IFERROR(__xludf.DUMMYFUNCTION("""COMPUTED_VALUE"""),"#VALUE!")</f>
        <v>#VALUE!</v>
      </c>
      <c r="H447" s="51" t="str">
        <f>IFERROR(__xludf.DUMMYFUNCTION("""COMPUTED_VALUE"""),"")</f>
        <v/>
      </c>
      <c r="I447" s="51" t="str">
        <f>IFERROR(__xludf.DUMMYFUNCTION("""COMPUTED_VALUE"""),"#VALUE!")</f>
        <v>#VALUE!</v>
      </c>
      <c r="J447" s="51" t="str">
        <f>IFERROR(__xludf.DUMMYFUNCTION("""COMPUTED_VALUE"""),"")</f>
        <v/>
      </c>
      <c r="K447" s="51"/>
      <c r="L447" s="51" t="s">
        <v>257</v>
      </c>
      <c r="M447" s="51"/>
      <c r="N447" s="51"/>
      <c r="O447" s="51"/>
      <c r="P447" s="51"/>
      <c r="Q447" s="51"/>
      <c r="R447" s="51"/>
      <c r="S447" s="51"/>
      <c r="T447" s="51"/>
    </row>
    <row r="448">
      <c r="A448" s="51"/>
      <c r="B448" s="51"/>
      <c r="C448" s="56"/>
      <c r="D448" s="51"/>
      <c r="E448" s="51"/>
      <c r="F448" s="51"/>
      <c r="G448" s="51" t="str">
        <f>IFERROR(__xludf.DUMMYFUNCTION("""COMPUTED_VALUE"""),"#VALUE!")</f>
        <v>#VALUE!</v>
      </c>
      <c r="H448" s="51" t="str">
        <f>IFERROR(__xludf.DUMMYFUNCTION("""COMPUTED_VALUE"""),"")</f>
        <v/>
      </c>
      <c r="I448" s="51" t="str">
        <f>IFERROR(__xludf.DUMMYFUNCTION("""COMPUTED_VALUE"""),"#VALUE!")</f>
        <v>#VALUE!</v>
      </c>
      <c r="J448" s="51" t="str">
        <f>IFERROR(__xludf.DUMMYFUNCTION("""COMPUTED_VALUE"""),"")</f>
        <v/>
      </c>
      <c r="K448" s="51"/>
      <c r="L448" s="51" t="s">
        <v>257</v>
      </c>
      <c r="M448" s="51"/>
      <c r="N448" s="51"/>
      <c r="O448" s="51"/>
      <c r="P448" s="51"/>
      <c r="Q448" s="51"/>
      <c r="R448" s="51"/>
      <c r="S448" s="51"/>
      <c r="T448" s="51"/>
    </row>
    <row r="449">
      <c r="A449" s="51"/>
      <c r="B449" s="51"/>
      <c r="C449" s="56"/>
      <c r="D449" s="51"/>
      <c r="E449" s="51"/>
      <c r="F449" s="51"/>
      <c r="G449" s="51" t="str">
        <f>IFERROR(__xludf.DUMMYFUNCTION("""COMPUTED_VALUE"""),"#VALUE!")</f>
        <v>#VALUE!</v>
      </c>
      <c r="H449" s="51" t="str">
        <f>IFERROR(__xludf.DUMMYFUNCTION("""COMPUTED_VALUE"""),"")</f>
        <v/>
      </c>
      <c r="I449" s="51" t="str">
        <f>IFERROR(__xludf.DUMMYFUNCTION("""COMPUTED_VALUE"""),"#VALUE!")</f>
        <v>#VALUE!</v>
      </c>
      <c r="J449" s="51" t="str">
        <f>IFERROR(__xludf.DUMMYFUNCTION("""COMPUTED_VALUE"""),"")</f>
        <v/>
      </c>
      <c r="K449" s="51"/>
      <c r="L449" s="51" t="s">
        <v>257</v>
      </c>
      <c r="M449" s="51"/>
      <c r="N449" s="51"/>
      <c r="O449" s="51"/>
      <c r="P449" s="51"/>
      <c r="Q449" s="51"/>
      <c r="R449" s="51"/>
      <c r="S449" s="51"/>
      <c r="T449" s="51"/>
    </row>
    <row r="450">
      <c r="A450" s="51"/>
      <c r="B450" s="51"/>
      <c r="C450" s="56"/>
      <c r="D450" s="51"/>
      <c r="E450" s="51"/>
      <c r="F450" s="51"/>
      <c r="G450" s="51" t="str">
        <f>IFERROR(__xludf.DUMMYFUNCTION("""COMPUTED_VALUE"""),"#VALUE!")</f>
        <v>#VALUE!</v>
      </c>
      <c r="H450" s="51" t="str">
        <f>IFERROR(__xludf.DUMMYFUNCTION("""COMPUTED_VALUE"""),"")</f>
        <v/>
      </c>
      <c r="I450" s="51" t="str">
        <f>IFERROR(__xludf.DUMMYFUNCTION("""COMPUTED_VALUE"""),"#VALUE!")</f>
        <v>#VALUE!</v>
      </c>
      <c r="J450" s="51" t="str">
        <f>IFERROR(__xludf.DUMMYFUNCTION("""COMPUTED_VALUE"""),"")</f>
        <v/>
      </c>
      <c r="K450" s="51"/>
      <c r="L450" s="51" t="s">
        <v>257</v>
      </c>
      <c r="M450" s="51"/>
      <c r="N450" s="51"/>
      <c r="O450" s="51"/>
      <c r="P450" s="51"/>
      <c r="Q450" s="51"/>
      <c r="R450" s="51"/>
      <c r="S450" s="51"/>
      <c r="T450" s="51"/>
    </row>
    <row r="451">
      <c r="A451" s="51"/>
      <c r="B451" s="51"/>
      <c r="C451" s="56"/>
      <c r="D451" s="51"/>
      <c r="E451" s="51"/>
      <c r="F451" s="51"/>
      <c r="G451" s="51" t="str">
        <f>IFERROR(__xludf.DUMMYFUNCTION("""COMPUTED_VALUE"""),"#VALUE!")</f>
        <v>#VALUE!</v>
      </c>
      <c r="H451" s="51" t="str">
        <f>IFERROR(__xludf.DUMMYFUNCTION("""COMPUTED_VALUE"""),"")</f>
        <v/>
      </c>
      <c r="I451" s="51" t="str">
        <f>IFERROR(__xludf.DUMMYFUNCTION("""COMPUTED_VALUE"""),"#VALUE!")</f>
        <v>#VALUE!</v>
      </c>
      <c r="J451" s="51" t="str">
        <f>IFERROR(__xludf.DUMMYFUNCTION("""COMPUTED_VALUE"""),"")</f>
        <v/>
      </c>
      <c r="K451" s="51"/>
      <c r="L451" s="51" t="s">
        <v>257</v>
      </c>
      <c r="M451" s="51"/>
      <c r="N451" s="51"/>
      <c r="O451" s="51"/>
      <c r="P451" s="51"/>
      <c r="Q451" s="51"/>
      <c r="R451" s="51"/>
      <c r="S451" s="51"/>
      <c r="T451" s="51"/>
    </row>
    <row r="452">
      <c r="A452" s="51"/>
      <c r="B452" s="51"/>
      <c r="C452" s="56"/>
      <c r="D452" s="51"/>
      <c r="E452" s="51"/>
      <c r="F452" s="51"/>
      <c r="G452" s="51" t="str">
        <f>IFERROR(__xludf.DUMMYFUNCTION("""COMPUTED_VALUE"""),"#VALUE!")</f>
        <v>#VALUE!</v>
      </c>
      <c r="H452" s="51" t="str">
        <f>IFERROR(__xludf.DUMMYFUNCTION("""COMPUTED_VALUE"""),"")</f>
        <v/>
      </c>
      <c r="I452" s="51" t="str">
        <f>IFERROR(__xludf.DUMMYFUNCTION("""COMPUTED_VALUE"""),"#VALUE!")</f>
        <v>#VALUE!</v>
      </c>
      <c r="J452" s="51" t="str">
        <f>IFERROR(__xludf.DUMMYFUNCTION("""COMPUTED_VALUE"""),"")</f>
        <v/>
      </c>
      <c r="K452" s="51"/>
      <c r="L452" s="51" t="s">
        <v>257</v>
      </c>
      <c r="M452" s="51"/>
      <c r="N452" s="51"/>
      <c r="O452" s="51"/>
      <c r="P452" s="51"/>
      <c r="Q452" s="51"/>
      <c r="R452" s="51"/>
      <c r="S452" s="51"/>
      <c r="T452" s="51"/>
    </row>
    <row r="453">
      <c r="A453" s="51"/>
      <c r="B453" s="51"/>
      <c r="C453" s="56"/>
      <c r="D453" s="51"/>
      <c r="E453" s="51"/>
      <c r="F453" s="51"/>
      <c r="G453" s="51" t="str">
        <f>IFERROR(__xludf.DUMMYFUNCTION("""COMPUTED_VALUE"""),"#VALUE!")</f>
        <v>#VALUE!</v>
      </c>
      <c r="H453" s="51" t="str">
        <f>IFERROR(__xludf.DUMMYFUNCTION("""COMPUTED_VALUE"""),"")</f>
        <v/>
      </c>
      <c r="I453" s="51" t="str">
        <f>IFERROR(__xludf.DUMMYFUNCTION("""COMPUTED_VALUE"""),"#VALUE!")</f>
        <v>#VALUE!</v>
      </c>
      <c r="J453" s="51" t="str">
        <f>IFERROR(__xludf.DUMMYFUNCTION("""COMPUTED_VALUE"""),"")</f>
        <v/>
      </c>
      <c r="K453" s="51"/>
      <c r="L453" s="51" t="s">
        <v>257</v>
      </c>
      <c r="M453" s="51"/>
      <c r="N453" s="51"/>
      <c r="O453" s="51"/>
      <c r="P453" s="51"/>
      <c r="Q453" s="51"/>
      <c r="R453" s="51"/>
      <c r="S453" s="51"/>
      <c r="T453" s="51"/>
    </row>
    <row r="454">
      <c r="A454" s="51"/>
      <c r="B454" s="51"/>
      <c r="C454" s="56"/>
      <c r="D454" s="51"/>
      <c r="E454" s="51"/>
      <c r="F454" s="51"/>
      <c r="G454" s="51" t="str">
        <f>IFERROR(__xludf.DUMMYFUNCTION("""COMPUTED_VALUE"""),"#VALUE!")</f>
        <v>#VALUE!</v>
      </c>
      <c r="H454" s="51" t="str">
        <f>IFERROR(__xludf.DUMMYFUNCTION("""COMPUTED_VALUE"""),"")</f>
        <v/>
      </c>
      <c r="I454" s="51" t="str">
        <f>IFERROR(__xludf.DUMMYFUNCTION("""COMPUTED_VALUE"""),"#VALUE!")</f>
        <v>#VALUE!</v>
      </c>
      <c r="J454" s="51" t="str">
        <f>IFERROR(__xludf.DUMMYFUNCTION("""COMPUTED_VALUE"""),"")</f>
        <v/>
      </c>
      <c r="K454" s="51"/>
      <c r="L454" s="51" t="s">
        <v>257</v>
      </c>
      <c r="M454" s="51"/>
      <c r="N454" s="51"/>
      <c r="O454" s="51"/>
      <c r="P454" s="51"/>
      <c r="Q454" s="51"/>
      <c r="R454" s="51"/>
      <c r="S454" s="51"/>
      <c r="T454" s="51"/>
    </row>
    <row r="455">
      <c r="A455" s="51"/>
      <c r="B455" s="51"/>
      <c r="C455" s="56"/>
      <c r="D455" s="51"/>
      <c r="E455" s="51"/>
      <c r="F455" s="51"/>
      <c r="G455" s="51" t="str">
        <f>IFERROR(__xludf.DUMMYFUNCTION("""COMPUTED_VALUE"""),"#VALUE!")</f>
        <v>#VALUE!</v>
      </c>
      <c r="H455" s="51" t="str">
        <f>IFERROR(__xludf.DUMMYFUNCTION("""COMPUTED_VALUE"""),"")</f>
        <v/>
      </c>
      <c r="I455" s="51" t="str">
        <f>IFERROR(__xludf.DUMMYFUNCTION("""COMPUTED_VALUE"""),"#VALUE!")</f>
        <v>#VALUE!</v>
      </c>
      <c r="J455" s="51" t="str">
        <f>IFERROR(__xludf.DUMMYFUNCTION("""COMPUTED_VALUE"""),"")</f>
        <v/>
      </c>
      <c r="K455" s="51"/>
      <c r="L455" s="51" t="s">
        <v>257</v>
      </c>
      <c r="M455" s="51"/>
      <c r="N455" s="51"/>
      <c r="O455" s="51"/>
      <c r="P455" s="51"/>
      <c r="Q455" s="51"/>
      <c r="R455" s="51"/>
      <c r="S455" s="51"/>
      <c r="T455" s="51"/>
    </row>
    <row r="456">
      <c r="A456" s="51"/>
      <c r="B456" s="51"/>
      <c r="C456" s="56"/>
      <c r="D456" s="51"/>
      <c r="E456" s="51"/>
      <c r="F456" s="51"/>
      <c r="G456" s="51" t="str">
        <f>IFERROR(__xludf.DUMMYFUNCTION("""COMPUTED_VALUE"""),"#VALUE!")</f>
        <v>#VALUE!</v>
      </c>
      <c r="H456" s="51" t="str">
        <f>IFERROR(__xludf.DUMMYFUNCTION("""COMPUTED_VALUE"""),"")</f>
        <v/>
      </c>
      <c r="I456" s="51" t="str">
        <f>IFERROR(__xludf.DUMMYFUNCTION("""COMPUTED_VALUE"""),"#VALUE!")</f>
        <v>#VALUE!</v>
      </c>
      <c r="J456" s="51" t="str">
        <f>IFERROR(__xludf.DUMMYFUNCTION("""COMPUTED_VALUE"""),"")</f>
        <v/>
      </c>
      <c r="K456" s="51"/>
      <c r="L456" s="51" t="s">
        <v>257</v>
      </c>
      <c r="M456" s="51"/>
      <c r="N456" s="51"/>
      <c r="O456" s="51"/>
      <c r="P456" s="51"/>
      <c r="Q456" s="51"/>
      <c r="R456" s="51"/>
      <c r="S456" s="51"/>
      <c r="T456" s="51"/>
    </row>
    <row r="457">
      <c r="A457" s="51"/>
      <c r="B457" s="51"/>
      <c r="C457" s="56"/>
      <c r="D457" s="51"/>
      <c r="E457" s="51"/>
      <c r="F457" s="51"/>
      <c r="G457" s="51" t="str">
        <f>IFERROR(__xludf.DUMMYFUNCTION("""COMPUTED_VALUE"""),"#VALUE!")</f>
        <v>#VALUE!</v>
      </c>
      <c r="H457" s="51" t="str">
        <f>IFERROR(__xludf.DUMMYFUNCTION("""COMPUTED_VALUE"""),"")</f>
        <v/>
      </c>
      <c r="I457" s="51" t="str">
        <f>IFERROR(__xludf.DUMMYFUNCTION("""COMPUTED_VALUE"""),"#VALUE!")</f>
        <v>#VALUE!</v>
      </c>
      <c r="J457" s="51" t="str">
        <f>IFERROR(__xludf.DUMMYFUNCTION("""COMPUTED_VALUE"""),"")</f>
        <v/>
      </c>
      <c r="K457" s="51"/>
      <c r="L457" s="51" t="s">
        <v>257</v>
      </c>
      <c r="M457" s="51"/>
      <c r="N457" s="51"/>
      <c r="O457" s="51"/>
      <c r="P457" s="51"/>
      <c r="Q457" s="51"/>
      <c r="R457" s="51"/>
      <c r="S457" s="51"/>
      <c r="T457" s="51"/>
    </row>
    <row r="458">
      <c r="A458" s="51"/>
      <c r="B458" s="51"/>
      <c r="C458" s="56"/>
      <c r="D458" s="51"/>
      <c r="E458" s="51"/>
      <c r="F458" s="51"/>
      <c r="G458" s="51" t="str">
        <f>IFERROR(__xludf.DUMMYFUNCTION("""COMPUTED_VALUE"""),"#VALUE!")</f>
        <v>#VALUE!</v>
      </c>
      <c r="H458" s="51" t="str">
        <f>IFERROR(__xludf.DUMMYFUNCTION("""COMPUTED_VALUE"""),"")</f>
        <v/>
      </c>
      <c r="I458" s="51" t="str">
        <f>IFERROR(__xludf.DUMMYFUNCTION("""COMPUTED_VALUE"""),"#VALUE!")</f>
        <v>#VALUE!</v>
      </c>
      <c r="J458" s="51" t="str">
        <f>IFERROR(__xludf.DUMMYFUNCTION("""COMPUTED_VALUE"""),"")</f>
        <v/>
      </c>
      <c r="K458" s="51"/>
      <c r="L458" s="51" t="s">
        <v>257</v>
      </c>
      <c r="M458" s="51"/>
      <c r="N458" s="51"/>
      <c r="O458" s="51"/>
      <c r="P458" s="51"/>
      <c r="Q458" s="51"/>
      <c r="R458" s="51"/>
      <c r="S458" s="51"/>
      <c r="T458" s="51"/>
    </row>
    <row r="459">
      <c r="A459" s="51"/>
      <c r="B459" s="51"/>
      <c r="C459" s="56"/>
      <c r="D459" s="51"/>
      <c r="E459" s="51"/>
      <c r="F459" s="51"/>
      <c r="G459" s="51" t="str">
        <f>IFERROR(__xludf.DUMMYFUNCTION("""COMPUTED_VALUE"""),"#VALUE!")</f>
        <v>#VALUE!</v>
      </c>
      <c r="H459" s="51" t="str">
        <f>IFERROR(__xludf.DUMMYFUNCTION("""COMPUTED_VALUE"""),"")</f>
        <v/>
      </c>
      <c r="I459" s="51" t="str">
        <f>IFERROR(__xludf.DUMMYFUNCTION("""COMPUTED_VALUE"""),"#VALUE!")</f>
        <v>#VALUE!</v>
      </c>
      <c r="J459" s="51" t="str">
        <f>IFERROR(__xludf.DUMMYFUNCTION("""COMPUTED_VALUE"""),"")</f>
        <v/>
      </c>
      <c r="K459" s="51"/>
      <c r="L459" s="51" t="s">
        <v>257</v>
      </c>
      <c r="M459" s="51"/>
      <c r="N459" s="51"/>
      <c r="O459" s="51"/>
      <c r="P459" s="51"/>
      <c r="Q459" s="51"/>
      <c r="R459" s="51"/>
      <c r="S459" s="51"/>
      <c r="T459" s="51"/>
    </row>
    <row r="460">
      <c r="A460" s="51"/>
      <c r="B460" s="51"/>
      <c r="C460" s="56"/>
      <c r="D460" s="51"/>
      <c r="E460" s="51"/>
      <c r="F460" s="51"/>
      <c r="G460" s="51" t="str">
        <f>IFERROR(__xludf.DUMMYFUNCTION("""COMPUTED_VALUE"""),"#VALUE!")</f>
        <v>#VALUE!</v>
      </c>
      <c r="H460" s="51" t="str">
        <f>IFERROR(__xludf.DUMMYFUNCTION("""COMPUTED_VALUE"""),"")</f>
        <v/>
      </c>
      <c r="I460" s="51" t="str">
        <f>IFERROR(__xludf.DUMMYFUNCTION("""COMPUTED_VALUE"""),"#VALUE!")</f>
        <v>#VALUE!</v>
      </c>
      <c r="J460" s="51" t="str">
        <f>IFERROR(__xludf.DUMMYFUNCTION("""COMPUTED_VALUE"""),"")</f>
        <v/>
      </c>
      <c r="K460" s="51"/>
      <c r="L460" s="51" t="s">
        <v>257</v>
      </c>
      <c r="M460" s="51"/>
      <c r="N460" s="51"/>
      <c r="O460" s="51"/>
      <c r="P460" s="51"/>
      <c r="Q460" s="51"/>
      <c r="R460" s="51"/>
      <c r="S460" s="51"/>
      <c r="T460" s="51"/>
    </row>
    <row r="461">
      <c r="A461" s="51"/>
      <c r="B461" s="51"/>
      <c r="C461" s="56"/>
      <c r="D461" s="51"/>
      <c r="E461" s="51"/>
      <c r="F461" s="51"/>
      <c r="G461" s="51" t="str">
        <f>IFERROR(__xludf.DUMMYFUNCTION("""COMPUTED_VALUE"""),"#VALUE!")</f>
        <v>#VALUE!</v>
      </c>
      <c r="H461" s="51" t="str">
        <f>IFERROR(__xludf.DUMMYFUNCTION("""COMPUTED_VALUE"""),"")</f>
        <v/>
      </c>
      <c r="I461" s="51" t="str">
        <f>IFERROR(__xludf.DUMMYFUNCTION("""COMPUTED_VALUE"""),"#VALUE!")</f>
        <v>#VALUE!</v>
      </c>
      <c r="J461" s="51" t="str">
        <f>IFERROR(__xludf.DUMMYFUNCTION("""COMPUTED_VALUE"""),"")</f>
        <v/>
      </c>
      <c r="K461" s="51"/>
      <c r="L461" s="51" t="s">
        <v>257</v>
      </c>
      <c r="M461" s="51"/>
      <c r="N461" s="51"/>
      <c r="O461" s="51"/>
      <c r="P461" s="51"/>
      <c r="Q461" s="51"/>
      <c r="R461" s="51"/>
      <c r="S461" s="51"/>
      <c r="T461" s="51"/>
    </row>
    <row r="462">
      <c r="A462" s="51"/>
      <c r="B462" s="51"/>
      <c r="C462" s="56"/>
      <c r="D462" s="51"/>
      <c r="E462" s="51"/>
      <c r="F462" s="51"/>
      <c r="G462" s="51" t="str">
        <f>IFERROR(__xludf.DUMMYFUNCTION("""COMPUTED_VALUE"""),"#VALUE!")</f>
        <v>#VALUE!</v>
      </c>
      <c r="H462" s="51" t="str">
        <f>IFERROR(__xludf.DUMMYFUNCTION("""COMPUTED_VALUE"""),"")</f>
        <v/>
      </c>
      <c r="I462" s="51" t="str">
        <f>IFERROR(__xludf.DUMMYFUNCTION("""COMPUTED_VALUE"""),"#VALUE!")</f>
        <v>#VALUE!</v>
      </c>
      <c r="J462" s="51" t="str">
        <f>IFERROR(__xludf.DUMMYFUNCTION("""COMPUTED_VALUE"""),"")</f>
        <v/>
      </c>
      <c r="K462" s="51"/>
      <c r="L462" s="51" t="s">
        <v>257</v>
      </c>
      <c r="M462" s="51"/>
      <c r="N462" s="51"/>
      <c r="O462" s="51"/>
      <c r="P462" s="51"/>
      <c r="Q462" s="51"/>
      <c r="R462" s="51"/>
      <c r="S462" s="51"/>
      <c r="T462" s="51"/>
    </row>
    <row r="463">
      <c r="A463" s="51"/>
      <c r="B463" s="51"/>
      <c r="C463" s="56"/>
      <c r="D463" s="51"/>
      <c r="E463" s="51"/>
      <c r="F463" s="51"/>
      <c r="G463" s="51" t="str">
        <f>IFERROR(__xludf.DUMMYFUNCTION("""COMPUTED_VALUE"""),"#VALUE!")</f>
        <v>#VALUE!</v>
      </c>
      <c r="H463" s="51" t="str">
        <f>IFERROR(__xludf.DUMMYFUNCTION("""COMPUTED_VALUE"""),"")</f>
        <v/>
      </c>
      <c r="I463" s="51" t="str">
        <f>IFERROR(__xludf.DUMMYFUNCTION("""COMPUTED_VALUE"""),"#VALUE!")</f>
        <v>#VALUE!</v>
      </c>
      <c r="J463" s="51" t="str">
        <f>IFERROR(__xludf.DUMMYFUNCTION("""COMPUTED_VALUE"""),"")</f>
        <v/>
      </c>
      <c r="K463" s="51"/>
      <c r="L463" s="51" t="s">
        <v>257</v>
      </c>
      <c r="M463" s="51"/>
      <c r="N463" s="51"/>
      <c r="O463" s="51"/>
      <c r="P463" s="51"/>
      <c r="Q463" s="51"/>
      <c r="R463" s="51"/>
      <c r="S463" s="51"/>
      <c r="T463" s="51"/>
    </row>
    <row r="464">
      <c r="A464" s="51"/>
      <c r="B464" s="51"/>
      <c r="C464" s="56"/>
      <c r="D464" s="51"/>
      <c r="E464" s="51"/>
      <c r="F464" s="51"/>
      <c r="G464" s="51" t="str">
        <f>IFERROR(__xludf.DUMMYFUNCTION("""COMPUTED_VALUE"""),"#VALUE!")</f>
        <v>#VALUE!</v>
      </c>
      <c r="H464" s="51" t="str">
        <f>IFERROR(__xludf.DUMMYFUNCTION("""COMPUTED_VALUE"""),"")</f>
        <v/>
      </c>
      <c r="I464" s="51" t="str">
        <f>IFERROR(__xludf.DUMMYFUNCTION("""COMPUTED_VALUE"""),"#VALUE!")</f>
        <v>#VALUE!</v>
      </c>
      <c r="J464" s="51" t="str">
        <f>IFERROR(__xludf.DUMMYFUNCTION("""COMPUTED_VALUE"""),"")</f>
        <v/>
      </c>
      <c r="K464" s="51"/>
      <c r="L464" s="51" t="s">
        <v>257</v>
      </c>
      <c r="M464" s="51"/>
      <c r="N464" s="51"/>
      <c r="O464" s="51"/>
      <c r="P464" s="51"/>
      <c r="Q464" s="51"/>
      <c r="R464" s="51"/>
      <c r="S464" s="51"/>
      <c r="T464" s="51"/>
    </row>
    <row r="465">
      <c r="A465" s="51"/>
      <c r="B465" s="51"/>
      <c r="C465" s="56"/>
      <c r="D465" s="51"/>
      <c r="E465" s="51"/>
      <c r="F465" s="51"/>
      <c r="G465" s="51" t="str">
        <f>IFERROR(__xludf.DUMMYFUNCTION("""COMPUTED_VALUE"""),"#VALUE!")</f>
        <v>#VALUE!</v>
      </c>
      <c r="H465" s="51" t="str">
        <f>IFERROR(__xludf.DUMMYFUNCTION("""COMPUTED_VALUE"""),"")</f>
        <v/>
      </c>
      <c r="I465" s="51" t="str">
        <f>IFERROR(__xludf.DUMMYFUNCTION("""COMPUTED_VALUE"""),"#VALUE!")</f>
        <v>#VALUE!</v>
      </c>
      <c r="J465" s="51" t="str">
        <f>IFERROR(__xludf.DUMMYFUNCTION("""COMPUTED_VALUE"""),"")</f>
        <v/>
      </c>
      <c r="K465" s="51"/>
      <c r="L465" s="51" t="s">
        <v>257</v>
      </c>
      <c r="M465" s="51"/>
      <c r="N465" s="51"/>
      <c r="O465" s="51"/>
      <c r="P465" s="51"/>
      <c r="Q465" s="51"/>
      <c r="R465" s="51"/>
      <c r="S465" s="51"/>
      <c r="T465" s="51"/>
    </row>
    <row r="466">
      <c r="A466" s="51"/>
      <c r="B466" s="51"/>
      <c r="C466" s="56"/>
      <c r="D466" s="51"/>
      <c r="E466" s="51"/>
      <c r="F466" s="51"/>
      <c r="G466" s="51" t="str">
        <f>IFERROR(__xludf.DUMMYFUNCTION("""COMPUTED_VALUE"""),"#VALUE!")</f>
        <v>#VALUE!</v>
      </c>
      <c r="H466" s="51" t="str">
        <f>IFERROR(__xludf.DUMMYFUNCTION("""COMPUTED_VALUE"""),"")</f>
        <v/>
      </c>
      <c r="I466" s="51" t="str">
        <f>IFERROR(__xludf.DUMMYFUNCTION("""COMPUTED_VALUE"""),"#VALUE!")</f>
        <v>#VALUE!</v>
      </c>
      <c r="J466" s="51" t="str">
        <f>IFERROR(__xludf.DUMMYFUNCTION("""COMPUTED_VALUE"""),"")</f>
        <v/>
      </c>
      <c r="K466" s="51"/>
      <c r="L466" s="51" t="s">
        <v>257</v>
      </c>
      <c r="M466" s="51"/>
      <c r="N466" s="51"/>
      <c r="O466" s="51"/>
      <c r="P466" s="51"/>
      <c r="Q466" s="51"/>
      <c r="R466" s="51"/>
      <c r="S466" s="51"/>
      <c r="T466" s="51"/>
    </row>
    <row r="467">
      <c r="A467" s="51"/>
      <c r="B467" s="51"/>
      <c r="C467" s="56"/>
      <c r="D467" s="51"/>
      <c r="E467" s="51"/>
      <c r="F467" s="51"/>
      <c r="G467" s="51" t="str">
        <f>IFERROR(__xludf.DUMMYFUNCTION("""COMPUTED_VALUE"""),"#VALUE!")</f>
        <v>#VALUE!</v>
      </c>
      <c r="H467" s="51" t="str">
        <f>IFERROR(__xludf.DUMMYFUNCTION("""COMPUTED_VALUE"""),"")</f>
        <v/>
      </c>
      <c r="I467" s="51" t="str">
        <f>IFERROR(__xludf.DUMMYFUNCTION("""COMPUTED_VALUE"""),"#VALUE!")</f>
        <v>#VALUE!</v>
      </c>
      <c r="J467" s="51" t="str">
        <f>IFERROR(__xludf.DUMMYFUNCTION("""COMPUTED_VALUE"""),"")</f>
        <v/>
      </c>
      <c r="K467" s="51"/>
      <c r="L467" s="51" t="s">
        <v>257</v>
      </c>
      <c r="M467" s="51"/>
      <c r="N467" s="51"/>
      <c r="O467" s="51"/>
      <c r="P467" s="51"/>
      <c r="Q467" s="51"/>
      <c r="R467" s="51"/>
      <c r="S467" s="51"/>
      <c r="T467" s="51"/>
    </row>
    <row r="468">
      <c r="A468" s="51"/>
      <c r="B468" s="51"/>
      <c r="C468" s="56"/>
      <c r="D468" s="51"/>
      <c r="E468" s="51"/>
      <c r="F468" s="51"/>
      <c r="G468" s="51" t="str">
        <f>IFERROR(__xludf.DUMMYFUNCTION("""COMPUTED_VALUE"""),"#VALUE!")</f>
        <v>#VALUE!</v>
      </c>
      <c r="H468" s="51" t="str">
        <f>IFERROR(__xludf.DUMMYFUNCTION("""COMPUTED_VALUE"""),"")</f>
        <v/>
      </c>
      <c r="I468" s="51" t="str">
        <f>IFERROR(__xludf.DUMMYFUNCTION("""COMPUTED_VALUE"""),"#VALUE!")</f>
        <v>#VALUE!</v>
      </c>
      <c r="J468" s="51" t="str">
        <f>IFERROR(__xludf.DUMMYFUNCTION("""COMPUTED_VALUE"""),"")</f>
        <v/>
      </c>
      <c r="K468" s="51"/>
      <c r="L468" s="51" t="s">
        <v>257</v>
      </c>
      <c r="M468" s="51"/>
      <c r="N468" s="51"/>
      <c r="O468" s="51"/>
      <c r="P468" s="51"/>
      <c r="Q468" s="51"/>
      <c r="R468" s="51"/>
      <c r="S468" s="51"/>
      <c r="T468" s="51"/>
    </row>
    <row r="469">
      <c r="A469" s="51"/>
      <c r="B469" s="51"/>
      <c r="C469" s="56"/>
      <c r="D469" s="51"/>
      <c r="E469" s="51"/>
      <c r="F469" s="51"/>
      <c r="G469" s="51" t="str">
        <f>IFERROR(__xludf.DUMMYFUNCTION("""COMPUTED_VALUE"""),"#VALUE!")</f>
        <v>#VALUE!</v>
      </c>
      <c r="H469" s="51" t="str">
        <f>IFERROR(__xludf.DUMMYFUNCTION("""COMPUTED_VALUE"""),"")</f>
        <v/>
      </c>
      <c r="I469" s="51" t="str">
        <f>IFERROR(__xludf.DUMMYFUNCTION("""COMPUTED_VALUE"""),"#VALUE!")</f>
        <v>#VALUE!</v>
      </c>
      <c r="J469" s="51" t="str">
        <f>IFERROR(__xludf.DUMMYFUNCTION("""COMPUTED_VALUE"""),"")</f>
        <v/>
      </c>
      <c r="K469" s="51"/>
      <c r="L469" s="51" t="s">
        <v>257</v>
      </c>
      <c r="M469" s="51"/>
      <c r="N469" s="51"/>
      <c r="O469" s="51"/>
      <c r="P469" s="51"/>
      <c r="Q469" s="51"/>
      <c r="R469" s="51"/>
      <c r="S469" s="51"/>
      <c r="T469" s="51"/>
    </row>
    <row r="470">
      <c r="A470" s="51"/>
      <c r="B470" s="51"/>
      <c r="C470" s="56"/>
      <c r="D470" s="51"/>
      <c r="E470" s="51"/>
      <c r="F470" s="51"/>
      <c r="G470" s="51" t="str">
        <f>IFERROR(__xludf.DUMMYFUNCTION("""COMPUTED_VALUE"""),"#VALUE!")</f>
        <v>#VALUE!</v>
      </c>
      <c r="H470" s="51" t="str">
        <f>IFERROR(__xludf.DUMMYFUNCTION("""COMPUTED_VALUE"""),"")</f>
        <v/>
      </c>
      <c r="I470" s="51" t="str">
        <f>IFERROR(__xludf.DUMMYFUNCTION("""COMPUTED_VALUE"""),"#VALUE!")</f>
        <v>#VALUE!</v>
      </c>
      <c r="J470" s="51" t="str">
        <f>IFERROR(__xludf.DUMMYFUNCTION("""COMPUTED_VALUE"""),"")</f>
        <v/>
      </c>
      <c r="K470" s="51"/>
      <c r="L470" s="51" t="s">
        <v>257</v>
      </c>
      <c r="M470" s="51"/>
      <c r="N470" s="51"/>
      <c r="O470" s="51"/>
      <c r="P470" s="51"/>
      <c r="Q470" s="51"/>
      <c r="R470" s="51"/>
      <c r="S470" s="51"/>
      <c r="T470" s="51"/>
    </row>
    <row r="471">
      <c r="A471" s="51"/>
      <c r="B471" s="51"/>
      <c r="C471" s="56"/>
      <c r="D471" s="51"/>
      <c r="E471" s="51"/>
      <c r="F471" s="51"/>
      <c r="G471" s="51" t="str">
        <f>IFERROR(__xludf.DUMMYFUNCTION("""COMPUTED_VALUE"""),"#VALUE!")</f>
        <v>#VALUE!</v>
      </c>
      <c r="H471" s="51" t="str">
        <f>IFERROR(__xludf.DUMMYFUNCTION("""COMPUTED_VALUE"""),"")</f>
        <v/>
      </c>
      <c r="I471" s="51" t="str">
        <f>IFERROR(__xludf.DUMMYFUNCTION("""COMPUTED_VALUE"""),"#VALUE!")</f>
        <v>#VALUE!</v>
      </c>
      <c r="J471" s="51" t="str">
        <f>IFERROR(__xludf.DUMMYFUNCTION("""COMPUTED_VALUE"""),"")</f>
        <v/>
      </c>
      <c r="K471" s="51"/>
      <c r="L471" s="51" t="s">
        <v>257</v>
      </c>
      <c r="M471" s="51"/>
      <c r="N471" s="51"/>
      <c r="O471" s="51"/>
      <c r="P471" s="51"/>
      <c r="Q471" s="51"/>
      <c r="R471" s="51"/>
      <c r="S471" s="51"/>
      <c r="T471" s="51"/>
    </row>
    <row r="472">
      <c r="A472" s="51"/>
      <c r="B472" s="51"/>
      <c r="C472" s="56"/>
      <c r="D472" s="51"/>
      <c r="E472" s="51"/>
      <c r="F472" s="51"/>
      <c r="G472" s="51" t="str">
        <f>IFERROR(__xludf.DUMMYFUNCTION("""COMPUTED_VALUE"""),"#VALUE!")</f>
        <v>#VALUE!</v>
      </c>
      <c r="H472" s="51" t="str">
        <f>IFERROR(__xludf.DUMMYFUNCTION("""COMPUTED_VALUE"""),"")</f>
        <v/>
      </c>
      <c r="I472" s="51" t="str">
        <f>IFERROR(__xludf.DUMMYFUNCTION("""COMPUTED_VALUE"""),"#VALUE!")</f>
        <v>#VALUE!</v>
      </c>
      <c r="J472" s="51" t="str">
        <f>IFERROR(__xludf.DUMMYFUNCTION("""COMPUTED_VALUE"""),"")</f>
        <v/>
      </c>
      <c r="K472" s="51"/>
      <c r="L472" s="51" t="s">
        <v>257</v>
      </c>
      <c r="M472" s="51"/>
      <c r="N472" s="51"/>
      <c r="O472" s="51"/>
      <c r="P472" s="51"/>
      <c r="Q472" s="51"/>
      <c r="R472" s="51"/>
      <c r="S472" s="51"/>
      <c r="T472" s="51"/>
    </row>
    <row r="473">
      <c r="A473" s="51"/>
      <c r="B473" s="51"/>
      <c r="C473" s="56"/>
      <c r="D473" s="51"/>
      <c r="E473" s="51"/>
      <c r="F473" s="51"/>
      <c r="G473" s="51" t="str">
        <f>IFERROR(__xludf.DUMMYFUNCTION("""COMPUTED_VALUE"""),"#VALUE!")</f>
        <v>#VALUE!</v>
      </c>
      <c r="H473" s="51" t="str">
        <f>IFERROR(__xludf.DUMMYFUNCTION("""COMPUTED_VALUE"""),"")</f>
        <v/>
      </c>
      <c r="I473" s="51" t="str">
        <f>IFERROR(__xludf.DUMMYFUNCTION("""COMPUTED_VALUE"""),"#VALUE!")</f>
        <v>#VALUE!</v>
      </c>
      <c r="J473" s="51" t="str">
        <f>IFERROR(__xludf.DUMMYFUNCTION("""COMPUTED_VALUE"""),"")</f>
        <v/>
      </c>
      <c r="K473" s="51"/>
      <c r="L473" s="51" t="s">
        <v>257</v>
      </c>
      <c r="M473" s="51"/>
      <c r="N473" s="51"/>
      <c r="O473" s="51"/>
      <c r="P473" s="51"/>
      <c r="Q473" s="51"/>
      <c r="R473" s="51"/>
      <c r="S473" s="51"/>
      <c r="T473" s="51"/>
    </row>
    <row r="474">
      <c r="A474" s="51"/>
      <c r="B474" s="51"/>
      <c r="C474" s="56"/>
      <c r="D474" s="51"/>
      <c r="E474" s="51"/>
      <c r="F474" s="51"/>
      <c r="G474" s="51" t="str">
        <f>IFERROR(__xludf.DUMMYFUNCTION("""COMPUTED_VALUE"""),"#VALUE!")</f>
        <v>#VALUE!</v>
      </c>
      <c r="H474" s="51" t="str">
        <f>IFERROR(__xludf.DUMMYFUNCTION("""COMPUTED_VALUE"""),"")</f>
        <v/>
      </c>
      <c r="I474" s="51" t="str">
        <f>IFERROR(__xludf.DUMMYFUNCTION("""COMPUTED_VALUE"""),"#VALUE!")</f>
        <v>#VALUE!</v>
      </c>
      <c r="J474" s="51" t="str">
        <f>IFERROR(__xludf.DUMMYFUNCTION("""COMPUTED_VALUE"""),"")</f>
        <v/>
      </c>
      <c r="K474" s="51"/>
      <c r="L474" s="51" t="s">
        <v>257</v>
      </c>
      <c r="M474" s="51"/>
      <c r="N474" s="51"/>
      <c r="O474" s="51"/>
      <c r="P474" s="51"/>
      <c r="Q474" s="51"/>
      <c r="R474" s="51"/>
      <c r="S474" s="51"/>
      <c r="T474" s="51"/>
    </row>
    <row r="475">
      <c r="A475" s="51"/>
      <c r="B475" s="51"/>
      <c r="C475" s="56"/>
      <c r="D475" s="51"/>
      <c r="E475" s="51"/>
      <c r="F475" s="51"/>
      <c r="G475" s="51" t="str">
        <f>IFERROR(__xludf.DUMMYFUNCTION("""COMPUTED_VALUE"""),"#VALUE!")</f>
        <v>#VALUE!</v>
      </c>
      <c r="H475" s="51" t="str">
        <f>IFERROR(__xludf.DUMMYFUNCTION("""COMPUTED_VALUE"""),"")</f>
        <v/>
      </c>
      <c r="I475" s="51" t="str">
        <f>IFERROR(__xludf.DUMMYFUNCTION("""COMPUTED_VALUE"""),"#VALUE!")</f>
        <v>#VALUE!</v>
      </c>
      <c r="J475" s="51" t="str">
        <f>IFERROR(__xludf.DUMMYFUNCTION("""COMPUTED_VALUE"""),"")</f>
        <v/>
      </c>
      <c r="K475" s="51"/>
      <c r="L475" s="51" t="s">
        <v>257</v>
      </c>
      <c r="M475" s="51"/>
      <c r="N475" s="51"/>
      <c r="O475" s="51"/>
      <c r="P475" s="51"/>
      <c r="Q475" s="51"/>
      <c r="R475" s="51"/>
      <c r="S475" s="51"/>
      <c r="T475" s="51"/>
    </row>
    <row r="476">
      <c r="A476" s="51"/>
      <c r="B476" s="51"/>
      <c r="C476" s="56"/>
      <c r="D476" s="51"/>
      <c r="E476" s="51"/>
      <c r="F476" s="51"/>
      <c r="G476" s="51" t="str">
        <f>IFERROR(__xludf.DUMMYFUNCTION("""COMPUTED_VALUE"""),"#VALUE!")</f>
        <v>#VALUE!</v>
      </c>
      <c r="H476" s="51" t="str">
        <f>IFERROR(__xludf.DUMMYFUNCTION("""COMPUTED_VALUE"""),"")</f>
        <v/>
      </c>
      <c r="I476" s="51" t="str">
        <f>IFERROR(__xludf.DUMMYFUNCTION("""COMPUTED_VALUE"""),"#VALUE!")</f>
        <v>#VALUE!</v>
      </c>
      <c r="J476" s="51" t="str">
        <f>IFERROR(__xludf.DUMMYFUNCTION("""COMPUTED_VALUE"""),"")</f>
        <v/>
      </c>
      <c r="K476" s="51"/>
      <c r="L476" s="51" t="s">
        <v>257</v>
      </c>
      <c r="M476" s="51"/>
      <c r="N476" s="51"/>
      <c r="O476" s="51"/>
      <c r="P476" s="51"/>
      <c r="Q476" s="51"/>
      <c r="R476" s="51"/>
      <c r="S476" s="51"/>
      <c r="T476" s="51"/>
    </row>
    <row r="477">
      <c r="A477" s="51"/>
      <c r="B477" s="51"/>
      <c r="C477" s="56"/>
      <c r="D477" s="51"/>
      <c r="E477" s="51"/>
      <c r="F477" s="51"/>
      <c r="G477" s="51" t="str">
        <f>IFERROR(__xludf.DUMMYFUNCTION("""COMPUTED_VALUE"""),"#VALUE!")</f>
        <v>#VALUE!</v>
      </c>
      <c r="H477" s="51" t="str">
        <f>IFERROR(__xludf.DUMMYFUNCTION("""COMPUTED_VALUE"""),"")</f>
        <v/>
      </c>
      <c r="I477" s="51" t="str">
        <f>IFERROR(__xludf.DUMMYFUNCTION("""COMPUTED_VALUE"""),"#VALUE!")</f>
        <v>#VALUE!</v>
      </c>
      <c r="J477" s="51" t="str">
        <f>IFERROR(__xludf.DUMMYFUNCTION("""COMPUTED_VALUE"""),"")</f>
        <v/>
      </c>
      <c r="K477" s="51"/>
      <c r="L477" s="51" t="s">
        <v>257</v>
      </c>
      <c r="M477" s="51"/>
      <c r="N477" s="51"/>
      <c r="O477" s="51"/>
      <c r="P477" s="51"/>
      <c r="Q477" s="51"/>
      <c r="R477" s="51"/>
      <c r="S477" s="51"/>
      <c r="T477" s="51"/>
    </row>
    <row r="478">
      <c r="A478" s="51"/>
      <c r="B478" s="51"/>
      <c r="C478" s="56"/>
      <c r="D478" s="51"/>
      <c r="E478" s="51"/>
      <c r="F478" s="51"/>
      <c r="G478" s="51" t="str">
        <f>IFERROR(__xludf.DUMMYFUNCTION("""COMPUTED_VALUE"""),"#VALUE!")</f>
        <v>#VALUE!</v>
      </c>
      <c r="H478" s="51" t="str">
        <f>IFERROR(__xludf.DUMMYFUNCTION("""COMPUTED_VALUE"""),"")</f>
        <v/>
      </c>
      <c r="I478" s="51" t="str">
        <f>IFERROR(__xludf.DUMMYFUNCTION("""COMPUTED_VALUE"""),"#VALUE!")</f>
        <v>#VALUE!</v>
      </c>
      <c r="J478" s="51" t="str">
        <f>IFERROR(__xludf.DUMMYFUNCTION("""COMPUTED_VALUE"""),"")</f>
        <v/>
      </c>
      <c r="K478" s="51"/>
      <c r="L478" s="51" t="s">
        <v>257</v>
      </c>
      <c r="M478" s="51"/>
      <c r="N478" s="51"/>
      <c r="O478" s="51"/>
      <c r="P478" s="51"/>
      <c r="Q478" s="51"/>
      <c r="R478" s="51"/>
      <c r="S478" s="51"/>
      <c r="T478" s="51"/>
    </row>
    <row r="479">
      <c r="A479" s="51"/>
      <c r="B479" s="51"/>
      <c r="C479" s="56"/>
      <c r="D479" s="51"/>
      <c r="E479" s="51"/>
      <c r="F479" s="51"/>
      <c r="G479" s="51" t="str">
        <f>IFERROR(__xludf.DUMMYFUNCTION("""COMPUTED_VALUE"""),"#VALUE!")</f>
        <v>#VALUE!</v>
      </c>
      <c r="H479" s="51" t="str">
        <f>IFERROR(__xludf.DUMMYFUNCTION("""COMPUTED_VALUE"""),"")</f>
        <v/>
      </c>
      <c r="I479" s="51" t="str">
        <f>IFERROR(__xludf.DUMMYFUNCTION("""COMPUTED_VALUE"""),"#VALUE!")</f>
        <v>#VALUE!</v>
      </c>
      <c r="J479" s="51" t="str">
        <f>IFERROR(__xludf.DUMMYFUNCTION("""COMPUTED_VALUE"""),"")</f>
        <v/>
      </c>
      <c r="K479" s="51"/>
      <c r="L479" s="51" t="s">
        <v>257</v>
      </c>
      <c r="M479" s="51"/>
      <c r="N479" s="51"/>
      <c r="O479" s="51"/>
      <c r="P479" s="51"/>
      <c r="Q479" s="51"/>
      <c r="R479" s="51"/>
      <c r="S479" s="51"/>
      <c r="T479" s="51"/>
    </row>
    <row r="480">
      <c r="A480" s="51"/>
      <c r="B480" s="51"/>
      <c r="C480" s="56"/>
      <c r="D480" s="51"/>
      <c r="E480" s="51"/>
      <c r="F480" s="51"/>
      <c r="G480" s="51" t="str">
        <f>IFERROR(__xludf.DUMMYFUNCTION("""COMPUTED_VALUE"""),"#VALUE!")</f>
        <v>#VALUE!</v>
      </c>
      <c r="H480" s="51" t="str">
        <f>IFERROR(__xludf.DUMMYFUNCTION("""COMPUTED_VALUE"""),"")</f>
        <v/>
      </c>
      <c r="I480" s="51" t="str">
        <f>IFERROR(__xludf.DUMMYFUNCTION("""COMPUTED_VALUE"""),"#VALUE!")</f>
        <v>#VALUE!</v>
      </c>
      <c r="J480" s="51" t="str">
        <f>IFERROR(__xludf.DUMMYFUNCTION("""COMPUTED_VALUE"""),"")</f>
        <v/>
      </c>
      <c r="K480" s="51"/>
      <c r="L480" s="51" t="s">
        <v>257</v>
      </c>
      <c r="M480" s="51"/>
      <c r="N480" s="51"/>
      <c r="O480" s="51"/>
      <c r="P480" s="51"/>
      <c r="Q480" s="51"/>
      <c r="R480" s="51"/>
      <c r="S480" s="51"/>
      <c r="T480" s="51"/>
    </row>
    <row r="481">
      <c r="A481" s="51"/>
      <c r="B481" s="51"/>
      <c r="C481" s="56"/>
      <c r="D481" s="51"/>
      <c r="E481" s="51"/>
      <c r="F481" s="51"/>
      <c r="G481" s="51" t="str">
        <f>IFERROR(__xludf.DUMMYFUNCTION("""COMPUTED_VALUE"""),"#VALUE!")</f>
        <v>#VALUE!</v>
      </c>
      <c r="H481" s="51" t="str">
        <f>IFERROR(__xludf.DUMMYFUNCTION("""COMPUTED_VALUE"""),"")</f>
        <v/>
      </c>
      <c r="I481" s="51" t="str">
        <f>IFERROR(__xludf.DUMMYFUNCTION("""COMPUTED_VALUE"""),"#VALUE!")</f>
        <v>#VALUE!</v>
      </c>
      <c r="J481" s="51" t="str">
        <f>IFERROR(__xludf.DUMMYFUNCTION("""COMPUTED_VALUE"""),"")</f>
        <v/>
      </c>
      <c r="K481" s="51"/>
      <c r="L481" s="51" t="s">
        <v>257</v>
      </c>
      <c r="M481" s="51"/>
      <c r="N481" s="51"/>
      <c r="O481" s="51"/>
      <c r="P481" s="51"/>
      <c r="Q481" s="51"/>
      <c r="R481" s="51"/>
      <c r="S481" s="51"/>
      <c r="T481" s="51"/>
    </row>
    <row r="482">
      <c r="A482" s="51"/>
      <c r="B482" s="51"/>
      <c r="C482" s="56"/>
      <c r="D482" s="51"/>
      <c r="E482" s="51"/>
      <c r="F482" s="51"/>
      <c r="G482" s="51" t="str">
        <f>IFERROR(__xludf.DUMMYFUNCTION("""COMPUTED_VALUE"""),"#VALUE!")</f>
        <v>#VALUE!</v>
      </c>
      <c r="H482" s="51" t="str">
        <f>IFERROR(__xludf.DUMMYFUNCTION("""COMPUTED_VALUE"""),"")</f>
        <v/>
      </c>
      <c r="I482" s="51" t="str">
        <f>IFERROR(__xludf.DUMMYFUNCTION("""COMPUTED_VALUE"""),"#VALUE!")</f>
        <v>#VALUE!</v>
      </c>
      <c r="J482" s="51" t="str">
        <f>IFERROR(__xludf.DUMMYFUNCTION("""COMPUTED_VALUE"""),"")</f>
        <v/>
      </c>
      <c r="K482" s="51"/>
      <c r="L482" s="51" t="s">
        <v>257</v>
      </c>
      <c r="M482" s="51"/>
      <c r="N482" s="51"/>
      <c r="O482" s="51"/>
      <c r="P482" s="51"/>
      <c r="Q482" s="51"/>
      <c r="R482" s="51"/>
      <c r="S482" s="51"/>
      <c r="T482" s="51"/>
    </row>
    <row r="483">
      <c r="A483" s="51"/>
      <c r="B483" s="51"/>
      <c r="C483" s="56"/>
      <c r="D483" s="51"/>
      <c r="E483" s="51"/>
      <c r="F483" s="51"/>
      <c r="G483" s="51" t="str">
        <f>IFERROR(__xludf.DUMMYFUNCTION("""COMPUTED_VALUE"""),"#VALUE!")</f>
        <v>#VALUE!</v>
      </c>
      <c r="H483" s="51" t="str">
        <f>IFERROR(__xludf.DUMMYFUNCTION("""COMPUTED_VALUE"""),"")</f>
        <v/>
      </c>
      <c r="I483" s="51" t="str">
        <f>IFERROR(__xludf.DUMMYFUNCTION("""COMPUTED_VALUE"""),"#VALUE!")</f>
        <v>#VALUE!</v>
      </c>
      <c r="J483" s="51" t="str">
        <f>IFERROR(__xludf.DUMMYFUNCTION("""COMPUTED_VALUE"""),"")</f>
        <v/>
      </c>
      <c r="K483" s="51"/>
      <c r="L483" s="51" t="s">
        <v>257</v>
      </c>
      <c r="M483" s="51"/>
      <c r="N483" s="51"/>
      <c r="O483" s="51"/>
      <c r="P483" s="51"/>
      <c r="Q483" s="51"/>
      <c r="R483" s="51"/>
      <c r="S483" s="51"/>
      <c r="T483" s="51"/>
    </row>
    <row r="484">
      <c r="A484" s="51"/>
      <c r="B484" s="51"/>
      <c r="C484" s="56"/>
      <c r="D484" s="51"/>
      <c r="E484" s="51"/>
      <c r="F484" s="51"/>
      <c r="G484" s="51" t="str">
        <f>IFERROR(__xludf.DUMMYFUNCTION("""COMPUTED_VALUE"""),"#VALUE!")</f>
        <v>#VALUE!</v>
      </c>
      <c r="H484" s="51" t="str">
        <f>IFERROR(__xludf.DUMMYFUNCTION("""COMPUTED_VALUE"""),"")</f>
        <v/>
      </c>
      <c r="I484" s="51" t="str">
        <f>IFERROR(__xludf.DUMMYFUNCTION("""COMPUTED_VALUE"""),"#VALUE!")</f>
        <v>#VALUE!</v>
      </c>
      <c r="J484" s="51" t="str">
        <f>IFERROR(__xludf.DUMMYFUNCTION("""COMPUTED_VALUE"""),"")</f>
        <v/>
      </c>
      <c r="K484" s="51"/>
      <c r="L484" s="51" t="s">
        <v>257</v>
      </c>
      <c r="M484" s="51"/>
      <c r="N484" s="51"/>
      <c r="O484" s="51"/>
      <c r="P484" s="51"/>
      <c r="Q484" s="51"/>
      <c r="R484" s="51"/>
      <c r="S484" s="51"/>
      <c r="T484" s="51"/>
    </row>
    <row r="485">
      <c r="A485" s="51"/>
      <c r="B485" s="51"/>
      <c r="C485" s="56"/>
      <c r="D485" s="51"/>
      <c r="E485" s="51"/>
      <c r="F485" s="51"/>
      <c r="G485" s="51" t="str">
        <f>IFERROR(__xludf.DUMMYFUNCTION("""COMPUTED_VALUE"""),"#VALUE!")</f>
        <v>#VALUE!</v>
      </c>
      <c r="H485" s="51" t="str">
        <f>IFERROR(__xludf.DUMMYFUNCTION("""COMPUTED_VALUE"""),"")</f>
        <v/>
      </c>
      <c r="I485" s="51" t="str">
        <f>IFERROR(__xludf.DUMMYFUNCTION("""COMPUTED_VALUE"""),"#VALUE!")</f>
        <v>#VALUE!</v>
      </c>
      <c r="J485" s="51" t="str">
        <f>IFERROR(__xludf.DUMMYFUNCTION("""COMPUTED_VALUE"""),"")</f>
        <v/>
      </c>
      <c r="K485" s="51"/>
      <c r="L485" s="51" t="s">
        <v>257</v>
      </c>
      <c r="M485" s="51"/>
      <c r="N485" s="51"/>
      <c r="O485" s="51"/>
      <c r="P485" s="51"/>
      <c r="Q485" s="51"/>
      <c r="R485" s="51"/>
      <c r="S485" s="51"/>
      <c r="T485" s="51"/>
    </row>
    <row r="486">
      <c r="A486" s="51"/>
      <c r="B486" s="51"/>
      <c r="C486" s="56"/>
      <c r="D486" s="51"/>
      <c r="E486" s="51"/>
      <c r="F486" s="51"/>
      <c r="G486" s="51" t="str">
        <f>IFERROR(__xludf.DUMMYFUNCTION("""COMPUTED_VALUE"""),"#VALUE!")</f>
        <v>#VALUE!</v>
      </c>
      <c r="H486" s="51" t="str">
        <f>IFERROR(__xludf.DUMMYFUNCTION("""COMPUTED_VALUE"""),"")</f>
        <v/>
      </c>
      <c r="I486" s="51" t="str">
        <f>IFERROR(__xludf.DUMMYFUNCTION("""COMPUTED_VALUE"""),"#VALUE!")</f>
        <v>#VALUE!</v>
      </c>
      <c r="J486" s="51" t="str">
        <f>IFERROR(__xludf.DUMMYFUNCTION("""COMPUTED_VALUE"""),"")</f>
        <v/>
      </c>
      <c r="K486" s="51"/>
      <c r="L486" s="51" t="s">
        <v>257</v>
      </c>
      <c r="M486" s="51"/>
      <c r="N486" s="51"/>
      <c r="O486" s="51"/>
      <c r="P486" s="51"/>
      <c r="Q486" s="51"/>
      <c r="R486" s="51"/>
      <c r="S486" s="51"/>
      <c r="T486" s="51"/>
    </row>
    <row r="487">
      <c r="A487" s="51"/>
      <c r="B487" s="51"/>
      <c r="C487" s="56"/>
      <c r="D487" s="51"/>
      <c r="E487" s="51"/>
      <c r="F487" s="51"/>
      <c r="G487" s="51" t="str">
        <f>IFERROR(__xludf.DUMMYFUNCTION("""COMPUTED_VALUE"""),"#VALUE!")</f>
        <v>#VALUE!</v>
      </c>
      <c r="H487" s="51" t="str">
        <f>IFERROR(__xludf.DUMMYFUNCTION("""COMPUTED_VALUE"""),"")</f>
        <v/>
      </c>
      <c r="I487" s="51" t="str">
        <f>IFERROR(__xludf.DUMMYFUNCTION("""COMPUTED_VALUE"""),"#VALUE!")</f>
        <v>#VALUE!</v>
      </c>
      <c r="J487" s="51" t="str">
        <f>IFERROR(__xludf.DUMMYFUNCTION("""COMPUTED_VALUE"""),"")</f>
        <v/>
      </c>
      <c r="K487" s="51"/>
      <c r="L487" s="51" t="s">
        <v>257</v>
      </c>
      <c r="M487" s="51"/>
      <c r="N487" s="51"/>
      <c r="O487" s="51"/>
      <c r="P487" s="51"/>
      <c r="Q487" s="51"/>
      <c r="R487" s="51"/>
      <c r="S487" s="51"/>
      <c r="T487" s="51"/>
    </row>
    <row r="488">
      <c r="A488" s="51"/>
      <c r="B488" s="51"/>
      <c r="C488" s="56"/>
      <c r="D488" s="51"/>
      <c r="E488" s="51"/>
      <c r="F488" s="51"/>
      <c r="G488" s="51" t="str">
        <f>IFERROR(__xludf.DUMMYFUNCTION("""COMPUTED_VALUE"""),"#VALUE!")</f>
        <v>#VALUE!</v>
      </c>
      <c r="H488" s="51" t="str">
        <f>IFERROR(__xludf.DUMMYFUNCTION("""COMPUTED_VALUE"""),"")</f>
        <v/>
      </c>
      <c r="I488" s="51" t="str">
        <f>IFERROR(__xludf.DUMMYFUNCTION("""COMPUTED_VALUE"""),"#VALUE!")</f>
        <v>#VALUE!</v>
      </c>
      <c r="J488" s="51" t="str">
        <f>IFERROR(__xludf.DUMMYFUNCTION("""COMPUTED_VALUE"""),"")</f>
        <v/>
      </c>
      <c r="K488" s="51"/>
      <c r="L488" s="51" t="s">
        <v>257</v>
      </c>
      <c r="M488" s="51"/>
      <c r="N488" s="51"/>
      <c r="O488" s="51"/>
      <c r="P488" s="51"/>
      <c r="Q488" s="51"/>
      <c r="R488" s="51"/>
      <c r="S488" s="51"/>
      <c r="T488" s="51"/>
    </row>
    <row r="489">
      <c r="A489" s="51"/>
      <c r="B489" s="51"/>
      <c r="C489" s="56"/>
      <c r="D489" s="51"/>
      <c r="E489" s="51"/>
      <c r="F489" s="51"/>
      <c r="G489" s="51" t="str">
        <f>IFERROR(__xludf.DUMMYFUNCTION("""COMPUTED_VALUE"""),"#VALUE!")</f>
        <v>#VALUE!</v>
      </c>
      <c r="H489" s="51" t="str">
        <f>IFERROR(__xludf.DUMMYFUNCTION("""COMPUTED_VALUE"""),"")</f>
        <v/>
      </c>
      <c r="I489" s="51" t="str">
        <f>IFERROR(__xludf.DUMMYFUNCTION("""COMPUTED_VALUE"""),"#VALUE!")</f>
        <v>#VALUE!</v>
      </c>
      <c r="J489" s="51" t="str">
        <f>IFERROR(__xludf.DUMMYFUNCTION("""COMPUTED_VALUE"""),"")</f>
        <v/>
      </c>
      <c r="K489" s="51"/>
      <c r="L489" s="51" t="s">
        <v>257</v>
      </c>
      <c r="M489" s="51"/>
      <c r="N489" s="51"/>
      <c r="O489" s="51"/>
      <c r="P489" s="51"/>
      <c r="Q489" s="51"/>
      <c r="R489" s="51"/>
      <c r="S489" s="51"/>
      <c r="T489" s="51"/>
    </row>
    <row r="490">
      <c r="A490" s="51"/>
      <c r="B490" s="51"/>
      <c r="C490" s="56"/>
      <c r="D490" s="51"/>
      <c r="E490" s="51"/>
      <c r="F490" s="51"/>
      <c r="G490" s="51" t="str">
        <f>IFERROR(__xludf.DUMMYFUNCTION("""COMPUTED_VALUE"""),"#VALUE!")</f>
        <v>#VALUE!</v>
      </c>
      <c r="H490" s="51" t="str">
        <f>IFERROR(__xludf.DUMMYFUNCTION("""COMPUTED_VALUE"""),"")</f>
        <v/>
      </c>
      <c r="I490" s="51" t="str">
        <f>IFERROR(__xludf.DUMMYFUNCTION("""COMPUTED_VALUE"""),"#VALUE!")</f>
        <v>#VALUE!</v>
      </c>
      <c r="J490" s="51" t="str">
        <f>IFERROR(__xludf.DUMMYFUNCTION("""COMPUTED_VALUE"""),"")</f>
        <v/>
      </c>
      <c r="K490" s="51"/>
      <c r="L490" s="51" t="s">
        <v>257</v>
      </c>
      <c r="M490" s="51"/>
      <c r="N490" s="51"/>
      <c r="O490" s="51"/>
      <c r="P490" s="51"/>
      <c r="Q490" s="51"/>
      <c r="R490" s="51"/>
      <c r="S490" s="51"/>
      <c r="T490" s="51"/>
    </row>
    <row r="491">
      <c r="A491" s="51"/>
      <c r="B491" s="51"/>
      <c r="C491" s="56"/>
      <c r="D491" s="51"/>
      <c r="E491" s="51"/>
      <c r="F491" s="51"/>
      <c r="G491" s="51" t="str">
        <f>IFERROR(__xludf.DUMMYFUNCTION("""COMPUTED_VALUE"""),"#VALUE!")</f>
        <v>#VALUE!</v>
      </c>
      <c r="H491" s="51" t="str">
        <f>IFERROR(__xludf.DUMMYFUNCTION("""COMPUTED_VALUE"""),"")</f>
        <v/>
      </c>
      <c r="I491" s="51" t="str">
        <f>IFERROR(__xludf.DUMMYFUNCTION("""COMPUTED_VALUE"""),"#VALUE!")</f>
        <v>#VALUE!</v>
      </c>
      <c r="J491" s="51" t="str">
        <f>IFERROR(__xludf.DUMMYFUNCTION("""COMPUTED_VALUE"""),"")</f>
        <v/>
      </c>
      <c r="K491" s="51"/>
      <c r="L491" s="51" t="s">
        <v>257</v>
      </c>
      <c r="M491" s="51"/>
      <c r="N491" s="51"/>
      <c r="O491" s="51"/>
      <c r="P491" s="51"/>
      <c r="Q491" s="51"/>
      <c r="R491" s="51"/>
      <c r="S491" s="51"/>
      <c r="T491" s="51"/>
    </row>
    <row r="492">
      <c r="A492" s="51"/>
      <c r="B492" s="51"/>
      <c r="C492" s="56"/>
      <c r="D492" s="51"/>
      <c r="E492" s="51"/>
      <c r="F492" s="51"/>
      <c r="G492" s="51" t="str">
        <f>IFERROR(__xludf.DUMMYFUNCTION("""COMPUTED_VALUE"""),"#VALUE!")</f>
        <v>#VALUE!</v>
      </c>
      <c r="H492" s="51" t="str">
        <f>IFERROR(__xludf.DUMMYFUNCTION("""COMPUTED_VALUE"""),"")</f>
        <v/>
      </c>
      <c r="I492" s="51" t="str">
        <f>IFERROR(__xludf.DUMMYFUNCTION("""COMPUTED_VALUE"""),"#VALUE!")</f>
        <v>#VALUE!</v>
      </c>
      <c r="J492" s="51" t="str">
        <f>IFERROR(__xludf.DUMMYFUNCTION("""COMPUTED_VALUE"""),"")</f>
        <v/>
      </c>
      <c r="K492" s="51"/>
      <c r="L492" s="51" t="s">
        <v>257</v>
      </c>
      <c r="M492" s="51"/>
      <c r="N492" s="51"/>
      <c r="O492" s="51"/>
      <c r="P492" s="51"/>
      <c r="Q492" s="51"/>
      <c r="R492" s="51"/>
      <c r="S492" s="51"/>
      <c r="T492" s="51"/>
    </row>
    <row r="493">
      <c r="A493" s="51"/>
      <c r="B493" s="51"/>
      <c r="C493" s="56"/>
      <c r="D493" s="51"/>
      <c r="E493" s="51"/>
      <c r="F493" s="51"/>
      <c r="G493" s="51" t="str">
        <f>IFERROR(__xludf.DUMMYFUNCTION("""COMPUTED_VALUE"""),"#VALUE!")</f>
        <v>#VALUE!</v>
      </c>
      <c r="H493" s="51" t="str">
        <f>IFERROR(__xludf.DUMMYFUNCTION("""COMPUTED_VALUE"""),"")</f>
        <v/>
      </c>
      <c r="I493" s="51" t="str">
        <f>IFERROR(__xludf.DUMMYFUNCTION("""COMPUTED_VALUE"""),"#VALUE!")</f>
        <v>#VALUE!</v>
      </c>
      <c r="J493" s="51" t="str">
        <f>IFERROR(__xludf.DUMMYFUNCTION("""COMPUTED_VALUE"""),"")</f>
        <v/>
      </c>
      <c r="K493" s="51"/>
      <c r="L493" s="51" t="s">
        <v>257</v>
      </c>
      <c r="M493" s="51"/>
      <c r="N493" s="51"/>
      <c r="O493" s="51"/>
      <c r="P493" s="51"/>
      <c r="Q493" s="51"/>
      <c r="R493" s="51"/>
      <c r="S493" s="51"/>
      <c r="T493" s="51"/>
    </row>
    <row r="494">
      <c r="A494" s="51"/>
      <c r="B494" s="51"/>
      <c r="C494" s="56"/>
      <c r="D494" s="51"/>
      <c r="E494" s="51"/>
      <c r="F494" s="51"/>
      <c r="G494" s="51" t="str">
        <f>IFERROR(__xludf.DUMMYFUNCTION("""COMPUTED_VALUE"""),"#VALUE!")</f>
        <v>#VALUE!</v>
      </c>
      <c r="H494" s="51" t="str">
        <f>IFERROR(__xludf.DUMMYFUNCTION("""COMPUTED_VALUE"""),"")</f>
        <v/>
      </c>
      <c r="I494" s="51" t="str">
        <f>IFERROR(__xludf.DUMMYFUNCTION("""COMPUTED_VALUE"""),"#VALUE!")</f>
        <v>#VALUE!</v>
      </c>
      <c r="J494" s="51" t="str">
        <f>IFERROR(__xludf.DUMMYFUNCTION("""COMPUTED_VALUE"""),"")</f>
        <v/>
      </c>
      <c r="K494" s="51"/>
      <c r="L494" s="51" t="s">
        <v>257</v>
      </c>
      <c r="M494" s="51"/>
      <c r="N494" s="51"/>
      <c r="O494" s="51"/>
      <c r="P494" s="51"/>
      <c r="Q494" s="51"/>
      <c r="R494" s="51"/>
      <c r="S494" s="51"/>
      <c r="T494" s="51"/>
    </row>
    <row r="495">
      <c r="A495" s="51"/>
      <c r="B495" s="51"/>
      <c r="C495" s="56"/>
      <c r="D495" s="51"/>
      <c r="E495" s="51"/>
      <c r="F495" s="51"/>
      <c r="G495" s="51" t="str">
        <f>IFERROR(__xludf.DUMMYFUNCTION("""COMPUTED_VALUE"""),"#VALUE!")</f>
        <v>#VALUE!</v>
      </c>
      <c r="H495" s="51" t="str">
        <f>IFERROR(__xludf.DUMMYFUNCTION("""COMPUTED_VALUE"""),"")</f>
        <v/>
      </c>
      <c r="I495" s="51" t="str">
        <f>IFERROR(__xludf.DUMMYFUNCTION("""COMPUTED_VALUE"""),"#VALUE!")</f>
        <v>#VALUE!</v>
      </c>
      <c r="J495" s="51" t="str">
        <f>IFERROR(__xludf.DUMMYFUNCTION("""COMPUTED_VALUE"""),"")</f>
        <v/>
      </c>
      <c r="K495" s="51"/>
      <c r="L495" s="51" t="s">
        <v>257</v>
      </c>
      <c r="M495" s="51"/>
      <c r="N495" s="51"/>
      <c r="O495" s="51"/>
      <c r="P495" s="51"/>
      <c r="Q495" s="51"/>
      <c r="R495" s="51"/>
      <c r="S495" s="51"/>
      <c r="T495" s="51"/>
    </row>
    <row r="496">
      <c r="A496" s="51"/>
      <c r="B496" s="51"/>
      <c r="C496" s="56"/>
      <c r="D496" s="51"/>
      <c r="E496" s="51"/>
      <c r="F496" s="51"/>
      <c r="G496" s="51" t="str">
        <f>IFERROR(__xludf.DUMMYFUNCTION("""COMPUTED_VALUE"""),"#VALUE!")</f>
        <v>#VALUE!</v>
      </c>
      <c r="H496" s="51" t="str">
        <f>IFERROR(__xludf.DUMMYFUNCTION("""COMPUTED_VALUE"""),"")</f>
        <v/>
      </c>
      <c r="I496" s="51" t="str">
        <f>IFERROR(__xludf.DUMMYFUNCTION("""COMPUTED_VALUE"""),"#VALUE!")</f>
        <v>#VALUE!</v>
      </c>
      <c r="J496" s="51" t="str">
        <f>IFERROR(__xludf.DUMMYFUNCTION("""COMPUTED_VALUE"""),"")</f>
        <v/>
      </c>
      <c r="K496" s="51"/>
      <c r="L496" s="51" t="s">
        <v>257</v>
      </c>
      <c r="M496" s="51"/>
      <c r="N496" s="51"/>
      <c r="O496" s="51"/>
      <c r="P496" s="51"/>
      <c r="Q496" s="51"/>
      <c r="R496" s="51"/>
      <c r="S496" s="51"/>
      <c r="T496" s="51"/>
    </row>
    <row r="497">
      <c r="A497" s="51"/>
      <c r="B497" s="51"/>
      <c r="C497" s="56"/>
      <c r="D497" s="51"/>
      <c r="E497" s="51"/>
      <c r="F497" s="51"/>
      <c r="G497" s="51" t="str">
        <f>IFERROR(__xludf.DUMMYFUNCTION("""COMPUTED_VALUE"""),"#VALUE!")</f>
        <v>#VALUE!</v>
      </c>
      <c r="H497" s="51" t="str">
        <f>IFERROR(__xludf.DUMMYFUNCTION("""COMPUTED_VALUE"""),"")</f>
        <v/>
      </c>
      <c r="I497" s="51" t="str">
        <f>IFERROR(__xludf.DUMMYFUNCTION("""COMPUTED_VALUE"""),"#VALUE!")</f>
        <v>#VALUE!</v>
      </c>
      <c r="J497" s="51" t="str">
        <f>IFERROR(__xludf.DUMMYFUNCTION("""COMPUTED_VALUE"""),"")</f>
        <v/>
      </c>
      <c r="K497" s="51"/>
      <c r="L497" s="51" t="s">
        <v>257</v>
      </c>
      <c r="M497" s="51"/>
      <c r="N497" s="51"/>
      <c r="O497" s="51"/>
      <c r="P497" s="51"/>
      <c r="Q497" s="51"/>
      <c r="R497" s="51"/>
      <c r="S497" s="51"/>
      <c r="T497" s="51"/>
    </row>
    <row r="498">
      <c r="A498" s="51"/>
      <c r="B498" s="51"/>
      <c r="C498" s="56"/>
      <c r="D498" s="51"/>
      <c r="E498" s="51"/>
      <c r="F498" s="51"/>
      <c r="G498" s="51" t="str">
        <f>IFERROR(__xludf.DUMMYFUNCTION("""COMPUTED_VALUE"""),"#VALUE!")</f>
        <v>#VALUE!</v>
      </c>
      <c r="H498" s="51" t="str">
        <f>IFERROR(__xludf.DUMMYFUNCTION("""COMPUTED_VALUE"""),"")</f>
        <v/>
      </c>
      <c r="I498" s="51" t="str">
        <f>IFERROR(__xludf.DUMMYFUNCTION("""COMPUTED_VALUE"""),"#VALUE!")</f>
        <v>#VALUE!</v>
      </c>
      <c r="J498" s="51" t="str">
        <f>IFERROR(__xludf.DUMMYFUNCTION("""COMPUTED_VALUE"""),"")</f>
        <v/>
      </c>
      <c r="K498" s="51"/>
      <c r="L498" s="51" t="s">
        <v>257</v>
      </c>
      <c r="M498" s="51"/>
      <c r="N498" s="51"/>
      <c r="O498" s="51"/>
      <c r="P498" s="51"/>
      <c r="Q498" s="51"/>
      <c r="R498" s="51"/>
      <c r="S498" s="51"/>
      <c r="T498" s="51"/>
    </row>
    <row r="499">
      <c r="A499" s="51"/>
      <c r="B499" s="51"/>
      <c r="C499" s="56"/>
      <c r="D499" s="51"/>
      <c r="E499" s="51"/>
      <c r="F499" s="51"/>
      <c r="G499" s="51" t="str">
        <f>IFERROR(__xludf.DUMMYFUNCTION("""COMPUTED_VALUE"""),"#VALUE!")</f>
        <v>#VALUE!</v>
      </c>
      <c r="H499" s="51" t="str">
        <f>IFERROR(__xludf.DUMMYFUNCTION("""COMPUTED_VALUE"""),"")</f>
        <v/>
      </c>
      <c r="I499" s="51" t="str">
        <f>IFERROR(__xludf.DUMMYFUNCTION("""COMPUTED_VALUE"""),"#VALUE!")</f>
        <v>#VALUE!</v>
      </c>
      <c r="J499" s="51" t="str">
        <f>IFERROR(__xludf.DUMMYFUNCTION("""COMPUTED_VALUE"""),"")</f>
        <v/>
      </c>
      <c r="K499" s="51"/>
      <c r="L499" s="51" t="s">
        <v>257</v>
      </c>
      <c r="M499" s="51"/>
      <c r="N499" s="51"/>
      <c r="O499" s="51"/>
      <c r="P499" s="51"/>
      <c r="Q499" s="51"/>
      <c r="R499" s="51"/>
      <c r="S499" s="51"/>
      <c r="T499" s="51"/>
    </row>
    <row r="500">
      <c r="A500" s="51"/>
      <c r="B500" s="51"/>
      <c r="C500" s="56"/>
      <c r="D500" s="51"/>
      <c r="E500" s="51"/>
      <c r="F500" s="51"/>
      <c r="G500" s="51" t="str">
        <f>IFERROR(__xludf.DUMMYFUNCTION("""COMPUTED_VALUE"""),"#VALUE!")</f>
        <v>#VALUE!</v>
      </c>
      <c r="H500" s="51" t="str">
        <f>IFERROR(__xludf.DUMMYFUNCTION("""COMPUTED_VALUE"""),"")</f>
        <v/>
      </c>
      <c r="I500" s="51" t="str">
        <f>IFERROR(__xludf.DUMMYFUNCTION("""COMPUTED_VALUE"""),"#VALUE!")</f>
        <v>#VALUE!</v>
      </c>
      <c r="J500" s="51" t="str">
        <f>IFERROR(__xludf.DUMMYFUNCTION("""COMPUTED_VALUE"""),"")</f>
        <v/>
      </c>
      <c r="K500" s="51"/>
      <c r="L500" s="51" t="s">
        <v>257</v>
      </c>
      <c r="M500" s="51"/>
      <c r="N500" s="51"/>
      <c r="O500" s="51"/>
      <c r="P500" s="51"/>
      <c r="Q500" s="51"/>
      <c r="R500" s="51"/>
      <c r="S500" s="51"/>
      <c r="T500" s="51"/>
    </row>
    <row r="501">
      <c r="A501" s="51"/>
      <c r="B501" s="51"/>
      <c r="C501" s="56"/>
      <c r="D501" s="51"/>
      <c r="E501" s="51"/>
      <c r="F501" s="51"/>
      <c r="G501" s="51" t="str">
        <f>IFERROR(__xludf.DUMMYFUNCTION("""COMPUTED_VALUE"""),"#VALUE!")</f>
        <v>#VALUE!</v>
      </c>
      <c r="H501" s="51" t="str">
        <f>IFERROR(__xludf.DUMMYFUNCTION("""COMPUTED_VALUE"""),"")</f>
        <v/>
      </c>
      <c r="I501" s="51" t="str">
        <f>IFERROR(__xludf.DUMMYFUNCTION("""COMPUTED_VALUE"""),"#VALUE!")</f>
        <v>#VALUE!</v>
      </c>
      <c r="J501" s="51" t="str">
        <f>IFERROR(__xludf.DUMMYFUNCTION("""COMPUTED_VALUE"""),"")</f>
        <v/>
      </c>
      <c r="K501" s="51"/>
      <c r="L501" s="51" t="s">
        <v>257</v>
      </c>
      <c r="M501" s="51"/>
      <c r="N501" s="51"/>
      <c r="O501" s="51"/>
      <c r="P501" s="51"/>
      <c r="Q501" s="51"/>
      <c r="R501" s="51"/>
      <c r="S501" s="51"/>
      <c r="T501" s="51"/>
    </row>
    <row r="502">
      <c r="A502" s="51"/>
      <c r="B502" s="51"/>
      <c r="C502" s="56"/>
      <c r="D502" s="51"/>
      <c r="E502" s="51"/>
      <c r="F502" s="51"/>
      <c r="G502" s="51" t="str">
        <f>IFERROR(__xludf.DUMMYFUNCTION("""COMPUTED_VALUE"""),"#VALUE!")</f>
        <v>#VALUE!</v>
      </c>
      <c r="H502" s="51" t="str">
        <f>IFERROR(__xludf.DUMMYFUNCTION("""COMPUTED_VALUE"""),"")</f>
        <v/>
      </c>
      <c r="I502" s="51" t="str">
        <f>IFERROR(__xludf.DUMMYFUNCTION("""COMPUTED_VALUE"""),"#VALUE!")</f>
        <v>#VALUE!</v>
      </c>
      <c r="J502" s="51" t="str">
        <f>IFERROR(__xludf.DUMMYFUNCTION("""COMPUTED_VALUE"""),"")</f>
        <v/>
      </c>
      <c r="K502" s="51"/>
      <c r="L502" s="51" t="s">
        <v>257</v>
      </c>
      <c r="M502" s="51"/>
      <c r="N502" s="51"/>
      <c r="O502" s="51"/>
      <c r="P502" s="51"/>
      <c r="Q502" s="51"/>
      <c r="R502" s="51"/>
      <c r="S502" s="51"/>
      <c r="T502" s="51"/>
    </row>
    <row r="503">
      <c r="A503" s="51"/>
      <c r="B503" s="51"/>
      <c r="C503" s="56"/>
      <c r="D503" s="51"/>
      <c r="E503" s="51"/>
      <c r="F503" s="51"/>
      <c r="G503" s="51" t="str">
        <f>IFERROR(__xludf.DUMMYFUNCTION("""COMPUTED_VALUE"""),"#VALUE!")</f>
        <v>#VALUE!</v>
      </c>
      <c r="H503" s="51" t="str">
        <f>IFERROR(__xludf.DUMMYFUNCTION("""COMPUTED_VALUE"""),"")</f>
        <v/>
      </c>
      <c r="I503" s="51" t="str">
        <f>IFERROR(__xludf.DUMMYFUNCTION("""COMPUTED_VALUE"""),"#VALUE!")</f>
        <v>#VALUE!</v>
      </c>
      <c r="J503" s="51" t="str">
        <f>IFERROR(__xludf.DUMMYFUNCTION("""COMPUTED_VALUE"""),"")</f>
        <v/>
      </c>
      <c r="K503" s="51"/>
      <c r="L503" s="51" t="s">
        <v>257</v>
      </c>
      <c r="M503" s="51"/>
      <c r="N503" s="51"/>
      <c r="O503" s="51"/>
      <c r="P503" s="51"/>
      <c r="Q503" s="51"/>
      <c r="R503" s="51"/>
      <c r="S503" s="51"/>
      <c r="T503" s="51"/>
    </row>
    <row r="504">
      <c r="A504" s="51"/>
      <c r="B504" s="51"/>
      <c r="C504" s="56"/>
      <c r="D504" s="51"/>
      <c r="E504" s="51"/>
      <c r="F504" s="51"/>
      <c r="G504" s="51" t="str">
        <f>IFERROR(__xludf.DUMMYFUNCTION("""COMPUTED_VALUE"""),"#VALUE!")</f>
        <v>#VALUE!</v>
      </c>
      <c r="H504" s="51" t="str">
        <f>IFERROR(__xludf.DUMMYFUNCTION("""COMPUTED_VALUE"""),"")</f>
        <v/>
      </c>
      <c r="I504" s="51" t="str">
        <f>IFERROR(__xludf.DUMMYFUNCTION("""COMPUTED_VALUE"""),"#VALUE!")</f>
        <v>#VALUE!</v>
      </c>
      <c r="J504" s="51" t="str">
        <f>IFERROR(__xludf.DUMMYFUNCTION("""COMPUTED_VALUE"""),"")</f>
        <v/>
      </c>
      <c r="K504" s="51"/>
      <c r="L504" s="51" t="s">
        <v>257</v>
      </c>
      <c r="M504" s="51"/>
      <c r="N504" s="51"/>
      <c r="O504" s="51"/>
      <c r="P504" s="51"/>
      <c r="Q504" s="51"/>
      <c r="R504" s="51"/>
      <c r="S504" s="51"/>
      <c r="T504" s="51"/>
    </row>
    <row r="505">
      <c r="A505" s="51"/>
      <c r="B505" s="51"/>
      <c r="C505" s="56"/>
      <c r="D505" s="51"/>
      <c r="E505" s="51"/>
      <c r="F505" s="51"/>
      <c r="G505" s="51" t="str">
        <f>IFERROR(__xludf.DUMMYFUNCTION("""COMPUTED_VALUE"""),"#VALUE!")</f>
        <v>#VALUE!</v>
      </c>
      <c r="H505" s="51" t="str">
        <f>IFERROR(__xludf.DUMMYFUNCTION("""COMPUTED_VALUE"""),"")</f>
        <v/>
      </c>
      <c r="I505" s="51" t="str">
        <f>IFERROR(__xludf.DUMMYFUNCTION("""COMPUTED_VALUE"""),"#VALUE!")</f>
        <v>#VALUE!</v>
      </c>
      <c r="J505" s="51" t="str">
        <f>IFERROR(__xludf.DUMMYFUNCTION("""COMPUTED_VALUE"""),"")</f>
        <v/>
      </c>
      <c r="K505" s="51"/>
      <c r="L505" s="51" t="s">
        <v>257</v>
      </c>
      <c r="M505" s="51"/>
      <c r="N505" s="51"/>
      <c r="O505" s="51"/>
      <c r="P505" s="51"/>
      <c r="Q505" s="51"/>
      <c r="R505" s="51"/>
      <c r="S505" s="51"/>
      <c r="T505" s="51"/>
    </row>
    <row r="506">
      <c r="A506" s="51"/>
      <c r="B506" s="51"/>
      <c r="C506" s="56"/>
      <c r="D506" s="51"/>
      <c r="E506" s="51"/>
      <c r="F506" s="51"/>
      <c r="G506" s="51" t="str">
        <f>IFERROR(__xludf.DUMMYFUNCTION("""COMPUTED_VALUE"""),"#VALUE!")</f>
        <v>#VALUE!</v>
      </c>
      <c r="H506" s="51" t="str">
        <f>IFERROR(__xludf.DUMMYFUNCTION("""COMPUTED_VALUE"""),"")</f>
        <v/>
      </c>
      <c r="I506" s="51" t="str">
        <f>IFERROR(__xludf.DUMMYFUNCTION("""COMPUTED_VALUE"""),"#VALUE!")</f>
        <v>#VALUE!</v>
      </c>
      <c r="J506" s="51" t="str">
        <f>IFERROR(__xludf.DUMMYFUNCTION("""COMPUTED_VALUE"""),"")</f>
        <v/>
      </c>
      <c r="K506" s="51"/>
      <c r="L506" s="51" t="s">
        <v>257</v>
      </c>
      <c r="M506" s="51"/>
      <c r="N506" s="51"/>
      <c r="O506" s="51"/>
      <c r="P506" s="51"/>
      <c r="Q506" s="51"/>
      <c r="R506" s="51"/>
      <c r="S506" s="51"/>
      <c r="T506" s="51"/>
    </row>
    <row r="507">
      <c r="A507" s="51"/>
      <c r="B507" s="51"/>
      <c r="C507" s="56"/>
      <c r="D507" s="51"/>
      <c r="E507" s="51"/>
      <c r="F507" s="51"/>
      <c r="G507" s="51" t="str">
        <f>IFERROR(__xludf.DUMMYFUNCTION("""COMPUTED_VALUE"""),"#VALUE!")</f>
        <v>#VALUE!</v>
      </c>
      <c r="H507" s="51" t="str">
        <f>IFERROR(__xludf.DUMMYFUNCTION("""COMPUTED_VALUE"""),"")</f>
        <v/>
      </c>
      <c r="I507" s="51" t="str">
        <f>IFERROR(__xludf.DUMMYFUNCTION("""COMPUTED_VALUE"""),"#VALUE!")</f>
        <v>#VALUE!</v>
      </c>
      <c r="J507" s="51" t="str">
        <f>IFERROR(__xludf.DUMMYFUNCTION("""COMPUTED_VALUE"""),"")</f>
        <v/>
      </c>
      <c r="K507" s="51"/>
      <c r="L507" s="51" t="s">
        <v>257</v>
      </c>
      <c r="M507" s="51"/>
      <c r="N507" s="51"/>
      <c r="O507" s="51"/>
      <c r="P507" s="51"/>
      <c r="Q507" s="51"/>
      <c r="R507" s="51"/>
      <c r="S507" s="51"/>
      <c r="T507" s="51"/>
    </row>
    <row r="508">
      <c r="A508" s="51"/>
      <c r="B508" s="51"/>
      <c r="C508" s="56"/>
      <c r="D508" s="51"/>
      <c r="E508" s="51"/>
      <c r="F508" s="51"/>
      <c r="G508" s="51" t="str">
        <f>IFERROR(__xludf.DUMMYFUNCTION("""COMPUTED_VALUE"""),"#VALUE!")</f>
        <v>#VALUE!</v>
      </c>
      <c r="H508" s="51" t="str">
        <f>IFERROR(__xludf.DUMMYFUNCTION("""COMPUTED_VALUE"""),"")</f>
        <v/>
      </c>
      <c r="I508" s="51" t="str">
        <f>IFERROR(__xludf.DUMMYFUNCTION("""COMPUTED_VALUE"""),"#VALUE!")</f>
        <v>#VALUE!</v>
      </c>
      <c r="J508" s="51" t="str">
        <f>IFERROR(__xludf.DUMMYFUNCTION("""COMPUTED_VALUE"""),"")</f>
        <v/>
      </c>
      <c r="K508" s="51"/>
      <c r="L508" s="51" t="s">
        <v>257</v>
      </c>
      <c r="M508" s="51"/>
      <c r="N508" s="51"/>
      <c r="O508" s="51"/>
      <c r="P508" s="51"/>
      <c r="Q508" s="51"/>
      <c r="R508" s="51"/>
      <c r="S508" s="51"/>
      <c r="T508" s="51"/>
    </row>
    <row r="509">
      <c r="A509" s="51"/>
      <c r="B509" s="51"/>
      <c r="C509" s="56"/>
      <c r="D509" s="51"/>
      <c r="E509" s="51"/>
      <c r="F509" s="51"/>
      <c r="G509" s="51" t="str">
        <f>IFERROR(__xludf.DUMMYFUNCTION("""COMPUTED_VALUE"""),"#VALUE!")</f>
        <v>#VALUE!</v>
      </c>
      <c r="H509" s="51" t="str">
        <f>IFERROR(__xludf.DUMMYFUNCTION("""COMPUTED_VALUE"""),"")</f>
        <v/>
      </c>
      <c r="I509" s="51" t="str">
        <f>IFERROR(__xludf.DUMMYFUNCTION("""COMPUTED_VALUE"""),"#VALUE!")</f>
        <v>#VALUE!</v>
      </c>
      <c r="J509" s="51" t="str">
        <f>IFERROR(__xludf.DUMMYFUNCTION("""COMPUTED_VALUE"""),"")</f>
        <v/>
      </c>
      <c r="K509" s="51"/>
      <c r="L509" s="51" t="s">
        <v>257</v>
      </c>
      <c r="M509" s="51"/>
      <c r="N509" s="51"/>
      <c r="O509" s="51"/>
      <c r="P509" s="51"/>
      <c r="Q509" s="51"/>
      <c r="R509" s="51"/>
      <c r="S509" s="51"/>
      <c r="T509" s="51"/>
    </row>
    <row r="510">
      <c r="A510" s="51"/>
      <c r="B510" s="51"/>
      <c r="C510" s="56"/>
      <c r="D510" s="51"/>
      <c r="E510" s="51"/>
      <c r="F510" s="51"/>
      <c r="G510" s="51" t="str">
        <f>IFERROR(__xludf.DUMMYFUNCTION("""COMPUTED_VALUE"""),"#VALUE!")</f>
        <v>#VALUE!</v>
      </c>
      <c r="H510" s="51" t="str">
        <f>IFERROR(__xludf.DUMMYFUNCTION("""COMPUTED_VALUE"""),"")</f>
        <v/>
      </c>
      <c r="I510" s="51" t="str">
        <f>IFERROR(__xludf.DUMMYFUNCTION("""COMPUTED_VALUE"""),"#VALUE!")</f>
        <v>#VALUE!</v>
      </c>
      <c r="J510" s="51" t="str">
        <f>IFERROR(__xludf.DUMMYFUNCTION("""COMPUTED_VALUE"""),"")</f>
        <v/>
      </c>
      <c r="K510" s="51"/>
      <c r="L510" s="51" t="s">
        <v>257</v>
      </c>
      <c r="M510" s="51"/>
      <c r="N510" s="51"/>
      <c r="O510" s="51"/>
      <c r="P510" s="51"/>
      <c r="Q510" s="51"/>
      <c r="R510" s="51"/>
      <c r="S510" s="51"/>
      <c r="T510" s="51"/>
    </row>
    <row r="511">
      <c r="A511" s="51"/>
      <c r="B511" s="51"/>
      <c r="C511" s="56"/>
      <c r="D511" s="51"/>
      <c r="E511" s="51"/>
      <c r="F511" s="51"/>
      <c r="G511" s="51" t="str">
        <f>IFERROR(__xludf.DUMMYFUNCTION("""COMPUTED_VALUE"""),"#VALUE!")</f>
        <v>#VALUE!</v>
      </c>
      <c r="H511" s="51" t="str">
        <f>IFERROR(__xludf.DUMMYFUNCTION("""COMPUTED_VALUE"""),"")</f>
        <v/>
      </c>
      <c r="I511" s="51" t="str">
        <f>IFERROR(__xludf.DUMMYFUNCTION("""COMPUTED_VALUE"""),"#VALUE!")</f>
        <v>#VALUE!</v>
      </c>
      <c r="J511" s="51" t="str">
        <f>IFERROR(__xludf.DUMMYFUNCTION("""COMPUTED_VALUE"""),"")</f>
        <v/>
      </c>
      <c r="K511" s="51"/>
      <c r="L511" s="51" t="s">
        <v>257</v>
      </c>
      <c r="M511" s="51"/>
      <c r="N511" s="51"/>
      <c r="O511" s="51"/>
      <c r="P511" s="51"/>
      <c r="Q511" s="51"/>
      <c r="R511" s="51"/>
      <c r="S511" s="51"/>
      <c r="T511" s="51"/>
    </row>
    <row r="512">
      <c r="A512" s="51"/>
      <c r="B512" s="51"/>
      <c r="C512" s="56"/>
      <c r="D512" s="51"/>
      <c r="E512" s="51"/>
      <c r="F512" s="51"/>
      <c r="G512" s="51" t="str">
        <f>IFERROR(__xludf.DUMMYFUNCTION("""COMPUTED_VALUE"""),"#VALUE!")</f>
        <v>#VALUE!</v>
      </c>
      <c r="H512" s="51" t="str">
        <f>IFERROR(__xludf.DUMMYFUNCTION("""COMPUTED_VALUE"""),"")</f>
        <v/>
      </c>
      <c r="I512" s="51" t="str">
        <f>IFERROR(__xludf.DUMMYFUNCTION("""COMPUTED_VALUE"""),"#VALUE!")</f>
        <v>#VALUE!</v>
      </c>
      <c r="J512" s="51" t="str">
        <f>IFERROR(__xludf.DUMMYFUNCTION("""COMPUTED_VALUE"""),"")</f>
        <v/>
      </c>
      <c r="K512" s="51"/>
      <c r="L512" s="51" t="s">
        <v>257</v>
      </c>
      <c r="M512" s="51"/>
      <c r="N512" s="51"/>
      <c r="O512" s="51"/>
      <c r="P512" s="51"/>
      <c r="Q512" s="51"/>
      <c r="R512" s="51"/>
      <c r="S512" s="51"/>
      <c r="T512" s="51"/>
    </row>
    <row r="513">
      <c r="A513" s="51"/>
      <c r="B513" s="51"/>
      <c r="C513" s="56"/>
      <c r="D513" s="51"/>
      <c r="E513" s="51"/>
      <c r="F513" s="51"/>
      <c r="G513" s="51" t="str">
        <f>IFERROR(__xludf.DUMMYFUNCTION("""COMPUTED_VALUE"""),"#VALUE!")</f>
        <v>#VALUE!</v>
      </c>
      <c r="H513" s="51" t="str">
        <f>IFERROR(__xludf.DUMMYFUNCTION("""COMPUTED_VALUE"""),"")</f>
        <v/>
      </c>
      <c r="I513" s="51" t="str">
        <f>IFERROR(__xludf.DUMMYFUNCTION("""COMPUTED_VALUE"""),"#VALUE!")</f>
        <v>#VALUE!</v>
      </c>
      <c r="J513" s="51" t="str">
        <f>IFERROR(__xludf.DUMMYFUNCTION("""COMPUTED_VALUE"""),"")</f>
        <v/>
      </c>
      <c r="K513" s="51"/>
      <c r="L513" s="51" t="s">
        <v>257</v>
      </c>
      <c r="M513" s="51"/>
      <c r="N513" s="51"/>
      <c r="O513" s="51"/>
      <c r="P513" s="51"/>
      <c r="Q513" s="51"/>
      <c r="R513" s="51"/>
      <c r="S513" s="51"/>
      <c r="T513" s="51"/>
    </row>
    <row r="514">
      <c r="A514" s="51"/>
      <c r="B514" s="51"/>
      <c r="C514" s="56"/>
      <c r="D514" s="51"/>
      <c r="E514" s="51"/>
      <c r="F514" s="51"/>
      <c r="G514" s="51" t="str">
        <f>IFERROR(__xludf.DUMMYFUNCTION("""COMPUTED_VALUE"""),"#VALUE!")</f>
        <v>#VALUE!</v>
      </c>
      <c r="H514" s="51" t="str">
        <f>IFERROR(__xludf.DUMMYFUNCTION("""COMPUTED_VALUE"""),"")</f>
        <v/>
      </c>
      <c r="I514" s="51" t="str">
        <f>IFERROR(__xludf.DUMMYFUNCTION("""COMPUTED_VALUE"""),"#VALUE!")</f>
        <v>#VALUE!</v>
      </c>
      <c r="J514" s="51" t="str">
        <f>IFERROR(__xludf.DUMMYFUNCTION("""COMPUTED_VALUE"""),"")</f>
        <v/>
      </c>
      <c r="K514" s="51"/>
      <c r="L514" s="51" t="s">
        <v>257</v>
      </c>
      <c r="M514" s="51"/>
      <c r="N514" s="51"/>
      <c r="O514" s="51"/>
      <c r="P514" s="51"/>
      <c r="Q514" s="51"/>
      <c r="R514" s="51"/>
      <c r="S514" s="51"/>
      <c r="T514" s="51"/>
    </row>
    <row r="515">
      <c r="A515" s="51"/>
      <c r="B515" s="51"/>
      <c r="C515" s="56"/>
      <c r="D515" s="51"/>
      <c r="E515" s="51"/>
      <c r="F515" s="51"/>
      <c r="G515" s="51" t="str">
        <f>IFERROR(__xludf.DUMMYFUNCTION("""COMPUTED_VALUE"""),"#VALUE!")</f>
        <v>#VALUE!</v>
      </c>
      <c r="H515" s="51" t="str">
        <f>IFERROR(__xludf.DUMMYFUNCTION("""COMPUTED_VALUE"""),"")</f>
        <v/>
      </c>
      <c r="I515" s="51" t="str">
        <f>IFERROR(__xludf.DUMMYFUNCTION("""COMPUTED_VALUE"""),"#VALUE!")</f>
        <v>#VALUE!</v>
      </c>
      <c r="J515" s="51" t="str">
        <f>IFERROR(__xludf.DUMMYFUNCTION("""COMPUTED_VALUE"""),"")</f>
        <v/>
      </c>
      <c r="K515" s="51"/>
      <c r="L515" s="51" t="s">
        <v>257</v>
      </c>
      <c r="M515" s="51"/>
      <c r="N515" s="51"/>
      <c r="O515" s="51"/>
      <c r="P515" s="51"/>
      <c r="Q515" s="51"/>
      <c r="R515" s="51"/>
      <c r="S515" s="51"/>
      <c r="T515" s="51"/>
    </row>
    <row r="516">
      <c r="A516" s="51"/>
      <c r="B516" s="51"/>
      <c r="C516" s="56"/>
      <c r="D516" s="51"/>
      <c r="E516" s="51"/>
      <c r="F516" s="51"/>
      <c r="G516" s="51" t="str">
        <f>IFERROR(__xludf.DUMMYFUNCTION("""COMPUTED_VALUE"""),"#VALUE!")</f>
        <v>#VALUE!</v>
      </c>
      <c r="H516" s="51" t="str">
        <f>IFERROR(__xludf.DUMMYFUNCTION("""COMPUTED_VALUE"""),"")</f>
        <v/>
      </c>
      <c r="I516" s="51" t="str">
        <f>IFERROR(__xludf.DUMMYFUNCTION("""COMPUTED_VALUE"""),"#VALUE!")</f>
        <v>#VALUE!</v>
      </c>
      <c r="J516" s="51" t="str">
        <f>IFERROR(__xludf.DUMMYFUNCTION("""COMPUTED_VALUE"""),"")</f>
        <v/>
      </c>
      <c r="K516" s="51"/>
      <c r="L516" s="51" t="s">
        <v>257</v>
      </c>
      <c r="M516" s="51"/>
      <c r="N516" s="51"/>
      <c r="O516" s="51"/>
      <c r="P516" s="51"/>
      <c r="Q516" s="51"/>
      <c r="R516" s="51"/>
      <c r="S516" s="51"/>
      <c r="T516" s="51"/>
    </row>
    <row r="517">
      <c r="A517" s="51"/>
      <c r="B517" s="51"/>
      <c r="C517" s="56"/>
      <c r="D517" s="51"/>
      <c r="E517" s="51"/>
      <c r="F517" s="51"/>
      <c r="G517" s="51" t="str">
        <f>IFERROR(__xludf.DUMMYFUNCTION("""COMPUTED_VALUE"""),"#VALUE!")</f>
        <v>#VALUE!</v>
      </c>
      <c r="H517" s="51" t="str">
        <f>IFERROR(__xludf.DUMMYFUNCTION("""COMPUTED_VALUE"""),"")</f>
        <v/>
      </c>
      <c r="I517" s="51" t="str">
        <f>IFERROR(__xludf.DUMMYFUNCTION("""COMPUTED_VALUE"""),"#VALUE!")</f>
        <v>#VALUE!</v>
      </c>
      <c r="J517" s="51" t="str">
        <f>IFERROR(__xludf.DUMMYFUNCTION("""COMPUTED_VALUE"""),"")</f>
        <v/>
      </c>
      <c r="K517" s="51"/>
      <c r="L517" s="51" t="s">
        <v>257</v>
      </c>
      <c r="M517" s="51"/>
      <c r="N517" s="51"/>
      <c r="O517" s="51"/>
      <c r="P517" s="51"/>
      <c r="Q517" s="51"/>
      <c r="R517" s="51"/>
      <c r="S517" s="51"/>
      <c r="T517" s="51"/>
    </row>
    <row r="518">
      <c r="A518" s="51"/>
      <c r="B518" s="51"/>
      <c r="C518" s="56"/>
      <c r="D518" s="51"/>
      <c r="E518" s="51"/>
      <c r="F518" s="51"/>
      <c r="G518" s="51" t="str">
        <f>IFERROR(__xludf.DUMMYFUNCTION("""COMPUTED_VALUE"""),"#VALUE!")</f>
        <v>#VALUE!</v>
      </c>
      <c r="H518" s="51" t="str">
        <f>IFERROR(__xludf.DUMMYFUNCTION("""COMPUTED_VALUE"""),"")</f>
        <v/>
      </c>
      <c r="I518" s="51" t="str">
        <f>IFERROR(__xludf.DUMMYFUNCTION("""COMPUTED_VALUE"""),"#VALUE!")</f>
        <v>#VALUE!</v>
      </c>
      <c r="J518" s="51" t="str">
        <f>IFERROR(__xludf.DUMMYFUNCTION("""COMPUTED_VALUE"""),"")</f>
        <v/>
      </c>
      <c r="K518" s="51"/>
      <c r="L518" s="51" t="s">
        <v>257</v>
      </c>
      <c r="M518" s="51"/>
      <c r="N518" s="51"/>
      <c r="O518" s="51"/>
      <c r="P518" s="51"/>
      <c r="Q518" s="51"/>
      <c r="R518" s="51"/>
      <c r="S518" s="51"/>
      <c r="T518" s="51"/>
    </row>
    <row r="519">
      <c r="A519" s="51"/>
      <c r="B519" s="51"/>
      <c r="C519" s="56"/>
      <c r="D519" s="51"/>
      <c r="E519" s="51"/>
      <c r="F519" s="51"/>
      <c r="G519" s="51" t="str">
        <f>IFERROR(__xludf.DUMMYFUNCTION("""COMPUTED_VALUE"""),"#VALUE!")</f>
        <v>#VALUE!</v>
      </c>
      <c r="H519" s="51" t="str">
        <f>IFERROR(__xludf.DUMMYFUNCTION("""COMPUTED_VALUE"""),"")</f>
        <v/>
      </c>
      <c r="I519" s="51" t="str">
        <f>IFERROR(__xludf.DUMMYFUNCTION("""COMPUTED_VALUE"""),"#VALUE!")</f>
        <v>#VALUE!</v>
      </c>
      <c r="J519" s="51" t="str">
        <f>IFERROR(__xludf.DUMMYFUNCTION("""COMPUTED_VALUE"""),"")</f>
        <v/>
      </c>
      <c r="K519" s="51"/>
      <c r="L519" s="51" t="s">
        <v>257</v>
      </c>
      <c r="M519" s="51"/>
      <c r="N519" s="51"/>
      <c r="O519" s="51"/>
      <c r="P519" s="51"/>
      <c r="Q519" s="51"/>
      <c r="R519" s="51"/>
      <c r="S519" s="51"/>
      <c r="T519" s="51"/>
    </row>
    <row r="520">
      <c r="A520" s="51"/>
      <c r="B520" s="51"/>
      <c r="C520" s="56"/>
      <c r="D520" s="51"/>
      <c r="E520" s="51"/>
      <c r="F520" s="51"/>
      <c r="G520" s="51" t="str">
        <f>IFERROR(__xludf.DUMMYFUNCTION("""COMPUTED_VALUE"""),"#VALUE!")</f>
        <v>#VALUE!</v>
      </c>
      <c r="H520" s="51" t="str">
        <f>IFERROR(__xludf.DUMMYFUNCTION("""COMPUTED_VALUE"""),"")</f>
        <v/>
      </c>
      <c r="I520" s="51" t="str">
        <f>IFERROR(__xludf.DUMMYFUNCTION("""COMPUTED_VALUE"""),"#VALUE!")</f>
        <v>#VALUE!</v>
      </c>
      <c r="J520" s="51" t="str">
        <f>IFERROR(__xludf.DUMMYFUNCTION("""COMPUTED_VALUE"""),"")</f>
        <v/>
      </c>
      <c r="K520" s="51"/>
      <c r="L520" s="51" t="s">
        <v>257</v>
      </c>
      <c r="M520" s="51"/>
      <c r="N520" s="51"/>
      <c r="O520" s="51"/>
      <c r="P520" s="51"/>
      <c r="Q520" s="51"/>
      <c r="R520" s="51"/>
      <c r="S520" s="51"/>
      <c r="T520" s="51"/>
    </row>
    <row r="521">
      <c r="A521" s="51"/>
      <c r="B521" s="51"/>
      <c r="C521" s="56"/>
      <c r="D521" s="51"/>
      <c r="E521" s="51"/>
      <c r="F521" s="51"/>
      <c r="G521" s="51" t="str">
        <f>IFERROR(__xludf.DUMMYFUNCTION("""COMPUTED_VALUE"""),"#VALUE!")</f>
        <v>#VALUE!</v>
      </c>
      <c r="H521" s="51" t="str">
        <f>IFERROR(__xludf.DUMMYFUNCTION("""COMPUTED_VALUE"""),"")</f>
        <v/>
      </c>
      <c r="I521" s="51" t="str">
        <f>IFERROR(__xludf.DUMMYFUNCTION("""COMPUTED_VALUE"""),"#VALUE!")</f>
        <v>#VALUE!</v>
      </c>
      <c r="J521" s="51" t="str">
        <f>IFERROR(__xludf.DUMMYFUNCTION("""COMPUTED_VALUE"""),"")</f>
        <v/>
      </c>
      <c r="K521" s="51"/>
      <c r="L521" s="51" t="s">
        <v>257</v>
      </c>
      <c r="M521" s="51"/>
      <c r="N521" s="51"/>
      <c r="O521" s="51"/>
      <c r="P521" s="51"/>
      <c r="Q521" s="51"/>
      <c r="R521" s="51"/>
      <c r="S521" s="51"/>
      <c r="T521" s="51"/>
    </row>
    <row r="522">
      <c r="A522" s="51"/>
      <c r="B522" s="51"/>
      <c r="C522" s="56"/>
      <c r="D522" s="51"/>
      <c r="E522" s="51"/>
      <c r="F522" s="51"/>
      <c r="G522" s="51" t="str">
        <f>IFERROR(__xludf.DUMMYFUNCTION("""COMPUTED_VALUE"""),"#VALUE!")</f>
        <v>#VALUE!</v>
      </c>
      <c r="H522" s="51" t="str">
        <f>IFERROR(__xludf.DUMMYFUNCTION("""COMPUTED_VALUE"""),"")</f>
        <v/>
      </c>
      <c r="I522" s="51" t="str">
        <f>IFERROR(__xludf.DUMMYFUNCTION("""COMPUTED_VALUE"""),"#VALUE!")</f>
        <v>#VALUE!</v>
      </c>
      <c r="J522" s="51" t="str">
        <f>IFERROR(__xludf.DUMMYFUNCTION("""COMPUTED_VALUE"""),"")</f>
        <v/>
      </c>
      <c r="K522" s="51"/>
      <c r="L522" s="51" t="s">
        <v>257</v>
      </c>
      <c r="M522" s="51"/>
      <c r="N522" s="51"/>
      <c r="O522" s="51"/>
      <c r="P522" s="51"/>
      <c r="Q522" s="51"/>
      <c r="R522" s="51"/>
      <c r="S522" s="51"/>
      <c r="T522" s="51"/>
    </row>
    <row r="523">
      <c r="A523" s="51"/>
      <c r="B523" s="51"/>
      <c r="C523" s="56"/>
      <c r="D523" s="51"/>
      <c r="E523" s="51"/>
      <c r="F523" s="51"/>
      <c r="G523" s="51" t="str">
        <f>IFERROR(__xludf.DUMMYFUNCTION("""COMPUTED_VALUE"""),"#VALUE!")</f>
        <v>#VALUE!</v>
      </c>
      <c r="H523" s="51" t="str">
        <f>IFERROR(__xludf.DUMMYFUNCTION("""COMPUTED_VALUE"""),"")</f>
        <v/>
      </c>
      <c r="I523" s="51" t="str">
        <f>IFERROR(__xludf.DUMMYFUNCTION("""COMPUTED_VALUE"""),"#VALUE!")</f>
        <v>#VALUE!</v>
      </c>
      <c r="J523" s="51" t="str">
        <f>IFERROR(__xludf.DUMMYFUNCTION("""COMPUTED_VALUE"""),"")</f>
        <v/>
      </c>
      <c r="K523" s="51"/>
      <c r="L523" s="51" t="s">
        <v>257</v>
      </c>
      <c r="M523" s="51"/>
      <c r="N523" s="51"/>
      <c r="O523" s="51"/>
      <c r="P523" s="51"/>
      <c r="Q523" s="51"/>
      <c r="R523" s="51"/>
      <c r="S523" s="51"/>
      <c r="T523" s="51"/>
    </row>
    <row r="524">
      <c r="A524" s="51"/>
      <c r="B524" s="51"/>
      <c r="C524" s="56"/>
      <c r="D524" s="51"/>
      <c r="E524" s="51"/>
      <c r="F524" s="51"/>
      <c r="G524" s="51" t="str">
        <f>IFERROR(__xludf.DUMMYFUNCTION("""COMPUTED_VALUE"""),"#VALUE!")</f>
        <v>#VALUE!</v>
      </c>
      <c r="H524" s="51" t="str">
        <f>IFERROR(__xludf.DUMMYFUNCTION("""COMPUTED_VALUE"""),"")</f>
        <v/>
      </c>
      <c r="I524" s="51" t="str">
        <f>IFERROR(__xludf.DUMMYFUNCTION("""COMPUTED_VALUE"""),"#VALUE!")</f>
        <v>#VALUE!</v>
      </c>
      <c r="J524" s="51" t="str">
        <f>IFERROR(__xludf.DUMMYFUNCTION("""COMPUTED_VALUE"""),"")</f>
        <v/>
      </c>
      <c r="K524" s="51"/>
      <c r="L524" s="51" t="s">
        <v>257</v>
      </c>
      <c r="M524" s="51"/>
      <c r="N524" s="51"/>
      <c r="O524" s="51"/>
      <c r="P524" s="51"/>
      <c r="Q524" s="51"/>
      <c r="R524" s="51"/>
      <c r="S524" s="51"/>
      <c r="T524" s="51"/>
    </row>
  </sheetData>
  <conditionalFormatting sqref="O2:O19">
    <cfRule type="containsText" dxfId="4" priority="1" operator="containsText" text="YES">
      <formula>NOT(ISERROR(SEARCH(("YES"),(O2))))</formula>
    </cfRule>
  </conditionalFormatting>
  <conditionalFormatting sqref="O2:O19">
    <cfRule type="cellIs" dxfId="5" priority="2" operator="equal">
      <formula>"NO"</formula>
    </cfRule>
  </conditionalFormatting>
  <conditionalFormatting sqref="P2:P19">
    <cfRule type="cellIs" dxfId="4" priority="3" operator="equal">
      <formula>"AVAILABLE"</formula>
    </cfRule>
  </conditionalFormatting>
  <conditionalFormatting sqref="P2:P19">
    <cfRule type="cellIs" dxfId="5" priority="4" operator="equal">
      <formula>"NOT AVAILABLE"</formula>
    </cfRule>
  </conditionalFormatting>
  <conditionalFormatting sqref="Q2:Q19">
    <cfRule type="cellIs" dxfId="4" priority="5" operator="equal">
      <formula>"AVAILABLE"</formula>
    </cfRule>
  </conditionalFormatting>
  <conditionalFormatting sqref="Q2:Q19">
    <cfRule type="cellIs" dxfId="6" priority="6" operator="equal">
      <formula>"UPLOADING"</formula>
    </cfRule>
  </conditionalFormatting>
  <conditionalFormatting sqref="Q2:Q19">
    <cfRule type="cellIs" dxfId="5" priority="7" operator="equal">
      <formula>"NOT AVAILABLE"</formula>
    </cfRule>
  </conditionalFormatting>
  <dataValidations>
    <dataValidation type="list" allowBlank="1" sqref="O2:O19">
      <formula1>"YES,NO"</formula1>
    </dataValidation>
    <dataValidation type="list" allowBlank="1" sqref="P2:P19">
      <formula1>"AVAILABLE,NOT AVAILABLE"</formula1>
    </dataValidation>
    <dataValidation type="list" allowBlank="1" sqref="Q2:Q19">
      <formula1>"AVAILABLE,UPLOADING,NOT AVAILABLE"</formula1>
    </dataValidation>
  </dataValidations>
  <drawing r:id="rId1"/>
  <tableParts count="1">
    <tablePart r:id="rId3"/>
  </tableParts>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1.86"/>
    <col customWidth="1" min="2" max="2" width="10.86"/>
    <col customWidth="1" min="3" max="3" width="30.0"/>
    <col hidden="1" min="4" max="5" width="14.43"/>
    <col customWidth="1" min="6" max="6" width="38.71"/>
    <col hidden="1" min="9" max="9" width="14.43"/>
  </cols>
  <sheetData>
    <row r="1">
      <c r="A1" s="46" t="s">
        <v>79</v>
      </c>
      <c r="B1" s="46" t="s">
        <v>80</v>
      </c>
      <c r="C1" s="48" t="s">
        <v>81</v>
      </c>
      <c r="D1" s="46" t="s">
        <v>82</v>
      </c>
      <c r="E1" s="46" t="s">
        <v>83</v>
      </c>
      <c r="F1" s="46" t="s">
        <v>84</v>
      </c>
      <c r="G1" s="46" t="s">
        <v>85</v>
      </c>
      <c r="H1" s="46" t="s">
        <v>86</v>
      </c>
      <c r="I1" s="46" t="s">
        <v>87</v>
      </c>
      <c r="J1" s="46" t="s">
        <v>88</v>
      </c>
      <c r="K1" s="46" t="s">
        <v>89</v>
      </c>
      <c r="L1" s="46" t="s">
        <v>90</v>
      </c>
      <c r="M1" s="46" t="s">
        <v>91</v>
      </c>
      <c r="N1" s="46" t="s">
        <v>92</v>
      </c>
      <c r="O1" s="50" t="s">
        <v>93</v>
      </c>
      <c r="P1" s="50" t="s">
        <v>94</v>
      </c>
      <c r="Q1" s="50" t="s">
        <v>95</v>
      </c>
      <c r="R1" s="51"/>
      <c r="S1" s="51"/>
      <c r="T1" s="51"/>
    </row>
    <row r="2">
      <c r="A2" s="54" t="str">
        <f>IFERROR(__xludf.DUMMYFUNCTION("QUERY(Master!A:H,""SELECT A,C,D,F,G,H where C = 'MusicNotes' ORDER BY F"")"),"Opening remarks")</f>
        <v>Opening remarks</v>
      </c>
      <c r="B2" s="51" t="str">
        <f>IFERROR(__xludf.DUMMYFUNCTION("""COMPUTED_VALUE"""),"MusicNotes")</f>
        <v>MusicNotes</v>
      </c>
      <c r="C2" s="56" t="str">
        <f>IFERROR(__xludf.DUMMYFUNCTION("""COMPUTED_VALUE"""),"Anastasia Markova")</f>
        <v>Anastasia Markova</v>
      </c>
      <c r="D2" s="51" t="str">
        <f>IFERROR(__xludf.DUMMYFUNCTION("""COMPUTED_VALUE"""),"2019/11/07 10:45:00")</f>
        <v>2019/11/07 10:45:00</v>
      </c>
      <c r="E2" s="51" t="str">
        <f>IFERROR(__xludf.DUMMYFUNCTION("""COMPUTED_VALUE"""),"2019/11/07 11:00:00")</f>
        <v>2019/11/07 11:00:00</v>
      </c>
      <c r="F2" s="51" t="str">
        <f>IFERROR(__xludf.DUMMYFUNCTION("""COMPUTED_VALUE"""),"15f8a1a9-677a-465c-8c5d-e9d61399bccd")</f>
        <v>15f8a1a9-677a-465c-8c5d-e9d61399bccd</v>
      </c>
      <c r="G2" s="61">
        <f>IFERROR(__xludf.DUMMYFUNCTION("ARRAYFORMULA(SPLIT(D2:D523,"" ""))"),43776.0)</f>
        <v>43776</v>
      </c>
      <c r="H2" s="60">
        <f>IFERROR(__xludf.DUMMYFUNCTION("""COMPUTED_VALUE"""),0.4479166666666667)</f>
        <v>0.4479166667</v>
      </c>
      <c r="I2" s="58">
        <f>IFERROR(__xludf.DUMMYFUNCTION("ARRAYFORMULA(SPLIT(E2:E523,"" ""))"),43776.0)</f>
        <v>43776</v>
      </c>
      <c r="J2" s="60">
        <f>IFERROR(__xludf.DUMMYFUNCTION("""COMPUTED_VALUE"""),0.4583333333333333)</f>
        <v>0.4583333333</v>
      </c>
      <c r="K2" s="60">
        <f t="shared" ref="K2:K22" si="1">J2-H2</f>
        <v>0.01041666667</v>
      </c>
      <c r="L2" s="54" t="str">
        <f t="array" ref="L2:L523">TEXT(K2:K523,"hhmmss")</f>
        <v>001500</v>
      </c>
      <c r="M2" s="62" t="s">
        <v>564</v>
      </c>
      <c r="N2" s="62" t="str">
        <f>CONCATENATE(M2,"_",F2,"_","000000_000000.mp4")</f>
        <v>MN_7_1_15f8a1a9-677a-465c-8c5d-e9d61399bccd_000000_000000.mp4</v>
      </c>
      <c r="O2" s="50"/>
      <c r="P2" s="50"/>
      <c r="Q2" s="63"/>
      <c r="R2" s="51"/>
      <c r="S2" s="51"/>
      <c r="T2" s="51"/>
    </row>
    <row r="3">
      <c r="A3" s="51" t="str">
        <f>IFERROR(__xludf.DUMMYFUNCTION("""COMPUTED_VALUE"""),"Will the machines eat us all?")</f>
        <v>Will the machines eat us all?</v>
      </c>
      <c r="B3" s="51" t="str">
        <f>IFERROR(__xludf.DUMMYFUNCTION("""COMPUTED_VALUE"""),"MusicNotes")</f>
        <v>MusicNotes</v>
      </c>
      <c r="C3" s="56" t="str">
        <f>IFERROR(__xludf.DUMMYFUNCTION("""COMPUTED_VALUE"""),"Christopher Leacock")</f>
        <v>Christopher Leacock</v>
      </c>
      <c r="D3" s="51" t="str">
        <f>IFERROR(__xludf.DUMMYFUNCTION("""COMPUTED_VALUE"""),"2019/11/07 11:00:00")</f>
        <v>2019/11/07 11:00:00</v>
      </c>
      <c r="E3" s="51" t="str">
        <f>IFERROR(__xludf.DUMMYFUNCTION("""COMPUTED_VALUE"""),"2019/11/07 11:20:00")</f>
        <v>2019/11/07 11:20:00</v>
      </c>
      <c r="F3" s="51" t="str">
        <f>IFERROR(__xludf.DUMMYFUNCTION("""COMPUTED_VALUE"""),"ff1cf35a-7993-44fe-9d51-f8e75084a33c")</f>
        <v>ff1cf35a-7993-44fe-9d51-f8e75084a33c</v>
      </c>
      <c r="G3" s="58">
        <f>IFERROR(__xludf.DUMMYFUNCTION("""COMPUTED_VALUE"""),43776.0)</f>
        <v>43776</v>
      </c>
      <c r="H3" s="60">
        <f>IFERROR(__xludf.DUMMYFUNCTION("""COMPUTED_VALUE"""),0.4583333333333333)</f>
        <v>0.4583333333</v>
      </c>
      <c r="I3" s="58">
        <f>IFERROR(__xludf.DUMMYFUNCTION("""COMPUTED_VALUE"""),43776.0)</f>
        <v>43776</v>
      </c>
      <c r="J3" s="60">
        <f>IFERROR(__xludf.DUMMYFUNCTION("""COMPUTED_VALUE"""),0.4722222222222222)</f>
        <v>0.4722222222</v>
      </c>
      <c r="K3" s="60">
        <f t="shared" si="1"/>
        <v>0.01388888889</v>
      </c>
      <c r="L3" s="51" t="s">
        <v>111</v>
      </c>
      <c r="M3" s="62" t="s">
        <v>565</v>
      </c>
      <c r="N3" s="51"/>
      <c r="O3" s="50"/>
      <c r="P3" s="50"/>
      <c r="Q3" s="63"/>
      <c r="R3" s="51"/>
      <c r="S3" s="51"/>
      <c r="T3" s="51"/>
    </row>
    <row r="4">
      <c r="A4" s="51" t="str">
        <f>IFERROR(__xludf.DUMMYFUNCTION("""COMPUTED_VALUE"""),"Every brand needs a music POV")</f>
        <v>Every brand needs a music POV</v>
      </c>
      <c r="B4" s="51" t="str">
        <f>IFERROR(__xludf.DUMMYFUNCTION("""COMPUTED_VALUE"""),"MusicNotes")</f>
        <v>MusicNotes</v>
      </c>
      <c r="C4" s="56" t="str">
        <f>IFERROR(__xludf.DUMMYFUNCTION("""COMPUTED_VALUE"""),"Olivier Robert-Murphy")</f>
        <v>Olivier Robert-Murphy</v>
      </c>
      <c r="D4" s="51" t="str">
        <f>IFERROR(__xludf.DUMMYFUNCTION("""COMPUTED_VALUE"""),"2019/11/07 11:20:00")</f>
        <v>2019/11/07 11:20:00</v>
      </c>
      <c r="E4" s="51" t="str">
        <f>IFERROR(__xludf.DUMMYFUNCTION("""COMPUTED_VALUE"""),"2019/11/07 11:35:00")</f>
        <v>2019/11/07 11:35:00</v>
      </c>
      <c r="F4" s="51" t="str">
        <f>IFERROR(__xludf.DUMMYFUNCTION("""COMPUTED_VALUE"""),"2f0f101b-0592-46bd-8b45-6530301ac771")</f>
        <v>2f0f101b-0592-46bd-8b45-6530301ac771</v>
      </c>
      <c r="G4" s="58">
        <f>IFERROR(__xludf.DUMMYFUNCTION("""COMPUTED_VALUE"""),43776.0)</f>
        <v>43776</v>
      </c>
      <c r="H4" s="60">
        <f>IFERROR(__xludf.DUMMYFUNCTION("""COMPUTED_VALUE"""),0.4722222222222222)</f>
        <v>0.4722222222</v>
      </c>
      <c r="I4" s="58">
        <f>IFERROR(__xludf.DUMMYFUNCTION("""COMPUTED_VALUE"""),43776.0)</f>
        <v>43776</v>
      </c>
      <c r="J4" s="60">
        <f>IFERROR(__xludf.DUMMYFUNCTION("""COMPUTED_VALUE"""),0.4826388888888889)</f>
        <v>0.4826388889</v>
      </c>
      <c r="K4" s="60">
        <f t="shared" si="1"/>
        <v>0.01041666667</v>
      </c>
      <c r="L4" s="51" t="s">
        <v>116</v>
      </c>
      <c r="M4" s="62" t="s">
        <v>566</v>
      </c>
      <c r="N4" s="51"/>
      <c r="O4" s="50"/>
      <c r="P4" s="50"/>
      <c r="Q4" s="63"/>
      <c r="R4" s="51"/>
      <c r="S4" s="51"/>
      <c r="T4" s="51"/>
    </row>
    <row r="5">
      <c r="A5" s="51" t="str">
        <f>IFERROR(__xludf.DUMMYFUNCTION("""COMPUTED_VALUE"""),"Keynote with Roland Lamb")</f>
        <v>Keynote with Roland Lamb</v>
      </c>
      <c r="B5" s="51" t="str">
        <f>IFERROR(__xludf.DUMMYFUNCTION("""COMPUTED_VALUE"""),"MusicNotes")</f>
        <v>MusicNotes</v>
      </c>
      <c r="C5" s="56" t="str">
        <f>IFERROR(__xludf.DUMMYFUNCTION("""COMPUTED_VALUE"""),"Roland Lamb")</f>
        <v>Roland Lamb</v>
      </c>
      <c r="D5" s="51" t="str">
        <f>IFERROR(__xludf.DUMMYFUNCTION("""COMPUTED_VALUE"""),"2019/11/07 11:35:00")</f>
        <v>2019/11/07 11:35:00</v>
      </c>
      <c r="E5" s="51" t="str">
        <f>IFERROR(__xludf.DUMMYFUNCTION("""COMPUTED_VALUE"""),"2019/11/07 11:55:00")</f>
        <v>2019/11/07 11:55:00</v>
      </c>
      <c r="F5" s="51" t="str">
        <f>IFERROR(__xludf.DUMMYFUNCTION("""COMPUTED_VALUE"""),"d202a93f-3a50-42cb-9180-fc0a048c905f")</f>
        <v>d202a93f-3a50-42cb-9180-fc0a048c905f</v>
      </c>
      <c r="G5" s="58">
        <f>IFERROR(__xludf.DUMMYFUNCTION("""COMPUTED_VALUE"""),43776.0)</f>
        <v>43776</v>
      </c>
      <c r="H5" s="60">
        <f>IFERROR(__xludf.DUMMYFUNCTION("""COMPUTED_VALUE"""),0.4826388888888889)</f>
        <v>0.4826388889</v>
      </c>
      <c r="I5" s="58">
        <f>IFERROR(__xludf.DUMMYFUNCTION("""COMPUTED_VALUE"""),43776.0)</f>
        <v>43776</v>
      </c>
      <c r="J5" s="60">
        <f>IFERROR(__xludf.DUMMYFUNCTION("""COMPUTED_VALUE"""),0.4965277777777778)</f>
        <v>0.4965277778</v>
      </c>
      <c r="K5" s="60">
        <f t="shared" si="1"/>
        <v>0.01388888889</v>
      </c>
      <c r="L5" s="51" t="s">
        <v>111</v>
      </c>
      <c r="M5" s="62" t="s">
        <v>567</v>
      </c>
      <c r="N5" s="51"/>
      <c r="O5" s="50"/>
      <c r="P5" s="50"/>
      <c r="Q5" s="63"/>
      <c r="R5" s="51"/>
      <c r="S5" s="51"/>
      <c r="T5" s="51"/>
    </row>
    <row r="6">
      <c r="A6" s="51" t="str">
        <f>IFERROR(__xludf.DUMMYFUNCTION("""COMPUTED_VALUE"""),"Live music: Getting fans out more")</f>
        <v>Live music: Getting fans out more</v>
      </c>
      <c r="B6" s="51" t="str">
        <f>IFERROR(__xludf.DUMMYFUNCTION("""COMPUTED_VALUE"""),"MusicNotes")</f>
        <v>MusicNotes</v>
      </c>
      <c r="C6" s="56" t="str">
        <f>IFERROR(__xludf.DUMMYFUNCTION("""COMPUTED_VALUE"""),"Phil Hutcheon, Gabrielle Jenks and Kieran Yates")</f>
        <v>Phil Hutcheon, Gabrielle Jenks and Kieran Yates</v>
      </c>
      <c r="D6" s="51" t="str">
        <f>IFERROR(__xludf.DUMMYFUNCTION("""COMPUTED_VALUE"""),"2019/11/07 11:55:00")</f>
        <v>2019/11/07 11:55:00</v>
      </c>
      <c r="E6" s="51" t="str">
        <f>IFERROR(__xludf.DUMMYFUNCTION("""COMPUTED_VALUE"""),"2019/11/07 12:15:00")</f>
        <v>2019/11/07 12:15:00</v>
      </c>
      <c r="F6" s="51" t="str">
        <f>IFERROR(__xludf.DUMMYFUNCTION("""COMPUTED_VALUE"""),"46662c4d-efc2-4bc7-965b-96faa2abbe9b")</f>
        <v>46662c4d-efc2-4bc7-965b-96faa2abbe9b</v>
      </c>
      <c r="G6" s="58">
        <f>IFERROR(__xludf.DUMMYFUNCTION("""COMPUTED_VALUE"""),43776.0)</f>
        <v>43776</v>
      </c>
      <c r="H6" s="60">
        <f>IFERROR(__xludf.DUMMYFUNCTION("""COMPUTED_VALUE"""),0.4965277777777778)</f>
        <v>0.4965277778</v>
      </c>
      <c r="I6" s="58">
        <f>IFERROR(__xludf.DUMMYFUNCTION("""COMPUTED_VALUE"""),43776.0)</f>
        <v>43776</v>
      </c>
      <c r="J6" s="60">
        <f>IFERROR(__xludf.DUMMYFUNCTION("""COMPUTED_VALUE"""),0.5104166666666666)</f>
        <v>0.5104166667</v>
      </c>
      <c r="K6" s="60">
        <f t="shared" si="1"/>
        <v>0.01388888889</v>
      </c>
      <c r="L6" s="51" t="s">
        <v>111</v>
      </c>
      <c r="M6" s="62" t="s">
        <v>568</v>
      </c>
      <c r="N6" s="51"/>
      <c r="O6" s="50"/>
      <c r="P6" s="50"/>
      <c r="Q6" s="63"/>
      <c r="R6" s="51"/>
      <c r="S6" s="51"/>
      <c r="T6" s="51"/>
    </row>
    <row r="7">
      <c r="A7" s="51" t="str">
        <f>IFERROR(__xludf.DUMMYFUNCTION("""COMPUTED_VALUE"""),"Life as the fourth major")</f>
        <v>Life as the fourth major</v>
      </c>
      <c r="B7" s="51" t="str">
        <f>IFERROR(__xludf.DUMMYFUNCTION("""COMPUTED_VALUE"""),"MusicNotes")</f>
        <v>MusicNotes</v>
      </c>
      <c r="C7" s="56" t="str">
        <f>IFERROR(__xludf.DUMMYFUNCTION("""COMPUTED_VALUE"""),"Hartwig Masuch and Mark Savage")</f>
        <v>Hartwig Masuch and Mark Savage</v>
      </c>
      <c r="D7" s="51" t="str">
        <f>IFERROR(__xludf.DUMMYFUNCTION("""COMPUTED_VALUE"""),"2019/11/07 12:15:00")</f>
        <v>2019/11/07 12:15:00</v>
      </c>
      <c r="E7" s="51" t="str">
        <f>IFERROR(__xludf.DUMMYFUNCTION("""COMPUTED_VALUE"""),"2019/11/07 12:35:00")</f>
        <v>2019/11/07 12:35:00</v>
      </c>
      <c r="F7" s="51" t="str">
        <f>IFERROR(__xludf.DUMMYFUNCTION("""COMPUTED_VALUE"""),"146a3ec7-5517-4d81-b735-78a9239e71fc")</f>
        <v>146a3ec7-5517-4d81-b735-78a9239e71fc</v>
      </c>
      <c r="G7" s="58">
        <f>IFERROR(__xludf.DUMMYFUNCTION("""COMPUTED_VALUE"""),43776.0)</f>
        <v>43776</v>
      </c>
      <c r="H7" s="60">
        <f>IFERROR(__xludf.DUMMYFUNCTION("""COMPUTED_VALUE"""),0.5104166666666666)</f>
        <v>0.5104166667</v>
      </c>
      <c r="I7" s="58">
        <f>IFERROR(__xludf.DUMMYFUNCTION("""COMPUTED_VALUE"""),43776.0)</f>
        <v>43776</v>
      </c>
      <c r="J7" s="60">
        <f>IFERROR(__xludf.DUMMYFUNCTION("""COMPUTED_VALUE"""),0.5243055555555556)</f>
        <v>0.5243055556</v>
      </c>
      <c r="K7" s="60">
        <f t="shared" si="1"/>
        <v>0.01388888889</v>
      </c>
      <c r="L7" s="51" t="s">
        <v>111</v>
      </c>
      <c r="M7" s="62" t="s">
        <v>569</v>
      </c>
      <c r="N7" s="51"/>
      <c r="O7" s="50"/>
      <c r="P7" s="50"/>
      <c r="Q7" s="63"/>
      <c r="R7" s="51"/>
      <c r="S7" s="51"/>
      <c r="T7" s="51"/>
    </row>
    <row r="8">
      <c r="A8" s="51" t="str">
        <f>IFERROR(__xludf.DUMMYFUNCTION("""COMPUTED_VALUE"""),"Music Innovation Prize 2019")</f>
        <v>Music Innovation Prize 2019</v>
      </c>
      <c r="B8" s="51" t="str">
        <f>IFERROR(__xludf.DUMMYFUNCTION("""COMPUTED_VALUE"""),"MusicNotes")</f>
        <v>MusicNotes</v>
      </c>
      <c r="C8" s="56" t="str">
        <f>IFERROR(__xludf.DUMMYFUNCTION("""COMPUTED_VALUE"""),"Graham Tull, George Wright, Phil Briot, Karén Chiftalaryan and Nuno Fonseca")</f>
        <v>Graham Tull, George Wright, Phil Briot, Karén Chiftalaryan and Nuno Fonseca</v>
      </c>
      <c r="D8" s="51" t="str">
        <f>IFERROR(__xludf.DUMMYFUNCTION("""COMPUTED_VALUE"""),"2019/11/07 12:35:00")</f>
        <v>2019/11/07 12:35:00</v>
      </c>
      <c r="E8" s="51" t="str">
        <f>IFERROR(__xludf.DUMMYFUNCTION("""COMPUTED_VALUE"""),"2019/11/07 13:05:00")</f>
        <v>2019/11/07 13:05:00</v>
      </c>
      <c r="F8" s="51" t="str">
        <f>IFERROR(__xludf.DUMMYFUNCTION("""COMPUTED_VALUE"""),"6de38082-d758-49eb-a19b-652a8f340afc")</f>
        <v>6de38082-d758-49eb-a19b-652a8f340afc</v>
      </c>
      <c r="G8" s="58">
        <f>IFERROR(__xludf.DUMMYFUNCTION("""COMPUTED_VALUE"""),43776.0)</f>
        <v>43776</v>
      </c>
      <c r="H8" s="60">
        <f>IFERROR(__xludf.DUMMYFUNCTION("""COMPUTED_VALUE"""),0.5243055555555556)</f>
        <v>0.5243055556</v>
      </c>
      <c r="I8" s="58">
        <f>IFERROR(__xludf.DUMMYFUNCTION("""COMPUTED_VALUE"""),43776.0)</f>
        <v>43776</v>
      </c>
      <c r="J8" s="60">
        <f>IFERROR(__xludf.DUMMYFUNCTION("""COMPUTED_VALUE"""),0.5451388888888888)</f>
        <v>0.5451388889</v>
      </c>
      <c r="K8" s="60">
        <f t="shared" si="1"/>
        <v>0.02083333333</v>
      </c>
      <c r="L8" s="51" t="s">
        <v>105</v>
      </c>
      <c r="M8" s="62" t="s">
        <v>570</v>
      </c>
      <c r="N8" s="51"/>
      <c r="O8" s="50"/>
      <c r="P8" s="50"/>
      <c r="Q8" s="63"/>
      <c r="R8" s="51"/>
      <c r="S8" s="51"/>
      <c r="T8" s="51"/>
    </row>
    <row r="9">
      <c r="A9" s="51" t="str">
        <f>IFERROR(__xludf.DUMMYFUNCTION("""COMPUTED_VALUE"""),"Lunch break")</f>
        <v>Lunch break</v>
      </c>
      <c r="B9" s="51" t="str">
        <f>IFERROR(__xludf.DUMMYFUNCTION("""COMPUTED_VALUE"""),"MusicNotes")</f>
        <v>MusicNotes</v>
      </c>
      <c r="C9" s="56" t="str">
        <f>IFERROR(__xludf.DUMMYFUNCTION("""COMPUTED_VALUE"""),"")</f>
        <v/>
      </c>
      <c r="D9" s="51" t="str">
        <f>IFERROR(__xludf.DUMMYFUNCTION("""COMPUTED_VALUE"""),"2019/11/07 13:05:00")</f>
        <v>2019/11/07 13:05:00</v>
      </c>
      <c r="E9" s="51" t="str">
        <f>IFERROR(__xludf.DUMMYFUNCTION("""COMPUTED_VALUE"""),"2019/11/07 13:45:00")</f>
        <v>2019/11/07 13:45:00</v>
      </c>
      <c r="F9" s="51" t="str">
        <f>IFERROR(__xludf.DUMMYFUNCTION("""COMPUTED_VALUE"""),"83cdffa9-6368-4b3f-be46-5801b15acb6f")</f>
        <v>83cdffa9-6368-4b3f-be46-5801b15acb6f</v>
      </c>
      <c r="G9" s="58">
        <f>IFERROR(__xludf.DUMMYFUNCTION("""COMPUTED_VALUE"""),43776.0)</f>
        <v>43776</v>
      </c>
      <c r="H9" s="60">
        <f>IFERROR(__xludf.DUMMYFUNCTION("""COMPUTED_VALUE"""),0.5451388888888888)</f>
        <v>0.5451388889</v>
      </c>
      <c r="I9" s="58">
        <f>IFERROR(__xludf.DUMMYFUNCTION("""COMPUTED_VALUE"""),43776.0)</f>
        <v>43776</v>
      </c>
      <c r="J9" s="60">
        <f>IFERROR(__xludf.DUMMYFUNCTION("""COMPUTED_VALUE"""),0.5729166666666666)</f>
        <v>0.5729166667</v>
      </c>
      <c r="K9" s="60">
        <f t="shared" si="1"/>
        <v>0.02777777778</v>
      </c>
      <c r="L9" s="51" t="s">
        <v>571</v>
      </c>
      <c r="M9" s="62" t="s">
        <v>572</v>
      </c>
      <c r="N9" s="51"/>
      <c r="O9" s="50"/>
      <c r="P9" s="50"/>
      <c r="Q9" s="63"/>
      <c r="R9" s="51"/>
      <c r="S9" s="51"/>
      <c r="T9" s="51"/>
    </row>
    <row r="10">
      <c r="A10" s="51" t="str">
        <f>IFERROR(__xludf.DUMMYFUNCTION("""COMPUTED_VALUE"""),"Opening remarks")</f>
        <v>Opening remarks</v>
      </c>
      <c r="B10" s="51" t="str">
        <f>IFERROR(__xludf.DUMMYFUNCTION("""COMPUTED_VALUE"""),"MusicNotes")</f>
        <v>MusicNotes</v>
      </c>
      <c r="C10" s="56" t="str">
        <f>IFERROR(__xludf.DUMMYFUNCTION("""COMPUTED_VALUE"""),"Jane Gideon")</f>
        <v>Jane Gideon</v>
      </c>
      <c r="D10" s="51" t="str">
        <f>IFERROR(__xludf.DUMMYFUNCTION("""COMPUTED_VALUE"""),"2019/11/07 13:45:00")</f>
        <v>2019/11/07 13:45:00</v>
      </c>
      <c r="E10" s="51" t="str">
        <f>IFERROR(__xludf.DUMMYFUNCTION("""COMPUTED_VALUE"""),"2019/11/07 14:00:00")</f>
        <v>2019/11/07 14:00:00</v>
      </c>
      <c r="F10" s="51" t="str">
        <f>IFERROR(__xludf.DUMMYFUNCTION("""COMPUTED_VALUE"""),"49ccd40c-1f83-468b-a46a-3b0b3af46969")</f>
        <v>49ccd40c-1f83-468b-a46a-3b0b3af46969</v>
      </c>
      <c r="G10" s="58">
        <f>IFERROR(__xludf.DUMMYFUNCTION("""COMPUTED_VALUE"""),43776.0)</f>
        <v>43776</v>
      </c>
      <c r="H10" s="60">
        <f>IFERROR(__xludf.DUMMYFUNCTION("""COMPUTED_VALUE"""),0.5729166666666666)</f>
        <v>0.5729166667</v>
      </c>
      <c r="I10" s="58">
        <f>IFERROR(__xludf.DUMMYFUNCTION("""COMPUTED_VALUE"""),43776.0)</f>
        <v>43776</v>
      </c>
      <c r="J10" s="60">
        <f>IFERROR(__xludf.DUMMYFUNCTION("""COMPUTED_VALUE"""),0.5833333333333334)</f>
        <v>0.5833333333</v>
      </c>
      <c r="K10" s="60">
        <f t="shared" si="1"/>
        <v>0.01041666667</v>
      </c>
      <c r="L10" s="51" t="s">
        <v>116</v>
      </c>
      <c r="M10" s="62" t="s">
        <v>573</v>
      </c>
      <c r="N10" s="51"/>
      <c r="O10" s="50"/>
      <c r="P10" s="50"/>
      <c r="Q10" s="63"/>
      <c r="R10" s="51"/>
      <c r="S10" s="51"/>
      <c r="T10" s="51"/>
    </row>
    <row r="11">
      <c r="A11" s="51" t="str">
        <f>IFERROR(__xludf.DUMMYFUNCTION("""COMPUTED_VALUE"""),"Welcome to Planet Jarre")</f>
        <v>Welcome to Planet Jarre</v>
      </c>
      <c r="B11" s="51" t="str">
        <f>IFERROR(__xludf.DUMMYFUNCTION("""COMPUTED_VALUE"""),"MusicNotes")</f>
        <v>MusicNotes</v>
      </c>
      <c r="C11" s="56" t="str">
        <f>IFERROR(__xludf.DUMMYFUNCTION("""COMPUTED_VALUE"""),"Jean-Michel Jarre and Rob Schwartz")</f>
        <v>Jean-Michel Jarre and Rob Schwartz</v>
      </c>
      <c r="D11" s="51" t="str">
        <f>IFERROR(__xludf.DUMMYFUNCTION("""COMPUTED_VALUE"""),"2019/11/07 14:00:00")</f>
        <v>2019/11/07 14:00:00</v>
      </c>
      <c r="E11" s="51" t="str">
        <f>IFERROR(__xludf.DUMMYFUNCTION("""COMPUTED_VALUE"""),"2019/11/07 14:20:00")</f>
        <v>2019/11/07 14:20:00</v>
      </c>
      <c r="F11" s="51" t="str">
        <f>IFERROR(__xludf.DUMMYFUNCTION("""COMPUTED_VALUE"""),"24a288aa-6c13-497f-b100-4267601509c2")</f>
        <v>24a288aa-6c13-497f-b100-4267601509c2</v>
      </c>
      <c r="G11" s="58">
        <f>IFERROR(__xludf.DUMMYFUNCTION("""COMPUTED_VALUE"""),43776.0)</f>
        <v>43776</v>
      </c>
      <c r="H11" s="60">
        <f>IFERROR(__xludf.DUMMYFUNCTION("""COMPUTED_VALUE"""),0.5833333333333334)</f>
        <v>0.5833333333</v>
      </c>
      <c r="I11" s="58">
        <f>IFERROR(__xludf.DUMMYFUNCTION("""COMPUTED_VALUE"""),43776.0)</f>
        <v>43776</v>
      </c>
      <c r="J11" s="60">
        <f>IFERROR(__xludf.DUMMYFUNCTION("""COMPUTED_VALUE"""),0.5972222222222222)</f>
        <v>0.5972222222</v>
      </c>
      <c r="K11" s="60">
        <f t="shared" si="1"/>
        <v>0.01388888889</v>
      </c>
      <c r="L11" s="51" t="s">
        <v>111</v>
      </c>
      <c r="M11" s="62" t="s">
        <v>574</v>
      </c>
      <c r="N11" s="51"/>
      <c r="O11" s="50"/>
      <c r="P11" s="50"/>
      <c r="Q11" s="63"/>
      <c r="R11" s="51"/>
      <c r="S11" s="51"/>
      <c r="T11" s="51"/>
    </row>
    <row r="12">
      <c r="A12" s="51" t="str">
        <f>IFERROR(__xludf.DUMMYFUNCTION("""COMPUTED_VALUE"""),"Balancing culture and commerce")</f>
        <v>Balancing culture and commerce</v>
      </c>
      <c r="B12" s="51" t="str">
        <f>IFERROR(__xludf.DUMMYFUNCTION("""COMPUTED_VALUE"""),"MusicNotes")</f>
        <v>MusicNotes</v>
      </c>
      <c r="C12" s="56" t="str">
        <f>IFERROR(__xludf.DUMMYFUNCTION("""COMPUTED_VALUE"""),"Gilles Peterson and Damian Bradfield")</f>
        <v>Gilles Peterson and Damian Bradfield</v>
      </c>
      <c r="D12" s="51" t="str">
        <f>IFERROR(__xludf.DUMMYFUNCTION("""COMPUTED_VALUE"""),"2019/11/07 14:20:00")</f>
        <v>2019/11/07 14:20:00</v>
      </c>
      <c r="E12" s="51" t="str">
        <f>IFERROR(__xludf.DUMMYFUNCTION("""COMPUTED_VALUE"""),"2019/11/07 14:40:00")</f>
        <v>2019/11/07 14:40:00</v>
      </c>
      <c r="F12" s="51" t="str">
        <f>IFERROR(__xludf.DUMMYFUNCTION("""COMPUTED_VALUE"""),"c2d44328-13a2-4612-ab0f-dd73a6c8efef")</f>
        <v>c2d44328-13a2-4612-ab0f-dd73a6c8efef</v>
      </c>
      <c r="G12" s="58">
        <f>IFERROR(__xludf.DUMMYFUNCTION("""COMPUTED_VALUE"""),43776.0)</f>
        <v>43776</v>
      </c>
      <c r="H12" s="60">
        <f>IFERROR(__xludf.DUMMYFUNCTION("""COMPUTED_VALUE"""),0.5972222222222222)</f>
        <v>0.5972222222</v>
      </c>
      <c r="I12" s="58">
        <f>IFERROR(__xludf.DUMMYFUNCTION("""COMPUTED_VALUE"""),43776.0)</f>
        <v>43776</v>
      </c>
      <c r="J12" s="60">
        <f>IFERROR(__xludf.DUMMYFUNCTION("""COMPUTED_VALUE"""),0.6111111111111112)</f>
        <v>0.6111111111</v>
      </c>
      <c r="K12" s="60">
        <f t="shared" si="1"/>
        <v>0.01388888889</v>
      </c>
      <c r="L12" s="51" t="s">
        <v>111</v>
      </c>
      <c r="M12" s="62" t="s">
        <v>575</v>
      </c>
      <c r="N12" s="51"/>
      <c r="O12" s="50"/>
      <c r="P12" s="50"/>
      <c r="Q12" s="63"/>
      <c r="R12" s="51"/>
      <c r="S12" s="51"/>
      <c r="T12" s="51"/>
    </row>
    <row r="13">
      <c r="A13" s="51" t="str">
        <f>IFERROR(__xludf.DUMMYFUNCTION("""COMPUTED_VALUE"""),"How to solve our human problems")</f>
        <v>How to solve our human problems</v>
      </c>
      <c r="B13" s="51" t="str">
        <f>IFERROR(__xludf.DUMMYFUNCTION("""COMPUTED_VALUE"""),"MusicNotes")</f>
        <v>MusicNotes</v>
      </c>
      <c r="C13" s="56" t="str">
        <f>IFERROR(__xludf.DUMMYFUNCTION("""COMPUTED_VALUE"""),"Stuart Murdoch, Laura Taylor and Mark Savage")</f>
        <v>Stuart Murdoch, Laura Taylor and Mark Savage</v>
      </c>
      <c r="D13" s="51" t="str">
        <f>IFERROR(__xludf.DUMMYFUNCTION("""COMPUTED_VALUE"""),"2019/11/07 14:40:00")</f>
        <v>2019/11/07 14:40:00</v>
      </c>
      <c r="E13" s="51" t="str">
        <f>IFERROR(__xludf.DUMMYFUNCTION("""COMPUTED_VALUE"""),"2019/11/07 15:00:00")</f>
        <v>2019/11/07 15:00:00</v>
      </c>
      <c r="F13" s="51" t="str">
        <f>IFERROR(__xludf.DUMMYFUNCTION("""COMPUTED_VALUE"""),"d5773870-1697-4da5-b1ce-8788fb0ed697")</f>
        <v>d5773870-1697-4da5-b1ce-8788fb0ed697</v>
      </c>
      <c r="G13" s="58">
        <f>IFERROR(__xludf.DUMMYFUNCTION("""COMPUTED_VALUE"""),43776.0)</f>
        <v>43776</v>
      </c>
      <c r="H13" s="60">
        <f>IFERROR(__xludf.DUMMYFUNCTION("""COMPUTED_VALUE"""),0.6111111111111112)</f>
        <v>0.6111111111</v>
      </c>
      <c r="I13" s="58">
        <f>IFERROR(__xludf.DUMMYFUNCTION("""COMPUTED_VALUE"""),43776.0)</f>
        <v>43776</v>
      </c>
      <c r="J13" s="60">
        <f>IFERROR(__xludf.DUMMYFUNCTION("""COMPUTED_VALUE"""),0.625)</f>
        <v>0.625</v>
      </c>
      <c r="K13" s="60">
        <f t="shared" si="1"/>
        <v>0.01388888889</v>
      </c>
      <c r="L13" s="51" t="s">
        <v>111</v>
      </c>
      <c r="M13" s="62" t="s">
        <v>576</v>
      </c>
      <c r="N13" s="51"/>
      <c r="O13" s="50"/>
      <c r="P13" s="50"/>
      <c r="Q13" s="63"/>
      <c r="R13" s="51"/>
      <c r="S13" s="51"/>
      <c r="T13" s="51"/>
    </row>
    <row r="14">
      <c r="A14" s="51" t="str">
        <f>IFERROR(__xludf.DUMMYFUNCTION("""COMPUTED_VALUE"""),"Abbey Road: From yesterday to tomorrow never knows")</f>
        <v>Abbey Road: From yesterday to tomorrow never knows</v>
      </c>
      <c r="B14" s="51" t="str">
        <f>IFERROR(__xludf.DUMMYFUNCTION("""COMPUTED_VALUE"""),"MusicNotes")</f>
        <v>MusicNotes</v>
      </c>
      <c r="C14" s="56" t="str">
        <f>IFERROR(__xludf.DUMMYFUNCTION("""COMPUTED_VALUE"""),"Isabel Garvey")</f>
        <v>Isabel Garvey</v>
      </c>
      <c r="D14" s="51" t="str">
        <f>IFERROR(__xludf.DUMMYFUNCTION("""COMPUTED_VALUE"""),"2019/11/07 15:00:00")</f>
        <v>2019/11/07 15:00:00</v>
      </c>
      <c r="E14" s="51" t="str">
        <f>IFERROR(__xludf.DUMMYFUNCTION("""COMPUTED_VALUE"""),"2019/11/07 15:15:00")</f>
        <v>2019/11/07 15:15:00</v>
      </c>
      <c r="F14" s="51" t="str">
        <f>IFERROR(__xludf.DUMMYFUNCTION("""COMPUTED_VALUE"""),"92612d79-b319-4b37-b083-527248be59b3")</f>
        <v>92612d79-b319-4b37-b083-527248be59b3</v>
      </c>
      <c r="G14" s="58">
        <f>IFERROR(__xludf.DUMMYFUNCTION("""COMPUTED_VALUE"""),43776.0)</f>
        <v>43776</v>
      </c>
      <c r="H14" s="60">
        <f>IFERROR(__xludf.DUMMYFUNCTION("""COMPUTED_VALUE"""),0.625)</f>
        <v>0.625</v>
      </c>
      <c r="I14" s="58">
        <f>IFERROR(__xludf.DUMMYFUNCTION("""COMPUTED_VALUE"""),43776.0)</f>
        <v>43776</v>
      </c>
      <c r="J14" s="60">
        <f>IFERROR(__xludf.DUMMYFUNCTION("""COMPUTED_VALUE"""),0.6354166666666666)</f>
        <v>0.6354166667</v>
      </c>
      <c r="K14" s="60">
        <f t="shared" si="1"/>
        <v>0.01041666667</v>
      </c>
      <c r="L14" s="51" t="s">
        <v>116</v>
      </c>
      <c r="M14" s="62" t="s">
        <v>577</v>
      </c>
      <c r="N14" s="51"/>
      <c r="O14" s="50"/>
      <c r="P14" s="50"/>
      <c r="Q14" s="63"/>
      <c r="R14" s="51"/>
      <c r="S14" s="51"/>
      <c r="T14" s="51"/>
    </row>
    <row r="15">
      <c r="A15" s="51" t="str">
        <f>IFERROR(__xludf.DUMMYFUNCTION("""COMPUTED_VALUE"""),"Making innovation instrumental")</f>
        <v>Making innovation instrumental</v>
      </c>
      <c r="B15" s="51" t="str">
        <f>IFERROR(__xludf.DUMMYFUNCTION("""COMPUTED_VALUE"""),"MusicNotes")</f>
        <v>MusicNotes</v>
      </c>
      <c r="C15" s="56" t="str">
        <f>IFERROR(__xludf.DUMMYFUNCTION("""COMPUTED_VALUE"""),"Andy Mooney")</f>
        <v>Andy Mooney</v>
      </c>
      <c r="D15" s="51" t="str">
        <f>IFERROR(__xludf.DUMMYFUNCTION("""COMPUTED_VALUE"""),"2019/11/07 15:15:00")</f>
        <v>2019/11/07 15:15:00</v>
      </c>
      <c r="E15" s="51" t="str">
        <f>IFERROR(__xludf.DUMMYFUNCTION("""COMPUTED_VALUE"""),"2019/11/07 15:35:00")</f>
        <v>2019/11/07 15:35:00</v>
      </c>
      <c r="F15" s="51" t="str">
        <f>IFERROR(__xludf.DUMMYFUNCTION("""COMPUTED_VALUE"""),"6e4ef6f9-b2b7-46fb-b62d-205e7229be0c")</f>
        <v>6e4ef6f9-b2b7-46fb-b62d-205e7229be0c</v>
      </c>
      <c r="G15" s="58">
        <f>IFERROR(__xludf.DUMMYFUNCTION("""COMPUTED_VALUE"""),43776.0)</f>
        <v>43776</v>
      </c>
      <c r="H15" s="60">
        <f>IFERROR(__xludf.DUMMYFUNCTION("""COMPUTED_VALUE"""),0.6354166666666666)</f>
        <v>0.6354166667</v>
      </c>
      <c r="I15" s="58">
        <f>IFERROR(__xludf.DUMMYFUNCTION("""COMPUTED_VALUE"""),43776.0)</f>
        <v>43776</v>
      </c>
      <c r="J15" s="60">
        <f>IFERROR(__xludf.DUMMYFUNCTION("""COMPUTED_VALUE"""),0.6493055555555556)</f>
        <v>0.6493055556</v>
      </c>
      <c r="K15" s="60">
        <f t="shared" si="1"/>
        <v>0.01388888889</v>
      </c>
      <c r="L15" s="51" t="s">
        <v>111</v>
      </c>
      <c r="M15" s="62" t="s">
        <v>578</v>
      </c>
      <c r="N15" s="51"/>
      <c r="O15" s="50"/>
      <c r="P15" s="50"/>
      <c r="Q15" s="63"/>
      <c r="R15" s="51"/>
      <c r="S15" s="51"/>
      <c r="T15" s="51"/>
    </row>
    <row r="16">
      <c r="A16" s="51" t="str">
        <f>IFERROR(__xludf.DUMMYFUNCTION("""COMPUTED_VALUE"""),"Music 2030: What the future holds  ")</f>
        <v>Music 2030: What the future holds  </v>
      </c>
      <c r="B16" s="51" t="str">
        <f>IFERROR(__xludf.DUMMYFUNCTION("""COMPUTED_VALUE"""),"MusicNotes")</f>
        <v>MusicNotes</v>
      </c>
      <c r="C16" s="56" t="str">
        <f>IFERROR(__xludf.DUMMYFUNCTION("""COMPUTED_VALUE"""),"Jean-Michel Jarre, Pieter Van Rijn, Gigi Johnson and Eamonn Forde")</f>
        <v>Jean-Michel Jarre, Pieter Van Rijn, Gigi Johnson and Eamonn Forde</v>
      </c>
      <c r="D16" s="51" t="str">
        <f>IFERROR(__xludf.DUMMYFUNCTION("""COMPUTED_VALUE"""),"2019/11/07 15:35:00")</f>
        <v>2019/11/07 15:35:00</v>
      </c>
      <c r="E16" s="51" t="str">
        <f>IFERROR(__xludf.DUMMYFUNCTION("""COMPUTED_VALUE"""),"2019/11/07 16:00:00")</f>
        <v>2019/11/07 16:00:00</v>
      </c>
      <c r="F16" s="51" t="str">
        <f>IFERROR(__xludf.DUMMYFUNCTION("""COMPUTED_VALUE"""),"90a1f14c-da9d-44df-b565-c402b6114bb5")</f>
        <v>90a1f14c-da9d-44df-b565-c402b6114bb5</v>
      </c>
      <c r="G16" s="58">
        <f>IFERROR(__xludf.DUMMYFUNCTION("""COMPUTED_VALUE"""),43776.0)</f>
        <v>43776</v>
      </c>
      <c r="H16" s="60">
        <f>IFERROR(__xludf.DUMMYFUNCTION("""COMPUTED_VALUE"""),0.6493055555555556)</f>
        <v>0.6493055556</v>
      </c>
      <c r="I16" s="58">
        <f>IFERROR(__xludf.DUMMYFUNCTION("""COMPUTED_VALUE"""),43776.0)</f>
        <v>43776</v>
      </c>
      <c r="J16" s="60">
        <f>IFERROR(__xludf.DUMMYFUNCTION("""COMPUTED_VALUE"""),0.6666666666666666)</f>
        <v>0.6666666667</v>
      </c>
      <c r="K16" s="60">
        <f t="shared" si="1"/>
        <v>0.01736111111</v>
      </c>
      <c r="L16" s="51" t="s">
        <v>107</v>
      </c>
      <c r="M16" s="62" t="s">
        <v>579</v>
      </c>
      <c r="N16" s="51"/>
      <c r="O16" s="50"/>
      <c r="P16" s="50"/>
      <c r="Q16" s="63"/>
      <c r="R16" s="51"/>
      <c r="S16" s="51"/>
      <c r="T16" s="51"/>
    </row>
    <row r="17">
      <c r="A17" s="51"/>
      <c r="B17" s="51"/>
      <c r="C17" s="56"/>
      <c r="D17" s="51"/>
      <c r="E17" s="51"/>
      <c r="F17" s="51"/>
      <c r="G17" s="51" t="str">
        <f>IFERROR(__xludf.DUMMYFUNCTION("""COMPUTED_VALUE"""),"#VALUE!")</f>
        <v>#VALUE!</v>
      </c>
      <c r="H17" s="51" t="str">
        <f>IFERROR(__xludf.DUMMYFUNCTION("""COMPUTED_VALUE"""),"")</f>
        <v/>
      </c>
      <c r="I17" s="51" t="str">
        <f>IFERROR(__xludf.DUMMYFUNCTION("""COMPUTED_VALUE"""),"#VALUE!")</f>
        <v>#VALUE!</v>
      </c>
      <c r="J17" s="51" t="str">
        <f>IFERROR(__xludf.DUMMYFUNCTION("""COMPUTED_VALUE"""),"")</f>
        <v/>
      </c>
      <c r="K17" s="51">
        <f t="shared" si="1"/>
        <v>0</v>
      </c>
      <c r="L17" s="51" t="s">
        <v>257</v>
      </c>
      <c r="M17" s="51"/>
      <c r="N17" s="51"/>
      <c r="O17" s="51"/>
      <c r="P17" s="51"/>
      <c r="Q17" s="51"/>
      <c r="R17" s="51"/>
      <c r="S17" s="51"/>
      <c r="T17" s="51"/>
    </row>
    <row r="18">
      <c r="A18" s="51"/>
      <c r="B18" s="51"/>
      <c r="C18" s="56"/>
      <c r="D18" s="51"/>
      <c r="E18" s="51"/>
      <c r="F18" s="51"/>
      <c r="G18" s="51" t="str">
        <f>IFERROR(__xludf.DUMMYFUNCTION("""COMPUTED_VALUE"""),"#VALUE!")</f>
        <v>#VALUE!</v>
      </c>
      <c r="H18" s="51" t="str">
        <f>IFERROR(__xludf.DUMMYFUNCTION("""COMPUTED_VALUE"""),"")</f>
        <v/>
      </c>
      <c r="I18" s="51" t="str">
        <f>IFERROR(__xludf.DUMMYFUNCTION("""COMPUTED_VALUE"""),"#VALUE!")</f>
        <v>#VALUE!</v>
      </c>
      <c r="J18" s="51" t="str">
        <f>IFERROR(__xludf.DUMMYFUNCTION("""COMPUTED_VALUE"""),"")</f>
        <v/>
      </c>
      <c r="K18" s="51">
        <f t="shared" si="1"/>
        <v>0</v>
      </c>
      <c r="L18" s="51" t="s">
        <v>257</v>
      </c>
      <c r="M18" s="51"/>
      <c r="N18" s="51"/>
      <c r="O18" s="51"/>
      <c r="P18" s="51"/>
      <c r="Q18" s="51"/>
      <c r="R18" s="51"/>
      <c r="S18" s="51"/>
      <c r="T18" s="51"/>
    </row>
    <row r="19">
      <c r="A19" s="51"/>
      <c r="B19" s="51"/>
      <c r="C19" s="56"/>
      <c r="D19" s="51"/>
      <c r="E19" s="51"/>
      <c r="F19" s="51"/>
      <c r="G19" s="51" t="str">
        <f>IFERROR(__xludf.DUMMYFUNCTION("""COMPUTED_VALUE"""),"#VALUE!")</f>
        <v>#VALUE!</v>
      </c>
      <c r="H19" s="51" t="str">
        <f>IFERROR(__xludf.DUMMYFUNCTION("""COMPUTED_VALUE"""),"")</f>
        <v/>
      </c>
      <c r="I19" s="51" t="str">
        <f>IFERROR(__xludf.DUMMYFUNCTION("""COMPUTED_VALUE"""),"#VALUE!")</f>
        <v>#VALUE!</v>
      </c>
      <c r="J19" s="51" t="str">
        <f>IFERROR(__xludf.DUMMYFUNCTION("""COMPUTED_VALUE"""),"")</f>
        <v/>
      </c>
      <c r="K19" s="51">
        <f t="shared" si="1"/>
        <v>0</v>
      </c>
      <c r="L19" s="51" t="s">
        <v>257</v>
      </c>
      <c r="M19" s="51"/>
      <c r="N19" s="51"/>
      <c r="O19" s="51"/>
      <c r="P19" s="51"/>
      <c r="Q19" s="51"/>
      <c r="R19" s="51"/>
      <c r="S19" s="51"/>
      <c r="T19" s="51"/>
    </row>
    <row r="20">
      <c r="A20" s="51"/>
      <c r="B20" s="51"/>
      <c r="C20" s="56"/>
      <c r="D20" s="51"/>
      <c r="E20" s="51"/>
      <c r="F20" s="51"/>
      <c r="G20" s="51" t="str">
        <f>IFERROR(__xludf.DUMMYFUNCTION("""COMPUTED_VALUE"""),"#VALUE!")</f>
        <v>#VALUE!</v>
      </c>
      <c r="H20" s="51" t="str">
        <f>IFERROR(__xludf.DUMMYFUNCTION("""COMPUTED_VALUE"""),"")</f>
        <v/>
      </c>
      <c r="I20" s="51" t="str">
        <f>IFERROR(__xludf.DUMMYFUNCTION("""COMPUTED_VALUE"""),"#VALUE!")</f>
        <v>#VALUE!</v>
      </c>
      <c r="J20" s="51" t="str">
        <f>IFERROR(__xludf.DUMMYFUNCTION("""COMPUTED_VALUE"""),"")</f>
        <v/>
      </c>
      <c r="K20" s="51">
        <f t="shared" si="1"/>
        <v>0</v>
      </c>
      <c r="L20" s="51" t="s">
        <v>257</v>
      </c>
      <c r="M20" s="51"/>
      <c r="N20" s="51"/>
      <c r="O20" s="51"/>
      <c r="P20" s="51"/>
      <c r="Q20" s="51"/>
      <c r="R20" s="51"/>
      <c r="S20" s="51"/>
      <c r="T20" s="51"/>
    </row>
    <row r="21">
      <c r="A21" s="51"/>
      <c r="B21" s="51"/>
      <c r="C21" s="56"/>
      <c r="D21" s="51"/>
      <c r="E21" s="51"/>
      <c r="F21" s="51"/>
      <c r="G21" s="51" t="str">
        <f>IFERROR(__xludf.DUMMYFUNCTION("""COMPUTED_VALUE"""),"#VALUE!")</f>
        <v>#VALUE!</v>
      </c>
      <c r="H21" s="51" t="str">
        <f>IFERROR(__xludf.DUMMYFUNCTION("""COMPUTED_VALUE"""),"")</f>
        <v/>
      </c>
      <c r="I21" s="51" t="str">
        <f>IFERROR(__xludf.DUMMYFUNCTION("""COMPUTED_VALUE"""),"#VALUE!")</f>
        <v>#VALUE!</v>
      </c>
      <c r="J21" s="51" t="str">
        <f>IFERROR(__xludf.DUMMYFUNCTION("""COMPUTED_VALUE"""),"")</f>
        <v/>
      </c>
      <c r="K21" s="51">
        <f t="shared" si="1"/>
        <v>0</v>
      </c>
      <c r="L21" s="51" t="s">
        <v>257</v>
      </c>
      <c r="M21" s="51"/>
      <c r="N21" s="51"/>
      <c r="O21" s="51"/>
      <c r="P21" s="51"/>
      <c r="Q21" s="51"/>
      <c r="R21" s="51"/>
      <c r="S21" s="51"/>
      <c r="T21" s="51"/>
    </row>
    <row r="22">
      <c r="A22" s="51"/>
      <c r="B22" s="51"/>
      <c r="C22" s="56"/>
      <c r="D22" s="51"/>
      <c r="E22" s="51"/>
      <c r="F22" s="51"/>
      <c r="G22" s="51" t="str">
        <f>IFERROR(__xludf.DUMMYFUNCTION("""COMPUTED_VALUE"""),"#VALUE!")</f>
        <v>#VALUE!</v>
      </c>
      <c r="H22" s="51" t="str">
        <f>IFERROR(__xludf.DUMMYFUNCTION("""COMPUTED_VALUE"""),"")</f>
        <v/>
      </c>
      <c r="I22" s="51" t="str">
        <f>IFERROR(__xludf.DUMMYFUNCTION("""COMPUTED_VALUE"""),"#VALUE!")</f>
        <v>#VALUE!</v>
      </c>
      <c r="J22" s="51" t="str">
        <f>IFERROR(__xludf.DUMMYFUNCTION("""COMPUTED_VALUE"""),"")</f>
        <v/>
      </c>
      <c r="K22" s="51">
        <f t="shared" si="1"/>
        <v>0</v>
      </c>
      <c r="L22" s="51" t="s">
        <v>257</v>
      </c>
      <c r="M22" s="51"/>
      <c r="N22" s="51"/>
      <c r="O22" s="51"/>
      <c r="P22" s="51"/>
      <c r="Q22" s="51"/>
      <c r="R22" s="51"/>
      <c r="S22" s="51"/>
      <c r="T22" s="51"/>
    </row>
    <row r="23">
      <c r="A23" s="51"/>
      <c r="B23" s="51"/>
      <c r="C23" s="56"/>
      <c r="D23" s="51"/>
      <c r="E23" s="51"/>
      <c r="F23" s="51"/>
      <c r="G23" s="51" t="str">
        <f>IFERROR(__xludf.DUMMYFUNCTION("""COMPUTED_VALUE"""),"#VALUE!")</f>
        <v>#VALUE!</v>
      </c>
      <c r="H23" s="51" t="str">
        <f>IFERROR(__xludf.DUMMYFUNCTION("""COMPUTED_VALUE"""),"")</f>
        <v/>
      </c>
      <c r="I23" s="51" t="str">
        <f>IFERROR(__xludf.DUMMYFUNCTION("""COMPUTED_VALUE"""),"#VALUE!")</f>
        <v>#VALUE!</v>
      </c>
      <c r="J23" s="51" t="str">
        <f>IFERROR(__xludf.DUMMYFUNCTION("""COMPUTED_VALUE"""),"")</f>
        <v/>
      </c>
      <c r="K23" s="51"/>
      <c r="L23" s="51" t="s">
        <v>257</v>
      </c>
      <c r="M23" s="51"/>
      <c r="N23" s="51"/>
      <c r="O23" s="51"/>
      <c r="P23" s="51"/>
      <c r="Q23" s="51"/>
      <c r="R23" s="51"/>
      <c r="S23" s="51"/>
      <c r="T23" s="51"/>
    </row>
    <row r="24">
      <c r="A24" s="51"/>
      <c r="B24" s="51"/>
      <c r="C24" s="56"/>
      <c r="D24" s="51"/>
      <c r="E24" s="51"/>
      <c r="F24" s="51"/>
      <c r="G24" s="51" t="str">
        <f>IFERROR(__xludf.DUMMYFUNCTION("""COMPUTED_VALUE"""),"#VALUE!")</f>
        <v>#VALUE!</v>
      </c>
      <c r="H24" s="51" t="str">
        <f>IFERROR(__xludf.DUMMYFUNCTION("""COMPUTED_VALUE"""),"")</f>
        <v/>
      </c>
      <c r="I24" s="51" t="str">
        <f>IFERROR(__xludf.DUMMYFUNCTION("""COMPUTED_VALUE"""),"#VALUE!")</f>
        <v>#VALUE!</v>
      </c>
      <c r="J24" s="51" t="str">
        <f>IFERROR(__xludf.DUMMYFUNCTION("""COMPUTED_VALUE"""),"")</f>
        <v/>
      </c>
      <c r="K24" s="51"/>
      <c r="L24" s="51" t="s">
        <v>257</v>
      </c>
      <c r="M24" s="51"/>
      <c r="N24" s="51"/>
      <c r="O24" s="51"/>
      <c r="P24" s="51"/>
      <c r="Q24" s="51"/>
      <c r="R24" s="51"/>
      <c r="S24" s="51"/>
      <c r="T24" s="51"/>
    </row>
    <row r="25">
      <c r="A25" s="51"/>
      <c r="B25" s="51"/>
      <c r="C25" s="56"/>
      <c r="D25" s="51"/>
      <c r="E25" s="51"/>
      <c r="F25" s="51"/>
      <c r="G25" s="51" t="str">
        <f>IFERROR(__xludf.DUMMYFUNCTION("""COMPUTED_VALUE"""),"#VALUE!")</f>
        <v>#VALUE!</v>
      </c>
      <c r="H25" s="51" t="str">
        <f>IFERROR(__xludf.DUMMYFUNCTION("""COMPUTED_VALUE"""),"")</f>
        <v/>
      </c>
      <c r="I25" s="51" t="str">
        <f>IFERROR(__xludf.DUMMYFUNCTION("""COMPUTED_VALUE"""),"#VALUE!")</f>
        <v>#VALUE!</v>
      </c>
      <c r="J25" s="51" t="str">
        <f>IFERROR(__xludf.DUMMYFUNCTION("""COMPUTED_VALUE"""),"")</f>
        <v/>
      </c>
      <c r="K25" s="51"/>
      <c r="L25" s="51" t="s">
        <v>257</v>
      </c>
      <c r="M25" s="51"/>
      <c r="N25" s="51"/>
      <c r="O25" s="51"/>
      <c r="P25" s="51"/>
      <c r="Q25" s="51"/>
      <c r="R25" s="51"/>
      <c r="S25" s="51"/>
      <c r="T25" s="51"/>
    </row>
    <row r="26">
      <c r="A26" s="51"/>
      <c r="B26" s="51"/>
      <c r="C26" s="56"/>
      <c r="D26" s="51"/>
      <c r="E26" s="51"/>
      <c r="F26" s="51"/>
      <c r="G26" s="51" t="str">
        <f>IFERROR(__xludf.DUMMYFUNCTION("""COMPUTED_VALUE"""),"#VALUE!")</f>
        <v>#VALUE!</v>
      </c>
      <c r="H26" s="51" t="str">
        <f>IFERROR(__xludf.DUMMYFUNCTION("""COMPUTED_VALUE"""),"")</f>
        <v/>
      </c>
      <c r="I26" s="51" t="str">
        <f>IFERROR(__xludf.DUMMYFUNCTION("""COMPUTED_VALUE"""),"#VALUE!")</f>
        <v>#VALUE!</v>
      </c>
      <c r="J26" s="51" t="str">
        <f>IFERROR(__xludf.DUMMYFUNCTION("""COMPUTED_VALUE"""),"")</f>
        <v/>
      </c>
      <c r="K26" s="51"/>
      <c r="L26" s="51" t="s">
        <v>257</v>
      </c>
      <c r="M26" s="51"/>
      <c r="N26" s="51"/>
      <c r="O26" s="51"/>
      <c r="P26" s="51"/>
      <c r="Q26" s="51"/>
      <c r="R26" s="51"/>
      <c r="S26" s="51"/>
      <c r="T26" s="51"/>
    </row>
    <row r="27">
      <c r="A27" s="51"/>
      <c r="B27" s="51"/>
      <c r="C27" s="56"/>
      <c r="D27" s="51"/>
      <c r="E27" s="51"/>
      <c r="F27" s="51"/>
      <c r="G27" s="51" t="str">
        <f>IFERROR(__xludf.DUMMYFUNCTION("""COMPUTED_VALUE"""),"#VALUE!")</f>
        <v>#VALUE!</v>
      </c>
      <c r="H27" s="51" t="str">
        <f>IFERROR(__xludf.DUMMYFUNCTION("""COMPUTED_VALUE"""),"")</f>
        <v/>
      </c>
      <c r="I27" s="51" t="str">
        <f>IFERROR(__xludf.DUMMYFUNCTION("""COMPUTED_VALUE"""),"#VALUE!")</f>
        <v>#VALUE!</v>
      </c>
      <c r="J27" s="51" t="str">
        <f>IFERROR(__xludf.DUMMYFUNCTION("""COMPUTED_VALUE"""),"")</f>
        <v/>
      </c>
      <c r="K27" s="51"/>
      <c r="L27" s="51" t="s">
        <v>257</v>
      </c>
      <c r="M27" s="51"/>
      <c r="N27" s="51"/>
      <c r="O27" s="51"/>
      <c r="P27" s="51"/>
      <c r="Q27" s="51"/>
      <c r="R27" s="51"/>
      <c r="S27" s="51"/>
      <c r="T27" s="51"/>
    </row>
    <row r="28">
      <c r="A28" s="51"/>
      <c r="B28" s="51"/>
      <c r="C28" s="56"/>
      <c r="D28" s="51"/>
      <c r="E28" s="51"/>
      <c r="F28" s="51"/>
      <c r="G28" s="51" t="str">
        <f>IFERROR(__xludf.DUMMYFUNCTION("""COMPUTED_VALUE"""),"#VALUE!")</f>
        <v>#VALUE!</v>
      </c>
      <c r="H28" s="51" t="str">
        <f>IFERROR(__xludf.DUMMYFUNCTION("""COMPUTED_VALUE"""),"")</f>
        <v/>
      </c>
      <c r="I28" s="51" t="str">
        <f>IFERROR(__xludf.DUMMYFUNCTION("""COMPUTED_VALUE"""),"#VALUE!")</f>
        <v>#VALUE!</v>
      </c>
      <c r="J28" s="51" t="str">
        <f>IFERROR(__xludf.DUMMYFUNCTION("""COMPUTED_VALUE"""),"")</f>
        <v/>
      </c>
      <c r="K28" s="51"/>
      <c r="L28" s="51" t="s">
        <v>257</v>
      </c>
      <c r="M28" s="51"/>
      <c r="N28" s="51"/>
      <c r="O28" s="51"/>
      <c r="P28" s="51"/>
      <c r="Q28" s="51"/>
      <c r="R28" s="51"/>
      <c r="S28" s="51"/>
      <c r="T28" s="51"/>
    </row>
    <row r="29">
      <c r="A29" s="51"/>
      <c r="B29" s="51"/>
      <c r="C29" s="56"/>
      <c r="D29" s="51"/>
      <c r="E29" s="51"/>
      <c r="F29" s="51"/>
      <c r="G29" s="51" t="str">
        <f>IFERROR(__xludf.DUMMYFUNCTION("""COMPUTED_VALUE"""),"#VALUE!")</f>
        <v>#VALUE!</v>
      </c>
      <c r="H29" s="51" t="str">
        <f>IFERROR(__xludf.DUMMYFUNCTION("""COMPUTED_VALUE"""),"")</f>
        <v/>
      </c>
      <c r="I29" s="51" t="str">
        <f>IFERROR(__xludf.DUMMYFUNCTION("""COMPUTED_VALUE"""),"#VALUE!")</f>
        <v>#VALUE!</v>
      </c>
      <c r="J29" s="51" t="str">
        <f>IFERROR(__xludf.DUMMYFUNCTION("""COMPUTED_VALUE"""),"")</f>
        <v/>
      </c>
      <c r="K29" s="51"/>
      <c r="L29" s="51" t="s">
        <v>257</v>
      </c>
      <c r="M29" s="51"/>
      <c r="N29" s="51"/>
      <c r="O29" s="51"/>
      <c r="P29" s="51"/>
      <c r="Q29" s="51"/>
      <c r="R29" s="51"/>
      <c r="S29" s="51"/>
      <c r="T29" s="51"/>
    </row>
    <row r="30">
      <c r="A30" s="51"/>
      <c r="B30" s="51"/>
      <c r="C30" s="56"/>
      <c r="D30" s="51"/>
      <c r="E30" s="51"/>
      <c r="F30" s="51"/>
      <c r="G30" s="51" t="str">
        <f>IFERROR(__xludf.DUMMYFUNCTION("""COMPUTED_VALUE"""),"#VALUE!")</f>
        <v>#VALUE!</v>
      </c>
      <c r="H30" s="51" t="str">
        <f>IFERROR(__xludf.DUMMYFUNCTION("""COMPUTED_VALUE"""),"")</f>
        <v/>
      </c>
      <c r="I30" s="51" t="str">
        <f>IFERROR(__xludf.DUMMYFUNCTION("""COMPUTED_VALUE"""),"#VALUE!")</f>
        <v>#VALUE!</v>
      </c>
      <c r="J30" s="51" t="str">
        <f>IFERROR(__xludf.DUMMYFUNCTION("""COMPUTED_VALUE"""),"")</f>
        <v/>
      </c>
      <c r="K30" s="51"/>
      <c r="L30" s="51" t="s">
        <v>257</v>
      </c>
      <c r="M30" s="51"/>
      <c r="N30" s="51"/>
      <c r="O30" s="51"/>
      <c r="P30" s="51"/>
      <c r="Q30" s="51"/>
      <c r="R30" s="51"/>
      <c r="S30" s="51"/>
      <c r="T30" s="51"/>
    </row>
    <row r="31">
      <c r="A31" s="51"/>
      <c r="B31" s="51"/>
      <c r="C31" s="56"/>
      <c r="D31" s="51"/>
      <c r="E31" s="51"/>
      <c r="F31" s="51"/>
      <c r="G31" s="51" t="str">
        <f>IFERROR(__xludf.DUMMYFUNCTION("""COMPUTED_VALUE"""),"#VALUE!")</f>
        <v>#VALUE!</v>
      </c>
      <c r="H31" s="51" t="str">
        <f>IFERROR(__xludf.DUMMYFUNCTION("""COMPUTED_VALUE"""),"")</f>
        <v/>
      </c>
      <c r="I31" s="51" t="str">
        <f>IFERROR(__xludf.DUMMYFUNCTION("""COMPUTED_VALUE"""),"#VALUE!")</f>
        <v>#VALUE!</v>
      </c>
      <c r="J31" s="51" t="str">
        <f>IFERROR(__xludf.DUMMYFUNCTION("""COMPUTED_VALUE"""),"")</f>
        <v/>
      </c>
      <c r="K31" s="51"/>
      <c r="L31" s="51" t="s">
        <v>257</v>
      </c>
      <c r="M31" s="51"/>
      <c r="N31" s="51"/>
      <c r="O31" s="51"/>
      <c r="P31" s="51"/>
      <c r="Q31" s="51"/>
      <c r="R31" s="51"/>
      <c r="S31" s="51"/>
      <c r="T31" s="51"/>
    </row>
    <row r="32">
      <c r="A32" s="51"/>
      <c r="B32" s="51"/>
      <c r="C32" s="56"/>
      <c r="D32" s="51"/>
      <c r="E32" s="51"/>
      <c r="F32" s="51"/>
      <c r="G32" s="51" t="str">
        <f>IFERROR(__xludf.DUMMYFUNCTION("""COMPUTED_VALUE"""),"#VALUE!")</f>
        <v>#VALUE!</v>
      </c>
      <c r="H32" s="51" t="str">
        <f>IFERROR(__xludf.DUMMYFUNCTION("""COMPUTED_VALUE"""),"")</f>
        <v/>
      </c>
      <c r="I32" s="51" t="str">
        <f>IFERROR(__xludf.DUMMYFUNCTION("""COMPUTED_VALUE"""),"#VALUE!")</f>
        <v>#VALUE!</v>
      </c>
      <c r="J32" s="51" t="str">
        <f>IFERROR(__xludf.DUMMYFUNCTION("""COMPUTED_VALUE"""),"")</f>
        <v/>
      </c>
      <c r="K32" s="51"/>
      <c r="L32" s="51" t="s">
        <v>257</v>
      </c>
      <c r="M32" s="51"/>
      <c r="N32" s="51"/>
      <c r="O32" s="51"/>
      <c r="P32" s="51"/>
      <c r="Q32" s="51"/>
      <c r="R32" s="51"/>
      <c r="S32" s="51"/>
      <c r="T32" s="51"/>
    </row>
    <row r="33">
      <c r="A33" s="51"/>
      <c r="B33" s="51"/>
      <c r="C33" s="56"/>
      <c r="D33" s="51"/>
      <c r="E33" s="51"/>
      <c r="F33" s="51"/>
      <c r="G33" s="51" t="str">
        <f>IFERROR(__xludf.DUMMYFUNCTION("""COMPUTED_VALUE"""),"#VALUE!")</f>
        <v>#VALUE!</v>
      </c>
      <c r="H33" s="51" t="str">
        <f>IFERROR(__xludf.DUMMYFUNCTION("""COMPUTED_VALUE"""),"")</f>
        <v/>
      </c>
      <c r="I33" s="51" t="str">
        <f>IFERROR(__xludf.DUMMYFUNCTION("""COMPUTED_VALUE"""),"#VALUE!")</f>
        <v>#VALUE!</v>
      </c>
      <c r="J33" s="51" t="str">
        <f>IFERROR(__xludf.DUMMYFUNCTION("""COMPUTED_VALUE"""),"")</f>
        <v/>
      </c>
      <c r="K33" s="51"/>
      <c r="L33" s="51" t="s">
        <v>257</v>
      </c>
      <c r="M33" s="51"/>
      <c r="N33" s="51"/>
      <c r="O33" s="51"/>
      <c r="P33" s="51"/>
      <c r="Q33" s="51"/>
      <c r="R33" s="51"/>
      <c r="S33" s="51"/>
      <c r="T33" s="51"/>
    </row>
    <row r="34">
      <c r="A34" s="51"/>
      <c r="B34" s="51"/>
      <c r="C34" s="56"/>
      <c r="D34" s="51"/>
      <c r="E34" s="51"/>
      <c r="F34" s="51"/>
      <c r="G34" s="51" t="str">
        <f>IFERROR(__xludf.DUMMYFUNCTION("""COMPUTED_VALUE"""),"#VALUE!")</f>
        <v>#VALUE!</v>
      </c>
      <c r="H34" s="51" t="str">
        <f>IFERROR(__xludf.DUMMYFUNCTION("""COMPUTED_VALUE"""),"")</f>
        <v/>
      </c>
      <c r="I34" s="51" t="str">
        <f>IFERROR(__xludf.DUMMYFUNCTION("""COMPUTED_VALUE"""),"#VALUE!")</f>
        <v>#VALUE!</v>
      </c>
      <c r="J34" s="51" t="str">
        <f>IFERROR(__xludf.DUMMYFUNCTION("""COMPUTED_VALUE"""),"")</f>
        <v/>
      </c>
      <c r="K34" s="51"/>
      <c r="L34" s="51" t="s">
        <v>257</v>
      </c>
      <c r="M34" s="51"/>
      <c r="N34" s="51"/>
      <c r="O34" s="51"/>
      <c r="P34" s="51"/>
      <c r="Q34" s="51"/>
      <c r="R34" s="51"/>
      <c r="S34" s="51"/>
      <c r="T34" s="51"/>
    </row>
    <row r="35">
      <c r="A35" s="51"/>
      <c r="B35" s="51"/>
      <c r="C35" s="56"/>
      <c r="D35" s="51"/>
      <c r="E35" s="51"/>
      <c r="F35" s="51"/>
      <c r="G35" s="51" t="str">
        <f>IFERROR(__xludf.DUMMYFUNCTION("""COMPUTED_VALUE"""),"#VALUE!")</f>
        <v>#VALUE!</v>
      </c>
      <c r="H35" s="51" t="str">
        <f>IFERROR(__xludf.DUMMYFUNCTION("""COMPUTED_VALUE"""),"")</f>
        <v/>
      </c>
      <c r="I35" s="51" t="str">
        <f>IFERROR(__xludf.DUMMYFUNCTION("""COMPUTED_VALUE"""),"#VALUE!")</f>
        <v>#VALUE!</v>
      </c>
      <c r="J35" s="51" t="str">
        <f>IFERROR(__xludf.DUMMYFUNCTION("""COMPUTED_VALUE"""),"")</f>
        <v/>
      </c>
      <c r="K35" s="51"/>
      <c r="L35" s="51" t="s">
        <v>257</v>
      </c>
      <c r="M35" s="51"/>
      <c r="N35" s="51"/>
      <c r="O35" s="51"/>
      <c r="P35" s="51"/>
      <c r="Q35" s="51"/>
      <c r="R35" s="51"/>
      <c r="S35" s="51"/>
      <c r="T35" s="51"/>
    </row>
    <row r="36">
      <c r="A36" s="51"/>
      <c r="B36" s="51"/>
      <c r="C36" s="56"/>
      <c r="D36" s="51"/>
      <c r="E36" s="51"/>
      <c r="F36" s="51"/>
      <c r="G36" s="51" t="str">
        <f>IFERROR(__xludf.DUMMYFUNCTION("""COMPUTED_VALUE"""),"#VALUE!")</f>
        <v>#VALUE!</v>
      </c>
      <c r="H36" s="51" t="str">
        <f>IFERROR(__xludf.DUMMYFUNCTION("""COMPUTED_VALUE"""),"")</f>
        <v/>
      </c>
      <c r="I36" s="51" t="str">
        <f>IFERROR(__xludf.DUMMYFUNCTION("""COMPUTED_VALUE"""),"#VALUE!")</f>
        <v>#VALUE!</v>
      </c>
      <c r="J36" s="51" t="str">
        <f>IFERROR(__xludf.DUMMYFUNCTION("""COMPUTED_VALUE"""),"")</f>
        <v/>
      </c>
      <c r="K36" s="51"/>
      <c r="L36" s="51" t="s">
        <v>257</v>
      </c>
      <c r="M36" s="51"/>
      <c r="N36" s="51"/>
      <c r="O36" s="51"/>
      <c r="P36" s="51"/>
      <c r="Q36" s="51"/>
      <c r="R36" s="51"/>
      <c r="S36" s="51"/>
      <c r="T36" s="51"/>
    </row>
    <row r="37">
      <c r="A37" s="51"/>
      <c r="B37" s="51"/>
      <c r="C37" s="56"/>
      <c r="D37" s="51"/>
      <c r="E37" s="51"/>
      <c r="F37" s="51"/>
      <c r="G37" s="51" t="str">
        <f>IFERROR(__xludf.DUMMYFUNCTION("""COMPUTED_VALUE"""),"#VALUE!")</f>
        <v>#VALUE!</v>
      </c>
      <c r="H37" s="51" t="str">
        <f>IFERROR(__xludf.DUMMYFUNCTION("""COMPUTED_VALUE"""),"")</f>
        <v/>
      </c>
      <c r="I37" s="51" t="str">
        <f>IFERROR(__xludf.DUMMYFUNCTION("""COMPUTED_VALUE"""),"#VALUE!")</f>
        <v>#VALUE!</v>
      </c>
      <c r="J37" s="51" t="str">
        <f>IFERROR(__xludf.DUMMYFUNCTION("""COMPUTED_VALUE"""),"")</f>
        <v/>
      </c>
      <c r="K37" s="51"/>
      <c r="L37" s="51" t="s">
        <v>257</v>
      </c>
      <c r="M37" s="51"/>
      <c r="N37" s="51"/>
      <c r="O37" s="51"/>
      <c r="P37" s="51"/>
      <c r="Q37" s="51"/>
      <c r="R37" s="51"/>
      <c r="S37" s="51"/>
      <c r="T37" s="51"/>
    </row>
    <row r="38">
      <c r="A38" s="51"/>
      <c r="B38" s="51"/>
      <c r="C38" s="56"/>
      <c r="D38" s="51"/>
      <c r="E38" s="51"/>
      <c r="F38" s="51"/>
      <c r="G38" s="51" t="str">
        <f>IFERROR(__xludf.DUMMYFUNCTION("""COMPUTED_VALUE"""),"#VALUE!")</f>
        <v>#VALUE!</v>
      </c>
      <c r="H38" s="51" t="str">
        <f>IFERROR(__xludf.DUMMYFUNCTION("""COMPUTED_VALUE"""),"")</f>
        <v/>
      </c>
      <c r="I38" s="51" t="str">
        <f>IFERROR(__xludf.DUMMYFUNCTION("""COMPUTED_VALUE"""),"#VALUE!")</f>
        <v>#VALUE!</v>
      </c>
      <c r="J38" s="51" t="str">
        <f>IFERROR(__xludf.DUMMYFUNCTION("""COMPUTED_VALUE"""),"")</f>
        <v/>
      </c>
      <c r="K38" s="51"/>
      <c r="L38" s="51" t="s">
        <v>257</v>
      </c>
      <c r="M38" s="51"/>
      <c r="N38" s="51"/>
      <c r="O38" s="51"/>
      <c r="P38" s="51"/>
      <c r="Q38" s="51"/>
      <c r="R38" s="51"/>
      <c r="S38" s="51"/>
      <c r="T38" s="51"/>
    </row>
    <row r="39">
      <c r="A39" s="51"/>
      <c r="B39" s="51"/>
      <c r="C39" s="56"/>
      <c r="D39" s="51"/>
      <c r="E39" s="51"/>
      <c r="F39" s="51"/>
      <c r="G39" s="51" t="str">
        <f>IFERROR(__xludf.DUMMYFUNCTION("""COMPUTED_VALUE"""),"#VALUE!")</f>
        <v>#VALUE!</v>
      </c>
      <c r="H39" s="51" t="str">
        <f>IFERROR(__xludf.DUMMYFUNCTION("""COMPUTED_VALUE"""),"")</f>
        <v/>
      </c>
      <c r="I39" s="51" t="str">
        <f>IFERROR(__xludf.DUMMYFUNCTION("""COMPUTED_VALUE"""),"#VALUE!")</f>
        <v>#VALUE!</v>
      </c>
      <c r="J39" s="51" t="str">
        <f>IFERROR(__xludf.DUMMYFUNCTION("""COMPUTED_VALUE"""),"")</f>
        <v/>
      </c>
      <c r="K39" s="51"/>
      <c r="L39" s="51" t="s">
        <v>257</v>
      </c>
      <c r="M39" s="51"/>
      <c r="N39" s="51"/>
      <c r="O39" s="51"/>
      <c r="P39" s="51"/>
      <c r="Q39" s="51"/>
      <c r="R39" s="51"/>
      <c r="S39" s="51"/>
      <c r="T39" s="51"/>
    </row>
    <row r="40">
      <c r="A40" s="51"/>
      <c r="B40" s="51"/>
      <c r="C40" s="56"/>
      <c r="D40" s="51"/>
      <c r="E40" s="51"/>
      <c r="F40" s="51"/>
      <c r="G40" s="51" t="str">
        <f>IFERROR(__xludf.DUMMYFUNCTION("""COMPUTED_VALUE"""),"#VALUE!")</f>
        <v>#VALUE!</v>
      </c>
      <c r="H40" s="51" t="str">
        <f>IFERROR(__xludf.DUMMYFUNCTION("""COMPUTED_VALUE"""),"")</f>
        <v/>
      </c>
      <c r="I40" s="51" t="str">
        <f>IFERROR(__xludf.DUMMYFUNCTION("""COMPUTED_VALUE"""),"#VALUE!")</f>
        <v>#VALUE!</v>
      </c>
      <c r="J40" s="51" t="str">
        <f>IFERROR(__xludf.DUMMYFUNCTION("""COMPUTED_VALUE"""),"")</f>
        <v/>
      </c>
      <c r="K40" s="51"/>
      <c r="L40" s="51" t="s">
        <v>257</v>
      </c>
      <c r="M40" s="51"/>
      <c r="N40" s="51"/>
      <c r="O40" s="51"/>
      <c r="P40" s="51"/>
      <c r="Q40" s="51"/>
      <c r="R40" s="51"/>
      <c r="S40" s="51"/>
      <c r="T40" s="51"/>
    </row>
    <row r="41">
      <c r="A41" s="51"/>
      <c r="B41" s="51"/>
      <c r="C41" s="56"/>
      <c r="D41" s="51"/>
      <c r="E41" s="51"/>
      <c r="F41" s="51"/>
      <c r="G41" s="51" t="str">
        <f>IFERROR(__xludf.DUMMYFUNCTION("""COMPUTED_VALUE"""),"#VALUE!")</f>
        <v>#VALUE!</v>
      </c>
      <c r="H41" s="51" t="str">
        <f>IFERROR(__xludf.DUMMYFUNCTION("""COMPUTED_VALUE"""),"")</f>
        <v/>
      </c>
      <c r="I41" s="51" t="str">
        <f>IFERROR(__xludf.DUMMYFUNCTION("""COMPUTED_VALUE"""),"#VALUE!")</f>
        <v>#VALUE!</v>
      </c>
      <c r="J41" s="51" t="str">
        <f>IFERROR(__xludf.DUMMYFUNCTION("""COMPUTED_VALUE"""),"")</f>
        <v/>
      </c>
      <c r="K41" s="51"/>
      <c r="L41" s="51" t="s">
        <v>257</v>
      </c>
      <c r="M41" s="51"/>
      <c r="N41" s="51"/>
      <c r="O41" s="51"/>
      <c r="P41" s="51"/>
      <c r="Q41" s="51"/>
      <c r="R41" s="51"/>
      <c r="S41" s="51"/>
      <c r="T41" s="51"/>
    </row>
    <row r="42">
      <c r="A42" s="51"/>
      <c r="B42" s="51"/>
      <c r="C42" s="56"/>
      <c r="D42" s="51"/>
      <c r="E42" s="51"/>
      <c r="F42" s="51"/>
      <c r="G42" s="51" t="str">
        <f>IFERROR(__xludf.DUMMYFUNCTION("""COMPUTED_VALUE"""),"#VALUE!")</f>
        <v>#VALUE!</v>
      </c>
      <c r="H42" s="51" t="str">
        <f>IFERROR(__xludf.DUMMYFUNCTION("""COMPUTED_VALUE"""),"")</f>
        <v/>
      </c>
      <c r="I42" s="51" t="str">
        <f>IFERROR(__xludf.DUMMYFUNCTION("""COMPUTED_VALUE"""),"#VALUE!")</f>
        <v>#VALUE!</v>
      </c>
      <c r="J42" s="51" t="str">
        <f>IFERROR(__xludf.DUMMYFUNCTION("""COMPUTED_VALUE"""),"")</f>
        <v/>
      </c>
      <c r="K42" s="51"/>
      <c r="L42" s="51" t="s">
        <v>257</v>
      </c>
      <c r="M42" s="51"/>
      <c r="N42" s="51"/>
      <c r="O42" s="51"/>
      <c r="P42" s="51"/>
      <c r="Q42" s="51"/>
      <c r="R42" s="51"/>
      <c r="S42" s="51"/>
      <c r="T42" s="51"/>
    </row>
    <row r="43">
      <c r="A43" s="51"/>
      <c r="B43" s="51"/>
      <c r="C43" s="56"/>
      <c r="D43" s="51"/>
      <c r="E43" s="51"/>
      <c r="F43" s="51"/>
      <c r="G43" s="51" t="str">
        <f>IFERROR(__xludf.DUMMYFUNCTION("""COMPUTED_VALUE"""),"#VALUE!")</f>
        <v>#VALUE!</v>
      </c>
      <c r="H43" s="51" t="str">
        <f>IFERROR(__xludf.DUMMYFUNCTION("""COMPUTED_VALUE"""),"")</f>
        <v/>
      </c>
      <c r="I43" s="51" t="str">
        <f>IFERROR(__xludf.DUMMYFUNCTION("""COMPUTED_VALUE"""),"#VALUE!")</f>
        <v>#VALUE!</v>
      </c>
      <c r="J43" s="51" t="str">
        <f>IFERROR(__xludf.DUMMYFUNCTION("""COMPUTED_VALUE"""),"")</f>
        <v/>
      </c>
      <c r="K43" s="51"/>
      <c r="L43" s="51" t="s">
        <v>257</v>
      </c>
      <c r="M43" s="51"/>
      <c r="N43" s="51"/>
      <c r="O43" s="51"/>
      <c r="P43" s="51"/>
      <c r="Q43" s="51"/>
      <c r="R43" s="51"/>
      <c r="S43" s="51"/>
      <c r="T43" s="51"/>
    </row>
    <row r="44">
      <c r="A44" s="51"/>
      <c r="B44" s="51"/>
      <c r="C44" s="56"/>
      <c r="D44" s="51"/>
      <c r="E44" s="51"/>
      <c r="F44" s="51"/>
      <c r="G44" s="51" t="str">
        <f>IFERROR(__xludf.DUMMYFUNCTION("""COMPUTED_VALUE"""),"#VALUE!")</f>
        <v>#VALUE!</v>
      </c>
      <c r="H44" s="51" t="str">
        <f>IFERROR(__xludf.DUMMYFUNCTION("""COMPUTED_VALUE"""),"")</f>
        <v/>
      </c>
      <c r="I44" s="51" t="str">
        <f>IFERROR(__xludf.DUMMYFUNCTION("""COMPUTED_VALUE"""),"#VALUE!")</f>
        <v>#VALUE!</v>
      </c>
      <c r="J44" s="51" t="str">
        <f>IFERROR(__xludf.DUMMYFUNCTION("""COMPUTED_VALUE"""),"")</f>
        <v/>
      </c>
      <c r="K44" s="51"/>
      <c r="L44" s="51" t="s">
        <v>257</v>
      </c>
      <c r="M44" s="51"/>
      <c r="N44" s="51"/>
      <c r="O44" s="51"/>
      <c r="P44" s="51"/>
      <c r="Q44" s="51"/>
      <c r="R44" s="51"/>
      <c r="S44" s="51"/>
      <c r="T44" s="51"/>
    </row>
    <row r="45">
      <c r="A45" s="51"/>
      <c r="B45" s="51"/>
      <c r="C45" s="56"/>
      <c r="D45" s="51"/>
      <c r="E45" s="51"/>
      <c r="F45" s="51"/>
      <c r="G45" s="51" t="str">
        <f>IFERROR(__xludf.DUMMYFUNCTION("""COMPUTED_VALUE"""),"#VALUE!")</f>
        <v>#VALUE!</v>
      </c>
      <c r="H45" s="51" t="str">
        <f>IFERROR(__xludf.DUMMYFUNCTION("""COMPUTED_VALUE"""),"")</f>
        <v/>
      </c>
      <c r="I45" s="51" t="str">
        <f>IFERROR(__xludf.DUMMYFUNCTION("""COMPUTED_VALUE"""),"#VALUE!")</f>
        <v>#VALUE!</v>
      </c>
      <c r="J45" s="51" t="str">
        <f>IFERROR(__xludf.DUMMYFUNCTION("""COMPUTED_VALUE"""),"")</f>
        <v/>
      </c>
      <c r="K45" s="51"/>
      <c r="L45" s="51" t="s">
        <v>257</v>
      </c>
      <c r="M45" s="51"/>
      <c r="N45" s="51"/>
      <c r="O45" s="51"/>
      <c r="P45" s="51"/>
      <c r="Q45" s="51"/>
      <c r="R45" s="51"/>
      <c r="S45" s="51"/>
      <c r="T45" s="51"/>
    </row>
    <row r="46">
      <c r="A46" s="51"/>
      <c r="B46" s="51"/>
      <c r="C46" s="56"/>
      <c r="D46" s="51"/>
      <c r="E46" s="51"/>
      <c r="F46" s="51"/>
      <c r="G46" s="51" t="str">
        <f>IFERROR(__xludf.DUMMYFUNCTION("""COMPUTED_VALUE"""),"#VALUE!")</f>
        <v>#VALUE!</v>
      </c>
      <c r="H46" s="51" t="str">
        <f>IFERROR(__xludf.DUMMYFUNCTION("""COMPUTED_VALUE"""),"")</f>
        <v/>
      </c>
      <c r="I46" s="51" t="str">
        <f>IFERROR(__xludf.DUMMYFUNCTION("""COMPUTED_VALUE"""),"#VALUE!")</f>
        <v>#VALUE!</v>
      </c>
      <c r="J46" s="51" t="str">
        <f>IFERROR(__xludf.DUMMYFUNCTION("""COMPUTED_VALUE"""),"")</f>
        <v/>
      </c>
      <c r="K46" s="51"/>
      <c r="L46" s="51" t="s">
        <v>257</v>
      </c>
      <c r="M46" s="51"/>
      <c r="N46" s="51"/>
      <c r="O46" s="51"/>
      <c r="P46" s="51"/>
      <c r="Q46" s="51"/>
      <c r="R46" s="51"/>
      <c r="S46" s="51"/>
      <c r="T46" s="51"/>
    </row>
    <row r="47">
      <c r="A47" s="51"/>
      <c r="B47" s="51"/>
      <c r="C47" s="56"/>
      <c r="D47" s="51"/>
      <c r="E47" s="51"/>
      <c r="F47" s="51"/>
      <c r="G47" s="51" t="str">
        <f>IFERROR(__xludf.DUMMYFUNCTION("""COMPUTED_VALUE"""),"#VALUE!")</f>
        <v>#VALUE!</v>
      </c>
      <c r="H47" s="51" t="str">
        <f>IFERROR(__xludf.DUMMYFUNCTION("""COMPUTED_VALUE"""),"")</f>
        <v/>
      </c>
      <c r="I47" s="51" t="str">
        <f>IFERROR(__xludf.DUMMYFUNCTION("""COMPUTED_VALUE"""),"#VALUE!")</f>
        <v>#VALUE!</v>
      </c>
      <c r="J47" s="51" t="str">
        <f>IFERROR(__xludf.DUMMYFUNCTION("""COMPUTED_VALUE"""),"")</f>
        <v/>
      </c>
      <c r="K47" s="51"/>
      <c r="L47" s="51" t="s">
        <v>257</v>
      </c>
      <c r="M47" s="51"/>
      <c r="N47" s="51"/>
      <c r="O47" s="51"/>
      <c r="P47" s="51"/>
      <c r="Q47" s="51"/>
      <c r="R47" s="51"/>
      <c r="S47" s="51"/>
      <c r="T47" s="51"/>
    </row>
    <row r="48">
      <c r="A48" s="51"/>
      <c r="B48" s="51"/>
      <c r="C48" s="56"/>
      <c r="D48" s="51"/>
      <c r="E48" s="51"/>
      <c r="F48" s="51"/>
      <c r="G48" s="51" t="str">
        <f>IFERROR(__xludf.DUMMYFUNCTION("""COMPUTED_VALUE"""),"#VALUE!")</f>
        <v>#VALUE!</v>
      </c>
      <c r="H48" s="51" t="str">
        <f>IFERROR(__xludf.DUMMYFUNCTION("""COMPUTED_VALUE"""),"")</f>
        <v/>
      </c>
      <c r="I48" s="51" t="str">
        <f>IFERROR(__xludf.DUMMYFUNCTION("""COMPUTED_VALUE"""),"#VALUE!")</f>
        <v>#VALUE!</v>
      </c>
      <c r="J48" s="51" t="str">
        <f>IFERROR(__xludf.DUMMYFUNCTION("""COMPUTED_VALUE"""),"")</f>
        <v/>
      </c>
      <c r="K48" s="51"/>
      <c r="L48" s="51" t="s">
        <v>257</v>
      </c>
      <c r="M48" s="51"/>
      <c r="N48" s="51"/>
      <c r="O48" s="51"/>
      <c r="P48" s="51"/>
      <c r="Q48" s="51"/>
      <c r="R48" s="51"/>
      <c r="S48" s="51"/>
      <c r="T48" s="51"/>
    </row>
    <row r="49">
      <c r="A49" s="51"/>
      <c r="B49" s="51"/>
      <c r="C49" s="56"/>
      <c r="D49" s="51"/>
      <c r="E49" s="51"/>
      <c r="F49" s="51"/>
      <c r="G49" s="51" t="str">
        <f>IFERROR(__xludf.DUMMYFUNCTION("""COMPUTED_VALUE"""),"#VALUE!")</f>
        <v>#VALUE!</v>
      </c>
      <c r="H49" s="51" t="str">
        <f>IFERROR(__xludf.DUMMYFUNCTION("""COMPUTED_VALUE"""),"")</f>
        <v/>
      </c>
      <c r="I49" s="51" t="str">
        <f>IFERROR(__xludf.DUMMYFUNCTION("""COMPUTED_VALUE"""),"#VALUE!")</f>
        <v>#VALUE!</v>
      </c>
      <c r="J49" s="51" t="str">
        <f>IFERROR(__xludf.DUMMYFUNCTION("""COMPUTED_VALUE"""),"")</f>
        <v/>
      </c>
      <c r="K49" s="51"/>
      <c r="L49" s="51" t="s">
        <v>257</v>
      </c>
      <c r="M49" s="51"/>
      <c r="N49" s="51"/>
      <c r="O49" s="51"/>
      <c r="P49" s="51"/>
      <c r="Q49" s="51"/>
      <c r="R49" s="51"/>
      <c r="S49" s="51"/>
      <c r="T49" s="51"/>
    </row>
    <row r="50">
      <c r="A50" s="51"/>
      <c r="B50" s="51"/>
      <c r="C50" s="56"/>
      <c r="D50" s="51"/>
      <c r="E50" s="51"/>
      <c r="F50" s="51"/>
      <c r="G50" s="51" t="str">
        <f>IFERROR(__xludf.DUMMYFUNCTION("""COMPUTED_VALUE"""),"#VALUE!")</f>
        <v>#VALUE!</v>
      </c>
      <c r="H50" s="51" t="str">
        <f>IFERROR(__xludf.DUMMYFUNCTION("""COMPUTED_VALUE"""),"")</f>
        <v/>
      </c>
      <c r="I50" s="51" t="str">
        <f>IFERROR(__xludf.DUMMYFUNCTION("""COMPUTED_VALUE"""),"#VALUE!")</f>
        <v>#VALUE!</v>
      </c>
      <c r="J50" s="51" t="str">
        <f>IFERROR(__xludf.DUMMYFUNCTION("""COMPUTED_VALUE"""),"")</f>
        <v/>
      </c>
      <c r="K50" s="51"/>
      <c r="L50" s="51" t="s">
        <v>257</v>
      </c>
      <c r="M50" s="51"/>
      <c r="N50" s="51"/>
      <c r="O50" s="51"/>
      <c r="P50" s="51"/>
      <c r="Q50" s="51"/>
      <c r="R50" s="51"/>
      <c r="S50" s="51"/>
      <c r="T50" s="51"/>
    </row>
    <row r="51">
      <c r="A51" s="51"/>
      <c r="B51" s="51"/>
      <c r="C51" s="56"/>
      <c r="D51" s="51"/>
      <c r="E51" s="51"/>
      <c r="F51" s="51"/>
      <c r="G51" s="51" t="str">
        <f>IFERROR(__xludf.DUMMYFUNCTION("""COMPUTED_VALUE"""),"#VALUE!")</f>
        <v>#VALUE!</v>
      </c>
      <c r="H51" s="51" t="str">
        <f>IFERROR(__xludf.DUMMYFUNCTION("""COMPUTED_VALUE"""),"")</f>
        <v/>
      </c>
      <c r="I51" s="51" t="str">
        <f>IFERROR(__xludf.DUMMYFUNCTION("""COMPUTED_VALUE"""),"#VALUE!")</f>
        <v>#VALUE!</v>
      </c>
      <c r="J51" s="51" t="str">
        <f>IFERROR(__xludf.DUMMYFUNCTION("""COMPUTED_VALUE"""),"")</f>
        <v/>
      </c>
      <c r="K51" s="51"/>
      <c r="L51" s="51" t="s">
        <v>257</v>
      </c>
      <c r="M51" s="51"/>
      <c r="N51" s="51"/>
      <c r="O51" s="51"/>
      <c r="P51" s="51"/>
      <c r="Q51" s="51"/>
      <c r="R51" s="51"/>
      <c r="S51" s="51"/>
      <c r="T51" s="51"/>
    </row>
    <row r="52">
      <c r="A52" s="51"/>
      <c r="B52" s="51"/>
      <c r="C52" s="56"/>
      <c r="D52" s="51"/>
      <c r="E52" s="51"/>
      <c r="F52" s="51"/>
      <c r="G52" s="51" t="str">
        <f>IFERROR(__xludf.DUMMYFUNCTION("""COMPUTED_VALUE"""),"#VALUE!")</f>
        <v>#VALUE!</v>
      </c>
      <c r="H52" s="51" t="str">
        <f>IFERROR(__xludf.DUMMYFUNCTION("""COMPUTED_VALUE"""),"")</f>
        <v/>
      </c>
      <c r="I52" s="51" t="str">
        <f>IFERROR(__xludf.DUMMYFUNCTION("""COMPUTED_VALUE"""),"#VALUE!")</f>
        <v>#VALUE!</v>
      </c>
      <c r="J52" s="51" t="str">
        <f>IFERROR(__xludf.DUMMYFUNCTION("""COMPUTED_VALUE"""),"")</f>
        <v/>
      </c>
      <c r="K52" s="51"/>
      <c r="L52" s="51" t="s">
        <v>257</v>
      </c>
      <c r="M52" s="51"/>
      <c r="N52" s="51"/>
      <c r="O52" s="51"/>
      <c r="P52" s="51"/>
      <c r="Q52" s="51"/>
      <c r="R52" s="51"/>
      <c r="S52" s="51"/>
      <c r="T52" s="51"/>
    </row>
    <row r="53">
      <c r="A53" s="51"/>
      <c r="B53" s="51"/>
      <c r="C53" s="56"/>
      <c r="D53" s="51"/>
      <c r="E53" s="51"/>
      <c r="F53" s="51"/>
      <c r="G53" s="51" t="str">
        <f>IFERROR(__xludf.DUMMYFUNCTION("""COMPUTED_VALUE"""),"#VALUE!")</f>
        <v>#VALUE!</v>
      </c>
      <c r="H53" s="51" t="str">
        <f>IFERROR(__xludf.DUMMYFUNCTION("""COMPUTED_VALUE"""),"")</f>
        <v/>
      </c>
      <c r="I53" s="51" t="str">
        <f>IFERROR(__xludf.DUMMYFUNCTION("""COMPUTED_VALUE"""),"#VALUE!")</f>
        <v>#VALUE!</v>
      </c>
      <c r="J53" s="51" t="str">
        <f>IFERROR(__xludf.DUMMYFUNCTION("""COMPUTED_VALUE"""),"")</f>
        <v/>
      </c>
      <c r="K53" s="51"/>
      <c r="L53" s="51" t="s">
        <v>257</v>
      </c>
      <c r="M53" s="51"/>
      <c r="N53" s="51"/>
      <c r="O53" s="51"/>
      <c r="P53" s="51"/>
      <c r="Q53" s="51"/>
      <c r="R53" s="51"/>
      <c r="S53" s="51"/>
      <c r="T53" s="51"/>
    </row>
    <row r="54">
      <c r="A54" s="51"/>
      <c r="B54" s="51"/>
      <c r="C54" s="56"/>
      <c r="D54" s="51"/>
      <c r="E54" s="51"/>
      <c r="F54" s="51"/>
      <c r="G54" s="51" t="str">
        <f>IFERROR(__xludf.DUMMYFUNCTION("""COMPUTED_VALUE"""),"#VALUE!")</f>
        <v>#VALUE!</v>
      </c>
      <c r="H54" s="51" t="str">
        <f>IFERROR(__xludf.DUMMYFUNCTION("""COMPUTED_VALUE"""),"")</f>
        <v/>
      </c>
      <c r="I54" s="51" t="str">
        <f>IFERROR(__xludf.DUMMYFUNCTION("""COMPUTED_VALUE"""),"#VALUE!")</f>
        <v>#VALUE!</v>
      </c>
      <c r="J54" s="51" t="str">
        <f>IFERROR(__xludf.DUMMYFUNCTION("""COMPUTED_VALUE"""),"")</f>
        <v/>
      </c>
      <c r="K54" s="51"/>
      <c r="L54" s="51" t="s">
        <v>257</v>
      </c>
      <c r="M54" s="51"/>
      <c r="N54" s="51"/>
      <c r="O54" s="51"/>
      <c r="P54" s="51"/>
      <c r="Q54" s="51"/>
      <c r="R54" s="51"/>
      <c r="S54" s="51"/>
      <c r="T54" s="51"/>
    </row>
    <row r="55">
      <c r="A55" s="51"/>
      <c r="B55" s="51"/>
      <c r="C55" s="56"/>
      <c r="D55" s="51"/>
      <c r="E55" s="51"/>
      <c r="F55" s="51"/>
      <c r="G55" s="51" t="str">
        <f>IFERROR(__xludf.DUMMYFUNCTION("""COMPUTED_VALUE"""),"#VALUE!")</f>
        <v>#VALUE!</v>
      </c>
      <c r="H55" s="51" t="str">
        <f>IFERROR(__xludf.DUMMYFUNCTION("""COMPUTED_VALUE"""),"")</f>
        <v/>
      </c>
      <c r="I55" s="51" t="str">
        <f>IFERROR(__xludf.DUMMYFUNCTION("""COMPUTED_VALUE"""),"#VALUE!")</f>
        <v>#VALUE!</v>
      </c>
      <c r="J55" s="51" t="str">
        <f>IFERROR(__xludf.DUMMYFUNCTION("""COMPUTED_VALUE"""),"")</f>
        <v/>
      </c>
      <c r="K55" s="51"/>
      <c r="L55" s="51" t="s">
        <v>257</v>
      </c>
      <c r="M55" s="51"/>
      <c r="N55" s="51"/>
      <c r="O55" s="51"/>
      <c r="P55" s="51"/>
      <c r="Q55" s="51"/>
      <c r="R55" s="51"/>
      <c r="S55" s="51"/>
      <c r="T55" s="51"/>
    </row>
    <row r="56">
      <c r="A56" s="51"/>
      <c r="B56" s="51"/>
      <c r="C56" s="56"/>
      <c r="D56" s="51"/>
      <c r="E56" s="51"/>
      <c r="F56" s="51"/>
      <c r="G56" s="51" t="str">
        <f>IFERROR(__xludf.DUMMYFUNCTION("""COMPUTED_VALUE"""),"#VALUE!")</f>
        <v>#VALUE!</v>
      </c>
      <c r="H56" s="51" t="str">
        <f>IFERROR(__xludf.DUMMYFUNCTION("""COMPUTED_VALUE"""),"")</f>
        <v/>
      </c>
      <c r="I56" s="51" t="str">
        <f>IFERROR(__xludf.DUMMYFUNCTION("""COMPUTED_VALUE"""),"#VALUE!")</f>
        <v>#VALUE!</v>
      </c>
      <c r="J56" s="51" t="str">
        <f>IFERROR(__xludf.DUMMYFUNCTION("""COMPUTED_VALUE"""),"")</f>
        <v/>
      </c>
      <c r="K56" s="51"/>
      <c r="L56" s="51" t="s">
        <v>257</v>
      </c>
      <c r="M56" s="51"/>
      <c r="N56" s="51"/>
      <c r="O56" s="51"/>
      <c r="P56" s="51"/>
      <c r="Q56" s="51"/>
      <c r="R56" s="51"/>
      <c r="S56" s="51"/>
      <c r="T56" s="51"/>
    </row>
    <row r="57">
      <c r="A57" s="51"/>
      <c r="B57" s="51"/>
      <c r="C57" s="56"/>
      <c r="D57" s="51"/>
      <c r="E57" s="51"/>
      <c r="F57" s="51"/>
      <c r="G57" s="51" t="str">
        <f>IFERROR(__xludf.DUMMYFUNCTION("""COMPUTED_VALUE"""),"#VALUE!")</f>
        <v>#VALUE!</v>
      </c>
      <c r="H57" s="51" t="str">
        <f>IFERROR(__xludf.DUMMYFUNCTION("""COMPUTED_VALUE"""),"")</f>
        <v/>
      </c>
      <c r="I57" s="51" t="str">
        <f>IFERROR(__xludf.DUMMYFUNCTION("""COMPUTED_VALUE"""),"#VALUE!")</f>
        <v>#VALUE!</v>
      </c>
      <c r="J57" s="51" t="str">
        <f>IFERROR(__xludf.DUMMYFUNCTION("""COMPUTED_VALUE"""),"")</f>
        <v/>
      </c>
      <c r="K57" s="51"/>
      <c r="L57" s="51" t="s">
        <v>257</v>
      </c>
      <c r="M57" s="51"/>
      <c r="N57" s="51"/>
      <c r="O57" s="51"/>
      <c r="P57" s="51"/>
      <c r="Q57" s="51"/>
      <c r="R57" s="51"/>
      <c r="S57" s="51"/>
      <c r="T57" s="51"/>
    </row>
    <row r="58">
      <c r="A58" s="51"/>
      <c r="B58" s="51"/>
      <c r="C58" s="56"/>
      <c r="D58" s="51"/>
      <c r="E58" s="51"/>
      <c r="F58" s="51"/>
      <c r="G58" s="51" t="str">
        <f>IFERROR(__xludf.DUMMYFUNCTION("""COMPUTED_VALUE"""),"#VALUE!")</f>
        <v>#VALUE!</v>
      </c>
      <c r="H58" s="51" t="str">
        <f>IFERROR(__xludf.DUMMYFUNCTION("""COMPUTED_VALUE"""),"")</f>
        <v/>
      </c>
      <c r="I58" s="51" t="str">
        <f>IFERROR(__xludf.DUMMYFUNCTION("""COMPUTED_VALUE"""),"#VALUE!")</f>
        <v>#VALUE!</v>
      </c>
      <c r="J58" s="51" t="str">
        <f>IFERROR(__xludf.DUMMYFUNCTION("""COMPUTED_VALUE"""),"")</f>
        <v/>
      </c>
      <c r="K58" s="51"/>
      <c r="L58" s="51" t="s">
        <v>257</v>
      </c>
      <c r="M58" s="51"/>
      <c r="N58" s="51"/>
      <c r="O58" s="51"/>
      <c r="P58" s="51"/>
      <c r="Q58" s="51"/>
      <c r="R58" s="51"/>
      <c r="S58" s="51"/>
      <c r="T58" s="51"/>
    </row>
    <row r="59">
      <c r="A59" s="51"/>
      <c r="B59" s="51"/>
      <c r="C59" s="56"/>
      <c r="D59" s="51"/>
      <c r="E59" s="51"/>
      <c r="F59" s="51"/>
      <c r="G59" s="51" t="str">
        <f>IFERROR(__xludf.DUMMYFUNCTION("""COMPUTED_VALUE"""),"#VALUE!")</f>
        <v>#VALUE!</v>
      </c>
      <c r="H59" s="51" t="str">
        <f>IFERROR(__xludf.DUMMYFUNCTION("""COMPUTED_VALUE"""),"")</f>
        <v/>
      </c>
      <c r="I59" s="51" t="str">
        <f>IFERROR(__xludf.DUMMYFUNCTION("""COMPUTED_VALUE"""),"#VALUE!")</f>
        <v>#VALUE!</v>
      </c>
      <c r="J59" s="51" t="str">
        <f>IFERROR(__xludf.DUMMYFUNCTION("""COMPUTED_VALUE"""),"")</f>
        <v/>
      </c>
      <c r="K59" s="51"/>
      <c r="L59" s="51" t="s">
        <v>257</v>
      </c>
      <c r="M59" s="51"/>
      <c r="N59" s="51"/>
      <c r="O59" s="51"/>
      <c r="P59" s="51"/>
      <c r="Q59" s="51"/>
      <c r="R59" s="51"/>
      <c r="S59" s="51"/>
      <c r="T59" s="51"/>
    </row>
    <row r="60">
      <c r="A60" s="51"/>
      <c r="B60" s="51"/>
      <c r="C60" s="56"/>
      <c r="D60" s="51"/>
      <c r="E60" s="51"/>
      <c r="F60" s="51"/>
      <c r="G60" s="51" t="str">
        <f>IFERROR(__xludf.DUMMYFUNCTION("""COMPUTED_VALUE"""),"#VALUE!")</f>
        <v>#VALUE!</v>
      </c>
      <c r="H60" s="51" t="str">
        <f>IFERROR(__xludf.DUMMYFUNCTION("""COMPUTED_VALUE"""),"")</f>
        <v/>
      </c>
      <c r="I60" s="51" t="str">
        <f>IFERROR(__xludf.DUMMYFUNCTION("""COMPUTED_VALUE"""),"#VALUE!")</f>
        <v>#VALUE!</v>
      </c>
      <c r="J60" s="51" t="str">
        <f>IFERROR(__xludf.DUMMYFUNCTION("""COMPUTED_VALUE"""),"")</f>
        <v/>
      </c>
      <c r="K60" s="51"/>
      <c r="L60" s="51" t="s">
        <v>257</v>
      </c>
      <c r="M60" s="51"/>
      <c r="N60" s="51"/>
      <c r="O60" s="51"/>
      <c r="P60" s="51"/>
      <c r="Q60" s="51"/>
      <c r="R60" s="51"/>
      <c r="S60" s="51"/>
      <c r="T60" s="51"/>
    </row>
    <row r="61">
      <c r="A61" s="51"/>
      <c r="B61" s="51"/>
      <c r="C61" s="56"/>
      <c r="D61" s="51"/>
      <c r="E61" s="51"/>
      <c r="F61" s="51"/>
      <c r="G61" s="51" t="str">
        <f>IFERROR(__xludf.DUMMYFUNCTION("""COMPUTED_VALUE"""),"#VALUE!")</f>
        <v>#VALUE!</v>
      </c>
      <c r="H61" s="51" t="str">
        <f>IFERROR(__xludf.DUMMYFUNCTION("""COMPUTED_VALUE"""),"")</f>
        <v/>
      </c>
      <c r="I61" s="51" t="str">
        <f>IFERROR(__xludf.DUMMYFUNCTION("""COMPUTED_VALUE"""),"#VALUE!")</f>
        <v>#VALUE!</v>
      </c>
      <c r="J61" s="51" t="str">
        <f>IFERROR(__xludf.DUMMYFUNCTION("""COMPUTED_VALUE"""),"")</f>
        <v/>
      </c>
      <c r="K61" s="51"/>
      <c r="L61" s="51" t="s">
        <v>257</v>
      </c>
      <c r="M61" s="51"/>
      <c r="N61" s="51"/>
      <c r="O61" s="51"/>
      <c r="P61" s="51"/>
      <c r="Q61" s="51"/>
      <c r="R61" s="51"/>
      <c r="S61" s="51"/>
      <c r="T61" s="51"/>
    </row>
    <row r="62">
      <c r="A62" s="51"/>
      <c r="B62" s="51"/>
      <c r="C62" s="56"/>
      <c r="D62" s="51"/>
      <c r="E62" s="51"/>
      <c r="F62" s="51"/>
      <c r="G62" s="51" t="str">
        <f>IFERROR(__xludf.DUMMYFUNCTION("""COMPUTED_VALUE"""),"#VALUE!")</f>
        <v>#VALUE!</v>
      </c>
      <c r="H62" s="51" t="str">
        <f>IFERROR(__xludf.DUMMYFUNCTION("""COMPUTED_VALUE"""),"")</f>
        <v/>
      </c>
      <c r="I62" s="51" t="str">
        <f>IFERROR(__xludf.DUMMYFUNCTION("""COMPUTED_VALUE"""),"#VALUE!")</f>
        <v>#VALUE!</v>
      </c>
      <c r="J62" s="51" t="str">
        <f>IFERROR(__xludf.DUMMYFUNCTION("""COMPUTED_VALUE"""),"")</f>
        <v/>
      </c>
      <c r="K62" s="51"/>
      <c r="L62" s="51" t="s">
        <v>257</v>
      </c>
      <c r="M62" s="51"/>
      <c r="N62" s="51"/>
      <c r="O62" s="51"/>
      <c r="P62" s="51"/>
      <c r="Q62" s="51"/>
      <c r="R62" s="51"/>
      <c r="S62" s="51"/>
      <c r="T62" s="51"/>
    </row>
    <row r="63">
      <c r="A63" s="51"/>
      <c r="B63" s="51"/>
      <c r="C63" s="56"/>
      <c r="D63" s="51"/>
      <c r="E63" s="51"/>
      <c r="F63" s="51"/>
      <c r="G63" s="51" t="str">
        <f>IFERROR(__xludf.DUMMYFUNCTION("""COMPUTED_VALUE"""),"#VALUE!")</f>
        <v>#VALUE!</v>
      </c>
      <c r="H63" s="51" t="str">
        <f>IFERROR(__xludf.DUMMYFUNCTION("""COMPUTED_VALUE"""),"")</f>
        <v/>
      </c>
      <c r="I63" s="51" t="str">
        <f>IFERROR(__xludf.DUMMYFUNCTION("""COMPUTED_VALUE"""),"#VALUE!")</f>
        <v>#VALUE!</v>
      </c>
      <c r="J63" s="51" t="str">
        <f>IFERROR(__xludf.DUMMYFUNCTION("""COMPUTED_VALUE"""),"")</f>
        <v/>
      </c>
      <c r="K63" s="51"/>
      <c r="L63" s="51" t="s">
        <v>257</v>
      </c>
      <c r="M63" s="51"/>
      <c r="N63" s="51"/>
      <c r="O63" s="51"/>
      <c r="P63" s="51"/>
      <c r="Q63" s="51"/>
      <c r="R63" s="51"/>
      <c r="S63" s="51"/>
      <c r="T63" s="51"/>
    </row>
    <row r="64">
      <c r="A64" s="51"/>
      <c r="B64" s="51"/>
      <c r="C64" s="56"/>
      <c r="D64" s="51"/>
      <c r="E64" s="51"/>
      <c r="F64" s="51"/>
      <c r="G64" s="51" t="str">
        <f>IFERROR(__xludf.DUMMYFUNCTION("""COMPUTED_VALUE"""),"#VALUE!")</f>
        <v>#VALUE!</v>
      </c>
      <c r="H64" s="51" t="str">
        <f>IFERROR(__xludf.DUMMYFUNCTION("""COMPUTED_VALUE"""),"")</f>
        <v/>
      </c>
      <c r="I64" s="51" t="str">
        <f>IFERROR(__xludf.DUMMYFUNCTION("""COMPUTED_VALUE"""),"#VALUE!")</f>
        <v>#VALUE!</v>
      </c>
      <c r="J64" s="51" t="str">
        <f>IFERROR(__xludf.DUMMYFUNCTION("""COMPUTED_VALUE"""),"")</f>
        <v/>
      </c>
      <c r="K64" s="51"/>
      <c r="L64" s="51" t="s">
        <v>257</v>
      </c>
      <c r="M64" s="51"/>
      <c r="N64" s="51"/>
      <c r="O64" s="51"/>
      <c r="P64" s="51"/>
      <c r="Q64" s="51"/>
      <c r="R64" s="51"/>
      <c r="S64" s="51"/>
      <c r="T64" s="51"/>
    </row>
    <row r="65">
      <c r="A65" s="51"/>
      <c r="B65" s="51"/>
      <c r="C65" s="56"/>
      <c r="D65" s="51"/>
      <c r="E65" s="51"/>
      <c r="F65" s="51"/>
      <c r="G65" s="51" t="str">
        <f>IFERROR(__xludf.DUMMYFUNCTION("""COMPUTED_VALUE"""),"#VALUE!")</f>
        <v>#VALUE!</v>
      </c>
      <c r="H65" s="51" t="str">
        <f>IFERROR(__xludf.DUMMYFUNCTION("""COMPUTED_VALUE"""),"")</f>
        <v/>
      </c>
      <c r="I65" s="51" t="str">
        <f>IFERROR(__xludf.DUMMYFUNCTION("""COMPUTED_VALUE"""),"#VALUE!")</f>
        <v>#VALUE!</v>
      </c>
      <c r="J65" s="51" t="str">
        <f>IFERROR(__xludf.DUMMYFUNCTION("""COMPUTED_VALUE"""),"")</f>
        <v/>
      </c>
      <c r="K65" s="51"/>
      <c r="L65" s="51" t="s">
        <v>257</v>
      </c>
      <c r="M65" s="51"/>
      <c r="N65" s="51"/>
      <c r="O65" s="51"/>
      <c r="P65" s="51"/>
      <c r="Q65" s="51"/>
      <c r="R65" s="51"/>
      <c r="S65" s="51"/>
      <c r="T65" s="51"/>
    </row>
    <row r="66">
      <c r="A66" s="51"/>
      <c r="B66" s="51"/>
      <c r="C66" s="56"/>
      <c r="D66" s="51"/>
      <c r="E66" s="51"/>
      <c r="F66" s="51"/>
      <c r="G66" s="51" t="str">
        <f>IFERROR(__xludf.DUMMYFUNCTION("""COMPUTED_VALUE"""),"#VALUE!")</f>
        <v>#VALUE!</v>
      </c>
      <c r="H66" s="51" t="str">
        <f>IFERROR(__xludf.DUMMYFUNCTION("""COMPUTED_VALUE"""),"")</f>
        <v/>
      </c>
      <c r="I66" s="51" t="str">
        <f>IFERROR(__xludf.DUMMYFUNCTION("""COMPUTED_VALUE"""),"#VALUE!")</f>
        <v>#VALUE!</v>
      </c>
      <c r="J66" s="51" t="str">
        <f>IFERROR(__xludf.DUMMYFUNCTION("""COMPUTED_VALUE"""),"")</f>
        <v/>
      </c>
      <c r="K66" s="51"/>
      <c r="L66" s="51" t="s">
        <v>257</v>
      </c>
      <c r="M66" s="51"/>
      <c r="N66" s="51"/>
      <c r="O66" s="51"/>
      <c r="P66" s="51"/>
      <c r="Q66" s="51"/>
      <c r="R66" s="51"/>
      <c r="S66" s="51"/>
      <c r="T66" s="51"/>
    </row>
    <row r="67">
      <c r="A67" s="51"/>
      <c r="B67" s="51"/>
      <c r="C67" s="56"/>
      <c r="D67" s="51"/>
      <c r="E67" s="51"/>
      <c r="F67" s="51"/>
      <c r="G67" s="51" t="str">
        <f>IFERROR(__xludf.DUMMYFUNCTION("""COMPUTED_VALUE"""),"#VALUE!")</f>
        <v>#VALUE!</v>
      </c>
      <c r="H67" s="51" t="str">
        <f>IFERROR(__xludf.DUMMYFUNCTION("""COMPUTED_VALUE"""),"")</f>
        <v/>
      </c>
      <c r="I67" s="51" t="str">
        <f>IFERROR(__xludf.DUMMYFUNCTION("""COMPUTED_VALUE"""),"#VALUE!")</f>
        <v>#VALUE!</v>
      </c>
      <c r="J67" s="51" t="str">
        <f>IFERROR(__xludf.DUMMYFUNCTION("""COMPUTED_VALUE"""),"")</f>
        <v/>
      </c>
      <c r="K67" s="51"/>
      <c r="L67" s="51" t="s">
        <v>257</v>
      </c>
      <c r="M67" s="51"/>
      <c r="N67" s="51"/>
      <c r="O67" s="51"/>
      <c r="P67" s="51"/>
      <c r="Q67" s="51"/>
      <c r="R67" s="51"/>
      <c r="S67" s="51"/>
      <c r="T67" s="51"/>
    </row>
    <row r="68">
      <c r="A68" s="51"/>
      <c r="B68" s="51"/>
      <c r="C68" s="56"/>
      <c r="D68" s="51"/>
      <c r="E68" s="51"/>
      <c r="F68" s="51"/>
      <c r="G68" s="51" t="str">
        <f>IFERROR(__xludf.DUMMYFUNCTION("""COMPUTED_VALUE"""),"#VALUE!")</f>
        <v>#VALUE!</v>
      </c>
      <c r="H68" s="51" t="str">
        <f>IFERROR(__xludf.DUMMYFUNCTION("""COMPUTED_VALUE"""),"")</f>
        <v/>
      </c>
      <c r="I68" s="51" t="str">
        <f>IFERROR(__xludf.DUMMYFUNCTION("""COMPUTED_VALUE"""),"#VALUE!")</f>
        <v>#VALUE!</v>
      </c>
      <c r="J68" s="51" t="str">
        <f>IFERROR(__xludf.DUMMYFUNCTION("""COMPUTED_VALUE"""),"")</f>
        <v/>
      </c>
      <c r="K68" s="51"/>
      <c r="L68" s="51" t="s">
        <v>257</v>
      </c>
      <c r="M68" s="51"/>
      <c r="N68" s="51"/>
      <c r="O68" s="51"/>
      <c r="P68" s="51"/>
      <c r="Q68" s="51"/>
      <c r="R68" s="51"/>
      <c r="S68" s="51"/>
      <c r="T68" s="51"/>
    </row>
    <row r="69">
      <c r="A69" s="51"/>
      <c r="B69" s="51"/>
      <c r="C69" s="56"/>
      <c r="D69" s="51"/>
      <c r="E69" s="51"/>
      <c r="F69" s="51"/>
      <c r="G69" s="51" t="str">
        <f>IFERROR(__xludf.DUMMYFUNCTION("""COMPUTED_VALUE"""),"#VALUE!")</f>
        <v>#VALUE!</v>
      </c>
      <c r="H69" s="51" t="str">
        <f>IFERROR(__xludf.DUMMYFUNCTION("""COMPUTED_VALUE"""),"")</f>
        <v/>
      </c>
      <c r="I69" s="51" t="str">
        <f>IFERROR(__xludf.DUMMYFUNCTION("""COMPUTED_VALUE"""),"#VALUE!")</f>
        <v>#VALUE!</v>
      </c>
      <c r="J69" s="51" t="str">
        <f>IFERROR(__xludf.DUMMYFUNCTION("""COMPUTED_VALUE"""),"")</f>
        <v/>
      </c>
      <c r="K69" s="51"/>
      <c r="L69" s="51" t="s">
        <v>257</v>
      </c>
      <c r="M69" s="51"/>
      <c r="N69" s="51"/>
      <c r="O69" s="51"/>
      <c r="P69" s="51"/>
      <c r="Q69" s="51"/>
      <c r="R69" s="51"/>
      <c r="S69" s="51"/>
      <c r="T69" s="51"/>
    </row>
    <row r="70">
      <c r="A70" s="51"/>
      <c r="B70" s="51"/>
      <c r="C70" s="56"/>
      <c r="D70" s="51"/>
      <c r="E70" s="51"/>
      <c r="F70" s="51"/>
      <c r="G70" s="51" t="str">
        <f>IFERROR(__xludf.DUMMYFUNCTION("""COMPUTED_VALUE"""),"#VALUE!")</f>
        <v>#VALUE!</v>
      </c>
      <c r="H70" s="51" t="str">
        <f>IFERROR(__xludf.DUMMYFUNCTION("""COMPUTED_VALUE"""),"")</f>
        <v/>
      </c>
      <c r="I70" s="51" t="str">
        <f>IFERROR(__xludf.DUMMYFUNCTION("""COMPUTED_VALUE"""),"#VALUE!")</f>
        <v>#VALUE!</v>
      </c>
      <c r="J70" s="51" t="str">
        <f>IFERROR(__xludf.DUMMYFUNCTION("""COMPUTED_VALUE"""),"")</f>
        <v/>
      </c>
      <c r="K70" s="51"/>
      <c r="L70" s="51" t="s">
        <v>257</v>
      </c>
      <c r="M70" s="51"/>
      <c r="N70" s="51"/>
      <c r="O70" s="51"/>
      <c r="P70" s="51"/>
      <c r="Q70" s="51"/>
      <c r="R70" s="51"/>
      <c r="S70" s="51"/>
      <c r="T70" s="51"/>
    </row>
    <row r="71">
      <c r="A71" s="51"/>
      <c r="B71" s="51"/>
      <c r="C71" s="56"/>
      <c r="D71" s="51"/>
      <c r="E71" s="51"/>
      <c r="F71" s="51"/>
      <c r="G71" s="51" t="str">
        <f>IFERROR(__xludf.DUMMYFUNCTION("""COMPUTED_VALUE"""),"#VALUE!")</f>
        <v>#VALUE!</v>
      </c>
      <c r="H71" s="51" t="str">
        <f>IFERROR(__xludf.DUMMYFUNCTION("""COMPUTED_VALUE"""),"")</f>
        <v/>
      </c>
      <c r="I71" s="51" t="str">
        <f>IFERROR(__xludf.DUMMYFUNCTION("""COMPUTED_VALUE"""),"#VALUE!")</f>
        <v>#VALUE!</v>
      </c>
      <c r="J71" s="51" t="str">
        <f>IFERROR(__xludf.DUMMYFUNCTION("""COMPUTED_VALUE"""),"")</f>
        <v/>
      </c>
      <c r="K71" s="51"/>
      <c r="L71" s="51" t="s">
        <v>257</v>
      </c>
      <c r="M71" s="51"/>
      <c r="N71" s="51"/>
      <c r="O71" s="51"/>
      <c r="P71" s="51"/>
      <c r="Q71" s="51"/>
      <c r="R71" s="51"/>
      <c r="S71" s="51"/>
      <c r="T71" s="51"/>
    </row>
    <row r="72">
      <c r="A72" s="51"/>
      <c r="B72" s="51"/>
      <c r="C72" s="56"/>
      <c r="D72" s="51"/>
      <c r="E72" s="51"/>
      <c r="F72" s="51"/>
      <c r="G72" s="51" t="str">
        <f>IFERROR(__xludf.DUMMYFUNCTION("""COMPUTED_VALUE"""),"#VALUE!")</f>
        <v>#VALUE!</v>
      </c>
      <c r="H72" s="51" t="str">
        <f>IFERROR(__xludf.DUMMYFUNCTION("""COMPUTED_VALUE"""),"")</f>
        <v/>
      </c>
      <c r="I72" s="51" t="str">
        <f>IFERROR(__xludf.DUMMYFUNCTION("""COMPUTED_VALUE"""),"#VALUE!")</f>
        <v>#VALUE!</v>
      </c>
      <c r="J72" s="51" t="str">
        <f>IFERROR(__xludf.DUMMYFUNCTION("""COMPUTED_VALUE"""),"")</f>
        <v/>
      </c>
      <c r="K72" s="51"/>
      <c r="L72" s="51" t="s">
        <v>257</v>
      </c>
      <c r="M72" s="51"/>
      <c r="N72" s="51"/>
      <c r="O72" s="51"/>
      <c r="P72" s="51"/>
      <c r="Q72" s="51"/>
      <c r="R72" s="51"/>
      <c r="S72" s="51"/>
      <c r="T72" s="51"/>
    </row>
    <row r="73">
      <c r="A73" s="51"/>
      <c r="B73" s="51"/>
      <c r="C73" s="56"/>
      <c r="D73" s="51"/>
      <c r="E73" s="51"/>
      <c r="F73" s="51"/>
      <c r="G73" s="51" t="str">
        <f>IFERROR(__xludf.DUMMYFUNCTION("""COMPUTED_VALUE"""),"#VALUE!")</f>
        <v>#VALUE!</v>
      </c>
      <c r="H73" s="51" t="str">
        <f>IFERROR(__xludf.DUMMYFUNCTION("""COMPUTED_VALUE"""),"")</f>
        <v/>
      </c>
      <c r="I73" s="51" t="str">
        <f>IFERROR(__xludf.DUMMYFUNCTION("""COMPUTED_VALUE"""),"#VALUE!")</f>
        <v>#VALUE!</v>
      </c>
      <c r="J73" s="51" t="str">
        <f>IFERROR(__xludf.DUMMYFUNCTION("""COMPUTED_VALUE"""),"")</f>
        <v/>
      </c>
      <c r="K73" s="51"/>
      <c r="L73" s="51" t="s">
        <v>257</v>
      </c>
      <c r="M73" s="51"/>
      <c r="N73" s="51"/>
      <c r="O73" s="51"/>
      <c r="P73" s="51"/>
      <c r="Q73" s="51"/>
      <c r="R73" s="51"/>
      <c r="S73" s="51"/>
      <c r="T73" s="51"/>
    </row>
    <row r="74">
      <c r="A74" s="51"/>
      <c r="B74" s="51"/>
      <c r="C74" s="56"/>
      <c r="D74" s="51"/>
      <c r="E74" s="51"/>
      <c r="F74" s="51"/>
      <c r="G74" s="51" t="str">
        <f>IFERROR(__xludf.DUMMYFUNCTION("""COMPUTED_VALUE"""),"#VALUE!")</f>
        <v>#VALUE!</v>
      </c>
      <c r="H74" s="51" t="str">
        <f>IFERROR(__xludf.DUMMYFUNCTION("""COMPUTED_VALUE"""),"")</f>
        <v/>
      </c>
      <c r="I74" s="51" t="str">
        <f>IFERROR(__xludf.DUMMYFUNCTION("""COMPUTED_VALUE"""),"#VALUE!")</f>
        <v>#VALUE!</v>
      </c>
      <c r="J74" s="51" t="str">
        <f>IFERROR(__xludf.DUMMYFUNCTION("""COMPUTED_VALUE"""),"")</f>
        <v/>
      </c>
      <c r="K74" s="51"/>
      <c r="L74" s="51" t="s">
        <v>257</v>
      </c>
      <c r="M74" s="51"/>
      <c r="N74" s="51"/>
      <c r="O74" s="51"/>
      <c r="P74" s="51"/>
      <c r="Q74" s="51"/>
      <c r="R74" s="51"/>
      <c r="S74" s="51"/>
      <c r="T74" s="51"/>
    </row>
    <row r="75">
      <c r="A75" s="51"/>
      <c r="B75" s="51"/>
      <c r="C75" s="56"/>
      <c r="D75" s="51"/>
      <c r="E75" s="51"/>
      <c r="F75" s="51"/>
      <c r="G75" s="51" t="str">
        <f>IFERROR(__xludf.DUMMYFUNCTION("""COMPUTED_VALUE"""),"#VALUE!")</f>
        <v>#VALUE!</v>
      </c>
      <c r="H75" s="51" t="str">
        <f>IFERROR(__xludf.DUMMYFUNCTION("""COMPUTED_VALUE"""),"")</f>
        <v/>
      </c>
      <c r="I75" s="51" t="str">
        <f>IFERROR(__xludf.DUMMYFUNCTION("""COMPUTED_VALUE"""),"#VALUE!")</f>
        <v>#VALUE!</v>
      </c>
      <c r="J75" s="51" t="str">
        <f>IFERROR(__xludf.DUMMYFUNCTION("""COMPUTED_VALUE"""),"")</f>
        <v/>
      </c>
      <c r="K75" s="51"/>
      <c r="L75" s="51" t="s">
        <v>257</v>
      </c>
      <c r="M75" s="51"/>
      <c r="N75" s="51"/>
      <c r="O75" s="51"/>
      <c r="P75" s="51"/>
      <c r="Q75" s="51"/>
      <c r="R75" s="51"/>
      <c r="S75" s="51"/>
      <c r="T75" s="51"/>
    </row>
    <row r="76">
      <c r="A76" s="51"/>
      <c r="B76" s="51"/>
      <c r="C76" s="56"/>
      <c r="D76" s="51"/>
      <c r="E76" s="51"/>
      <c r="F76" s="51"/>
      <c r="G76" s="51" t="str">
        <f>IFERROR(__xludf.DUMMYFUNCTION("""COMPUTED_VALUE"""),"#VALUE!")</f>
        <v>#VALUE!</v>
      </c>
      <c r="H76" s="51" t="str">
        <f>IFERROR(__xludf.DUMMYFUNCTION("""COMPUTED_VALUE"""),"")</f>
        <v/>
      </c>
      <c r="I76" s="51" t="str">
        <f>IFERROR(__xludf.DUMMYFUNCTION("""COMPUTED_VALUE"""),"#VALUE!")</f>
        <v>#VALUE!</v>
      </c>
      <c r="J76" s="51" t="str">
        <f>IFERROR(__xludf.DUMMYFUNCTION("""COMPUTED_VALUE"""),"")</f>
        <v/>
      </c>
      <c r="K76" s="51"/>
      <c r="L76" s="51" t="s">
        <v>257</v>
      </c>
      <c r="M76" s="51"/>
      <c r="N76" s="51"/>
      <c r="O76" s="51"/>
      <c r="P76" s="51"/>
      <c r="Q76" s="51"/>
      <c r="R76" s="51"/>
      <c r="S76" s="51"/>
      <c r="T76" s="51"/>
    </row>
    <row r="77">
      <c r="A77" s="51"/>
      <c r="B77" s="51"/>
      <c r="C77" s="56"/>
      <c r="D77" s="51"/>
      <c r="E77" s="51"/>
      <c r="F77" s="51"/>
      <c r="G77" s="51" t="str">
        <f>IFERROR(__xludf.DUMMYFUNCTION("""COMPUTED_VALUE"""),"#VALUE!")</f>
        <v>#VALUE!</v>
      </c>
      <c r="H77" s="51" t="str">
        <f>IFERROR(__xludf.DUMMYFUNCTION("""COMPUTED_VALUE"""),"")</f>
        <v/>
      </c>
      <c r="I77" s="51" t="str">
        <f>IFERROR(__xludf.DUMMYFUNCTION("""COMPUTED_VALUE"""),"#VALUE!")</f>
        <v>#VALUE!</v>
      </c>
      <c r="J77" s="51" t="str">
        <f>IFERROR(__xludf.DUMMYFUNCTION("""COMPUTED_VALUE"""),"")</f>
        <v/>
      </c>
      <c r="K77" s="51"/>
      <c r="L77" s="51" t="s">
        <v>257</v>
      </c>
      <c r="M77" s="51"/>
      <c r="N77" s="51"/>
      <c r="O77" s="51"/>
      <c r="P77" s="51"/>
      <c r="Q77" s="51"/>
      <c r="R77" s="51"/>
      <c r="S77" s="51"/>
      <c r="T77" s="51"/>
    </row>
    <row r="78">
      <c r="A78" s="51"/>
      <c r="B78" s="51"/>
      <c r="C78" s="56"/>
      <c r="D78" s="51"/>
      <c r="E78" s="51"/>
      <c r="F78" s="51"/>
      <c r="G78" s="51" t="str">
        <f>IFERROR(__xludf.DUMMYFUNCTION("""COMPUTED_VALUE"""),"#VALUE!")</f>
        <v>#VALUE!</v>
      </c>
      <c r="H78" s="51" t="str">
        <f>IFERROR(__xludf.DUMMYFUNCTION("""COMPUTED_VALUE"""),"")</f>
        <v/>
      </c>
      <c r="I78" s="51" t="str">
        <f>IFERROR(__xludf.DUMMYFUNCTION("""COMPUTED_VALUE"""),"#VALUE!")</f>
        <v>#VALUE!</v>
      </c>
      <c r="J78" s="51" t="str">
        <f>IFERROR(__xludf.DUMMYFUNCTION("""COMPUTED_VALUE"""),"")</f>
        <v/>
      </c>
      <c r="K78" s="51"/>
      <c r="L78" s="51" t="s">
        <v>257</v>
      </c>
      <c r="M78" s="51"/>
      <c r="N78" s="51"/>
      <c r="O78" s="51"/>
      <c r="P78" s="51"/>
      <c r="Q78" s="51"/>
      <c r="R78" s="51"/>
      <c r="S78" s="51"/>
      <c r="T78" s="51"/>
    </row>
    <row r="79">
      <c r="A79" s="51"/>
      <c r="B79" s="51"/>
      <c r="C79" s="56"/>
      <c r="D79" s="51"/>
      <c r="E79" s="51"/>
      <c r="F79" s="51"/>
      <c r="G79" s="51" t="str">
        <f>IFERROR(__xludf.DUMMYFUNCTION("""COMPUTED_VALUE"""),"#VALUE!")</f>
        <v>#VALUE!</v>
      </c>
      <c r="H79" s="51" t="str">
        <f>IFERROR(__xludf.DUMMYFUNCTION("""COMPUTED_VALUE"""),"")</f>
        <v/>
      </c>
      <c r="I79" s="51" t="str">
        <f>IFERROR(__xludf.DUMMYFUNCTION("""COMPUTED_VALUE"""),"#VALUE!")</f>
        <v>#VALUE!</v>
      </c>
      <c r="J79" s="51" t="str">
        <f>IFERROR(__xludf.DUMMYFUNCTION("""COMPUTED_VALUE"""),"")</f>
        <v/>
      </c>
      <c r="K79" s="51"/>
      <c r="L79" s="51" t="s">
        <v>257</v>
      </c>
      <c r="M79" s="51"/>
      <c r="N79" s="51"/>
      <c r="O79" s="51"/>
      <c r="P79" s="51"/>
      <c r="Q79" s="51"/>
      <c r="R79" s="51"/>
      <c r="S79" s="51"/>
      <c r="T79" s="51"/>
    </row>
    <row r="80">
      <c r="A80" s="51"/>
      <c r="B80" s="51"/>
      <c r="C80" s="56"/>
      <c r="D80" s="51"/>
      <c r="E80" s="51"/>
      <c r="F80" s="51"/>
      <c r="G80" s="51" t="str">
        <f>IFERROR(__xludf.DUMMYFUNCTION("""COMPUTED_VALUE"""),"#VALUE!")</f>
        <v>#VALUE!</v>
      </c>
      <c r="H80" s="51" t="str">
        <f>IFERROR(__xludf.DUMMYFUNCTION("""COMPUTED_VALUE"""),"")</f>
        <v/>
      </c>
      <c r="I80" s="51" t="str">
        <f>IFERROR(__xludf.DUMMYFUNCTION("""COMPUTED_VALUE"""),"#VALUE!")</f>
        <v>#VALUE!</v>
      </c>
      <c r="J80" s="51" t="str">
        <f>IFERROR(__xludf.DUMMYFUNCTION("""COMPUTED_VALUE"""),"")</f>
        <v/>
      </c>
      <c r="K80" s="51"/>
      <c r="L80" s="51" t="s">
        <v>257</v>
      </c>
      <c r="M80" s="51"/>
      <c r="N80" s="51"/>
      <c r="O80" s="51"/>
      <c r="P80" s="51"/>
      <c r="Q80" s="51"/>
      <c r="R80" s="51"/>
      <c r="S80" s="51"/>
      <c r="T80" s="51"/>
    </row>
    <row r="81">
      <c r="A81" s="51"/>
      <c r="B81" s="51"/>
      <c r="C81" s="56"/>
      <c r="D81" s="51"/>
      <c r="E81" s="51"/>
      <c r="F81" s="51"/>
      <c r="G81" s="51" t="str">
        <f>IFERROR(__xludf.DUMMYFUNCTION("""COMPUTED_VALUE"""),"#VALUE!")</f>
        <v>#VALUE!</v>
      </c>
      <c r="H81" s="51" t="str">
        <f>IFERROR(__xludf.DUMMYFUNCTION("""COMPUTED_VALUE"""),"")</f>
        <v/>
      </c>
      <c r="I81" s="51" t="str">
        <f>IFERROR(__xludf.DUMMYFUNCTION("""COMPUTED_VALUE"""),"#VALUE!")</f>
        <v>#VALUE!</v>
      </c>
      <c r="J81" s="51" t="str">
        <f>IFERROR(__xludf.DUMMYFUNCTION("""COMPUTED_VALUE"""),"")</f>
        <v/>
      </c>
      <c r="K81" s="51"/>
      <c r="L81" s="51" t="s">
        <v>257</v>
      </c>
      <c r="M81" s="51"/>
      <c r="N81" s="51"/>
      <c r="O81" s="51"/>
      <c r="P81" s="51"/>
      <c r="Q81" s="51"/>
      <c r="R81" s="51"/>
      <c r="S81" s="51"/>
      <c r="T81" s="51"/>
    </row>
    <row r="82">
      <c r="A82" s="51"/>
      <c r="B82" s="51"/>
      <c r="C82" s="56"/>
      <c r="D82" s="51"/>
      <c r="E82" s="51"/>
      <c r="F82" s="51"/>
      <c r="G82" s="51" t="str">
        <f>IFERROR(__xludf.DUMMYFUNCTION("""COMPUTED_VALUE"""),"#VALUE!")</f>
        <v>#VALUE!</v>
      </c>
      <c r="H82" s="51" t="str">
        <f>IFERROR(__xludf.DUMMYFUNCTION("""COMPUTED_VALUE"""),"")</f>
        <v/>
      </c>
      <c r="I82" s="51" t="str">
        <f>IFERROR(__xludf.DUMMYFUNCTION("""COMPUTED_VALUE"""),"#VALUE!")</f>
        <v>#VALUE!</v>
      </c>
      <c r="J82" s="51" t="str">
        <f>IFERROR(__xludf.DUMMYFUNCTION("""COMPUTED_VALUE"""),"")</f>
        <v/>
      </c>
      <c r="K82" s="51"/>
      <c r="L82" s="51" t="s">
        <v>257</v>
      </c>
      <c r="M82" s="51"/>
      <c r="N82" s="51"/>
      <c r="O82" s="51"/>
      <c r="P82" s="51"/>
      <c r="Q82" s="51"/>
      <c r="R82" s="51"/>
      <c r="S82" s="51"/>
      <c r="T82" s="51"/>
    </row>
    <row r="83">
      <c r="A83" s="51"/>
      <c r="B83" s="51"/>
      <c r="C83" s="56"/>
      <c r="D83" s="51"/>
      <c r="E83" s="51"/>
      <c r="F83" s="51"/>
      <c r="G83" s="51" t="str">
        <f>IFERROR(__xludf.DUMMYFUNCTION("""COMPUTED_VALUE"""),"#VALUE!")</f>
        <v>#VALUE!</v>
      </c>
      <c r="H83" s="51" t="str">
        <f>IFERROR(__xludf.DUMMYFUNCTION("""COMPUTED_VALUE"""),"")</f>
        <v/>
      </c>
      <c r="I83" s="51" t="str">
        <f>IFERROR(__xludf.DUMMYFUNCTION("""COMPUTED_VALUE"""),"#VALUE!")</f>
        <v>#VALUE!</v>
      </c>
      <c r="J83" s="51" t="str">
        <f>IFERROR(__xludf.DUMMYFUNCTION("""COMPUTED_VALUE"""),"")</f>
        <v/>
      </c>
      <c r="K83" s="51"/>
      <c r="L83" s="51" t="s">
        <v>257</v>
      </c>
      <c r="M83" s="51"/>
      <c r="N83" s="51"/>
      <c r="O83" s="51"/>
      <c r="P83" s="51"/>
      <c r="Q83" s="51"/>
      <c r="R83" s="51"/>
      <c r="S83" s="51"/>
      <c r="T83" s="51"/>
    </row>
    <row r="84">
      <c r="A84" s="51"/>
      <c r="B84" s="51"/>
      <c r="C84" s="56"/>
      <c r="D84" s="51"/>
      <c r="E84" s="51"/>
      <c r="F84" s="51"/>
      <c r="G84" s="51" t="str">
        <f>IFERROR(__xludf.DUMMYFUNCTION("""COMPUTED_VALUE"""),"#VALUE!")</f>
        <v>#VALUE!</v>
      </c>
      <c r="H84" s="51" t="str">
        <f>IFERROR(__xludf.DUMMYFUNCTION("""COMPUTED_VALUE"""),"")</f>
        <v/>
      </c>
      <c r="I84" s="51" t="str">
        <f>IFERROR(__xludf.DUMMYFUNCTION("""COMPUTED_VALUE"""),"#VALUE!")</f>
        <v>#VALUE!</v>
      </c>
      <c r="J84" s="51" t="str">
        <f>IFERROR(__xludf.DUMMYFUNCTION("""COMPUTED_VALUE"""),"")</f>
        <v/>
      </c>
      <c r="K84" s="51"/>
      <c r="L84" s="51" t="s">
        <v>257</v>
      </c>
      <c r="M84" s="51"/>
      <c r="N84" s="51"/>
      <c r="O84" s="51"/>
      <c r="P84" s="51"/>
      <c r="Q84" s="51"/>
      <c r="R84" s="51"/>
      <c r="S84" s="51"/>
      <c r="T84" s="51"/>
    </row>
    <row r="85">
      <c r="A85" s="51"/>
      <c r="B85" s="51"/>
      <c r="C85" s="56"/>
      <c r="D85" s="51"/>
      <c r="E85" s="51"/>
      <c r="F85" s="51"/>
      <c r="G85" s="51" t="str">
        <f>IFERROR(__xludf.DUMMYFUNCTION("""COMPUTED_VALUE"""),"#VALUE!")</f>
        <v>#VALUE!</v>
      </c>
      <c r="H85" s="51" t="str">
        <f>IFERROR(__xludf.DUMMYFUNCTION("""COMPUTED_VALUE"""),"")</f>
        <v/>
      </c>
      <c r="I85" s="51" t="str">
        <f>IFERROR(__xludf.DUMMYFUNCTION("""COMPUTED_VALUE"""),"#VALUE!")</f>
        <v>#VALUE!</v>
      </c>
      <c r="J85" s="51" t="str">
        <f>IFERROR(__xludf.DUMMYFUNCTION("""COMPUTED_VALUE"""),"")</f>
        <v/>
      </c>
      <c r="K85" s="51"/>
      <c r="L85" s="51" t="s">
        <v>257</v>
      </c>
      <c r="M85" s="51"/>
      <c r="N85" s="51"/>
      <c r="O85" s="51"/>
      <c r="P85" s="51"/>
      <c r="Q85" s="51"/>
      <c r="R85" s="51"/>
      <c r="S85" s="51"/>
      <c r="T85" s="51"/>
    </row>
    <row r="86">
      <c r="A86" s="51"/>
      <c r="B86" s="51"/>
      <c r="C86" s="56"/>
      <c r="D86" s="51"/>
      <c r="E86" s="51"/>
      <c r="F86" s="51"/>
      <c r="G86" s="51" t="str">
        <f>IFERROR(__xludf.DUMMYFUNCTION("""COMPUTED_VALUE"""),"#VALUE!")</f>
        <v>#VALUE!</v>
      </c>
      <c r="H86" s="51" t="str">
        <f>IFERROR(__xludf.DUMMYFUNCTION("""COMPUTED_VALUE"""),"")</f>
        <v/>
      </c>
      <c r="I86" s="51" t="str">
        <f>IFERROR(__xludf.DUMMYFUNCTION("""COMPUTED_VALUE"""),"#VALUE!")</f>
        <v>#VALUE!</v>
      </c>
      <c r="J86" s="51" t="str">
        <f>IFERROR(__xludf.DUMMYFUNCTION("""COMPUTED_VALUE"""),"")</f>
        <v/>
      </c>
      <c r="K86" s="51"/>
      <c r="L86" s="51" t="s">
        <v>257</v>
      </c>
      <c r="M86" s="51"/>
      <c r="N86" s="51"/>
      <c r="O86" s="51"/>
      <c r="P86" s="51"/>
      <c r="Q86" s="51"/>
      <c r="R86" s="51"/>
      <c r="S86" s="51"/>
      <c r="T86" s="51"/>
    </row>
    <row r="87">
      <c r="A87" s="51"/>
      <c r="B87" s="51"/>
      <c r="C87" s="56"/>
      <c r="D87" s="51"/>
      <c r="E87" s="51"/>
      <c r="F87" s="51"/>
      <c r="G87" s="51" t="str">
        <f>IFERROR(__xludf.DUMMYFUNCTION("""COMPUTED_VALUE"""),"#VALUE!")</f>
        <v>#VALUE!</v>
      </c>
      <c r="H87" s="51" t="str">
        <f>IFERROR(__xludf.DUMMYFUNCTION("""COMPUTED_VALUE"""),"")</f>
        <v/>
      </c>
      <c r="I87" s="51" t="str">
        <f>IFERROR(__xludf.DUMMYFUNCTION("""COMPUTED_VALUE"""),"#VALUE!")</f>
        <v>#VALUE!</v>
      </c>
      <c r="J87" s="51" t="str">
        <f>IFERROR(__xludf.DUMMYFUNCTION("""COMPUTED_VALUE"""),"")</f>
        <v/>
      </c>
      <c r="K87" s="51"/>
      <c r="L87" s="51" t="s">
        <v>257</v>
      </c>
      <c r="M87" s="51"/>
      <c r="N87" s="51"/>
      <c r="O87" s="51"/>
      <c r="P87" s="51"/>
      <c r="Q87" s="51"/>
      <c r="R87" s="51"/>
      <c r="S87" s="51"/>
      <c r="T87" s="51"/>
    </row>
    <row r="88">
      <c r="A88" s="51"/>
      <c r="B88" s="51"/>
      <c r="C88" s="56"/>
      <c r="D88" s="51"/>
      <c r="E88" s="51"/>
      <c r="F88" s="51"/>
      <c r="G88" s="51" t="str">
        <f>IFERROR(__xludf.DUMMYFUNCTION("""COMPUTED_VALUE"""),"#VALUE!")</f>
        <v>#VALUE!</v>
      </c>
      <c r="H88" s="51" t="str">
        <f>IFERROR(__xludf.DUMMYFUNCTION("""COMPUTED_VALUE"""),"")</f>
        <v/>
      </c>
      <c r="I88" s="51" t="str">
        <f>IFERROR(__xludf.DUMMYFUNCTION("""COMPUTED_VALUE"""),"#VALUE!")</f>
        <v>#VALUE!</v>
      </c>
      <c r="J88" s="51" t="str">
        <f>IFERROR(__xludf.DUMMYFUNCTION("""COMPUTED_VALUE"""),"")</f>
        <v/>
      </c>
      <c r="K88" s="51"/>
      <c r="L88" s="51" t="s">
        <v>257</v>
      </c>
      <c r="M88" s="51"/>
      <c r="N88" s="51"/>
      <c r="O88" s="51"/>
      <c r="P88" s="51"/>
      <c r="Q88" s="51"/>
      <c r="R88" s="51"/>
      <c r="S88" s="51"/>
      <c r="T88" s="51"/>
    </row>
    <row r="89">
      <c r="A89" s="51"/>
      <c r="B89" s="51"/>
      <c r="C89" s="56"/>
      <c r="D89" s="51"/>
      <c r="E89" s="51"/>
      <c r="F89" s="51"/>
      <c r="G89" s="51" t="str">
        <f>IFERROR(__xludf.DUMMYFUNCTION("""COMPUTED_VALUE"""),"#VALUE!")</f>
        <v>#VALUE!</v>
      </c>
      <c r="H89" s="51" t="str">
        <f>IFERROR(__xludf.DUMMYFUNCTION("""COMPUTED_VALUE"""),"")</f>
        <v/>
      </c>
      <c r="I89" s="51" t="str">
        <f>IFERROR(__xludf.DUMMYFUNCTION("""COMPUTED_VALUE"""),"#VALUE!")</f>
        <v>#VALUE!</v>
      </c>
      <c r="J89" s="51" t="str">
        <f>IFERROR(__xludf.DUMMYFUNCTION("""COMPUTED_VALUE"""),"")</f>
        <v/>
      </c>
      <c r="K89" s="51"/>
      <c r="L89" s="51" t="s">
        <v>257</v>
      </c>
      <c r="M89" s="51"/>
      <c r="N89" s="51"/>
      <c r="O89" s="51"/>
      <c r="P89" s="51"/>
      <c r="Q89" s="51"/>
      <c r="R89" s="51"/>
      <c r="S89" s="51"/>
      <c r="T89" s="51"/>
    </row>
    <row r="90">
      <c r="A90" s="51"/>
      <c r="B90" s="51"/>
      <c r="C90" s="56"/>
      <c r="D90" s="51"/>
      <c r="E90" s="51"/>
      <c r="F90" s="51"/>
      <c r="G90" s="51" t="str">
        <f>IFERROR(__xludf.DUMMYFUNCTION("""COMPUTED_VALUE"""),"#VALUE!")</f>
        <v>#VALUE!</v>
      </c>
      <c r="H90" s="51" t="str">
        <f>IFERROR(__xludf.DUMMYFUNCTION("""COMPUTED_VALUE"""),"")</f>
        <v/>
      </c>
      <c r="I90" s="51" t="str">
        <f>IFERROR(__xludf.DUMMYFUNCTION("""COMPUTED_VALUE"""),"#VALUE!")</f>
        <v>#VALUE!</v>
      </c>
      <c r="J90" s="51" t="str">
        <f>IFERROR(__xludf.DUMMYFUNCTION("""COMPUTED_VALUE"""),"")</f>
        <v/>
      </c>
      <c r="K90" s="51"/>
      <c r="L90" s="51" t="s">
        <v>257</v>
      </c>
      <c r="M90" s="51"/>
      <c r="N90" s="51"/>
      <c r="O90" s="51"/>
      <c r="P90" s="51"/>
      <c r="Q90" s="51"/>
      <c r="R90" s="51"/>
      <c r="S90" s="51"/>
      <c r="T90" s="51"/>
    </row>
    <row r="91">
      <c r="A91" s="51"/>
      <c r="B91" s="51"/>
      <c r="C91" s="56"/>
      <c r="D91" s="51"/>
      <c r="E91" s="51"/>
      <c r="F91" s="51"/>
      <c r="G91" s="51" t="str">
        <f>IFERROR(__xludf.DUMMYFUNCTION("""COMPUTED_VALUE"""),"#VALUE!")</f>
        <v>#VALUE!</v>
      </c>
      <c r="H91" s="51" t="str">
        <f>IFERROR(__xludf.DUMMYFUNCTION("""COMPUTED_VALUE"""),"")</f>
        <v/>
      </c>
      <c r="I91" s="51" t="str">
        <f>IFERROR(__xludf.DUMMYFUNCTION("""COMPUTED_VALUE"""),"#VALUE!")</f>
        <v>#VALUE!</v>
      </c>
      <c r="J91" s="51" t="str">
        <f>IFERROR(__xludf.DUMMYFUNCTION("""COMPUTED_VALUE"""),"")</f>
        <v/>
      </c>
      <c r="K91" s="51"/>
      <c r="L91" s="51" t="s">
        <v>257</v>
      </c>
      <c r="M91" s="51"/>
      <c r="N91" s="51"/>
      <c r="O91" s="51"/>
      <c r="P91" s="51"/>
      <c r="Q91" s="51"/>
      <c r="R91" s="51"/>
      <c r="S91" s="51"/>
      <c r="T91" s="51"/>
    </row>
    <row r="92">
      <c r="A92" s="51"/>
      <c r="B92" s="51"/>
      <c r="C92" s="56"/>
      <c r="D92" s="51"/>
      <c r="E92" s="51"/>
      <c r="F92" s="51"/>
      <c r="G92" s="51" t="str">
        <f>IFERROR(__xludf.DUMMYFUNCTION("""COMPUTED_VALUE"""),"#VALUE!")</f>
        <v>#VALUE!</v>
      </c>
      <c r="H92" s="51" t="str">
        <f>IFERROR(__xludf.DUMMYFUNCTION("""COMPUTED_VALUE"""),"")</f>
        <v/>
      </c>
      <c r="I92" s="51" t="str">
        <f>IFERROR(__xludf.DUMMYFUNCTION("""COMPUTED_VALUE"""),"#VALUE!")</f>
        <v>#VALUE!</v>
      </c>
      <c r="J92" s="51" t="str">
        <f>IFERROR(__xludf.DUMMYFUNCTION("""COMPUTED_VALUE"""),"")</f>
        <v/>
      </c>
      <c r="K92" s="51"/>
      <c r="L92" s="51" t="s">
        <v>257</v>
      </c>
      <c r="M92" s="51"/>
      <c r="N92" s="51"/>
      <c r="O92" s="51"/>
      <c r="P92" s="51"/>
      <c r="Q92" s="51"/>
      <c r="R92" s="51"/>
      <c r="S92" s="51"/>
      <c r="T92" s="51"/>
    </row>
    <row r="93">
      <c r="A93" s="51"/>
      <c r="B93" s="51"/>
      <c r="C93" s="56"/>
      <c r="D93" s="51"/>
      <c r="E93" s="51"/>
      <c r="F93" s="51"/>
      <c r="G93" s="51" t="str">
        <f>IFERROR(__xludf.DUMMYFUNCTION("""COMPUTED_VALUE"""),"#VALUE!")</f>
        <v>#VALUE!</v>
      </c>
      <c r="H93" s="51" t="str">
        <f>IFERROR(__xludf.DUMMYFUNCTION("""COMPUTED_VALUE"""),"")</f>
        <v/>
      </c>
      <c r="I93" s="51" t="str">
        <f>IFERROR(__xludf.DUMMYFUNCTION("""COMPUTED_VALUE"""),"#VALUE!")</f>
        <v>#VALUE!</v>
      </c>
      <c r="J93" s="51" t="str">
        <f>IFERROR(__xludf.DUMMYFUNCTION("""COMPUTED_VALUE"""),"")</f>
        <v/>
      </c>
      <c r="K93" s="51"/>
      <c r="L93" s="51" t="s">
        <v>257</v>
      </c>
      <c r="M93" s="51"/>
      <c r="N93" s="51"/>
      <c r="O93" s="51"/>
      <c r="P93" s="51"/>
      <c r="Q93" s="51"/>
      <c r="R93" s="51"/>
      <c r="S93" s="51"/>
      <c r="T93" s="51"/>
    </row>
    <row r="94">
      <c r="A94" s="51"/>
      <c r="B94" s="51"/>
      <c r="C94" s="56"/>
      <c r="D94" s="51"/>
      <c r="E94" s="51"/>
      <c r="F94" s="51"/>
      <c r="G94" s="51" t="str">
        <f>IFERROR(__xludf.DUMMYFUNCTION("""COMPUTED_VALUE"""),"#VALUE!")</f>
        <v>#VALUE!</v>
      </c>
      <c r="H94" s="51" t="str">
        <f>IFERROR(__xludf.DUMMYFUNCTION("""COMPUTED_VALUE"""),"")</f>
        <v/>
      </c>
      <c r="I94" s="51" t="str">
        <f>IFERROR(__xludf.DUMMYFUNCTION("""COMPUTED_VALUE"""),"#VALUE!")</f>
        <v>#VALUE!</v>
      </c>
      <c r="J94" s="51" t="str">
        <f>IFERROR(__xludf.DUMMYFUNCTION("""COMPUTED_VALUE"""),"")</f>
        <v/>
      </c>
      <c r="K94" s="51"/>
      <c r="L94" s="51" t="s">
        <v>257</v>
      </c>
      <c r="M94" s="51"/>
      <c r="N94" s="51"/>
      <c r="O94" s="51"/>
      <c r="P94" s="51"/>
      <c r="Q94" s="51"/>
      <c r="R94" s="51"/>
      <c r="S94" s="51"/>
      <c r="T94" s="51"/>
    </row>
    <row r="95">
      <c r="A95" s="51"/>
      <c r="B95" s="51"/>
      <c r="C95" s="56"/>
      <c r="D95" s="51"/>
      <c r="E95" s="51"/>
      <c r="F95" s="51"/>
      <c r="G95" s="51" t="str">
        <f>IFERROR(__xludf.DUMMYFUNCTION("""COMPUTED_VALUE"""),"#VALUE!")</f>
        <v>#VALUE!</v>
      </c>
      <c r="H95" s="51" t="str">
        <f>IFERROR(__xludf.DUMMYFUNCTION("""COMPUTED_VALUE"""),"")</f>
        <v/>
      </c>
      <c r="I95" s="51" t="str">
        <f>IFERROR(__xludf.DUMMYFUNCTION("""COMPUTED_VALUE"""),"#VALUE!")</f>
        <v>#VALUE!</v>
      </c>
      <c r="J95" s="51" t="str">
        <f>IFERROR(__xludf.DUMMYFUNCTION("""COMPUTED_VALUE"""),"")</f>
        <v/>
      </c>
      <c r="K95" s="51"/>
      <c r="L95" s="51" t="s">
        <v>257</v>
      </c>
      <c r="M95" s="51"/>
      <c r="N95" s="51"/>
      <c r="O95" s="51"/>
      <c r="P95" s="51"/>
      <c r="Q95" s="51"/>
      <c r="R95" s="51"/>
      <c r="S95" s="51"/>
      <c r="T95" s="51"/>
    </row>
    <row r="96">
      <c r="A96" s="51"/>
      <c r="B96" s="51"/>
      <c r="C96" s="56"/>
      <c r="D96" s="51"/>
      <c r="E96" s="51"/>
      <c r="F96" s="51"/>
      <c r="G96" s="51" t="str">
        <f>IFERROR(__xludf.DUMMYFUNCTION("""COMPUTED_VALUE"""),"#VALUE!")</f>
        <v>#VALUE!</v>
      </c>
      <c r="H96" s="51" t="str">
        <f>IFERROR(__xludf.DUMMYFUNCTION("""COMPUTED_VALUE"""),"")</f>
        <v/>
      </c>
      <c r="I96" s="51" t="str">
        <f>IFERROR(__xludf.DUMMYFUNCTION("""COMPUTED_VALUE"""),"#VALUE!")</f>
        <v>#VALUE!</v>
      </c>
      <c r="J96" s="51" t="str">
        <f>IFERROR(__xludf.DUMMYFUNCTION("""COMPUTED_VALUE"""),"")</f>
        <v/>
      </c>
      <c r="K96" s="51"/>
      <c r="L96" s="51" t="s">
        <v>257</v>
      </c>
      <c r="M96" s="51"/>
      <c r="N96" s="51"/>
      <c r="O96" s="51"/>
      <c r="P96" s="51"/>
      <c r="Q96" s="51"/>
      <c r="R96" s="51"/>
      <c r="S96" s="51"/>
      <c r="T96" s="51"/>
    </row>
    <row r="97">
      <c r="A97" s="51"/>
      <c r="B97" s="51"/>
      <c r="C97" s="56"/>
      <c r="D97" s="51"/>
      <c r="E97" s="51"/>
      <c r="F97" s="51"/>
      <c r="G97" s="51" t="str">
        <f>IFERROR(__xludf.DUMMYFUNCTION("""COMPUTED_VALUE"""),"#VALUE!")</f>
        <v>#VALUE!</v>
      </c>
      <c r="H97" s="51" t="str">
        <f>IFERROR(__xludf.DUMMYFUNCTION("""COMPUTED_VALUE"""),"")</f>
        <v/>
      </c>
      <c r="I97" s="51" t="str">
        <f>IFERROR(__xludf.DUMMYFUNCTION("""COMPUTED_VALUE"""),"#VALUE!")</f>
        <v>#VALUE!</v>
      </c>
      <c r="J97" s="51" t="str">
        <f>IFERROR(__xludf.DUMMYFUNCTION("""COMPUTED_VALUE"""),"")</f>
        <v/>
      </c>
      <c r="K97" s="51"/>
      <c r="L97" s="51" t="s">
        <v>257</v>
      </c>
      <c r="M97" s="51"/>
      <c r="N97" s="51"/>
      <c r="O97" s="51"/>
      <c r="P97" s="51"/>
      <c r="Q97" s="51"/>
      <c r="R97" s="51"/>
      <c r="S97" s="51"/>
      <c r="T97" s="51"/>
    </row>
    <row r="98">
      <c r="A98" s="51"/>
      <c r="B98" s="51"/>
      <c r="C98" s="56"/>
      <c r="D98" s="51"/>
      <c r="E98" s="51"/>
      <c r="F98" s="51"/>
      <c r="G98" s="51" t="str">
        <f>IFERROR(__xludf.DUMMYFUNCTION("""COMPUTED_VALUE"""),"#VALUE!")</f>
        <v>#VALUE!</v>
      </c>
      <c r="H98" s="51" t="str">
        <f>IFERROR(__xludf.DUMMYFUNCTION("""COMPUTED_VALUE"""),"")</f>
        <v/>
      </c>
      <c r="I98" s="51" t="str">
        <f>IFERROR(__xludf.DUMMYFUNCTION("""COMPUTED_VALUE"""),"#VALUE!")</f>
        <v>#VALUE!</v>
      </c>
      <c r="J98" s="51" t="str">
        <f>IFERROR(__xludf.DUMMYFUNCTION("""COMPUTED_VALUE"""),"")</f>
        <v/>
      </c>
      <c r="K98" s="51"/>
      <c r="L98" s="51" t="s">
        <v>257</v>
      </c>
      <c r="M98" s="51"/>
      <c r="N98" s="51"/>
      <c r="O98" s="51"/>
      <c r="P98" s="51"/>
      <c r="Q98" s="51"/>
      <c r="R98" s="51"/>
      <c r="S98" s="51"/>
      <c r="T98" s="51"/>
    </row>
    <row r="99">
      <c r="A99" s="51"/>
      <c r="B99" s="51"/>
      <c r="C99" s="56"/>
      <c r="D99" s="51"/>
      <c r="E99" s="51"/>
      <c r="F99" s="51"/>
      <c r="G99" s="51" t="str">
        <f>IFERROR(__xludf.DUMMYFUNCTION("""COMPUTED_VALUE"""),"#VALUE!")</f>
        <v>#VALUE!</v>
      </c>
      <c r="H99" s="51" t="str">
        <f>IFERROR(__xludf.DUMMYFUNCTION("""COMPUTED_VALUE"""),"")</f>
        <v/>
      </c>
      <c r="I99" s="51" t="str">
        <f>IFERROR(__xludf.DUMMYFUNCTION("""COMPUTED_VALUE"""),"#VALUE!")</f>
        <v>#VALUE!</v>
      </c>
      <c r="J99" s="51" t="str">
        <f>IFERROR(__xludf.DUMMYFUNCTION("""COMPUTED_VALUE"""),"")</f>
        <v/>
      </c>
      <c r="K99" s="51"/>
      <c r="L99" s="51" t="s">
        <v>257</v>
      </c>
      <c r="M99" s="51"/>
      <c r="N99" s="51"/>
      <c r="O99" s="51"/>
      <c r="P99" s="51"/>
      <c r="Q99" s="51"/>
      <c r="R99" s="51"/>
      <c r="S99" s="51"/>
      <c r="T99" s="51"/>
    </row>
    <row r="100">
      <c r="A100" s="51"/>
      <c r="B100" s="51"/>
      <c r="C100" s="56"/>
      <c r="D100" s="51"/>
      <c r="E100" s="51"/>
      <c r="F100" s="51"/>
      <c r="G100" s="51" t="str">
        <f>IFERROR(__xludf.DUMMYFUNCTION("""COMPUTED_VALUE"""),"#VALUE!")</f>
        <v>#VALUE!</v>
      </c>
      <c r="H100" s="51" t="str">
        <f>IFERROR(__xludf.DUMMYFUNCTION("""COMPUTED_VALUE"""),"")</f>
        <v/>
      </c>
      <c r="I100" s="51" t="str">
        <f>IFERROR(__xludf.DUMMYFUNCTION("""COMPUTED_VALUE"""),"#VALUE!")</f>
        <v>#VALUE!</v>
      </c>
      <c r="J100" s="51" t="str">
        <f>IFERROR(__xludf.DUMMYFUNCTION("""COMPUTED_VALUE"""),"")</f>
        <v/>
      </c>
      <c r="K100" s="51"/>
      <c r="L100" s="51" t="s">
        <v>257</v>
      </c>
      <c r="M100" s="51"/>
      <c r="N100" s="51"/>
      <c r="O100" s="51"/>
      <c r="P100" s="51"/>
      <c r="Q100" s="51"/>
      <c r="R100" s="51"/>
      <c r="S100" s="51"/>
      <c r="T100" s="51"/>
    </row>
    <row r="101">
      <c r="A101" s="51"/>
      <c r="B101" s="51"/>
      <c r="C101" s="56"/>
      <c r="D101" s="51"/>
      <c r="E101" s="51"/>
      <c r="F101" s="51"/>
      <c r="G101" s="51" t="str">
        <f>IFERROR(__xludf.DUMMYFUNCTION("""COMPUTED_VALUE"""),"#VALUE!")</f>
        <v>#VALUE!</v>
      </c>
      <c r="H101" s="51" t="str">
        <f>IFERROR(__xludf.DUMMYFUNCTION("""COMPUTED_VALUE"""),"")</f>
        <v/>
      </c>
      <c r="I101" s="51" t="str">
        <f>IFERROR(__xludf.DUMMYFUNCTION("""COMPUTED_VALUE"""),"#VALUE!")</f>
        <v>#VALUE!</v>
      </c>
      <c r="J101" s="51" t="str">
        <f>IFERROR(__xludf.DUMMYFUNCTION("""COMPUTED_VALUE"""),"")</f>
        <v/>
      </c>
      <c r="K101" s="51"/>
      <c r="L101" s="51" t="s">
        <v>257</v>
      </c>
      <c r="M101" s="51"/>
      <c r="N101" s="51"/>
      <c r="O101" s="51"/>
      <c r="P101" s="51"/>
      <c r="Q101" s="51"/>
      <c r="R101" s="51"/>
      <c r="S101" s="51"/>
      <c r="T101" s="51"/>
    </row>
    <row r="102">
      <c r="A102" s="51"/>
      <c r="B102" s="51"/>
      <c r="C102" s="56"/>
      <c r="D102" s="51"/>
      <c r="E102" s="51"/>
      <c r="F102" s="51"/>
      <c r="G102" s="51" t="str">
        <f>IFERROR(__xludf.DUMMYFUNCTION("""COMPUTED_VALUE"""),"#VALUE!")</f>
        <v>#VALUE!</v>
      </c>
      <c r="H102" s="51" t="str">
        <f>IFERROR(__xludf.DUMMYFUNCTION("""COMPUTED_VALUE"""),"")</f>
        <v/>
      </c>
      <c r="I102" s="51" t="str">
        <f>IFERROR(__xludf.DUMMYFUNCTION("""COMPUTED_VALUE"""),"#VALUE!")</f>
        <v>#VALUE!</v>
      </c>
      <c r="J102" s="51" t="str">
        <f>IFERROR(__xludf.DUMMYFUNCTION("""COMPUTED_VALUE"""),"")</f>
        <v/>
      </c>
      <c r="K102" s="51"/>
      <c r="L102" s="51" t="s">
        <v>257</v>
      </c>
      <c r="M102" s="51"/>
      <c r="N102" s="51"/>
      <c r="O102" s="51"/>
      <c r="P102" s="51"/>
      <c r="Q102" s="51"/>
      <c r="R102" s="51"/>
      <c r="S102" s="51"/>
      <c r="T102" s="51"/>
    </row>
    <row r="103">
      <c r="A103" s="51"/>
      <c r="B103" s="51"/>
      <c r="C103" s="56"/>
      <c r="D103" s="51"/>
      <c r="E103" s="51"/>
      <c r="F103" s="51"/>
      <c r="G103" s="51" t="str">
        <f>IFERROR(__xludf.DUMMYFUNCTION("""COMPUTED_VALUE"""),"#VALUE!")</f>
        <v>#VALUE!</v>
      </c>
      <c r="H103" s="51" t="str">
        <f>IFERROR(__xludf.DUMMYFUNCTION("""COMPUTED_VALUE"""),"")</f>
        <v/>
      </c>
      <c r="I103" s="51" t="str">
        <f>IFERROR(__xludf.DUMMYFUNCTION("""COMPUTED_VALUE"""),"#VALUE!")</f>
        <v>#VALUE!</v>
      </c>
      <c r="J103" s="51" t="str">
        <f>IFERROR(__xludf.DUMMYFUNCTION("""COMPUTED_VALUE"""),"")</f>
        <v/>
      </c>
      <c r="K103" s="51"/>
      <c r="L103" s="51" t="s">
        <v>257</v>
      </c>
      <c r="M103" s="51"/>
      <c r="N103" s="51"/>
      <c r="O103" s="51"/>
      <c r="P103" s="51"/>
      <c r="Q103" s="51"/>
      <c r="R103" s="51"/>
      <c r="S103" s="51"/>
      <c r="T103" s="51"/>
    </row>
    <row r="104">
      <c r="A104" s="51"/>
      <c r="B104" s="51"/>
      <c r="C104" s="56"/>
      <c r="D104" s="51"/>
      <c r="E104" s="51"/>
      <c r="F104" s="51"/>
      <c r="G104" s="51" t="str">
        <f>IFERROR(__xludf.DUMMYFUNCTION("""COMPUTED_VALUE"""),"#VALUE!")</f>
        <v>#VALUE!</v>
      </c>
      <c r="H104" s="51" t="str">
        <f>IFERROR(__xludf.DUMMYFUNCTION("""COMPUTED_VALUE"""),"")</f>
        <v/>
      </c>
      <c r="I104" s="51" t="str">
        <f>IFERROR(__xludf.DUMMYFUNCTION("""COMPUTED_VALUE"""),"#VALUE!")</f>
        <v>#VALUE!</v>
      </c>
      <c r="J104" s="51" t="str">
        <f>IFERROR(__xludf.DUMMYFUNCTION("""COMPUTED_VALUE"""),"")</f>
        <v/>
      </c>
      <c r="K104" s="51"/>
      <c r="L104" s="51" t="s">
        <v>257</v>
      </c>
      <c r="M104" s="51"/>
      <c r="N104" s="51"/>
      <c r="O104" s="51"/>
      <c r="P104" s="51"/>
      <c r="Q104" s="51"/>
      <c r="R104" s="51"/>
      <c r="S104" s="51"/>
      <c r="T104" s="51"/>
    </row>
    <row r="105">
      <c r="A105" s="51"/>
      <c r="B105" s="51"/>
      <c r="C105" s="56"/>
      <c r="D105" s="51"/>
      <c r="E105" s="51"/>
      <c r="F105" s="51"/>
      <c r="G105" s="51" t="str">
        <f>IFERROR(__xludf.DUMMYFUNCTION("""COMPUTED_VALUE"""),"#VALUE!")</f>
        <v>#VALUE!</v>
      </c>
      <c r="H105" s="51" t="str">
        <f>IFERROR(__xludf.DUMMYFUNCTION("""COMPUTED_VALUE"""),"")</f>
        <v/>
      </c>
      <c r="I105" s="51" t="str">
        <f>IFERROR(__xludf.DUMMYFUNCTION("""COMPUTED_VALUE"""),"#VALUE!")</f>
        <v>#VALUE!</v>
      </c>
      <c r="J105" s="51" t="str">
        <f>IFERROR(__xludf.DUMMYFUNCTION("""COMPUTED_VALUE"""),"")</f>
        <v/>
      </c>
      <c r="K105" s="51"/>
      <c r="L105" s="51" t="s">
        <v>257</v>
      </c>
      <c r="M105" s="51"/>
      <c r="N105" s="51"/>
      <c r="O105" s="51"/>
      <c r="P105" s="51"/>
      <c r="Q105" s="51"/>
      <c r="R105" s="51"/>
      <c r="S105" s="51"/>
      <c r="T105" s="51"/>
    </row>
    <row r="106">
      <c r="A106" s="51"/>
      <c r="B106" s="51"/>
      <c r="C106" s="56"/>
      <c r="D106" s="51"/>
      <c r="E106" s="51"/>
      <c r="F106" s="51"/>
      <c r="G106" s="51" t="str">
        <f>IFERROR(__xludf.DUMMYFUNCTION("""COMPUTED_VALUE"""),"#VALUE!")</f>
        <v>#VALUE!</v>
      </c>
      <c r="H106" s="51" t="str">
        <f>IFERROR(__xludf.DUMMYFUNCTION("""COMPUTED_VALUE"""),"")</f>
        <v/>
      </c>
      <c r="I106" s="51" t="str">
        <f>IFERROR(__xludf.DUMMYFUNCTION("""COMPUTED_VALUE"""),"#VALUE!")</f>
        <v>#VALUE!</v>
      </c>
      <c r="J106" s="51" t="str">
        <f>IFERROR(__xludf.DUMMYFUNCTION("""COMPUTED_VALUE"""),"")</f>
        <v/>
      </c>
      <c r="K106" s="51"/>
      <c r="L106" s="51" t="s">
        <v>257</v>
      </c>
      <c r="M106" s="51"/>
      <c r="N106" s="51"/>
      <c r="O106" s="51"/>
      <c r="P106" s="51"/>
      <c r="Q106" s="51"/>
      <c r="R106" s="51"/>
      <c r="S106" s="51"/>
      <c r="T106" s="51"/>
    </row>
    <row r="107">
      <c r="A107" s="51"/>
      <c r="B107" s="51"/>
      <c r="C107" s="56"/>
      <c r="D107" s="51"/>
      <c r="E107" s="51"/>
      <c r="F107" s="51"/>
      <c r="G107" s="51" t="str">
        <f>IFERROR(__xludf.DUMMYFUNCTION("""COMPUTED_VALUE"""),"#VALUE!")</f>
        <v>#VALUE!</v>
      </c>
      <c r="H107" s="51" t="str">
        <f>IFERROR(__xludf.DUMMYFUNCTION("""COMPUTED_VALUE"""),"")</f>
        <v/>
      </c>
      <c r="I107" s="51" t="str">
        <f>IFERROR(__xludf.DUMMYFUNCTION("""COMPUTED_VALUE"""),"#VALUE!")</f>
        <v>#VALUE!</v>
      </c>
      <c r="J107" s="51" t="str">
        <f>IFERROR(__xludf.DUMMYFUNCTION("""COMPUTED_VALUE"""),"")</f>
        <v/>
      </c>
      <c r="K107" s="51"/>
      <c r="L107" s="51" t="s">
        <v>257</v>
      </c>
      <c r="M107" s="51"/>
      <c r="N107" s="51"/>
      <c r="O107" s="51"/>
      <c r="P107" s="51"/>
      <c r="Q107" s="51"/>
      <c r="R107" s="51"/>
      <c r="S107" s="51"/>
      <c r="T107" s="51"/>
    </row>
    <row r="108">
      <c r="A108" s="51"/>
      <c r="B108" s="51"/>
      <c r="C108" s="56"/>
      <c r="D108" s="51"/>
      <c r="E108" s="51"/>
      <c r="F108" s="51"/>
      <c r="G108" s="51" t="str">
        <f>IFERROR(__xludf.DUMMYFUNCTION("""COMPUTED_VALUE"""),"#VALUE!")</f>
        <v>#VALUE!</v>
      </c>
      <c r="H108" s="51" t="str">
        <f>IFERROR(__xludf.DUMMYFUNCTION("""COMPUTED_VALUE"""),"")</f>
        <v/>
      </c>
      <c r="I108" s="51" t="str">
        <f>IFERROR(__xludf.DUMMYFUNCTION("""COMPUTED_VALUE"""),"#VALUE!")</f>
        <v>#VALUE!</v>
      </c>
      <c r="J108" s="51" t="str">
        <f>IFERROR(__xludf.DUMMYFUNCTION("""COMPUTED_VALUE"""),"")</f>
        <v/>
      </c>
      <c r="K108" s="51"/>
      <c r="L108" s="51" t="s">
        <v>257</v>
      </c>
      <c r="M108" s="51"/>
      <c r="N108" s="51"/>
      <c r="O108" s="51"/>
      <c r="P108" s="51"/>
      <c r="Q108" s="51"/>
      <c r="R108" s="51"/>
      <c r="S108" s="51"/>
      <c r="T108" s="51"/>
    </row>
    <row r="109">
      <c r="A109" s="51"/>
      <c r="B109" s="51"/>
      <c r="C109" s="56"/>
      <c r="D109" s="51"/>
      <c r="E109" s="51"/>
      <c r="F109" s="51"/>
      <c r="G109" s="51" t="str">
        <f>IFERROR(__xludf.DUMMYFUNCTION("""COMPUTED_VALUE"""),"#VALUE!")</f>
        <v>#VALUE!</v>
      </c>
      <c r="H109" s="51" t="str">
        <f>IFERROR(__xludf.DUMMYFUNCTION("""COMPUTED_VALUE"""),"")</f>
        <v/>
      </c>
      <c r="I109" s="51" t="str">
        <f>IFERROR(__xludf.DUMMYFUNCTION("""COMPUTED_VALUE"""),"#VALUE!")</f>
        <v>#VALUE!</v>
      </c>
      <c r="J109" s="51" t="str">
        <f>IFERROR(__xludf.DUMMYFUNCTION("""COMPUTED_VALUE"""),"")</f>
        <v/>
      </c>
      <c r="K109" s="51"/>
      <c r="L109" s="51" t="s">
        <v>257</v>
      </c>
      <c r="M109" s="51"/>
      <c r="N109" s="51"/>
      <c r="O109" s="51"/>
      <c r="P109" s="51"/>
      <c r="Q109" s="51"/>
      <c r="R109" s="51"/>
      <c r="S109" s="51"/>
      <c r="T109" s="51"/>
    </row>
    <row r="110">
      <c r="A110" s="51"/>
      <c r="B110" s="51"/>
      <c r="C110" s="56"/>
      <c r="D110" s="51"/>
      <c r="E110" s="51"/>
      <c r="F110" s="51"/>
      <c r="G110" s="51" t="str">
        <f>IFERROR(__xludf.DUMMYFUNCTION("""COMPUTED_VALUE"""),"#VALUE!")</f>
        <v>#VALUE!</v>
      </c>
      <c r="H110" s="51" t="str">
        <f>IFERROR(__xludf.DUMMYFUNCTION("""COMPUTED_VALUE"""),"")</f>
        <v/>
      </c>
      <c r="I110" s="51" t="str">
        <f>IFERROR(__xludf.DUMMYFUNCTION("""COMPUTED_VALUE"""),"#VALUE!")</f>
        <v>#VALUE!</v>
      </c>
      <c r="J110" s="51" t="str">
        <f>IFERROR(__xludf.DUMMYFUNCTION("""COMPUTED_VALUE"""),"")</f>
        <v/>
      </c>
      <c r="K110" s="51"/>
      <c r="L110" s="51" t="s">
        <v>257</v>
      </c>
      <c r="M110" s="51"/>
      <c r="N110" s="51"/>
      <c r="O110" s="51"/>
      <c r="P110" s="51"/>
      <c r="Q110" s="51"/>
      <c r="R110" s="51"/>
      <c r="S110" s="51"/>
      <c r="T110" s="51"/>
    </row>
    <row r="111">
      <c r="A111" s="51"/>
      <c r="B111" s="51"/>
      <c r="C111" s="56"/>
      <c r="D111" s="51"/>
      <c r="E111" s="51"/>
      <c r="F111" s="51"/>
      <c r="G111" s="51" t="str">
        <f>IFERROR(__xludf.DUMMYFUNCTION("""COMPUTED_VALUE"""),"#VALUE!")</f>
        <v>#VALUE!</v>
      </c>
      <c r="H111" s="51" t="str">
        <f>IFERROR(__xludf.DUMMYFUNCTION("""COMPUTED_VALUE"""),"")</f>
        <v/>
      </c>
      <c r="I111" s="51" t="str">
        <f>IFERROR(__xludf.DUMMYFUNCTION("""COMPUTED_VALUE"""),"#VALUE!")</f>
        <v>#VALUE!</v>
      </c>
      <c r="J111" s="51" t="str">
        <f>IFERROR(__xludf.DUMMYFUNCTION("""COMPUTED_VALUE"""),"")</f>
        <v/>
      </c>
      <c r="K111" s="51"/>
      <c r="L111" s="51" t="s">
        <v>257</v>
      </c>
      <c r="M111" s="51"/>
      <c r="N111" s="51"/>
      <c r="O111" s="51"/>
      <c r="P111" s="51"/>
      <c r="Q111" s="51"/>
      <c r="R111" s="51"/>
      <c r="S111" s="51"/>
      <c r="T111" s="51"/>
    </row>
    <row r="112">
      <c r="A112" s="51"/>
      <c r="B112" s="51"/>
      <c r="C112" s="56"/>
      <c r="D112" s="51"/>
      <c r="E112" s="51"/>
      <c r="F112" s="51"/>
      <c r="G112" s="51" t="str">
        <f>IFERROR(__xludf.DUMMYFUNCTION("""COMPUTED_VALUE"""),"#VALUE!")</f>
        <v>#VALUE!</v>
      </c>
      <c r="H112" s="51" t="str">
        <f>IFERROR(__xludf.DUMMYFUNCTION("""COMPUTED_VALUE"""),"")</f>
        <v/>
      </c>
      <c r="I112" s="51" t="str">
        <f>IFERROR(__xludf.DUMMYFUNCTION("""COMPUTED_VALUE"""),"#VALUE!")</f>
        <v>#VALUE!</v>
      </c>
      <c r="J112" s="51" t="str">
        <f>IFERROR(__xludf.DUMMYFUNCTION("""COMPUTED_VALUE"""),"")</f>
        <v/>
      </c>
      <c r="K112" s="51"/>
      <c r="L112" s="51" t="s">
        <v>257</v>
      </c>
      <c r="M112" s="51"/>
      <c r="N112" s="51"/>
      <c r="O112" s="51"/>
      <c r="P112" s="51"/>
      <c r="Q112" s="51"/>
      <c r="R112" s="51"/>
      <c r="S112" s="51"/>
      <c r="T112" s="51"/>
    </row>
    <row r="113">
      <c r="A113" s="51"/>
      <c r="B113" s="51"/>
      <c r="C113" s="56"/>
      <c r="D113" s="51"/>
      <c r="E113" s="51"/>
      <c r="F113" s="51"/>
      <c r="G113" s="51" t="str">
        <f>IFERROR(__xludf.DUMMYFUNCTION("""COMPUTED_VALUE"""),"#VALUE!")</f>
        <v>#VALUE!</v>
      </c>
      <c r="H113" s="51" t="str">
        <f>IFERROR(__xludf.DUMMYFUNCTION("""COMPUTED_VALUE"""),"")</f>
        <v/>
      </c>
      <c r="I113" s="51" t="str">
        <f>IFERROR(__xludf.DUMMYFUNCTION("""COMPUTED_VALUE"""),"#VALUE!")</f>
        <v>#VALUE!</v>
      </c>
      <c r="J113" s="51" t="str">
        <f>IFERROR(__xludf.DUMMYFUNCTION("""COMPUTED_VALUE"""),"")</f>
        <v/>
      </c>
      <c r="K113" s="51"/>
      <c r="L113" s="51" t="s">
        <v>257</v>
      </c>
      <c r="M113" s="51"/>
      <c r="N113" s="51"/>
      <c r="O113" s="51"/>
      <c r="P113" s="51"/>
      <c r="Q113" s="51"/>
      <c r="R113" s="51"/>
      <c r="S113" s="51"/>
      <c r="T113" s="51"/>
    </row>
    <row r="114">
      <c r="A114" s="51"/>
      <c r="B114" s="51"/>
      <c r="C114" s="56"/>
      <c r="D114" s="51"/>
      <c r="E114" s="51"/>
      <c r="F114" s="51"/>
      <c r="G114" s="51" t="str">
        <f>IFERROR(__xludf.DUMMYFUNCTION("""COMPUTED_VALUE"""),"#VALUE!")</f>
        <v>#VALUE!</v>
      </c>
      <c r="H114" s="51" t="str">
        <f>IFERROR(__xludf.DUMMYFUNCTION("""COMPUTED_VALUE"""),"")</f>
        <v/>
      </c>
      <c r="I114" s="51" t="str">
        <f>IFERROR(__xludf.DUMMYFUNCTION("""COMPUTED_VALUE"""),"#VALUE!")</f>
        <v>#VALUE!</v>
      </c>
      <c r="J114" s="51" t="str">
        <f>IFERROR(__xludf.DUMMYFUNCTION("""COMPUTED_VALUE"""),"")</f>
        <v/>
      </c>
      <c r="K114" s="51"/>
      <c r="L114" s="51" t="s">
        <v>257</v>
      </c>
      <c r="M114" s="51"/>
      <c r="N114" s="51"/>
      <c r="O114" s="51"/>
      <c r="P114" s="51"/>
      <c r="Q114" s="51"/>
      <c r="R114" s="51"/>
      <c r="S114" s="51"/>
      <c r="T114" s="51"/>
    </row>
    <row r="115">
      <c r="A115" s="51"/>
      <c r="B115" s="51"/>
      <c r="C115" s="56"/>
      <c r="D115" s="51"/>
      <c r="E115" s="51"/>
      <c r="F115" s="51"/>
      <c r="G115" s="51" t="str">
        <f>IFERROR(__xludf.DUMMYFUNCTION("""COMPUTED_VALUE"""),"#VALUE!")</f>
        <v>#VALUE!</v>
      </c>
      <c r="H115" s="51" t="str">
        <f>IFERROR(__xludf.DUMMYFUNCTION("""COMPUTED_VALUE"""),"")</f>
        <v/>
      </c>
      <c r="I115" s="51" t="str">
        <f>IFERROR(__xludf.DUMMYFUNCTION("""COMPUTED_VALUE"""),"#VALUE!")</f>
        <v>#VALUE!</v>
      </c>
      <c r="J115" s="51" t="str">
        <f>IFERROR(__xludf.DUMMYFUNCTION("""COMPUTED_VALUE"""),"")</f>
        <v/>
      </c>
      <c r="K115" s="51"/>
      <c r="L115" s="51" t="s">
        <v>257</v>
      </c>
      <c r="M115" s="51"/>
      <c r="N115" s="51"/>
      <c r="O115" s="51"/>
      <c r="P115" s="51"/>
      <c r="Q115" s="51"/>
      <c r="R115" s="51"/>
      <c r="S115" s="51"/>
      <c r="T115" s="51"/>
    </row>
    <row r="116">
      <c r="A116" s="51"/>
      <c r="B116" s="51"/>
      <c r="C116" s="56"/>
      <c r="D116" s="51"/>
      <c r="E116" s="51"/>
      <c r="F116" s="51"/>
      <c r="G116" s="51" t="str">
        <f>IFERROR(__xludf.DUMMYFUNCTION("""COMPUTED_VALUE"""),"#VALUE!")</f>
        <v>#VALUE!</v>
      </c>
      <c r="H116" s="51" t="str">
        <f>IFERROR(__xludf.DUMMYFUNCTION("""COMPUTED_VALUE"""),"")</f>
        <v/>
      </c>
      <c r="I116" s="51" t="str">
        <f>IFERROR(__xludf.DUMMYFUNCTION("""COMPUTED_VALUE"""),"#VALUE!")</f>
        <v>#VALUE!</v>
      </c>
      <c r="J116" s="51" t="str">
        <f>IFERROR(__xludf.DUMMYFUNCTION("""COMPUTED_VALUE"""),"")</f>
        <v/>
      </c>
      <c r="K116" s="51"/>
      <c r="L116" s="51" t="s">
        <v>257</v>
      </c>
      <c r="M116" s="51"/>
      <c r="N116" s="51"/>
      <c r="O116" s="51"/>
      <c r="P116" s="51"/>
      <c r="Q116" s="51"/>
      <c r="R116" s="51"/>
      <c r="S116" s="51"/>
      <c r="T116" s="51"/>
    </row>
    <row r="117">
      <c r="A117" s="51"/>
      <c r="B117" s="51"/>
      <c r="C117" s="56"/>
      <c r="D117" s="51"/>
      <c r="E117" s="51"/>
      <c r="F117" s="51"/>
      <c r="G117" s="51" t="str">
        <f>IFERROR(__xludf.DUMMYFUNCTION("""COMPUTED_VALUE"""),"#VALUE!")</f>
        <v>#VALUE!</v>
      </c>
      <c r="H117" s="51" t="str">
        <f>IFERROR(__xludf.DUMMYFUNCTION("""COMPUTED_VALUE"""),"")</f>
        <v/>
      </c>
      <c r="I117" s="51" t="str">
        <f>IFERROR(__xludf.DUMMYFUNCTION("""COMPUTED_VALUE"""),"#VALUE!")</f>
        <v>#VALUE!</v>
      </c>
      <c r="J117" s="51" t="str">
        <f>IFERROR(__xludf.DUMMYFUNCTION("""COMPUTED_VALUE"""),"")</f>
        <v/>
      </c>
      <c r="K117" s="51"/>
      <c r="L117" s="51" t="s">
        <v>257</v>
      </c>
      <c r="M117" s="51"/>
      <c r="N117" s="51"/>
      <c r="O117" s="51"/>
      <c r="P117" s="51"/>
      <c r="Q117" s="51"/>
      <c r="R117" s="51"/>
      <c r="S117" s="51"/>
      <c r="T117" s="51"/>
    </row>
    <row r="118">
      <c r="A118" s="51"/>
      <c r="B118" s="51"/>
      <c r="C118" s="56"/>
      <c r="D118" s="51"/>
      <c r="E118" s="51"/>
      <c r="F118" s="51"/>
      <c r="G118" s="51" t="str">
        <f>IFERROR(__xludf.DUMMYFUNCTION("""COMPUTED_VALUE"""),"#VALUE!")</f>
        <v>#VALUE!</v>
      </c>
      <c r="H118" s="51" t="str">
        <f>IFERROR(__xludf.DUMMYFUNCTION("""COMPUTED_VALUE"""),"")</f>
        <v/>
      </c>
      <c r="I118" s="51" t="str">
        <f>IFERROR(__xludf.DUMMYFUNCTION("""COMPUTED_VALUE"""),"#VALUE!")</f>
        <v>#VALUE!</v>
      </c>
      <c r="J118" s="51" t="str">
        <f>IFERROR(__xludf.DUMMYFUNCTION("""COMPUTED_VALUE"""),"")</f>
        <v/>
      </c>
      <c r="K118" s="51"/>
      <c r="L118" s="51" t="s">
        <v>257</v>
      </c>
      <c r="M118" s="51"/>
      <c r="N118" s="51"/>
      <c r="O118" s="51"/>
      <c r="P118" s="51"/>
      <c r="Q118" s="51"/>
      <c r="R118" s="51"/>
      <c r="S118" s="51"/>
      <c r="T118" s="51"/>
    </row>
    <row r="119">
      <c r="A119" s="51"/>
      <c r="B119" s="51"/>
      <c r="C119" s="56"/>
      <c r="D119" s="51"/>
      <c r="E119" s="51"/>
      <c r="F119" s="51"/>
      <c r="G119" s="51" t="str">
        <f>IFERROR(__xludf.DUMMYFUNCTION("""COMPUTED_VALUE"""),"#VALUE!")</f>
        <v>#VALUE!</v>
      </c>
      <c r="H119" s="51" t="str">
        <f>IFERROR(__xludf.DUMMYFUNCTION("""COMPUTED_VALUE"""),"")</f>
        <v/>
      </c>
      <c r="I119" s="51" t="str">
        <f>IFERROR(__xludf.DUMMYFUNCTION("""COMPUTED_VALUE"""),"#VALUE!")</f>
        <v>#VALUE!</v>
      </c>
      <c r="J119" s="51" t="str">
        <f>IFERROR(__xludf.DUMMYFUNCTION("""COMPUTED_VALUE"""),"")</f>
        <v/>
      </c>
      <c r="K119" s="51"/>
      <c r="L119" s="51" t="s">
        <v>257</v>
      </c>
      <c r="M119" s="51"/>
      <c r="N119" s="51"/>
      <c r="O119" s="51"/>
      <c r="P119" s="51"/>
      <c r="Q119" s="51"/>
      <c r="R119" s="51"/>
      <c r="S119" s="51"/>
      <c r="T119" s="51"/>
    </row>
    <row r="120">
      <c r="A120" s="51"/>
      <c r="B120" s="51"/>
      <c r="C120" s="56"/>
      <c r="D120" s="51"/>
      <c r="E120" s="51"/>
      <c r="F120" s="51"/>
      <c r="G120" s="51" t="str">
        <f>IFERROR(__xludf.DUMMYFUNCTION("""COMPUTED_VALUE"""),"#VALUE!")</f>
        <v>#VALUE!</v>
      </c>
      <c r="H120" s="51" t="str">
        <f>IFERROR(__xludf.DUMMYFUNCTION("""COMPUTED_VALUE"""),"")</f>
        <v/>
      </c>
      <c r="I120" s="51" t="str">
        <f>IFERROR(__xludf.DUMMYFUNCTION("""COMPUTED_VALUE"""),"#VALUE!")</f>
        <v>#VALUE!</v>
      </c>
      <c r="J120" s="51" t="str">
        <f>IFERROR(__xludf.DUMMYFUNCTION("""COMPUTED_VALUE"""),"")</f>
        <v/>
      </c>
      <c r="K120" s="51"/>
      <c r="L120" s="51" t="s">
        <v>257</v>
      </c>
      <c r="M120" s="51"/>
      <c r="N120" s="51"/>
      <c r="O120" s="51"/>
      <c r="P120" s="51"/>
      <c r="Q120" s="51"/>
      <c r="R120" s="51"/>
      <c r="S120" s="51"/>
      <c r="T120" s="51"/>
    </row>
    <row r="121">
      <c r="A121" s="51"/>
      <c r="B121" s="51"/>
      <c r="C121" s="56"/>
      <c r="D121" s="51"/>
      <c r="E121" s="51"/>
      <c r="F121" s="51"/>
      <c r="G121" s="51" t="str">
        <f>IFERROR(__xludf.DUMMYFUNCTION("""COMPUTED_VALUE"""),"#VALUE!")</f>
        <v>#VALUE!</v>
      </c>
      <c r="H121" s="51" t="str">
        <f>IFERROR(__xludf.DUMMYFUNCTION("""COMPUTED_VALUE"""),"")</f>
        <v/>
      </c>
      <c r="I121" s="51" t="str">
        <f>IFERROR(__xludf.DUMMYFUNCTION("""COMPUTED_VALUE"""),"#VALUE!")</f>
        <v>#VALUE!</v>
      </c>
      <c r="J121" s="51" t="str">
        <f>IFERROR(__xludf.DUMMYFUNCTION("""COMPUTED_VALUE"""),"")</f>
        <v/>
      </c>
      <c r="K121" s="51"/>
      <c r="L121" s="51" t="s">
        <v>257</v>
      </c>
      <c r="M121" s="51"/>
      <c r="N121" s="51"/>
      <c r="O121" s="51"/>
      <c r="P121" s="51"/>
      <c r="Q121" s="51"/>
      <c r="R121" s="51"/>
      <c r="S121" s="51"/>
      <c r="T121" s="51"/>
    </row>
    <row r="122">
      <c r="A122" s="51"/>
      <c r="B122" s="51"/>
      <c r="C122" s="56"/>
      <c r="D122" s="51"/>
      <c r="E122" s="51"/>
      <c r="F122" s="51"/>
      <c r="G122" s="51" t="str">
        <f>IFERROR(__xludf.DUMMYFUNCTION("""COMPUTED_VALUE"""),"#VALUE!")</f>
        <v>#VALUE!</v>
      </c>
      <c r="H122" s="51" t="str">
        <f>IFERROR(__xludf.DUMMYFUNCTION("""COMPUTED_VALUE"""),"")</f>
        <v/>
      </c>
      <c r="I122" s="51" t="str">
        <f>IFERROR(__xludf.DUMMYFUNCTION("""COMPUTED_VALUE"""),"#VALUE!")</f>
        <v>#VALUE!</v>
      </c>
      <c r="J122" s="51" t="str">
        <f>IFERROR(__xludf.DUMMYFUNCTION("""COMPUTED_VALUE"""),"")</f>
        <v/>
      </c>
      <c r="K122" s="51"/>
      <c r="L122" s="51" t="s">
        <v>257</v>
      </c>
      <c r="M122" s="51"/>
      <c r="N122" s="51"/>
      <c r="O122" s="51"/>
      <c r="P122" s="51"/>
      <c r="Q122" s="51"/>
      <c r="R122" s="51"/>
      <c r="S122" s="51"/>
      <c r="T122" s="51"/>
    </row>
    <row r="123">
      <c r="A123" s="51"/>
      <c r="B123" s="51"/>
      <c r="C123" s="56"/>
      <c r="D123" s="51"/>
      <c r="E123" s="51"/>
      <c r="F123" s="51"/>
      <c r="G123" s="51" t="str">
        <f>IFERROR(__xludf.DUMMYFUNCTION("""COMPUTED_VALUE"""),"#VALUE!")</f>
        <v>#VALUE!</v>
      </c>
      <c r="H123" s="51" t="str">
        <f>IFERROR(__xludf.DUMMYFUNCTION("""COMPUTED_VALUE"""),"")</f>
        <v/>
      </c>
      <c r="I123" s="51" t="str">
        <f>IFERROR(__xludf.DUMMYFUNCTION("""COMPUTED_VALUE"""),"#VALUE!")</f>
        <v>#VALUE!</v>
      </c>
      <c r="J123" s="51" t="str">
        <f>IFERROR(__xludf.DUMMYFUNCTION("""COMPUTED_VALUE"""),"")</f>
        <v/>
      </c>
      <c r="K123" s="51"/>
      <c r="L123" s="51" t="s">
        <v>257</v>
      </c>
      <c r="M123" s="51"/>
      <c r="N123" s="51"/>
      <c r="O123" s="51"/>
      <c r="P123" s="51"/>
      <c r="Q123" s="51"/>
      <c r="R123" s="51"/>
      <c r="S123" s="51"/>
      <c r="T123" s="51"/>
    </row>
    <row r="124">
      <c r="A124" s="51"/>
      <c r="B124" s="51"/>
      <c r="C124" s="56"/>
      <c r="D124" s="51"/>
      <c r="E124" s="51"/>
      <c r="F124" s="51"/>
      <c r="G124" s="51" t="str">
        <f>IFERROR(__xludf.DUMMYFUNCTION("""COMPUTED_VALUE"""),"#VALUE!")</f>
        <v>#VALUE!</v>
      </c>
      <c r="H124" s="51" t="str">
        <f>IFERROR(__xludf.DUMMYFUNCTION("""COMPUTED_VALUE"""),"")</f>
        <v/>
      </c>
      <c r="I124" s="51" t="str">
        <f>IFERROR(__xludf.DUMMYFUNCTION("""COMPUTED_VALUE"""),"#VALUE!")</f>
        <v>#VALUE!</v>
      </c>
      <c r="J124" s="51" t="str">
        <f>IFERROR(__xludf.DUMMYFUNCTION("""COMPUTED_VALUE"""),"")</f>
        <v/>
      </c>
      <c r="K124" s="51"/>
      <c r="L124" s="51" t="s">
        <v>257</v>
      </c>
      <c r="M124" s="51"/>
      <c r="N124" s="51"/>
      <c r="O124" s="51"/>
      <c r="P124" s="51"/>
      <c r="Q124" s="51"/>
      <c r="R124" s="51"/>
      <c r="S124" s="51"/>
      <c r="T124" s="51"/>
    </row>
    <row r="125">
      <c r="A125" s="51"/>
      <c r="B125" s="51"/>
      <c r="C125" s="56"/>
      <c r="D125" s="51"/>
      <c r="E125" s="51"/>
      <c r="F125" s="51"/>
      <c r="G125" s="51" t="str">
        <f>IFERROR(__xludf.DUMMYFUNCTION("""COMPUTED_VALUE"""),"#VALUE!")</f>
        <v>#VALUE!</v>
      </c>
      <c r="H125" s="51" t="str">
        <f>IFERROR(__xludf.DUMMYFUNCTION("""COMPUTED_VALUE"""),"")</f>
        <v/>
      </c>
      <c r="I125" s="51" t="str">
        <f>IFERROR(__xludf.DUMMYFUNCTION("""COMPUTED_VALUE"""),"#VALUE!")</f>
        <v>#VALUE!</v>
      </c>
      <c r="J125" s="51" t="str">
        <f>IFERROR(__xludf.DUMMYFUNCTION("""COMPUTED_VALUE"""),"")</f>
        <v/>
      </c>
      <c r="K125" s="51"/>
      <c r="L125" s="51" t="s">
        <v>257</v>
      </c>
      <c r="M125" s="51"/>
      <c r="N125" s="51"/>
      <c r="O125" s="51"/>
      <c r="P125" s="51"/>
      <c r="Q125" s="51"/>
      <c r="R125" s="51"/>
      <c r="S125" s="51"/>
      <c r="T125" s="51"/>
    </row>
    <row r="126">
      <c r="A126" s="51"/>
      <c r="B126" s="51"/>
      <c r="C126" s="56"/>
      <c r="D126" s="51"/>
      <c r="E126" s="51"/>
      <c r="F126" s="51"/>
      <c r="G126" s="51" t="str">
        <f>IFERROR(__xludf.DUMMYFUNCTION("""COMPUTED_VALUE"""),"#VALUE!")</f>
        <v>#VALUE!</v>
      </c>
      <c r="H126" s="51" t="str">
        <f>IFERROR(__xludf.DUMMYFUNCTION("""COMPUTED_VALUE"""),"")</f>
        <v/>
      </c>
      <c r="I126" s="51" t="str">
        <f>IFERROR(__xludf.DUMMYFUNCTION("""COMPUTED_VALUE"""),"#VALUE!")</f>
        <v>#VALUE!</v>
      </c>
      <c r="J126" s="51" t="str">
        <f>IFERROR(__xludf.DUMMYFUNCTION("""COMPUTED_VALUE"""),"")</f>
        <v/>
      </c>
      <c r="K126" s="51"/>
      <c r="L126" s="51" t="s">
        <v>257</v>
      </c>
      <c r="M126" s="51"/>
      <c r="N126" s="51"/>
      <c r="O126" s="51"/>
      <c r="P126" s="51"/>
      <c r="Q126" s="51"/>
      <c r="R126" s="51"/>
      <c r="S126" s="51"/>
      <c r="T126" s="51"/>
    </row>
    <row r="127">
      <c r="A127" s="51"/>
      <c r="B127" s="51"/>
      <c r="C127" s="56"/>
      <c r="D127" s="51"/>
      <c r="E127" s="51"/>
      <c r="F127" s="51"/>
      <c r="G127" s="51" t="str">
        <f>IFERROR(__xludf.DUMMYFUNCTION("""COMPUTED_VALUE"""),"#VALUE!")</f>
        <v>#VALUE!</v>
      </c>
      <c r="H127" s="51" t="str">
        <f>IFERROR(__xludf.DUMMYFUNCTION("""COMPUTED_VALUE"""),"")</f>
        <v/>
      </c>
      <c r="I127" s="51" t="str">
        <f>IFERROR(__xludf.DUMMYFUNCTION("""COMPUTED_VALUE"""),"#VALUE!")</f>
        <v>#VALUE!</v>
      </c>
      <c r="J127" s="51" t="str">
        <f>IFERROR(__xludf.DUMMYFUNCTION("""COMPUTED_VALUE"""),"")</f>
        <v/>
      </c>
      <c r="K127" s="51"/>
      <c r="L127" s="51" t="s">
        <v>257</v>
      </c>
      <c r="M127" s="51"/>
      <c r="N127" s="51"/>
      <c r="O127" s="51"/>
      <c r="P127" s="51"/>
      <c r="Q127" s="51"/>
      <c r="R127" s="51"/>
      <c r="S127" s="51"/>
      <c r="T127" s="51"/>
    </row>
    <row r="128">
      <c r="A128" s="51"/>
      <c r="B128" s="51"/>
      <c r="C128" s="56"/>
      <c r="D128" s="51"/>
      <c r="E128" s="51"/>
      <c r="F128" s="51"/>
      <c r="G128" s="51" t="str">
        <f>IFERROR(__xludf.DUMMYFUNCTION("""COMPUTED_VALUE"""),"#VALUE!")</f>
        <v>#VALUE!</v>
      </c>
      <c r="H128" s="51" t="str">
        <f>IFERROR(__xludf.DUMMYFUNCTION("""COMPUTED_VALUE"""),"")</f>
        <v/>
      </c>
      <c r="I128" s="51" t="str">
        <f>IFERROR(__xludf.DUMMYFUNCTION("""COMPUTED_VALUE"""),"#VALUE!")</f>
        <v>#VALUE!</v>
      </c>
      <c r="J128" s="51" t="str">
        <f>IFERROR(__xludf.DUMMYFUNCTION("""COMPUTED_VALUE"""),"")</f>
        <v/>
      </c>
      <c r="K128" s="51"/>
      <c r="L128" s="51" t="s">
        <v>257</v>
      </c>
      <c r="M128" s="51"/>
      <c r="N128" s="51"/>
      <c r="O128" s="51"/>
      <c r="P128" s="51"/>
      <c r="Q128" s="51"/>
      <c r="R128" s="51"/>
      <c r="S128" s="51"/>
      <c r="T128" s="51"/>
    </row>
    <row r="129">
      <c r="A129" s="51"/>
      <c r="B129" s="51"/>
      <c r="C129" s="56"/>
      <c r="D129" s="51"/>
      <c r="E129" s="51"/>
      <c r="F129" s="51"/>
      <c r="G129" s="51" t="str">
        <f>IFERROR(__xludf.DUMMYFUNCTION("""COMPUTED_VALUE"""),"#VALUE!")</f>
        <v>#VALUE!</v>
      </c>
      <c r="H129" s="51" t="str">
        <f>IFERROR(__xludf.DUMMYFUNCTION("""COMPUTED_VALUE"""),"")</f>
        <v/>
      </c>
      <c r="I129" s="51" t="str">
        <f>IFERROR(__xludf.DUMMYFUNCTION("""COMPUTED_VALUE"""),"#VALUE!")</f>
        <v>#VALUE!</v>
      </c>
      <c r="J129" s="51" t="str">
        <f>IFERROR(__xludf.DUMMYFUNCTION("""COMPUTED_VALUE"""),"")</f>
        <v/>
      </c>
      <c r="K129" s="51"/>
      <c r="L129" s="51" t="s">
        <v>257</v>
      </c>
      <c r="M129" s="51"/>
      <c r="N129" s="51"/>
      <c r="O129" s="51"/>
      <c r="P129" s="51"/>
      <c r="Q129" s="51"/>
      <c r="R129" s="51"/>
      <c r="S129" s="51"/>
      <c r="T129" s="51"/>
    </row>
    <row r="130">
      <c r="A130" s="51"/>
      <c r="B130" s="51"/>
      <c r="C130" s="56"/>
      <c r="D130" s="51"/>
      <c r="E130" s="51"/>
      <c r="F130" s="51"/>
      <c r="G130" s="51" t="str">
        <f>IFERROR(__xludf.DUMMYFUNCTION("""COMPUTED_VALUE"""),"#VALUE!")</f>
        <v>#VALUE!</v>
      </c>
      <c r="H130" s="51" t="str">
        <f>IFERROR(__xludf.DUMMYFUNCTION("""COMPUTED_VALUE"""),"")</f>
        <v/>
      </c>
      <c r="I130" s="51" t="str">
        <f>IFERROR(__xludf.DUMMYFUNCTION("""COMPUTED_VALUE"""),"#VALUE!")</f>
        <v>#VALUE!</v>
      </c>
      <c r="J130" s="51" t="str">
        <f>IFERROR(__xludf.DUMMYFUNCTION("""COMPUTED_VALUE"""),"")</f>
        <v/>
      </c>
      <c r="K130" s="51"/>
      <c r="L130" s="51" t="s">
        <v>257</v>
      </c>
      <c r="M130" s="51"/>
      <c r="N130" s="51"/>
      <c r="O130" s="51"/>
      <c r="P130" s="51"/>
      <c r="Q130" s="51"/>
      <c r="R130" s="51"/>
      <c r="S130" s="51"/>
      <c r="T130" s="51"/>
    </row>
    <row r="131">
      <c r="A131" s="51"/>
      <c r="B131" s="51"/>
      <c r="C131" s="56"/>
      <c r="D131" s="51"/>
      <c r="E131" s="51"/>
      <c r="F131" s="51"/>
      <c r="G131" s="51" t="str">
        <f>IFERROR(__xludf.DUMMYFUNCTION("""COMPUTED_VALUE"""),"#VALUE!")</f>
        <v>#VALUE!</v>
      </c>
      <c r="H131" s="51" t="str">
        <f>IFERROR(__xludf.DUMMYFUNCTION("""COMPUTED_VALUE"""),"")</f>
        <v/>
      </c>
      <c r="I131" s="51" t="str">
        <f>IFERROR(__xludf.DUMMYFUNCTION("""COMPUTED_VALUE"""),"#VALUE!")</f>
        <v>#VALUE!</v>
      </c>
      <c r="J131" s="51" t="str">
        <f>IFERROR(__xludf.DUMMYFUNCTION("""COMPUTED_VALUE"""),"")</f>
        <v/>
      </c>
      <c r="K131" s="51"/>
      <c r="L131" s="51" t="s">
        <v>257</v>
      </c>
      <c r="M131" s="51"/>
      <c r="N131" s="51"/>
      <c r="O131" s="51"/>
      <c r="P131" s="51"/>
      <c r="Q131" s="51"/>
      <c r="R131" s="51"/>
      <c r="S131" s="51"/>
      <c r="T131" s="51"/>
    </row>
    <row r="132">
      <c r="A132" s="51"/>
      <c r="B132" s="51"/>
      <c r="C132" s="56"/>
      <c r="D132" s="51"/>
      <c r="E132" s="51"/>
      <c r="F132" s="51"/>
      <c r="G132" s="51" t="str">
        <f>IFERROR(__xludf.DUMMYFUNCTION("""COMPUTED_VALUE"""),"#VALUE!")</f>
        <v>#VALUE!</v>
      </c>
      <c r="H132" s="51" t="str">
        <f>IFERROR(__xludf.DUMMYFUNCTION("""COMPUTED_VALUE"""),"")</f>
        <v/>
      </c>
      <c r="I132" s="51" t="str">
        <f>IFERROR(__xludf.DUMMYFUNCTION("""COMPUTED_VALUE"""),"#VALUE!")</f>
        <v>#VALUE!</v>
      </c>
      <c r="J132" s="51" t="str">
        <f>IFERROR(__xludf.DUMMYFUNCTION("""COMPUTED_VALUE"""),"")</f>
        <v/>
      </c>
      <c r="K132" s="51"/>
      <c r="L132" s="51" t="s">
        <v>257</v>
      </c>
      <c r="M132" s="51"/>
      <c r="N132" s="51"/>
      <c r="O132" s="51"/>
      <c r="P132" s="51"/>
      <c r="Q132" s="51"/>
      <c r="R132" s="51"/>
      <c r="S132" s="51"/>
      <c r="T132" s="51"/>
    </row>
    <row r="133">
      <c r="A133" s="51"/>
      <c r="B133" s="51"/>
      <c r="C133" s="56"/>
      <c r="D133" s="51"/>
      <c r="E133" s="51"/>
      <c r="F133" s="51"/>
      <c r="G133" s="51" t="str">
        <f>IFERROR(__xludf.DUMMYFUNCTION("""COMPUTED_VALUE"""),"#VALUE!")</f>
        <v>#VALUE!</v>
      </c>
      <c r="H133" s="51" t="str">
        <f>IFERROR(__xludf.DUMMYFUNCTION("""COMPUTED_VALUE"""),"")</f>
        <v/>
      </c>
      <c r="I133" s="51" t="str">
        <f>IFERROR(__xludf.DUMMYFUNCTION("""COMPUTED_VALUE"""),"#VALUE!")</f>
        <v>#VALUE!</v>
      </c>
      <c r="J133" s="51" t="str">
        <f>IFERROR(__xludf.DUMMYFUNCTION("""COMPUTED_VALUE"""),"")</f>
        <v/>
      </c>
      <c r="K133" s="51"/>
      <c r="L133" s="51" t="s">
        <v>257</v>
      </c>
      <c r="M133" s="51"/>
      <c r="N133" s="51"/>
      <c r="O133" s="51"/>
      <c r="P133" s="51"/>
      <c r="Q133" s="51"/>
      <c r="R133" s="51"/>
      <c r="S133" s="51"/>
      <c r="T133" s="51"/>
    </row>
    <row r="134">
      <c r="A134" s="51"/>
      <c r="B134" s="51"/>
      <c r="C134" s="56"/>
      <c r="D134" s="51"/>
      <c r="E134" s="51"/>
      <c r="F134" s="51"/>
      <c r="G134" s="51" t="str">
        <f>IFERROR(__xludf.DUMMYFUNCTION("""COMPUTED_VALUE"""),"#VALUE!")</f>
        <v>#VALUE!</v>
      </c>
      <c r="H134" s="51" t="str">
        <f>IFERROR(__xludf.DUMMYFUNCTION("""COMPUTED_VALUE"""),"")</f>
        <v/>
      </c>
      <c r="I134" s="51" t="str">
        <f>IFERROR(__xludf.DUMMYFUNCTION("""COMPUTED_VALUE"""),"#VALUE!")</f>
        <v>#VALUE!</v>
      </c>
      <c r="J134" s="51" t="str">
        <f>IFERROR(__xludf.DUMMYFUNCTION("""COMPUTED_VALUE"""),"")</f>
        <v/>
      </c>
      <c r="K134" s="51"/>
      <c r="L134" s="51" t="s">
        <v>257</v>
      </c>
      <c r="M134" s="51"/>
      <c r="N134" s="51"/>
      <c r="O134" s="51"/>
      <c r="P134" s="51"/>
      <c r="Q134" s="51"/>
      <c r="R134" s="51"/>
      <c r="S134" s="51"/>
      <c r="T134" s="51"/>
    </row>
    <row r="135">
      <c r="A135" s="51"/>
      <c r="B135" s="51"/>
      <c r="C135" s="56"/>
      <c r="D135" s="51"/>
      <c r="E135" s="51"/>
      <c r="F135" s="51"/>
      <c r="G135" s="51" t="str">
        <f>IFERROR(__xludf.DUMMYFUNCTION("""COMPUTED_VALUE"""),"#VALUE!")</f>
        <v>#VALUE!</v>
      </c>
      <c r="H135" s="51" t="str">
        <f>IFERROR(__xludf.DUMMYFUNCTION("""COMPUTED_VALUE"""),"")</f>
        <v/>
      </c>
      <c r="I135" s="51" t="str">
        <f>IFERROR(__xludf.DUMMYFUNCTION("""COMPUTED_VALUE"""),"#VALUE!")</f>
        <v>#VALUE!</v>
      </c>
      <c r="J135" s="51" t="str">
        <f>IFERROR(__xludf.DUMMYFUNCTION("""COMPUTED_VALUE"""),"")</f>
        <v/>
      </c>
      <c r="K135" s="51"/>
      <c r="L135" s="51" t="s">
        <v>257</v>
      </c>
      <c r="M135" s="51"/>
      <c r="N135" s="51"/>
      <c r="O135" s="51"/>
      <c r="P135" s="51"/>
      <c r="Q135" s="51"/>
      <c r="R135" s="51"/>
      <c r="S135" s="51"/>
      <c r="T135" s="51"/>
    </row>
    <row r="136">
      <c r="A136" s="51"/>
      <c r="B136" s="51"/>
      <c r="C136" s="56"/>
      <c r="D136" s="51"/>
      <c r="E136" s="51"/>
      <c r="F136" s="51"/>
      <c r="G136" s="51" t="str">
        <f>IFERROR(__xludf.DUMMYFUNCTION("""COMPUTED_VALUE"""),"#VALUE!")</f>
        <v>#VALUE!</v>
      </c>
      <c r="H136" s="51" t="str">
        <f>IFERROR(__xludf.DUMMYFUNCTION("""COMPUTED_VALUE"""),"")</f>
        <v/>
      </c>
      <c r="I136" s="51" t="str">
        <f>IFERROR(__xludf.DUMMYFUNCTION("""COMPUTED_VALUE"""),"#VALUE!")</f>
        <v>#VALUE!</v>
      </c>
      <c r="J136" s="51" t="str">
        <f>IFERROR(__xludf.DUMMYFUNCTION("""COMPUTED_VALUE"""),"")</f>
        <v/>
      </c>
      <c r="K136" s="51"/>
      <c r="L136" s="51" t="s">
        <v>257</v>
      </c>
      <c r="M136" s="51"/>
      <c r="N136" s="51"/>
      <c r="O136" s="51"/>
      <c r="P136" s="51"/>
      <c r="Q136" s="51"/>
      <c r="R136" s="51"/>
      <c r="S136" s="51"/>
      <c r="T136" s="51"/>
    </row>
    <row r="137">
      <c r="A137" s="51"/>
      <c r="B137" s="51"/>
      <c r="C137" s="56"/>
      <c r="D137" s="51"/>
      <c r="E137" s="51"/>
      <c r="F137" s="51"/>
      <c r="G137" s="51" t="str">
        <f>IFERROR(__xludf.DUMMYFUNCTION("""COMPUTED_VALUE"""),"#VALUE!")</f>
        <v>#VALUE!</v>
      </c>
      <c r="H137" s="51" t="str">
        <f>IFERROR(__xludf.DUMMYFUNCTION("""COMPUTED_VALUE"""),"")</f>
        <v/>
      </c>
      <c r="I137" s="51" t="str">
        <f>IFERROR(__xludf.DUMMYFUNCTION("""COMPUTED_VALUE"""),"#VALUE!")</f>
        <v>#VALUE!</v>
      </c>
      <c r="J137" s="51" t="str">
        <f>IFERROR(__xludf.DUMMYFUNCTION("""COMPUTED_VALUE"""),"")</f>
        <v/>
      </c>
      <c r="K137" s="51"/>
      <c r="L137" s="51" t="s">
        <v>257</v>
      </c>
      <c r="M137" s="51"/>
      <c r="N137" s="51"/>
      <c r="O137" s="51"/>
      <c r="P137" s="51"/>
      <c r="Q137" s="51"/>
      <c r="R137" s="51"/>
      <c r="S137" s="51"/>
      <c r="T137" s="51"/>
    </row>
    <row r="138">
      <c r="A138" s="51"/>
      <c r="B138" s="51"/>
      <c r="C138" s="56"/>
      <c r="D138" s="51"/>
      <c r="E138" s="51"/>
      <c r="F138" s="51"/>
      <c r="G138" s="51" t="str">
        <f>IFERROR(__xludf.DUMMYFUNCTION("""COMPUTED_VALUE"""),"#VALUE!")</f>
        <v>#VALUE!</v>
      </c>
      <c r="H138" s="51" t="str">
        <f>IFERROR(__xludf.DUMMYFUNCTION("""COMPUTED_VALUE"""),"")</f>
        <v/>
      </c>
      <c r="I138" s="51" t="str">
        <f>IFERROR(__xludf.DUMMYFUNCTION("""COMPUTED_VALUE"""),"#VALUE!")</f>
        <v>#VALUE!</v>
      </c>
      <c r="J138" s="51" t="str">
        <f>IFERROR(__xludf.DUMMYFUNCTION("""COMPUTED_VALUE"""),"")</f>
        <v/>
      </c>
      <c r="K138" s="51"/>
      <c r="L138" s="51" t="s">
        <v>257</v>
      </c>
      <c r="M138" s="51"/>
      <c r="N138" s="51"/>
      <c r="O138" s="51"/>
      <c r="P138" s="51"/>
      <c r="Q138" s="51"/>
      <c r="R138" s="51"/>
      <c r="S138" s="51"/>
      <c r="T138" s="51"/>
    </row>
    <row r="139">
      <c r="A139" s="51"/>
      <c r="B139" s="51"/>
      <c r="C139" s="56"/>
      <c r="D139" s="51"/>
      <c r="E139" s="51"/>
      <c r="F139" s="51"/>
      <c r="G139" s="51" t="str">
        <f>IFERROR(__xludf.DUMMYFUNCTION("""COMPUTED_VALUE"""),"#VALUE!")</f>
        <v>#VALUE!</v>
      </c>
      <c r="H139" s="51" t="str">
        <f>IFERROR(__xludf.DUMMYFUNCTION("""COMPUTED_VALUE"""),"")</f>
        <v/>
      </c>
      <c r="I139" s="51" t="str">
        <f>IFERROR(__xludf.DUMMYFUNCTION("""COMPUTED_VALUE"""),"#VALUE!")</f>
        <v>#VALUE!</v>
      </c>
      <c r="J139" s="51" t="str">
        <f>IFERROR(__xludf.DUMMYFUNCTION("""COMPUTED_VALUE"""),"")</f>
        <v/>
      </c>
      <c r="K139" s="51"/>
      <c r="L139" s="51" t="s">
        <v>257</v>
      </c>
      <c r="M139" s="51"/>
      <c r="N139" s="51"/>
      <c r="O139" s="51"/>
      <c r="P139" s="51"/>
      <c r="Q139" s="51"/>
      <c r="R139" s="51"/>
      <c r="S139" s="51"/>
      <c r="T139" s="51"/>
    </row>
    <row r="140">
      <c r="A140" s="51"/>
      <c r="B140" s="51"/>
      <c r="C140" s="56"/>
      <c r="D140" s="51"/>
      <c r="E140" s="51"/>
      <c r="F140" s="51"/>
      <c r="G140" s="51" t="str">
        <f>IFERROR(__xludf.DUMMYFUNCTION("""COMPUTED_VALUE"""),"#VALUE!")</f>
        <v>#VALUE!</v>
      </c>
      <c r="H140" s="51" t="str">
        <f>IFERROR(__xludf.DUMMYFUNCTION("""COMPUTED_VALUE"""),"")</f>
        <v/>
      </c>
      <c r="I140" s="51" t="str">
        <f>IFERROR(__xludf.DUMMYFUNCTION("""COMPUTED_VALUE"""),"#VALUE!")</f>
        <v>#VALUE!</v>
      </c>
      <c r="J140" s="51" t="str">
        <f>IFERROR(__xludf.DUMMYFUNCTION("""COMPUTED_VALUE"""),"")</f>
        <v/>
      </c>
      <c r="K140" s="51"/>
      <c r="L140" s="51" t="s">
        <v>257</v>
      </c>
      <c r="M140" s="51"/>
      <c r="N140" s="51"/>
      <c r="O140" s="51"/>
      <c r="P140" s="51"/>
      <c r="Q140" s="51"/>
      <c r="R140" s="51"/>
      <c r="S140" s="51"/>
      <c r="T140" s="51"/>
    </row>
    <row r="141">
      <c r="A141" s="51"/>
      <c r="B141" s="51"/>
      <c r="C141" s="56"/>
      <c r="D141" s="51"/>
      <c r="E141" s="51"/>
      <c r="F141" s="51"/>
      <c r="G141" s="51" t="str">
        <f>IFERROR(__xludf.DUMMYFUNCTION("""COMPUTED_VALUE"""),"#VALUE!")</f>
        <v>#VALUE!</v>
      </c>
      <c r="H141" s="51" t="str">
        <f>IFERROR(__xludf.DUMMYFUNCTION("""COMPUTED_VALUE"""),"")</f>
        <v/>
      </c>
      <c r="I141" s="51" t="str">
        <f>IFERROR(__xludf.DUMMYFUNCTION("""COMPUTED_VALUE"""),"#VALUE!")</f>
        <v>#VALUE!</v>
      </c>
      <c r="J141" s="51" t="str">
        <f>IFERROR(__xludf.DUMMYFUNCTION("""COMPUTED_VALUE"""),"")</f>
        <v/>
      </c>
      <c r="K141" s="51"/>
      <c r="L141" s="51" t="s">
        <v>257</v>
      </c>
      <c r="M141" s="51"/>
      <c r="N141" s="51"/>
      <c r="O141" s="51"/>
      <c r="P141" s="51"/>
      <c r="Q141" s="51"/>
      <c r="R141" s="51"/>
      <c r="S141" s="51"/>
      <c r="T141" s="51"/>
    </row>
    <row r="142">
      <c r="A142" s="51"/>
      <c r="B142" s="51"/>
      <c r="C142" s="56"/>
      <c r="D142" s="51"/>
      <c r="E142" s="51"/>
      <c r="F142" s="51"/>
      <c r="G142" s="51" t="str">
        <f>IFERROR(__xludf.DUMMYFUNCTION("""COMPUTED_VALUE"""),"#VALUE!")</f>
        <v>#VALUE!</v>
      </c>
      <c r="H142" s="51" t="str">
        <f>IFERROR(__xludf.DUMMYFUNCTION("""COMPUTED_VALUE"""),"")</f>
        <v/>
      </c>
      <c r="I142" s="51" t="str">
        <f>IFERROR(__xludf.DUMMYFUNCTION("""COMPUTED_VALUE"""),"#VALUE!")</f>
        <v>#VALUE!</v>
      </c>
      <c r="J142" s="51" t="str">
        <f>IFERROR(__xludf.DUMMYFUNCTION("""COMPUTED_VALUE"""),"")</f>
        <v/>
      </c>
      <c r="K142" s="51"/>
      <c r="L142" s="51" t="s">
        <v>257</v>
      </c>
      <c r="M142" s="51"/>
      <c r="N142" s="51"/>
      <c r="O142" s="51"/>
      <c r="P142" s="51"/>
      <c r="Q142" s="51"/>
      <c r="R142" s="51"/>
      <c r="S142" s="51"/>
      <c r="T142" s="51"/>
    </row>
    <row r="143">
      <c r="A143" s="51"/>
      <c r="B143" s="51"/>
      <c r="C143" s="56"/>
      <c r="D143" s="51"/>
      <c r="E143" s="51"/>
      <c r="F143" s="51"/>
      <c r="G143" s="51" t="str">
        <f>IFERROR(__xludf.DUMMYFUNCTION("""COMPUTED_VALUE"""),"#VALUE!")</f>
        <v>#VALUE!</v>
      </c>
      <c r="H143" s="51" t="str">
        <f>IFERROR(__xludf.DUMMYFUNCTION("""COMPUTED_VALUE"""),"")</f>
        <v/>
      </c>
      <c r="I143" s="51" t="str">
        <f>IFERROR(__xludf.DUMMYFUNCTION("""COMPUTED_VALUE"""),"#VALUE!")</f>
        <v>#VALUE!</v>
      </c>
      <c r="J143" s="51" t="str">
        <f>IFERROR(__xludf.DUMMYFUNCTION("""COMPUTED_VALUE"""),"")</f>
        <v/>
      </c>
      <c r="K143" s="51"/>
      <c r="L143" s="51" t="s">
        <v>257</v>
      </c>
      <c r="M143" s="51"/>
      <c r="N143" s="51"/>
      <c r="O143" s="51"/>
      <c r="P143" s="51"/>
      <c r="Q143" s="51"/>
      <c r="R143" s="51"/>
      <c r="S143" s="51"/>
      <c r="T143" s="51"/>
    </row>
    <row r="144">
      <c r="A144" s="51"/>
      <c r="B144" s="51"/>
      <c r="C144" s="56"/>
      <c r="D144" s="51"/>
      <c r="E144" s="51"/>
      <c r="F144" s="51"/>
      <c r="G144" s="51" t="str">
        <f>IFERROR(__xludf.DUMMYFUNCTION("""COMPUTED_VALUE"""),"#VALUE!")</f>
        <v>#VALUE!</v>
      </c>
      <c r="H144" s="51" t="str">
        <f>IFERROR(__xludf.DUMMYFUNCTION("""COMPUTED_VALUE"""),"")</f>
        <v/>
      </c>
      <c r="I144" s="51" t="str">
        <f>IFERROR(__xludf.DUMMYFUNCTION("""COMPUTED_VALUE"""),"#VALUE!")</f>
        <v>#VALUE!</v>
      </c>
      <c r="J144" s="51" t="str">
        <f>IFERROR(__xludf.DUMMYFUNCTION("""COMPUTED_VALUE"""),"")</f>
        <v/>
      </c>
      <c r="K144" s="51"/>
      <c r="L144" s="51" t="s">
        <v>257</v>
      </c>
      <c r="M144" s="51"/>
      <c r="N144" s="51"/>
      <c r="O144" s="51"/>
      <c r="P144" s="51"/>
      <c r="Q144" s="51"/>
      <c r="R144" s="51"/>
      <c r="S144" s="51"/>
      <c r="T144" s="51"/>
    </row>
    <row r="145">
      <c r="A145" s="51"/>
      <c r="B145" s="51"/>
      <c r="C145" s="56"/>
      <c r="D145" s="51"/>
      <c r="E145" s="51"/>
      <c r="F145" s="51"/>
      <c r="G145" s="51" t="str">
        <f>IFERROR(__xludf.DUMMYFUNCTION("""COMPUTED_VALUE"""),"#VALUE!")</f>
        <v>#VALUE!</v>
      </c>
      <c r="H145" s="51" t="str">
        <f>IFERROR(__xludf.DUMMYFUNCTION("""COMPUTED_VALUE"""),"")</f>
        <v/>
      </c>
      <c r="I145" s="51" t="str">
        <f>IFERROR(__xludf.DUMMYFUNCTION("""COMPUTED_VALUE"""),"#VALUE!")</f>
        <v>#VALUE!</v>
      </c>
      <c r="J145" s="51" t="str">
        <f>IFERROR(__xludf.DUMMYFUNCTION("""COMPUTED_VALUE"""),"")</f>
        <v/>
      </c>
      <c r="K145" s="51"/>
      <c r="L145" s="51" t="s">
        <v>257</v>
      </c>
      <c r="M145" s="51"/>
      <c r="N145" s="51"/>
      <c r="O145" s="51"/>
      <c r="P145" s="51"/>
      <c r="Q145" s="51"/>
      <c r="R145" s="51"/>
      <c r="S145" s="51"/>
      <c r="T145" s="51"/>
    </row>
    <row r="146">
      <c r="A146" s="51"/>
      <c r="B146" s="51"/>
      <c r="C146" s="56"/>
      <c r="D146" s="51"/>
      <c r="E146" s="51"/>
      <c r="F146" s="51"/>
      <c r="G146" s="51" t="str">
        <f>IFERROR(__xludf.DUMMYFUNCTION("""COMPUTED_VALUE"""),"#VALUE!")</f>
        <v>#VALUE!</v>
      </c>
      <c r="H146" s="51" t="str">
        <f>IFERROR(__xludf.DUMMYFUNCTION("""COMPUTED_VALUE"""),"")</f>
        <v/>
      </c>
      <c r="I146" s="51" t="str">
        <f>IFERROR(__xludf.DUMMYFUNCTION("""COMPUTED_VALUE"""),"#VALUE!")</f>
        <v>#VALUE!</v>
      </c>
      <c r="J146" s="51" t="str">
        <f>IFERROR(__xludf.DUMMYFUNCTION("""COMPUTED_VALUE"""),"")</f>
        <v/>
      </c>
      <c r="K146" s="51"/>
      <c r="L146" s="51" t="s">
        <v>257</v>
      </c>
      <c r="M146" s="51"/>
      <c r="N146" s="51"/>
      <c r="O146" s="51"/>
      <c r="P146" s="51"/>
      <c r="Q146" s="51"/>
      <c r="R146" s="51"/>
      <c r="S146" s="51"/>
      <c r="T146" s="51"/>
    </row>
    <row r="147">
      <c r="A147" s="51"/>
      <c r="B147" s="51"/>
      <c r="C147" s="56"/>
      <c r="D147" s="51"/>
      <c r="E147" s="51"/>
      <c r="F147" s="51"/>
      <c r="G147" s="51" t="str">
        <f>IFERROR(__xludf.DUMMYFUNCTION("""COMPUTED_VALUE"""),"#VALUE!")</f>
        <v>#VALUE!</v>
      </c>
      <c r="H147" s="51" t="str">
        <f>IFERROR(__xludf.DUMMYFUNCTION("""COMPUTED_VALUE"""),"")</f>
        <v/>
      </c>
      <c r="I147" s="51" t="str">
        <f>IFERROR(__xludf.DUMMYFUNCTION("""COMPUTED_VALUE"""),"#VALUE!")</f>
        <v>#VALUE!</v>
      </c>
      <c r="J147" s="51" t="str">
        <f>IFERROR(__xludf.DUMMYFUNCTION("""COMPUTED_VALUE"""),"")</f>
        <v/>
      </c>
      <c r="K147" s="51"/>
      <c r="L147" s="51" t="s">
        <v>257</v>
      </c>
      <c r="M147" s="51"/>
      <c r="N147" s="51"/>
      <c r="O147" s="51"/>
      <c r="P147" s="51"/>
      <c r="Q147" s="51"/>
      <c r="R147" s="51"/>
      <c r="S147" s="51"/>
      <c r="T147" s="51"/>
    </row>
    <row r="148">
      <c r="A148" s="51"/>
      <c r="B148" s="51"/>
      <c r="C148" s="56"/>
      <c r="D148" s="51"/>
      <c r="E148" s="51"/>
      <c r="F148" s="51"/>
      <c r="G148" s="51" t="str">
        <f>IFERROR(__xludf.DUMMYFUNCTION("""COMPUTED_VALUE"""),"#VALUE!")</f>
        <v>#VALUE!</v>
      </c>
      <c r="H148" s="51" t="str">
        <f>IFERROR(__xludf.DUMMYFUNCTION("""COMPUTED_VALUE"""),"")</f>
        <v/>
      </c>
      <c r="I148" s="51" t="str">
        <f>IFERROR(__xludf.DUMMYFUNCTION("""COMPUTED_VALUE"""),"#VALUE!")</f>
        <v>#VALUE!</v>
      </c>
      <c r="J148" s="51" t="str">
        <f>IFERROR(__xludf.DUMMYFUNCTION("""COMPUTED_VALUE"""),"")</f>
        <v/>
      </c>
      <c r="K148" s="51"/>
      <c r="L148" s="51" t="s">
        <v>257</v>
      </c>
      <c r="M148" s="51"/>
      <c r="N148" s="51"/>
      <c r="O148" s="51"/>
      <c r="P148" s="51"/>
      <c r="Q148" s="51"/>
      <c r="R148" s="51"/>
      <c r="S148" s="51"/>
      <c r="T148" s="51"/>
    </row>
    <row r="149">
      <c r="A149" s="51"/>
      <c r="B149" s="51"/>
      <c r="C149" s="56"/>
      <c r="D149" s="51"/>
      <c r="E149" s="51"/>
      <c r="F149" s="51"/>
      <c r="G149" s="51" t="str">
        <f>IFERROR(__xludf.DUMMYFUNCTION("""COMPUTED_VALUE"""),"#VALUE!")</f>
        <v>#VALUE!</v>
      </c>
      <c r="H149" s="51" t="str">
        <f>IFERROR(__xludf.DUMMYFUNCTION("""COMPUTED_VALUE"""),"")</f>
        <v/>
      </c>
      <c r="I149" s="51" t="str">
        <f>IFERROR(__xludf.DUMMYFUNCTION("""COMPUTED_VALUE"""),"#VALUE!")</f>
        <v>#VALUE!</v>
      </c>
      <c r="J149" s="51" t="str">
        <f>IFERROR(__xludf.DUMMYFUNCTION("""COMPUTED_VALUE"""),"")</f>
        <v/>
      </c>
      <c r="K149" s="51"/>
      <c r="L149" s="51" t="s">
        <v>257</v>
      </c>
      <c r="M149" s="51"/>
      <c r="N149" s="51"/>
      <c r="O149" s="51"/>
      <c r="P149" s="51"/>
      <c r="Q149" s="51"/>
      <c r="R149" s="51"/>
      <c r="S149" s="51"/>
      <c r="T149" s="51"/>
    </row>
    <row r="150">
      <c r="A150" s="51"/>
      <c r="B150" s="51"/>
      <c r="C150" s="56"/>
      <c r="D150" s="51"/>
      <c r="E150" s="51"/>
      <c r="F150" s="51"/>
      <c r="G150" s="51" t="str">
        <f>IFERROR(__xludf.DUMMYFUNCTION("""COMPUTED_VALUE"""),"#VALUE!")</f>
        <v>#VALUE!</v>
      </c>
      <c r="H150" s="51" t="str">
        <f>IFERROR(__xludf.DUMMYFUNCTION("""COMPUTED_VALUE"""),"")</f>
        <v/>
      </c>
      <c r="I150" s="51" t="str">
        <f>IFERROR(__xludf.DUMMYFUNCTION("""COMPUTED_VALUE"""),"#VALUE!")</f>
        <v>#VALUE!</v>
      </c>
      <c r="J150" s="51" t="str">
        <f>IFERROR(__xludf.DUMMYFUNCTION("""COMPUTED_VALUE"""),"")</f>
        <v/>
      </c>
      <c r="K150" s="51"/>
      <c r="L150" s="51" t="s">
        <v>257</v>
      </c>
      <c r="M150" s="51"/>
      <c r="N150" s="51"/>
      <c r="O150" s="51"/>
      <c r="P150" s="51"/>
      <c r="Q150" s="51"/>
      <c r="R150" s="51"/>
      <c r="S150" s="51"/>
      <c r="T150" s="51"/>
    </row>
    <row r="151">
      <c r="A151" s="51"/>
      <c r="B151" s="51"/>
      <c r="C151" s="56"/>
      <c r="D151" s="51"/>
      <c r="E151" s="51"/>
      <c r="F151" s="51"/>
      <c r="G151" s="51" t="str">
        <f>IFERROR(__xludf.DUMMYFUNCTION("""COMPUTED_VALUE"""),"#VALUE!")</f>
        <v>#VALUE!</v>
      </c>
      <c r="H151" s="51" t="str">
        <f>IFERROR(__xludf.DUMMYFUNCTION("""COMPUTED_VALUE"""),"")</f>
        <v/>
      </c>
      <c r="I151" s="51" t="str">
        <f>IFERROR(__xludf.DUMMYFUNCTION("""COMPUTED_VALUE"""),"#VALUE!")</f>
        <v>#VALUE!</v>
      </c>
      <c r="J151" s="51" t="str">
        <f>IFERROR(__xludf.DUMMYFUNCTION("""COMPUTED_VALUE"""),"")</f>
        <v/>
      </c>
      <c r="K151" s="51"/>
      <c r="L151" s="51" t="s">
        <v>257</v>
      </c>
      <c r="M151" s="51"/>
      <c r="N151" s="51"/>
      <c r="O151" s="51"/>
      <c r="P151" s="51"/>
      <c r="Q151" s="51"/>
      <c r="R151" s="51"/>
      <c r="S151" s="51"/>
      <c r="T151" s="51"/>
    </row>
    <row r="152">
      <c r="A152" s="51"/>
      <c r="B152" s="51"/>
      <c r="C152" s="56"/>
      <c r="D152" s="51"/>
      <c r="E152" s="51"/>
      <c r="F152" s="51"/>
      <c r="G152" s="51" t="str">
        <f>IFERROR(__xludf.DUMMYFUNCTION("""COMPUTED_VALUE"""),"#VALUE!")</f>
        <v>#VALUE!</v>
      </c>
      <c r="H152" s="51" t="str">
        <f>IFERROR(__xludf.DUMMYFUNCTION("""COMPUTED_VALUE"""),"")</f>
        <v/>
      </c>
      <c r="I152" s="51" t="str">
        <f>IFERROR(__xludf.DUMMYFUNCTION("""COMPUTED_VALUE"""),"#VALUE!")</f>
        <v>#VALUE!</v>
      </c>
      <c r="J152" s="51" t="str">
        <f>IFERROR(__xludf.DUMMYFUNCTION("""COMPUTED_VALUE"""),"")</f>
        <v/>
      </c>
      <c r="K152" s="51"/>
      <c r="L152" s="51" t="s">
        <v>257</v>
      </c>
      <c r="M152" s="51"/>
      <c r="N152" s="51"/>
      <c r="O152" s="51"/>
      <c r="P152" s="51"/>
      <c r="Q152" s="51"/>
      <c r="R152" s="51"/>
      <c r="S152" s="51"/>
      <c r="T152" s="51"/>
    </row>
    <row r="153">
      <c r="A153" s="51"/>
      <c r="B153" s="51"/>
      <c r="C153" s="56"/>
      <c r="D153" s="51"/>
      <c r="E153" s="51"/>
      <c r="F153" s="51"/>
      <c r="G153" s="51" t="str">
        <f>IFERROR(__xludf.DUMMYFUNCTION("""COMPUTED_VALUE"""),"#VALUE!")</f>
        <v>#VALUE!</v>
      </c>
      <c r="H153" s="51" t="str">
        <f>IFERROR(__xludf.DUMMYFUNCTION("""COMPUTED_VALUE"""),"")</f>
        <v/>
      </c>
      <c r="I153" s="51" t="str">
        <f>IFERROR(__xludf.DUMMYFUNCTION("""COMPUTED_VALUE"""),"#VALUE!")</f>
        <v>#VALUE!</v>
      </c>
      <c r="J153" s="51" t="str">
        <f>IFERROR(__xludf.DUMMYFUNCTION("""COMPUTED_VALUE"""),"")</f>
        <v/>
      </c>
      <c r="K153" s="51"/>
      <c r="L153" s="51" t="s">
        <v>257</v>
      </c>
      <c r="M153" s="51"/>
      <c r="N153" s="51"/>
      <c r="O153" s="51"/>
      <c r="P153" s="51"/>
      <c r="Q153" s="51"/>
      <c r="R153" s="51"/>
      <c r="S153" s="51"/>
      <c r="T153" s="51"/>
    </row>
    <row r="154">
      <c r="A154" s="51"/>
      <c r="B154" s="51"/>
      <c r="C154" s="56"/>
      <c r="D154" s="51"/>
      <c r="E154" s="51"/>
      <c r="F154" s="51"/>
      <c r="G154" s="51" t="str">
        <f>IFERROR(__xludf.DUMMYFUNCTION("""COMPUTED_VALUE"""),"#VALUE!")</f>
        <v>#VALUE!</v>
      </c>
      <c r="H154" s="51" t="str">
        <f>IFERROR(__xludf.DUMMYFUNCTION("""COMPUTED_VALUE"""),"")</f>
        <v/>
      </c>
      <c r="I154" s="51" t="str">
        <f>IFERROR(__xludf.DUMMYFUNCTION("""COMPUTED_VALUE"""),"#VALUE!")</f>
        <v>#VALUE!</v>
      </c>
      <c r="J154" s="51" t="str">
        <f>IFERROR(__xludf.DUMMYFUNCTION("""COMPUTED_VALUE"""),"")</f>
        <v/>
      </c>
      <c r="K154" s="51"/>
      <c r="L154" s="51" t="s">
        <v>257</v>
      </c>
      <c r="M154" s="51"/>
      <c r="N154" s="51"/>
      <c r="O154" s="51"/>
      <c r="P154" s="51"/>
      <c r="Q154" s="51"/>
      <c r="R154" s="51"/>
      <c r="S154" s="51"/>
      <c r="T154" s="51"/>
    </row>
    <row r="155">
      <c r="A155" s="51"/>
      <c r="B155" s="51"/>
      <c r="C155" s="56"/>
      <c r="D155" s="51"/>
      <c r="E155" s="51"/>
      <c r="F155" s="51"/>
      <c r="G155" s="51" t="str">
        <f>IFERROR(__xludf.DUMMYFUNCTION("""COMPUTED_VALUE"""),"#VALUE!")</f>
        <v>#VALUE!</v>
      </c>
      <c r="H155" s="51" t="str">
        <f>IFERROR(__xludf.DUMMYFUNCTION("""COMPUTED_VALUE"""),"")</f>
        <v/>
      </c>
      <c r="I155" s="51" t="str">
        <f>IFERROR(__xludf.DUMMYFUNCTION("""COMPUTED_VALUE"""),"#VALUE!")</f>
        <v>#VALUE!</v>
      </c>
      <c r="J155" s="51" t="str">
        <f>IFERROR(__xludf.DUMMYFUNCTION("""COMPUTED_VALUE"""),"")</f>
        <v/>
      </c>
      <c r="K155" s="51"/>
      <c r="L155" s="51" t="s">
        <v>257</v>
      </c>
      <c r="M155" s="51"/>
      <c r="N155" s="51"/>
      <c r="O155" s="51"/>
      <c r="P155" s="51"/>
      <c r="Q155" s="51"/>
      <c r="R155" s="51"/>
      <c r="S155" s="51"/>
      <c r="T155" s="51"/>
    </row>
    <row r="156">
      <c r="A156" s="51"/>
      <c r="B156" s="51"/>
      <c r="C156" s="56"/>
      <c r="D156" s="51"/>
      <c r="E156" s="51"/>
      <c r="F156" s="51"/>
      <c r="G156" s="51" t="str">
        <f>IFERROR(__xludf.DUMMYFUNCTION("""COMPUTED_VALUE"""),"#VALUE!")</f>
        <v>#VALUE!</v>
      </c>
      <c r="H156" s="51" t="str">
        <f>IFERROR(__xludf.DUMMYFUNCTION("""COMPUTED_VALUE"""),"")</f>
        <v/>
      </c>
      <c r="I156" s="51" t="str">
        <f>IFERROR(__xludf.DUMMYFUNCTION("""COMPUTED_VALUE"""),"#VALUE!")</f>
        <v>#VALUE!</v>
      </c>
      <c r="J156" s="51" t="str">
        <f>IFERROR(__xludf.DUMMYFUNCTION("""COMPUTED_VALUE"""),"")</f>
        <v/>
      </c>
      <c r="K156" s="51"/>
      <c r="L156" s="51" t="s">
        <v>257</v>
      </c>
      <c r="M156" s="51"/>
      <c r="N156" s="51"/>
      <c r="O156" s="51"/>
      <c r="P156" s="51"/>
      <c r="Q156" s="51"/>
      <c r="R156" s="51"/>
      <c r="S156" s="51"/>
      <c r="T156" s="51"/>
    </row>
    <row r="157">
      <c r="A157" s="51"/>
      <c r="B157" s="51"/>
      <c r="C157" s="56"/>
      <c r="D157" s="51"/>
      <c r="E157" s="51"/>
      <c r="F157" s="51"/>
      <c r="G157" s="51" t="str">
        <f>IFERROR(__xludf.DUMMYFUNCTION("""COMPUTED_VALUE"""),"#VALUE!")</f>
        <v>#VALUE!</v>
      </c>
      <c r="H157" s="51" t="str">
        <f>IFERROR(__xludf.DUMMYFUNCTION("""COMPUTED_VALUE"""),"")</f>
        <v/>
      </c>
      <c r="I157" s="51" t="str">
        <f>IFERROR(__xludf.DUMMYFUNCTION("""COMPUTED_VALUE"""),"#VALUE!")</f>
        <v>#VALUE!</v>
      </c>
      <c r="J157" s="51" t="str">
        <f>IFERROR(__xludf.DUMMYFUNCTION("""COMPUTED_VALUE"""),"")</f>
        <v/>
      </c>
      <c r="K157" s="51"/>
      <c r="L157" s="51" t="s">
        <v>257</v>
      </c>
      <c r="M157" s="51"/>
      <c r="N157" s="51"/>
      <c r="O157" s="51"/>
      <c r="P157" s="51"/>
      <c r="Q157" s="51"/>
      <c r="R157" s="51"/>
      <c r="S157" s="51"/>
      <c r="T157" s="51"/>
    </row>
    <row r="158">
      <c r="A158" s="51"/>
      <c r="B158" s="51"/>
      <c r="C158" s="56"/>
      <c r="D158" s="51"/>
      <c r="E158" s="51"/>
      <c r="F158" s="51"/>
      <c r="G158" s="51" t="str">
        <f>IFERROR(__xludf.DUMMYFUNCTION("""COMPUTED_VALUE"""),"#VALUE!")</f>
        <v>#VALUE!</v>
      </c>
      <c r="H158" s="51" t="str">
        <f>IFERROR(__xludf.DUMMYFUNCTION("""COMPUTED_VALUE"""),"")</f>
        <v/>
      </c>
      <c r="I158" s="51" t="str">
        <f>IFERROR(__xludf.DUMMYFUNCTION("""COMPUTED_VALUE"""),"#VALUE!")</f>
        <v>#VALUE!</v>
      </c>
      <c r="J158" s="51" t="str">
        <f>IFERROR(__xludf.DUMMYFUNCTION("""COMPUTED_VALUE"""),"")</f>
        <v/>
      </c>
      <c r="K158" s="51"/>
      <c r="L158" s="51" t="s">
        <v>257</v>
      </c>
      <c r="M158" s="51"/>
      <c r="N158" s="51"/>
      <c r="O158" s="51"/>
      <c r="P158" s="51"/>
      <c r="Q158" s="51"/>
      <c r="R158" s="51"/>
      <c r="S158" s="51"/>
      <c r="T158" s="51"/>
    </row>
    <row r="159">
      <c r="A159" s="51"/>
      <c r="B159" s="51"/>
      <c r="C159" s="56"/>
      <c r="D159" s="51"/>
      <c r="E159" s="51"/>
      <c r="F159" s="51"/>
      <c r="G159" s="51" t="str">
        <f>IFERROR(__xludf.DUMMYFUNCTION("""COMPUTED_VALUE"""),"#VALUE!")</f>
        <v>#VALUE!</v>
      </c>
      <c r="H159" s="51" t="str">
        <f>IFERROR(__xludf.DUMMYFUNCTION("""COMPUTED_VALUE"""),"")</f>
        <v/>
      </c>
      <c r="I159" s="51" t="str">
        <f>IFERROR(__xludf.DUMMYFUNCTION("""COMPUTED_VALUE"""),"#VALUE!")</f>
        <v>#VALUE!</v>
      </c>
      <c r="J159" s="51" t="str">
        <f>IFERROR(__xludf.DUMMYFUNCTION("""COMPUTED_VALUE"""),"")</f>
        <v/>
      </c>
      <c r="K159" s="51"/>
      <c r="L159" s="51" t="s">
        <v>257</v>
      </c>
      <c r="M159" s="51"/>
      <c r="N159" s="51"/>
      <c r="O159" s="51"/>
      <c r="P159" s="51"/>
      <c r="Q159" s="51"/>
      <c r="R159" s="51"/>
      <c r="S159" s="51"/>
      <c r="T159" s="51"/>
    </row>
    <row r="160">
      <c r="A160" s="51"/>
      <c r="B160" s="51"/>
      <c r="C160" s="56"/>
      <c r="D160" s="51"/>
      <c r="E160" s="51"/>
      <c r="F160" s="51"/>
      <c r="G160" s="51" t="str">
        <f>IFERROR(__xludf.DUMMYFUNCTION("""COMPUTED_VALUE"""),"#VALUE!")</f>
        <v>#VALUE!</v>
      </c>
      <c r="H160" s="51" t="str">
        <f>IFERROR(__xludf.DUMMYFUNCTION("""COMPUTED_VALUE"""),"")</f>
        <v/>
      </c>
      <c r="I160" s="51" t="str">
        <f>IFERROR(__xludf.DUMMYFUNCTION("""COMPUTED_VALUE"""),"#VALUE!")</f>
        <v>#VALUE!</v>
      </c>
      <c r="J160" s="51" t="str">
        <f>IFERROR(__xludf.DUMMYFUNCTION("""COMPUTED_VALUE"""),"")</f>
        <v/>
      </c>
      <c r="K160" s="51"/>
      <c r="L160" s="51" t="s">
        <v>257</v>
      </c>
      <c r="M160" s="51"/>
      <c r="N160" s="51"/>
      <c r="O160" s="51"/>
      <c r="P160" s="51"/>
      <c r="Q160" s="51"/>
      <c r="R160" s="51"/>
      <c r="S160" s="51"/>
      <c r="T160" s="51"/>
    </row>
    <row r="161">
      <c r="A161" s="51"/>
      <c r="B161" s="51"/>
      <c r="C161" s="56"/>
      <c r="D161" s="51"/>
      <c r="E161" s="51"/>
      <c r="F161" s="51"/>
      <c r="G161" s="51" t="str">
        <f>IFERROR(__xludf.DUMMYFUNCTION("""COMPUTED_VALUE"""),"#VALUE!")</f>
        <v>#VALUE!</v>
      </c>
      <c r="H161" s="51" t="str">
        <f>IFERROR(__xludf.DUMMYFUNCTION("""COMPUTED_VALUE"""),"")</f>
        <v/>
      </c>
      <c r="I161" s="51" t="str">
        <f>IFERROR(__xludf.DUMMYFUNCTION("""COMPUTED_VALUE"""),"#VALUE!")</f>
        <v>#VALUE!</v>
      </c>
      <c r="J161" s="51" t="str">
        <f>IFERROR(__xludf.DUMMYFUNCTION("""COMPUTED_VALUE"""),"")</f>
        <v/>
      </c>
      <c r="K161" s="51"/>
      <c r="L161" s="51" t="s">
        <v>257</v>
      </c>
      <c r="M161" s="51"/>
      <c r="N161" s="51"/>
      <c r="O161" s="51"/>
      <c r="P161" s="51"/>
      <c r="Q161" s="51"/>
      <c r="R161" s="51"/>
      <c r="S161" s="51"/>
      <c r="T161" s="51"/>
    </row>
    <row r="162">
      <c r="A162" s="51"/>
      <c r="B162" s="51"/>
      <c r="C162" s="56"/>
      <c r="D162" s="51"/>
      <c r="E162" s="51"/>
      <c r="F162" s="51"/>
      <c r="G162" s="51" t="str">
        <f>IFERROR(__xludf.DUMMYFUNCTION("""COMPUTED_VALUE"""),"#VALUE!")</f>
        <v>#VALUE!</v>
      </c>
      <c r="H162" s="51" t="str">
        <f>IFERROR(__xludf.DUMMYFUNCTION("""COMPUTED_VALUE"""),"")</f>
        <v/>
      </c>
      <c r="I162" s="51" t="str">
        <f>IFERROR(__xludf.DUMMYFUNCTION("""COMPUTED_VALUE"""),"#VALUE!")</f>
        <v>#VALUE!</v>
      </c>
      <c r="J162" s="51" t="str">
        <f>IFERROR(__xludf.DUMMYFUNCTION("""COMPUTED_VALUE"""),"")</f>
        <v/>
      </c>
      <c r="K162" s="51"/>
      <c r="L162" s="51" t="s">
        <v>257</v>
      </c>
      <c r="M162" s="51"/>
      <c r="N162" s="51"/>
      <c r="O162" s="51"/>
      <c r="P162" s="51"/>
      <c r="Q162" s="51"/>
      <c r="R162" s="51"/>
      <c r="S162" s="51"/>
      <c r="T162" s="51"/>
    </row>
    <row r="163">
      <c r="A163" s="51"/>
      <c r="B163" s="51"/>
      <c r="C163" s="56"/>
      <c r="D163" s="51"/>
      <c r="E163" s="51"/>
      <c r="F163" s="51"/>
      <c r="G163" s="51" t="str">
        <f>IFERROR(__xludf.DUMMYFUNCTION("""COMPUTED_VALUE"""),"#VALUE!")</f>
        <v>#VALUE!</v>
      </c>
      <c r="H163" s="51" t="str">
        <f>IFERROR(__xludf.DUMMYFUNCTION("""COMPUTED_VALUE"""),"")</f>
        <v/>
      </c>
      <c r="I163" s="51" t="str">
        <f>IFERROR(__xludf.DUMMYFUNCTION("""COMPUTED_VALUE"""),"#VALUE!")</f>
        <v>#VALUE!</v>
      </c>
      <c r="J163" s="51" t="str">
        <f>IFERROR(__xludf.DUMMYFUNCTION("""COMPUTED_VALUE"""),"")</f>
        <v/>
      </c>
      <c r="K163" s="51"/>
      <c r="L163" s="51" t="s">
        <v>257</v>
      </c>
      <c r="M163" s="51"/>
      <c r="N163" s="51"/>
      <c r="O163" s="51"/>
      <c r="P163" s="51"/>
      <c r="Q163" s="51"/>
      <c r="R163" s="51"/>
      <c r="S163" s="51"/>
      <c r="T163" s="51"/>
    </row>
    <row r="164">
      <c r="A164" s="51"/>
      <c r="B164" s="51"/>
      <c r="C164" s="56"/>
      <c r="D164" s="51"/>
      <c r="E164" s="51"/>
      <c r="F164" s="51"/>
      <c r="G164" s="51" t="str">
        <f>IFERROR(__xludf.DUMMYFUNCTION("""COMPUTED_VALUE"""),"#VALUE!")</f>
        <v>#VALUE!</v>
      </c>
      <c r="H164" s="51" t="str">
        <f>IFERROR(__xludf.DUMMYFUNCTION("""COMPUTED_VALUE"""),"")</f>
        <v/>
      </c>
      <c r="I164" s="51" t="str">
        <f>IFERROR(__xludf.DUMMYFUNCTION("""COMPUTED_VALUE"""),"#VALUE!")</f>
        <v>#VALUE!</v>
      </c>
      <c r="J164" s="51" t="str">
        <f>IFERROR(__xludf.DUMMYFUNCTION("""COMPUTED_VALUE"""),"")</f>
        <v/>
      </c>
      <c r="K164" s="51"/>
      <c r="L164" s="51" t="s">
        <v>257</v>
      </c>
      <c r="M164" s="51"/>
      <c r="N164" s="51"/>
      <c r="O164" s="51"/>
      <c r="P164" s="51"/>
      <c r="Q164" s="51"/>
      <c r="R164" s="51"/>
      <c r="S164" s="51"/>
      <c r="T164" s="51"/>
    </row>
    <row r="165">
      <c r="A165" s="51"/>
      <c r="B165" s="51"/>
      <c r="C165" s="56"/>
      <c r="D165" s="51"/>
      <c r="E165" s="51"/>
      <c r="F165" s="51"/>
      <c r="G165" s="51" t="str">
        <f>IFERROR(__xludf.DUMMYFUNCTION("""COMPUTED_VALUE"""),"#VALUE!")</f>
        <v>#VALUE!</v>
      </c>
      <c r="H165" s="51" t="str">
        <f>IFERROR(__xludf.DUMMYFUNCTION("""COMPUTED_VALUE"""),"")</f>
        <v/>
      </c>
      <c r="I165" s="51" t="str">
        <f>IFERROR(__xludf.DUMMYFUNCTION("""COMPUTED_VALUE"""),"#VALUE!")</f>
        <v>#VALUE!</v>
      </c>
      <c r="J165" s="51" t="str">
        <f>IFERROR(__xludf.DUMMYFUNCTION("""COMPUTED_VALUE"""),"")</f>
        <v/>
      </c>
      <c r="K165" s="51"/>
      <c r="L165" s="51" t="s">
        <v>257</v>
      </c>
      <c r="M165" s="51"/>
      <c r="N165" s="51"/>
      <c r="O165" s="51"/>
      <c r="P165" s="51"/>
      <c r="Q165" s="51"/>
      <c r="R165" s="51"/>
      <c r="S165" s="51"/>
      <c r="T165" s="51"/>
    </row>
    <row r="166">
      <c r="A166" s="51"/>
      <c r="B166" s="51"/>
      <c r="C166" s="56"/>
      <c r="D166" s="51"/>
      <c r="E166" s="51"/>
      <c r="F166" s="51"/>
      <c r="G166" s="51" t="str">
        <f>IFERROR(__xludf.DUMMYFUNCTION("""COMPUTED_VALUE"""),"#VALUE!")</f>
        <v>#VALUE!</v>
      </c>
      <c r="H166" s="51" t="str">
        <f>IFERROR(__xludf.DUMMYFUNCTION("""COMPUTED_VALUE"""),"")</f>
        <v/>
      </c>
      <c r="I166" s="51" t="str">
        <f>IFERROR(__xludf.DUMMYFUNCTION("""COMPUTED_VALUE"""),"#VALUE!")</f>
        <v>#VALUE!</v>
      </c>
      <c r="J166" s="51" t="str">
        <f>IFERROR(__xludf.DUMMYFUNCTION("""COMPUTED_VALUE"""),"")</f>
        <v/>
      </c>
      <c r="K166" s="51"/>
      <c r="L166" s="51" t="s">
        <v>257</v>
      </c>
      <c r="M166" s="51"/>
      <c r="N166" s="51"/>
      <c r="O166" s="51"/>
      <c r="P166" s="51"/>
      <c r="Q166" s="51"/>
      <c r="R166" s="51"/>
      <c r="S166" s="51"/>
      <c r="T166" s="51"/>
    </row>
    <row r="167">
      <c r="A167" s="51"/>
      <c r="B167" s="51"/>
      <c r="C167" s="56"/>
      <c r="D167" s="51"/>
      <c r="E167" s="51"/>
      <c r="F167" s="51"/>
      <c r="G167" s="51" t="str">
        <f>IFERROR(__xludf.DUMMYFUNCTION("""COMPUTED_VALUE"""),"#VALUE!")</f>
        <v>#VALUE!</v>
      </c>
      <c r="H167" s="51" t="str">
        <f>IFERROR(__xludf.DUMMYFUNCTION("""COMPUTED_VALUE"""),"")</f>
        <v/>
      </c>
      <c r="I167" s="51" t="str">
        <f>IFERROR(__xludf.DUMMYFUNCTION("""COMPUTED_VALUE"""),"#VALUE!")</f>
        <v>#VALUE!</v>
      </c>
      <c r="J167" s="51" t="str">
        <f>IFERROR(__xludf.DUMMYFUNCTION("""COMPUTED_VALUE"""),"")</f>
        <v/>
      </c>
      <c r="K167" s="51"/>
      <c r="L167" s="51" t="s">
        <v>257</v>
      </c>
      <c r="M167" s="51"/>
      <c r="N167" s="51"/>
      <c r="O167" s="51"/>
      <c r="P167" s="51"/>
      <c r="Q167" s="51"/>
      <c r="R167" s="51"/>
      <c r="S167" s="51"/>
      <c r="T167" s="51"/>
    </row>
    <row r="168">
      <c r="A168" s="51"/>
      <c r="B168" s="51"/>
      <c r="C168" s="56"/>
      <c r="D168" s="51"/>
      <c r="E168" s="51"/>
      <c r="F168" s="51"/>
      <c r="G168" s="51" t="str">
        <f>IFERROR(__xludf.DUMMYFUNCTION("""COMPUTED_VALUE"""),"#VALUE!")</f>
        <v>#VALUE!</v>
      </c>
      <c r="H168" s="51" t="str">
        <f>IFERROR(__xludf.DUMMYFUNCTION("""COMPUTED_VALUE"""),"")</f>
        <v/>
      </c>
      <c r="I168" s="51" t="str">
        <f>IFERROR(__xludf.DUMMYFUNCTION("""COMPUTED_VALUE"""),"#VALUE!")</f>
        <v>#VALUE!</v>
      </c>
      <c r="J168" s="51" t="str">
        <f>IFERROR(__xludf.DUMMYFUNCTION("""COMPUTED_VALUE"""),"")</f>
        <v/>
      </c>
      <c r="K168" s="51"/>
      <c r="L168" s="51" t="s">
        <v>257</v>
      </c>
      <c r="M168" s="51"/>
      <c r="N168" s="51"/>
      <c r="O168" s="51"/>
      <c r="P168" s="51"/>
      <c r="Q168" s="51"/>
      <c r="R168" s="51"/>
      <c r="S168" s="51"/>
      <c r="T168" s="51"/>
    </row>
    <row r="169">
      <c r="A169" s="51"/>
      <c r="B169" s="51"/>
      <c r="C169" s="56"/>
      <c r="D169" s="51"/>
      <c r="E169" s="51"/>
      <c r="F169" s="51"/>
      <c r="G169" s="51" t="str">
        <f>IFERROR(__xludf.DUMMYFUNCTION("""COMPUTED_VALUE"""),"#VALUE!")</f>
        <v>#VALUE!</v>
      </c>
      <c r="H169" s="51" t="str">
        <f>IFERROR(__xludf.DUMMYFUNCTION("""COMPUTED_VALUE"""),"")</f>
        <v/>
      </c>
      <c r="I169" s="51" t="str">
        <f>IFERROR(__xludf.DUMMYFUNCTION("""COMPUTED_VALUE"""),"#VALUE!")</f>
        <v>#VALUE!</v>
      </c>
      <c r="J169" s="51" t="str">
        <f>IFERROR(__xludf.DUMMYFUNCTION("""COMPUTED_VALUE"""),"")</f>
        <v/>
      </c>
      <c r="K169" s="51"/>
      <c r="L169" s="51" t="s">
        <v>257</v>
      </c>
      <c r="M169" s="51"/>
      <c r="N169" s="51"/>
      <c r="O169" s="51"/>
      <c r="P169" s="51"/>
      <c r="Q169" s="51"/>
      <c r="R169" s="51"/>
      <c r="S169" s="51"/>
      <c r="T169" s="51"/>
    </row>
    <row r="170">
      <c r="A170" s="51"/>
      <c r="B170" s="51"/>
      <c r="C170" s="56"/>
      <c r="D170" s="51"/>
      <c r="E170" s="51"/>
      <c r="F170" s="51"/>
      <c r="G170" s="51" t="str">
        <f>IFERROR(__xludf.DUMMYFUNCTION("""COMPUTED_VALUE"""),"#VALUE!")</f>
        <v>#VALUE!</v>
      </c>
      <c r="H170" s="51" t="str">
        <f>IFERROR(__xludf.DUMMYFUNCTION("""COMPUTED_VALUE"""),"")</f>
        <v/>
      </c>
      <c r="I170" s="51" t="str">
        <f>IFERROR(__xludf.DUMMYFUNCTION("""COMPUTED_VALUE"""),"#VALUE!")</f>
        <v>#VALUE!</v>
      </c>
      <c r="J170" s="51" t="str">
        <f>IFERROR(__xludf.DUMMYFUNCTION("""COMPUTED_VALUE"""),"")</f>
        <v/>
      </c>
      <c r="K170" s="51"/>
      <c r="L170" s="51" t="s">
        <v>257</v>
      </c>
      <c r="M170" s="51"/>
      <c r="N170" s="51"/>
      <c r="O170" s="51"/>
      <c r="P170" s="51"/>
      <c r="Q170" s="51"/>
      <c r="R170" s="51"/>
      <c r="S170" s="51"/>
      <c r="T170" s="51"/>
    </row>
    <row r="171">
      <c r="A171" s="51"/>
      <c r="B171" s="51"/>
      <c r="C171" s="56"/>
      <c r="D171" s="51"/>
      <c r="E171" s="51"/>
      <c r="F171" s="51"/>
      <c r="G171" s="51" t="str">
        <f>IFERROR(__xludf.DUMMYFUNCTION("""COMPUTED_VALUE"""),"#VALUE!")</f>
        <v>#VALUE!</v>
      </c>
      <c r="H171" s="51" t="str">
        <f>IFERROR(__xludf.DUMMYFUNCTION("""COMPUTED_VALUE"""),"")</f>
        <v/>
      </c>
      <c r="I171" s="51" t="str">
        <f>IFERROR(__xludf.DUMMYFUNCTION("""COMPUTED_VALUE"""),"#VALUE!")</f>
        <v>#VALUE!</v>
      </c>
      <c r="J171" s="51" t="str">
        <f>IFERROR(__xludf.DUMMYFUNCTION("""COMPUTED_VALUE"""),"")</f>
        <v/>
      </c>
      <c r="K171" s="51"/>
      <c r="L171" s="51" t="s">
        <v>257</v>
      </c>
      <c r="M171" s="51"/>
      <c r="N171" s="51"/>
      <c r="O171" s="51"/>
      <c r="P171" s="51"/>
      <c r="Q171" s="51"/>
      <c r="R171" s="51"/>
      <c r="S171" s="51"/>
      <c r="T171" s="51"/>
    </row>
    <row r="172">
      <c r="A172" s="51"/>
      <c r="B172" s="51"/>
      <c r="C172" s="56"/>
      <c r="D172" s="51"/>
      <c r="E172" s="51"/>
      <c r="F172" s="51"/>
      <c r="G172" s="51" t="str">
        <f>IFERROR(__xludf.DUMMYFUNCTION("""COMPUTED_VALUE"""),"#VALUE!")</f>
        <v>#VALUE!</v>
      </c>
      <c r="H172" s="51" t="str">
        <f>IFERROR(__xludf.DUMMYFUNCTION("""COMPUTED_VALUE"""),"")</f>
        <v/>
      </c>
      <c r="I172" s="51" t="str">
        <f>IFERROR(__xludf.DUMMYFUNCTION("""COMPUTED_VALUE"""),"#VALUE!")</f>
        <v>#VALUE!</v>
      </c>
      <c r="J172" s="51" t="str">
        <f>IFERROR(__xludf.DUMMYFUNCTION("""COMPUTED_VALUE"""),"")</f>
        <v/>
      </c>
      <c r="K172" s="51"/>
      <c r="L172" s="51" t="s">
        <v>257</v>
      </c>
      <c r="M172" s="51"/>
      <c r="N172" s="51"/>
      <c r="O172" s="51"/>
      <c r="P172" s="51"/>
      <c r="Q172" s="51"/>
      <c r="R172" s="51"/>
      <c r="S172" s="51"/>
      <c r="T172" s="51"/>
    </row>
    <row r="173">
      <c r="A173" s="51"/>
      <c r="B173" s="51"/>
      <c r="C173" s="56"/>
      <c r="D173" s="51"/>
      <c r="E173" s="51"/>
      <c r="F173" s="51"/>
      <c r="G173" s="51" t="str">
        <f>IFERROR(__xludf.DUMMYFUNCTION("""COMPUTED_VALUE"""),"#VALUE!")</f>
        <v>#VALUE!</v>
      </c>
      <c r="H173" s="51" t="str">
        <f>IFERROR(__xludf.DUMMYFUNCTION("""COMPUTED_VALUE"""),"")</f>
        <v/>
      </c>
      <c r="I173" s="51" t="str">
        <f>IFERROR(__xludf.DUMMYFUNCTION("""COMPUTED_VALUE"""),"#VALUE!")</f>
        <v>#VALUE!</v>
      </c>
      <c r="J173" s="51" t="str">
        <f>IFERROR(__xludf.DUMMYFUNCTION("""COMPUTED_VALUE"""),"")</f>
        <v/>
      </c>
      <c r="K173" s="51"/>
      <c r="L173" s="51" t="s">
        <v>257</v>
      </c>
      <c r="M173" s="51"/>
      <c r="N173" s="51"/>
      <c r="O173" s="51"/>
      <c r="P173" s="51"/>
      <c r="Q173" s="51"/>
      <c r="R173" s="51"/>
      <c r="S173" s="51"/>
      <c r="T173" s="51"/>
    </row>
    <row r="174">
      <c r="A174" s="51"/>
      <c r="B174" s="51"/>
      <c r="C174" s="56"/>
      <c r="D174" s="51"/>
      <c r="E174" s="51"/>
      <c r="F174" s="51"/>
      <c r="G174" s="51" t="str">
        <f>IFERROR(__xludf.DUMMYFUNCTION("""COMPUTED_VALUE"""),"#VALUE!")</f>
        <v>#VALUE!</v>
      </c>
      <c r="H174" s="51" t="str">
        <f>IFERROR(__xludf.DUMMYFUNCTION("""COMPUTED_VALUE"""),"")</f>
        <v/>
      </c>
      <c r="I174" s="51" t="str">
        <f>IFERROR(__xludf.DUMMYFUNCTION("""COMPUTED_VALUE"""),"#VALUE!")</f>
        <v>#VALUE!</v>
      </c>
      <c r="J174" s="51" t="str">
        <f>IFERROR(__xludf.DUMMYFUNCTION("""COMPUTED_VALUE"""),"")</f>
        <v/>
      </c>
      <c r="K174" s="51"/>
      <c r="L174" s="51" t="s">
        <v>257</v>
      </c>
      <c r="M174" s="51"/>
      <c r="N174" s="51"/>
      <c r="O174" s="51"/>
      <c r="P174" s="51"/>
      <c r="Q174" s="51"/>
      <c r="R174" s="51"/>
      <c r="S174" s="51"/>
      <c r="T174" s="51"/>
    </row>
    <row r="175">
      <c r="A175" s="51"/>
      <c r="B175" s="51"/>
      <c r="C175" s="56"/>
      <c r="D175" s="51"/>
      <c r="E175" s="51"/>
      <c r="F175" s="51"/>
      <c r="G175" s="51" t="str">
        <f>IFERROR(__xludf.DUMMYFUNCTION("""COMPUTED_VALUE"""),"#VALUE!")</f>
        <v>#VALUE!</v>
      </c>
      <c r="H175" s="51" t="str">
        <f>IFERROR(__xludf.DUMMYFUNCTION("""COMPUTED_VALUE"""),"")</f>
        <v/>
      </c>
      <c r="I175" s="51" t="str">
        <f>IFERROR(__xludf.DUMMYFUNCTION("""COMPUTED_VALUE"""),"#VALUE!")</f>
        <v>#VALUE!</v>
      </c>
      <c r="J175" s="51" t="str">
        <f>IFERROR(__xludf.DUMMYFUNCTION("""COMPUTED_VALUE"""),"")</f>
        <v/>
      </c>
      <c r="K175" s="51"/>
      <c r="L175" s="51" t="s">
        <v>257</v>
      </c>
      <c r="M175" s="51"/>
      <c r="N175" s="51"/>
      <c r="O175" s="51"/>
      <c r="P175" s="51"/>
      <c r="Q175" s="51"/>
      <c r="R175" s="51"/>
      <c r="S175" s="51"/>
      <c r="T175" s="51"/>
    </row>
    <row r="176">
      <c r="A176" s="51"/>
      <c r="B176" s="51"/>
      <c r="C176" s="56"/>
      <c r="D176" s="51"/>
      <c r="E176" s="51"/>
      <c r="F176" s="51"/>
      <c r="G176" s="51" t="str">
        <f>IFERROR(__xludf.DUMMYFUNCTION("""COMPUTED_VALUE"""),"#VALUE!")</f>
        <v>#VALUE!</v>
      </c>
      <c r="H176" s="51" t="str">
        <f>IFERROR(__xludf.DUMMYFUNCTION("""COMPUTED_VALUE"""),"")</f>
        <v/>
      </c>
      <c r="I176" s="51" t="str">
        <f>IFERROR(__xludf.DUMMYFUNCTION("""COMPUTED_VALUE"""),"#VALUE!")</f>
        <v>#VALUE!</v>
      </c>
      <c r="J176" s="51" t="str">
        <f>IFERROR(__xludf.DUMMYFUNCTION("""COMPUTED_VALUE"""),"")</f>
        <v/>
      </c>
      <c r="K176" s="51"/>
      <c r="L176" s="51" t="s">
        <v>257</v>
      </c>
      <c r="M176" s="51"/>
      <c r="N176" s="51"/>
      <c r="O176" s="51"/>
      <c r="P176" s="51"/>
      <c r="Q176" s="51"/>
      <c r="R176" s="51"/>
      <c r="S176" s="51"/>
      <c r="T176" s="51"/>
    </row>
    <row r="177">
      <c r="A177" s="51"/>
      <c r="B177" s="51"/>
      <c r="C177" s="56"/>
      <c r="D177" s="51"/>
      <c r="E177" s="51"/>
      <c r="F177" s="51"/>
      <c r="G177" s="51" t="str">
        <f>IFERROR(__xludf.DUMMYFUNCTION("""COMPUTED_VALUE"""),"#VALUE!")</f>
        <v>#VALUE!</v>
      </c>
      <c r="H177" s="51" t="str">
        <f>IFERROR(__xludf.DUMMYFUNCTION("""COMPUTED_VALUE"""),"")</f>
        <v/>
      </c>
      <c r="I177" s="51" t="str">
        <f>IFERROR(__xludf.DUMMYFUNCTION("""COMPUTED_VALUE"""),"#VALUE!")</f>
        <v>#VALUE!</v>
      </c>
      <c r="J177" s="51" t="str">
        <f>IFERROR(__xludf.DUMMYFUNCTION("""COMPUTED_VALUE"""),"")</f>
        <v/>
      </c>
      <c r="K177" s="51"/>
      <c r="L177" s="51" t="s">
        <v>257</v>
      </c>
      <c r="M177" s="51"/>
      <c r="N177" s="51"/>
      <c r="O177" s="51"/>
      <c r="P177" s="51"/>
      <c r="Q177" s="51"/>
      <c r="R177" s="51"/>
      <c r="S177" s="51"/>
      <c r="T177" s="51"/>
    </row>
    <row r="178">
      <c r="A178" s="51"/>
      <c r="B178" s="51"/>
      <c r="C178" s="56"/>
      <c r="D178" s="51"/>
      <c r="E178" s="51"/>
      <c r="F178" s="51"/>
      <c r="G178" s="51" t="str">
        <f>IFERROR(__xludf.DUMMYFUNCTION("""COMPUTED_VALUE"""),"#VALUE!")</f>
        <v>#VALUE!</v>
      </c>
      <c r="H178" s="51" t="str">
        <f>IFERROR(__xludf.DUMMYFUNCTION("""COMPUTED_VALUE"""),"")</f>
        <v/>
      </c>
      <c r="I178" s="51" t="str">
        <f>IFERROR(__xludf.DUMMYFUNCTION("""COMPUTED_VALUE"""),"#VALUE!")</f>
        <v>#VALUE!</v>
      </c>
      <c r="J178" s="51" t="str">
        <f>IFERROR(__xludf.DUMMYFUNCTION("""COMPUTED_VALUE"""),"")</f>
        <v/>
      </c>
      <c r="K178" s="51"/>
      <c r="L178" s="51" t="s">
        <v>257</v>
      </c>
      <c r="M178" s="51"/>
      <c r="N178" s="51"/>
      <c r="O178" s="51"/>
      <c r="P178" s="51"/>
      <c r="Q178" s="51"/>
      <c r="R178" s="51"/>
      <c r="S178" s="51"/>
      <c r="T178" s="51"/>
    </row>
    <row r="179">
      <c r="A179" s="51"/>
      <c r="B179" s="51"/>
      <c r="C179" s="56"/>
      <c r="D179" s="51"/>
      <c r="E179" s="51"/>
      <c r="F179" s="51"/>
      <c r="G179" s="51" t="str">
        <f>IFERROR(__xludf.DUMMYFUNCTION("""COMPUTED_VALUE"""),"#VALUE!")</f>
        <v>#VALUE!</v>
      </c>
      <c r="H179" s="51" t="str">
        <f>IFERROR(__xludf.DUMMYFUNCTION("""COMPUTED_VALUE"""),"")</f>
        <v/>
      </c>
      <c r="I179" s="51" t="str">
        <f>IFERROR(__xludf.DUMMYFUNCTION("""COMPUTED_VALUE"""),"#VALUE!")</f>
        <v>#VALUE!</v>
      </c>
      <c r="J179" s="51" t="str">
        <f>IFERROR(__xludf.DUMMYFUNCTION("""COMPUTED_VALUE"""),"")</f>
        <v/>
      </c>
      <c r="K179" s="51"/>
      <c r="L179" s="51" t="s">
        <v>257</v>
      </c>
      <c r="M179" s="51"/>
      <c r="N179" s="51"/>
      <c r="O179" s="51"/>
      <c r="P179" s="51"/>
      <c r="Q179" s="51"/>
      <c r="R179" s="51"/>
      <c r="S179" s="51"/>
      <c r="T179" s="51"/>
    </row>
    <row r="180">
      <c r="A180" s="51"/>
      <c r="B180" s="51"/>
      <c r="C180" s="56"/>
      <c r="D180" s="51"/>
      <c r="E180" s="51"/>
      <c r="F180" s="51"/>
      <c r="G180" s="51" t="str">
        <f>IFERROR(__xludf.DUMMYFUNCTION("""COMPUTED_VALUE"""),"#VALUE!")</f>
        <v>#VALUE!</v>
      </c>
      <c r="H180" s="51" t="str">
        <f>IFERROR(__xludf.DUMMYFUNCTION("""COMPUTED_VALUE"""),"")</f>
        <v/>
      </c>
      <c r="I180" s="51" t="str">
        <f>IFERROR(__xludf.DUMMYFUNCTION("""COMPUTED_VALUE"""),"#VALUE!")</f>
        <v>#VALUE!</v>
      </c>
      <c r="J180" s="51" t="str">
        <f>IFERROR(__xludf.DUMMYFUNCTION("""COMPUTED_VALUE"""),"")</f>
        <v/>
      </c>
      <c r="K180" s="51"/>
      <c r="L180" s="51" t="s">
        <v>257</v>
      </c>
      <c r="M180" s="51"/>
      <c r="N180" s="51"/>
      <c r="O180" s="51"/>
      <c r="P180" s="51"/>
      <c r="Q180" s="51"/>
      <c r="R180" s="51"/>
      <c r="S180" s="51"/>
      <c r="T180" s="51"/>
    </row>
    <row r="181">
      <c r="A181" s="51"/>
      <c r="B181" s="51"/>
      <c r="C181" s="56"/>
      <c r="D181" s="51"/>
      <c r="E181" s="51"/>
      <c r="F181" s="51"/>
      <c r="G181" s="51" t="str">
        <f>IFERROR(__xludf.DUMMYFUNCTION("""COMPUTED_VALUE"""),"#VALUE!")</f>
        <v>#VALUE!</v>
      </c>
      <c r="H181" s="51" t="str">
        <f>IFERROR(__xludf.DUMMYFUNCTION("""COMPUTED_VALUE"""),"")</f>
        <v/>
      </c>
      <c r="I181" s="51" t="str">
        <f>IFERROR(__xludf.DUMMYFUNCTION("""COMPUTED_VALUE"""),"#VALUE!")</f>
        <v>#VALUE!</v>
      </c>
      <c r="J181" s="51" t="str">
        <f>IFERROR(__xludf.DUMMYFUNCTION("""COMPUTED_VALUE"""),"")</f>
        <v/>
      </c>
      <c r="K181" s="51"/>
      <c r="L181" s="51" t="s">
        <v>257</v>
      </c>
      <c r="M181" s="51"/>
      <c r="N181" s="51"/>
      <c r="O181" s="51"/>
      <c r="P181" s="51"/>
      <c r="Q181" s="51"/>
      <c r="R181" s="51"/>
      <c r="S181" s="51"/>
      <c r="T181" s="51"/>
    </row>
    <row r="182">
      <c r="A182" s="51"/>
      <c r="B182" s="51"/>
      <c r="C182" s="56"/>
      <c r="D182" s="51"/>
      <c r="E182" s="51"/>
      <c r="F182" s="51"/>
      <c r="G182" s="51" t="str">
        <f>IFERROR(__xludf.DUMMYFUNCTION("""COMPUTED_VALUE"""),"#VALUE!")</f>
        <v>#VALUE!</v>
      </c>
      <c r="H182" s="51" t="str">
        <f>IFERROR(__xludf.DUMMYFUNCTION("""COMPUTED_VALUE"""),"")</f>
        <v/>
      </c>
      <c r="I182" s="51" t="str">
        <f>IFERROR(__xludf.DUMMYFUNCTION("""COMPUTED_VALUE"""),"#VALUE!")</f>
        <v>#VALUE!</v>
      </c>
      <c r="J182" s="51" t="str">
        <f>IFERROR(__xludf.DUMMYFUNCTION("""COMPUTED_VALUE"""),"")</f>
        <v/>
      </c>
      <c r="K182" s="51"/>
      <c r="L182" s="51" t="s">
        <v>257</v>
      </c>
      <c r="M182" s="51"/>
      <c r="N182" s="51"/>
      <c r="O182" s="51"/>
      <c r="P182" s="51"/>
      <c r="Q182" s="51"/>
      <c r="R182" s="51"/>
      <c r="S182" s="51"/>
      <c r="T182" s="51"/>
    </row>
    <row r="183">
      <c r="A183" s="51"/>
      <c r="B183" s="51"/>
      <c r="C183" s="56"/>
      <c r="D183" s="51"/>
      <c r="E183" s="51"/>
      <c r="F183" s="51"/>
      <c r="G183" s="51" t="str">
        <f>IFERROR(__xludf.DUMMYFUNCTION("""COMPUTED_VALUE"""),"#VALUE!")</f>
        <v>#VALUE!</v>
      </c>
      <c r="H183" s="51" t="str">
        <f>IFERROR(__xludf.DUMMYFUNCTION("""COMPUTED_VALUE"""),"")</f>
        <v/>
      </c>
      <c r="I183" s="51" t="str">
        <f>IFERROR(__xludf.DUMMYFUNCTION("""COMPUTED_VALUE"""),"#VALUE!")</f>
        <v>#VALUE!</v>
      </c>
      <c r="J183" s="51" t="str">
        <f>IFERROR(__xludf.DUMMYFUNCTION("""COMPUTED_VALUE"""),"")</f>
        <v/>
      </c>
      <c r="K183" s="51"/>
      <c r="L183" s="51" t="s">
        <v>257</v>
      </c>
      <c r="M183" s="51"/>
      <c r="N183" s="51"/>
      <c r="O183" s="51"/>
      <c r="P183" s="51"/>
      <c r="Q183" s="51"/>
      <c r="R183" s="51"/>
      <c r="S183" s="51"/>
      <c r="T183" s="51"/>
    </row>
    <row r="184">
      <c r="A184" s="51"/>
      <c r="B184" s="51"/>
      <c r="C184" s="56"/>
      <c r="D184" s="51"/>
      <c r="E184" s="51"/>
      <c r="F184" s="51"/>
      <c r="G184" s="51" t="str">
        <f>IFERROR(__xludf.DUMMYFUNCTION("""COMPUTED_VALUE"""),"#VALUE!")</f>
        <v>#VALUE!</v>
      </c>
      <c r="H184" s="51" t="str">
        <f>IFERROR(__xludf.DUMMYFUNCTION("""COMPUTED_VALUE"""),"")</f>
        <v/>
      </c>
      <c r="I184" s="51" t="str">
        <f>IFERROR(__xludf.DUMMYFUNCTION("""COMPUTED_VALUE"""),"#VALUE!")</f>
        <v>#VALUE!</v>
      </c>
      <c r="J184" s="51" t="str">
        <f>IFERROR(__xludf.DUMMYFUNCTION("""COMPUTED_VALUE"""),"")</f>
        <v/>
      </c>
      <c r="K184" s="51"/>
      <c r="L184" s="51" t="s">
        <v>257</v>
      </c>
      <c r="M184" s="51"/>
      <c r="N184" s="51"/>
      <c r="O184" s="51"/>
      <c r="P184" s="51"/>
      <c r="Q184" s="51"/>
      <c r="R184" s="51"/>
      <c r="S184" s="51"/>
      <c r="T184" s="51"/>
    </row>
    <row r="185">
      <c r="A185" s="51"/>
      <c r="B185" s="51"/>
      <c r="C185" s="56"/>
      <c r="D185" s="51"/>
      <c r="E185" s="51"/>
      <c r="F185" s="51"/>
      <c r="G185" s="51" t="str">
        <f>IFERROR(__xludf.DUMMYFUNCTION("""COMPUTED_VALUE"""),"#VALUE!")</f>
        <v>#VALUE!</v>
      </c>
      <c r="H185" s="51" t="str">
        <f>IFERROR(__xludf.DUMMYFUNCTION("""COMPUTED_VALUE"""),"")</f>
        <v/>
      </c>
      <c r="I185" s="51" t="str">
        <f>IFERROR(__xludf.DUMMYFUNCTION("""COMPUTED_VALUE"""),"#VALUE!")</f>
        <v>#VALUE!</v>
      </c>
      <c r="J185" s="51" t="str">
        <f>IFERROR(__xludf.DUMMYFUNCTION("""COMPUTED_VALUE"""),"")</f>
        <v/>
      </c>
      <c r="K185" s="51"/>
      <c r="L185" s="51" t="s">
        <v>257</v>
      </c>
      <c r="M185" s="51"/>
      <c r="N185" s="51"/>
      <c r="O185" s="51"/>
      <c r="P185" s="51"/>
      <c r="Q185" s="51"/>
      <c r="R185" s="51"/>
      <c r="S185" s="51"/>
      <c r="T185" s="51"/>
    </row>
    <row r="186">
      <c r="A186" s="51"/>
      <c r="B186" s="51"/>
      <c r="C186" s="56"/>
      <c r="D186" s="51"/>
      <c r="E186" s="51"/>
      <c r="F186" s="51"/>
      <c r="G186" s="51" t="str">
        <f>IFERROR(__xludf.DUMMYFUNCTION("""COMPUTED_VALUE"""),"#VALUE!")</f>
        <v>#VALUE!</v>
      </c>
      <c r="H186" s="51" t="str">
        <f>IFERROR(__xludf.DUMMYFUNCTION("""COMPUTED_VALUE"""),"")</f>
        <v/>
      </c>
      <c r="I186" s="51" t="str">
        <f>IFERROR(__xludf.DUMMYFUNCTION("""COMPUTED_VALUE"""),"#VALUE!")</f>
        <v>#VALUE!</v>
      </c>
      <c r="J186" s="51" t="str">
        <f>IFERROR(__xludf.DUMMYFUNCTION("""COMPUTED_VALUE"""),"")</f>
        <v/>
      </c>
      <c r="K186" s="51"/>
      <c r="L186" s="51" t="s">
        <v>257</v>
      </c>
      <c r="M186" s="51"/>
      <c r="N186" s="51"/>
      <c r="O186" s="51"/>
      <c r="P186" s="51"/>
      <c r="Q186" s="51"/>
      <c r="R186" s="51"/>
      <c r="S186" s="51"/>
      <c r="T186" s="51"/>
    </row>
    <row r="187">
      <c r="A187" s="51"/>
      <c r="B187" s="51"/>
      <c r="C187" s="56"/>
      <c r="D187" s="51"/>
      <c r="E187" s="51"/>
      <c r="F187" s="51"/>
      <c r="G187" s="51" t="str">
        <f>IFERROR(__xludf.DUMMYFUNCTION("""COMPUTED_VALUE"""),"#VALUE!")</f>
        <v>#VALUE!</v>
      </c>
      <c r="H187" s="51" t="str">
        <f>IFERROR(__xludf.DUMMYFUNCTION("""COMPUTED_VALUE"""),"")</f>
        <v/>
      </c>
      <c r="I187" s="51" t="str">
        <f>IFERROR(__xludf.DUMMYFUNCTION("""COMPUTED_VALUE"""),"#VALUE!")</f>
        <v>#VALUE!</v>
      </c>
      <c r="J187" s="51" t="str">
        <f>IFERROR(__xludf.DUMMYFUNCTION("""COMPUTED_VALUE"""),"")</f>
        <v/>
      </c>
      <c r="K187" s="51"/>
      <c r="L187" s="51" t="s">
        <v>257</v>
      </c>
      <c r="M187" s="51"/>
      <c r="N187" s="51"/>
      <c r="O187" s="51"/>
      <c r="P187" s="51"/>
      <c r="Q187" s="51"/>
      <c r="R187" s="51"/>
      <c r="S187" s="51"/>
      <c r="T187" s="51"/>
    </row>
    <row r="188">
      <c r="A188" s="51"/>
      <c r="B188" s="51"/>
      <c r="C188" s="56"/>
      <c r="D188" s="51"/>
      <c r="E188" s="51"/>
      <c r="F188" s="51"/>
      <c r="G188" s="51" t="str">
        <f>IFERROR(__xludf.DUMMYFUNCTION("""COMPUTED_VALUE"""),"#VALUE!")</f>
        <v>#VALUE!</v>
      </c>
      <c r="H188" s="51" t="str">
        <f>IFERROR(__xludf.DUMMYFUNCTION("""COMPUTED_VALUE"""),"")</f>
        <v/>
      </c>
      <c r="I188" s="51" t="str">
        <f>IFERROR(__xludf.DUMMYFUNCTION("""COMPUTED_VALUE"""),"#VALUE!")</f>
        <v>#VALUE!</v>
      </c>
      <c r="J188" s="51" t="str">
        <f>IFERROR(__xludf.DUMMYFUNCTION("""COMPUTED_VALUE"""),"")</f>
        <v/>
      </c>
      <c r="K188" s="51"/>
      <c r="L188" s="51" t="s">
        <v>257</v>
      </c>
      <c r="M188" s="51"/>
      <c r="N188" s="51"/>
      <c r="O188" s="51"/>
      <c r="P188" s="51"/>
      <c r="Q188" s="51"/>
      <c r="R188" s="51"/>
      <c r="S188" s="51"/>
      <c r="T188" s="51"/>
    </row>
    <row r="189">
      <c r="A189" s="51"/>
      <c r="B189" s="51"/>
      <c r="C189" s="56"/>
      <c r="D189" s="51"/>
      <c r="E189" s="51"/>
      <c r="F189" s="51"/>
      <c r="G189" s="51" t="str">
        <f>IFERROR(__xludf.DUMMYFUNCTION("""COMPUTED_VALUE"""),"#VALUE!")</f>
        <v>#VALUE!</v>
      </c>
      <c r="H189" s="51" t="str">
        <f>IFERROR(__xludf.DUMMYFUNCTION("""COMPUTED_VALUE"""),"")</f>
        <v/>
      </c>
      <c r="I189" s="51" t="str">
        <f>IFERROR(__xludf.DUMMYFUNCTION("""COMPUTED_VALUE"""),"#VALUE!")</f>
        <v>#VALUE!</v>
      </c>
      <c r="J189" s="51" t="str">
        <f>IFERROR(__xludf.DUMMYFUNCTION("""COMPUTED_VALUE"""),"")</f>
        <v/>
      </c>
      <c r="K189" s="51"/>
      <c r="L189" s="51" t="s">
        <v>257</v>
      </c>
      <c r="M189" s="51"/>
      <c r="N189" s="51"/>
      <c r="O189" s="51"/>
      <c r="P189" s="51"/>
      <c r="Q189" s="51"/>
      <c r="R189" s="51"/>
      <c r="S189" s="51"/>
      <c r="T189" s="51"/>
    </row>
    <row r="190">
      <c r="A190" s="51"/>
      <c r="B190" s="51"/>
      <c r="C190" s="56"/>
      <c r="D190" s="51"/>
      <c r="E190" s="51"/>
      <c r="F190" s="51"/>
      <c r="G190" s="51" t="str">
        <f>IFERROR(__xludf.DUMMYFUNCTION("""COMPUTED_VALUE"""),"#VALUE!")</f>
        <v>#VALUE!</v>
      </c>
      <c r="H190" s="51" t="str">
        <f>IFERROR(__xludf.DUMMYFUNCTION("""COMPUTED_VALUE"""),"")</f>
        <v/>
      </c>
      <c r="I190" s="51" t="str">
        <f>IFERROR(__xludf.DUMMYFUNCTION("""COMPUTED_VALUE"""),"#VALUE!")</f>
        <v>#VALUE!</v>
      </c>
      <c r="J190" s="51" t="str">
        <f>IFERROR(__xludf.DUMMYFUNCTION("""COMPUTED_VALUE"""),"")</f>
        <v/>
      </c>
      <c r="K190" s="51"/>
      <c r="L190" s="51" t="s">
        <v>257</v>
      </c>
      <c r="M190" s="51"/>
      <c r="N190" s="51"/>
      <c r="O190" s="51"/>
      <c r="P190" s="51"/>
      <c r="Q190" s="51"/>
      <c r="R190" s="51"/>
      <c r="S190" s="51"/>
      <c r="T190" s="51"/>
    </row>
    <row r="191">
      <c r="A191" s="51"/>
      <c r="B191" s="51"/>
      <c r="C191" s="56"/>
      <c r="D191" s="51"/>
      <c r="E191" s="51"/>
      <c r="F191" s="51"/>
      <c r="G191" s="51" t="str">
        <f>IFERROR(__xludf.DUMMYFUNCTION("""COMPUTED_VALUE"""),"#VALUE!")</f>
        <v>#VALUE!</v>
      </c>
      <c r="H191" s="51" t="str">
        <f>IFERROR(__xludf.DUMMYFUNCTION("""COMPUTED_VALUE"""),"")</f>
        <v/>
      </c>
      <c r="I191" s="51" t="str">
        <f>IFERROR(__xludf.DUMMYFUNCTION("""COMPUTED_VALUE"""),"#VALUE!")</f>
        <v>#VALUE!</v>
      </c>
      <c r="J191" s="51" t="str">
        <f>IFERROR(__xludf.DUMMYFUNCTION("""COMPUTED_VALUE"""),"")</f>
        <v/>
      </c>
      <c r="K191" s="51"/>
      <c r="L191" s="51" t="s">
        <v>257</v>
      </c>
      <c r="M191" s="51"/>
      <c r="N191" s="51"/>
      <c r="O191" s="51"/>
      <c r="P191" s="51"/>
      <c r="Q191" s="51"/>
      <c r="R191" s="51"/>
      <c r="S191" s="51"/>
      <c r="T191" s="51"/>
    </row>
    <row r="192">
      <c r="A192" s="51"/>
      <c r="B192" s="51"/>
      <c r="C192" s="56"/>
      <c r="D192" s="51"/>
      <c r="E192" s="51"/>
      <c r="F192" s="51"/>
      <c r="G192" s="51" t="str">
        <f>IFERROR(__xludf.DUMMYFUNCTION("""COMPUTED_VALUE"""),"#VALUE!")</f>
        <v>#VALUE!</v>
      </c>
      <c r="H192" s="51" t="str">
        <f>IFERROR(__xludf.DUMMYFUNCTION("""COMPUTED_VALUE"""),"")</f>
        <v/>
      </c>
      <c r="I192" s="51" t="str">
        <f>IFERROR(__xludf.DUMMYFUNCTION("""COMPUTED_VALUE"""),"#VALUE!")</f>
        <v>#VALUE!</v>
      </c>
      <c r="J192" s="51" t="str">
        <f>IFERROR(__xludf.DUMMYFUNCTION("""COMPUTED_VALUE"""),"")</f>
        <v/>
      </c>
      <c r="K192" s="51"/>
      <c r="L192" s="51" t="s">
        <v>257</v>
      </c>
      <c r="M192" s="51"/>
      <c r="N192" s="51"/>
      <c r="O192" s="51"/>
      <c r="P192" s="51"/>
      <c r="Q192" s="51"/>
      <c r="R192" s="51"/>
      <c r="S192" s="51"/>
      <c r="T192" s="51"/>
    </row>
    <row r="193">
      <c r="A193" s="51"/>
      <c r="B193" s="51"/>
      <c r="C193" s="56"/>
      <c r="D193" s="51"/>
      <c r="E193" s="51"/>
      <c r="F193" s="51"/>
      <c r="G193" s="51" t="str">
        <f>IFERROR(__xludf.DUMMYFUNCTION("""COMPUTED_VALUE"""),"#VALUE!")</f>
        <v>#VALUE!</v>
      </c>
      <c r="H193" s="51" t="str">
        <f>IFERROR(__xludf.DUMMYFUNCTION("""COMPUTED_VALUE"""),"")</f>
        <v/>
      </c>
      <c r="I193" s="51" t="str">
        <f>IFERROR(__xludf.DUMMYFUNCTION("""COMPUTED_VALUE"""),"#VALUE!")</f>
        <v>#VALUE!</v>
      </c>
      <c r="J193" s="51" t="str">
        <f>IFERROR(__xludf.DUMMYFUNCTION("""COMPUTED_VALUE"""),"")</f>
        <v/>
      </c>
      <c r="K193" s="51"/>
      <c r="L193" s="51" t="s">
        <v>257</v>
      </c>
      <c r="M193" s="51"/>
      <c r="N193" s="51"/>
      <c r="O193" s="51"/>
      <c r="P193" s="51"/>
      <c r="Q193" s="51"/>
      <c r="R193" s="51"/>
      <c r="S193" s="51"/>
      <c r="T193" s="51"/>
    </row>
    <row r="194">
      <c r="A194" s="51"/>
      <c r="B194" s="51"/>
      <c r="C194" s="56"/>
      <c r="D194" s="51"/>
      <c r="E194" s="51"/>
      <c r="F194" s="51"/>
      <c r="G194" s="51" t="str">
        <f>IFERROR(__xludf.DUMMYFUNCTION("""COMPUTED_VALUE"""),"#VALUE!")</f>
        <v>#VALUE!</v>
      </c>
      <c r="H194" s="51" t="str">
        <f>IFERROR(__xludf.DUMMYFUNCTION("""COMPUTED_VALUE"""),"")</f>
        <v/>
      </c>
      <c r="I194" s="51" t="str">
        <f>IFERROR(__xludf.DUMMYFUNCTION("""COMPUTED_VALUE"""),"#VALUE!")</f>
        <v>#VALUE!</v>
      </c>
      <c r="J194" s="51" t="str">
        <f>IFERROR(__xludf.DUMMYFUNCTION("""COMPUTED_VALUE"""),"")</f>
        <v/>
      </c>
      <c r="K194" s="51"/>
      <c r="L194" s="51" t="s">
        <v>257</v>
      </c>
      <c r="M194" s="51"/>
      <c r="N194" s="51"/>
      <c r="O194" s="51"/>
      <c r="P194" s="51"/>
      <c r="Q194" s="51"/>
      <c r="R194" s="51"/>
      <c r="S194" s="51"/>
      <c r="T194" s="51"/>
    </row>
    <row r="195">
      <c r="A195" s="51"/>
      <c r="B195" s="51"/>
      <c r="C195" s="56"/>
      <c r="D195" s="51"/>
      <c r="E195" s="51"/>
      <c r="F195" s="51"/>
      <c r="G195" s="51" t="str">
        <f>IFERROR(__xludf.DUMMYFUNCTION("""COMPUTED_VALUE"""),"#VALUE!")</f>
        <v>#VALUE!</v>
      </c>
      <c r="H195" s="51" t="str">
        <f>IFERROR(__xludf.DUMMYFUNCTION("""COMPUTED_VALUE"""),"")</f>
        <v/>
      </c>
      <c r="I195" s="51" t="str">
        <f>IFERROR(__xludf.DUMMYFUNCTION("""COMPUTED_VALUE"""),"#VALUE!")</f>
        <v>#VALUE!</v>
      </c>
      <c r="J195" s="51" t="str">
        <f>IFERROR(__xludf.DUMMYFUNCTION("""COMPUTED_VALUE"""),"")</f>
        <v/>
      </c>
      <c r="K195" s="51"/>
      <c r="L195" s="51" t="s">
        <v>257</v>
      </c>
      <c r="M195" s="51"/>
      <c r="N195" s="51"/>
      <c r="O195" s="51"/>
      <c r="P195" s="51"/>
      <c r="Q195" s="51"/>
      <c r="R195" s="51"/>
      <c r="S195" s="51"/>
      <c r="T195" s="51"/>
    </row>
    <row r="196">
      <c r="A196" s="51"/>
      <c r="B196" s="51"/>
      <c r="C196" s="56"/>
      <c r="D196" s="51"/>
      <c r="E196" s="51"/>
      <c r="F196" s="51"/>
      <c r="G196" s="51" t="str">
        <f>IFERROR(__xludf.DUMMYFUNCTION("""COMPUTED_VALUE"""),"#VALUE!")</f>
        <v>#VALUE!</v>
      </c>
      <c r="H196" s="51" t="str">
        <f>IFERROR(__xludf.DUMMYFUNCTION("""COMPUTED_VALUE"""),"")</f>
        <v/>
      </c>
      <c r="I196" s="51" t="str">
        <f>IFERROR(__xludf.DUMMYFUNCTION("""COMPUTED_VALUE"""),"#VALUE!")</f>
        <v>#VALUE!</v>
      </c>
      <c r="J196" s="51" t="str">
        <f>IFERROR(__xludf.DUMMYFUNCTION("""COMPUTED_VALUE"""),"")</f>
        <v/>
      </c>
      <c r="K196" s="51"/>
      <c r="L196" s="51" t="s">
        <v>257</v>
      </c>
      <c r="M196" s="51"/>
      <c r="N196" s="51"/>
      <c r="O196" s="51"/>
      <c r="P196" s="51"/>
      <c r="Q196" s="51"/>
      <c r="R196" s="51"/>
      <c r="S196" s="51"/>
      <c r="T196" s="51"/>
    </row>
    <row r="197">
      <c r="A197" s="51"/>
      <c r="B197" s="51"/>
      <c r="C197" s="56"/>
      <c r="D197" s="51"/>
      <c r="E197" s="51"/>
      <c r="F197" s="51"/>
      <c r="G197" s="51" t="str">
        <f>IFERROR(__xludf.DUMMYFUNCTION("""COMPUTED_VALUE"""),"#VALUE!")</f>
        <v>#VALUE!</v>
      </c>
      <c r="H197" s="51" t="str">
        <f>IFERROR(__xludf.DUMMYFUNCTION("""COMPUTED_VALUE"""),"")</f>
        <v/>
      </c>
      <c r="I197" s="51" t="str">
        <f>IFERROR(__xludf.DUMMYFUNCTION("""COMPUTED_VALUE"""),"#VALUE!")</f>
        <v>#VALUE!</v>
      </c>
      <c r="J197" s="51" t="str">
        <f>IFERROR(__xludf.DUMMYFUNCTION("""COMPUTED_VALUE"""),"")</f>
        <v/>
      </c>
      <c r="K197" s="51"/>
      <c r="L197" s="51" t="s">
        <v>257</v>
      </c>
      <c r="M197" s="51"/>
      <c r="N197" s="51"/>
      <c r="O197" s="51"/>
      <c r="P197" s="51"/>
      <c r="Q197" s="51"/>
      <c r="R197" s="51"/>
      <c r="S197" s="51"/>
      <c r="T197" s="51"/>
    </row>
    <row r="198">
      <c r="A198" s="51"/>
      <c r="B198" s="51"/>
      <c r="C198" s="56"/>
      <c r="D198" s="51"/>
      <c r="E198" s="51"/>
      <c r="F198" s="51"/>
      <c r="G198" s="51" t="str">
        <f>IFERROR(__xludf.DUMMYFUNCTION("""COMPUTED_VALUE"""),"#VALUE!")</f>
        <v>#VALUE!</v>
      </c>
      <c r="H198" s="51" t="str">
        <f>IFERROR(__xludf.DUMMYFUNCTION("""COMPUTED_VALUE"""),"")</f>
        <v/>
      </c>
      <c r="I198" s="51" t="str">
        <f>IFERROR(__xludf.DUMMYFUNCTION("""COMPUTED_VALUE"""),"#VALUE!")</f>
        <v>#VALUE!</v>
      </c>
      <c r="J198" s="51" t="str">
        <f>IFERROR(__xludf.DUMMYFUNCTION("""COMPUTED_VALUE"""),"")</f>
        <v/>
      </c>
      <c r="K198" s="51"/>
      <c r="L198" s="51" t="s">
        <v>257</v>
      </c>
      <c r="M198" s="51"/>
      <c r="N198" s="51"/>
      <c r="O198" s="51"/>
      <c r="P198" s="51"/>
      <c r="Q198" s="51"/>
      <c r="R198" s="51"/>
      <c r="S198" s="51"/>
      <c r="T198" s="51"/>
    </row>
    <row r="199">
      <c r="A199" s="51"/>
      <c r="B199" s="51"/>
      <c r="C199" s="56"/>
      <c r="D199" s="51"/>
      <c r="E199" s="51"/>
      <c r="F199" s="51"/>
      <c r="G199" s="51" t="str">
        <f>IFERROR(__xludf.DUMMYFUNCTION("""COMPUTED_VALUE"""),"#VALUE!")</f>
        <v>#VALUE!</v>
      </c>
      <c r="H199" s="51" t="str">
        <f>IFERROR(__xludf.DUMMYFUNCTION("""COMPUTED_VALUE"""),"")</f>
        <v/>
      </c>
      <c r="I199" s="51" t="str">
        <f>IFERROR(__xludf.DUMMYFUNCTION("""COMPUTED_VALUE"""),"#VALUE!")</f>
        <v>#VALUE!</v>
      </c>
      <c r="J199" s="51" t="str">
        <f>IFERROR(__xludf.DUMMYFUNCTION("""COMPUTED_VALUE"""),"")</f>
        <v/>
      </c>
      <c r="K199" s="51"/>
      <c r="L199" s="51" t="s">
        <v>257</v>
      </c>
      <c r="M199" s="51"/>
      <c r="N199" s="51"/>
      <c r="O199" s="51"/>
      <c r="P199" s="51"/>
      <c r="Q199" s="51"/>
      <c r="R199" s="51"/>
      <c r="S199" s="51"/>
      <c r="T199" s="51"/>
    </row>
    <row r="200">
      <c r="A200" s="51"/>
      <c r="B200" s="51"/>
      <c r="C200" s="56"/>
      <c r="D200" s="51"/>
      <c r="E200" s="51"/>
      <c r="F200" s="51"/>
      <c r="G200" s="51" t="str">
        <f>IFERROR(__xludf.DUMMYFUNCTION("""COMPUTED_VALUE"""),"#VALUE!")</f>
        <v>#VALUE!</v>
      </c>
      <c r="H200" s="51" t="str">
        <f>IFERROR(__xludf.DUMMYFUNCTION("""COMPUTED_VALUE"""),"")</f>
        <v/>
      </c>
      <c r="I200" s="51" t="str">
        <f>IFERROR(__xludf.DUMMYFUNCTION("""COMPUTED_VALUE"""),"#VALUE!")</f>
        <v>#VALUE!</v>
      </c>
      <c r="J200" s="51" t="str">
        <f>IFERROR(__xludf.DUMMYFUNCTION("""COMPUTED_VALUE"""),"")</f>
        <v/>
      </c>
      <c r="K200" s="51"/>
      <c r="L200" s="51" t="s">
        <v>257</v>
      </c>
      <c r="M200" s="51"/>
      <c r="N200" s="51"/>
      <c r="O200" s="51"/>
      <c r="P200" s="51"/>
      <c r="Q200" s="51"/>
      <c r="R200" s="51"/>
      <c r="S200" s="51"/>
      <c r="T200" s="51"/>
    </row>
    <row r="201">
      <c r="A201" s="51"/>
      <c r="B201" s="51"/>
      <c r="C201" s="56"/>
      <c r="D201" s="51"/>
      <c r="E201" s="51"/>
      <c r="F201" s="51"/>
      <c r="G201" s="51" t="str">
        <f>IFERROR(__xludf.DUMMYFUNCTION("""COMPUTED_VALUE"""),"#VALUE!")</f>
        <v>#VALUE!</v>
      </c>
      <c r="H201" s="51" t="str">
        <f>IFERROR(__xludf.DUMMYFUNCTION("""COMPUTED_VALUE"""),"")</f>
        <v/>
      </c>
      <c r="I201" s="51" t="str">
        <f>IFERROR(__xludf.DUMMYFUNCTION("""COMPUTED_VALUE"""),"#VALUE!")</f>
        <v>#VALUE!</v>
      </c>
      <c r="J201" s="51" t="str">
        <f>IFERROR(__xludf.DUMMYFUNCTION("""COMPUTED_VALUE"""),"")</f>
        <v/>
      </c>
      <c r="K201" s="51"/>
      <c r="L201" s="51" t="s">
        <v>257</v>
      </c>
      <c r="M201" s="51"/>
      <c r="N201" s="51"/>
      <c r="O201" s="51"/>
      <c r="P201" s="51"/>
      <c r="Q201" s="51"/>
      <c r="R201" s="51"/>
      <c r="S201" s="51"/>
      <c r="T201" s="51"/>
    </row>
    <row r="202">
      <c r="A202" s="51"/>
      <c r="B202" s="51"/>
      <c r="C202" s="56"/>
      <c r="D202" s="51"/>
      <c r="E202" s="51"/>
      <c r="F202" s="51"/>
      <c r="G202" s="51" t="str">
        <f>IFERROR(__xludf.DUMMYFUNCTION("""COMPUTED_VALUE"""),"#VALUE!")</f>
        <v>#VALUE!</v>
      </c>
      <c r="H202" s="51" t="str">
        <f>IFERROR(__xludf.DUMMYFUNCTION("""COMPUTED_VALUE"""),"")</f>
        <v/>
      </c>
      <c r="I202" s="51" t="str">
        <f>IFERROR(__xludf.DUMMYFUNCTION("""COMPUTED_VALUE"""),"#VALUE!")</f>
        <v>#VALUE!</v>
      </c>
      <c r="J202" s="51" t="str">
        <f>IFERROR(__xludf.DUMMYFUNCTION("""COMPUTED_VALUE"""),"")</f>
        <v/>
      </c>
      <c r="K202" s="51"/>
      <c r="L202" s="51" t="s">
        <v>257</v>
      </c>
      <c r="M202" s="51"/>
      <c r="N202" s="51"/>
      <c r="O202" s="51"/>
      <c r="P202" s="51"/>
      <c r="Q202" s="51"/>
      <c r="R202" s="51"/>
      <c r="S202" s="51"/>
      <c r="T202" s="51"/>
    </row>
    <row r="203">
      <c r="A203" s="51"/>
      <c r="B203" s="51"/>
      <c r="C203" s="56"/>
      <c r="D203" s="51"/>
      <c r="E203" s="51"/>
      <c r="F203" s="51"/>
      <c r="G203" s="51" t="str">
        <f>IFERROR(__xludf.DUMMYFUNCTION("""COMPUTED_VALUE"""),"#VALUE!")</f>
        <v>#VALUE!</v>
      </c>
      <c r="H203" s="51" t="str">
        <f>IFERROR(__xludf.DUMMYFUNCTION("""COMPUTED_VALUE"""),"")</f>
        <v/>
      </c>
      <c r="I203" s="51" t="str">
        <f>IFERROR(__xludf.DUMMYFUNCTION("""COMPUTED_VALUE"""),"#VALUE!")</f>
        <v>#VALUE!</v>
      </c>
      <c r="J203" s="51" t="str">
        <f>IFERROR(__xludf.DUMMYFUNCTION("""COMPUTED_VALUE"""),"")</f>
        <v/>
      </c>
      <c r="K203" s="51"/>
      <c r="L203" s="51" t="s">
        <v>257</v>
      </c>
      <c r="M203" s="51"/>
      <c r="N203" s="51"/>
      <c r="O203" s="51"/>
      <c r="P203" s="51"/>
      <c r="Q203" s="51"/>
      <c r="R203" s="51"/>
      <c r="S203" s="51"/>
      <c r="T203" s="51"/>
    </row>
    <row r="204">
      <c r="A204" s="51"/>
      <c r="B204" s="51"/>
      <c r="C204" s="56"/>
      <c r="D204" s="51"/>
      <c r="E204" s="51"/>
      <c r="F204" s="51"/>
      <c r="G204" s="51" t="str">
        <f>IFERROR(__xludf.DUMMYFUNCTION("""COMPUTED_VALUE"""),"#VALUE!")</f>
        <v>#VALUE!</v>
      </c>
      <c r="H204" s="51" t="str">
        <f>IFERROR(__xludf.DUMMYFUNCTION("""COMPUTED_VALUE"""),"")</f>
        <v/>
      </c>
      <c r="I204" s="51" t="str">
        <f>IFERROR(__xludf.DUMMYFUNCTION("""COMPUTED_VALUE"""),"#VALUE!")</f>
        <v>#VALUE!</v>
      </c>
      <c r="J204" s="51" t="str">
        <f>IFERROR(__xludf.DUMMYFUNCTION("""COMPUTED_VALUE"""),"")</f>
        <v/>
      </c>
      <c r="K204" s="51"/>
      <c r="L204" s="51" t="s">
        <v>257</v>
      </c>
      <c r="M204" s="51"/>
      <c r="N204" s="51"/>
      <c r="O204" s="51"/>
      <c r="P204" s="51"/>
      <c r="Q204" s="51"/>
      <c r="R204" s="51"/>
      <c r="S204" s="51"/>
      <c r="T204" s="51"/>
    </row>
    <row r="205">
      <c r="A205" s="51"/>
      <c r="B205" s="51"/>
      <c r="C205" s="56"/>
      <c r="D205" s="51"/>
      <c r="E205" s="51"/>
      <c r="F205" s="51"/>
      <c r="G205" s="51" t="str">
        <f>IFERROR(__xludf.DUMMYFUNCTION("""COMPUTED_VALUE"""),"#VALUE!")</f>
        <v>#VALUE!</v>
      </c>
      <c r="H205" s="51" t="str">
        <f>IFERROR(__xludf.DUMMYFUNCTION("""COMPUTED_VALUE"""),"")</f>
        <v/>
      </c>
      <c r="I205" s="51" t="str">
        <f>IFERROR(__xludf.DUMMYFUNCTION("""COMPUTED_VALUE"""),"#VALUE!")</f>
        <v>#VALUE!</v>
      </c>
      <c r="J205" s="51" t="str">
        <f>IFERROR(__xludf.DUMMYFUNCTION("""COMPUTED_VALUE"""),"")</f>
        <v/>
      </c>
      <c r="K205" s="51"/>
      <c r="L205" s="51" t="s">
        <v>257</v>
      </c>
      <c r="M205" s="51"/>
      <c r="N205" s="51"/>
      <c r="O205" s="51"/>
      <c r="P205" s="51"/>
      <c r="Q205" s="51"/>
      <c r="R205" s="51"/>
      <c r="S205" s="51"/>
      <c r="T205" s="51"/>
    </row>
    <row r="206">
      <c r="A206" s="51"/>
      <c r="B206" s="51"/>
      <c r="C206" s="56"/>
      <c r="D206" s="51"/>
      <c r="E206" s="51"/>
      <c r="F206" s="51"/>
      <c r="G206" s="51" t="str">
        <f>IFERROR(__xludf.DUMMYFUNCTION("""COMPUTED_VALUE"""),"#VALUE!")</f>
        <v>#VALUE!</v>
      </c>
      <c r="H206" s="51" t="str">
        <f>IFERROR(__xludf.DUMMYFUNCTION("""COMPUTED_VALUE"""),"")</f>
        <v/>
      </c>
      <c r="I206" s="51" t="str">
        <f>IFERROR(__xludf.DUMMYFUNCTION("""COMPUTED_VALUE"""),"#VALUE!")</f>
        <v>#VALUE!</v>
      </c>
      <c r="J206" s="51" t="str">
        <f>IFERROR(__xludf.DUMMYFUNCTION("""COMPUTED_VALUE"""),"")</f>
        <v/>
      </c>
      <c r="K206" s="51"/>
      <c r="L206" s="51" t="s">
        <v>257</v>
      </c>
      <c r="M206" s="51"/>
      <c r="N206" s="51"/>
      <c r="O206" s="51"/>
      <c r="P206" s="51"/>
      <c r="Q206" s="51"/>
      <c r="R206" s="51"/>
      <c r="S206" s="51"/>
      <c r="T206" s="51"/>
    </row>
    <row r="207">
      <c r="A207" s="51"/>
      <c r="B207" s="51"/>
      <c r="C207" s="56"/>
      <c r="D207" s="51"/>
      <c r="E207" s="51"/>
      <c r="F207" s="51"/>
      <c r="G207" s="51" t="str">
        <f>IFERROR(__xludf.DUMMYFUNCTION("""COMPUTED_VALUE"""),"#VALUE!")</f>
        <v>#VALUE!</v>
      </c>
      <c r="H207" s="51" t="str">
        <f>IFERROR(__xludf.DUMMYFUNCTION("""COMPUTED_VALUE"""),"")</f>
        <v/>
      </c>
      <c r="I207" s="51" t="str">
        <f>IFERROR(__xludf.DUMMYFUNCTION("""COMPUTED_VALUE"""),"#VALUE!")</f>
        <v>#VALUE!</v>
      </c>
      <c r="J207" s="51" t="str">
        <f>IFERROR(__xludf.DUMMYFUNCTION("""COMPUTED_VALUE"""),"")</f>
        <v/>
      </c>
      <c r="K207" s="51"/>
      <c r="L207" s="51" t="s">
        <v>257</v>
      </c>
      <c r="M207" s="51"/>
      <c r="N207" s="51"/>
      <c r="O207" s="51"/>
      <c r="P207" s="51"/>
      <c r="Q207" s="51"/>
      <c r="R207" s="51"/>
      <c r="S207" s="51"/>
      <c r="T207" s="51"/>
    </row>
    <row r="208">
      <c r="A208" s="51"/>
      <c r="B208" s="51"/>
      <c r="C208" s="56"/>
      <c r="D208" s="51"/>
      <c r="E208" s="51"/>
      <c r="F208" s="51"/>
      <c r="G208" s="51" t="str">
        <f>IFERROR(__xludf.DUMMYFUNCTION("""COMPUTED_VALUE"""),"#VALUE!")</f>
        <v>#VALUE!</v>
      </c>
      <c r="H208" s="51" t="str">
        <f>IFERROR(__xludf.DUMMYFUNCTION("""COMPUTED_VALUE"""),"")</f>
        <v/>
      </c>
      <c r="I208" s="51" t="str">
        <f>IFERROR(__xludf.DUMMYFUNCTION("""COMPUTED_VALUE"""),"#VALUE!")</f>
        <v>#VALUE!</v>
      </c>
      <c r="J208" s="51" t="str">
        <f>IFERROR(__xludf.DUMMYFUNCTION("""COMPUTED_VALUE"""),"")</f>
        <v/>
      </c>
      <c r="K208" s="51"/>
      <c r="L208" s="51" t="s">
        <v>257</v>
      </c>
      <c r="M208" s="51"/>
      <c r="N208" s="51"/>
      <c r="O208" s="51"/>
      <c r="P208" s="51"/>
      <c r="Q208" s="51"/>
      <c r="R208" s="51"/>
      <c r="S208" s="51"/>
      <c r="T208" s="51"/>
    </row>
    <row r="209">
      <c r="A209" s="51"/>
      <c r="B209" s="51"/>
      <c r="C209" s="56"/>
      <c r="D209" s="51"/>
      <c r="E209" s="51"/>
      <c r="F209" s="51"/>
      <c r="G209" s="51" t="str">
        <f>IFERROR(__xludf.DUMMYFUNCTION("""COMPUTED_VALUE"""),"#VALUE!")</f>
        <v>#VALUE!</v>
      </c>
      <c r="H209" s="51" t="str">
        <f>IFERROR(__xludf.DUMMYFUNCTION("""COMPUTED_VALUE"""),"")</f>
        <v/>
      </c>
      <c r="I209" s="51" t="str">
        <f>IFERROR(__xludf.DUMMYFUNCTION("""COMPUTED_VALUE"""),"#VALUE!")</f>
        <v>#VALUE!</v>
      </c>
      <c r="J209" s="51" t="str">
        <f>IFERROR(__xludf.DUMMYFUNCTION("""COMPUTED_VALUE"""),"")</f>
        <v/>
      </c>
      <c r="K209" s="51"/>
      <c r="L209" s="51" t="s">
        <v>257</v>
      </c>
      <c r="M209" s="51"/>
      <c r="N209" s="51"/>
      <c r="O209" s="51"/>
      <c r="P209" s="51"/>
      <c r="Q209" s="51"/>
      <c r="R209" s="51"/>
      <c r="S209" s="51"/>
      <c r="T209" s="51"/>
    </row>
    <row r="210">
      <c r="A210" s="51"/>
      <c r="B210" s="51"/>
      <c r="C210" s="56"/>
      <c r="D210" s="51"/>
      <c r="E210" s="51"/>
      <c r="F210" s="51"/>
      <c r="G210" s="51" t="str">
        <f>IFERROR(__xludf.DUMMYFUNCTION("""COMPUTED_VALUE"""),"#VALUE!")</f>
        <v>#VALUE!</v>
      </c>
      <c r="H210" s="51" t="str">
        <f>IFERROR(__xludf.DUMMYFUNCTION("""COMPUTED_VALUE"""),"")</f>
        <v/>
      </c>
      <c r="I210" s="51" t="str">
        <f>IFERROR(__xludf.DUMMYFUNCTION("""COMPUTED_VALUE"""),"#VALUE!")</f>
        <v>#VALUE!</v>
      </c>
      <c r="J210" s="51" t="str">
        <f>IFERROR(__xludf.DUMMYFUNCTION("""COMPUTED_VALUE"""),"")</f>
        <v/>
      </c>
      <c r="K210" s="51"/>
      <c r="L210" s="51" t="s">
        <v>257</v>
      </c>
      <c r="M210" s="51"/>
      <c r="N210" s="51"/>
      <c r="O210" s="51"/>
      <c r="P210" s="51"/>
      <c r="Q210" s="51"/>
      <c r="R210" s="51"/>
      <c r="S210" s="51"/>
      <c r="T210" s="51"/>
    </row>
    <row r="211">
      <c r="A211" s="51"/>
      <c r="B211" s="51"/>
      <c r="C211" s="56"/>
      <c r="D211" s="51"/>
      <c r="E211" s="51"/>
      <c r="F211" s="51"/>
      <c r="G211" s="51" t="str">
        <f>IFERROR(__xludf.DUMMYFUNCTION("""COMPUTED_VALUE"""),"#VALUE!")</f>
        <v>#VALUE!</v>
      </c>
      <c r="H211" s="51" t="str">
        <f>IFERROR(__xludf.DUMMYFUNCTION("""COMPUTED_VALUE"""),"")</f>
        <v/>
      </c>
      <c r="I211" s="51" t="str">
        <f>IFERROR(__xludf.DUMMYFUNCTION("""COMPUTED_VALUE"""),"#VALUE!")</f>
        <v>#VALUE!</v>
      </c>
      <c r="J211" s="51" t="str">
        <f>IFERROR(__xludf.DUMMYFUNCTION("""COMPUTED_VALUE"""),"")</f>
        <v/>
      </c>
      <c r="K211" s="51"/>
      <c r="L211" s="51" t="s">
        <v>257</v>
      </c>
      <c r="M211" s="51"/>
      <c r="N211" s="51"/>
      <c r="O211" s="51"/>
      <c r="P211" s="51"/>
      <c r="Q211" s="51"/>
      <c r="R211" s="51"/>
      <c r="S211" s="51"/>
      <c r="T211" s="51"/>
    </row>
    <row r="212">
      <c r="A212" s="51"/>
      <c r="B212" s="51"/>
      <c r="C212" s="56"/>
      <c r="D212" s="51"/>
      <c r="E212" s="51"/>
      <c r="F212" s="51"/>
      <c r="G212" s="51" t="str">
        <f>IFERROR(__xludf.DUMMYFUNCTION("""COMPUTED_VALUE"""),"#VALUE!")</f>
        <v>#VALUE!</v>
      </c>
      <c r="H212" s="51" t="str">
        <f>IFERROR(__xludf.DUMMYFUNCTION("""COMPUTED_VALUE"""),"")</f>
        <v/>
      </c>
      <c r="I212" s="51" t="str">
        <f>IFERROR(__xludf.DUMMYFUNCTION("""COMPUTED_VALUE"""),"#VALUE!")</f>
        <v>#VALUE!</v>
      </c>
      <c r="J212" s="51" t="str">
        <f>IFERROR(__xludf.DUMMYFUNCTION("""COMPUTED_VALUE"""),"")</f>
        <v/>
      </c>
      <c r="K212" s="51"/>
      <c r="L212" s="51" t="s">
        <v>257</v>
      </c>
      <c r="M212" s="51"/>
      <c r="N212" s="51"/>
      <c r="O212" s="51"/>
      <c r="P212" s="51"/>
      <c r="Q212" s="51"/>
      <c r="R212" s="51"/>
      <c r="S212" s="51"/>
      <c r="T212" s="51"/>
    </row>
    <row r="213">
      <c r="A213" s="51"/>
      <c r="B213" s="51"/>
      <c r="C213" s="56"/>
      <c r="D213" s="51"/>
      <c r="E213" s="51"/>
      <c r="F213" s="51"/>
      <c r="G213" s="51" t="str">
        <f>IFERROR(__xludf.DUMMYFUNCTION("""COMPUTED_VALUE"""),"#VALUE!")</f>
        <v>#VALUE!</v>
      </c>
      <c r="H213" s="51" t="str">
        <f>IFERROR(__xludf.DUMMYFUNCTION("""COMPUTED_VALUE"""),"")</f>
        <v/>
      </c>
      <c r="I213" s="51" t="str">
        <f>IFERROR(__xludf.DUMMYFUNCTION("""COMPUTED_VALUE"""),"#VALUE!")</f>
        <v>#VALUE!</v>
      </c>
      <c r="J213" s="51" t="str">
        <f>IFERROR(__xludf.DUMMYFUNCTION("""COMPUTED_VALUE"""),"")</f>
        <v/>
      </c>
      <c r="K213" s="51"/>
      <c r="L213" s="51" t="s">
        <v>257</v>
      </c>
      <c r="M213" s="51"/>
      <c r="N213" s="51"/>
      <c r="O213" s="51"/>
      <c r="P213" s="51"/>
      <c r="Q213" s="51"/>
      <c r="R213" s="51"/>
      <c r="S213" s="51"/>
      <c r="T213" s="51"/>
    </row>
    <row r="214">
      <c r="A214" s="51"/>
      <c r="B214" s="51"/>
      <c r="C214" s="56"/>
      <c r="D214" s="51"/>
      <c r="E214" s="51"/>
      <c r="F214" s="51"/>
      <c r="G214" s="51" t="str">
        <f>IFERROR(__xludf.DUMMYFUNCTION("""COMPUTED_VALUE"""),"#VALUE!")</f>
        <v>#VALUE!</v>
      </c>
      <c r="H214" s="51" t="str">
        <f>IFERROR(__xludf.DUMMYFUNCTION("""COMPUTED_VALUE"""),"")</f>
        <v/>
      </c>
      <c r="I214" s="51" t="str">
        <f>IFERROR(__xludf.DUMMYFUNCTION("""COMPUTED_VALUE"""),"#VALUE!")</f>
        <v>#VALUE!</v>
      </c>
      <c r="J214" s="51" t="str">
        <f>IFERROR(__xludf.DUMMYFUNCTION("""COMPUTED_VALUE"""),"")</f>
        <v/>
      </c>
      <c r="K214" s="51"/>
      <c r="L214" s="51" t="s">
        <v>257</v>
      </c>
      <c r="M214" s="51"/>
      <c r="N214" s="51"/>
      <c r="O214" s="51"/>
      <c r="P214" s="51"/>
      <c r="Q214" s="51"/>
      <c r="R214" s="51"/>
      <c r="S214" s="51"/>
      <c r="T214" s="51"/>
    </row>
    <row r="215">
      <c r="A215" s="51"/>
      <c r="B215" s="51"/>
      <c r="C215" s="56"/>
      <c r="D215" s="51"/>
      <c r="E215" s="51"/>
      <c r="F215" s="51"/>
      <c r="G215" s="51" t="str">
        <f>IFERROR(__xludf.DUMMYFUNCTION("""COMPUTED_VALUE"""),"#VALUE!")</f>
        <v>#VALUE!</v>
      </c>
      <c r="H215" s="51" t="str">
        <f>IFERROR(__xludf.DUMMYFUNCTION("""COMPUTED_VALUE"""),"")</f>
        <v/>
      </c>
      <c r="I215" s="51" t="str">
        <f>IFERROR(__xludf.DUMMYFUNCTION("""COMPUTED_VALUE"""),"#VALUE!")</f>
        <v>#VALUE!</v>
      </c>
      <c r="J215" s="51" t="str">
        <f>IFERROR(__xludf.DUMMYFUNCTION("""COMPUTED_VALUE"""),"")</f>
        <v/>
      </c>
      <c r="K215" s="51"/>
      <c r="L215" s="51" t="s">
        <v>257</v>
      </c>
      <c r="M215" s="51"/>
      <c r="N215" s="51"/>
      <c r="O215" s="51"/>
      <c r="P215" s="51"/>
      <c r="Q215" s="51"/>
      <c r="R215" s="51"/>
      <c r="S215" s="51"/>
      <c r="T215" s="51"/>
    </row>
    <row r="216">
      <c r="A216" s="51"/>
      <c r="B216" s="51"/>
      <c r="C216" s="56"/>
      <c r="D216" s="51"/>
      <c r="E216" s="51"/>
      <c r="F216" s="51"/>
      <c r="G216" s="51" t="str">
        <f>IFERROR(__xludf.DUMMYFUNCTION("""COMPUTED_VALUE"""),"#VALUE!")</f>
        <v>#VALUE!</v>
      </c>
      <c r="H216" s="51" t="str">
        <f>IFERROR(__xludf.DUMMYFUNCTION("""COMPUTED_VALUE"""),"")</f>
        <v/>
      </c>
      <c r="I216" s="51" t="str">
        <f>IFERROR(__xludf.DUMMYFUNCTION("""COMPUTED_VALUE"""),"#VALUE!")</f>
        <v>#VALUE!</v>
      </c>
      <c r="J216" s="51" t="str">
        <f>IFERROR(__xludf.DUMMYFUNCTION("""COMPUTED_VALUE"""),"")</f>
        <v/>
      </c>
      <c r="K216" s="51"/>
      <c r="L216" s="51" t="s">
        <v>257</v>
      </c>
      <c r="M216" s="51"/>
      <c r="N216" s="51"/>
      <c r="O216" s="51"/>
      <c r="P216" s="51"/>
      <c r="Q216" s="51"/>
      <c r="R216" s="51"/>
      <c r="S216" s="51"/>
      <c r="T216" s="51"/>
    </row>
    <row r="217">
      <c r="A217" s="51"/>
      <c r="B217" s="51"/>
      <c r="C217" s="56"/>
      <c r="D217" s="51"/>
      <c r="E217" s="51"/>
      <c r="F217" s="51"/>
      <c r="G217" s="51" t="str">
        <f>IFERROR(__xludf.DUMMYFUNCTION("""COMPUTED_VALUE"""),"#VALUE!")</f>
        <v>#VALUE!</v>
      </c>
      <c r="H217" s="51" t="str">
        <f>IFERROR(__xludf.DUMMYFUNCTION("""COMPUTED_VALUE"""),"")</f>
        <v/>
      </c>
      <c r="I217" s="51" t="str">
        <f>IFERROR(__xludf.DUMMYFUNCTION("""COMPUTED_VALUE"""),"#VALUE!")</f>
        <v>#VALUE!</v>
      </c>
      <c r="J217" s="51" t="str">
        <f>IFERROR(__xludf.DUMMYFUNCTION("""COMPUTED_VALUE"""),"")</f>
        <v/>
      </c>
      <c r="K217" s="51"/>
      <c r="L217" s="51" t="s">
        <v>257</v>
      </c>
      <c r="M217" s="51"/>
      <c r="N217" s="51"/>
      <c r="O217" s="51"/>
      <c r="P217" s="51"/>
      <c r="Q217" s="51"/>
      <c r="R217" s="51"/>
      <c r="S217" s="51"/>
      <c r="T217" s="51"/>
    </row>
    <row r="218">
      <c r="A218" s="51"/>
      <c r="B218" s="51"/>
      <c r="C218" s="56"/>
      <c r="D218" s="51"/>
      <c r="E218" s="51"/>
      <c r="F218" s="51"/>
      <c r="G218" s="51" t="str">
        <f>IFERROR(__xludf.DUMMYFUNCTION("""COMPUTED_VALUE"""),"#VALUE!")</f>
        <v>#VALUE!</v>
      </c>
      <c r="H218" s="51" t="str">
        <f>IFERROR(__xludf.DUMMYFUNCTION("""COMPUTED_VALUE"""),"")</f>
        <v/>
      </c>
      <c r="I218" s="51" t="str">
        <f>IFERROR(__xludf.DUMMYFUNCTION("""COMPUTED_VALUE"""),"#VALUE!")</f>
        <v>#VALUE!</v>
      </c>
      <c r="J218" s="51" t="str">
        <f>IFERROR(__xludf.DUMMYFUNCTION("""COMPUTED_VALUE"""),"")</f>
        <v/>
      </c>
      <c r="K218" s="51"/>
      <c r="L218" s="51" t="s">
        <v>257</v>
      </c>
      <c r="M218" s="51"/>
      <c r="N218" s="51"/>
      <c r="O218" s="51"/>
      <c r="P218" s="51"/>
      <c r="Q218" s="51"/>
      <c r="R218" s="51"/>
      <c r="S218" s="51"/>
      <c r="T218" s="51"/>
    </row>
    <row r="219">
      <c r="A219" s="51"/>
      <c r="B219" s="51"/>
      <c r="C219" s="56"/>
      <c r="D219" s="51"/>
      <c r="E219" s="51"/>
      <c r="F219" s="51"/>
      <c r="G219" s="51" t="str">
        <f>IFERROR(__xludf.DUMMYFUNCTION("""COMPUTED_VALUE"""),"#VALUE!")</f>
        <v>#VALUE!</v>
      </c>
      <c r="H219" s="51" t="str">
        <f>IFERROR(__xludf.DUMMYFUNCTION("""COMPUTED_VALUE"""),"")</f>
        <v/>
      </c>
      <c r="I219" s="51" t="str">
        <f>IFERROR(__xludf.DUMMYFUNCTION("""COMPUTED_VALUE"""),"#VALUE!")</f>
        <v>#VALUE!</v>
      </c>
      <c r="J219" s="51" t="str">
        <f>IFERROR(__xludf.DUMMYFUNCTION("""COMPUTED_VALUE"""),"")</f>
        <v/>
      </c>
      <c r="K219" s="51"/>
      <c r="L219" s="51" t="s">
        <v>257</v>
      </c>
      <c r="M219" s="51"/>
      <c r="N219" s="51"/>
      <c r="O219" s="51"/>
      <c r="P219" s="51"/>
      <c r="Q219" s="51"/>
      <c r="R219" s="51"/>
      <c r="S219" s="51"/>
      <c r="T219" s="51"/>
    </row>
    <row r="220">
      <c r="A220" s="51"/>
      <c r="B220" s="51"/>
      <c r="C220" s="56"/>
      <c r="D220" s="51"/>
      <c r="E220" s="51"/>
      <c r="F220" s="51"/>
      <c r="G220" s="51" t="str">
        <f>IFERROR(__xludf.DUMMYFUNCTION("""COMPUTED_VALUE"""),"#VALUE!")</f>
        <v>#VALUE!</v>
      </c>
      <c r="H220" s="51" t="str">
        <f>IFERROR(__xludf.DUMMYFUNCTION("""COMPUTED_VALUE"""),"")</f>
        <v/>
      </c>
      <c r="I220" s="51" t="str">
        <f>IFERROR(__xludf.DUMMYFUNCTION("""COMPUTED_VALUE"""),"#VALUE!")</f>
        <v>#VALUE!</v>
      </c>
      <c r="J220" s="51" t="str">
        <f>IFERROR(__xludf.DUMMYFUNCTION("""COMPUTED_VALUE"""),"")</f>
        <v/>
      </c>
      <c r="K220" s="51"/>
      <c r="L220" s="51" t="s">
        <v>257</v>
      </c>
      <c r="M220" s="51"/>
      <c r="N220" s="51"/>
      <c r="O220" s="51"/>
      <c r="P220" s="51"/>
      <c r="Q220" s="51"/>
      <c r="R220" s="51"/>
      <c r="S220" s="51"/>
      <c r="T220" s="51"/>
    </row>
    <row r="221">
      <c r="A221" s="51"/>
      <c r="B221" s="51"/>
      <c r="C221" s="56"/>
      <c r="D221" s="51"/>
      <c r="E221" s="51"/>
      <c r="F221" s="51"/>
      <c r="G221" s="51" t="str">
        <f>IFERROR(__xludf.DUMMYFUNCTION("""COMPUTED_VALUE"""),"#VALUE!")</f>
        <v>#VALUE!</v>
      </c>
      <c r="H221" s="51" t="str">
        <f>IFERROR(__xludf.DUMMYFUNCTION("""COMPUTED_VALUE"""),"")</f>
        <v/>
      </c>
      <c r="I221" s="51" t="str">
        <f>IFERROR(__xludf.DUMMYFUNCTION("""COMPUTED_VALUE"""),"#VALUE!")</f>
        <v>#VALUE!</v>
      </c>
      <c r="J221" s="51" t="str">
        <f>IFERROR(__xludf.DUMMYFUNCTION("""COMPUTED_VALUE"""),"")</f>
        <v/>
      </c>
      <c r="K221" s="51"/>
      <c r="L221" s="51" t="s">
        <v>257</v>
      </c>
      <c r="M221" s="51"/>
      <c r="N221" s="51"/>
      <c r="O221" s="51"/>
      <c r="P221" s="51"/>
      <c r="Q221" s="51"/>
      <c r="R221" s="51"/>
      <c r="S221" s="51"/>
      <c r="T221" s="51"/>
    </row>
    <row r="222">
      <c r="A222" s="51"/>
      <c r="B222" s="51"/>
      <c r="C222" s="56"/>
      <c r="D222" s="51"/>
      <c r="E222" s="51"/>
      <c r="F222" s="51"/>
      <c r="G222" s="51" t="str">
        <f>IFERROR(__xludf.DUMMYFUNCTION("""COMPUTED_VALUE"""),"#VALUE!")</f>
        <v>#VALUE!</v>
      </c>
      <c r="H222" s="51" t="str">
        <f>IFERROR(__xludf.DUMMYFUNCTION("""COMPUTED_VALUE"""),"")</f>
        <v/>
      </c>
      <c r="I222" s="51" t="str">
        <f>IFERROR(__xludf.DUMMYFUNCTION("""COMPUTED_VALUE"""),"#VALUE!")</f>
        <v>#VALUE!</v>
      </c>
      <c r="J222" s="51" t="str">
        <f>IFERROR(__xludf.DUMMYFUNCTION("""COMPUTED_VALUE"""),"")</f>
        <v/>
      </c>
      <c r="K222" s="51"/>
      <c r="L222" s="51" t="s">
        <v>257</v>
      </c>
      <c r="M222" s="51"/>
      <c r="N222" s="51"/>
      <c r="O222" s="51"/>
      <c r="P222" s="51"/>
      <c r="Q222" s="51"/>
      <c r="R222" s="51"/>
      <c r="S222" s="51"/>
      <c r="T222" s="51"/>
    </row>
    <row r="223">
      <c r="A223" s="51"/>
      <c r="B223" s="51"/>
      <c r="C223" s="56"/>
      <c r="D223" s="51"/>
      <c r="E223" s="51"/>
      <c r="F223" s="51"/>
      <c r="G223" s="51" t="str">
        <f>IFERROR(__xludf.DUMMYFUNCTION("""COMPUTED_VALUE"""),"#VALUE!")</f>
        <v>#VALUE!</v>
      </c>
      <c r="H223" s="51" t="str">
        <f>IFERROR(__xludf.DUMMYFUNCTION("""COMPUTED_VALUE"""),"")</f>
        <v/>
      </c>
      <c r="I223" s="51" t="str">
        <f>IFERROR(__xludf.DUMMYFUNCTION("""COMPUTED_VALUE"""),"#VALUE!")</f>
        <v>#VALUE!</v>
      </c>
      <c r="J223" s="51" t="str">
        <f>IFERROR(__xludf.DUMMYFUNCTION("""COMPUTED_VALUE"""),"")</f>
        <v/>
      </c>
      <c r="K223" s="51"/>
      <c r="L223" s="51" t="s">
        <v>257</v>
      </c>
      <c r="M223" s="51"/>
      <c r="N223" s="51"/>
      <c r="O223" s="51"/>
      <c r="P223" s="51"/>
      <c r="Q223" s="51"/>
      <c r="R223" s="51"/>
      <c r="S223" s="51"/>
      <c r="T223" s="51"/>
    </row>
    <row r="224">
      <c r="A224" s="51"/>
      <c r="B224" s="51"/>
      <c r="C224" s="56"/>
      <c r="D224" s="51"/>
      <c r="E224" s="51"/>
      <c r="F224" s="51"/>
      <c r="G224" s="51" t="str">
        <f>IFERROR(__xludf.DUMMYFUNCTION("""COMPUTED_VALUE"""),"#VALUE!")</f>
        <v>#VALUE!</v>
      </c>
      <c r="H224" s="51" t="str">
        <f>IFERROR(__xludf.DUMMYFUNCTION("""COMPUTED_VALUE"""),"")</f>
        <v/>
      </c>
      <c r="I224" s="51" t="str">
        <f>IFERROR(__xludf.DUMMYFUNCTION("""COMPUTED_VALUE"""),"#VALUE!")</f>
        <v>#VALUE!</v>
      </c>
      <c r="J224" s="51" t="str">
        <f>IFERROR(__xludf.DUMMYFUNCTION("""COMPUTED_VALUE"""),"")</f>
        <v/>
      </c>
      <c r="K224" s="51"/>
      <c r="L224" s="51" t="s">
        <v>257</v>
      </c>
      <c r="M224" s="51"/>
      <c r="N224" s="51"/>
      <c r="O224" s="51"/>
      <c r="P224" s="51"/>
      <c r="Q224" s="51"/>
      <c r="R224" s="51"/>
      <c r="S224" s="51"/>
      <c r="T224" s="51"/>
    </row>
    <row r="225">
      <c r="A225" s="51"/>
      <c r="B225" s="51"/>
      <c r="C225" s="56"/>
      <c r="D225" s="51"/>
      <c r="E225" s="51"/>
      <c r="F225" s="51"/>
      <c r="G225" s="51" t="str">
        <f>IFERROR(__xludf.DUMMYFUNCTION("""COMPUTED_VALUE"""),"#VALUE!")</f>
        <v>#VALUE!</v>
      </c>
      <c r="H225" s="51" t="str">
        <f>IFERROR(__xludf.DUMMYFUNCTION("""COMPUTED_VALUE"""),"")</f>
        <v/>
      </c>
      <c r="I225" s="51" t="str">
        <f>IFERROR(__xludf.DUMMYFUNCTION("""COMPUTED_VALUE"""),"#VALUE!")</f>
        <v>#VALUE!</v>
      </c>
      <c r="J225" s="51" t="str">
        <f>IFERROR(__xludf.DUMMYFUNCTION("""COMPUTED_VALUE"""),"")</f>
        <v/>
      </c>
      <c r="K225" s="51"/>
      <c r="L225" s="51" t="s">
        <v>257</v>
      </c>
      <c r="M225" s="51"/>
      <c r="N225" s="51"/>
      <c r="O225" s="51"/>
      <c r="P225" s="51"/>
      <c r="Q225" s="51"/>
      <c r="R225" s="51"/>
      <c r="S225" s="51"/>
      <c r="T225" s="51"/>
    </row>
    <row r="226">
      <c r="A226" s="51"/>
      <c r="B226" s="51"/>
      <c r="C226" s="56"/>
      <c r="D226" s="51"/>
      <c r="E226" s="51"/>
      <c r="F226" s="51"/>
      <c r="G226" s="51" t="str">
        <f>IFERROR(__xludf.DUMMYFUNCTION("""COMPUTED_VALUE"""),"#VALUE!")</f>
        <v>#VALUE!</v>
      </c>
      <c r="H226" s="51" t="str">
        <f>IFERROR(__xludf.DUMMYFUNCTION("""COMPUTED_VALUE"""),"")</f>
        <v/>
      </c>
      <c r="I226" s="51" t="str">
        <f>IFERROR(__xludf.DUMMYFUNCTION("""COMPUTED_VALUE"""),"#VALUE!")</f>
        <v>#VALUE!</v>
      </c>
      <c r="J226" s="51" t="str">
        <f>IFERROR(__xludf.DUMMYFUNCTION("""COMPUTED_VALUE"""),"")</f>
        <v/>
      </c>
      <c r="K226" s="51"/>
      <c r="L226" s="51" t="s">
        <v>257</v>
      </c>
      <c r="M226" s="51"/>
      <c r="N226" s="51"/>
      <c r="O226" s="51"/>
      <c r="P226" s="51"/>
      <c r="Q226" s="51"/>
      <c r="R226" s="51"/>
      <c r="S226" s="51"/>
      <c r="T226" s="51"/>
    </row>
    <row r="227">
      <c r="A227" s="51"/>
      <c r="B227" s="51"/>
      <c r="C227" s="56"/>
      <c r="D227" s="51"/>
      <c r="E227" s="51"/>
      <c r="F227" s="51"/>
      <c r="G227" s="51" t="str">
        <f>IFERROR(__xludf.DUMMYFUNCTION("""COMPUTED_VALUE"""),"#VALUE!")</f>
        <v>#VALUE!</v>
      </c>
      <c r="H227" s="51" t="str">
        <f>IFERROR(__xludf.DUMMYFUNCTION("""COMPUTED_VALUE"""),"")</f>
        <v/>
      </c>
      <c r="I227" s="51" t="str">
        <f>IFERROR(__xludf.DUMMYFUNCTION("""COMPUTED_VALUE"""),"#VALUE!")</f>
        <v>#VALUE!</v>
      </c>
      <c r="J227" s="51" t="str">
        <f>IFERROR(__xludf.DUMMYFUNCTION("""COMPUTED_VALUE"""),"")</f>
        <v/>
      </c>
      <c r="K227" s="51"/>
      <c r="L227" s="51" t="s">
        <v>257</v>
      </c>
      <c r="M227" s="51"/>
      <c r="N227" s="51"/>
      <c r="O227" s="51"/>
      <c r="P227" s="51"/>
      <c r="Q227" s="51"/>
      <c r="R227" s="51"/>
      <c r="S227" s="51"/>
      <c r="T227" s="51"/>
    </row>
    <row r="228">
      <c r="A228" s="51"/>
      <c r="B228" s="51"/>
      <c r="C228" s="56"/>
      <c r="D228" s="51"/>
      <c r="E228" s="51"/>
      <c r="F228" s="51"/>
      <c r="G228" s="51" t="str">
        <f>IFERROR(__xludf.DUMMYFUNCTION("""COMPUTED_VALUE"""),"#VALUE!")</f>
        <v>#VALUE!</v>
      </c>
      <c r="H228" s="51" t="str">
        <f>IFERROR(__xludf.DUMMYFUNCTION("""COMPUTED_VALUE"""),"")</f>
        <v/>
      </c>
      <c r="I228" s="51" t="str">
        <f>IFERROR(__xludf.DUMMYFUNCTION("""COMPUTED_VALUE"""),"#VALUE!")</f>
        <v>#VALUE!</v>
      </c>
      <c r="J228" s="51" t="str">
        <f>IFERROR(__xludf.DUMMYFUNCTION("""COMPUTED_VALUE"""),"")</f>
        <v/>
      </c>
      <c r="K228" s="51"/>
      <c r="L228" s="51" t="s">
        <v>257</v>
      </c>
      <c r="M228" s="51"/>
      <c r="N228" s="51"/>
      <c r="O228" s="51"/>
      <c r="P228" s="51"/>
      <c r="Q228" s="51"/>
      <c r="R228" s="51"/>
      <c r="S228" s="51"/>
      <c r="T228" s="51"/>
    </row>
    <row r="229">
      <c r="A229" s="51"/>
      <c r="B229" s="51"/>
      <c r="C229" s="56"/>
      <c r="D229" s="51"/>
      <c r="E229" s="51"/>
      <c r="F229" s="51"/>
      <c r="G229" s="51" t="str">
        <f>IFERROR(__xludf.DUMMYFUNCTION("""COMPUTED_VALUE"""),"#VALUE!")</f>
        <v>#VALUE!</v>
      </c>
      <c r="H229" s="51" t="str">
        <f>IFERROR(__xludf.DUMMYFUNCTION("""COMPUTED_VALUE"""),"")</f>
        <v/>
      </c>
      <c r="I229" s="51" t="str">
        <f>IFERROR(__xludf.DUMMYFUNCTION("""COMPUTED_VALUE"""),"#VALUE!")</f>
        <v>#VALUE!</v>
      </c>
      <c r="J229" s="51" t="str">
        <f>IFERROR(__xludf.DUMMYFUNCTION("""COMPUTED_VALUE"""),"")</f>
        <v/>
      </c>
      <c r="K229" s="51"/>
      <c r="L229" s="51" t="s">
        <v>257</v>
      </c>
      <c r="M229" s="51"/>
      <c r="N229" s="51"/>
      <c r="O229" s="51"/>
      <c r="P229" s="51"/>
      <c r="Q229" s="51"/>
      <c r="R229" s="51"/>
      <c r="S229" s="51"/>
      <c r="T229" s="51"/>
    </row>
    <row r="230">
      <c r="A230" s="51"/>
      <c r="B230" s="51"/>
      <c r="C230" s="56"/>
      <c r="D230" s="51"/>
      <c r="E230" s="51"/>
      <c r="F230" s="51"/>
      <c r="G230" s="51" t="str">
        <f>IFERROR(__xludf.DUMMYFUNCTION("""COMPUTED_VALUE"""),"#VALUE!")</f>
        <v>#VALUE!</v>
      </c>
      <c r="H230" s="51" t="str">
        <f>IFERROR(__xludf.DUMMYFUNCTION("""COMPUTED_VALUE"""),"")</f>
        <v/>
      </c>
      <c r="I230" s="51" t="str">
        <f>IFERROR(__xludf.DUMMYFUNCTION("""COMPUTED_VALUE"""),"#VALUE!")</f>
        <v>#VALUE!</v>
      </c>
      <c r="J230" s="51" t="str">
        <f>IFERROR(__xludf.DUMMYFUNCTION("""COMPUTED_VALUE"""),"")</f>
        <v/>
      </c>
      <c r="K230" s="51"/>
      <c r="L230" s="51" t="s">
        <v>257</v>
      </c>
      <c r="M230" s="51"/>
      <c r="N230" s="51"/>
      <c r="O230" s="51"/>
      <c r="P230" s="51"/>
      <c r="Q230" s="51"/>
      <c r="R230" s="51"/>
      <c r="S230" s="51"/>
      <c r="T230" s="51"/>
    </row>
    <row r="231">
      <c r="A231" s="51"/>
      <c r="B231" s="51"/>
      <c r="C231" s="56"/>
      <c r="D231" s="51"/>
      <c r="E231" s="51"/>
      <c r="F231" s="51"/>
      <c r="G231" s="51" t="str">
        <f>IFERROR(__xludf.DUMMYFUNCTION("""COMPUTED_VALUE"""),"#VALUE!")</f>
        <v>#VALUE!</v>
      </c>
      <c r="H231" s="51" t="str">
        <f>IFERROR(__xludf.DUMMYFUNCTION("""COMPUTED_VALUE"""),"")</f>
        <v/>
      </c>
      <c r="I231" s="51" t="str">
        <f>IFERROR(__xludf.DUMMYFUNCTION("""COMPUTED_VALUE"""),"#VALUE!")</f>
        <v>#VALUE!</v>
      </c>
      <c r="J231" s="51" t="str">
        <f>IFERROR(__xludf.DUMMYFUNCTION("""COMPUTED_VALUE"""),"")</f>
        <v/>
      </c>
      <c r="K231" s="51"/>
      <c r="L231" s="51" t="s">
        <v>257</v>
      </c>
      <c r="M231" s="51"/>
      <c r="N231" s="51"/>
      <c r="O231" s="51"/>
      <c r="P231" s="51"/>
      <c r="Q231" s="51"/>
      <c r="R231" s="51"/>
      <c r="S231" s="51"/>
      <c r="T231" s="51"/>
    </row>
    <row r="232">
      <c r="A232" s="51"/>
      <c r="B232" s="51"/>
      <c r="C232" s="56"/>
      <c r="D232" s="51"/>
      <c r="E232" s="51"/>
      <c r="F232" s="51"/>
      <c r="G232" s="51" t="str">
        <f>IFERROR(__xludf.DUMMYFUNCTION("""COMPUTED_VALUE"""),"#VALUE!")</f>
        <v>#VALUE!</v>
      </c>
      <c r="H232" s="51" t="str">
        <f>IFERROR(__xludf.DUMMYFUNCTION("""COMPUTED_VALUE"""),"")</f>
        <v/>
      </c>
      <c r="I232" s="51" t="str">
        <f>IFERROR(__xludf.DUMMYFUNCTION("""COMPUTED_VALUE"""),"#VALUE!")</f>
        <v>#VALUE!</v>
      </c>
      <c r="J232" s="51" t="str">
        <f>IFERROR(__xludf.DUMMYFUNCTION("""COMPUTED_VALUE"""),"")</f>
        <v/>
      </c>
      <c r="K232" s="51"/>
      <c r="L232" s="51" t="s">
        <v>257</v>
      </c>
      <c r="M232" s="51"/>
      <c r="N232" s="51"/>
      <c r="O232" s="51"/>
      <c r="P232" s="51"/>
      <c r="Q232" s="51"/>
      <c r="R232" s="51"/>
      <c r="S232" s="51"/>
      <c r="T232" s="51"/>
    </row>
    <row r="233">
      <c r="A233" s="51"/>
      <c r="B233" s="51"/>
      <c r="C233" s="56"/>
      <c r="D233" s="51"/>
      <c r="E233" s="51"/>
      <c r="F233" s="51"/>
      <c r="G233" s="51" t="str">
        <f>IFERROR(__xludf.DUMMYFUNCTION("""COMPUTED_VALUE"""),"#VALUE!")</f>
        <v>#VALUE!</v>
      </c>
      <c r="H233" s="51" t="str">
        <f>IFERROR(__xludf.DUMMYFUNCTION("""COMPUTED_VALUE"""),"")</f>
        <v/>
      </c>
      <c r="I233" s="51" t="str">
        <f>IFERROR(__xludf.DUMMYFUNCTION("""COMPUTED_VALUE"""),"#VALUE!")</f>
        <v>#VALUE!</v>
      </c>
      <c r="J233" s="51" t="str">
        <f>IFERROR(__xludf.DUMMYFUNCTION("""COMPUTED_VALUE"""),"")</f>
        <v/>
      </c>
      <c r="K233" s="51"/>
      <c r="L233" s="51" t="s">
        <v>257</v>
      </c>
      <c r="M233" s="51"/>
      <c r="N233" s="51"/>
      <c r="O233" s="51"/>
      <c r="P233" s="51"/>
      <c r="Q233" s="51"/>
      <c r="R233" s="51"/>
      <c r="S233" s="51"/>
      <c r="T233" s="51"/>
    </row>
    <row r="234">
      <c r="A234" s="51"/>
      <c r="B234" s="51"/>
      <c r="C234" s="56"/>
      <c r="D234" s="51"/>
      <c r="E234" s="51"/>
      <c r="F234" s="51"/>
      <c r="G234" s="51" t="str">
        <f>IFERROR(__xludf.DUMMYFUNCTION("""COMPUTED_VALUE"""),"#VALUE!")</f>
        <v>#VALUE!</v>
      </c>
      <c r="H234" s="51" t="str">
        <f>IFERROR(__xludf.DUMMYFUNCTION("""COMPUTED_VALUE"""),"")</f>
        <v/>
      </c>
      <c r="I234" s="51" t="str">
        <f>IFERROR(__xludf.DUMMYFUNCTION("""COMPUTED_VALUE"""),"#VALUE!")</f>
        <v>#VALUE!</v>
      </c>
      <c r="J234" s="51" t="str">
        <f>IFERROR(__xludf.DUMMYFUNCTION("""COMPUTED_VALUE"""),"")</f>
        <v/>
      </c>
      <c r="K234" s="51"/>
      <c r="L234" s="51" t="s">
        <v>257</v>
      </c>
      <c r="M234" s="51"/>
      <c r="N234" s="51"/>
      <c r="O234" s="51"/>
      <c r="P234" s="51"/>
      <c r="Q234" s="51"/>
      <c r="R234" s="51"/>
      <c r="S234" s="51"/>
      <c r="T234" s="51"/>
    </row>
    <row r="235">
      <c r="A235" s="51"/>
      <c r="B235" s="51"/>
      <c r="C235" s="56"/>
      <c r="D235" s="51"/>
      <c r="E235" s="51"/>
      <c r="F235" s="51"/>
      <c r="G235" s="51" t="str">
        <f>IFERROR(__xludf.DUMMYFUNCTION("""COMPUTED_VALUE"""),"#VALUE!")</f>
        <v>#VALUE!</v>
      </c>
      <c r="H235" s="51" t="str">
        <f>IFERROR(__xludf.DUMMYFUNCTION("""COMPUTED_VALUE"""),"")</f>
        <v/>
      </c>
      <c r="I235" s="51" t="str">
        <f>IFERROR(__xludf.DUMMYFUNCTION("""COMPUTED_VALUE"""),"#VALUE!")</f>
        <v>#VALUE!</v>
      </c>
      <c r="J235" s="51" t="str">
        <f>IFERROR(__xludf.DUMMYFUNCTION("""COMPUTED_VALUE"""),"")</f>
        <v/>
      </c>
      <c r="K235" s="51"/>
      <c r="L235" s="51" t="s">
        <v>257</v>
      </c>
      <c r="M235" s="51"/>
      <c r="N235" s="51"/>
      <c r="O235" s="51"/>
      <c r="P235" s="51"/>
      <c r="Q235" s="51"/>
      <c r="R235" s="51"/>
      <c r="S235" s="51"/>
      <c r="T235" s="51"/>
    </row>
    <row r="236">
      <c r="A236" s="51"/>
      <c r="B236" s="51"/>
      <c r="C236" s="56"/>
      <c r="D236" s="51"/>
      <c r="E236" s="51"/>
      <c r="F236" s="51"/>
      <c r="G236" s="51" t="str">
        <f>IFERROR(__xludf.DUMMYFUNCTION("""COMPUTED_VALUE"""),"#VALUE!")</f>
        <v>#VALUE!</v>
      </c>
      <c r="H236" s="51" t="str">
        <f>IFERROR(__xludf.DUMMYFUNCTION("""COMPUTED_VALUE"""),"")</f>
        <v/>
      </c>
      <c r="I236" s="51" t="str">
        <f>IFERROR(__xludf.DUMMYFUNCTION("""COMPUTED_VALUE"""),"#VALUE!")</f>
        <v>#VALUE!</v>
      </c>
      <c r="J236" s="51" t="str">
        <f>IFERROR(__xludf.DUMMYFUNCTION("""COMPUTED_VALUE"""),"")</f>
        <v/>
      </c>
      <c r="K236" s="51"/>
      <c r="L236" s="51" t="s">
        <v>257</v>
      </c>
      <c r="M236" s="51"/>
      <c r="N236" s="51"/>
      <c r="O236" s="51"/>
      <c r="P236" s="51"/>
      <c r="Q236" s="51"/>
      <c r="R236" s="51"/>
      <c r="S236" s="51"/>
      <c r="T236" s="51"/>
    </row>
    <row r="237">
      <c r="A237" s="51"/>
      <c r="B237" s="51"/>
      <c r="C237" s="56"/>
      <c r="D237" s="51"/>
      <c r="E237" s="51"/>
      <c r="F237" s="51"/>
      <c r="G237" s="51" t="str">
        <f>IFERROR(__xludf.DUMMYFUNCTION("""COMPUTED_VALUE"""),"#VALUE!")</f>
        <v>#VALUE!</v>
      </c>
      <c r="H237" s="51" t="str">
        <f>IFERROR(__xludf.DUMMYFUNCTION("""COMPUTED_VALUE"""),"")</f>
        <v/>
      </c>
      <c r="I237" s="51" t="str">
        <f>IFERROR(__xludf.DUMMYFUNCTION("""COMPUTED_VALUE"""),"#VALUE!")</f>
        <v>#VALUE!</v>
      </c>
      <c r="J237" s="51" t="str">
        <f>IFERROR(__xludf.DUMMYFUNCTION("""COMPUTED_VALUE"""),"")</f>
        <v/>
      </c>
      <c r="K237" s="51"/>
      <c r="L237" s="51" t="s">
        <v>257</v>
      </c>
      <c r="M237" s="51"/>
      <c r="N237" s="51"/>
      <c r="O237" s="51"/>
      <c r="P237" s="51"/>
      <c r="Q237" s="51"/>
      <c r="R237" s="51"/>
      <c r="S237" s="51"/>
      <c r="T237" s="51"/>
    </row>
    <row r="238">
      <c r="A238" s="51"/>
      <c r="B238" s="51"/>
      <c r="C238" s="56"/>
      <c r="D238" s="51"/>
      <c r="E238" s="51"/>
      <c r="F238" s="51"/>
      <c r="G238" s="51" t="str">
        <f>IFERROR(__xludf.DUMMYFUNCTION("""COMPUTED_VALUE"""),"#VALUE!")</f>
        <v>#VALUE!</v>
      </c>
      <c r="H238" s="51" t="str">
        <f>IFERROR(__xludf.DUMMYFUNCTION("""COMPUTED_VALUE"""),"")</f>
        <v/>
      </c>
      <c r="I238" s="51" t="str">
        <f>IFERROR(__xludf.DUMMYFUNCTION("""COMPUTED_VALUE"""),"#VALUE!")</f>
        <v>#VALUE!</v>
      </c>
      <c r="J238" s="51" t="str">
        <f>IFERROR(__xludf.DUMMYFUNCTION("""COMPUTED_VALUE"""),"")</f>
        <v/>
      </c>
      <c r="K238" s="51"/>
      <c r="L238" s="51" t="s">
        <v>257</v>
      </c>
      <c r="M238" s="51"/>
      <c r="N238" s="51"/>
      <c r="O238" s="51"/>
      <c r="P238" s="51"/>
      <c r="Q238" s="51"/>
      <c r="R238" s="51"/>
      <c r="S238" s="51"/>
      <c r="T238" s="51"/>
    </row>
    <row r="239">
      <c r="A239" s="51"/>
      <c r="B239" s="51"/>
      <c r="C239" s="56"/>
      <c r="D239" s="51"/>
      <c r="E239" s="51"/>
      <c r="F239" s="51"/>
      <c r="G239" s="51" t="str">
        <f>IFERROR(__xludf.DUMMYFUNCTION("""COMPUTED_VALUE"""),"#VALUE!")</f>
        <v>#VALUE!</v>
      </c>
      <c r="H239" s="51" t="str">
        <f>IFERROR(__xludf.DUMMYFUNCTION("""COMPUTED_VALUE"""),"")</f>
        <v/>
      </c>
      <c r="I239" s="51" t="str">
        <f>IFERROR(__xludf.DUMMYFUNCTION("""COMPUTED_VALUE"""),"#VALUE!")</f>
        <v>#VALUE!</v>
      </c>
      <c r="J239" s="51" t="str">
        <f>IFERROR(__xludf.DUMMYFUNCTION("""COMPUTED_VALUE"""),"")</f>
        <v/>
      </c>
      <c r="K239" s="51"/>
      <c r="L239" s="51" t="s">
        <v>257</v>
      </c>
      <c r="M239" s="51"/>
      <c r="N239" s="51"/>
      <c r="O239" s="51"/>
      <c r="P239" s="51"/>
      <c r="Q239" s="51"/>
      <c r="R239" s="51"/>
      <c r="S239" s="51"/>
      <c r="T239" s="51"/>
    </row>
    <row r="240">
      <c r="A240" s="51"/>
      <c r="B240" s="51"/>
      <c r="C240" s="56"/>
      <c r="D240" s="51"/>
      <c r="E240" s="51"/>
      <c r="F240" s="51"/>
      <c r="G240" s="51" t="str">
        <f>IFERROR(__xludf.DUMMYFUNCTION("""COMPUTED_VALUE"""),"#VALUE!")</f>
        <v>#VALUE!</v>
      </c>
      <c r="H240" s="51" t="str">
        <f>IFERROR(__xludf.DUMMYFUNCTION("""COMPUTED_VALUE"""),"")</f>
        <v/>
      </c>
      <c r="I240" s="51" t="str">
        <f>IFERROR(__xludf.DUMMYFUNCTION("""COMPUTED_VALUE"""),"#VALUE!")</f>
        <v>#VALUE!</v>
      </c>
      <c r="J240" s="51" t="str">
        <f>IFERROR(__xludf.DUMMYFUNCTION("""COMPUTED_VALUE"""),"")</f>
        <v/>
      </c>
      <c r="K240" s="51"/>
      <c r="L240" s="51" t="s">
        <v>257</v>
      </c>
      <c r="M240" s="51"/>
      <c r="N240" s="51"/>
      <c r="O240" s="51"/>
      <c r="P240" s="51"/>
      <c r="Q240" s="51"/>
      <c r="R240" s="51"/>
      <c r="S240" s="51"/>
      <c r="T240" s="51"/>
    </row>
    <row r="241">
      <c r="A241" s="51"/>
      <c r="B241" s="51"/>
      <c r="C241" s="56"/>
      <c r="D241" s="51"/>
      <c r="E241" s="51"/>
      <c r="F241" s="51"/>
      <c r="G241" s="51" t="str">
        <f>IFERROR(__xludf.DUMMYFUNCTION("""COMPUTED_VALUE"""),"#VALUE!")</f>
        <v>#VALUE!</v>
      </c>
      <c r="H241" s="51" t="str">
        <f>IFERROR(__xludf.DUMMYFUNCTION("""COMPUTED_VALUE"""),"")</f>
        <v/>
      </c>
      <c r="I241" s="51" t="str">
        <f>IFERROR(__xludf.DUMMYFUNCTION("""COMPUTED_VALUE"""),"#VALUE!")</f>
        <v>#VALUE!</v>
      </c>
      <c r="J241" s="51" t="str">
        <f>IFERROR(__xludf.DUMMYFUNCTION("""COMPUTED_VALUE"""),"")</f>
        <v/>
      </c>
      <c r="K241" s="51"/>
      <c r="L241" s="51" t="s">
        <v>257</v>
      </c>
      <c r="M241" s="51"/>
      <c r="N241" s="51"/>
      <c r="O241" s="51"/>
      <c r="P241" s="51"/>
      <c r="Q241" s="51"/>
      <c r="R241" s="51"/>
      <c r="S241" s="51"/>
      <c r="T241" s="51"/>
    </row>
    <row r="242">
      <c r="A242" s="51"/>
      <c r="B242" s="51"/>
      <c r="C242" s="56"/>
      <c r="D242" s="51"/>
      <c r="E242" s="51"/>
      <c r="F242" s="51"/>
      <c r="G242" s="51" t="str">
        <f>IFERROR(__xludf.DUMMYFUNCTION("""COMPUTED_VALUE"""),"#VALUE!")</f>
        <v>#VALUE!</v>
      </c>
      <c r="H242" s="51" t="str">
        <f>IFERROR(__xludf.DUMMYFUNCTION("""COMPUTED_VALUE"""),"")</f>
        <v/>
      </c>
      <c r="I242" s="51" t="str">
        <f>IFERROR(__xludf.DUMMYFUNCTION("""COMPUTED_VALUE"""),"#VALUE!")</f>
        <v>#VALUE!</v>
      </c>
      <c r="J242" s="51" t="str">
        <f>IFERROR(__xludf.DUMMYFUNCTION("""COMPUTED_VALUE"""),"")</f>
        <v/>
      </c>
      <c r="K242" s="51"/>
      <c r="L242" s="51" t="s">
        <v>257</v>
      </c>
      <c r="M242" s="51"/>
      <c r="N242" s="51"/>
      <c r="O242" s="51"/>
      <c r="P242" s="51"/>
      <c r="Q242" s="51"/>
      <c r="R242" s="51"/>
      <c r="S242" s="51"/>
      <c r="T242" s="51"/>
    </row>
    <row r="243">
      <c r="A243" s="51"/>
      <c r="B243" s="51"/>
      <c r="C243" s="56"/>
      <c r="D243" s="51"/>
      <c r="E243" s="51"/>
      <c r="F243" s="51"/>
      <c r="G243" s="51" t="str">
        <f>IFERROR(__xludf.DUMMYFUNCTION("""COMPUTED_VALUE"""),"#VALUE!")</f>
        <v>#VALUE!</v>
      </c>
      <c r="H243" s="51" t="str">
        <f>IFERROR(__xludf.DUMMYFUNCTION("""COMPUTED_VALUE"""),"")</f>
        <v/>
      </c>
      <c r="I243" s="51" t="str">
        <f>IFERROR(__xludf.DUMMYFUNCTION("""COMPUTED_VALUE"""),"#VALUE!")</f>
        <v>#VALUE!</v>
      </c>
      <c r="J243" s="51" t="str">
        <f>IFERROR(__xludf.DUMMYFUNCTION("""COMPUTED_VALUE"""),"")</f>
        <v/>
      </c>
      <c r="K243" s="51"/>
      <c r="L243" s="51" t="s">
        <v>257</v>
      </c>
      <c r="M243" s="51"/>
      <c r="N243" s="51"/>
      <c r="O243" s="51"/>
      <c r="P243" s="51"/>
      <c r="Q243" s="51"/>
      <c r="R243" s="51"/>
      <c r="S243" s="51"/>
      <c r="T243" s="51"/>
    </row>
    <row r="244">
      <c r="A244" s="51"/>
      <c r="B244" s="51"/>
      <c r="C244" s="56"/>
      <c r="D244" s="51"/>
      <c r="E244" s="51"/>
      <c r="F244" s="51"/>
      <c r="G244" s="51" t="str">
        <f>IFERROR(__xludf.DUMMYFUNCTION("""COMPUTED_VALUE"""),"#VALUE!")</f>
        <v>#VALUE!</v>
      </c>
      <c r="H244" s="51" t="str">
        <f>IFERROR(__xludf.DUMMYFUNCTION("""COMPUTED_VALUE"""),"")</f>
        <v/>
      </c>
      <c r="I244" s="51" t="str">
        <f>IFERROR(__xludf.DUMMYFUNCTION("""COMPUTED_VALUE"""),"#VALUE!")</f>
        <v>#VALUE!</v>
      </c>
      <c r="J244" s="51" t="str">
        <f>IFERROR(__xludf.DUMMYFUNCTION("""COMPUTED_VALUE"""),"")</f>
        <v/>
      </c>
      <c r="K244" s="51"/>
      <c r="L244" s="51" t="s">
        <v>257</v>
      </c>
      <c r="M244" s="51"/>
      <c r="N244" s="51"/>
      <c r="O244" s="51"/>
      <c r="P244" s="51"/>
      <c r="Q244" s="51"/>
      <c r="R244" s="51"/>
      <c r="S244" s="51"/>
      <c r="T244" s="51"/>
    </row>
    <row r="245">
      <c r="A245" s="51"/>
      <c r="B245" s="51"/>
      <c r="C245" s="56"/>
      <c r="D245" s="51"/>
      <c r="E245" s="51"/>
      <c r="F245" s="51"/>
      <c r="G245" s="51" t="str">
        <f>IFERROR(__xludf.DUMMYFUNCTION("""COMPUTED_VALUE"""),"#VALUE!")</f>
        <v>#VALUE!</v>
      </c>
      <c r="H245" s="51" t="str">
        <f>IFERROR(__xludf.DUMMYFUNCTION("""COMPUTED_VALUE"""),"")</f>
        <v/>
      </c>
      <c r="I245" s="51" t="str">
        <f>IFERROR(__xludf.DUMMYFUNCTION("""COMPUTED_VALUE"""),"#VALUE!")</f>
        <v>#VALUE!</v>
      </c>
      <c r="J245" s="51" t="str">
        <f>IFERROR(__xludf.DUMMYFUNCTION("""COMPUTED_VALUE"""),"")</f>
        <v/>
      </c>
      <c r="K245" s="51"/>
      <c r="L245" s="51" t="s">
        <v>257</v>
      </c>
      <c r="M245" s="51"/>
      <c r="N245" s="51"/>
      <c r="O245" s="51"/>
      <c r="P245" s="51"/>
      <c r="Q245" s="51"/>
      <c r="R245" s="51"/>
      <c r="S245" s="51"/>
      <c r="T245" s="51"/>
    </row>
    <row r="246">
      <c r="A246" s="51"/>
      <c r="B246" s="51"/>
      <c r="C246" s="56"/>
      <c r="D246" s="51"/>
      <c r="E246" s="51"/>
      <c r="F246" s="51"/>
      <c r="G246" s="51" t="str">
        <f>IFERROR(__xludf.DUMMYFUNCTION("""COMPUTED_VALUE"""),"#VALUE!")</f>
        <v>#VALUE!</v>
      </c>
      <c r="H246" s="51" t="str">
        <f>IFERROR(__xludf.DUMMYFUNCTION("""COMPUTED_VALUE"""),"")</f>
        <v/>
      </c>
      <c r="I246" s="51" t="str">
        <f>IFERROR(__xludf.DUMMYFUNCTION("""COMPUTED_VALUE"""),"#VALUE!")</f>
        <v>#VALUE!</v>
      </c>
      <c r="J246" s="51" t="str">
        <f>IFERROR(__xludf.DUMMYFUNCTION("""COMPUTED_VALUE"""),"")</f>
        <v/>
      </c>
      <c r="K246" s="51"/>
      <c r="L246" s="51" t="s">
        <v>257</v>
      </c>
      <c r="M246" s="51"/>
      <c r="N246" s="51"/>
      <c r="O246" s="51"/>
      <c r="P246" s="51"/>
      <c r="Q246" s="51"/>
      <c r="R246" s="51"/>
      <c r="S246" s="51"/>
      <c r="T246" s="51"/>
    </row>
    <row r="247">
      <c r="A247" s="51"/>
      <c r="B247" s="51"/>
      <c r="C247" s="56"/>
      <c r="D247" s="51"/>
      <c r="E247" s="51"/>
      <c r="F247" s="51"/>
      <c r="G247" s="51" t="str">
        <f>IFERROR(__xludf.DUMMYFUNCTION("""COMPUTED_VALUE"""),"#VALUE!")</f>
        <v>#VALUE!</v>
      </c>
      <c r="H247" s="51" t="str">
        <f>IFERROR(__xludf.DUMMYFUNCTION("""COMPUTED_VALUE"""),"")</f>
        <v/>
      </c>
      <c r="I247" s="51" t="str">
        <f>IFERROR(__xludf.DUMMYFUNCTION("""COMPUTED_VALUE"""),"#VALUE!")</f>
        <v>#VALUE!</v>
      </c>
      <c r="J247" s="51" t="str">
        <f>IFERROR(__xludf.DUMMYFUNCTION("""COMPUTED_VALUE"""),"")</f>
        <v/>
      </c>
      <c r="K247" s="51"/>
      <c r="L247" s="51" t="s">
        <v>257</v>
      </c>
      <c r="M247" s="51"/>
      <c r="N247" s="51"/>
      <c r="O247" s="51"/>
      <c r="P247" s="51"/>
      <c r="Q247" s="51"/>
      <c r="R247" s="51"/>
      <c r="S247" s="51"/>
      <c r="T247" s="51"/>
    </row>
    <row r="248">
      <c r="A248" s="51"/>
      <c r="B248" s="51"/>
      <c r="C248" s="56"/>
      <c r="D248" s="51"/>
      <c r="E248" s="51"/>
      <c r="F248" s="51"/>
      <c r="G248" s="51" t="str">
        <f>IFERROR(__xludf.DUMMYFUNCTION("""COMPUTED_VALUE"""),"#VALUE!")</f>
        <v>#VALUE!</v>
      </c>
      <c r="H248" s="51" t="str">
        <f>IFERROR(__xludf.DUMMYFUNCTION("""COMPUTED_VALUE"""),"")</f>
        <v/>
      </c>
      <c r="I248" s="51" t="str">
        <f>IFERROR(__xludf.DUMMYFUNCTION("""COMPUTED_VALUE"""),"#VALUE!")</f>
        <v>#VALUE!</v>
      </c>
      <c r="J248" s="51" t="str">
        <f>IFERROR(__xludf.DUMMYFUNCTION("""COMPUTED_VALUE"""),"")</f>
        <v/>
      </c>
      <c r="K248" s="51"/>
      <c r="L248" s="51" t="s">
        <v>257</v>
      </c>
      <c r="M248" s="51"/>
      <c r="N248" s="51"/>
      <c r="O248" s="51"/>
      <c r="P248" s="51"/>
      <c r="Q248" s="51"/>
      <c r="R248" s="51"/>
      <c r="S248" s="51"/>
      <c r="T248" s="51"/>
    </row>
    <row r="249">
      <c r="A249" s="51"/>
      <c r="B249" s="51"/>
      <c r="C249" s="56"/>
      <c r="D249" s="51"/>
      <c r="E249" s="51"/>
      <c r="F249" s="51"/>
      <c r="G249" s="51" t="str">
        <f>IFERROR(__xludf.DUMMYFUNCTION("""COMPUTED_VALUE"""),"#VALUE!")</f>
        <v>#VALUE!</v>
      </c>
      <c r="H249" s="51" t="str">
        <f>IFERROR(__xludf.DUMMYFUNCTION("""COMPUTED_VALUE"""),"")</f>
        <v/>
      </c>
      <c r="I249" s="51" t="str">
        <f>IFERROR(__xludf.DUMMYFUNCTION("""COMPUTED_VALUE"""),"#VALUE!")</f>
        <v>#VALUE!</v>
      </c>
      <c r="J249" s="51" t="str">
        <f>IFERROR(__xludf.DUMMYFUNCTION("""COMPUTED_VALUE"""),"")</f>
        <v/>
      </c>
      <c r="K249" s="51"/>
      <c r="L249" s="51" t="s">
        <v>257</v>
      </c>
      <c r="M249" s="51"/>
      <c r="N249" s="51"/>
      <c r="O249" s="51"/>
      <c r="P249" s="51"/>
      <c r="Q249" s="51"/>
      <c r="R249" s="51"/>
      <c r="S249" s="51"/>
      <c r="T249" s="51"/>
    </row>
    <row r="250">
      <c r="A250" s="51"/>
      <c r="B250" s="51"/>
      <c r="C250" s="56"/>
      <c r="D250" s="51"/>
      <c r="E250" s="51"/>
      <c r="F250" s="51"/>
      <c r="G250" s="51" t="str">
        <f>IFERROR(__xludf.DUMMYFUNCTION("""COMPUTED_VALUE"""),"#VALUE!")</f>
        <v>#VALUE!</v>
      </c>
      <c r="H250" s="51" t="str">
        <f>IFERROR(__xludf.DUMMYFUNCTION("""COMPUTED_VALUE"""),"")</f>
        <v/>
      </c>
      <c r="I250" s="51" t="str">
        <f>IFERROR(__xludf.DUMMYFUNCTION("""COMPUTED_VALUE"""),"#VALUE!")</f>
        <v>#VALUE!</v>
      </c>
      <c r="J250" s="51" t="str">
        <f>IFERROR(__xludf.DUMMYFUNCTION("""COMPUTED_VALUE"""),"")</f>
        <v/>
      </c>
      <c r="K250" s="51"/>
      <c r="L250" s="51" t="s">
        <v>257</v>
      </c>
      <c r="M250" s="51"/>
      <c r="N250" s="51"/>
      <c r="O250" s="51"/>
      <c r="P250" s="51"/>
      <c r="Q250" s="51"/>
      <c r="R250" s="51"/>
      <c r="S250" s="51"/>
      <c r="T250" s="51"/>
    </row>
    <row r="251">
      <c r="A251" s="51"/>
      <c r="B251" s="51"/>
      <c r="C251" s="56"/>
      <c r="D251" s="51"/>
      <c r="E251" s="51"/>
      <c r="F251" s="51"/>
      <c r="G251" s="51" t="str">
        <f>IFERROR(__xludf.DUMMYFUNCTION("""COMPUTED_VALUE"""),"#VALUE!")</f>
        <v>#VALUE!</v>
      </c>
      <c r="H251" s="51" t="str">
        <f>IFERROR(__xludf.DUMMYFUNCTION("""COMPUTED_VALUE"""),"")</f>
        <v/>
      </c>
      <c r="I251" s="51" t="str">
        <f>IFERROR(__xludf.DUMMYFUNCTION("""COMPUTED_VALUE"""),"#VALUE!")</f>
        <v>#VALUE!</v>
      </c>
      <c r="J251" s="51" t="str">
        <f>IFERROR(__xludf.DUMMYFUNCTION("""COMPUTED_VALUE"""),"")</f>
        <v/>
      </c>
      <c r="K251" s="51"/>
      <c r="L251" s="51" t="s">
        <v>257</v>
      </c>
      <c r="M251" s="51"/>
      <c r="N251" s="51"/>
      <c r="O251" s="51"/>
      <c r="P251" s="51"/>
      <c r="Q251" s="51"/>
      <c r="R251" s="51"/>
      <c r="S251" s="51"/>
      <c r="T251" s="51"/>
    </row>
    <row r="252">
      <c r="A252" s="51"/>
      <c r="B252" s="51"/>
      <c r="C252" s="56"/>
      <c r="D252" s="51"/>
      <c r="E252" s="51"/>
      <c r="F252" s="51"/>
      <c r="G252" s="51" t="str">
        <f>IFERROR(__xludf.DUMMYFUNCTION("""COMPUTED_VALUE"""),"#VALUE!")</f>
        <v>#VALUE!</v>
      </c>
      <c r="H252" s="51" t="str">
        <f>IFERROR(__xludf.DUMMYFUNCTION("""COMPUTED_VALUE"""),"")</f>
        <v/>
      </c>
      <c r="I252" s="51" t="str">
        <f>IFERROR(__xludf.DUMMYFUNCTION("""COMPUTED_VALUE"""),"#VALUE!")</f>
        <v>#VALUE!</v>
      </c>
      <c r="J252" s="51" t="str">
        <f>IFERROR(__xludf.DUMMYFUNCTION("""COMPUTED_VALUE"""),"")</f>
        <v/>
      </c>
      <c r="K252" s="51"/>
      <c r="L252" s="51" t="s">
        <v>257</v>
      </c>
      <c r="M252" s="51"/>
      <c r="N252" s="51"/>
      <c r="O252" s="51"/>
      <c r="P252" s="51"/>
      <c r="Q252" s="51"/>
      <c r="R252" s="51"/>
      <c r="S252" s="51"/>
      <c r="T252" s="51"/>
    </row>
    <row r="253">
      <c r="A253" s="51"/>
      <c r="B253" s="51"/>
      <c r="C253" s="56"/>
      <c r="D253" s="51"/>
      <c r="E253" s="51"/>
      <c r="F253" s="51"/>
      <c r="G253" s="51" t="str">
        <f>IFERROR(__xludf.DUMMYFUNCTION("""COMPUTED_VALUE"""),"#VALUE!")</f>
        <v>#VALUE!</v>
      </c>
      <c r="H253" s="51" t="str">
        <f>IFERROR(__xludf.DUMMYFUNCTION("""COMPUTED_VALUE"""),"")</f>
        <v/>
      </c>
      <c r="I253" s="51" t="str">
        <f>IFERROR(__xludf.DUMMYFUNCTION("""COMPUTED_VALUE"""),"#VALUE!")</f>
        <v>#VALUE!</v>
      </c>
      <c r="J253" s="51" t="str">
        <f>IFERROR(__xludf.DUMMYFUNCTION("""COMPUTED_VALUE"""),"")</f>
        <v/>
      </c>
      <c r="K253" s="51"/>
      <c r="L253" s="51" t="s">
        <v>257</v>
      </c>
      <c r="M253" s="51"/>
      <c r="N253" s="51"/>
      <c r="O253" s="51"/>
      <c r="P253" s="51"/>
      <c r="Q253" s="51"/>
      <c r="R253" s="51"/>
      <c r="S253" s="51"/>
      <c r="T253" s="51"/>
    </row>
    <row r="254">
      <c r="A254" s="51"/>
      <c r="B254" s="51"/>
      <c r="C254" s="56"/>
      <c r="D254" s="51"/>
      <c r="E254" s="51"/>
      <c r="F254" s="51"/>
      <c r="G254" s="51" t="str">
        <f>IFERROR(__xludf.DUMMYFUNCTION("""COMPUTED_VALUE"""),"#VALUE!")</f>
        <v>#VALUE!</v>
      </c>
      <c r="H254" s="51" t="str">
        <f>IFERROR(__xludf.DUMMYFUNCTION("""COMPUTED_VALUE"""),"")</f>
        <v/>
      </c>
      <c r="I254" s="51" t="str">
        <f>IFERROR(__xludf.DUMMYFUNCTION("""COMPUTED_VALUE"""),"#VALUE!")</f>
        <v>#VALUE!</v>
      </c>
      <c r="J254" s="51" t="str">
        <f>IFERROR(__xludf.DUMMYFUNCTION("""COMPUTED_VALUE"""),"")</f>
        <v/>
      </c>
      <c r="K254" s="51"/>
      <c r="L254" s="51" t="s">
        <v>257</v>
      </c>
      <c r="M254" s="51"/>
      <c r="N254" s="51"/>
      <c r="O254" s="51"/>
      <c r="P254" s="51"/>
      <c r="Q254" s="51"/>
      <c r="R254" s="51"/>
      <c r="S254" s="51"/>
      <c r="T254" s="51"/>
    </row>
    <row r="255">
      <c r="A255" s="51"/>
      <c r="B255" s="51"/>
      <c r="C255" s="56"/>
      <c r="D255" s="51"/>
      <c r="E255" s="51"/>
      <c r="F255" s="51"/>
      <c r="G255" s="51" t="str">
        <f>IFERROR(__xludf.DUMMYFUNCTION("""COMPUTED_VALUE"""),"#VALUE!")</f>
        <v>#VALUE!</v>
      </c>
      <c r="H255" s="51" t="str">
        <f>IFERROR(__xludf.DUMMYFUNCTION("""COMPUTED_VALUE"""),"")</f>
        <v/>
      </c>
      <c r="I255" s="51" t="str">
        <f>IFERROR(__xludf.DUMMYFUNCTION("""COMPUTED_VALUE"""),"#VALUE!")</f>
        <v>#VALUE!</v>
      </c>
      <c r="J255" s="51" t="str">
        <f>IFERROR(__xludf.DUMMYFUNCTION("""COMPUTED_VALUE"""),"")</f>
        <v/>
      </c>
      <c r="K255" s="51"/>
      <c r="L255" s="51" t="s">
        <v>257</v>
      </c>
      <c r="M255" s="51"/>
      <c r="N255" s="51"/>
      <c r="O255" s="51"/>
      <c r="P255" s="51"/>
      <c r="Q255" s="51"/>
      <c r="R255" s="51"/>
      <c r="S255" s="51"/>
      <c r="T255" s="51"/>
    </row>
    <row r="256">
      <c r="A256" s="51"/>
      <c r="B256" s="51"/>
      <c r="C256" s="56"/>
      <c r="D256" s="51"/>
      <c r="E256" s="51"/>
      <c r="F256" s="51"/>
      <c r="G256" s="51" t="str">
        <f>IFERROR(__xludf.DUMMYFUNCTION("""COMPUTED_VALUE"""),"#VALUE!")</f>
        <v>#VALUE!</v>
      </c>
      <c r="H256" s="51" t="str">
        <f>IFERROR(__xludf.DUMMYFUNCTION("""COMPUTED_VALUE"""),"")</f>
        <v/>
      </c>
      <c r="I256" s="51" t="str">
        <f>IFERROR(__xludf.DUMMYFUNCTION("""COMPUTED_VALUE"""),"#VALUE!")</f>
        <v>#VALUE!</v>
      </c>
      <c r="J256" s="51" t="str">
        <f>IFERROR(__xludf.DUMMYFUNCTION("""COMPUTED_VALUE"""),"")</f>
        <v/>
      </c>
      <c r="K256" s="51"/>
      <c r="L256" s="51" t="s">
        <v>257</v>
      </c>
      <c r="M256" s="51"/>
      <c r="N256" s="51"/>
      <c r="O256" s="51"/>
      <c r="P256" s="51"/>
      <c r="Q256" s="51"/>
      <c r="R256" s="51"/>
      <c r="S256" s="51"/>
      <c r="T256" s="51"/>
    </row>
    <row r="257">
      <c r="A257" s="51"/>
      <c r="B257" s="51"/>
      <c r="C257" s="56"/>
      <c r="D257" s="51"/>
      <c r="E257" s="51"/>
      <c r="F257" s="51"/>
      <c r="G257" s="51" t="str">
        <f>IFERROR(__xludf.DUMMYFUNCTION("""COMPUTED_VALUE"""),"#VALUE!")</f>
        <v>#VALUE!</v>
      </c>
      <c r="H257" s="51" t="str">
        <f>IFERROR(__xludf.DUMMYFUNCTION("""COMPUTED_VALUE"""),"")</f>
        <v/>
      </c>
      <c r="I257" s="51" t="str">
        <f>IFERROR(__xludf.DUMMYFUNCTION("""COMPUTED_VALUE"""),"#VALUE!")</f>
        <v>#VALUE!</v>
      </c>
      <c r="J257" s="51" t="str">
        <f>IFERROR(__xludf.DUMMYFUNCTION("""COMPUTED_VALUE"""),"")</f>
        <v/>
      </c>
      <c r="K257" s="51"/>
      <c r="L257" s="51" t="s">
        <v>257</v>
      </c>
      <c r="M257" s="51"/>
      <c r="N257" s="51"/>
      <c r="O257" s="51"/>
      <c r="P257" s="51"/>
      <c r="Q257" s="51"/>
      <c r="R257" s="51"/>
      <c r="S257" s="51"/>
      <c r="T257" s="51"/>
    </row>
    <row r="258">
      <c r="A258" s="51"/>
      <c r="B258" s="51"/>
      <c r="C258" s="56"/>
      <c r="D258" s="51"/>
      <c r="E258" s="51"/>
      <c r="F258" s="51"/>
      <c r="G258" s="51" t="str">
        <f>IFERROR(__xludf.DUMMYFUNCTION("""COMPUTED_VALUE"""),"#VALUE!")</f>
        <v>#VALUE!</v>
      </c>
      <c r="H258" s="51" t="str">
        <f>IFERROR(__xludf.DUMMYFUNCTION("""COMPUTED_VALUE"""),"")</f>
        <v/>
      </c>
      <c r="I258" s="51" t="str">
        <f>IFERROR(__xludf.DUMMYFUNCTION("""COMPUTED_VALUE"""),"#VALUE!")</f>
        <v>#VALUE!</v>
      </c>
      <c r="J258" s="51" t="str">
        <f>IFERROR(__xludf.DUMMYFUNCTION("""COMPUTED_VALUE"""),"")</f>
        <v/>
      </c>
      <c r="K258" s="51"/>
      <c r="L258" s="51" t="s">
        <v>257</v>
      </c>
      <c r="M258" s="51"/>
      <c r="N258" s="51"/>
      <c r="O258" s="51"/>
      <c r="P258" s="51"/>
      <c r="Q258" s="51"/>
      <c r="R258" s="51"/>
      <c r="S258" s="51"/>
      <c r="T258" s="51"/>
    </row>
    <row r="259">
      <c r="A259" s="51"/>
      <c r="B259" s="51"/>
      <c r="C259" s="56"/>
      <c r="D259" s="51"/>
      <c r="E259" s="51"/>
      <c r="F259" s="51"/>
      <c r="G259" s="51" t="str">
        <f>IFERROR(__xludf.DUMMYFUNCTION("""COMPUTED_VALUE"""),"#VALUE!")</f>
        <v>#VALUE!</v>
      </c>
      <c r="H259" s="51" t="str">
        <f>IFERROR(__xludf.DUMMYFUNCTION("""COMPUTED_VALUE"""),"")</f>
        <v/>
      </c>
      <c r="I259" s="51" t="str">
        <f>IFERROR(__xludf.DUMMYFUNCTION("""COMPUTED_VALUE"""),"#VALUE!")</f>
        <v>#VALUE!</v>
      </c>
      <c r="J259" s="51" t="str">
        <f>IFERROR(__xludf.DUMMYFUNCTION("""COMPUTED_VALUE"""),"")</f>
        <v/>
      </c>
      <c r="K259" s="51"/>
      <c r="L259" s="51" t="s">
        <v>257</v>
      </c>
      <c r="M259" s="51"/>
      <c r="N259" s="51"/>
      <c r="O259" s="51"/>
      <c r="P259" s="51"/>
      <c r="Q259" s="51"/>
      <c r="R259" s="51"/>
      <c r="S259" s="51"/>
      <c r="T259" s="51"/>
    </row>
    <row r="260">
      <c r="A260" s="51"/>
      <c r="B260" s="51"/>
      <c r="C260" s="56"/>
      <c r="D260" s="51"/>
      <c r="E260" s="51"/>
      <c r="F260" s="51"/>
      <c r="G260" s="51" t="str">
        <f>IFERROR(__xludf.DUMMYFUNCTION("""COMPUTED_VALUE"""),"#VALUE!")</f>
        <v>#VALUE!</v>
      </c>
      <c r="H260" s="51" t="str">
        <f>IFERROR(__xludf.DUMMYFUNCTION("""COMPUTED_VALUE"""),"")</f>
        <v/>
      </c>
      <c r="I260" s="51" t="str">
        <f>IFERROR(__xludf.DUMMYFUNCTION("""COMPUTED_VALUE"""),"#VALUE!")</f>
        <v>#VALUE!</v>
      </c>
      <c r="J260" s="51" t="str">
        <f>IFERROR(__xludf.DUMMYFUNCTION("""COMPUTED_VALUE"""),"")</f>
        <v/>
      </c>
      <c r="K260" s="51"/>
      <c r="L260" s="51" t="s">
        <v>257</v>
      </c>
      <c r="M260" s="51"/>
      <c r="N260" s="51"/>
      <c r="O260" s="51"/>
      <c r="P260" s="51"/>
      <c r="Q260" s="51"/>
      <c r="R260" s="51"/>
      <c r="S260" s="51"/>
      <c r="T260" s="51"/>
    </row>
    <row r="261">
      <c r="A261" s="51"/>
      <c r="B261" s="51"/>
      <c r="C261" s="56"/>
      <c r="D261" s="51"/>
      <c r="E261" s="51"/>
      <c r="F261" s="51"/>
      <c r="G261" s="51" t="str">
        <f>IFERROR(__xludf.DUMMYFUNCTION("""COMPUTED_VALUE"""),"#VALUE!")</f>
        <v>#VALUE!</v>
      </c>
      <c r="H261" s="51" t="str">
        <f>IFERROR(__xludf.DUMMYFUNCTION("""COMPUTED_VALUE"""),"")</f>
        <v/>
      </c>
      <c r="I261" s="51" t="str">
        <f>IFERROR(__xludf.DUMMYFUNCTION("""COMPUTED_VALUE"""),"#VALUE!")</f>
        <v>#VALUE!</v>
      </c>
      <c r="J261" s="51" t="str">
        <f>IFERROR(__xludf.DUMMYFUNCTION("""COMPUTED_VALUE"""),"")</f>
        <v/>
      </c>
      <c r="K261" s="51"/>
      <c r="L261" s="51" t="s">
        <v>257</v>
      </c>
      <c r="M261" s="51"/>
      <c r="N261" s="51"/>
      <c r="O261" s="51"/>
      <c r="P261" s="51"/>
      <c r="Q261" s="51"/>
      <c r="R261" s="51"/>
      <c r="S261" s="51"/>
      <c r="T261" s="51"/>
    </row>
    <row r="262">
      <c r="A262" s="51"/>
      <c r="B262" s="51"/>
      <c r="C262" s="56"/>
      <c r="D262" s="51"/>
      <c r="E262" s="51"/>
      <c r="F262" s="51"/>
      <c r="G262" s="51" t="str">
        <f>IFERROR(__xludf.DUMMYFUNCTION("""COMPUTED_VALUE"""),"#VALUE!")</f>
        <v>#VALUE!</v>
      </c>
      <c r="H262" s="51" t="str">
        <f>IFERROR(__xludf.DUMMYFUNCTION("""COMPUTED_VALUE"""),"")</f>
        <v/>
      </c>
      <c r="I262" s="51" t="str">
        <f>IFERROR(__xludf.DUMMYFUNCTION("""COMPUTED_VALUE"""),"#VALUE!")</f>
        <v>#VALUE!</v>
      </c>
      <c r="J262" s="51" t="str">
        <f>IFERROR(__xludf.DUMMYFUNCTION("""COMPUTED_VALUE"""),"")</f>
        <v/>
      </c>
      <c r="K262" s="51"/>
      <c r="L262" s="51" t="s">
        <v>257</v>
      </c>
      <c r="M262" s="51"/>
      <c r="N262" s="51"/>
      <c r="O262" s="51"/>
      <c r="P262" s="51"/>
      <c r="Q262" s="51"/>
      <c r="R262" s="51"/>
      <c r="S262" s="51"/>
      <c r="T262" s="51"/>
    </row>
    <row r="263">
      <c r="A263" s="51"/>
      <c r="B263" s="51"/>
      <c r="C263" s="56"/>
      <c r="D263" s="51"/>
      <c r="E263" s="51"/>
      <c r="F263" s="51"/>
      <c r="G263" s="51" t="str">
        <f>IFERROR(__xludf.DUMMYFUNCTION("""COMPUTED_VALUE"""),"#VALUE!")</f>
        <v>#VALUE!</v>
      </c>
      <c r="H263" s="51" t="str">
        <f>IFERROR(__xludf.DUMMYFUNCTION("""COMPUTED_VALUE"""),"")</f>
        <v/>
      </c>
      <c r="I263" s="51" t="str">
        <f>IFERROR(__xludf.DUMMYFUNCTION("""COMPUTED_VALUE"""),"#VALUE!")</f>
        <v>#VALUE!</v>
      </c>
      <c r="J263" s="51" t="str">
        <f>IFERROR(__xludf.DUMMYFUNCTION("""COMPUTED_VALUE"""),"")</f>
        <v/>
      </c>
      <c r="K263" s="51"/>
      <c r="L263" s="51" t="s">
        <v>257</v>
      </c>
      <c r="M263" s="51"/>
      <c r="N263" s="51"/>
      <c r="O263" s="51"/>
      <c r="P263" s="51"/>
      <c r="Q263" s="51"/>
      <c r="R263" s="51"/>
      <c r="S263" s="51"/>
      <c r="T263" s="51"/>
    </row>
    <row r="264">
      <c r="A264" s="51"/>
      <c r="B264" s="51"/>
      <c r="C264" s="56"/>
      <c r="D264" s="51"/>
      <c r="E264" s="51"/>
      <c r="F264" s="51"/>
      <c r="G264" s="51" t="str">
        <f>IFERROR(__xludf.DUMMYFUNCTION("""COMPUTED_VALUE"""),"#VALUE!")</f>
        <v>#VALUE!</v>
      </c>
      <c r="H264" s="51" t="str">
        <f>IFERROR(__xludf.DUMMYFUNCTION("""COMPUTED_VALUE"""),"")</f>
        <v/>
      </c>
      <c r="I264" s="51" t="str">
        <f>IFERROR(__xludf.DUMMYFUNCTION("""COMPUTED_VALUE"""),"#VALUE!")</f>
        <v>#VALUE!</v>
      </c>
      <c r="J264" s="51" t="str">
        <f>IFERROR(__xludf.DUMMYFUNCTION("""COMPUTED_VALUE"""),"")</f>
        <v/>
      </c>
      <c r="K264" s="51"/>
      <c r="L264" s="51" t="s">
        <v>257</v>
      </c>
      <c r="M264" s="51"/>
      <c r="N264" s="51"/>
      <c r="O264" s="51"/>
      <c r="P264" s="51"/>
      <c r="Q264" s="51"/>
      <c r="R264" s="51"/>
      <c r="S264" s="51"/>
      <c r="T264" s="51"/>
    </row>
    <row r="265">
      <c r="A265" s="51"/>
      <c r="B265" s="51"/>
      <c r="C265" s="56"/>
      <c r="D265" s="51"/>
      <c r="E265" s="51"/>
      <c r="F265" s="51"/>
      <c r="G265" s="51" t="str">
        <f>IFERROR(__xludf.DUMMYFUNCTION("""COMPUTED_VALUE"""),"#VALUE!")</f>
        <v>#VALUE!</v>
      </c>
      <c r="H265" s="51" t="str">
        <f>IFERROR(__xludf.DUMMYFUNCTION("""COMPUTED_VALUE"""),"")</f>
        <v/>
      </c>
      <c r="I265" s="51" t="str">
        <f>IFERROR(__xludf.DUMMYFUNCTION("""COMPUTED_VALUE"""),"#VALUE!")</f>
        <v>#VALUE!</v>
      </c>
      <c r="J265" s="51" t="str">
        <f>IFERROR(__xludf.DUMMYFUNCTION("""COMPUTED_VALUE"""),"")</f>
        <v/>
      </c>
      <c r="K265" s="51"/>
      <c r="L265" s="51" t="s">
        <v>257</v>
      </c>
      <c r="M265" s="51"/>
      <c r="N265" s="51"/>
      <c r="O265" s="51"/>
      <c r="P265" s="51"/>
      <c r="Q265" s="51"/>
      <c r="R265" s="51"/>
      <c r="S265" s="51"/>
      <c r="T265" s="51"/>
    </row>
    <row r="266">
      <c r="A266" s="51"/>
      <c r="B266" s="51"/>
      <c r="C266" s="56"/>
      <c r="D266" s="51"/>
      <c r="E266" s="51"/>
      <c r="F266" s="51"/>
      <c r="G266" s="51" t="str">
        <f>IFERROR(__xludf.DUMMYFUNCTION("""COMPUTED_VALUE"""),"#VALUE!")</f>
        <v>#VALUE!</v>
      </c>
      <c r="H266" s="51" t="str">
        <f>IFERROR(__xludf.DUMMYFUNCTION("""COMPUTED_VALUE"""),"")</f>
        <v/>
      </c>
      <c r="I266" s="51" t="str">
        <f>IFERROR(__xludf.DUMMYFUNCTION("""COMPUTED_VALUE"""),"#VALUE!")</f>
        <v>#VALUE!</v>
      </c>
      <c r="J266" s="51" t="str">
        <f>IFERROR(__xludf.DUMMYFUNCTION("""COMPUTED_VALUE"""),"")</f>
        <v/>
      </c>
      <c r="K266" s="51"/>
      <c r="L266" s="51" t="s">
        <v>257</v>
      </c>
      <c r="M266" s="51"/>
      <c r="N266" s="51"/>
      <c r="O266" s="51"/>
      <c r="P266" s="51"/>
      <c r="Q266" s="51"/>
      <c r="R266" s="51"/>
      <c r="S266" s="51"/>
      <c r="T266" s="51"/>
    </row>
    <row r="267">
      <c r="A267" s="51"/>
      <c r="B267" s="51"/>
      <c r="C267" s="56"/>
      <c r="D267" s="51"/>
      <c r="E267" s="51"/>
      <c r="F267" s="51"/>
      <c r="G267" s="51" t="str">
        <f>IFERROR(__xludf.DUMMYFUNCTION("""COMPUTED_VALUE"""),"#VALUE!")</f>
        <v>#VALUE!</v>
      </c>
      <c r="H267" s="51" t="str">
        <f>IFERROR(__xludf.DUMMYFUNCTION("""COMPUTED_VALUE"""),"")</f>
        <v/>
      </c>
      <c r="I267" s="51" t="str">
        <f>IFERROR(__xludf.DUMMYFUNCTION("""COMPUTED_VALUE"""),"#VALUE!")</f>
        <v>#VALUE!</v>
      </c>
      <c r="J267" s="51" t="str">
        <f>IFERROR(__xludf.DUMMYFUNCTION("""COMPUTED_VALUE"""),"")</f>
        <v/>
      </c>
      <c r="K267" s="51"/>
      <c r="L267" s="51" t="s">
        <v>257</v>
      </c>
      <c r="M267" s="51"/>
      <c r="N267" s="51"/>
      <c r="O267" s="51"/>
      <c r="P267" s="51"/>
      <c r="Q267" s="51"/>
      <c r="R267" s="51"/>
      <c r="S267" s="51"/>
      <c r="T267" s="51"/>
    </row>
    <row r="268">
      <c r="A268" s="51"/>
      <c r="B268" s="51"/>
      <c r="C268" s="56"/>
      <c r="D268" s="51"/>
      <c r="E268" s="51"/>
      <c r="F268" s="51"/>
      <c r="G268" s="51" t="str">
        <f>IFERROR(__xludf.DUMMYFUNCTION("""COMPUTED_VALUE"""),"#VALUE!")</f>
        <v>#VALUE!</v>
      </c>
      <c r="H268" s="51" t="str">
        <f>IFERROR(__xludf.DUMMYFUNCTION("""COMPUTED_VALUE"""),"")</f>
        <v/>
      </c>
      <c r="I268" s="51" t="str">
        <f>IFERROR(__xludf.DUMMYFUNCTION("""COMPUTED_VALUE"""),"#VALUE!")</f>
        <v>#VALUE!</v>
      </c>
      <c r="J268" s="51" t="str">
        <f>IFERROR(__xludf.DUMMYFUNCTION("""COMPUTED_VALUE"""),"")</f>
        <v/>
      </c>
      <c r="K268" s="51"/>
      <c r="L268" s="51" t="s">
        <v>257</v>
      </c>
      <c r="M268" s="51"/>
      <c r="N268" s="51"/>
      <c r="O268" s="51"/>
      <c r="P268" s="51"/>
      <c r="Q268" s="51"/>
      <c r="R268" s="51"/>
      <c r="S268" s="51"/>
      <c r="T268" s="51"/>
    </row>
    <row r="269">
      <c r="A269" s="51"/>
      <c r="B269" s="51"/>
      <c r="C269" s="56"/>
      <c r="D269" s="51"/>
      <c r="E269" s="51"/>
      <c r="F269" s="51"/>
      <c r="G269" s="51" t="str">
        <f>IFERROR(__xludf.DUMMYFUNCTION("""COMPUTED_VALUE"""),"#VALUE!")</f>
        <v>#VALUE!</v>
      </c>
      <c r="H269" s="51" t="str">
        <f>IFERROR(__xludf.DUMMYFUNCTION("""COMPUTED_VALUE"""),"")</f>
        <v/>
      </c>
      <c r="I269" s="51" t="str">
        <f>IFERROR(__xludf.DUMMYFUNCTION("""COMPUTED_VALUE"""),"#VALUE!")</f>
        <v>#VALUE!</v>
      </c>
      <c r="J269" s="51" t="str">
        <f>IFERROR(__xludf.DUMMYFUNCTION("""COMPUTED_VALUE"""),"")</f>
        <v/>
      </c>
      <c r="K269" s="51"/>
      <c r="L269" s="51" t="s">
        <v>257</v>
      </c>
      <c r="M269" s="51"/>
      <c r="N269" s="51"/>
      <c r="O269" s="51"/>
      <c r="P269" s="51"/>
      <c r="Q269" s="51"/>
      <c r="R269" s="51"/>
      <c r="S269" s="51"/>
      <c r="T269" s="51"/>
    </row>
    <row r="270">
      <c r="A270" s="51"/>
      <c r="B270" s="51"/>
      <c r="C270" s="56"/>
      <c r="D270" s="51"/>
      <c r="E270" s="51"/>
      <c r="F270" s="51"/>
      <c r="G270" s="51" t="str">
        <f>IFERROR(__xludf.DUMMYFUNCTION("""COMPUTED_VALUE"""),"#VALUE!")</f>
        <v>#VALUE!</v>
      </c>
      <c r="H270" s="51" t="str">
        <f>IFERROR(__xludf.DUMMYFUNCTION("""COMPUTED_VALUE"""),"")</f>
        <v/>
      </c>
      <c r="I270" s="51" t="str">
        <f>IFERROR(__xludf.DUMMYFUNCTION("""COMPUTED_VALUE"""),"#VALUE!")</f>
        <v>#VALUE!</v>
      </c>
      <c r="J270" s="51" t="str">
        <f>IFERROR(__xludf.DUMMYFUNCTION("""COMPUTED_VALUE"""),"")</f>
        <v/>
      </c>
      <c r="K270" s="51"/>
      <c r="L270" s="51" t="s">
        <v>257</v>
      </c>
      <c r="M270" s="51"/>
      <c r="N270" s="51"/>
      <c r="O270" s="51"/>
      <c r="P270" s="51"/>
      <c r="Q270" s="51"/>
      <c r="R270" s="51"/>
      <c r="S270" s="51"/>
      <c r="T270" s="51"/>
    </row>
    <row r="271">
      <c r="A271" s="51"/>
      <c r="B271" s="51"/>
      <c r="C271" s="56"/>
      <c r="D271" s="51"/>
      <c r="E271" s="51"/>
      <c r="F271" s="51"/>
      <c r="G271" s="51" t="str">
        <f>IFERROR(__xludf.DUMMYFUNCTION("""COMPUTED_VALUE"""),"#VALUE!")</f>
        <v>#VALUE!</v>
      </c>
      <c r="H271" s="51" t="str">
        <f>IFERROR(__xludf.DUMMYFUNCTION("""COMPUTED_VALUE"""),"")</f>
        <v/>
      </c>
      <c r="I271" s="51" t="str">
        <f>IFERROR(__xludf.DUMMYFUNCTION("""COMPUTED_VALUE"""),"#VALUE!")</f>
        <v>#VALUE!</v>
      </c>
      <c r="J271" s="51" t="str">
        <f>IFERROR(__xludf.DUMMYFUNCTION("""COMPUTED_VALUE"""),"")</f>
        <v/>
      </c>
      <c r="K271" s="51"/>
      <c r="L271" s="51" t="s">
        <v>257</v>
      </c>
      <c r="M271" s="51"/>
      <c r="N271" s="51"/>
      <c r="O271" s="51"/>
      <c r="P271" s="51"/>
      <c r="Q271" s="51"/>
      <c r="R271" s="51"/>
      <c r="S271" s="51"/>
      <c r="T271" s="51"/>
    </row>
    <row r="272">
      <c r="A272" s="51"/>
      <c r="B272" s="51"/>
      <c r="C272" s="56"/>
      <c r="D272" s="51"/>
      <c r="E272" s="51"/>
      <c r="F272" s="51"/>
      <c r="G272" s="51" t="str">
        <f>IFERROR(__xludf.DUMMYFUNCTION("""COMPUTED_VALUE"""),"#VALUE!")</f>
        <v>#VALUE!</v>
      </c>
      <c r="H272" s="51" t="str">
        <f>IFERROR(__xludf.DUMMYFUNCTION("""COMPUTED_VALUE"""),"")</f>
        <v/>
      </c>
      <c r="I272" s="51" t="str">
        <f>IFERROR(__xludf.DUMMYFUNCTION("""COMPUTED_VALUE"""),"#VALUE!")</f>
        <v>#VALUE!</v>
      </c>
      <c r="J272" s="51" t="str">
        <f>IFERROR(__xludf.DUMMYFUNCTION("""COMPUTED_VALUE"""),"")</f>
        <v/>
      </c>
      <c r="K272" s="51"/>
      <c r="L272" s="51" t="s">
        <v>257</v>
      </c>
      <c r="M272" s="51"/>
      <c r="N272" s="51"/>
      <c r="O272" s="51"/>
      <c r="P272" s="51"/>
      <c r="Q272" s="51"/>
      <c r="R272" s="51"/>
      <c r="S272" s="51"/>
      <c r="T272" s="51"/>
    </row>
    <row r="273">
      <c r="A273" s="51"/>
      <c r="B273" s="51"/>
      <c r="C273" s="56"/>
      <c r="D273" s="51"/>
      <c r="E273" s="51"/>
      <c r="F273" s="51"/>
      <c r="G273" s="51" t="str">
        <f>IFERROR(__xludf.DUMMYFUNCTION("""COMPUTED_VALUE"""),"#VALUE!")</f>
        <v>#VALUE!</v>
      </c>
      <c r="H273" s="51" t="str">
        <f>IFERROR(__xludf.DUMMYFUNCTION("""COMPUTED_VALUE"""),"")</f>
        <v/>
      </c>
      <c r="I273" s="51" t="str">
        <f>IFERROR(__xludf.DUMMYFUNCTION("""COMPUTED_VALUE"""),"#VALUE!")</f>
        <v>#VALUE!</v>
      </c>
      <c r="J273" s="51" t="str">
        <f>IFERROR(__xludf.DUMMYFUNCTION("""COMPUTED_VALUE"""),"")</f>
        <v/>
      </c>
      <c r="K273" s="51"/>
      <c r="L273" s="51" t="s">
        <v>257</v>
      </c>
      <c r="M273" s="51"/>
      <c r="N273" s="51"/>
      <c r="O273" s="51"/>
      <c r="P273" s="51"/>
      <c r="Q273" s="51"/>
      <c r="R273" s="51"/>
      <c r="S273" s="51"/>
      <c r="T273" s="51"/>
    </row>
    <row r="274">
      <c r="A274" s="51"/>
      <c r="B274" s="51"/>
      <c r="C274" s="56"/>
      <c r="D274" s="51"/>
      <c r="E274" s="51"/>
      <c r="F274" s="51"/>
      <c r="G274" s="51" t="str">
        <f>IFERROR(__xludf.DUMMYFUNCTION("""COMPUTED_VALUE"""),"#VALUE!")</f>
        <v>#VALUE!</v>
      </c>
      <c r="H274" s="51" t="str">
        <f>IFERROR(__xludf.DUMMYFUNCTION("""COMPUTED_VALUE"""),"")</f>
        <v/>
      </c>
      <c r="I274" s="51" t="str">
        <f>IFERROR(__xludf.DUMMYFUNCTION("""COMPUTED_VALUE"""),"#VALUE!")</f>
        <v>#VALUE!</v>
      </c>
      <c r="J274" s="51" t="str">
        <f>IFERROR(__xludf.DUMMYFUNCTION("""COMPUTED_VALUE"""),"")</f>
        <v/>
      </c>
      <c r="K274" s="51"/>
      <c r="L274" s="51" t="s">
        <v>257</v>
      </c>
      <c r="M274" s="51"/>
      <c r="N274" s="51"/>
      <c r="O274" s="51"/>
      <c r="P274" s="51"/>
      <c r="Q274" s="51"/>
      <c r="R274" s="51"/>
      <c r="S274" s="51"/>
      <c r="T274" s="51"/>
    </row>
    <row r="275">
      <c r="A275" s="51"/>
      <c r="B275" s="51"/>
      <c r="C275" s="56"/>
      <c r="D275" s="51"/>
      <c r="E275" s="51"/>
      <c r="F275" s="51"/>
      <c r="G275" s="51" t="str">
        <f>IFERROR(__xludf.DUMMYFUNCTION("""COMPUTED_VALUE"""),"#VALUE!")</f>
        <v>#VALUE!</v>
      </c>
      <c r="H275" s="51" t="str">
        <f>IFERROR(__xludf.DUMMYFUNCTION("""COMPUTED_VALUE"""),"")</f>
        <v/>
      </c>
      <c r="I275" s="51" t="str">
        <f>IFERROR(__xludf.DUMMYFUNCTION("""COMPUTED_VALUE"""),"#VALUE!")</f>
        <v>#VALUE!</v>
      </c>
      <c r="J275" s="51" t="str">
        <f>IFERROR(__xludf.DUMMYFUNCTION("""COMPUTED_VALUE"""),"")</f>
        <v/>
      </c>
      <c r="K275" s="51"/>
      <c r="L275" s="51" t="s">
        <v>257</v>
      </c>
      <c r="M275" s="51"/>
      <c r="N275" s="51"/>
      <c r="O275" s="51"/>
      <c r="P275" s="51"/>
      <c r="Q275" s="51"/>
      <c r="R275" s="51"/>
      <c r="S275" s="51"/>
      <c r="T275" s="51"/>
    </row>
    <row r="276">
      <c r="A276" s="51"/>
      <c r="B276" s="51"/>
      <c r="C276" s="56"/>
      <c r="D276" s="51"/>
      <c r="E276" s="51"/>
      <c r="F276" s="51"/>
      <c r="G276" s="51" t="str">
        <f>IFERROR(__xludf.DUMMYFUNCTION("""COMPUTED_VALUE"""),"#VALUE!")</f>
        <v>#VALUE!</v>
      </c>
      <c r="H276" s="51" t="str">
        <f>IFERROR(__xludf.DUMMYFUNCTION("""COMPUTED_VALUE"""),"")</f>
        <v/>
      </c>
      <c r="I276" s="51" t="str">
        <f>IFERROR(__xludf.DUMMYFUNCTION("""COMPUTED_VALUE"""),"#VALUE!")</f>
        <v>#VALUE!</v>
      </c>
      <c r="J276" s="51" t="str">
        <f>IFERROR(__xludf.DUMMYFUNCTION("""COMPUTED_VALUE"""),"")</f>
        <v/>
      </c>
      <c r="K276" s="51"/>
      <c r="L276" s="51" t="s">
        <v>257</v>
      </c>
      <c r="M276" s="51"/>
      <c r="N276" s="51"/>
      <c r="O276" s="51"/>
      <c r="P276" s="51"/>
      <c r="Q276" s="51"/>
      <c r="R276" s="51"/>
      <c r="S276" s="51"/>
      <c r="T276" s="51"/>
    </row>
    <row r="277">
      <c r="A277" s="51"/>
      <c r="B277" s="51"/>
      <c r="C277" s="56"/>
      <c r="D277" s="51"/>
      <c r="E277" s="51"/>
      <c r="F277" s="51"/>
      <c r="G277" s="51" t="str">
        <f>IFERROR(__xludf.DUMMYFUNCTION("""COMPUTED_VALUE"""),"#VALUE!")</f>
        <v>#VALUE!</v>
      </c>
      <c r="H277" s="51" t="str">
        <f>IFERROR(__xludf.DUMMYFUNCTION("""COMPUTED_VALUE"""),"")</f>
        <v/>
      </c>
      <c r="I277" s="51" t="str">
        <f>IFERROR(__xludf.DUMMYFUNCTION("""COMPUTED_VALUE"""),"#VALUE!")</f>
        <v>#VALUE!</v>
      </c>
      <c r="J277" s="51" t="str">
        <f>IFERROR(__xludf.DUMMYFUNCTION("""COMPUTED_VALUE"""),"")</f>
        <v/>
      </c>
      <c r="K277" s="51"/>
      <c r="L277" s="51" t="s">
        <v>257</v>
      </c>
      <c r="M277" s="51"/>
      <c r="N277" s="51"/>
      <c r="O277" s="51"/>
      <c r="P277" s="51"/>
      <c r="Q277" s="51"/>
      <c r="R277" s="51"/>
      <c r="S277" s="51"/>
      <c r="T277" s="51"/>
    </row>
    <row r="278">
      <c r="A278" s="51"/>
      <c r="B278" s="51"/>
      <c r="C278" s="56"/>
      <c r="D278" s="51"/>
      <c r="E278" s="51"/>
      <c r="F278" s="51"/>
      <c r="G278" s="51" t="str">
        <f>IFERROR(__xludf.DUMMYFUNCTION("""COMPUTED_VALUE"""),"#VALUE!")</f>
        <v>#VALUE!</v>
      </c>
      <c r="H278" s="51" t="str">
        <f>IFERROR(__xludf.DUMMYFUNCTION("""COMPUTED_VALUE"""),"")</f>
        <v/>
      </c>
      <c r="I278" s="51" t="str">
        <f>IFERROR(__xludf.DUMMYFUNCTION("""COMPUTED_VALUE"""),"#VALUE!")</f>
        <v>#VALUE!</v>
      </c>
      <c r="J278" s="51" t="str">
        <f>IFERROR(__xludf.DUMMYFUNCTION("""COMPUTED_VALUE"""),"")</f>
        <v/>
      </c>
      <c r="K278" s="51"/>
      <c r="L278" s="51" t="s">
        <v>257</v>
      </c>
      <c r="M278" s="51"/>
      <c r="N278" s="51"/>
      <c r="O278" s="51"/>
      <c r="P278" s="51"/>
      <c r="Q278" s="51"/>
      <c r="R278" s="51"/>
      <c r="S278" s="51"/>
      <c r="T278" s="51"/>
    </row>
    <row r="279">
      <c r="A279" s="51"/>
      <c r="B279" s="51"/>
      <c r="C279" s="56"/>
      <c r="D279" s="51"/>
      <c r="E279" s="51"/>
      <c r="F279" s="51"/>
      <c r="G279" s="51" t="str">
        <f>IFERROR(__xludf.DUMMYFUNCTION("""COMPUTED_VALUE"""),"#VALUE!")</f>
        <v>#VALUE!</v>
      </c>
      <c r="H279" s="51" t="str">
        <f>IFERROR(__xludf.DUMMYFUNCTION("""COMPUTED_VALUE"""),"")</f>
        <v/>
      </c>
      <c r="I279" s="51" t="str">
        <f>IFERROR(__xludf.DUMMYFUNCTION("""COMPUTED_VALUE"""),"#VALUE!")</f>
        <v>#VALUE!</v>
      </c>
      <c r="J279" s="51" t="str">
        <f>IFERROR(__xludf.DUMMYFUNCTION("""COMPUTED_VALUE"""),"")</f>
        <v/>
      </c>
      <c r="K279" s="51"/>
      <c r="L279" s="51" t="s">
        <v>257</v>
      </c>
      <c r="M279" s="51"/>
      <c r="N279" s="51"/>
      <c r="O279" s="51"/>
      <c r="P279" s="51"/>
      <c r="Q279" s="51"/>
      <c r="R279" s="51"/>
      <c r="S279" s="51"/>
      <c r="T279" s="51"/>
    </row>
    <row r="280">
      <c r="A280" s="51"/>
      <c r="B280" s="51"/>
      <c r="C280" s="56"/>
      <c r="D280" s="51"/>
      <c r="E280" s="51"/>
      <c r="F280" s="51"/>
      <c r="G280" s="51" t="str">
        <f>IFERROR(__xludf.DUMMYFUNCTION("""COMPUTED_VALUE"""),"#VALUE!")</f>
        <v>#VALUE!</v>
      </c>
      <c r="H280" s="51" t="str">
        <f>IFERROR(__xludf.DUMMYFUNCTION("""COMPUTED_VALUE"""),"")</f>
        <v/>
      </c>
      <c r="I280" s="51" t="str">
        <f>IFERROR(__xludf.DUMMYFUNCTION("""COMPUTED_VALUE"""),"#VALUE!")</f>
        <v>#VALUE!</v>
      </c>
      <c r="J280" s="51" t="str">
        <f>IFERROR(__xludf.DUMMYFUNCTION("""COMPUTED_VALUE"""),"")</f>
        <v/>
      </c>
      <c r="K280" s="51"/>
      <c r="L280" s="51" t="s">
        <v>257</v>
      </c>
      <c r="M280" s="51"/>
      <c r="N280" s="51"/>
      <c r="O280" s="51"/>
      <c r="P280" s="51"/>
      <c r="Q280" s="51"/>
      <c r="R280" s="51"/>
      <c r="S280" s="51"/>
      <c r="T280" s="51"/>
    </row>
    <row r="281">
      <c r="A281" s="51"/>
      <c r="B281" s="51"/>
      <c r="C281" s="56"/>
      <c r="D281" s="51"/>
      <c r="E281" s="51"/>
      <c r="F281" s="51"/>
      <c r="G281" s="51" t="str">
        <f>IFERROR(__xludf.DUMMYFUNCTION("""COMPUTED_VALUE"""),"#VALUE!")</f>
        <v>#VALUE!</v>
      </c>
      <c r="H281" s="51" t="str">
        <f>IFERROR(__xludf.DUMMYFUNCTION("""COMPUTED_VALUE"""),"")</f>
        <v/>
      </c>
      <c r="I281" s="51" t="str">
        <f>IFERROR(__xludf.DUMMYFUNCTION("""COMPUTED_VALUE"""),"#VALUE!")</f>
        <v>#VALUE!</v>
      </c>
      <c r="J281" s="51" t="str">
        <f>IFERROR(__xludf.DUMMYFUNCTION("""COMPUTED_VALUE"""),"")</f>
        <v/>
      </c>
      <c r="K281" s="51"/>
      <c r="L281" s="51" t="s">
        <v>257</v>
      </c>
      <c r="M281" s="51"/>
      <c r="N281" s="51"/>
      <c r="O281" s="51"/>
      <c r="P281" s="51"/>
      <c r="Q281" s="51"/>
      <c r="R281" s="51"/>
      <c r="S281" s="51"/>
      <c r="T281" s="51"/>
    </row>
    <row r="282">
      <c r="A282" s="51"/>
      <c r="B282" s="51"/>
      <c r="C282" s="56"/>
      <c r="D282" s="51"/>
      <c r="E282" s="51"/>
      <c r="F282" s="51"/>
      <c r="G282" s="51" t="str">
        <f>IFERROR(__xludf.DUMMYFUNCTION("""COMPUTED_VALUE"""),"#VALUE!")</f>
        <v>#VALUE!</v>
      </c>
      <c r="H282" s="51" t="str">
        <f>IFERROR(__xludf.DUMMYFUNCTION("""COMPUTED_VALUE"""),"")</f>
        <v/>
      </c>
      <c r="I282" s="51" t="str">
        <f>IFERROR(__xludf.DUMMYFUNCTION("""COMPUTED_VALUE"""),"#VALUE!")</f>
        <v>#VALUE!</v>
      </c>
      <c r="J282" s="51" t="str">
        <f>IFERROR(__xludf.DUMMYFUNCTION("""COMPUTED_VALUE"""),"")</f>
        <v/>
      </c>
      <c r="K282" s="51"/>
      <c r="L282" s="51" t="s">
        <v>257</v>
      </c>
      <c r="M282" s="51"/>
      <c r="N282" s="51"/>
      <c r="O282" s="51"/>
      <c r="P282" s="51"/>
      <c r="Q282" s="51"/>
      <c r="R282" s="51"/>
      <c r="S282" s="51"/>
      <c r="T282" s="51"/>
    </row>
    <row r="283">
      <c r="A283" s="51"/>
      <c r="B283" s="51"/>
      <c r="C283" s="56"/>
      <c r="D283" s="51"/>
      <c r="E283" s="51"/>
      <c r="F283" s="51"/>
      <c r="G283" s="51" t="str">
        <f>IFERROR(__xludf.DUMMYFUNCTION("""COMPUTED_VALUE"""),"#VALUE!")</f>
        <v>#VALUE!</v>
      </c>
      <c r="H283" s="51" t="str">
        <f>IFERROR(__xludf.DUMMYFUNCTION("""COMPUTED_VALUE"""),"")</f>
        <v/>
      </c>
      <c r="I283" s="51" t="str">
        <f>IFERROR(__xludf.DUMMYFUNCTION("""COMPUTED_VALUE"""),"#VALUE!")</f>
        <v>#VALUE!</v>
      </c>
      <c r="J283" s="51" t="str">
        <f>IFERROR(__xludf.DUMMYFUNCTION("""COMPUTED_VALUE"""),"")</f>
        <v/>
      </c>
      <c r="K283" s="51"/>
      <c r="L283" s="51" t="s">
        <v>257</v>
      </c>
      <c r="M283" s="51"/>
      <c r="N283" s="51"/>
      <c r="O283" s="51"/>
      <c r="P283" s="51"/>
      <c r="Q283" s="51"/>
      <c r="R283" s="51"/>
      <c r="S283" s="51"/>
      <c r="T283" s="51"/>
    </row>
    <row r="284">
      <c r="A284" s="51"/>
      <c r="B284" s="51"/>
      <c r="C284" s="56"/>
      <c r="D284" s="51"/>
      <c r="E284" s="51"/>
      <c r="F284" s="51"/>
      <c r="G284" s="51" t="str">
        <f>IFERROR(__xludf.DUMMYFUNCTION("""COMPUTED_VALUE"""),"#VALUE!")</f>
        <v>#VALUE!</v>
      </c>
      <c r="H284" s="51" t="str">
        <f>IFERROR(__xludf.DUMMYFUNCTION("""COMPUTED_VALUE"""),"")</f>
        <v/>
      </c>
      <c r="I284" s="51" t="str">
        <f>IFERROR(__xludf.DUMMYFUNCTION("""COMPUTED_VALUE"""),"#VALUE!")</f>
        <v>#VALUE!</v>
      </c>
      <c r="J284" s="51" t="str">
        <f>IFERROR(__xludf.DUMMYFUNCTION("""COMPUTED_VALUE"""),"")</f>
        <v/>
      </c>
      <c r="K284" s="51"/>
      <c r="L284" s="51" t="s">
        <v>257</v>
      </c>
      <c r="M284" s="51"/>
      <c r="N284" s="51"/>
      <c r="O284" s="51"/>
      <c r="P284" s="51"/>
      <c r="Q284" s="51"/>
      <c r="R284" s="51"/>
      <c r="S284" s="51"/>
      <c r="T284" s="51"/>
    </row>
    <row r="285">
      <c r="A285" s="51"/>
      <c r="B285" s="51"/>
      <c r="C285" s="56"/>
      <c r="D285" s="51"/>
      <c r="E285" s="51"/>
      <c r="F285" s="51"/>
      <c r="G285" s="51" t="str">
        <f>IFERROR(__xludf.DUMMYFUNCTION("""COMPUTED_VALUE"""),"#VALUE!")</f>
        <v>#VALUE!</v>
      </c>
      <c r="H285" s="51" t="str">
        <f>IFERROR(__xludf.DUMMYFUNCTION("""COMPUTED_VALUE"""),"")</f>
        <v/>
      </c>
      <c r="I285" s="51" t="str">
        <f>IFERROR(__xludf.DUMMYFUNCTION("""COMPUTED_VALUE"""),"#VALUE!")</f>
        <v>#VALUE!</v>
      </c>
      <c r="J285" s="51" t="str">
        <f>IFERROR(__xludf.DUMMYFUNCTION("""COMPUTED_VALUE"""),"")</f>
        <v/>
      </c>
      <c r="K285" s="51"/>
      <c r="L285" s="51" t="s">
        <v>257</v>
      </c>
      <c r="M285" s="51"/>
      <c r="N285" s="51"/>
      <c r="O285" s="51"/>
      <c r="P285" s="51"/>
      <c r="Q285" s="51"/>
      <c r="R285" s="51"/>
      <c r="S285" s="51"/>
      <c r="T285" s="51"/>
    </row>
    <row r="286">
      <c r="A286" s="51"/>
      <c r="B286" s="51"/>
      <c r="C286" s="56"/>
      <c r="D286" s="51"/>
      <c r="E286" s="51"/>
      <c r="F286" s="51"/>
      <c r="G286" s="51" t="str">
        <f>IFERROR(__xludf.DUMMYFUNCTION("""COMPUTED_VALUE"""),"#VALUE!")</f>
        <v>#VALUE!</v>
      </c>
      <c r="H286" s="51" t="str">
        <f>IFERROR(__xludf.DUMMYFUNCTION("""COMPUTED_VALUE"""),"")</f>
        <v/>
      </c>
      <c r="I286" s="51" t="str">
        <f>IFERROR(__xludf.DUMMYFUNCTION("""COMPUTED_VALUE"""),"#VALUE!")</f>
        <v>#VALUE!</v>
      </c>
      <c r="J286" s="51" t="str">
        <f>IFERROR(__xludf.DUMMYFUNCTION("""COMPUTED_VALUE"""),"")</f>
        <v/>
      </c>
      <c r="K286" s="51"/>
      <c r="L286" s="51" t="s">
        <v>257</v>
      </c>
      <c r="M286" s="51"/>
      <c r="N286" s="51"/>
      <c r="O286" s="51"/>
      <c r="P286" s="51"/>
      <c r="Q286" s="51"/>
      <c r="R286" s="51"/>
      <c r="S286" s="51"/>
      <c r="T286" s="51"/>
    </row>
    <row r="287">
      <c r="A287" s="51"/>
      <c r="B287" s="51"/>
      <c r="C287" s="56"/>
      <c r="D287" s="51"/>
      <c r="E287" s="51"/>
      <c r="F287" s="51"/>
      <c r="G287" s="51" t="str">
        <f>IFERROR(__xludf.DUMMYFUNCTION("""COMPUTED_VALUE"""),"#VALUE!")</f>
        <v>#VALUE!</v>
      </c>
      <c r="H287" s="51" t="str">
        <f>IFERROR(__xludf.DUMMYFUNCTION("""COMPUTED_VALUE"""),"")</f>
        <v/>
      </c>
      <c r="I287" s="51" t="str">
        <f>IFERROR(__xludf.DUMMYFUNCTION("""COMPUTED_VALUE"""),"#VALUE!")</f>
        <v>#VALUE!</v>
      </c>
      <c r="J287" s="51" t="str">
        <f>IFERROR(__xludf.DUMMYFUNCTION("""COMPUTED_VALUE"""),"")</f>
        <v/>
      </c>
      <c r="K287" s="51"/>
      <c r="L287" s="51" t="s">
        <v>257</v>
      </c>
      <c r="M287" s="51"/>
      <c r="N287" s="51"/>
      <c r="O287" s="51"/>
      <c r="P287" s="51"/>
      <c r="Q287" s="51"/>
      <c r="R287" s="51"/>
      <c r="S287" s="51"/>
      <c r="T287" s="51"/>
    </row>
    <row r="288">
      <c r="A288" s="51"/>
      <c r="B288" s="51"/>
      <c r="C288" s="56"/>
      <c r="D288" s="51"/>
      <c r="E288" s="51"/>
      <c r="F288" s="51"/>
      <c r="G288" s="51" t="str">
        <f>IFERROR(__xludf.DUMMYFUNCTION("""COMPUTED_VALUE"""),"#VALUE!")</f>
        <v>#VALUE!</v>
      </c>
      <c r="H288" s="51" t="str">
        <f>IFERROR(__xludf.DUMMYFUNCTION("""COMPUTED_VALUE"""),"")</f>
        <v/>
      </c>
      <c r="I288" s="51" t="str">
        <f>IFERROR(__xludf.DUMMYFUNCTION("""COMPUTED_VALUE"""),"#VALUE!")</f>
        <v>#VALUE!</v>
      </c>
      <c r="J288" s="51" t="str">
        <f>IFERROR(__xludf.DUMMYFUNCTION("""COMPUTED_VALUE"""),"")</f>
        <v/>
      </c>
      <c r="K288" s="51"/>
      <c r="L288" s="51" t="s">
        <v>257</v>
      </c>
      <c r="M288" s="51"/>
      <c r="N288" s="51"/>
      <c r="O288" s="51"/>
      <c r="P288" s="51"/>
      <c r="Q288" s="51"/>
      <c r="R288" s="51"/>
      <c r="S288" s="51"/>
      <c r="T288" s="51"/>
    </row>
    <row r="289">
      <c r="A289" s="51"/>
      <c r="B289" s="51"/>
      <c r="C289" s="56"/>
      <c r="D289" s="51"/>
      <c r="E289" s="51"/>
      <c r="F289" s="51"/>
      <c r="G289" s="51" t="str">
        <f>IFERROR(__xludf.DUMMYFUNCTION("""COMPUTED_VALUE"""),"#VALUE!")</f>
        <v>#VALUE!</v>
      </c>
      <c r="H289" s="51" t="str">
        <f>IFERROR(__xludf.DUMMYFUNCTION("""COMPUTED_VALUE"""),"")</f>
        <v/>
      </c>
      <c r="I289" s="51" t="str">
        <f>IFERROR(__xludf.DUMMYFUNCTION("""COMPUTED_VALUE"""),"#VALUE!")</f>
        <v>#VALUE!</v>
      </c>
      <c r="J289" s="51" t="str">
        <f>IFERROR(__xludf.DUMMYFUNCTION("""COMPUTED_VALUE"""),"")</f>
        <v/>
      </c>
      <c r="K289" s="51"/>
      <c r="L289" s="51" t="s">
        <v>257</v>
      </c>
      <c r="M289" s="51"/>
      <c r="N289" s="51"/>
      <c r="O289" s="51"/>
      <c r="P289" s="51"/>
      <c r="Q289" s="51"/>
      <c r="R289" s="51"/>
      <c r="S289" s="51"/>
      <c r="T289" s="51"/>
    </row>
    <row r="290">
      <c r="A290" s="51"/>
      <c r="B290" s="51"/>
      <c r="C290" s="56"/>
      <c r="D290" s="51"/>
      <c r="E290" s="51"/>
      <c r="F290" s="51"/>
      <c r="G290" s="51" t="str">
        <f>IFERROR(__xludf.DUMMYFUNCTION("""COMPUTED_VALUE"""),"#VALUE!")</f>
        <v>#VALUE!</v>
      </c>
      <c r="H290" s="51" t="str">
        <f>IFERROR(__xludf.DUMMYFUNCTION("""COMPUTED_VALUE"""),"")</f>
        <v/>
      </c>
      <c r="I290" s="51" t="str">
        <f>IFERROR(__xludf.DUMMYFUNCTION("""COMPUTED_VALUE"""),"#VALUE!")</f>
        <v>#VALUE!</v>
      </c>
      <c r="J290" s="51" t="str">
        <f>IFERROR(__xludf.DUMMYFUNCTION("""COMPUTED_VALUE"""),"")</f>
        <v/>
      </c>
      <c r="K290" s="51"/>
      <c r="L290" s="51" t="s">
        <v>257</v>
      </c>
      <c r="M290" s="51"/>
      <c r="N290" s="51"/>
      <c r="O290" s="51"/>
      <c r="P290" s="51"/>
      <c r="Q290" s="51"/>
      <c r="R290" s="51"/>
      <c r="S290" s="51"/>
      <c r="T290" s="51"/>
    </row>
    <row r="291">
      <c r="A291" s="51"/>
      <c r="B291" s="51"/>
      <c r="C291" s="56"/>
      <c r="D291" s="51"/>
      <c r="E291" s="51"/>
      <c r="F291" s="51"/>
      <c r="G291" s="51" t="str">
        <f>IFERROR(__xludf.DUMMYFUNCTION("""COMPUTED_VALUE"""),"#VALUE!")</f>
        <v>#VALUE!</v>
      </c>
      <c r="H291" s="51" t="str">
        <f>IFERROR(__xludf.DUMMYFUNCTION("""COMPUTED_VALUE"""),"")</f>
        <v/>
      </c>
      <c r="I291" s="51" t="str">
        <f>IFERROR(__xludf.DUMMYFUNCTION("""COMPUTED_VALUE"""),"#VALUE!")</f>
        <v>#VALUE!</v>
      </c>
      <c r="J291" s="51" t="str">
        <f>IFERROR(__xludf.DUMMYFUNCTION("""COMPUTED_VALUE"""),"")</f>
        <v/>
      </c>
      <c r="K291" s="51"/>
      <c r="L291" s="51" t="s">
        <v>257</v>
      </c>
      <c r="M291" s="51"/>
      <c r="N291" s="51"/>
      <c r="O291" s="51"/>
      <c r="P291" s="51"/>
      <c r="Q291" s="51"/>
      <c r="R291" s="51"/>
      <c r="S291" s="51"/>
      <c r="T291" s="51"/>
    </row>
    <row r="292">
      <c r="A292" s="51"/>
      <c r="B292" s="51"/>
      <c r="C292" s="56"/>
      <c r="D292" s="51"/>
      <c r="E292" s="51"/>
      <c r="F292" s="51"/>
      <c r="G292" s="51" t="str">
        <f>IFERROR(__xludf.DUMMYFUNCTION("""COMPUTED_VALUE"""),"#VALUE!")</f>
        <v>#VALUE!</v>
      </c>
      <c r="H292" s="51" t="str">
        <f>IFERROR(__xludf.DUMMYFUNCTION("""COMPUTED_VALUE"""),"")</f>
        <v/>
      </c>
      <c r="I292" s="51" t="str">
        <f>IFERROR(__xludf.DUMMYFUNCTION("""COMPUTED_VALUE"""),"#VALUE!")</f>
        <v>#VALUE!</v>
      </c>
      <c r="J292" s="51" t="str">
        <f>IFERROR(__xludf.DUMMYFUNCTION("""COMPUTED_VALUE"""),"")</f>
        <v/>
      </c>
      <c r="K292" s="51"/>
      <c r="L292" s="51" t="s">
        <v>257</v>
      </c>
      <c r="M292" s="51"/>
      <c r="N292" s="51"/>
      <c r="O292" s="51"/>
      <c r="P292" s="51"/>
      <c r="Q292" s="51"/>
      <c r="R292" s="51"/>
      <c r="S292" s="51"/>
      <c r="T292" s="51"/>
    </row>
    <row r="293">
      <c r="A293" s="51"/>
      <c r="B293" s="51"/>
      <c r="C293" s="56"/>
      <c r="D293" s="51"/>
      <c r="E293" s="51"/>
      <c r="F293" s="51"/>
      <c r="G293" s="51" t="str">
        <f>IFERROR(__xludf.DUMMYFUNCTION("""COMPUTED_VALUE"""),"#VALUE!")</f>
        <v>#VALUE!</v>
      </c>
      <c r="H293" s="51" t="str">
        <f>IFERROR(__xludf.DUMMYFUNCTION("""COMPUTED_VALUE"""),"")</f>
        <v/>
      </c>
      <c r="I293" s="51" t="str">
        <f>IFERROR(__xludf.DUMMYFUNCTION("""COMPUTED_VALUE"""),"#VALUE!")</f>
        <v>#VALUE!</v>
      </c>
      <c r="J293" s="51" t="str">
        <f>IFERROR(__xludf.DUMMYFUNCTION("""COMPUTED_VALUE"""),"")</f>
        <v/>
      </c>
      <c r="K293" s="51"/>
      <c r="L293" s="51" t="s">
        <v>257</v>
      </c>
      <c r="M293" s="51"/>
      <c r="N293" s="51"/>
      <c r="O293" s="51"/>
      <c r="P293" s="51"/>
      <c r="Q293" s="51"/>
      <c r="R293" s="51"/>
      <c r="S293" s="51"/>
      <c r="T293" s="51"/>
    </row>
    <row r="294">
      <c r="A294" s="51"/>
      <c r="B294" s="51"/>
      <c r="C294" s="56"/>
      <c r="D294" s="51"/>
      <c r="E294" s="51"/>
      <c r="F294" s="51"/>
      <c r="G294" s="51" t="str">
        <f>IFERROR(__xludf.DUMMYFUNCTION("""COMPUTED_VALUE"""),"#VALUE!")</f>
        <v>#VALUE!</v>
      </c>
      <c r="H294" s="51" t="str">
        <f>IFERROR(__xludf.DUMMYFUNCTION("""COMPUTED_VALUE"""),"")</f>
        <v/>
      </c>
      <c r="I294" s="51" t="str">
        <f>IFERROR(__xludf.DUMMYFUNCTION("""COMPUTED_VALUE"""),"#VALUE!")</f>
        <v>#VALUE!</v>
      </c>
      <c r="J294" s="51" t="str">
        <f>IFERROR(__xludf.DUMMYFUNCTION("""COMPUTED_VALUE"""),"")</f>
        <v/>
      </c>
      <c r="K294" s="51"/>
      <c r="L294" s="51" t="s">
        <v>257</v>
      </c>
      <c r="M294" s="51"/>
      <c r="N294" s="51"/>
      <c r="O294" s="51"/>
      <c r="P294" s="51"/>
      <c r="Q294" s="51"/>
      <c r="R294" s="51"/>
      <c r="S294" s="51"/>
      <c r="T294" s="51"/>
    </row>
    <row r="295">
      <c r="A295" s="51"/>
      <c r="B295" s="51"/>
      <c r="C295" s="56"/>
      <c r="D295" s="51"/>
      <c r="E295" s="51"/>
      <c r="F295" s="51"/>
      <c r="G295" s="51" t="str">
        <f>IFERROR(__xludf.DUMMYFUNCTION("""COMPUTED_VALUE"""),"#VALUE!")</f>
        <v>#VALUE!</v>
      </c>
      <c r="H295" s="51" t="str">
        <f>IFERROR(__xludf.DUMMYFUNCTION("""COMPUTED_VALUE"""),"")</f>
        <v/>
      </c>
      <c r="I295" s="51" t="str">
        <f>IFERROR(__xludf.DUMMYFUNCTION("""COMPUTED_VALUE"""),"#VALUE!")</f>
        <v>#VALUE!</v>
      </c>
      <c r="J295" s="51" t="str">
        <f>IFERROR(__xludf.DUMMYFUNCTION("""COMPUTED_VALUE"""),"")</f>
        <v/>
      </c>
      <c r="K295" s="51"/>
      <c r="L295" s="51" t="s">
        <v>257</v>
      </c>
      <c r="M295" s="51"/>
      <c r="N295" s="51"/>
      <c r="O295" s="51"/>
      <c r="P295" s="51"/>
      <c r="Q295" s="51"/>
      <c r="R295" s="51"/>
      <c r="S295" s="51"/>
      <c r="T295" s="51"/>
    </row>
    <row r="296">
      <c r="A296" s="51"/>
      <c r="B296" s="51"/>
      <c r="C296" s="56"/>
      <c r="D296" s="51"/>
      <c r="E296" s="51"/>
      <c r="F296" s="51"/>
      <c r="G296" s="51" t="str">
        <f>IFERROR(__xludf.DUMMYFUNCTION("""COMPUTED_VALUE"""),"#VALUE!")</f>
        <v>#VALUE!</v>
      </c>
      <c r="H296" s="51" t="str">
        <f>IFERROR(__xludf.DUMMYFUNCTION("""COMPUTED_VALUE"""),"")</f>
        <v/>
      </c>
      <c r="I296" s="51" t="str">
        <f>IFERROR(__xludf.DUMMYFUNCTION("""COMPUTED_VALUE"""),"#VALUE!")</f>
        <v>#VALUE!</v>
      </c>
      <c r="J296" s="51" t="str">
        <f>IFERROR(__xludf.DUMMYFUNCTION("""COMPUTED_VALUE"""),"")</f>
        <v/>
      </c>
      <c r="K296" s="51"/>
      <c r="L296" s="51" t="s">
        <v>257</v>
      </c>
      <c r="M296" s="51"/>
      <c r="N296" s="51"/>
      <c r="O296" s="51"/>
      <c r="P296" s="51"/>
      <c r="Q296" s="51"/>
      <c r="R296" s="51"/>
      <c r="S296" s="51"/>
      <c r="T296" s="51"/>
    </row>
    <row r="297">
      <c r="A297" s="51"/>
      <c r="B297" s="51"/>
      <c r="C297" s="56"/>
      <c r="D297" s="51"/>
      <c r="E297" s="51"/>
      <c r="F297" s="51"/>
      <c r="G297" s="51" t="str">
        <f>IFERROR(__xludf.DUMMYFUNCTION("""COMPUTED_VALUE"""),"#VALUE!")</f>
        <v>#VALUE!</v>
      </c>
      <c r="H297" s="51" t="str">
        <f>IFERROR(__xludf.DUMMYFUNCTION("""COMPUTED_VALUE"""),"")</f>
        <v/>
      </c>
      <c r="I297" s="51" t="str">
        <f>IFERROR(__xludf.DUMMYFUNCTION("""COMPUTED_VALUE"""),"#VALUE!")</f>
        <v>#VALUE!</v>
      </c>
      <c r="J297" s="51" t="str">
        <f>IFERROR(__xludf.DUMMYFUNCTION("""COMPUTED_VALUE"""),"")</f>
        <v/>
      </c>
      <c r="K297" s="51"/>
      <c r="L297" s="51" t="s">
        <v>257</v>
      </c>
      <c r="M297" s="51"/>
      <c r="N297" s="51"/>
      <c r="O297" s="51"/>
      <c r="P297" s="51"/>
      <c r="Q297" s="51"/>
      <c r="R297" s="51"/>
      <c r="S297" s="51"/>
      <c r="T297" s="51"/>
    </row>
    <row r="298">
      <c r="A298" s="51"/>
      <c r="B298" s="51"/>
      <c r="C298" s="56"/>
      <c r="D298" s="51"/>
      <c r="E298" s="51"/>
      <c r="F298" s="51"/>
      <c r="G298" s="51" t="str">
        <f>IFERROR(__xludf.DUMMYFUNCTION("""COMPUTED_VALUE"""),"#VALUE!")</f>
        <v>#VALUE!</v>
      </c>
      <c r="H298" s="51" t="str">
        <f>IFERROR(__xludf.DUMMYFUNCTION("""COMPUTED_VALUE"""),"")</f>
        <v/>
      </c>
      <c r="I298" s="51" t="str">
        <f>IFERROR(__xludf.DUMMYFUNCTION("""COMPUTED_VALUE"""),"#VALUE!")</f>
        <v>#VALUE!</v>
      </c>
      <c r="J298" s="51" t="str">
        <f>IFERROR(__xludf.DUMMYFUNCTION("""COMPUTED_VALUE"""),"")</f>
        <v/>
      </c>
      <c r="K298" s="51"/>
      <c r="L298" s="51" t="s">
        <v>257</v>
      </c>
      <c r="M298" s="51"/>
      <c r="N298" s="51"/>
      <c r="O298" s="51"/>
      <c r="P298" s="51"/>
      <c r="Q298" s="51"/>
      <c r="R298" s="51"/>
      <c r="S298" s="51"/>
      <c r="T298" s="51"/>
    </row>
    <row r="299">
      <c r="A299" s="51"/>
      <c r="B299" s="51"/>
      <c r="C299" s="56"/>
      <c r="D299" s="51"/>
      <c r="E299" s="51"/>
      <c r="F299" s="51"/>
      <c r="G299" s="51" t="str">
        <f>IFERROR(__xludf.DUMMYFUNCTION("""COMPUTED_VALUE"""),"#VALUE!")</f>
        <v>#VALUE!</v>
      </c>
      <c r="H299" s="51" t="str">
        <f>IFERROR(__xludf.DUMMYFUNCTION("""COMPUTED_VALUE"""),"")</f>
        <v/>
      </c>
      <c r="I299" s="51" t="str">
        <f>IFERROR(__xludf.DUMMYFUNCTION("""COMPUTED_VALUE"""),"#VALUE!")</f>
        <v>#VALUE!</v>
      </c>
      <c r="J299" s="51" t="str">
        <f>IFERROR(__xludf.DUMMYFUNCTION("""COMPUTED_VALUE"""),"")</f>
        <v/>
      </c>
      <c r="K299" s="51"/>
      <c r="L299" s="51" t="s">
        <v>257</v>
      </c>
      <c r="M299" s="51"/>
      <c r="N299" s="51"/>
      <c r="O299" s="51"/>
      <c r="P299" s="51"/>
      <c r="Q299" s="51"/>
      <c r="R299" s="51"/>
      <c r="S299" s="51"/>
      <c r="T299" s="51"/>
    </row>
    <row r="300">
      <c r="A300" s="51"/>
      <c r="B300" s="51"/>
      <c r="C300" s="56"/>
      <c r="D300" s="51"/>
      <c r="E300" s="51"/>
      <c r="F300" s="51"/>
      <c r="G300" s="51" t="str">
        <f>IFERROR(__xludf.DUMMYFUNCTION("""COMPUTED_VALUE"""),"#VALUE!")</f>
        <v>#VALUE!</v>
      </c>
      <c r="H300" s="51" t="str">
        <f>IFERROR(__xludf.DUMMYFUNCTION("""COMPUTED_VALUE"""),"")</f>
        <v/>
      </c>
      <c r="I300" s="51" t="str">
        <f>IFERROR(__xludf.DUMMYFUNCTION("""COMPUTED_VALUE"""),"#VALUE!")</f>
        <v>#VALUE!</v>
      </c>
      <c r="J300" s="51" t="str">
        <f>IFERROR(__xludf.DUMMYFUNCTION("""COMPUTED_VALUE"""),"")</f>
        <v/>
      </c>
      <c r="K300" s="51"/>
      <c r="L300" s="51" t="s">
        <v>257</v>
      </c>
      <c r="M300" s="51"/>
      <c r="N300" s="51"/>
      <c r="O300" s="51"/>
      <c r="P300" s="51"/>
      <c r="Q300" s="51"/>
      <c r="R300" s="51"/>
      <c r="S300" s="51"/>
      <c r="T300" s="51"/>
    </row>
    <row r="301">
      <c r="A301" s="51"/>
      <c r="B301" s="51"/>
      <c r="C301" s="56"/>
      <c r="D301" s="51"/>
      <c r="E301" s="51"/>
      <c r="F301" s="51"/>
      <c r="G301" s="51" t="str">
        <f>IFERROR(__xludf.DUMMYFUNCTION("""COMPUTED_VALUE"""),"#VALUE!")</f>
        <v>#VALUE!</v>
      </c>
      <c r="H301" s="51" t="str">
        <f>IFERROR(__xludf.DUMMYFUNCTION("""COMPUTED_VALUE"""),"")</f>
        <v/>
      </c>
      <c r="I301" s="51" t="str">
        <f>IFERROR(__xludf.DUMMYFUNCTION("""COMPUTED_VALUE"""),"#VALUE!")</f>
        <v>#VALUE!</v>
      </c>
      <c r="J301" s="51" t="str">
        <f>IFERROR(__xludf.DUMMYFUNCTION("""COMPUTED_VALUE"""),"")</f>
        <v/>
      </c>
      <c r="K301" s="51"/>
      <c r="L301" s="51" t="s">
        <v>257</v>
      </c>
      <c r="M301" s="51"/>
      <c r="N301" s="51"/>
      <c r="O301" s="51"/>
      <c r="P301" s="51"/>
      <c r="Q301" s="51"/>
      <c r="R301" s="51"/>
      <c r="S301" s="51"/>
      <c r="T301" s="51"/>
    </row>
    <row r="302">
      <c r="A302" s="51"/>
      <c r="B302" s="51"/>
      <c r="C302" s="56"/>
      <c r="D302" s="51"/>
      <c r="E302" s="51"/>
      <c r="F302" s="51"/>
      <c r="G302" s="51" t="str">
        <f>IFERROR(__xludf.DUMMYFUNCTION("""COMPUTED_VALUE"""),"#VALUE!")</f>
        <v>#VALUE!</v>
      </c>
      <c r="H302" s="51" t="str">
        <f>IFERROR(__xludf.DUMMYFUNCTION("""COMPUTED_VALUE"""),"")</f>
        <v/>
      </c>
      <c r="I302" s="51" t="str">
        <f>IFERROR(__xludf.DUMMYFUNCTION("""COMPUTED_VALUE"""),"#VALUE!")</f>
        <v>#VALUE!</v>
      </c>
      <c r="J302" s="51" t="str">
        <f>IFERROR(__xludf.DUMMYFUNCTION("""COMPUTED_VALUE"""),"")</f>
        <v/>
      </c>
      <c r="K302" s="51"/>
      <c r="L302" s="51" t="s">
        <v>257</v>
      </c>
      <c r="M302" s="51"/>
      <c r="N302" s="51"/>
      <c r="O302" s="51"/>
      <c r="P302" s="51"/>
      <c r="Q302" s="51"/>
      <c r="R302" s="51"/>
      <c r="S302" s="51"/>
      <c r="T302" s="51"/>
    </row>
    <row r="303">
      <c r="A303" s="51"/>
      <c r="B303" s="51"/>
      <c r="C303" s="56"/>
      <c r="D303" s="51"/>
      <c r="E303" s="51"/>
      <c r="F303" s="51"/>
      <c r="G303" s="51" t="str">
        <f>IFERROR(__xludf.DUMMYFUNCTION("""COMPUTED_VALUE"""),"#VALUE!")</f>
        <v>#VALUE!</v>
      </c>
      <c r="H303" s="51" t="str">
        <f>IFERROR(__xludf.DUMMYFUNCTION("""COMPUTED_VALUE"""),"")</f>
        <v/>
      </c>
      <c r="I303" s="51" t="str">
        <f>IFERROR(__xludf.DUMMYFUNCTION("""COMPUTED_VALUE"""),"#VALUE!")</f>
        <v>#VALUE!</v>
      </c>
      <c r="J303" s="51" t="str">
        <f>IFERROR(__xludf.DUMMYFUNCTION("""COMPUTED_VALUE"""),"")</f>
        <v/>
      </c>
      <c r="K303" s="51"/>
      <c r="L303" s="51" t="s">
        <v>257</v>
      </c>
      <c r="M303" s="51"/>
      <c r="N303" s="51"/>
      <c r="O303" s="51"/>
      <c r="P303" s="51"/>
      <c r="Q303" s="51"/>
      <c r="R303" s="51"/>
      <c r="S303" s="51"/>
      <c r="T303" s="51"/>
    </row>
    <row r="304">
      <c r="A304" s="51"/>
      <c r="B304" s="51"/>
      <c r="C304" s="56"/>
      <c r="D304" s="51"/>
      <c r="E304" s="51"/>
      <c r="F304" s="51"/>
      <c r="G304" s="51" t="str">
        <f>IFERROR(__xludf.DUMMYFUNCTION("""COMPUTED_VALUE"""),"#VALUE!")</f>
        <v>#VALUE!</v>
      </c>
      <c r="H304" s="51" t="str">
        <f>IFERROR(__xludf.DUMMYFUNCTION("""COMPUTED_VALUE"""),"")</f>
        <v/>
      </c>
      <c r="I304" s="51" t="str">
        <f>IFERROR(__xludf.DUMMYFUNCTION("""COMPUTED_VALUE"""),"#VALUE!")</f>
        <v>#VALUE!</v>
      </c>
      <c r="J304" s="51" t="str">
        <f>IFERROR(__xludf.DUMMYFUNCTION("""COMPUTED_VALUE"""),"")</f>
        <v/>
      </c>
      <c r="K304" s="51"/>
      <c r="L304" s="51" t="s">
        <v>257</v>
      </c>
      <c r="M304" s="51"/>
      <c r="N304" s="51"/>
      <c r="O304" s="51"/>
      <c r="P304" s="51"/>
      <c r="Q304" s="51"/>
      <c r="R304" s="51"/>
      <c r="S304" s="51"/>
      <c r="T304" s="51"/>
    </row>
    <row r="305">
      <c r="A305" s="51"/>
      <c r="B305" s="51"/>
      <c r="C305" s="56"/>
      <c r="D305" s="51"/>
      <c r="E305" s="51"/>
      <c r="F305" s="51"/>
      <c r="G305" s="51" t="str">
        <f>IFERROR(__xludf.DUMMYFUNCTION("""COMPUTED_VALUE"""),"#VALUE!")</f>
        <v>#VALUE!</v>
      </c>
      <c r="H305" s="51" t="str">
        <f>IFERROR(__xludf.DUMMYFUNCTION("""COMPUTED_VALUE"""),"")</f>
        <v/>
      </c>
      <c r="I305" s="51" t="str">
        <f>IFERROR(__xludf.DUMMYFUNCTION("""COMPUTED_VALUE"""),"#VALUE!")</f>
        <v>#VALUE!</v>
      </c>
      <c r="J305" s="51" t="str">
        <f>IFERROR(__xludf.DUMMYFUNCTION("""COMPUTED_VALUE"""),"")</f>
        <v/>
      </c>
      <c r="K305" s="51"/>
      <c r="L305" s="51" t="s">
        <v>257</v>
      </c>
      <c r="M305" s="51"/>
      <c r="N305" s="51"/>
      <c r="O305" s="51"/>
      <c r="P305" s="51"/>
      <c r="Q305" s="51"/>
      <c r="R305" s="51"/>
      <c r="S305" s="51"/>
      <c r="T305" s="51"/>
    </row>
    <row r="306">
      <c r="A306" s="51"/>
      <c r="B306" s="51"/>
      <c r="C306" s="56"/>
      <c r="D306" s="51"/>
      <c r="E306" s="51"/>
      <c r="F306" s="51"/>
      <c r="G306" s="51" t="str">
        <f>IFERROR(__xludf.DUMMYFUNCTION("""COMPUTED_VALUE"""),"#VALUE!")</f>
        <v>#VALUE!</v>
      </c>
      <c r="H306" s="51" t="str">
        <f>IFERROR(__xludf.DUMMYFUNCTION("""COMPUTED_VALUE"""),"")</f>
        <v/>
      </c>
      <c r="I306" s="51" t="str">
        <f>IFERROR(__xludf.DUMMYFUNCTION("""COMPUTED_VALUE"""),"#VALUE!")</f>
        <v>#VALUE!</v>
      </c>
      <c r="J306" s="51" t="str">
        <f>IFERROR(__xludf.DUMMYFUNCTION("""COMPUTED_VALUE"""),"")</f>
        <v/>
      </c>
      <c r="K306" s="51"/>
      <c r="L306" s="51" t="s">
        <v>257</v>
      </c>
      <c r="M306" s="51"/>
      <c r="N306" s="51"/>
      <c r="O306" s="51"/>
      <c r="P306" s="51"/>
      <c r="Q306" s="51"/>
      <c r="R306" s="51"/>
      <c r="S306" s="51"/>
      <c r="T306" s="51"/>
    </row>
    <row r="307">
      <c r="A307" s="51"/>
      <c r="B307" s="51"/>
      <c r="C307" s="56"/>
      <c r="D307" s="51"/>
      <c r="E307" s="51"/>
      <c r="F307" s="51"/>
      <c r="G307" s="51" t="str">
        <f>IFERROR(__xludf.DUMMYFUNCTION("""COMPUTED_VALUE"""),"#VALUE!")</f>
        <v>#VALUE!</v>
      </c>
      <c r="H307" s="51" t="str">
        <f>IFERROR(__xludf.DUMMYFUNCTION("""COMPUTED_VALUE"""),"")</f>
        <v/>
      </c>
      <c r="I307" s="51" t="str">
        <f>IFERROR(__xludf.DUMMYFUNCTION("""COMPUTED_VALUE"""),"#VALUE!")</f>
        <v>#VALUE!</v>
      </c>
      <c r="J307" s="51" t="str">
        <f>IFERROR(__xludf.DUMMYFUNCTION("""COMPUTED_VALUE"""),"")</f>
        <v/>
      </c>
      <c r="K307" s="51"/>
      <c r="L307" s="51" t="s">
        <v>257</v>
      </c>
      <c r="M307" s="51"/>
      <c r="N307" s="51"/>
      <c r="O307" s="51"/>
      <c r="P307" s="51"/>
      <c r="Q307" s="51"/>
      <c r="R307" s="51"/>
      <c r="S307" s="51"/>
      <c r="T307" s="51"/>
    </row>
    <row r="308">
      <c r="A308" s="51"/>
      <c r="B308" s="51"/>
      <c r="C308" s="56"/>
      <c r="D308" s="51"/>
      <c r="E308" s="51"/>
      <c r="F308" s="51"/>
      <c r="G308" s="51" t="str">
        <f>IFERROR(__xludf.DUMMYFUNCTION("""COMPUTED_VALUE"""),"#VALUE!")</f>
        <v>#VALUE!</v>
      </c>
      <c r="H308" s="51" t="str">
        <f>IFERROR(__xludf.DUMMYFUNCTION("""COMPUTED_VALUE"""),"")</f>
        <v/>
      </c>
      <c r="I308" s="51" t="str">
        <f>IFERROR(__xludf.DUMMYFUNCTION("""COMPUTED_VALUE"""),"#VALUE!")</f>
        <v>#VALUE!</v>
      </c>
      <c r="J308" s="51" t="str">
        <f>IFERROR(__xludf.DUMMYFUNCTION("""COMPUTED_VALUE"""),"")</f>
        <v/>
      </c>
      <c r="K308" s="51"/>
      <c r="L308" s="51" t="s">
        <v>257</v>
      </c>
      <c r="M308" s="51"/>
      <c r="N308" s="51"/>
      <c r="O308" s="51"/>
      <c r="P308" s="51"/>
      <c r="Q308" s="51"/>
      <c r="R308" s="51"/>
      <c r="S308" s="51"/>
      <c r="T308" s="51"/>
    </row>
    <row r="309">
      <c r="A309" s="51"/>
      <c r="B309" s="51"/>
      <c r="C309" s="56"/>
      <c r="D309" s="51"/>
      <c r="E309" s="51"/>
      <c r="F309" s="51"/>
      <c r="G309" s="51" t="str">
        <f>IFERROR(__xludf.DUMMYFUNCTION("""COMPUTED_VALUE"""),"#VALUE!")</f>
        <v>#VALUE!</v>
      </c>
      <c r="H309" s="51" t="str">
        <f>IFERROR(__xludf.DUMMYFUNCTION("""COMPUTED_VALUE"""),"")</f>
        <v/>
      </c>
      <c r="I309" s="51" t="str">
        <f>IFERROR(__xludf.DUMMYFUNCTION("""COMPUTED_VALUE"""),"#VALUE!")</f>
        <v>#VALUE!</v>
      </c>
      <c r="J309" s="51" t="str">
        <f>IFERROR(__xludf.DUMMYFUNCTION("""COMPUTED_VALUE"""),"")</f>
        <v/>
      </c>
      <c r="K309" s="51"/>
      <c r="L309" s="51" t="s">
        <v>257</v>
      </c>
      <c r="M309" s="51"/>
      <c r="N309" s="51"/>
      <c r="O309" s="51"/>
      <c r="P309" s="51"/>
      <c r="Q309" s="51"/>
      <c r="R309" s="51"/>
      <c r="S309" s="51"/>
      <c r="T309" s="51"/>
    </row>
    <row r="310">
      <c r="A310" s="51"/>
      <c r="B310" s="51"/>
      <c r="C310" s="56"/>
      <c r="D310" s="51"/>
      <c r="E310" s="51"/>
      <c r="F310" s="51"/>
      <c r="G310" s="51" t="str">
        <f>IFERROR(__xludf.DUMMYFUNCTION("""COMPUTED_VALUE"""),"#VALUE!")</f>
        <v>#VALUE!</v>
      </c>
      <c r="H310" s="51" t="str">
        <f>IFERROR(__xludf.DUMMYFUNCTION("""COMPUTED_VALUE"""),"")</f>
        <v/>
      </c>
      <c r="I310" s="51" t="str">
        <f>IFERROR(__xludf.DUMMYFUNCTION("""COMPUTED_VALUE"""),"#VALUE!")</f>
        <v>#VALUE!</v>
      </c>
      <c r="J310" s="51" t="str">
        <f>IFERROR(__xludf.DUMMYFUNCTION("""COMPUTED_VALUE"""),"")</f>
        <v/>
      </c>
      <c r="K310" s="51"/>
      <c r="L310" s="51" t="s">
        <v>257</v>
      </c>
      <c r="M310" s="51"/>
      <c r="N310" s="51"/>
      <c r="O310" s="51"/>
      <c r="P310" s="51"/>
      <c r="Q310" s="51"/>
      <c r="R310" s="51"/>
      <c r="S310" s="51"/>
      <c r="T310" s="51"/>
    </row>
    <row r="311">
      <c r="A311" s="51"/>
      <c r="B311" s="51"/>
      <c r="C311" s="56"/>
      <c r="D311" s="51"/>
      <c r="E311" s="51"/>
      <c r="F311" s="51"/>
      <c r="G311" s="51" t="str">
        <f>IFERROR(__xludf.DUMMYFUNCTION("""COMPUTED_VALUE"""),"#VALUE!")</f>
        <v>#VALUE!</v>
      </c>
      <c r="H311" s="51" t="str">
        <f>IFERROR(__xludf.DUMMYFUNCTION("""COMPUTED_VALUE"""),"")</f>
        <v/>
      </c>
      <c r="I311" s="51" t="str">
        <f>IFERROR(__xludf.DUMMYFUNCTION("""COMPUTED_VALUE"""),"#VALUE!")</f>
        <v>#VALUE!</v>
      </c>
      <c r="J311" s="51" t="str">
        <f>IFERROR(__xludf.DUMMYFUNCTION("""COMPUTED_VALUE"""),"")</f>
        <v/>
      </c>
      <c r="K311" s="51"/>
      <c r="L311" s="51" t="s">
        <v>257</v>
      </c>
      <c r="M311" s="51"/>
      <c r="N311" s="51"/>
      <c r="O311" s="51"/>
      <c r="P311" s="51"/>
      <c r="Q311" s="51"/>
      <c r="R311" s="51"/>
      <c r="S311" s="51"/>
      <c r="T311" s="51"/>
    </row>
    <row r="312">
      <c r="A312" s="51"/>
      <c r="B312" s="51"/>
      <c r="C312" s="56"/>
      <c r="D312" s="51"/>
      <c r="E312" s="51"/>
      <c r="F312" s="51"/>
      <c r="G312" s="51" t="str">
        <f>IFERROR(__xludf.DUMMYFUNCTION("""COMPUTED_VALUE"""),"#VALUE!")</f>
        <v>#VALUE!</v>
      </c>
      <c r="H312" s="51" t="str">
        <f>IFERROR(__xludf.DUMMYFUNCTION("""COMPUTED_VALUE"""),"")</f>
        <v/>
      </c>
      <c r="I312" s="51" t="str">
        <f>IFERROR(__xludf.DUMMYFUNCTION("""COMPUTED_VALUE"""),"#VALUE!")</f>
        <v>#VALUE!</v>
      </c>
      <c r="J312" s="51" t="str">
        <f>IFERROR(__xludf.DUMMYFUNCTION("""COMPUTED_VALUE"""),"")</f>
        <v/>
      </c>
      <c r="K312" s="51"/>
      <c r="L312" s="51" t="s">
        <v>257</v>
      </c>
      <c r="M312" s="51"/>
      <c r="N312" s="51"/>
      <c r="O312" s="51"/>
      <c r="P312" s="51"/>
      <c r="Q312" s="51"/>
      <c r="R312" s="51"/>
      <c r="S312" s="51"/>
      <c r="T312" s="51"/>
    </row>
    <row r="313">
      <c r="A313" s="51"/>
      <c r="B313" s="51"/>
      <c r="C313" s="56"/>
      <c r="D313" s="51"/>
      <c r="E313" s="51"/>
      <c r="F313" s="51"/>
      <c r="G313" s="51" t="str">
        <f>IFERROR(__xludf.DUMMYFUNCTION("""COMPUTED_VALUE"""),"#VALUE!")</f>
        <v>#VALUE!</v>
      </c>
      <c r="H313" s="51" t="str">
        <f>IFERROR(__xludf.DUMMYFUNCTION("""COMPUTED_VALUE"""),"")</f>
        <v/>
      </c>
      <c r="I313" s="51" t="str">
        <f>IFERROR(__xludf.DUMMYFUNCTION("""COMPUTED_VALUE"""),"#VALUE!")</f>
        <v>#VALUE!</v>
      </c>
      <c r="J313" s="51" t="str">
        <f>IFERROR(__xludf.DUMMYFUNCTION("""COMPUTED_VALUE"""),"")</f>
        <v/>
      </c>
      <c r="K313" s="51"/>
      <c r="L313" s="51" t="s">
        <v>257</v>
      </c>
      <c r="M313" s="51"/>
      <c r="N313" s="51"/>
      <c r="O313" s="51"/>
      <c r="P313" s="51"/>
      <c r="Q313" s="51"/>
      <c r="R313" s="51"/>
      <c r="S313" s="51"/>
      <c r="T313" s="51"/>
    </row>
    <row r="314">
      <c r="A314" s="51"/>
      <c r="B314" s="51"/>
      <c r="C314" s="56"/>
      <c r="D314" s="51"/>
      <c r="E314" s="51"/>
      <c r="F314" s="51"/>
      <c r="G314" s="51" t="str">
        <f>IFERROR(__xludf.DUMMYFUNCTION("""COMPUTED_VALUE"""),"#VALUE!")</f>
        <v>#VALUE!</v>
      </c>
      <c r="H314" s="51" t="str">
        <f>IFERROR(__xludf.DUMMYFUNCTION("""COMPUTED_VALUE"""),"")</f>
        <v/>
      </c>
      <c r="I314" s="51" t="str">
        <f>IFERROR(__xludf.DUMMYFUNCTION("""COMPUTED_VALUE"""),"#VALUE!")</f>
        <v>#VALUE!</v>
      </c>
      <c r="J314" s="51" t="str">
        <f>IFERROR(__xludf.DUMMYFUNCTION("""COMPUTED_VALUE"""),"")</f>
        <v/>
      </c>
      <c r="K314" s="51"/>
      <c r="L314" s="51" t="s">
        <v>257</v>
      </c>
      <c r="M314" s="51"/>
      <c r="N314" s="51"/>
      <c r="O314" s="51"/>
      <c r="P314" s="51"/>
      <c r="Q314" s="51"/>
      <c r="R314" s="51"/>
      <c r="S314" s="51"/>
      <c r="T314" s="51"/>
    </row>
    <row r="315">
      <c r="A315" s="51"/>
      <c r="B315" s="51"/>
      <c r="C315" s="56"/>
      <c r="D315" s="51"/>
      <c r="E315" s="51"/>
      <c r="F315" s="51"/>
      <c r="G315" s="51" t="str">
        <f>IFERROR(__xludf.DUMMYFUNCTION("""COMPUTED_VALUE"""),"#VALUE!")</f>
        <v>#VALUE!</v>
      </c>
      <c r="H315" s="51" t="str">
        <f>IFERROR(__xludf.DUMMYFUNCTION("""COMPUTED_VALUE"""),"")</f>
        <v/>
      </c>
      <c r="I315" s="51" t="str">
        <f>IFERROR(__xludf.DUMMYFUNCTION("""COMPUTED_VALUE"""),"#VALUE!")</f>
        <v>#VALUE!</v>
      </c>
      <c r="J315" s="51" t="str">
        <f>IFERROR(__xludf.DUMMYFUNCTION("""COMPUTED_VALUE"""),"")</f>
        <v/>
      </c>
      <c r="K315" s="51"/>
      <c r="L315" s="51" t="s">
        <v>257</v>
      </c>
      <c r="M315" s="51"/>
      <c r="N315" s="51"/>
      <c r="O315" s="51"/>
      <c r="P315" s="51"/>
      <c r="Q315" s="51"/>
      <c r="R315" s="51"/>
      <c r="S315" s="51"/>
      <c r="T315" s="51"/>
    </row>
    <row r="316">
      <c r="A316" s="51"/>
      <c r="B316" s="51"/>
      <c r="C316" s="56"/>
      <c r="D316" s="51"/>
      <c r="E316" s="51"/>
      <c r="F316" s="51"/>
      <c r="G316" s="51" t="str">
        <f>IFERROR(__xludf.DUMMYFUNCTION("""COMPUTED_VALUE"""),"#VALUE!")</f>
        <v>#VALUE!</v>
      </c>
      <c r="H316" s="51" t="str">
        <f>IFERROR(__xludf.DUMMYFUNCTION("""COMPUTED_VALUE"""),"")</f>
        <v/>
      </c>
      <c r="I316" s="51" t="str">
        <f>IFERROR(__xludf.DUMMYFUNCTION("""COMPUTED_VALUE"""),"#VALUE!")</f>
        <v>#VALUE!</v>
      </c>
      <c r="J316" s="51" t="str">
        <f>IFERROR(__xludf.DUMMYFUNCTION("""COMPUTED_VALUE"""),"")</f>
        <v/>
      </c>
      <c r="K316" s="51"/>
      <c r="L316" s="51" t="s">
        <v>257</v>
      </c>
      <c r="M316" s="51"/>
      <c r="N316" s="51"/>
      <c r="O316" s="51"/>
      <c r="P316" s="51"/>
      <c r="Q316" s="51"/>
      <c r="R316" s="51"/>
      <c r="S316" s="51"/>
      <c r="T316" s="51"/>
    </row>
    <row r="317">
      <c r="A317" s="51"/>
      <c r="B317" s="51"/>
      <c r="C317" s="56"/>
      <c r="D317" s="51"/>
      <c r="E317" s="51"/>
      <c r="F317" s="51"/>
      <c r="G317" s="51" t="str">
        <f>IFERROR(__xludf.DUMMYFUNCTION("""COMPUTED_VALUE"""),"#VALUE!")</f>
        <v>#VALUE!</v>
      </c>
      <c r="H317" s="51" t="str">
        <f>IFERROR(__xludf.DUMMYFUNCTION("""COMPUTED_VALUE"""),"")</f>
        <v/>
      </c>
      <c r="I317" s="51" t="str">
        <f>IFERROR(__xludf.DUMMYFUNCTION("""COMPUTED_VALUE"""),"#VALUE!")</f>
        <v>#VALUE!</v>
      </c>
      <c r="J317" s="51" t="str">
        <f>IFERROR(__xludf.DUMMYFUNCTION("""COMPUTED_VALUE"""),"")</f>
        <v/>
      </c>
      <c r="K317" s="51"/>
      <c r="L317" s="51" t="s">
        <v>257</v>
      </c>
      <c r="M317" s="51"/>
      <c r="N317" s="51"/>
      <c r="O317" s="51"/>
      <c r="P317" s="51"/>
      <c r="Q317" s="51"/>
      <c r="R317" s="51"/>
      <c r="S317" s="51"/>
      <c r="T317" s="51"/>
    </row>
    <row r="318">
      <c r="A318" s="51"/>
      <c r="B318" s="51"/>
      <c r="C318" s="56"/>
      <c r="D318" s="51"/>
      <c r="E318" s="51"/>
      <c r="F318" s="51"/>
      <c r="G318" s="51" t="str">
        <f>IFERROR(__xludf.DUMMYFUNCTION("""COMPUTED_VALUE"""),"#VALUE!")</f>
        <v>#VALUE!</v>
      </c>
      <c r="H318" s="51" t="str">
        <f>IFERROR(__xludf.DUMMYFUNCTION("""COMPUTED_VALUE"""),"")</f>
        <v/>
      </c>
      <c r="I318" s="51" t="str">
        <f>IFERROR(__xludf.DUMMYFUNCTION("""COMPUTED_VALUE"""),"#VALUE!")</f>
        <v>#VALUE!</v>
      </c>
      <c r="J318" s="51" t="str">
        <f>IFERROR(__xludf.DUMMYFUNCTION("""COMPUTED_VALUE"""),"")</f>
        <v/>
      </c>
      <c r="K318" s="51"/>
      <c r="L318" s="51" t="s">
        <v>257</v>
      </c>
      <c r="M318" s="51"/>
      <c r="N318" s="51"/>
      <c r="O318" s="51"/>
      <c r="P318" s="51"/>
      <c r="Q318" s="51"/>
      <c r="R318" s="51"/>
      <c r="S318" s="51"/>
      <c r="T318" s="51"/>
    </row>
    <row r="319">
      <c r="A319" s="51"/>
      <c r="B319" s="51"/>
      <c r="C319" s="56"/>
      <c r="D319" s="51"/>
      <c r="E319" s="51"/>
      <c r="F319" s="51"/>
      <c r="G319" s="51" t="str">
        <f>IFERROR(__xludf.DUMMYFUNCTION("""COMPUTED_VALUE"""),"#VALUE!")</f>
        <v>#VALUE!</v>
      </c>
      <c r="H319" s="51" t="str">
        <f>IFERROR(__xludf.DUMMYFUNCTION("""COMPUTED_VALUE"""),"")</f>
        <v/>
      </c>
      <c r="I319" s="51" t="str">
        <f>IFERROR(__xludf.DUMMYFUNCTION("""COMPUTED_VALUE"""),"#VALUE!")</f>
        <v>#VALUE!</v>
      </c>
      <c r="J319" s="51" t="str">
        <f>IFERROR(__xludf.DUMMYFUNCTION("""COMPUTED_VALUE"""),"")</f>
        <v/>
      </c>
      <c r="K319" s="51"/>
      <c r="L319" s="51" t="s">
        <v>257</v>
      </c>
      <c r="M319" s="51"/>
      <c r="N319" s="51"/>
      <c r="O319" s="51"/>
      <c r="P319" s="51"/>
      <c r="Q319" s="51"/>
      <c r="R319" s="51"/>
      <c r="S319" s="51"/>
      <c r="T319" s="51"/>
    </row>
    <row r="320">
      <c r="A320" s="51"/>
      <c r="B320" s="51"/>
      <c r="C320" s="56"/>
      <c r="D320" s="51"/>
      <c r="E320" s="51"/>
      <c r="F320" s="51"/>
      <c r="G320" s="51" t="str">
        <f>IFERROR(__xludf.DUMMYFUNCTION("""COMPUTED_VALUE"""),"#VALUE!")</f>
        <v>#VALUE!</v>
      </c>
      <c r="H320" s="51" t="str">
        <f>IFERROR(__xludf.DUMMYFUNCTION("""COMPUTED_VALUE"""),"")</f>
        <v/>
      </c>
      <c r="I320" s="51" t="str">
        <f>IFERROR(__xludf.DUMMYFUNCTION("""COMPUTED_VALUE"""),"#VALUE!")</f>
        <v>#VALUE!</v>
      </c>
      <c r="J320" s="51" t="str">
        <f>IFERROR(__xludf.DUMMYFUNCTION("""COMPUTED_VALUE"""),"")</f>
        <v/>
      </c>
      <c r="K320" s="51"/>
      <c r="L320" s="51" t="s">
        <v>257</v>
      </c>
      <c r="M320" s="51"/>
      <c r="N320" s="51"/>
      <c r="O320" s="51"/>
      <c r="P320" s="51"/>
      <c r="Q320" s="51"/>
      <c r="R320" s="51"/>
      <c r="S320" s="51"/>
      <c r="T320" s="51"/>
    </row>
    <row r="321">
      <c r="A321" s="51"/>
      <c r="B321" s="51"/>
      <c r="C321" s="56"/>
      <c r="D321" s="51"/>
      <c r="E321" s="51"/>
      <c r="F321" s="51"/>
      <c r="G321" s="51" t="str">
        <f>IFERROR(__xludf.DUMMYFUNCTION("""COMPUTED_VALUE"""),"#VALUE!")</f>
        <v>#VALUE!</v>
      </c>
      <c r="H321" s="51" t="str">
        <f>IFERROR(__xludf.DUMMYFUNCTION("""COMPUTED_VALUE"""),"")</f>
        <v/>
      </c>
      <c r="I321" s="51" t="str">
        <f>IFERROR(__xludf.DUMMYFUNCTION("""COMPUTED_VALUE"""),"#VALUE!")</f>
        <v>#VALUE!</v>
      </c>
      <c r="J321" s="51" t="str">
        <f>IFERROR(__xludf.DUMMYFUNCTION("""COMPUTED_VALUE"""),"")</f>
        <v/>
      </c>
      <c r="K321" s="51"/>
      <c r="L321" s="51" t="s">
        <v>257</v>
      </c>
      <c r="M321" s="51"/>
      <c r="N321" s="51"/>
      <c r="O321" s="51"/>
      <c r="P321" s="51"/>
      <c r="Q321" s="51"/>
      <c r="R321" s="51"/>
      <c r="S321" s="51"/>
      <c r="T321" s="51"/>
    </row>
    <row r="322">
      <c r="A322" s="51"/>
      <c r="B322" s="51"/>
      <c r="C322" s="56"/>
      <c r="D322" s="51"/>
      <c r="E322" s="51"/>
      <c r="F322" s="51"/>
      <c r="G322" s="51" t="str">
        <f>IFERROR(__xludf.DUMMYFUNCTION("""COMPUTED_VALUE"""),"#VALUE!")</f>
        <v>#VALUE!</v>
      </c>
      <c r="H322" s="51" t="str">
        <f>IFERROR(__xludf.DUMMYFUNCTION("""COMPUTED_VALUE"""),"")</f>
        <v/>
      </c>
      <c r="I322" s="51" t="str">
        <f>IFERROR(__xludf.DUMMYFUNCTION("""COMPUTED_VALUE"""),"#VALUE!")</f>
        <v>#VALUE!</v>
      </c>
      <c r="J322" s="51" t="str">
        <f>IFERROR(__xludf.DUMMYFUNCTION("""COMPUTED_VALUE"""),"")</f>
        <v/>
      </c>
      <c r="K322" s="51"/>
      <c r="L322" s="51" t="s">
        <v>257</v>
      </c>
      <c r="M322" s="51"/>
      <c r="N322" s="51"/>
      <c r="O322" s="51"/>
      <c r="P322" s="51"/>
      <c r="Q322" s="51"/>
      <c r="R322" s="51"/>
      <c r="S322" s="51"/>
      <c r="T322" s="51"/>
    </row>
    <row r="323">
      <c r="A323" s="51"/>
      <c r="B323" s="51"/>
      <c r="C323" s="56"/>
      <c r="D323" s="51"/>
      <c r="E323" s="51"/>
      <c r="F323" s="51"/>
      <c r="G323" s="51" t="str">
        <f>IFERROR(__xludf.DUMMYFUNCTION("""COMPUTED_VALUE"""),"#VALUE!")</f>
        <v>#VALUE!</v>
      </c>
      <c r="H323" s="51" t="str">
        <f>IFERROR(__xludf.DUMMYFUNCTION("""COMPUTED_VALUE"""),"")</f>
        <v/>
      </c>
      <c r="I323" s="51" t="str">
        <f>IFERROR(__xludf.DUMMYFUNCTION("""COMPUTED_VALUE"""),"#VALUE!")</f>
        <v>#VALUE!</v>
      </c>
      <c r="J323" s="51" t="str">
        <f>IFERROR(__xludf.DUMMYFUNCTION("""COMPUTED_VALUE"""),"")</f>
        <v/>
      </c>
      <c r="K323" s="51"/>
      <c r="L323" s="51" t="s">
        <v>257</v>
      </c>
      <c r="M323" s="51"/>
      <c r="N323" s="51"/>
      <c r="O323" s="51"/>
      <c r="P323" s="51"/>
      <c r="Q323" s="51"/>
      <c r="R323" s="51"/>
      <c r="S323" s="51"/>
      <c r="T323" s="51"/>
    </row>
    <row r="324">
      <c r="A324" s="51"/>
      <c r="B324" s="51"/>
      <c r="C324" s="56"/>
      <c r="D324" s="51"/>
      <c r="E324" s="51"/>
      <c r="F324" s="51"/>
      <c r="G324" s="51" t="str">
        <f>IFERROR(__xludf.DUMMYFUNCTION("""COMPUTED_VALUE"""),"#VALUE!")</f>
        <v>#VALUE!</v>
      </c>
      <c r="H324" s="51" t="str">
        <f>IFERROR(__xludf.DUMMYFUNCTION("""COMPUTED_VALUE"""),"")</f>
        <v/>
      </c>
      <c r="I324" s="51" t="str">
        <f>IFERROR(__xludf.DUMMYFUNCTION("""COMPUTED_VALUE"""),"#VALUE!")</f>
        <v>#VALUE!</v>
      </c>
      <c r="J324" s="51" t="str">
        <f>IFERROR(__xludf.DUMMYFUNCTION("""COMPUTED_VALUE"""),"")</f>
        <v/>
      </c>
      <c r="K324" s="51"/>
      <c r="L324" s="51" t="s">
        <v>257</v>
      </c>
      <c r="M324" s="51"/>
      <c r="N324" s="51"/>
      <c r="O324" s="51"/>
      <c r="P324" s="51"/>
      <c r="Q324" s="51"/>
      <c r="R324" s="51"/>
      <c r="S324" s="51"/>
      <c r="T324" s="51"/>
    </row>
    <row r="325">
      <c r="A325" s="51"/>
      <c r="B325" s="51"/>
      <c r="C325" s="56"/>
      <c r="D325" s="51"/>
      <c r="E325" s="51"/>
      <c r="F325" s="51"/>
      <c r="G325" s="51" t="str">
        <f>IFERROR(__xludf.DUMMYFUNCTION("""COMPUTED_VALUE"""),"#VALUE!")</f>
        <v>#VALUE!</v>
      </c>
      <c r="H325" s="51" t="str">
        <f>IFERROR(__xludf.DUMMYFUNCTION("""COMPUTED_VALUE"""),"")</f>
        <v/>
      </c>
      <c r="I325" s="51" t="str">
        <f>IFERROR(__xludf.DUMMYFUNCTION("""COMPUTED_VALUE"""),"#VALUE!")</f>
        <v>#VALUE!</v>
      </c>
      <c r="J325" s="51" t="str">
        <f>IFERROR(__xludf.DUMMYFUNCTION("""COMPUTED_VALUE"""),"")</f>
        <v/>
      </c>
      <c r="K325" s="51"/>
      <c r="L325" s="51" t="s">
        <v>257</v>
      </c>
      <c r="M325" s="51"/>
      <c r="N325" s="51"/>
      <c r="O325" s="51"/>
      <c r="P325" s="51"/>
      <c r="Q325" s="51"/>
      <c r="R325" s="51"/>
      <c r="S325" s="51"/>
      <c r="T325" s="51"/>
    </row>
    <row r="326">
      <c r="A326" s="51"/>
      <c r="B326" s="51"/>
      <c r="C326" s="56"/>
      <c r="D326" s="51"/>
      <c r="E326" s="51"/>
      <c r="F326" s="51"/>
      <c r="G326" s="51" t="str">
        <f>IFERROR(__xludf.DUMMYFUNCTION("""COMPUTED_VALUE"""),"#VALUE!")</f>
        <v>#VALUE!</v>
      </c>
      <c r="H326" s="51" t="str">
        <f>IFERROR(__xludf.DUMMYFUNCTION("""COMPUTED_VALUE"""),"")</f>
        <v/>
      </c>
      <c r="I326" s="51" t="str">
        <f>IFERROR(__xludf.DUMMYFUNCTION("""COMPUTED_VALUE"""),"#VALUE!")</f>
        <v>#VALUE!</v>
      </c>
      <c r="J326" s="51" t="str">
        <f>IFERROR(__xludf.DUMMYFUNCTION("""COMPUTED_VALUE"""),"")</f>
        <v/>
      </c>
      <c r="K326" s="51"/>
      <c r="L326" s="51" t="s">
        <v>257</v>
      </c>
      <c r="M326" s="51"/>
      <c r="N326" s="51"/>
      <c r="O326" s="51"/>
      <c r="P326" s="51"/>
      <c r="Q326" s="51"/>
      <c r="R326" s="51"/>
      <c r="S326" s="51"/>
      <c r="T326" s="51"/>
    </row>
    <row r="327">
      <c r="A327" s="51"/>
      <c r="B327" s="51"/>
      <c r="C327" s="56"/>
      <c r="D327" s="51"/>
      <c r="E327" s="51"/>
      <c r="F327" s="51"/>
      <c r="G327" s="51" t="str">
        <f>IFERROR(__xludf.DUMMYFUNCTION("""COMPUTED_VALUE"""),"#VALUE!")</f>
        <v>#VALUE!</v>
      </c>
      <c r="H327" s="51" t="str">
        <f>IFERROR(__xludf.DUMMYFUNCTION("""COMPUTED_VALUE"""),"")</f>
        <v/>
      </c>
      <c r="I327" s="51" t="str">
        <f>IFERROR(__xludf.DUMMYFUNCTION("""COMPUTED_VALUE"""),"#VALUE!")</f>
        <v>#VALUE!</v>
      </c>
      <c r="J327" s="51" t="str">
        <f>IFERROR(__xludf.DUMMYFUNCTION("""COMPUTED_VALUE"""),"")</f>
        <v/>
      </c>
      <c r="K327" s="51"/>
      <c r="L327" s="51" t="s">
        <v>257</v>
      </c>
      <c r="M327" s="51"/>
      <c r="N327" s="51"/>
      <c r="O327" s="51"/>
      <c r="P327" s="51"/>
      <c r="Q327" s="51"/>
      <c r="R327" s="51"/>
      <c r="S327" s="51"/>
      <c r="T327" s="51"/>
    </row>
    <row r="328">
      <c r="A328" s="51"/>
      <c r="B328" s="51"/>
      <c r="C328" s="56"/>
      <c r="D328" s="51"/>
      <c r="E328" s="51"/>
      <c r="F328" s="51"/>
      <c r="G328" s="51" t="str">
        <f>IFERROR(__xludf.DUMMYFUNCTION("""COMPUTED_VALUE"""),"#VALUE!")</f>
        <v>#VALUE!</v>
      </c>
      <c r="H328" s="51" t="str">
        <f>IFERROR(__xludf.DUMMYFUNCTION("""COMPUTED_VALUE"""),"")</f>
        <v/>
      </c>
      <c r="I328" s="51" t="str">
        <f>IFERROR(__xludf.DUMMYFUNCTION("""COMPUTED_VALUE"""),"#VALUE!")</f>
        <v>#VALUE!</v>
      </c>
      <c r="J328" s="51" t="str">
        <f>IFERROR(__xludf.DUMMYFUNCTION("""COMPUTED_VALUE"""),"")</f>
        <v/>
      </c>
      <c r="K328" s="51"/>
      <c r="L328" s="51" t="s">
        <v>257</v>
      </c>
      <c r="M328" s="51"/>
      <c r="N328" s="51"/>
      <c r="O328" s="51"/>
      <c r="P328" s="51"/>
      <c r="Q328" s="51"/>
      <c r="R328" s="51"/>
      <c r="S328" s="51"/>
      <c r="T328" s="51"/>
    </row>
    <row r="329">
      <c r="A329" s="51"/>
      <c r="B329" s="51"/>
      <c r="C329" s="56"/>
      <c r="D329" s="51"/>
      <c r="E329" s="51"/>
      <c r="F329" s="51"/>
      <c r="G329" s="51" t="str">
        <f>IFERROR(__xludf.DUMMYFUNCTION("""COMPUTED_VALUE"""),"#VALUE!")</f>
        <v>#VALUE!</v>
      </c>
      <c r="H329" s="51" t="str">
        <f>IFERROR(__xludf.DUMMYFUNCTION("""COMPUTED_VALUE"""),"")</f>
        <v/>
      </c>
      <c r="I329" s="51" t="str">
        <f>IFERROR(__xludf.DUMMYFUNCTION("""COMPUTED_VALUE"""),"#VALUE!")</f>
        <v>#VALUE!</v>
      </c>
      <c r="J329" s="51" t="str">
        <f>IFERROR(__xludf.DUMMYFUNCTION("""COMPUTED_VALUE"""),"")</f>
        <v/>
      </c>
      <c r="K329" s="51"/>
      <c r="L329" s="51" t="s">
        <v>257</v>
      </c>
      <c r="M329" s="51"/>
      <c r="N329" s="51"/>
      <c r="O329" s="51"/>
      <c r="P329" s="51"/>
      <c r="Q329" s="51"/>
      <c r="R329" s="51"/>
      <c r="S329" s="51"/>
      <c r="T329" s="51"/>
    </row>
    <row r="330">
      <c r="A330" s="51"/>
      <c r="B330" s="51"/>
      <c r="C330" s="56"/>
      <c r="D330" s="51"/>
      <c r="E330" s="51"/>
      <c r="F330" s="51"/>
      <c r="G330" s="51" t="str">
        <f>IFERROR(__xludf.DUMMYFUNCTION("""COMPUTED_VALUE"""),"#VALUE!")</f>
        <v>#VALUE!</v>
      </c>
      <c r="H330" s="51" t="str">
        <f>IFERROR(__xludf.DUMMYFUNCTION("""COMPUTED_VALUE"""),"")</f>
        <v/>
      </c>
      <c r="I330" s="51" t="str">
        <f>IFERROR(__xludf.DUMMYFUNCTION("""COMPUTED_VALUE"""),"#VALUE!")</f>
        <v>#VALUE!</v>
      </c>
      <c r="J330" s="51" t="str">
        <f>IFERROR(__xludf.DUMMYFUNCTION("""COMPUTED_VALUE"""),"")</f>
        <v/>
      </c>
      <c r="K330" s="51"/>
      <c r="L330" s="51" t="s">
        <v>257</v>
      </c>
      <c r="M330" s="51"/>
      <c r="N330" s="51"/>
      <c r="O330" s="51"/>
      <c r="P330" s="51"/>
      <c r="Q330" s="51"/>
      <c r="R330" s="51"/>
      <c r="S330" s="51"/>
      <c r="T330" s="51"/>
    </row>
    <row r="331">
      <c r="A331" s="51"/>
      <c r="B331" s="51"/>
      <c r="C331" s="56"/>
      <c r="D331" s="51"/>
      <c r="E331" s="51"/>
      <c r="F331" s="51"/>
      <c r="G331" s="51" t="str">
        <f>IFERROR(__xludf.DUMMYFUNCTION("""COMPUTED_VALUE"""),"#VALUE!")</f>
        <v>#VALUE!</v>
      </c>
      <c r="H331" s="51" t="str">
        <f>IFERROR(__xludf.DUMMYFUNCTION("""COMPUTED_VALUE"""),"")</f>
        <v/>
      </c>
      <c r="I331" s="51" t="str">
        <f>IFERROR(__xludf.DUMMYFUNCTION("""COMPUTED_VALUE"""),"#VALUE!")</f>
        <v>#VALUE!</v>
      </c>
      <c r="J331" s="51" t="str">
        <f>IFERROR(__xludf.DUMMYFUNCTION("""COMPUTED_VALUE"""),"")</f>
        <v/>
      </c>
      <c r="K331" s="51"/>
      <c r="L331" s="51" t="s">
        <v>257</v>
      </c>
      <c r="M331" s="51"/>
      <c r="N331" s="51"/>
      <c r="O331" s="51"/>
      <c r="P331" s="51"/>
      <c r="Q331" s="51"/>
      <c r="R331" s="51"/>
      <c r="S331" s="51"/>
      <c r="T331" s="51"/>
    </row>
    <row r="332">
      <c r="A332" s="51"/>
      <c r="B332" s="51"/>
      <c r="C332" s="56"/>
      <c r="D332" s="51"/>
      <c r="E332" s="51"/>
      <c r="F332" s="51"/>
      <c r="G332" s="51" t="str">
        <f>IFERROR(__xludf.DUMMYFUNCTION("""COMPUTED_VALUE"""),"#VALUE!")</f>
        <v>#VALUE!</v>
      </c>
      <c r="H332" s="51" t="str">
        <f>IFERROR(__xludf.DUMMYFUNCTION("""COMPUTED_VALUE"""),"")</f>
        <v/>
      </c>
      <c r="I332" s="51" t="str">
        <f>IFERROR(__xludf.DUMMYFUNCTION("""COMPUTED_VALUE"""),"#VALUE!")</f>
        <v>#VALUE!</v>
      </c>
      <c r="J332" s="51" t="str">
        <f>IFERROR(__xludf.DUMMYFUNCTION("""COMPUTED_VALUE"""),"")</f>
        <v/>
      </c>
      <c r="K332" s="51"/>
      <c r="L332" s="51" t="s">
        <v>257</v>
      </c>
      <c r="M332" s="51"/>
      <c r="N332" s="51"/>
      <c r="O332" s="51"/>
      <c r="P332" s="51"/>
      <c r="Q332" s="51"/>
      <c r="R332" s="51"/>
      <c r="S332" s="51"/>
      <c r="T332" s="51"/>
    </row>
    <row r="333">
      <c r="A333" s="51"/>
      <c r="B333" s="51"/>
      <c r="C333" s="56"/>
      <c r="D333" s="51"/>
      <c r="E333" s="51"/>
      <c r="F333" s="51"/>
      <c r="G333" s="51" t="str">
        <f>IFERROR(__xludf.DUMMYFUNCTION("""COMPUTED_VALUE"""),"#VALUE!")</f>
        <v>#VALUE!</v>
      </c>
      <c r="H333" s="51" t="str">
        <f>IFERROR(__xludf.DUMMYFUNCTION("""COMPUTED_VALUE"""),"")</f>
        <v/>
      </c>
      <c r="I333" s="51" t="str">
        <f>IFERROR(__xludf.DUMMYFUNCTION("""COMPUTED_VALUE"""),"#VALUE!")</f>
        <v>#VALUE!</v>
      </c>
      <c r="J333" s="51" t="str">
        <f>IFERROR(__xludf.DUMMYFUNCTION("""COMPUTED_VALUE"""),"")</f>
        <v/>
      </c>
      <c r="K333" s="51"/>
      <c r="L333" s="51" t="s">
        <v>257</v>
      </c>
      <c r="M333" s="51"/>
      <c r="N333" s="51"/>
      <c r="O333" s="51"/>
      <c r="P333" s="51"/>
      <c r="Q333" s="51"/>
      <c r="R333" s="51"/>
      <c r="S333" s="51"/>
      <c r="T333" s="51"/>
    </row>
    <row r="334">
      <c r="A334" s="51"/>
      <c r="B334" s="51"/>
      <c r="C334" s="56"/>
      <c r="D334" s="51"/>
      <c r="E334" s="51"/>
      <c r="F334" s="51"/>
      <c r="G334" s="51" t="str">
        <f>IFERROR(__xludf.DUMMYFUNCTION("""COMPUTED_VALUE"""),"#VALUE!")</f>
        <v>#VALUE!</v>
      </c>
      <c r="H334" s="51" t="str">
        <f>IFERROR(__xludf.DUMMYFUNCTION("""COMPUTED_VALUE"""),"")</f>
        <v/>
      </c>
      <c r="I334" s="51" t="str">
        <f>IFERROR(__xludf.DUMMYFUNCTION("""COMPUTED_VALUE"""),"#VALUE!")</f>
        <v>#VALUE!</v>
      </c>
      <c r="J334" s="51" t="str">
        <f>IFERROR(__xludf.DUMMYFUNCTION("""COMPUTED_VALUE"""),"")</f>
        <v/>
      </c>
      <c r="K334" s="51"/>
      <c r="L334" s="51" t="s">
        <v>257</v>
      </c>
      <c r="M334" s="51"/>
      <c r="N334" s="51"/>
      <c r="O334" s="51"/>
      <c r="P334" s="51"/>
      <c r="Q334" s="51"/>
      <c r="R334" s="51"/>
      <c r="S334" s="51"/>
      <c r="T334" s="51"/>
    </row>
    <row r="335">
      <c r="A335" s="51"/>
      <c r="B335" s="51"/>
      <c r="C335" s="56"/>
      <c r="D335" s="51"/>
      <c r="E335" s="51"/>
      <c r="F335" s="51"/>
      <c r="G335" s="51" t="str">
        <f>IFERROR(__xludf.DUMMYFUNCTION("""COMPUTED_VALUE"""),"#VALUE!")</f>
        <v>#VALUE!</v>
      </c>
      <c r="H335" s="51" t="str">
        <f>IFERROR(__xludf.DUMMYFUNCTION("""COMPUTED_VALUE"""),"")</f>
        <v/>
      </c>
      <c r="I335" s="51" t="str">
        <f>IFERROR(__xludf.DUMMYFUNCTION("""COMPUTED_VALUE"""),"#VALUE!")</f>
        <v>#VALUE!</v>
      </c>
      <c r="J335" s="51" t="str">
        <f>IFERROR(__xludf.DUMMYFUNCTION("""COMPUTED_VALUE"""),"")</f>
        <v/>
      </c>
      <c r="K335" s="51"/>
      <c r="L335" s="51" t="s">
        <v>257</v>
      </c>
      <c r="M335" s="51"/>
      <c r="N335" s="51"/>
      <c r="O335" s="51"/>
      <c r="P335" s="51"/>
      <c r="Q335" s="51"/>
      <c r="R335" s="51"/>
      <c r="S335" s="51"/>
      <c r="T335" s="51"/>
    </row>
    <row r="336">
      <c r="A336" s="51"/>
      <c r="B336" s="51"/>
      <c r="C336" s="56"/>
      <c r="D336" s="51"/>
      <c r="E336" s="51"/>
      <c r="F336" s="51"/>
      <c r="G336" s="51" t="str">
        <f>IFERROR(__xludf.DUMMYFUNCTION("""COMPUTED_VALUE"""),"#VALUE!")</f>
        <v>#VALUE!</v>
      </c>
      <c r="H336" s="51" t="str">
        <f>IFERROR(__xludf.DUMMYFUNCTION("""COMPUTED_VALUE"""),"")</f>
        <v/>
      </c>
      <c r="I336" s="51" t="str">
        <f>IFERROR(__xludf.DUMMYFUNCTION("""COMPUTED_VALUE"""),"#VALUE!")</f>
        <v>#VALUE!</v>
      </c>
      <c r="J336" s="51" t="str">
        <f>IFERROR(__xludf.DUMMYFUNCTION("""COMPUTED_VALUE"""),"")</f>
        <v/>
      </c>
      <c r="K336" s="51"/>
      <c r="L336" s="51" t="s">
        <v>257</v>
      </c>
      <c r="M336" s="51"/>
      <c r="N336" s="51"/>
      <c r="O336" s="51"/>
      <c r="P336" s="51"/>
      <c r="Q336" s="51"/>
      <c r="R336" s="51"/>
      <c r="S336" s="51"/>
      <c r="T336" s="51"/>
    </row>
    <row r="337">
      <c r="A337" s="51"/>
      <c r="B337" s="51"/>
      <c r="C337" s="56"/>
      <c r="D337" s="51"/>
      <c r="E337" s="51"/>
      <c r="F337" s="51"/>
      <c r="G337" s="51" t="str">
        <f>IFERROR(__xludf.DUMMYFUNCTION("""COMPUTED_VALUE"""),"#VALUE!")</f>
        <v>#VALUE!</v>
      </c>
      <c r="H337" s="51" t="str">
        <f>IFERROR(__xludf.DUMMYFUNCTION("""COMPUTED_VALUE"""),"")</f>
        <v/>
      </c>
      <c r="I337" s="51" t="str">
        <f>IFERROR(__xludf.DUMMYFUNCTION("""COMPUTED_VALUE"""),"#VALUE!")</f>
        <v>#VALUE!</v>
      </c>
      <c r="J337" s="51" t="str">
        <f>IFERROR(__xludf.DUMMYFUNCTION("""COMPUTED_VALUE"""),"")</f>
        <v/>
      </c>
      <c r="K337" s="51"/>
      <c r="L337" s="51" t="s">
        <v>257</v>
      </c>
      <c r="M337" s="51"/>
      <c r="N337" s="51"/>
      <c r="O337" s="51"/>
      <c r="P337" s="51"/>
      <c r="Q337" s="51"/>
      <c r="R337" s="51"/>
      <c r="S337" s="51"/>
      <c r="T337" s="51"/>
    </row>
    <row r="338">
      <c r="A338" s="51"/>
      <c r="B338" s="51"/>
      <c r="C338" s="56"/>
      <c r="D338" s="51"/>
      <c r="E338" s="51"/>
      <c r="F338" s="51"/>
      <c r="G338" s="51" t="str">
        <f>IFERROR(__xludf.DUMMYFUNCTION("""COMPUTED_VALUE"""),"#VALUE!")</f>
        <v>#VALUE!</v>
      </c>
      <c r="H338" s="51" t="str">
        <f>IFERROR(__xludf.DUMMYFUNCTION("""COMPUTED_VALUE"""),"")</f>
        <v/>
      </c>
      <c r="I338" s="51" t="str">
        <f>IFERROR(__xludf.DUMMYFUNCTION("""COMPUTED_VALUE"""),"#VALUE!")</f>
        <v>#VALUE!</v>
      </c>
      <c r="J338" s="51" t="str">
        <f>IFERROR(__xludf.DUMMYFUNCTION("""COMPUTED_VALUE"""),"")</f>
        <v/>
      </c>
      <c r="K338" s="51"/>
      <c r="L338" s="51" t="s">
        <v>257</v>
      </c>
      <c r="M338" s="51"/>
      <c r="N338" s="51"/>
      <c r="O338" s="51"/>
      <c r="P338" s="51"/>
      <c r="Q338" s="51"/>
      <c r="R338" s="51"/>
      <c r="S338" s="51"/>
      <c r="T338" s="51"/>
    </row>
    <row r="339">
      <c r="A339" s="51"/>
      <c r="B339" s="51"/>
      <c r="C339" s="56"/>
      <c r="D339" s="51"/>
      <c r="E339" s="51"/>
      <c r="F339" s="51"/>
      <c r="G339" s="51" t="str">
        <f>IFERROR(__xludf.DUMMYFUNCTION("""COMPUTED_VALUE"""),"#VALUE!")</f>
        <v>#VALUE!</v>
      </c>
      <c r="H339" s="51" t="str">
        <f>IFERROR(__xludf.DUMMYFUNCTION("""COMPUTED_VALUE"""),"")</f>
        <v/>
      </c>
      <c r="I339" s="51" t="str">
        <f>IFERROR(__xludf.DUMMYFUNCTION("""COMPUTED_VALUE"""),"#VALUE!")</f>
        <v>#VALUE!</v>
      </c>
      <c r="J339" s="51" t="str">
        <f>IFERROR(__xludf.DUMMYFUNCTION("""COMPUTED_VALUE"""),"")</f>
        <v/>
      </c>
      <c r="K339" s="51"/>
      <c r="L339" s="51" t="s">
        <v>257</v>
      </c>
      <c r="M339" s="51"/>
      <c r="N339" s="51"/>
      <c r="O339" s="51"/>
      <c r="P339" s="51"/>
      <c r="Q339" s="51"/>
      <c r="R339" s="51"/>
      <c r="S339" s="51"/>
      <c r="T339" s="51"/>
    </row>
    <row r="340">
      <c r="A340" s="51"/>
      <c r="B340" s="51"/>
      <c r="C340" s="56"/>
      <c r="D340" s="51"/>
      <c r="E340" s="51"/>
      <c r="F340" s="51"/>
      <c r="G340" s="51" t="str">
        <f>IFERROR(__xludf.DUMMYFUNCTION("""COMPUTED_VALUE"""),"#VALUE!")</f>
        <v>#VALUE!</v>
      </c>
      <c r="H340" s="51" t="str">
        <f>IFERROR(__xludf.DUMMYFUNCTION("""COMPUTED_VALUE"""),"")</f>
        <v/>
      </c>
      <c r="I340" s="51" t="str">
        <f>IFERROR(__xludf.DUMMYFUNCTION("""COMPUTED_VALUE"""),"#VALUE!")</f>
        <v>#VALUE!</v>
      </c>
      <c r="J340" s="51" t="str">
        <f>IFERROR(__xludf.DUMMYFUNCTION("""COMPUTED_VALUE"""),"")</f>
        <v/>
      </c>
      <c r="K340" s="51"/>
      <c r="L340" s="51" t="s">
        <v>257</v>
      </c>
      <c r="M340" s="51"/>
      <c r="N340" s="51"/>
      <c r="O340" s="51"/>
      <c r="P340" s="51"/>
      <c r="Q340" s="51"/>
      <c r="R340" s="51"/>
      <c r="S340" s="51"/>
      <c r="T340" s="51"/>
    </row>
    <row r="341">
      <c r="A341" s="51"/>
      <c r="B341" s="51"/>
      <c r="C341" s="56"/>
      <c r="D341" s="51"/>
      <c r="E341" s="51"/>
      <c r="F341" s="51"/>
      <c r="G341" s="51" t="str">
        <f>IFERROR(__xludf.DUMMYFUNCTION("""COMPUTED_VALUE"""),"#VALUE!")</f>
        <v>#VALUE!</v>
      </c>
      <c r="H341" s="51" t="str">
        <f>IFERROR(__xludf.DUMMYFUNCTION("""COMPUTED_VALUE"""),"")</f>
        <v/>
      </c>
      <c r="I341" s="51" t="str">
        <f>IFERROR(__xludf.DUMMYFUNCTION("""COMPUTED_VALUE"""),"#VALUE!")</f>
        <v>#VALUE!</v>
      </c>
      <c r="J341" s="51" t="str">
        <f>IFERROR(__xludf.DUMMYFUNCTION("""COMPUTED_VALUE"""),"")</f>
        <v/>
      </c>
      <c r="K341" s="51"/>
      <c r="L341" s="51" t="s">
        <v>257</v>
      </c>
      <c r="M341" s="51"/>
      <c r="N341" s="51"/>
      <c r="O341" s="51"/>
      <c r="P341" s="51"/>
      <c r="Q341" s="51"/>
      <c r="R341" s="51"/>
      <c r="S341" s="51"/>
      <c r="T341" s="51"/>
    </row>
    <row r="342">
      <c r="A342" s="51"/>
      <c r="B342" s="51"/>
      <c r="C342" s="56"/>
      <c r="D342" s="51"/>
      <c r="E342" s="51"/>
      <c r="F342" s="51"/>
      <c r="G342" s="51" t="str">
        <f>IFERROR(__xludf.DUMMYFUNCTION("""COMPUTED_VALUE"""),"#VALUE!")</f>
        <v>#VALUE!</v>
      </c>
      <c r="H342" s="51" t="str">
        <f>IFERROR(__xludf.DUMMYFUNCTION("""COMPUTED_VALUE"""),"")</f>
        <v/>
      </c>
      <c r="I342" s="51" t="str">
        <f>IFERROR(__xludf.DUMMYFUNCTION("""COMPUTED_VALUE"""),"#VALUE!")</f>
        <v>#VALUE!</v>
      </c>
      <c r="J342" s="51" t="str">
        <f>IFERROR(__xludf.DUMMYFUNCTION("""COMPUTED_VALUE"""),"")</f>
        <v/>
      </c>
      <c r="K342" s="51"/>
      <c r="L342" s="51" t="s">
        <v>257</v>
      </c>
      <c r="M342" s="51"/>
      <c r="N342" s="51"/>
      <c r="O342" s="51"/>
      <c r="P342" s="51"/>
      <c r="Q342" s="51"/>
      <c r="R342" s="51"/>
      <c r="S342" s="51"/>
      <c r="T342" s="51"/>
    </row>
    <row r="343">
      <c r="A343" s="51"/>
      <c r="B343" s="51"/>
      <c r="C343" s="56"/>
      <c r="D343" s="51"/>
      <c r="E343" s="51"/>
      <c r="F343" s="51"/>
      <c r="G343" s="51" t="str">
        <f>IFERROR(__xludf.DUMMYFUNCTION("""COMPUTED_VALUE"""),"#VALUE!")</f>
        <v>#VALUE!</v>
      </c>
      <c r="H343" s="51" t="str">
        <f>IFERROR(__xludf.DUMMYFUNCTION("""COMPUTED_VALUE"""),"")</f>
        <v/>
      </c>
      <c r="I343" s="51" t="str">
        <f>IFERROR(__xludf.DUMMYFUNCTION("""COMPUTED_VALUE"""),"#VALUE!")</f>
        <v>#VALUE!</v>
      </c>
      <c r="J343" s="51" t="str">
        <f>IFERROR(__xludf.DUMMYFUNCTION("""COMPUTED_VALUE"""),"")</f>
        <v/>
      </c>
      <c r="K343" s="51"/>
      <c r="L343" s="51" t="s">
        <v>257</v>
      </c>
      <c r="M343" s="51"/>
      <c r="N343" s="51"/>
      <c r="O343" s="51"/>
      <c r="P343" s="51"/>
      <c r="Q343" s="51"/>
      <c r="R343" s="51"/>
      <c r="S343" s="51"/>
      <c r="T343" s="51"/>
    </row>
    <row r="344">
      <c r="A344" s="51"/>
      <c r="B344" s="51"/>
      <c r="C344" s="56"/>
      <c r="D344" s="51"/>
      <c r="E344" s="51"/>
      <c r="F344" s="51"/>
      <c r="G344" s="51" t="str">
        <f>IFERROR(__xludf.DUMMYFUNCTION("""COMPUTED_VALUE"""),"#VALUE!")</f>
        <v>#VALUE!</v>
      </c>
      <c r="H344" s="51" t="str">
        <f>IFERROR(__xludf.DUMMYFUNCTION("""COMPUTED_VALUE"""),"")</f>
        <v/>
      </c>
      <c r="I344" s="51" t="str">
        <f>IFERROR(__xludf.DUMMYFUNCTION("""COMPUTED_VALUE"""),"#VALUE!")</f>
        <v>#VALUE!</v>
      </c>
      <c r="J344" s="51" t="str">
        <f>IFERROR(__xludf.DUMMYFUNCTION("""COMPUTED_VALUE"""),"")</f>
        <v/>
      </c>
      <c r="K344" s="51"/>
      <c r="L344" s="51" t="s">
        <v>257</v>
      </c>
      <c r="M344" s="51"/>
      <c r="N344" s="51"/>
      <c r="O344" s="51"/>
      <c r="P344" s="51"/>
      <c r="Q344" s="51"/>
      <c r="R344" s="51"/>
      <c r="S344" s="51"/>
      <c r="T344" s="51"/>
    </row>
    <row r="345">
      <c r="A345" s="51"/>
      <c r="B345" s="51"/>
      <c r="C345" s="56"/>
      <c r="D345" s="51"/>
      <c r="E345" s="51"/>
      <c r="F345" s="51"/>
      <c r="G345" s="51" t="str">
        <f>IFERROR(__xludf.DUMMYFUNCTION("""COMPUTED_VALUE"""),"#VALUE!")</f>
        <v>#VALUE!</v>
      </c>
      <c r="H345" s="51" t="str">
        <f>IFERROR(__xludf.DUMMYFUNCTION("""COMPUTED_VALUE"""),"")</f>
        <v/>
      </c>
      <c r="I345" s="51" t="str">
        <f>IFERROR(__xludf.DUMMYFUNCTION("""COMPUTED_VALUE"""),"#VALUE!")</f>
        <v>#VALUE!</v>
      </c>
      <c r="J345" s="51" t="str">
        <f>IFERROR(__xludf.DUMMYFUNCTION("""COMPUTED_VALUE"""),"")</f>
        <v/>
      </c>
      <c r="K345" s="51"/>
      <c r="L345" s="51" t="s">
        <v>257</v>
      </c>
      <c r="M345" s="51"/>
      <c r="N345" s="51"/>
      <c r="O345" s="51"/>
      <c r="P345" s="51"/>
      <c r="Q345" s="51"/>
      <c r="R345" s="51"/>
      <c r="S345" s="51"/>
      <c r="T345" s="51"/>
    </row>
    <row r="346">
      <c r="A346" s="51"/>
      <c r="B346" s="51"/>
      <c r="C346" s="56"/>
      <c r="D346" s="51"/>
      <c r="E346" s="51"/>
      <c r="F346" s="51"/>
      <c r="G346" s="51" t="str">
        <f>IFERROR(__xludf.DUMMYFUNCTION("""COMPUTED_VALUE"""),"#VALUE!")</f>
        <v>#VALUE!</v>
      </c>
      <c r="H346" s="51" t="str">
        <f>IFERROR(__xludf.DUMMYFUNCTION("""COMPUTED_VALUE"""),"")</f>
        <v/>
      </c>
      <c r="I346" s="51" t="str">
        <f>IFERROR(__xludf.DUMMYFUNCTION("""COMPUTED_VALUE"""),"#VALUE!")</f>
        <v>#VALUE!</v>
      </c>
      <c r="J346" s="51" t="str">
        <f>IFERROR(__xludf.DUMMYFUNCTION("""COMPUTED_VALUE"""),"")</f>
        <v/>
      </c>
      <c r="K346" s="51"/>
      <c r="L346" s="51" t="s">
        <v>257</v>
      </c>
      <c r="M346" s="51"/>
      <c r="N346" s="51"/>
      <c r="O346" s="51"/>
      <c r="P346" s="51"/>
      <c r="Q346" s="51"/>
      <c r="R346" s="51"/>
      <c r="S346" s="51"/>
      <c r="T346" s="51"/>
    </row>
    <row r="347">
      <c r="A347" s="51"/>
      <c r="B347" s="51"/>
      <c r="C347" s="56"/>
      <c r="D347" s="51"/>
      <c r="E347" s="51"/>
      <c r="F347" s="51"/>
      <c r="G347" s="51" t="str">
        <f>IFERROR(__xludf.DUMMYFUNCTION("""COMPUTED_VALUE"""),"#VALUE!")</f>
        <v>#VALUE!</v>
      </c>
      <c r="H347" s="51" t="str">
        <f>IFERROR(__xludf.DUMMYFUNCTION("""COMPUTED_VALUE"""),"")</f>
        <v/>
      </c>
      <c r="I347" s="51" t="str">
        <f>IFERROR(__xludf.DUMMYFUNCTION("""COMPUTED_VALUE"""),"#VALUE!")</f>
        <v>#VALUE!</v>
      </c>
      <c r="J347" s="51" t="str">
        <f>IFERROR(__xludf.DUMMYFUNCTION("""COMPUTED_VALUE"""),"")</f>
        <v/>
      </c>
      <c r="K347" s="51"/>
      <c r="L347" s="51" t="s">
        <v>257</v>
      </c>
      <c r="M347" s="51"/>
      <c r="N347" s="51"/>
      <c r="O347" s="51"/>
      <c r="P347" s="51"/>
      <c r="Q347" s="51"/>
      <c r="R347" s="51"/>
      <c r="S347" s="51"/>
      <c r="T347" s="51"/>
    </row>
    <row r="348">
      <c r="A348" s="51"/>
      <c r="B348" s="51"/>
      <c r="C348" s="56"/>
      <c r="D348" s="51"/>
      <c r="E348" s="51"/>
      <c r="F348" s="51"/>
      <c r="G348" s="51" t="str">
        <f>IFERROR(__xludf.DUMMYFUNCTION("""COMPUTED_VALUE"""),"#VALUE!")</f>
        <v>#VALUE!</v>
      </c>
      <c r="H348" s="51" t="str">
        <f>IFERROR(__xludf.DUMMYFUNCTION("""COMPUTED_VALUE"""),"")</f>
        <v/>
      </c>
      <c r="I348" s="51" t="str">
        <f>IFERROR(__xludf.DUMMYFUNCTION("""COMPUTED_VALUE"""),"#VALUE!")</f>
        <v>#VALUE!</v>
      </c>
      <c r="J348" s="51" t="str">
        <f>IFERROR(__xludf.DUMMYFUNCTION("""COMPUTED_VALUE"""),"")</f>
        <v/>
      </c>
      <c r="K348" s="51"/>
      <c r="L348" s="51" t="s">
        <v>257</v>
      </c>
      <c r="M348" s="51"/>
      <c r="N348" s="51"/>
      <c r="O348" s="51"/>
      <c r="P348" s="51"/>
      <c r="Q348" s="51"/>
      <c r="R348" s="51"/>
      <c r="S348" s="51"/>
      <c r="T348" s="51"/>
    </row>
    <row r="349">
      <c r="A349" s="51"/>
      <c r="B349" s="51"/>
      <c r="C349" s="56"/>
      <c r="D349" s="51"/>
      <c r="E349" s="51"/>
      <c r="F349" s="51"/>
      <c r="G349" s="51" t="str">
        <f>IFERROR(__xludf.DUMMYFUNCTION("""COMPUTED_VALUE"""),"#VALUE!")</f>
        <v>#VALUE!</v>
      </c>
      <c r="H349" s="51" t="str">
        <f>IFERROR(__xludf.DUMMYFUNCTION("""COMPUTED_VALUE"""),"")</f>
        <v/>
      </c>
      <c r="I349" s="51" t="str">
        <f>IFERROR(__xludf.DUMMYFUNCTION("""COMPUTED_VALUE"""),"#VALUE!")</f>
        <v>#VALUE!</v>
      </c>
      <c r="J349" s="51" t="str">
        <f>IFERROR(__xludf.DUMMYFUNCTION("""COMPUTED_VALUE"""),"")</f>
        <v/>
      </c>
      <c r="K349" s="51"/>
      <c r="L349" s="51" t="s">
        <v>257</v>
      </c>
      <c r="M349" s="51"/>
      <c r="N349" s="51"/>
      <c r="O349" s="51"/>
      <c r="P349" s="51"/>
      <c r="Q349" s="51"/>
      <c r="R349" s="51"/>
      <c r="S349" s="51"/>
      <c r="T349" s="51"/>
    </row>
    <row r="350">
      <c r="A350" s="51"/>
      <c r="B350" s="51"/>
      <c r="C350" s="56"/>
      <c r="D350" s="51"/>
      <c r="E350" s="51"/>
      <c r="F350" s="51"/>
      <c r="G350" s="51" t="str">
        <f>IFERROR(__xludf.DUMMYFUNCTION("""COMPUTED_VALUE"""),"#VALUE!")</f>
        <v>#VALUE!</v>
      </c>
      <c r="H350" s="51" t="str">
        <f>IFERROR(__xludf.DUMMYFUNCTION("""COMPUTED_VALUE"""),"")</f>
        <v/>
      </c>
      <c r="I350" s="51" t="str">
        <f>IFERROR(__xludf.DUMMYFUNCTION("""COMPUTED_VALUE"""),"#VALUE!")</f>
        <v>#VALUE!</v>
      </c>
      <c r="J350" s="51" t="str">
        <f>IFERROR(__xludf.DUMMYFUNCTION("""COMPUTED_VALUE"""),"")</f>
        <v/>
      </c>
      <c r="K350" s="51"/>
      <c r="L350" s="51" t="s">
        <v>257</v>
      </c>
      <c r="M350" s="51"/>
      <c r="N350" s="51"/>
      <c r="O350" s="51"/>
      <c r="P350" s="51"/>
      <c r="Q350" s="51"/>
      <c r="R350" s="51"/>
      <c r="S350" s="51"/>
      <c r="T350" s="51"/>
    </row>
    <row r="351">
      <c r="A351" s="51"/>
      <c r="B351" s="51"/>
      <c r="C351" s="56"/>
      <c r="D351" s="51"/>
      <c r="E351" s="51"/>
      <c r="F351" s="51"/>
      <c r="G351" s="51" t="str">
        <f>IFERROR(__xludf.DUMMYFUNCTION("""COMPUTED_VALUE"""),"#VALUE!")</f>
        <v>#VALUE!</v>
      </c>
      <c r="H351" s="51" t="str">
        <f>IFERROR(__xludf.DUMMYFUNCTION("""COMPUTED_VALUE"""),"")</f>
        <v/>
      </c>
      <c r="I351" s="51" t="str">
        <f>IFERROR(__xludf.DUMMYFUNCTION("""COMPUTED_VALUE"""),"#VALUE!")</f>
        <v>#VALUE!</v>
      </c>
      <c r="J351" s="51" t="str">
        <f>IFERROR(__xludf.DUMMYFUNCTION("""COMPUTED_VALUE"""),"")</f>
        <v/>
      </c>
      <c r="K351" s="51"/>
      <c r="L351" s="51" t="s">
        <v>257</v>
      </c>
      <c r="M351" s="51"/>
      <c r="N351" s="51"/>
      <c r="O351" s="51"/>
      <c r="P351" s="51"/>
      <c r="Q351" s="51"/>
      <c r="R351" s="51"/>
      <c r="S351" s="51"/>
      <c r="T351" s="51"/>
    </row>
    <row r="352">
      <c r="A352" s="51"/>
      <c r="B352" s="51"/>
      <c r="C352" s="56"/>
      <c r="D352" s="51"/>
      <c r="E352" s="51"/>
      <c r="F352" s="51"/>
      <c r="G352" s="51" t="str">
        <f>IFERROR(__xludf.DUMMYFUNCTION("""COMPUTED_VALUE"""),"#VALUE!")</f>
        <v>#VALUE!</v>
      </c>
      <c r="H352" s="51" t="str">
        <f>IFERROR(__xludf.DUMMYFUNCTION("""COMPUTED_VALUE"""),"")</f>
        <v/>
      </c>
      <c r="I352" s="51" t="str">
        <f>IFERROR(__xludf.DUMMYFUNCTION("""COMPUTED_VALUE"""),"#VALUE!")</f>
        <v>#VALUE!</v>
      </c>
      <c r="J352" s="51" t="str">
        <f>IFERROR(__xludf.DUMMYFUNCTION("""COMPUTED_VALUE"""),"")</f>
        <v/>
      </c>
      <c r="K352" s="51"/>
      <c r="L352" s="51" t="s">
        <v>257</v>
      </c>
      <c r="M352" s="51"/>
      <c r="N352" s="51"/>
      <c r="O352" s="51"/>
      <c r="P352" s="51"/>
      <c r="Q352" s="51"/>
      <c r="R352" s="51"/>
      <c r="S352" s="51"/>
      <c r="T352" s="51"/>
    </row>
    <row r="353">
      <c r="A353" s="51"/>
      <c r="B353" s="51"/>
      <c r="C353" s="56"/>
      <c r="D353" s="51"/>
      <c r="E353" s="51"/>
      <c r="F353" s="51"/>
      <c r="G353" s="51" t="str">
        <f>IFERROR(__xludf.DUMMYFUNCTION("""COMPUTED_VALUE"""),"#VALUE!")</f>
        <v>#VALUE!</v>
      </c>
      <c r="H353" s="51" t="str">
        <f>IFERROR(__xludf.DUMMYFUNCTION("""COMPUTED_VALUE"""),"")</f>
        <v/>
      </c>
      <c r="I353" s="51" t="str">
        <f>IFERROR(__xludf.DUMMYFUNCTION("""COMPUTED_VALUE"""),"#VALUE!")</f>
        <v>#VALUE!</v>
      </c>
      <c r="J353" s="51" t="str">
        <f>IFERROR(__xludf.DUMMYFUNCTION("""COMPUTED_VALUE"""),"")</f>
        <v/>
      </c>
      <c r="K353" s="51"/>
      <c r="L353" s="51" t="s">
        <v>257</v>
      </c>
      <c r="M353" s="51"/>
      <c r="N353" s="51"/>
      <c r="O353" s="51"/>
      <c r="P353" s="51"/>
      <c r="Q353" s="51"/>
      <c r="R353" s="51"/>
      <c r="S353" s="51"/>
      <c r="T353" s="51"/>
    </row>
    <row r="354">
      <c r="A354" s="51"/>
      <c r="B354" s="51"/>
      <c r="C354" s="56"/>
      <c r="D354" s="51"/>
      <c r="E354" s="51"/>
      <c r="F354" s="51"/>
      <c r="G354" s="51" t="str">
        <f>IFERROR(__xludf.DUMMYFUNCTION("""COMPUTED_VALUE"""),"#VALUE!")</f>
        <v>#VALUE!</v>
      </c>
      <c r="H354" s="51" t="str">
        <f>IFERROR(__xludf.DUMMYFUNCTION("""COMPUTED_VALUE"""),"")</f>
        <v/>
      </c>
      <c r="I354" s="51" t="str">
        <f>IFERROR(__xludf.DUMMYFUNCTION("""COMPUTED_VALUE"""),"#VALUE!")</f>
        <v>#VALUE!</v>
      </c>
      <c r="J354" s="51" t="str">
        <f>IFERROR(__xludf.DUMMYFUNCTION("""COMPUTED_VALUE"""),"")</f>
        <v/>
      </c>
      <c r="K354" s="51"/>
      <c r="L354" s="51" t="s">
        <v>257</v>
      </c>
      <c r="M354" s="51"/>
      <c r="N354" s="51"/>
      <c r="O354" s="51"/>
      <c r="P354" s="51"/>
      <c r="Q354" s="51"/>
      <c r="R354" s="51"/>
      <c r="S354" s="51"/>
      <c r="T354" s="51"/>
    </row>
    <row r="355">
      <c r="A355" s="51"/>
      <c r="B355" s="51"/>
      <c r="C355" s="56"/>
      <c r="D355" s="51"/>
      <c r="E355" s="51"/>
      <c r="F355" s="51"/>
      <c r="G355" s="51" t="str">
        <f>IFERROR(__xludf.DUMMYFUNCTION("""COMPUTED_VALUE"""),"#VALUE!")</f>
        <v>#VALUE!</v>
      </c>
      <c r="H355" s="51" t="str">
        <f>IFERROR(__xludf.DUMMYFUNCTION("""COMPUTED_VALUE"""),"")</f>
        <v/>
      </c>
      <c r="I355" s="51" t="str">
        <f>IFERROR(__xludf.DUMMYFUNCTION("""COMPUTED_VALUE"""),"#VALUE!")</f>
        <v>#VALUE!</v>
      </c>
      <c r="J355" s="51" t="str">
        <f>IFERROR(__xludf.DUMMYFUNCTION("""COMPUTED_VALUE"""),"")</f>
        <v/>
      </c>
      <c r="K355" s="51"/>
      <c r="L355" s="51" t="s">
        <v>257</v>
      </c>
      <c r="M355" s="51"/>
      <c r="N355" s="51"/>
      <c r="O355" s="51"/>
      <c r="P355" s="51"/>
      <c r="Q355" s="51"/>
      <c r="R355" s="51"/>
      <c r="S355" s="51"/>
      <c r="T355" s="51"/>
    </row>
    <row r="356">
      <c r="A356" s="51"/>
      <c r="B356" s="51"/>
      <c r="C356" s="56"/>
      <c r="D356" s="51"/>
      <c r="E356" s="51"/>
      <c r="F356" s="51"/>
      <c r="G356" s="51" t="str">
        <f>IFERROR(__xludf.DUMMYFUNCTION("""COMPUTED_VALUE"""),"#VALUE!")</f>
        <v>#VALUE!</v>
      </c>
      <c r="H356" s="51" t="str">
        <f>IFERROR(__xludf.DUMMYFUNCTION("""COMPUTED_VALUE"""),"")</f>
        <v/>
      </c>
      <c r="I356" s="51" t="str">
        <f>IFERROR(__xludf.DUMMYFUNCTION("""COMPUTED_VALUE"""),"#VALUE!")</f>
        <v>#VALUE!</v>
      </c>
      <c r="J356" s="51" t="str">
        <f>IFERROR(__xludf.DUMMYFUNCTION("""COMPUTED_VALUE"""),"")</f>
        <v/>
      </c>
      <c r="K356" s="51"/>
      <c r="L356" s="51" t="s">
        <v>257</v>
      </c>
      <c r="M356" s="51"/>
      <c r="N356" s="51"/>
      <c r="O356" s="51"/>
      <c r="P356" s="51"/>
      <c r="Q356" s="51"/>
      <c r="R356" s="51"/>
      <c r="S356" s="51"/>
      <c r="T356" s="51"/>
    </row>
    <row r="357">
      <c r="A357" s="51"/>
      <c r="B357" s="51"/>
      <c r="C357" s="56"/>
      <c r="D357" s="51"/>
      <c r="E357" s="51"/>
      <c r="F357" s="51"/>
      <c r="G357" s="51" t="str">
        <f>IFERROR(__xludf.DUMMYFUNCTION("""COMPUTED_VALUE"""),"#VALUE!")</f>
        <v>#VALUE!</v>
      </c>
      <c r="H357" s="51" t="str">
        <f>IFERROR(__xludf.DUMMYFUNCTION("""COMPUTED_VALUE"""),"")</f>
        <v/>
      </c>
      <c r="I357" s="51" t="str">
        <f>IFERROR(__xludf.DUMMYFUNCTION("""COMPUTED_VALUE"""),"#VALUE!")</f>
        <v>#VALUE!</v>
      </c>
      <c r="J357" s="51" t="str">
        <f>IFERROR(__xludf.DUMMYFUNCTION("""COMPUTED_VALUE"""),"")</f>
        <v/>
      </c>
      <c r="K357" s="51"/>
      <c r="L357" s="51" t="s">
        <v>257</v>
      </c>
      <c r="M357" s="51"/>
      <c r="N357" s="51"/>
      <c r="O357" s="51"/>
      <c r="P357" s="51"/>
      <c r="Q357" s="51"/>
      <c r="R357" s="51"/>
      <c r="S357" s="51"/>
      <c r="T357" s="51"/>
    </row>
    <row r="358">
      <c r="A358" s="51"/>
      <c r="B358" s="51"/>
      <c r="C358" s="56"/>
      <c r="D358" s="51"/>
      <c r="E358" s="51"/>
      <c r="F358" s="51"/>
      <c r="G358" s="51" t="str">
        <f>IFERROR(__xludf.DUMMYFUNCTION("""COMPUTED_VALUE"""),"#VALUE!")</f>
        <v>#VALUE!</v>
      </c>
      <c r="H358" s="51" t="str">
        <f>IFERROR(__xludf.DUMMYFUNCTION("""COMPUTED_VALUE"""),"")</f>
        <v/>
      </c>
      <c r="I358" s="51" t="str">
        <f>IFERROR(__xludf.DUMMYFUNCTION("""COMPUTED_VALUE"""),"#VALUE!")</f>
        <v>#VALUE!</v>
      </c>
      <c r="J358" s="51" t="str">
        <f>IFERROR(__xludf.DUMMYFUNCTION("""COMPUTED_VALUE"""),"")</f>
        <v/>
      </c>
      <c r="K358" s="51"/>
      <c r="L358" s="51" t="s">
        <v>257</v>
      </c>
      <c r="M358" s="51"/>
      <c r="N358" s="51"/>
      <c r="O358" s="51"/>
      <c r="P358" s="51"/>
      <c r="Q358" s="51"/>
      <c r="R358" s="51"/>
      <c r="S358" s="51"/>
      <c r="T358" s="51"/>
    </row>
    <row r="359">
      <c r="A359" s="51"/>
      <c r="B359" s="51"/>
      <c r="C359" s="56"/>
      <c r="D359" s="51"/>
      <c r="E359" s="51"/>
      <c r="F359" s="51"/>
      <c r="G359" s="51" t="str">
        <f>IFERROR(__xludf.DUMMYFUNCTION("""COMPUTED_VALUE"""),"#VALUE!")</f>
        <v>#VALUE!</v>
      </c>
      <c r="H359" s="51" t="str">
        <f>IFERROR(__xludf.DUMMYFUNCTION("""COMPUTED_VALUE"""),"")</f>
        <v/>
      </c>
      <c r="I359" s="51" t="str">
        <f>IFERROR(__xludf.DUMMYFUNCTION("""COMPUTED_VALUE"""),"#VALUE!")</f>
        <v>#VALUE!</v>
      </c>
      <c r="J359" s="51" t="str">
        <f>IFERROR(__xludf.DUMMYFUNCTION("""COMPUTED_VALUE"""),"")</f>
        <v/>
      </c>
      <c r="K359" s="51"/>
      <c r="L359" s="51" t="s">
        <v>257</v>
      </c>
      <c r="M359" s="51"/>
      <c r="N359" s="51"/>
      <c r="O359" s="51"/>
      <c r="P359" s="51"/>
      <c r="Q359" s="51"/>
      <c r="R359" s="51"/>
      <c r="S359" s="51"/>
      <c r="T359" s="51"/>
    </row>
    <row r="360">
      <c r="A360" s="51"/>
      <c r="B360" s="51"/>
      <c r="C360" s="56"/>
      <c r="D360" s="51"/>
      <c r="E360" s="51"/>
      <c r="F360" s="51"/>
      <c r="G360" s="51" t="str">
        <f>IFERROR(__xludf.DUMMYFUNCTION("""COMPUTED_VALUE"""),"#VALUE!")</f>
        <v>#VALUE!</v>
      </c>
      <c r="H360" s="51" t="str">
        <f>IFERROR(__xludf.DUMMYFUNCTION("""COMPUTED_VALUE"""),"")</f>
        <v/>
      </c>
      <c r="I360" s="51" t="str">
        <f>IFERROR(__xludf.DUMMYFUNCTION("""COMPUTED_VALUE"""),"#VALUE!")</f>
        <v>#VALUE!</v>
      </c>
      <c r="J360" s="51" t="str">
        <f>IFERROR(__xludf.DUMMYFUNCTION("""COMPUTED_VALUE"""),"")</f>
        <v/>
      </c>
      <c r="K360" s="51"/>
      <c r="L360" s="51" t="s">
        <v>257</v>
      </c>
      <c r="M360" s="51"/>
      <c r="N360" s="51"/>
      <c r="O360" s="51"/>
      <c r="P360" s="51"/>
      <c r="Q360" s="51"/>
      <c r="R360" s="51"/>
      <c r="S360" s="51"/>
      <c r="T360" s="51"/>
    </row>
    <row r="361">
      <c r="A361" s="51"/>
      <c r="B361" s="51"/>
      <c r="C361" s="56"/>
      <c r="D361" s="51"/>
      <c r="E361" s="51"/>
      <c r="F361" s="51"/>
      <c r="G361" s="51" t="str">
        <f>IFERROR(__xludf.DUMMYFUNCTION("""COMPUTED_VALUE"""),"#VALUE!")</f>
        <v>#VALUE!</v>
      </c>
      <c r="H361" s="51" t="str">
        <f>IFERROR(__xludf.DUMMYFUNCTION("""COMPUTED_VALUE"""),"")</f>
        <v/>
      </c>
      <c r="I361" s="51" t="str">
        <f>IFERROR(__xludf.DUMMYFUNCTION("""COMPUTED_VALUE"""),"#VALUE!")</f>
        <v>#VALUE!</v>
      </c>
      <c r="J361" s="51" t="str">
        <f>IFERROR(__xludf.DUMMYFUNCTION("""COMPUTED_VALUE"""),"")</f>
        <v/>
      </c>
      <c r="K361" s="51"/>
      <c r="L361" s="51" t="s">
        <v>257</v>
      </c>
      <c r="M361" s="51"/>
      <c r="N361" s="51"/>
      <c r="O361" s="51"/>
      <c r="P361" s="51"/>
      <c r="Q361" s="51"/>
      <c r="R361" s="51"/>
      <c r="S361" s="51"/>
      <c r="T361" s="51"/>
    </row>
    <row r="362">
      <c r="A362" s="51"/>
      <c r="B362" s="51"/>
      <c r="C362" s="56"/>
      <c r="D362" s="51"/>
      <c r="E362" s="51"/>
      <c r="F362" s="51"/>
      <c r="G362" s="51" t="str">
        <f>IFERROR(__xludf.DUMMYFUNCTION("""COMPUTED_VALUE"""),"#VALUE!")</f>
        <v>#VALUE!</v>
      </c>
      <c r="H362" s="51" t="str">
        <f>IFERROR(__xludf.DUMMYFUNCTION("""COMPUTED_VALUE"""),"")</f>
        <v/>
      </c>
      <c r="I362" s="51" t="str">
        <f>IFERROR(__xludf.DUMMYFUNCTION("""COMPUTED_VALUE"""),"#VALUE!")</f>
        <v>#VALUE!</v>
      </c>
      <c r="J362" s="51" t="str">
        <f>IFERROR(__xludf.DUMMYFUNCTION("""COMPUTED_VALUE"""),"")</f>
        <v/>
      </c>
      <c r="K362" s="51"/>
      <c r="L362" s="51" t="s">
        <v>257</v>
      </c>
      <c r="M362" s="51"/>
      <c r="N362" s="51"/>
      <c r="O362" s="51"/>
      <c r="P362" s="51"/>
      <c r="Q362" s="51"/>
      <c r="R362" s="51"/>
      <c r="S362" s="51"/>
      <c r="T362" s="51"/>
    </row>
    <row r="363">
      <c r="A363" s="51"/>
      <c r="B363" s="51"/>
      <c r="C363" s="56"/>
      <c r="D363" s="51"/>
      <c r="E363" s="51"/>
      <c r="F363" s="51"/>
      <c r="G363" s="51" t="str">
        <f>IFERROR(__xludf.DUMMYFUNCTION("""COMPUTED_VALUE"""),"#VALUE!")</f>
        <v>#VALUE!</v>
      </c>
      <c r="H363" s="51" t="str">
        <f>IFERROR(__xludf.DUMMYFUNCTION("""COMPUTED_VALUE"""),"")</f>
        <v/>
      </c>
      <c r="I363" s="51" t="str">
        <f>IFERROR(__xludf.DUMMYFUNCTION("""COMPUTED_VALUE"""),"#VALUE!")</f>
        <v>#VALUE!</v>
      </c>
      <c r="J363" s="51" t="str">
        <f>IFERROR(__xludf.DUMMYFUNCTION("""COMPUTED_VALUE"""),"")</f>
        <v/>
      </c>
      <c r="K363" s="51"/>
      <c r="L363" s="51" t="s">
        <v>257</v>
      </c>
      <c r="M363" s="51"/>
      <c r="N363" s="51"/>
      <c r="O363" s="51"/>
      <c r="P363" s="51"/>
      <c r="Q363" s="51"/>
      <c r="R363" s="51"/>
      <c r="S363" s="51"/>
      <c r="T363" s="51"/>
    </row>
    <row r="364">
      <c r="A364" s="51"/>
      <c r="B364" s="51"/>
      <c r="C364" s="56"/>
      <c r="D364" s="51"/>
      <c r="E364" s="51"/>
      <c r="F364" s="51"/>
      <c r="G364" s="51" t="str">
        <f>IFERROR(__xludf.DUMMYFUNCTION("""COMPUTED_VALUE"""),"#VALUE!")</f>
        <v>#VALUE!</v>
      </c>
      <c r="H364" s="51" t="str">
        <f>IFERROR(__xludf.DUMMYFUNCTION("""COMPUTED_VALUE"""),"")</f>
        <v/>
      </c>
      <c r="I364" s="51" t="str">
        <f>IFERROR(__xludf.DUMMYFUNCTION("""COMPUTED_VALUE"""),"#VALUE!")</f>
        <v>#VALUE!</v>
      </c>
      <c r="J364" s="51" t="str">
        <f>IFERROR(__xludf.DUMMYFUNCTION("""COMPUTED_VALUE"""),"")</f>
        <v/>
      </c>
      <c r="K364" s="51"/>
      <c r="L364" s="51" t="s">
        <v>257</v>
      </c>
      <c r="M364" s="51"/>
      <c r="N364" s="51"/>
      <c r="O364" s="51"/>
      <c r="P364" s="51"/>
      <c r="Q364" s="51"/>
      <c r="R364" s="51"/>
      <c r="S364" s="51"/>
      <c r="T364" s="51"/>
    </row>
    <row r="365">
      <c r="A365" s="51"/>
      <c r="B365" s="51"/>
      <c r="C365" s="56"/>
      <c r="D365" s="51"/>
      <c r="E365" s="51"/>
      <c r="F365" s="51"/>
      <c r="G365" s="51" t="str">
        <f>IFERROR(__xludf.DUMMYFUNCTION("""COMPUTED_VALUE"""),"#VALUE!")</f>
        <v>#VALUE!</v>
      </c>
      <c r="H365" s="51" t="str">
        <f>IFERROR(__xludf.DUMMYFUNCTION("""COMPUTED_VALUE"""),"")</f>
        <v/>
      </c>
      <c r="I365" s="51" t="str">
        <f>IFERROR(__xludf.DUMMYFUNCTION("""COMPUTED_VALUE"""),"#VALUE!")</f>
        <v>#VALUE!</v>
      </c>
      <c r="J365" s="51" t="str">
        <f>IFERROR(__xludf.DUMMYFUNCTION("""COMPUTED_VALUE"""),"")</f>
        <v/>
      </c>
      <c r="K365" s="51"/>
      <c r="L365" s="51" t="s">
        <v>257</v>
      </c>
      <c r="M365" s="51"/>
      <c r="N365" s="51"/>
      <c r="O365" s="51"/>
      <c r="P365" s="51"/>
      <c r="Q365" s="51"/>
      <c r="R365" s="51"/>
      <c r="S365" s="51"/>
      <c r="T365" s="51"/>
    </row>
    <row r="366">
      <c r="A366" s="51"/>
      <c r="B366" s="51"/>
      <c r="C366" s="56"/>
      <c r="D366" s="51"/>
      <c r="E366" s="51"/>
      <c r="F366" s="51"/>
      <c r="G366" s="51" t="str">
        <f>IFERROR(__xludf.DUMMYFUNCTION("""COMPUTED_VALUE"""),"#VALUE!")</f>
        <v>#VALUE!</v>
      </c>
      <c r="H366" s="51" t="str">
        <f>IFERROR(__xludf.DUMMYFUNCTION("""COMPUTED_VALUE"""),"")</f>
        <v/>
      </c>
      <c r="I366" s="51" t="str">
        <f>IFERROR(__xludf.DUMMYFUNCTION("""COMPUTED_VALUE"""),"#VALUE!")</f>
        <v>#VALUE!</v>
      </c>
      <c r="J366" s="51" t="str">
        <f>IFERROR(__xludf.DUMMYFUNCTION("""COMPUTED_VALUE"""),"")</f>
        <v/>
      </c>
      <c r="K366" s="51"/>
      <c r="L366" s="51" t="s">
        <v>257</v>
      </c>
      <c r="M366" s="51"/>
      <c r="N366" s="51"/>
      <c r="O366" s="51"/>
      <c r="P366" s="51"/>
      <c r="Q366" s="51"/>
      <c r="R366" s="51"/>
      <c r="S366" s="51"/>
      <c r="T366" s="51"/>
    </row>
    <row r="367">
      <c r="A367" s="51"/>
      <c r="B367" s="51"/>
      <c r="C367" s="56"/>
      <c r="D367" s="51"/>
      <c r="E367" s="51"/>
      <c r="F367" s="51"/>
      <c r="G367" s="51" t="str">
        <f>IFERROR(__xludf.DUMMYFUNCTION("""COMPUTED_VALUE"""),"#VALUE!")</f>
        <v>#VALUE!</v>
      </c>
      <c r="H367" s="51" t="str">
        <f>IFERROR(__xludf.DUMMYFUNCTION("""COMPUTED_VALUE"""),"")</f>
        <v/>
      </c>
      <c r="I367" s="51" t="str">
        <f>IFERROR(__xludf.DUMMYFUNCTION("""COMPUTED_VALUE"""),"#VALUE!")</f>
        <v>#VALUE!</v>
      </c>
      <c r="J367" s="51" t="str">
        <f>IFERROR(__xludf.DUMMYFUNCTION("""COMPUTED_VALUE"""),"")</f>
        <v/>
      </c>
      <c r="K367" s="51"/>
      <c r="L367" s="51" t="s">
        <v>257</v>
      </c>
      <c r="M367" s="51"/>
      <c r="N367" s="51"/>
      <c r="O367" s="51"/>
      <c r="P367" s="51"/>
      <c r="Q367" s="51"/>
      <c r="R367" s="51"/>
      <c r="S367" s="51"/>
      <c r="T367" s="51"/>
    </row>
    <row r="368">
      <c r="A368" s="51"/>
      <c r="B368" s="51"/>
      <c r="C368" s="56"/>
      <c r="D368" s="51"/>
      <c r="E368" s="51"/>
      <c r="F368" s="51"/>
      <c r="G368" s="51" t="str">
        <f>IFERROR(__xludf.DUMMYFUNCTION("""COMPUTED_VALUE"""),"#VALUE!")</f>
        <v>#VALUE!</v>
      </c>
      <c r="H368" s="51" t="str">
        <f>IFERROR(__xludf.DUMMYFUNCTION("""COMPUTED_VALUE"""),"")</f>
        <v/>
      </c>
      <c r="I368" s="51" t="str">
        <f>IFERROR(__xludf.DUMMYFUNCTION("""COMPUTED_VALUE"""),"#VALUE!")</f>
        <v>#VALUE!</v>
      </c>
      <c r="J368" s="51" t="str">
        <f>IFERROR(__xludf.DUMMYFUNCTION("""COMPUTED_VALUE"""),"")</f>
        <v/>
      </c>
      <c r="K368" s="51"/>
      <c r="L368" s="51" t="s">
        <v>257</v>
      </c>
      <c r="M368" s="51"/>
      <c r="N368" s="51"/>
      <c r="O368" s="51"/>
      <c r="P368" s="51"/>
      <c r="Q368" s="51"/>
      <c r="R368" s="51"/>
      <c r="S368" s="51"/>
      <c r="T368" s="51"/>
    </row>
    <row r="369">
      <c r="A369" s="51"/>
      <c r="B369" s="51"/>
      <c r="C369" s="56"/>
      <c r="D369" s="51"/>
      <c r="E369" s="51"/>
      <c r="F369" s="51"/>
      <c r="G369" s="51" t="str">
        <f>IFERROR(__xludf.DUMMYFUNCTION("""COMPUTED_VALUE"""),"#VALUE!")</f>
        <v>#VALUE!</v>
      </c>
      <c r="H369" s="51" t="str">
        <f>IFERROR(__xludf.DUMMYFUNCTION("""COMPUTED_VALUE"""),"")</f>
        <v/>
      </c>
      <c r="I369" s="51" t="str">
        <f>IFERROR(__xludf.DUMMYFUNCTION("""COMPUTED_VALUE"""),"#VALUE!")</f>
        <v>#VALUE!</v>
      </c>
      <c r="J369" s="51" t="str">
        <f>IFERROR(__xludf.DUMMYFUNCTION("""COMPUTED_VALUE"""),"")</f>
        <v/>
      </c>
      <c r="K369" s="51"/>
      <c r="L369" s="51" t="s">
        <v>257</v>
      </c>
      <c r="M369" s="51"/>
      <c r="N369" s="51"/>
      <c r="O369" s="51"/>
      <c r="P369" s="51"/>
      <c r="Q369" s="51"/>
      <c r="R369" s="51"/>
      <c r="S369" s="51"/>
      <c r="T369" s="51"/>
    </row>
    <row r="370">
      <c r="A370" s="51"/>
      <c r="B370" s="51"/>
      <c r="C370" s="56"/>
      <c r="D370" s="51"/>
      <c r="E370" s="51"/>
      <c r="F370" s="51"/>
      <c r="G370" s="51" t="str">
        <f>IFERROR(__xludf.DUMMYFUNCTION("""COMPUTED_VALUE"""),"#VALUE!")</f>
        <v>#VALUE!</v>
      </c>
      <c r="H370" s="51" t="str">
        <f>IFERROR(__xludf.DUMMYFUNCTION("""COMPUTED_VALUE"""),"")</f>
        <v/>
      </c>
      <c r="I370" s="51" t="str">
        <f>IFERROR(__xludf.DUMMYFUNCTION("""COMPUTED_VALUE"""),"#VALUE!")</f>
        <v>#VALUE!</v>
      </c>
      <c r="J370" s="51" t="str">
        <f>IFERROR(__xludf.DUMMYFUNCTION("""COMPUTED_VALUE"""),"")</f>
        <v/>
      </c>
      <c r="K370" s="51"/>
      <c r="L370" s="51" t="s">
        <v>257</v>
      </c>
      <c r="M370" s="51"/>
      <c r="N370" s="51"/>
      <c r="O370" s="51"/>
      <c r="P370" s="51"/>
      <c r="Q370" s="51"/>
      <c r="R370" s="51"/>
      <c r="S370" s="51"/>
      <c r="T370" s="51"/>
    </row>
    <row r="371">
      <c r="A371" s="51"/>
      <c r="B371" s="51"/>
      <c r="C371" s="56"/>
      <c r="D371" s="51"/>
      <c r="E371" s="51"/>
      <c r="F371" s="51"/>
      <c r="G371" s="51" t="str">
        <f>IFERROR(__xludf.DUMMYFUNCTION("""COMPUTED_VALUE"""),"#VALUE!")</f>
        <v>#VALUE!</v>
      </c>
      <c r="H371" s="51" t="str">
        <f>IFERROR(__xludf.DUMMYFUNCTION("""COMPUTED_VALUE"""),"")</f>
        <v/>
      </c>
      <c r="I371" s="51" t="str">
        <f>IFERROR(__xludf.DUMMYFUNCTION("""COMPUTED_VALUE"""),"#VALUE!")</f>
        <v>#VALUE!</v>
      </c>
      <c r="J371" s="51" t="str">
        <f>IFERROR(__xludf.DUMMYFUNCTION("""COMPUTED_VALUE"""),"")</f>
        <v/>
      </c>
      <c r="K371" s="51"/>
      <c r="L371" s="51" t="s">
        <v>257</v>
      </c>
      <c r="M371" s="51"/>
      <c r="N371" s="51"/>
      <c r="O371" s="51"/>
      <c r="P371" s="51"/>
      <c r="Q371" s="51"/>
      <c r="R371" s="51"/>
      <c r="S371" s="51"/>
      <c r="T371" s="51"/>
    </row>
    <row r="372">
      <c r="A372" s="51"/>
      <c r="B372" s="51"/>
      <c r="C372" s="56"/>
      <c r="D372" s="51"/>
      <c r="E372" s="51"/>
      <c r="F372" s="51"/>
      <c r="G372" s="51" t="str">
        <f>IFERROR(__xludf.DUMMYFUNCTION("""COMPUTED_VALUE"""),"#VALUE!")</f>
        <v>#VALUE!</v>
      </c>
      <c r="H372" s="51" t="str">
        <f>IFERROR(__xludf.DUMMYFUNCTION("""COMPUTED_VALUE"""),"")</f>
        <v/>
      </c>
      <c r="I372" s="51" t="str">
        <f>IFERROR(__xludf.DUMMYFUNCTION("""COMPUTED_VALUE"""),"#VALUE!")</f>
        <v>#VALUE!</v>
      </c>
      <c r="J372" s="51" t="str">
        <f>IFERROR(__xludf.DUMMYFUNCTION("""COMPUTED_VALUE"""),"")</f>
        <v/>
      </c>
      <c r="K372" s="51"/>
      <c r="L372" s="51" t="s">
        <v>257</v>
      </c>
      <c r="M372" s="51"/>
      <c r="N372" s="51"/>
      <c r="O372" s="51"/>
      <c r="P372" s="51"/>
      <c r="Q372" s="51"/>
      <c r="R372" s="51"/>
      <c r="S372" s="51"/>
      <c r="T372" s="51"/>
    </row>
    <row r="373">
      <c r="A373" s="51"/>
      <c r="B373" s="51"/>
      <c r="C373" s="56"/>
      <c r="D373" s="51"/>
      <c r="E373" s="51"/>
      <c r="F373" s="51"/>
      <c r="G373" s="51" t="str">
        <f>IFERROR(__xludf.DUMMYFUNCTION("""COMPUTED_VALUE"""),"#VALUE!")</f>
        <v>#VALUE!</v>
      </c>
      <c r="H373" s="51" t="str">
        <f>IFERROR(__xludf.DUMMYFUNCTION("""COMPUTED_VALUE"""),"")</f>
        <v/>
      </c>
      <c r="I373" s="51" t="str">
        <f>IFERROR(__xludf.DUMMYFUNCTION("""COMPUTED_VALUE"""),"#VALUE!")</f>
        <v>#VALUE!</v>
      </c>
      <c r="J373" s="51" t="str">
        <f>IFERROR(__xludf.DUMMYFUNCTION("""COMPUTED_VALUE"""),"")</f>
        <v/>
      </c>
      <c r="K373" s="51"/>
      <c r="L373" s="51" t="s">
        <v>257</v>
      </c>
      <c r="M373" s="51"/>
      <c r="N373" s="51"/>
      <c r="O373" s="51"/>
      <c r="P373" s="51"/>
      <c r="Q373" s="51"/>
      <c r="R373" s="51"/>
      <c r="S373" s="51"/>
      <c r="T373" s="51"/>
    </row>
    <row r="374">
      <c r="A374" s="51"/>
      <c r="B374" s="51"/>
      <c r="C374" s="56"/>
      <c r="D374" s="51"/>
      <c r="E374" s="51"/>
      <c r="F374" s="51"/>
      <c r="G374" s="51" t="str">
        <f>IFERROR(__xludf.DUMMYFUNCTION("""COMPUTED_VALUE"""),"#VALUE!")</f>
        <v>#VALUE!</v>
      </c>
      <c r="H374" s="51" t="str">
        <f>IFERROR(__xludf.DUMMYFUNCTION("""COMPUTED_VALUE"""),"")</f>
        <v/>
      </c>
      <c r="I374" s="51" t="str">
        <f>IFERROR(__xludf.DUMMYFUNCTION("""COMPUTED_VALUE"""),"#VALUE!")</f>
        <v>#VALUE!</v>
      </c>
      <c r="J374" s="51" t="str">
        <f>IFERROR(__xludf.DUMMYFUNCTION("""COMPUTED_VALUE"""),"")</f>
        <v/>
      </c>
      <c r="K374" s="51"/>
      <c r="L374" s="51" t="s">
        <v>257</v>
      </c>
      <c r="M374" s="51"/>
      <c r="N374" s="51"/>
      <c r="O374" s="51"/>
      <c r="P374" s="51"/>
      <c r="Q374" s="51"/>
      <c r="R374" s="51"/>
      <c r="S374" s="51"/>
      <c r="T374" s="51"/>
    </row>
    <row r="375">
      <c r="A375" s="51"/>
      <c r="B375" s="51"/>
      <c r="C375" s="56"/>
      <c r="D375" s="51"/>
      <c r="E375" s="51"/>
      <c r="F375" s="51"/>
      <c r="G375" s="51" t="str">
        <f>IFERROR(__xludf.DUMMYFUNCTION("""COMPUTED_VALUE"""),"#VALUE!")</f>
        <v>#VALUE!</v>
      </c>
      <c r="H375" s="51" t="str">
        <f>IFERROR(__xludf.DUMMYFUNCTION("""COMPUTED_VALUE"""),"")</f>
        <v/>
      </c>
      <c r="I375" s="51" t="str">
        <f>IFERROR(__xludf.DUMMYFUNCTION("""COMPUTED_VALUE"""),"#VALUE!")</f>
        <v>#VALUE!</v>
      </c>
      <c r="J375" s="51" t="str">
        <f>IFERROR(__xludf.DUMMYFUNCTION("""COMPUTED_VALUE"""),"")</f>
        <v/>
      </c>
      <c r="K375" s="51"/>
      <c r="L375" s="51" t="s">
        <v>257</v>
      </c>
      <c r="M375" s="51"/>
      <c r="N375" s="51"/>
      <c r="O375" s="51"/>
      <c r="P375" s="51"/>
      <c r="Q375" s="51"/>
      <c r="R375" s="51"/>
      <c r="S375" s="51"/>
      <c r="T375" s="51"/>
    </row>
    <row r="376">
      <c r="A376" s="51"/>
      <c r="B376" s="51"/>
      <c r="C376" s="56"/>
      <c r="D376" s="51"/>
      <c r="E376" s="51"/>
      <c r="F376" s="51"/>
      <c r="G376" s="51" t="str">
        <f>IFERROR(__xludf.DUMMYFUNCTION("""COMPUTED_VALUE"""),"#VALUE!")</f>
        <v>#VALUE!</v>
      </c>
      <c r="H376" s="51" t="str">
        <f>IFERROR(__xludf.DUMMYFUNCTION("""COMPUTED_VALUE"""),"")</f>
        <v/>
      </c>
      <c r="I376" s="51" t="str">
        <f>IFERROR(__xludf.DUMMYFUNCTION("""COMPUTED_VALUE"""),"#VALUE!")</f>
        <v>#VALUE!</v>
      </c>
      <c r="J376" s="51" t="str">
        <f>IFERROR(__xludf.DUMMYFUNCTION("""COMPUTED_VALUE"""),"")</f>
        <v/>
      </c>
      <c r="K376" s="51"/>
      <c r="L376" s="51" t="s">
        <v>257</v>
      </c>
      <c r="M376" s="51"/>
      <c r="N376" s="51"/>
      <c r="O376" s="51"/>
      <c r="P376" s="51"/>
      <c r="Q376" s="51"/>
      <c r="R376" s="51"/>
      <c r="S376" s="51"/>
      <c r="T376" s="51"/>
    </row>
    <row r="377">
      <c r="A377" s="51"/>
      <c r="B377" s="51"/>
      <c r="C377" s="56"/>
      <c r="D377" s="51"/>
      <c r="E377" s="51"/>
      <c r="F377" s="51"/>
      <c r="G377" s="51" t="str">
        <f>IFERROR(__xludf.DUMMYFUNCTION("""COMPUTED_VALUE"""),"#VALUE!")</f>
        <v>#VALUE!</v>
      </c>
      <c r="H377" s="51" t="str">
        <f>IFERROR(__xludf.DUMMYFUNCTION("""COMPUTED_VALUE"""),"")</f>
        <v/>
      </c>
      <c r="I377" s="51" t="str">
        <f>IFERROR(__xludf.DUMMYFUNCTION("""COMPUTED_VALUE"""),"#VALUE!")</f>
        <v>#VALUE!</v>
      </c>
      <c r="J377" s="51" t="str">
        <f>IFERROR(__xludf.DUMMYFUNCTION("""COMPUTED_VALUE"""),"")</f>
        <v/>
      </c>
      <c r="K377" s="51"/>
      <c r="L377" s="51" t="s">
        <v>257</v>
      </c>
      <c r="M377" s="51"/>
      <c r="N377" s="51"/>
      <c r="O377" s="51"/>
      <c r="P377" s="51"/>
      <c r="Q377" s="51"/>
      <c r="R377" s="51"/>
      <c r="S377" s="51"/>
      <c r="T377" s="51"/>
    </row>
    <row r="378">
      <c r="A378" s="51"/>
      <c r="B378" s="51"/>
      <c r="C378" s="56"/>
      <c r="D378" s="51"/>
      <c r="E378" s="51"/>
      <c r="F378" s="51"/>
      <c r="G378" s="51" t="str">
        <f>IFERROR(__xludf.DUMMYFUNCTION("""COMPUTED_VALUE"""),"#VALUE!")</f>
        <v>#VALUE!</v>
      </c>
      <c r="H378" s="51" t="str">
        <f>IFERROR(__xludf.DUMMYFUNCTION("""COMPUTED_VALUE"""),"")</f>
        <v/>
      </c>
      <c r="I378" s="51" t="str">
        <f>IFERROR(__xludf.DUMMYFUNCTION("""COMPUTED_VALUE"""),"#VALUE!")</f>
        <v>#VALUE!</v>
      </c>
      <c r="J378" s="51" t="str">
        <f>IFERROR(__xludf.DUMMYFUNCTION("""COMPUTED_VALUE"""),"")</f>
        <v/>
      </c>
      <c r="K378" s="51"/>
      <c r="L378" s="51" t="s">
        <v>257</v>
      </c>
      <c r="M378" s="51"/>
      <c r="N378" s="51"/>
      <c r="O378" s="51"/>
      <c r="P378" s="51"/>
      <c r="Q378" s="51"/>
      <c r="R378" s="51"/>
      <c r="S378" s="51"/>
      <c r="T378" s="51"/>
    </row>
    <row r="379">
      <c r="A379" s="51"/>
      <c r="B379" s="51"/>
      <c r="C379" s="56"/>
      <c r="D379" s="51"/>
      <c r="E379" s="51"/>
      <c r="F379" s="51"/>
      <c r="G379" s="51" t="str">
        <f>IFERROR(__xludf.DUMMYFUNCTION("""COMPUTED_VALUE"""),"#VALUE!")</f>
        <v>#VALUE!</v>
      </c>
      <c r="H379" s="51" t="str">
        <f>IFERROR(__xludf.DUMMYFUNCTION("""COMPUTED_VALUE"""),"")</f>
        <v/>
      </c>
      <c r="I379" s="51" t="str">
        <f>IFERROR(__xludf.DUMMYFUNCTION("""COMPUTED_VALUE"""),"#VALUE!")</f>
        <v>#VALUE!</v>
      </c>
      <c r="J379" s="51" t="str">
        <f>IFERROR(__xludf.DUMMYFUNCTION("""COMPUTED_VALUE"""),"")</f>
        <v/>
      </c>
      <c r="K379" s="51"/>
      <c r="L379" s="51" t="s">
        <v>257</v>
      </c>
      <c r="M379" s="51"/>
      <c r="N379" s="51"/>
      <c r="O379" s="51"/>
      <c r="P379" s="51"/>
      <c r="Q379" s="51"/>
      <c r="R379" s="51"/>
      <c r="S379" s="51"/>
      <c r="T379" s="51"/>
    </row>
    <row r="380">
      <c r="A380" s="51"/>
      <c r="B380" s="51"/>
      <c r="C380" s="56"/>
      <c r="D380" s="51"/>
      <c r="E380" s="51"/>
      <c r="F380" s="51"/>
      <c r="G380" s="51" t="str">
        <f>IFERROR(__xludf.DUMMYFUNCTION("""COMPUTED_VALUE"""),"#VALUE!")</f>
        <v>#VALUE!</v>
      </c>
      <c r="H380" s="51" t="str">
        <f>IFERROR(__xludf.DUMMYFUNCTION("""COMPUTED_VALUE"""),"")</f>
        <v/>
      </c>
      <c r="I380" s="51" t="str">
        <f>IFERROR(__xludf.DUMMYFUNCTION("""COMPUTED_VALUE"""),"#VALUE!")</f>
        <v>#VALUE!</v>
      </c>
      <c r="J380" s="51" t="str">
        <f>IFERROR(__xludf.DUMMYFUNCTION("""COMPUTED_VALUE"""),"")</f>
        <v/>
      </c>
      <c r="K380" s="51"/>
      <c r="L380" s="51" t="s">
        <v>257</v>
      </c>
      <c r="M380" s="51"/>
      <c r="N380" s="51"/>
      <c r="O380" s="51"/>
      <c r="P380" s="51"/>
      <c r="Q380" s="51"/>
      <c r="R380" s="51"/>
      <c r="S380" s="51"/>
      <c r="T380" s="51"/>
    </row>
    <row r="381">
      <c r="A381" s="51"/>
      <c r="B381" s="51"/>
      <c r="C381" s="56"/>
      <c r="D381" s="51"/>
      <c r="E381" s="51"/>
      <c r="F381" s="51"/>
      <c r="G381" s="51" t="str">
        <f>IFERROR(__xludf.DUMMYFUNCTION("""COMPUTED_VALUE"""),"#VALUE!")</f>
        <v>#VALUE!</v>
      </c>
      <c r="H381" s="51" t="str">
        <f>IFERROR(__xludf.DUMMYFUNCTION("""COMPUTED_VALUE"""),"")</f>
        <v/>
      </c>
      <c r="I381" s="51" t="str">
        <f>IFERROR(__xludf.DUMMYFUNCTION("""COMPUTED_VALUE"""),"#VALUE!")</f>
        <v>#VALUE!</v>
      </c>
      <c r="J381" s="51" t="str">
        <f>IFERROR(__xludf.DUMMYFUNCTION("""COMPUTED_VALUE"""),"")</f>
        <v/>
      </c>
      <c r="K381" s="51"/>
      <c r="L381" s="51" t="s">
        <v>257</v>
      </c>
      <c r="M381" s="51"/>
      <c r="N381" s="51"/>
      <c r="O381" s="51"/>
      <c r="P381" s="51"/>
      <c r="Q381" s="51"/>
      <c r="R381" s="51"/>
      <c r="S381" s="51"/>
      <c r="T381" s="51"/>
    </row>
    <row r="382">
      <c r="A382" s="51"/>
      <c r="B382" s="51"/>
      <c r="C382" s="56"/>
      <c r="D382" s="51"/>
      <c r="E382" s="51"/>
      <c r="F382" s="51"/>
      <c r="G382" s="51" t="str">
        <f>IFERROR(__xludf.DUMMYFUNCTION("""COMPUTED_VALUE"""),"#VALUE!")</f>
        <v>#VALUE!</v>
      </c>
      <c r="H382" s="51" t="str">
        <f>IFERROR(__xludf.DUMMYFUNCTION("""COMPUTED_VALUE"""),"")</f>
        <v/>
      </c>
      <c r="I382" s="51" t="str">
        <f>IFERROR(__xludf.DUMMYFUNCTION("""COMPUTED_VALUE"""),"#VALUE!")</f>
        <v>#VALUE!</v>
      </c>
      <c r="J382" s="51" t="str">
        <f>IFERROR(__xludf.DUMMYFUNCTION("""COMPUTED_VALUE"""),"")</f>
        <v/>
      </c>
      <c r="K382" s="51"/>
      <c r="L382" s="51" t="s">
        <v>257</v>
      </c>
      <c r="M382" s="51"/>
      <c r="N382" s="51"/>
      <c r="O382" s="51"/>
      <c r="P382" s="51"/>
      <c r="Q382" s="51"/>
      <c r="R382" s="51"/>
      <c r="S382" s="51"/>
      <c r="T382" s="51"/>
    </row>
    <row r="383">
      <c r="A383" s="51"/>
      <c r="B383" s="51"/>
      <c r="C383" s="56"/>
      <c r="D383" s="51"/>
      <c r="E383" s="51"/>
      <c r="F383" s="51"/>
      <c r="G383" s="51" t="str">
        <f>IFERROR(__xludf.DUMMYFUNCTION("""COMPUTED_VALUE"""),"#VALUE!")</f>
        <v>#VALUE!</v>
      </c>
      <c r="H383" s="51" t="str">
        <f>IFERROR(__xludf.DUMMYFUNCTION("""COMPUTED_VALUE"""),"")</f>
        <v/>
      </c>
      <c r="I383" s="51" t="str">
        <f>IFERROR(__xludf.DUMMYFUNCTION("""COMPUTED_VALUE"""),"#VALUE!")</f>
        <v>#VALUE!</v>
      </c>
      <c r="J383" s="51" t="str">
        <f>IFERROR(__xludf.DUMMYFUNCTION("""COMPUTED_VALUE"""),"")</f>
        <v/>
      </c>
      <c r="K383" s="51"/>
      <c r="L383" s="51" t="s">
        <v>257</v>
      </c>
      <c r="M383" s="51"/>
      <c r="N383" s="51"/>
      <c r="O383" s="51"/>
      <c r="P383" s="51"/>
      <c r="Q383" s="51"/>
      <c r="R383" s="51"/>
      <c r="S383" s="51"/>
      <c r="T383" s="51"/>
    </row>
    <row r="384">
      <c r="A384" s="51"/>
      <c r="B384" s="51"/>
      <c r="C384" s="56"/>
      <c r="D384" s="51"/>
      <c r="E384" s="51"/>
      <c r="F384" s="51"/>
      <c r="G384" s="51" t="str">
        <f>IFERROR(__xludf.DUMMYFUNCTION("""COMPUTED_VALUE"""),"#VALUE!")</f>
        <v>#VALUE!</v>
      </c>
      <c r="H384" s="51" t="str">
        <f>IFERROR(__xludf.DUMMYFUNCTION("""COMPUTED_VALUE"""),"")</f>
        <v/>
      </c>
      <c r="I384" s="51" t="str">
        <f>IFERROR(__xludf.DUMMYFUNCTION("""COMPUTED_VALUE"""),"#VALUE!")</f>
        <v>#VALUE!</v>
      </c>
      <c r="J384" s="51" t="str">
        <f>IFERROR(__xludf.DUMMYFUNCTION("""COMPUTED_VALUE"""),"")</f>
        <v/>
      </c>
      <c r="K384" s="51"/>
      <c r="L384" s="51" t="s">
        <v>257</v>
      </c>
      <c r="M384" s="51"/>
      <c r="N384" s="51"/>
      <c r="O384" s="51"/>
      <c r="P384" s="51"/>
      <c r="Q384" s="51"/>
      <c r="R384" s="51"/>
      <c r="S384" s="51"/>
      <c r="T384" s="51"/>
    </row>
    <row r="385">
      <c r="A385" s="51"/>
      <c r="B385" s="51"/>
      <c r="C385" s="56"/>
      <c r="D385" s="51"/>
      <c r="E385" s="51"/>
      <c r="F385" s="51"/>
      <c r="G385" s="51" t="str">
        <f>IFERROR(__xludf.DUMMYFUNCTION("""COMPUTED_VALUE"""),"#VALUE!")</f>
        <v>#VALUE!</v>
      </c>
      <c r="H385" s="51" t="str">
        <f>IFERROR(__xludf.DUMMYFUNCTION("""COMPUTED_VALUE"""),"")</f>
        <v/>
      </c>
      <c r="I385" s="51" t="str">
        <f>IFERROR(__xludf.DUMMYFUNCTION("""COMPUTED_VALUE"""),"#VALUE!")</f>
        <v>#VALUE!</v>
      </c>
      <c r="J385" s="51" t="str">
        <f>IFERROR(__xludf.DUMMYFUNCTION("""COMPUTED_VALUE"""),"")</f>
        <v/>
      </c>
      <c r="K385" s="51"/>
      <c r="L385" s="51" t="s">
        <v>257</v>
      </c>
      <c r="M385" s="51"/>
      <c r="N385" s="51"/>
      <c r="O385" s="51"/>
      <c r="P385" s="51"/>
      <c r="Q385" s="51"/>
      <c r="R385" s="51"/>
      <c r="S385" s="51"/>
      <c r="T385" s="51"/>
    </row>
    <row r="386">
      <c r="A386" s="51"/>
      <c r="B386" s="51"/>
      <c r="C386" s="56"/>
      <c r="D386" s="51"/>
      <c r="E386" s="51"/>
      <c r="F386" s="51"/>
      <c r="G386" s="51" t="str">
        <f>IFERROR(__xludf.DUMMYFUNCTION("""COMPUTED_VALUE"""),"#VALUE!")</f>
        <v>#VALUE!</v>
      </c>
      <c r="H386" s="51" t="str">
        <f>IFERROR(__xludf.DUMMYFUNCTION("""COMPUTED_VALUE"""),"")</f>
        <v/>
      </c>
      <c r="I386" s="51" t="str">
        <f>IFERROR(__xludf.DUMMYFUNCTION("""COMPUTED_VALUE"""),"#VALUE!")</f>
        <v>#VALUE!</v>
      </c>
      <c r="J386" s="51" t="str">
        <f>IFERROR(__xludf.DUMMYFUNCTION("""COMPUTED_VALUE"""),"")</f>
        <v/>
      </c>
      <c r="K386" s="51"/>
      <c r="L386" s="51" t="s">
        <v>257</v>
      </c>
      <c r="M386" s="51"/>
      <c r="N386" s="51"/>
      <c r="O386" s="51"/>
      <c r="P386" s="51"/>
      <c r="Q386" s="51"/>
      <c r="R386" s="51"/>
      <c r="S386" s="51"/>
      <c r="T386" s="51"/>
    </row>
    <row r="387">
      <c r="A387" s="51"/>
      <c r="B387" s="51"/>
      <c r="C387" s="56"/>
      <c r="D387" s="51"/>
      <c r="E387" s="51"/>
      <c r="F387" s="51"/>
      <c r="G387" s="51" t="str">
        <f>IFERROR(__xludf.DUMMYFUNCTION("""COMPUTED_VALUE"""),"#VALUE!")</f>
        <v>#VALUE!</v>
      </c>
      <c r="H387" s="51" t="str">
        <f>IFERROR(__xludf.DUMMYFUNCTION("""COMPUTED_VALUE"""),"")</f>
        <v/>
      </c>
      <c r="I387" s="51" t="str">
        <f>IFERROR(__xludf.DUMMYFUNCTION("""COMPUTED_VALUE"""),"#VALUE!")</f>
        <v>#VALUE!</v>
      </c>
      <c r="J387" s="51" t="str">
        <f>IFERROR(__xludf.DUMMYFUNCTION("""COMPUTED_VALUE"""),"")</f>
        <v/>
      </c>
      <c r="K387" s="51"/>
      <c r="L387" s="51" t="s">
        <v>257</v>
      </c>
      <c r="M387" s="51"/>
      <c r="N387" s="51"/>
      <c r="O387" s="51"/>
      <c r="P387" s="51"/>
      <c r="Q387" s="51"/>
      <c r="R387" s="51"/>
      <c r="S387" s="51"/>
      <c r="T387" s="51"/>
    </row>
    <row r="388">
      <c r="A388" s="51"/>
      <c r="B388" s="51"/>
      <c r="C388" s="56"/>
      <c r="D388" s="51"/>
      <c r="E388" s="51"/>
      <c r="F388" s="51"/>
      <c r="G388" s="51" t="str">
        <f>IFERROR(__xludf.DUMMYFUNCTION("""COMPUTED_VALUE"""),"#VALUE!")</f>
        <v>#VALUE!</v>
      </c>
      <c r="H388" s="51" t="str">
        <f>IFERROR(__xludf.DUMMYFUNCTION("""COMPUTED_VALUE"""),"")</f>
        <v/>
      </c>
      <c r="I388" s="51" t="str">
        <f>IFERROR(__xludf.DUMMYFUNCTION("""COMPUTED_VALUE"""),"#VALUE!")</f>
        <v>#VALUE!</v>
      </c>
      <c r="J388" s="51" t="str">
        <f>IFERROR(__xludf.DUMMYFUNCTION("""COMPUTED_VALUE"""),"")</f>
        <v/>
      </c>
      <c r="K388" s="51"/>
      <c r="L388" s="51" t="s">
        <v>257</v>
      </c>
      <c r="M388" s="51"/>
      <c r="N388" s="51"/>
      <c r="O388" s="51"/>
      <c r="P388" s="51"/>
      <c r="Q388" s="51"/>
      <c r="R388" s="51"/>
      <c r="S388" s="51"/>
      <c r="T388" s="51"/>
    </row>
    <row r="389">
      <c r="A389" s="51"/>
      <c r="B389" s="51"/>
      <c r="C389" s="56"/>
      <c r="D389" s="51"/>
      <c r="E389" s="51"/>
      <c r="F389" s="51"/>
      <c r="G389" s="51" t="str">
        <f>IFERROR(__xludf.DUMMYFUNCTION("""COMPUTED_VALUE"""),"#VALUE!")</f>
        <v>#VALUE!</v>
      </c>
      <c r="H389" s="51" t="str">
        <f>IFERROR(__xludf.DUMMYFUNCTION("""COMPUTED_VALUE"""),"")</f>
        <v/>
      </c>
      <c r="I389" s="51" t="str">
        <f>IFERROR(__xludf.DUMMYFUNCTION("""COMPUTED_VALUE"""),"#VALUE!")</f>
        <v>#VALUE!</v>
      </c>
      <c r="J389" s="51" t="str">
        <f>IFERROR(__xludf.DUMMYFUNCTION("""COMPUTED_VALUE"""),"")</f>
        <v/>
      </c>
      <c r="K389" s="51"/>
      <c r="L389" s="51" t="s">
        <v>257</v>
      </c>
      <c r="M389" s="51"/>
      <c r="N389" s="51"/>
      <c r="O389" s="51"/>
      <c r="P389" s="51"/>
      <c r="Q389" s="51"/>
      <c r="R389" s="51"/>
      <c r="S389" s="51"/>
      <c r="T389" s="51"/>
    </row>
    <row r="390">
      <c r="A390" s="51"/>
      <c r="B390" s="51"/>
      <c r="C390" s="56"/>
      <c r="D390" s="51"/>
      <c r="E390" s="51"/>
      <c r="F390" s="51"/>
      <c r="G390" s="51" t="str">
        <f>IFERROR(__xludf.DUMMYFUNCTION("""COMPUTED_VALUE"""),"#VALUE!")</f>
        <v>#VALUE!</v>
      </c>
      <c r="H390" s="51" t="str">
        <f>IFERROR(__xludf.DUMMYFUNCTION("""COMPUTED_VALUE"""),"")</f>
        <v/>
      </c>
      <c r="I390" s="51" t="str">
        <f>IFERROR(__xludf.DUMMYFUNCTION("""COMPUTED_VALUE"""),"#VALUE!")</f>
        <v>#VALUE!</v>
      </c>
      <c r="J390" s="51" t="str">
        <f>IFERROR(__xludf.DUMMYFUNCTION("""COMPUTED_VALUE"""),"")</f>
        <v/>
      </c>
      <c r="K390" s="51"/>
      <c r="L390" s="51" t="s">
        <v>257</v>
      </c>
      <c r="M390" s="51"/>
      <c r="N390" s="51"/>
      <c r="O390" s="51"/>
      <c r="P390" s="51"/>
      <c r="Q390" s="51"/>
      <c r="R390" s="51"/>
      <c r="S390" s="51"/>
      <c r="T390" s="51"/>
    </row>
    <row r="391">
      <c r="A391" s="51"/>
      <c r="B391" s="51"/>
      <c r="C391" s="56"/>
      <c r="D391" s="51"/>
      <c r="E391" s="51"/>
      <c r="F391" s="51"/>
      <c r="G391" s="51" t="str">
        <f>IFERROR(__xludf.DUMMYFUNCTION("""COMPUTED_VALUE"""),"#VALUE!")</f>
        <v>#VALUE!</v>
      </c>
      <c r="H391" s="51" t="str">
        <f>IFERROR(__xludf.DUMMYFUNCTION("""COMPUTED_VALUE"""),"")</f>
        <v/>
      </c>
      <c r="I391" s="51" t="str">
        <f>IFERROR(__xludf.DUMMYFUNCTION("""COMPUTED_VALUE"""),"#VALUE!")</f>
        <v>#VALUE!</v>
      </c>
      <c r="J391" s="51" t="str">
        <f>IFERROR(__xludf.DUMMYFUNCTION("""COMPUTED_VALUE"""),"")</f>
        <v/>
      </c>
      <c r="K391" s="51"/>
      <c r="L391" s="51" t="s">
        <v>257</v>
      </c>
      <c r="M391" s="51"/>
      <c r="N391" s="51"/>
      <c r="O391" s="51"/>
      <c r="P391" s="51"/>
      <c r="Q391" s="51"/>
      <c r="R391" s="51"/>
      <c r="S391" s="51"/>
      <c r="T391" s="51"/>
    </row>
    <row r="392">
      <c r="A392" s="51"/>
      <c r="B392" s="51"/>
      <c r="C392" s="56"/>
      <c r="D392" s="51"/>
      <c r="E392" s="51"/>
      <c r="F392" s="51"/>
      <c r="G392" s="51" t="str">
        <f>IFERROR(__xludf.DUMMYFUNCTION("""COMPUTED_VALUE"""),"#VALUE!")</f>
        <v>#VALUE!</v>
      </c>
      <c r="H392" s="51" t="str">
        <f>IFERROR(__xludf.DUMMYFUNCTION("""COMPUTED_VALUE"""),"")</f>
        <v/>
      </c>
      <c r="I392" s="51" t="str">
        <f>IFERROR(__xludf.DUMMYFUNCTION("""COMPUTED_VALUE"""),"#VALUE!")</f>
        <v>#VALUE!</v>
      </c>
      <c r="J392" s="51" t="str">
        <f>IFERROR(__xludf.DUMMYFUNCTION("""COMPUTED_VALUE"""),"")</f>
        <v/>
      </c>
      <c r="K392" s="51"/>
      <c r="L392" s="51" t="s">
        <v>257</v>
      </c>
      <c r="M392" s="51"/>
      <c r="N392" s="51"/>
      <c r="O392" s="51"/>
      <c r="P392" s="51"/>
      <c r="Q392" s="51"/>
      <c r="R392" s="51"/>
      <c r="S392" s="51"/>
      <c r="T392" s="51"/>
    </row>
    <row r="393">
      <c r="A393" s="51"/>
      <c r="B393" s="51"/>
      <c r="C393" s="56"/>
      <c r="D393" s="51"/>
      <c r="E393" s="51"/>
      <c r="F393" s="51"/>
      <c r="G393" s="51" t="str">
        <f>IFERROR(__xludf.DUMMYFUNCTION("""COMPUTED_VALUE"""),"#VALUE!")</f>
        <v>#VALUE!</v>
      </c>
      <c r="H393" s="51" t="str">
        <f>IFERROR(__xludf.DUMMYFUNCTION("""COMPUTED_VALUE"""),"")</f>
        <v/>
      </c>
      <c r="I393" s="51" t="str">
        <f>IFERROR(__xludf.DUMMYFUNCTION("""COMPUTED_VALUE"""),"#VALUE!")</f>
        <v>#VALUE!</v>
      </c>
      <c r="J393" s="51" t="str">
        <f>IFERROR(__xludf.DUMMYFUNCTION("""COMPUTED_VALUE"""),"")</f>
        <v/>
      </c>
      <c r="K393" s="51"/>
      <c r="L393" s="51" t="s">
        <v>257</v>
      </c>
      <c r="M393" s="51"/>
      <c r="N393" s="51"/>
      <c r="O393" s="51"/>
      <c r="P393" s="51"/>
      <c r="Q393" s="51"/>
      <c r="R393" s="51"/>
      <c r="S393" s="51"/>
      <c r="T393" s="51"/>
    </row>
    <row r="394">
      <c r="A394" s="51"/>
      <c r="B394" s="51"/>
      <c r="C394" s="56"/>
      <c r="D394" s="51"/>
      <c r="E394" s="51"/>
      <c r="F394" s="51"/>
      <c r="G394" s="51" t="str">
        <f>IFERROR(__xludf.DUMMYFUNCTION("""COMPUTED_VALUE"""),"#VALUE!")</f>
        <v>#VALUE!</v>
      </c>
      <c r="H394" s="51" t="str">
        <f>IFERROR(__xludf.DUMMYFUNCTION("""COMPUTED_VALUE"""),"")</f>
        <v/>
      </c>
      <c r="I394" s="51" t="str">
        <f>IFERROR(__xludf.DUMMYFUNCTION("""COMPUTED_VALUE"""),"#VALUE!")</f>
        <v>#VALUE!</v>
      </c>
      <c r="J394" s="51" t="str">
        <f>IFERROR(__xludf.DUMMYFUNCTION("""COMPUTED_VALUE"""),"")</f>
        <v/>
      </c>
      <c r="K394" s="51"/>
      <c r="L394" s="51" t="s">
        <v>257</v>
      </c>
      <c r="M394" s="51"/>
      <c r="N394" s="51"/>
      <c r="O394" s="51"/>
      <c r="P394" s="51"/>
      <c r="Q394" s="51"/>
      <c r="R394" s="51"/>
      <c r="S394" s="51"/>
      <c r="T394" s="51"/>
    </row>
    <row r="395">
      <c r="A395" s="51"/>
      <c r="B395" s="51"/>
      <c r="C395" s="56"/>
      <c r="D395" s="51"/>
      <c r="E395" s="51"/>
      <c r="F395" s="51"/>
      <c r="G395" s="51" t="str">
        <f>IFERROR(__xludf.DUMMYFUNCTION("""COMPUTED_VALUE"""),"#VALUE!")</f>
        <v>#VALUE!</v>
      </c>
      <c r="H395" s="51" t="str">
        <f>IFERROR(__xludf.DUMMYFUNCTION("""COMPUTED_VALUE"""),"")</f>
        <v/>
      </c>
      <c r="I395" s="51" t="str">
        <f>IFERROR(__xludf.DUMMYFUNCTION("""COMPUTED_VALUE"""),"#VALUE!")</f>
        <v>#VALUE!</v>
      </c>
      <c r="J395" s="51" t="str">
        <f>IFERROR(__xludf.DUMMYFUNCTION("""COMPUTED_VALUE"""),"")</f>
        <v/>
      </c>
      <c r="K395" s="51"/>
      <c r="L395" s="51" t="s">
        <v>257</v>
      </c>
      <c r="M395" s="51"/>
      <c r="N395" s="51"/>
      <c r="O395" s="51"/>
      <c r="P395" s="51"/>
      <c r="Q395" s="51"/>
      <c r="R395" s="51"/>
      <c r="S395" s="51"/>
      <c r="T395" s="51"/>
    </row>
    <row r="396">
      <c r="A396" s="51"/>
      <c r="B396" s="51"/>
      <c r="C396" s="56"/>
      <c r="D396" s="51"/>
      <c r="E396" s="51"/>
      <c r="F396" s="51"/>
      <c r="G396" s="51" t="str">
        <f>IFERROR(__xludf.DUMMYFUNCTION("""COMPUTED_VALUE"""),"#VALUE!")</f>
        <v>#VALUE!</v>
      </c>
      <c r="H396" s="51" t="str">
        <f>IFERROR(__xludf.DUMMYFUNCTION("""COMPUTED_VALUE"""),"")</f>
        <v/>
      </c>
      <c r="I396" s="51" t="str">
        <f>IFERROR(__xludf.DUMMYFUNCTION("""COMPUTED_VALUE"""),"#VALUE!")</f>
        <v>#VALUE!</v>
      </c>
      <c r="J396" s="51" t="str">
        <f>IFERROR(__xludf.DUMMYFUNCTION("""COMPUTED_VALUE"""),"")</f>
        <v/>
      </c>
      <c r="K396" s="51"/>
      <c r="L396" s="51" t="s">
        <v>257</v>
      </c>
      <c r="M396" s="51"/>
      <c r="N396" s="51"/>
      <c r="O396" s="51"/>
      <c r="P396" s="51"/>
      <c r="Q396" s="51"/>
      <c r="R396" s="51"/>
      <c r="S396" s="51"/>
      <c r="T396" s="51"/>
    </row>
    <row r="397">
      <c r="A397" s="51"/>
      <c r="B397" s="51"/>
      <c r="C397" s="56"/>
      <c r="D397" s="51"/>
      <c r="E397" s="51"/>
      <c r="F397" s="51"/>
      <c r="G397" s="51" t="str">
        <f>IFERROR(__xludf.DUMMYFUNCTION("""COMPUTED_VALUE"""),"#VALUE!")</f>
        <v>#VALUE!</v>
      </c>
      <c r="H397" s="51" t="str">
        <f>IFERROR(__xludf.DUMMYFUNCTION("""COMPUTED_VALUE"""),"")</f>
        <v/>
      </c>
      <c r="I397" s="51" t="str">
        <f>IFERROR(__xludf.DUMMYFUNCTION("""COMPUTED_VALUE"""),"#VALUE!")</f>
        <v>#VALUE!</v>
      </c>
      <c r="J397" s="51" t="str">
        <f>IFERROR(__xludf.DUMMYFUNCTION("""COMPUTED_VALUE"""),"")</f>
        <v/>
      </c>
      <c r="K397" s="51"/>
      <c r="L397" s="51" t="s">
        <v>257</v>
      </c>
      <c r="M397" s="51"/>
      <c r="N397" s="51"/>
      <c r="O397" s="51"/>
      <c r="P397" s="51"/>
      <c r="Q397" s="51"/>
      <c r="R397" s="51"/>
      <c r="S397" s="51"/>
      <c r="T397" s="51"/>
    </row>
    <row r="398">
      <c r="A398" s="51"/>
      <c r="B398" s="51"/>
      <c r="C398" s="56"/>
      <c r="D398" s="51"/>
      <c r="E398" s="51"/>
      <c r="F398" s="51"/>
      <c r="G398" s="51" t="str">
        <f>IFERROR(__xludf.DUMMYFUNCTION("""COMPUTED_VALUE"""),"#VALUE!")</f>
        <v>#VALUE!</v>
      </c>
      <c r="H398" s="51" t="str">
        <f>IFERROR(__xludf.DUMMYFUNCTION("""COMPUTED_VALUE"""),"")</f>
        <v/>
      </c>
      <c r="I398" s="51" t="str">
        <f>IFERROR(__xludf.DUMMYFUNCTION("""COMPUTED_VALUE"""),"#VALUE!")</f>
        <v>#VALUE!</v>
      </c>
      <c r="J398" s="51" t="str">
        <f>IFERROR(__xludf.DUMMYFUNCTION("""COMPUTED_VALUE"""),"")</f>
        <v/>
      </c>
      <c r="K398" s="51"/>
      <c r="L398" s="51" t="s">
        <v>257</v>
      </c>
      <c r="M398" s="51"/>
      <c r="N398" s="51"/>
      <c r="O398" s="51"/>
      <c r="P398" s="51"/>
      <c r="Q398" s="51"/>
      <c r="R398" s="51"/>
      <c r="S398" s="51"/>
      <c r="T398" s="51"/>
    </row>
    <row r="399">
      <c r="A399" s="51"/>
      <c r="B399" s="51"/>
      <c r="C399" s="56"/>
      <c r="D399" s="51"/>
      <c r="E399" s="51"/>
      <c r="F399" s="51"/>
      <c r="G399" s="51" t="str">
        <f>IFERROR(__xludf.DUMMYFUNCTION("""COMPUTED_VALUE"""),"#VALUE!")</f>
        <v>#VALUE!</v>
      </c>
      <c r="H399" s="51" t="str">
        <f>IFERROR(__xludf.DUMMYFUNCTION("""COMPUTED_VALUE"""),"")</f>
        <v/>
      </c>
      <c r="I399" s="51" t="str">
        <f>IFERROR(__xludf.DUMMYFUNCTION("""COMPUTED_VALUE"""),"#VALUE!")</f>
        <v>#VALUE!</v>
      </c>
      <c r="J399" s="51" t="str">
        <f>IFERROR(__xludf.DUMMYFUNCTION("""COMPUTED_VALUE"""),"")</f>
        <v/>
      </c>
      <c r="K399" s="51"/>
      <c r="L399" s="51" t="s">
        <v>257</v>
      </c>
      <c r="M399" s="51"/>
      <c r="N399" s="51"/>
      <c r="O399" s="51"/>
      <c r="P399" s="51"/>
      <c r="Q399" s="51"/>
      <c r="R399" s="51"/>
      <c r="S399" s="51"/>
      <c r="T399" s="51"/>
    </row>
    <row r="400">
      <c r="A400" s="51"/>
      <c r="B400" s="51"/>
      <c r="C400" s="56"/>
      <c r="D400" s="51"/>
      <c r="E400" s="51"/>
      <c r="F400" s="51"/>
      <c r="G400" s="51" t="str">
        <f>IFERROR(__xludf.DUMMYFUNCTION("""COMPUTED_VALUE"""),"#VALUE!")</f>
        <v>#VALUE!</v>
      </c>
      <c r="H400" s="51" t="str">
        <f>IFERROR(__xludf.DUMMYFUNCTION("""COMPUTED_VALUE"""),"")</f>
        <v/>
      </c>
      <c r="I400" s="51" t="str">
        <f>IFERROR(__xludf.DUMMYFUNCTION("""COMPUTED_VALUE"""),"#VALUE!")</f>
        <v>#VALUE!</v>
      </c>
      <c r="J400" s="51" t="str">
        <f>IFERROR(__xludf.DUMMYFUNCTION("""COMPUTED_VALUE"""),"")</f>
        <v/>
      </c>
      <c r="K400" s="51"/>
      <c r="L400" s="51" t="s">
        <v>257</v>
      </c>
      <c r="M400" s="51"/>
      <c r="N400" s="51"/>
      <c r="O400" s="51"/>
      <c r="P400" s="51"/>
      <c r="Q400" s="51"/>
      <c r="R400" s="51"/>
      <c r="S400" s="51"/>
      <c r="T400" s="51"/>
    </row>
    <row r="401">
      <c r="A401" s="51"/>
      <c r="B401" s="51"/>
      <c r="C401" s="56"/>
      <c r="D401" s="51"/>
      <c r="E401" s="51"/>
      <c r="F401" s="51"/>
      <c r="G401" s="51" t="str">
        <f>IFERROR(__xludf.DUMMYFUNCTION("""COMPUTED_VALUE"""),"#VALUE!")</f>
        <v>#VALUE!</v>
      </c>
      <c r="H401" s="51" t="str">
        <f>IFERROR(__xludf.DUMMYFUNCTION("""COMPUTED_VALUE"""),"")</f>
        <v/>
      </c>
      <c r="I401" s="51" t="str">
        <f>IFERROR(__xludf.DUMMYFUNCTION("""COMPUTED_VALUE"""),"#VALUE!")</f>
        <v>#VALUE!</v>
      </c>
      <c r="J401" s="51" t="str">
        <f>IFERROR(__xludf.DUMMYFUNCTION("""COMPUTED_VALUE"""),"")</f>
        <v/>
      </c>
      <c r="K401" s="51"/>
      <c r="L401" s="51" t="s">
        <v>257</v>
      </c>
      <c r="M401" s="51"/>
      <c r="N401" s="51"/>
      <c r="O401" s="51"/>
      <c r="P401" s="51"/>
      <c r="Q401" s="51"/>
      <c r="R401" s="51"/>
      <c r="S401" s="51"/>
      <c r="T401" s="51"/>
    </row>
    <row r="402">
      <c r="A402" s="51"/>
      <c r="B402" s="51"/>
      <c r="C402" s="56"/>
      <c r="D402" s="51"/>
      <c r="E402" s="51"/>
      <c r="F402" s="51"/>
      <c r="G402" s="51" t="str">
        <f>IFERROR(__xludf.DUMMYFUNCTION("""COMPUTED_VALUE"""),"#VALUE!")</f>
        <v>#VALUE!</v>
      </c>
      <c r="H402" s="51" t="str">
        <f>IFERROR(__xludf.DUMMYFUNCTION("""COMPUTED_VALUE"""),"")</f>
        <v/>
      </c>
      <c r="I402" s="51" t="str">
        <f>IFERROR(__xludf.DUMMYFUNCTION("""COMPUTED_VALUE"""),"#VALUE!")</f>
        <v>#VALUE!</v>
      </c>
      <c r="J402" s="51" t="str">
        <f>IFERROR(__xludf.DUMMYFUNCTION("""COMPUTED_VALUE"""),"")</f>
        <v/>
      </c>
      <c r="K402" s="51"/>
      <c r="L402" s="51" t="s">
        <v>257</v>
      </c>
      <c r="M402" s="51"/>
      <c r="N402" s="51"/>
      <c r="O402" s="51"/>
      <c r="P402" s="51"/>
      <c r="Q402" s="51"/>
      <c r="R402" s="51"/>
      <c r="S402" s="51"/>
      <c r="T402" s="51"/>
    </row>
    <row r="403">
      <c r="A403" s="51"/>
      <c r="B403" s="51"/>
      <c r="C403" s="56"/>
      <c r="D403" s="51"/>
      <c r="E403" s="51"/>
      <c r="F403" s="51"/>
      <c r="G403" s="51" t="str">
        <f>IFERROR(__xludf.DUMMYFUNCTION("""COMPUTED_VALUE"""),"#VALUE!")</f>
        <v>#VALUE!</v>
      </c>
      <c r="H403" s="51" t="str">
        <f>IFERROR(__xludf.DUMMYFUNCTION("""COMPUTED_VALUE"""),"")</f>
        <v/>
      </c>
      <c r="I403" s="51" t="str">
        <f>IFERROR(__xludf.DUMMYFUNCTION("""COMPUTED_VALUE"""),"#VALUE!")</f>
        <v>#VALUE!</v>
      </c>
      <c r="J403" s="51" t="str">
        <f>IFERROR(__xludf.DUMMYFUNCTION("""COMPUTED_VALUE"""),"")</f>
        <v/>
      </c>
      <c r="K403" s="51"/>
      <c r="L403" s="51" t="s">
        <v>257</v>
      </c>
      <c r="M403" s="51"/>
      <c r="N403" s="51"/>
      <c r="O403" s="51"/>
      <c r="P403" s="51"/>
      <c r="Q403" s="51"/>
      <c r="R403" s="51"/>
      <c r="S403" s="51"/>
      <c r="T403" s="51"/>
    </row>
    <row r="404">
      <c r="A404" s="51"/>
      <c r="B404" s="51"/>
      <c r="C404" s="56"/>
      <c r="D404" s="51"/>
      <c r="E404" s="51"/>
      <c r="F404" s="51"/>
      <c r="G404" s="51" t="str">
        <f>IFERROR(__xludf.DUMMYFUNCTION("""COMPUTED_VALUE"""),"#VALUE!")</f>
        <v>#VALUE!</v>
      </c>
      <c r="H404" s="51" t="str">
        <f>IFERROR(__xludf.DUMMYFUNCTION("""COMPUTED_VALUE"""),"")</f>
        <v/>
      </c>
      <c r="I404" s="51" t="str">
        <f>IFERROR(__xludf.DUMMYFUNCTION("""COMPUTED_VALUE"""),"#VALUE!")</f>
        <v>#VALUE!</v>
      </c>
      <c r="J404" s="51" t="str">
        <f>IFERROR(__xludf.DUMMYFUNCTION("""COMPUTED_VALUE"""),"")</f>
        <v/>
      </c>
      <c r="K404" s="51"/>
      <c r="L404" s="51" t="s">
        <v>257</v>
      </c>
      <c r="M404" s="51"/>
      <c r="N404" s="51"/>
      <c r="O404" s="51"/>
      <c r="P404" s="51"/>
      <c r="Q404" s="51"/>
      <c r="R404" s="51"/>
      <c r="S404" s="51"/>
      <c r="T404" s="51"/>
    </row>
    <row r="405">
      <c r="A405" s="51"/>
      <c r="B405" s="51"/>
      <c r="C405" s="56"/>
      <c r="D405" s="51"/>
      <c r="E405" s="51"/>
      <c r="F405" s="51"/>
      <c r="G405" s="51" t="str">
        <f>IFERROR(__xludf.DUMMYFUNCTION("""COMPUTED_VALUE"""),"#VALUE!")</f>
        <v>#VALUE!</v>
      </c>
      <c r="H405" s="51" t="str">
        <f>IFERROR(__xludf.DUMMYFUNCTION("""COMPUTED_VALUE"""),"")</f>
        <v/>
      </c>
      <c r="I405" s="51" t="str">
        <f>IFERROR(__xludf.DUMMYFUNCTION("""COMPUTED_VALUE"""),"#VALUE!")</f>
        <v>#VALUE!</v>
      </c>
      <c r="J405" s="51" t="str">
        <f>IFERROR(__xludf.DUMMYFUNCTION("""COMPUTED_VALUE"""),"")</f>
        <v/>
      </c>
      <c r="K405" s="51"/>
      <c r="L405" s="51" t="s">
        <v>257</v>
      </c>
      <c r="M405" s="51"/>
      <c r="N405" s="51"/>
      <c r="O405" s="51"/>
      <c r="P405" s="51"/>
      <c r="Q405" s="51"/>
      <c r="R405" s="51"/>
      <c r="S405" s="51"/>
      <c r="T405" s="51"/>
    </row>
    <row r="406">
      <c r="A406" s="51"/>
      <c r="B406" s="51"/>
      <c r="C406" s="56"/>
      <c r="D406" s="51"/>
      <c r="E406" s="51"/>
      <c r="F406" s="51"/>
      <c r="G406" s="51" t="str">
        <f>IFERROR(__xludf.DUMMYFUNCTION("""COMPUTED_VALUE"""),"#VALUE!")</f>
        <v>#VALUE!</v>
      </c>
      <c r="H406" s="51" t="str">
        <f>IFERROR(__xludf.DUMMYFUNCTION("""COMPUTED_VALUE"""),"")</f>
        <v/>
      </c>
      <c r="I406" s="51" t="str">
        <f>IFERROR(__xludf.DUMMYFUNCTION("""COMPUTED_VALUE"""),"#VALUE!")</f>
        <v>#VALUE!</v>
      </c>
      <c r="J406" s="51" t="str">
        <f>IFERROR(__xludf.DUMMYFUNCTION("""COMPUTED_VALUE"""),"")</f>
        <v/>
      </c>
      <c r="K406" s="51"/>
      <c r="L406" s="51" t="s">
        <v>257</v>
      </c>
      <c r="M406" s="51"/>
      <c r="N406" s="51"/>
      <c r="O406" s="51"/>
      <c r="P406" s="51"/>
      <c r="Q406" s="51"/>
      <c r="R406" s="51"/>
      <c r="S406" s="51"/>
      <c r="T406" s="51"/>
    </row>
    <row r="407">
      <c r="A407" s="51"/>
      <c r="B407" s="51"/>
      <c r="C407" s="56"/>
      <c r="D407" s="51"/>
      <c r="E407" s="51"/>
      <c r="F407" s="51"/>
      <c r="G407" s="51" t="str">
        <f>IFERROR(__xludf.DUMMYFUNCTION("""COMPUTED_VALUE"""),"#VALUE!")</f>
        <v>#VALUE!</v>
      </c>
      <c r="H407" s="51" t="str">
        <f>IFERROR(__xludf.DUMMYFUNCTION("""COMPUTED_VALUE"""),"")</f>
        <v/>
      </c>
      <c r="I407" s="51" t="str">
        <f>IFERROR(__xludf.DUMMYFUNCTION("""COMPUTED_VALUE"""),"#VALUE!")</f>
        <v>#VALUE!</v>
      </c>
      <c r="J407" s="51" t="str">
        <f>IFERROR(__xludf.DUMMYFUNCTION("""COMPUTED_VALUE"""),"")</f>
        <v/>
      </c>
      <c r="K407" s="51"/>
      <c r="L407" s="51" t="s">
        <v>257</v>
      </c>
      <c r="M407" s="51"/>
      <c r="N407" s="51"/>
      <c r="O407" s="51"/>
      <c r="P407" s="51"/>
      <c r="Q407" s="51"/>
      <c r="R407" s="51"/>
      <c r="S407" s="51"/>
      <c r="T407" s="51"/>
    </row>
    <row r="408">
      <c r="A408" s="51"/>
      <c r="B408" s="51"/>
      <c r="C408" s="56"/>
      <c r="D408" s="51"/>
      <c r="E408" s="51"/>
      <c r="F408" s="51"/>
      <c r="G408" s="51" t="str">
        <f>IFERROR(__xludf.DUMMYFUNCTION("""COMPUTED_VALUE"""),"#VALUE!")</f>
        <v>#VALUE!</v>
      </c>
      <c r="H408" s="51" t="str">
        <f>IFERROR(__xludf.DUMMYFUNCTION("""COMPUTED_VALUE"""),"")</f>
        <v/>
      </c>
      <c r="I408" s="51" t="str">
        <f>IFERROR(__xludf.DUMMYFUNCTION("""COMPUTED_VALUE"""),"#VALUE!")</f>
        <v>#VALUE!</v>
      </c>
      <c r="J408" s="51" t="str">
        <f>IFERROR(__xludf.DUMMYFUNCTION("""COMPUTED_VALUE"""),"")</f>
        <v/>
      </c>
      <c r="K408" s="51"/>
      <c r="L408" s="51" t="s">
        <v>257</v>
      </c>
      <c r="M408" s="51"/>
      <c r="N408" s="51"/>
      <c r="O408" s="51"/>
      <c r="P408" s="51"/>
      <c r="Q408" s="51"/>
      <c r="R408" s="51"/>
      <c r="S408" s="51"/>
      <c r="T408" s="51"/>
    </row>
    <row r="409">
      <c r="A409" s="51"/>
      <c r="B409" s="51"/>
      <c r="C409" s="56"/>
      <c r="D409" s="51"/>
      <c r="E409" s="51"/>
      <c r="F409" s="51"/>
      <c r="G409" s="51" t="str">
        <f>IFERROR(__xludf.DUMMYFUNCTION("""COMPUTED_VALUE"""),"#VALUE!")</f>
        <v>#VALUE!</v>
      </c>
      <c r="H409" s="51" t="str">
        <f>IFERROR(__xludf.DUMMYFUNCTION("""COMPUTED_VALUE"""),"")</f>
        <v/>
      </c>
      <c r="I409" s="51" t="str">
        <f>IFERROR(__xludf.DUMMYFUNCTION("""COMPUTED_VALUE"""),"#VALUE!")</f>
        <v>#VALUE!</v>
      </c>
      <c r="J409" s="51" t="str">
        <f>IFERROR(__xludf.DUMMYFUNCTION("""COMPUTED_VALUE"""),"")</f>
        <v/>
      </c>
      <c r="K409" s="51"/>
      <c r="L409" s="51" t="s">
        <v>257</v>
      </c>
      <c r="M409" s="51"/>
      <c r="N409" s="51"/>
      <c r="O409" s="51"/>
      <c r="P409" s="51"/>
      <c r="Q409" s="51"/>
      <c r="R409" s="51"/>
      <c r="S409" s="51"/>
      <c r="T409" s="51"/>
    </row>
    <row r="410">
      <c r="A410" s="51"/>
      <c r="B410" s="51"/>
      <c r="C410" s="56"/>
      <c r="D410" s="51"/>
      <c r="E410" s="51"/>
      <c r="F410" s="51"/>
      <c r="G410" s="51" t="str">
        <f>IFERROR(__xludf.DUMMYFUNCTION("""COMPUTED_VALUE"""),"#VALUE!")</f>
        <v>#VALUE!</v>
      </c>
      <c r="H410" s="51" t="str">
        <f>IFERROR(__xludf.DUMMYFUNCTION("""COMPUTED_VALUE"""),"")</f>
        <v/>
      </c>
      <c r="I410" s="51" t="str">
        <f>IFERROR(__xludf.DUMMYFUNCTION("""COMPUTED_VALUE"""),"#VALUE!")</f>
        <v>#VALUE!</v>
      </c>
      <c r="J410" s="51" t="str">
        <f>IFERROR(__xludf.DUMMYFUNCTION("""COMPUTED_VALUE"""),"")</f>
        <v/>
      </c>
      <c r="K410" s="51"/>
      <c r="L410" s="51" t="s">
        <v>257</v>
      </c>
      <c r="M410" s="51"/>
      <c r="N410" s="51"/>
      <c r="O410" s="51"/>
      <c r="P410" s="51"/>
      <c r="Q410" s="51"/>
      <c r="R410" s="51"/>
      <c r="S410" s="51"/>
      <c r="T410" s="51"/>
    </row>
    <row r="411">
      <c r="A411" s="51"/>
      <c r="B411" s="51"/>
      <c r="C411" s="56"/>
      <c r="D411" s="51"/>
      <c r="E411" s="51"/>
      <c r="F411" s="51"/>
      <c r="G411" s="51" t="str">
        <f>IFERROR(__xludf.DUMMYFUNCTION("""COMPUTED_VALUE"""),"#VALUE!")</f>
        <v>#VALUE!</v>
      </c>
      <c r="H411" s="51" t="str">
        <f>IFERROR(__xludf.DUMMYFUNCTION("""COMPUTED_VALUE"""),"")</f>
        <v/>
      </c>
      <c r="I411" s="51" t="str">
        <f>IFERROR(__xludf.DUMMYFUNCTION("""COMPUTED_VALUE"""),"#VALUE!")</f>
        <v>#VALUE!</v>
      </c>
      <c r="J411" s="51" t="str">
        <f>IFERROR(__xludf.DUMMYFUNCTION("""COMPUTED_VALUE"""),"")</f>
        <v/>
      </c>
      <c r="K411" s="51"/>
      <c r="L411" s="51" t="s">
        <v>257</v>
      </c>
      <c r="M411" s="51"/>
      <c r="N411" s="51"/>
      <c r="O411" s="51"/>
      <c r="P411" s="51"/>
      <c r="Q411" s="51"/>
      <c r="R411" s="51"/>
      <c r="S411" s="51"/>
      <c r="T411" s="51"/>
    </row>
    <row r="412">
      <c r="A412" s="51"/>
      <c r="B412" s="51"/>
      <c r="C412" s="56"/>
      <c r="D412" s="51"/>
      <c r="E412" s="51"/>
      <c r="F412" s="51"/>
      <c r="G412" s="51" t="str">
        <f>IFERROR(__xludf.DUMMYFUNCTION("""COMPUTED_VALUE"""),"#VALUE!")</f>
        <v>#VALUE!</v>
      </c>
      <c r="H412" s="51" t="str">
        <f>IFERROR(__xludf.DUMMYFUNCTION("""COMPUTED_VALUE"""),"")</f>
        <v/>
      </c>
      <c r="I412" s="51" t="str">
        <f>IFERROR(__xludf.DUMMYFUNCTION("""COMPUTED_VALUE"""),"#VALUE!")</f>
        <v>#VALUE!</v>
      </c>
      <c r="J412" s="51" t="str">
        <f>IFERROR(__xludf.DUMMYFUNCTION("""COMPUTED_VALUE"""),"")</f>
        <v/>
      </c>
      <c r="K412" s="51"/>
      <c r="L412" s="51" t="s">
        <v>257</v>
      </c>
      <c r="M412" s="51"/>
      <c r="N412" s="51"/>
      <c r="O412" s="51"/>
      <c r="P412" s="51"/>
      <c r="Q412" s="51"/>
      <c r="R412" s="51"/>
      <c r="S412" s="51"/>
      <c r="T412" s="51"/>
    </row>
    <row r="413">
      <c r="A413" s="51"/>
      <c r="B413" s="51"/>
      <c r="C413" s="56"/>
      <c r="D413" s="51"/>
      <c r="E413" s="51"/>
      <c r="F413" s="51"/>
      <c r="G413" s="51" t="str">
        <f>IFERROR(__xludf.DUMMYFUNCTION("""COMPUTED_VALUE"""),"#VALUE!")</f>
        <v>#VALUE!</v>
      </c>
      <c r="H413" s="51" t="str">
        <f>IFERROR(__xludf.DUMMYFUNCTION("""COMPUTED_VALUE"""),"")</f>
        <v/>
      </c>
      <c r="I413" s="51" t="str">
        <f>IFERROR(__xludf.DUMMYFUNCTION("""COMPUTED_VALUE"""),"#VALUE!")</f>
        <v>#VALUE!</v>
      </c>
      <c r="J413" s="51" t="str">
        <f>IFERROR(__xludf.DUMMYFUNCTION("""COMPUTED_VALUE"""),"")</f>
        <v/>
      </c>
      <c r="K413" s="51"/>
      <c r="L413" s="51" t="s">
        <v>257</v>
      </c>
      <c r="M413" s="51"/>
      <c r="N413" s="51"/>
      <c r="O413" s="51"/>
      <c r="P413" s="51"/>
      <c r="Q413" s="51"/>
      <c r="R413" s="51"/>
      <c r="S413" s="51"/>
      <c r="T413" s="51"/>
    </row>
    <row r="414">
      <c r="A414" s="51"/>
      <c r="B414" s="51"/>
      <c r="C414" s="56"/>
      <c r="D414" s="51"/>
      <c r="E414" s="51"/>
      <c r="F414" s="51"/>
      <c r="G414" s="51" t="str">
        <f>IFERROR(__xludf.DUMMYFUNCTION("""COMPUTED_VALUE"""),"#VALUE!")</f>
        <v>#VALUE!</v>
      </c>
      <c r="H414" s="51" t="str">
        <f>IFERROR(__xludf.DUMMYFUNCTION("""COMPUTED_VALUE"""),"")</f>
        <v/>
      </c>
      <c r="I414" s="51" t="str">
        <f>IFERROR(__xludf.DUMMYFUNCTION("""COMPUTED_VALUE"""),"#VALUE!")</f>
        <v>#VALUE!</v>
      </c>
      <c r="J414" s="51" t="str">
        <f>IFERROR(__xludf.DUMMYFUNCTION("""COMPUTED_VALUE"""),"")</f>
        <v/>
      </c>
      <c r="K414" s="51"/>
      <c r="L414" s="51" t="s">
        <v>257</v>
      </c>
      <c r="M414" s="51"/>
      <c r="N414" s="51"/>
      <c r="O414" s="51"/>
      <c r="P414" s="51"/>
      <c r="Q414" s="51"/>
      <c r="R414" s="51"/>
      <c r="S414" s="51"/>
      <c r="T414" s="51"/>
    </row>
    <row r="415">
      <c r="A415" s="51"/>
      <c r="B415" s="51"/>
      <c r="C415" s="56"/>
      <c r="D415" s="51"/>
      <c r="E415" s="51"/>
      <c r="F415" s="51"/>
      <c r="G415" s="51" t="str">
        <f>IFERROR(__xludf.DUMMYFUNCTION("""COMPUTED_VALUE"""),"#VALUE!")</f>
        <v>#VALUE!</v>
      </c>
      <c r="H415" s="51" t="str">
        <f>IFERROR(__xludf.DUMMYFUNCTION("""COMPUTED_VALUE"""),"")</f>
        <v/>
      </c>
      <c r="I415" s="51" t="str">
        <f>IFERROR(__xludf.DUMMYFUNCTION("""COMPUTED_VALUE"""),"#VALUE!")</f>
        <v>#VALUE!</v>
      </c>
      <c r="J415" s="51" t="str">
        <f>IFERROR(__xludf.DUMMYFUNCTION("""COMPUTED_VALUE"""),"")</f>
        <v/>
      </c>
      <c r="K415" s="51"/>
      <c r="L415" s="51" t="s">
        <v>257</v>
      </c>
      <c r="M415" s="51"/>
      <c r="N415" s="51"/>
      <c r="O415" s="51"/>
      <c r="P415" s="51"/>
      <c r="Q415" s="51"/>
      <c r="R415" s="51"/>
      <c r="S415" s="51"/>
      <c r="T415" s="51"/>
    </row>
    <row r="416">
      <c r="A416" s="51"/>
      <c r="B416" s="51"/>
      <c r="C416" s="56"/>
      <c r="D416" s="51"/>
      <c r="E416" s="51"/>
      <c r="F416" s="51"/>
      <c r="G416" s="51" t="str">
        <f>IFERROR(__xludf.DUMMYFUNCTION("""COMPUTED_VALUE"""),"#VALUE!")</f>
        <v>#VALUE!</v>
      </c>
      <c r="H416" s="51" t="str">
        <f>IFERROR(__xludf.DUMMYFUNCTION("""COMPUTED_VALUE"""),"")</f>
        <v/>
      </c>
      <c r="I416" s="51" t="str">
        <f>IFERROR(__xludf.DUMMYFUNCTION("""COMPUTED_VALUE"""),"#VALUE!")</f>
        <v>#VALUE!</v>
      </c>
      <c r="J416" s="51" t="str">
        <f>IFERROR(__xludf.DUMMYFUNCTION("""COMPUTED_VALUE"""),"")</f>
        <v/>
      </c>
      <c r="K416" s="51"/>
      <c r="L416" s="51" t="s">
        <v>257</v>
      </c>
      <c r="M416" s="51"/>
      <c r="N416" s="51"/>
      <c r="O416" s="51"/>
      <c r="P416" s="51"/>
      <c r="Q416" s="51"/>
      <c r="R416" s="51"/>
      <c r="S416" s="51"/>
      <c r="T416" s="51"/>
    </row>
    <row r="417">
      <c r="A417" s="51"/>
      <c r="B417" s="51"/>
      <c r="C417" s="56"/>
      <c r="D417" s="51"/>
      <c r="E417" s="51"/>
      <c r="F417" s="51"/>
      <c r="G417" s="51" t="str">
        <f>IFERROR(__xludf.DUMMYFUNCTION("""COMPUTED_VALUE"""),"#VALUE!")</f>
        <v>#VALUE!</v>
      </c>
      <c r="H417" s="51" t="str">
        <f>IFERROR(__xludf.DUMMYFUNCTION("""COMPUTED_VALUE"""),"")</f>
        <v/>
      </c>
      <c r="I417" s="51" t="str">
        <f>IFERROR(__xludf.DUMMYFUNCTION("""COMPUTED_VALUE"""),"#VALUE!")</f>
        <v>#VALUE!</v>
      </c>
      <c r="J417" s="51" t="str">
        <f>IFERROR(__xludf.DUMMYFUNCTION("""COMPUTED_VALUE"""),"")</f>
        <v/>
      </c>
      <c r="K417" s="51"/>
      <c r="L417" s="51" t="s">
        <v>257</v>
      </c>
      <c r="M417" s="51"/>
      <c r="N417" s="51"/>
      <c r="O417" s="51"/>
      <c r="P417" s="51"/>
      <c r="Q417" s="51"/>
      <c r="R417" s="51"/>
      <c r="S417" s="51"/>
      <c r="T417" s="51"/>
    </row>
    <row r="418">
      <c r="A418" s="51"/>
      <c r="B418" s="51"/>
      <c r="C418" s="56"/>
      <c r="D418" s="51"/>
      <c r="E418" s="51"/>
      <c r="F418" s="51"/>
      <c r="G418" s="51" t="str">
        <f>IFERROR(__xludf.DUMMYFUNCTION("""COMPUTED_VALUE"""),"#VALUE!")</f>
        <v>#VALUE!</v>
      </c>
      <c r="H418" s="51" t="str">
        <f>IFERROR(__xludf.DUMMYFUNCTION("""COMPUTED_VALUE"""),"")</f>
        <v/>
      </c>
      <c r="I418" s="51" t="str">
        <f>IFERROR(__xludf.DUMMYFUNCTION("""COMPUTED_VALUE"""),"#VALUE!")</f>
        <v>#VALUE!</v>
      </c>
      <c r="J418" s="51" t="str">
        <f>IFERROR(__xludf.DUMMYFUNCTION("""COMPUTED_VALUE"""),"")</f>
        <v/>
      </c>
      <c r="K418" s="51"/>
      <c r="L418" s="51" t="s">
        <v>257</v>
      </c>
      <c r="M418" s="51"/>
      <c r="N418" s="51"/>
      <c r="O418" s="51"/>
      <c r="P418" s="51"/>
      <c r="Q418" s="51"/>
      <c r="R418" s="51"/>
      <c r="S418" s="51"/>
      <c r="T418" s="51"/>
    </row>
    <row r="419">
      <c r="A419" s="51"/>
      <c r="B419" s="51"/>
      <c r="C419" s="56"/>
      <c r="D419" s="51"/>
      <c r="E419" s="51"/>
      <c r="F419" s="51"/>
      <c r="G419" s="51" t="str">
        <f>IFERROR(__xludf.DUMMYFUNCTION("""COMPUTED_VALUE"""),"#VALUE!")</f>
        <v>#VALUE!</v>
      </c>
      <c r="H419" s="51" t="str">
        <f>IFERROR(__xludf.DUMMYFUNCTION("""COMPUTED_VALUE"""),"")</f>
        <v/>
      </c>
      <c r="I419" s="51" t="str">
        <f>IFERROR(__xludf.DUMMYFUNCTION("""COMPUTED_VALUE"""),"#VALUE!")</f>
        <v>#VALUE!</v>
      </c>
      <c r="J419" s="51" t="str">
        <f>IFERROR(__xludf.DUMMYFUNCTION("""COMPUTED_VALUE"""),"")</f>
        <v/>
      </c>
      <c r="K419" s="51"/>
      <c r="L419" s="51" t="s">
        <v>257</v>
      </c>
      <c r="M419" s="51"/>
      <c r="N419" s="51"/>
      <c r="O419" s="51"/>
      <c r="P419" s="51"/>
      <c r="Q419" s="51"/>
      <c r="R419" s="51"/>
      <c r="S419" s="51"/>
      <c r="T419" s="51"/>
    </row>
    <row r="420">
      <c r="A420" s="51"/>
      <c r="B420" s="51"/>
      <c r="C420" s="56"/>
      <c r="D420" s="51"/>
      <c r="E420" s="51"/>
      <c r="F420" s="51"/>
      <c r="G420" s="51" t="str">
        <f>IFERROR(__xludf.DUMMYFUNCTION("""COMPUTED_VALUE"""),"#VALUE!")</f>
        <v>#VALUE!</v>
      </c>
      <c r="H420" s="51" t="str">
        <f>IFERROR(__xludf.DUMMYFUNCTION("""COMPUTED_VALUE"""),"")</f>
        <v/>
      </c>
      <c r="I420" s="51" t="str">
        <f>IFERROR(__xludf.DUMMYFUNCTION("""COMPUTED_VALUE"""),"#VALUE!")</f>
        <v>#VALUE!</v>
      </c>
      <c r="J420" s="51" t="str">
        <f>IFERROR(__xludf.DUMMYFUNCTION("""COMPUTED_VALUE"""),"")</f>
        <v/>
      </c>
      <c r="K420" s="51"/>
      <c r="L420" s="51" t="s">
        <v>257</v>
      </c>
      <c r="M420" s="51"/>
      <c r="N420" s="51"/>
      <c r="O420" s="51"/>
      <c r="P420" s="51"/>
      <c r="Q420" s="51"/>
      <c r="R420" s="51"/>
      <c r="S420" s="51"/>
      <c r="T420" s="51"/>
    </row>
    <row r="421">
      <c r="A421" s="51"/>
      <c r="B421" s="51"/>
      <c r="C421" s="56"/>
      <c r="D421" s="51"/>
      <c r="E421" s="51"/>
      <c r="F421" s="51"/>
      <c r="G421" s="51" t="str">
        <f>IFERROR(__xludf.DUMMYFUNCTION("""COMPUTED_VALUE"""),"#VALUE!")</f>
        <v>#VALUE!</v>
      </c>
      <c r="H421" s="51" t="str">
        <f>IFERROR(__xludf.DUMMYFUNCTION("""COMPUTED_VALUE"""),"")</f>
        <v/>
      </c>
      <c r="I421" s="51" t="str">
        <f>IFERROR(__xludf.DUMMYFUNCTION("""COMPUTED_VALUE"""),"#VALUE!")</f>
        <v>#VALUE!</v>
      </c>
      <c r="J421" s="51" t="str">
        <f>IFERROR(__xludf.DUMMYFUNCTION("""COMPUTED_VALUE"""),"")</f>
        <v/>
      </c>
      <c r="K421" s="51"/>
      <c r="L421" s="51" t="s">
        <v>257</v>
      </c>
      <c r="M421" s="51"/>
      <c r="N421" s="51"/>
      <c r="O421" s="51"/>
      <c r="P421" s="51"/>
      <c r="Q421" s="51"/>
      <c r="R421" s="51"/>
      <c r="S421" s="51"/>
      <c r="T421" s="51"/>
    </row>
    <row r="422">
      <c r="A422" s="51"/>
      <c r="B422" s="51"/>
      <c r="C422" s="56"/>
      <c r="D422" s="51"/>
      <c r="E422" s="51"/>
      <c r="F422" s="51"/>
      <c r="G422" s="51" t="str">
        <f>IFERROR(__xludf.DUMMYFUNCTION("""COMPUTED_VALUE"""),"#VALUE!")</f>
        <v>#VALUE!</v>
      </c>
      <c r="H422" s="51" t="str">
        <f>IFERROR(__xludf.DUMMYFUNCTION("""COMPUTED_VALUE"""),"")</f>
        <v/>
      </c>
      <c r="I422" s="51" t="str">
        <f>IFERROR(__xludf.DUMMYFUNCTION("""COMPUTED_VALUE"""),"#VALUE!")</f>
        <v>#VALUE!</v>
      </c>
      <c r="J422" s="51" t="str">
        <f>IFERROR(__xludf.DUMMYFUNCTION("""COMPUTED_VALUE"""),"")</f>
        <v/>
      </c>
      <c r="K422" s="51"/>
      <c r="L422" s="51" t="s">
        <v>257</v>
      </c>
      <c r="M422" s="51"/>
      <c r="N422" s="51"/>
      <c r="O422" s="51"/>
      <c r="P422" s="51"/>
      <c r="Q422" s="51"/>
      <c r="R422" s="51"/>
      <c r="S422" s="51"/>
      <c r="T422" s="51"/>
    </row>
    <row r="423">
      <c r="A423" s="51"/>
      <c r="B423" s="51"/>
      <c r="C423" s="56"/>
      <c r="D423" s="51"/>
      <c r="E423" s="51"/>
      <c r="F423" s="51"/>
      <c r="G423" s="51" t="str">
        <f>IFERROR(__xludf.DUMMYFUNCTION("""COMPUTED_VALUE"""),"#VALUE!")</f>
        <v>#VALUE!</v>
      </c>
      <c r="H423" s="51" t="str">
        <f>IFERROR(__xludf.DUMMYFUNCTION("""COMPUTED_VALUE"""),"")</f>
        <v/>
      </c>
      <c r="I423" s="51" t="str">
        <f>IFERROR(__xludf.DUMMYFUNCTION("""COMPUTED_VALUE"""),"#VALUE!")</f>
        <v>#VALUE!</v>
      </c>
      <c r="J423" s="51" t="str">
        <f>IFERROR(__xludf.DUMMYFUNCTION("""COMPUTED_VALUE"""),"")</f>
        <v/>
      </c>
      <c r="K423" s="51"/>
      <c r="L423" s="51" t="s">
        <v>257</v>
      </c>
      <c r="M423" s="51"/>
      <c r="N423" s="51"/>
      <c r="O423" s="51"/>
      <c r="P423" s="51"/>
      <c r="Q423" s="51"/>
      <c r="R423" s="51"/>
      <c r="S423" s="51"/>
      <c r="T423" s="51"/>
    </row>
    <row r="424">
      <c r="A424" s="51"/>
      <c r="B424" s="51"/>
      <c r="C424" s="56"/>
      <c r="D424" s="51"/>
      <c r="E424" s="51"/>
      <c r="F424" s="51"/>
      <c r="G424" s="51" t="str">
        <f>IFERROR(__xludf.DUMMYFUNCTION("""COMPUTED_VALUE"""),"#VALUE!")</f>
        <v>#VALUE!</v>
      </c>
      <c r="H424" s="51" t="str">
        <f>IFERROR(__xludf.DUMMYFUNCTION("""COMPUTED_VALUE"""),"")</f>
        <v/>
      </c>
      <c r="I424" s="51" t="str">
        <f>IFERROR(__xludf.DUMMYFUNCTION("""COMPUTED_VALUE"""),"#VALUE!")</f>
        <v>#VALUE!</v>
      </c>
      <c r="J424" s="51" t="str">
        <f>IFERROR(__xludf.DUMMYFUNCTION("""COMPUTED_VALUE"""),"")</f>
        <v/>
      </c>
      <c r="K424" s="51"/>
      <c r="L424" s="51" t="s">
        <v>257</v>
      </c>
      <c r="M424" s="51"/>
      <c r="N424" s="51"/>
      <c r="O424" s="51"/>
      <c r="P424" s="51"/>
      <c r="Q424" s="51"/>
      <c r="R424" s="51"/>
      <c r="S424" s="51"/>
      <c r="T424" s="51"/>
    </row>
    <row r="425">
      <c r="A425" s="51"/>
      <c r="B425" s="51"/>
      <c r="C425" s="56"/>
      <c r="D425" s="51"/>
      <c r="E425" s="51"/>
      <c r="F425" s="51"/>
      <c r="G425" s="51" t="str">
        <f>IFERROR(__xludf.DUMMYFUNCTION("""COMPUTED_VALUE"""),"#VALUE!")</f>
        <v>#VALUE!</v>
      </c>
      <c r="H425" s="51" t="str">
        <f>IFERROR(__xludf.DUMMYFUNCTION("""COMPUTED_VALUE"""),"")</f>
        <v/>
      </c>
      <c r="I425" s="51" t="str">
        <f>IFERROR(__xludf.DUMMYFUNCTION("""COMPUTED_VALUE"""),"#VALUE!")</f>
        <v>#VALUE!</v>
      </c>
      <c r="J425" s="51" t="str">
        <f>IFERROR(__xludf.DUMMYFUNCTION("""COMPUTED_VALUE"""),"")</f>
        <v/>
      </c>
      <c r="K425" s="51"/>
      <c r="L425" s="51" t="s">
        <v>257</v>
      </c>
      <c r="M425" s="51"/>
      <c r="N425" s="51"/>
      <c r="O425" s="51"/>
      <c r="P425" s="51"/>
      <c r="Q425" s="51"/>
      <c r="R425" s="51"/>
      <c r="S425" s="51"/>
      <c r="T425" s="51"/>
    </row>
    <row r="426">
      <c r="A426" s="51"/>
      <c r="B426" s="51"/>
      <c r="C426" s="56"/>
      <c r="D426" s="51"/>
      <c r="E426" s="51"/>
      <c r="F426" s="51"/>
      <c r="G426" s="51" t="str">
        <f>IFERROR(__xludf.DUMMYFUNCTION("""COMPUTED_VALUE"""),"#VALUE!")</f>
        <v>#VALUE!</v>
      </c>
      <c r="H426" s="51" t="str">
        <f>IFERROR(__xludf.DUMMYFUNCTION("""COMPUTED_VALUE"""),"")</f>
        <v/>
      </c>
      <c r="I426" s="51" t="str">
        <f>IFERROR(__xludf.DUMMYFUNCTION("""COMPUTED_VALUE"""),"#VALUE!")</f>
        <v>#VALUE!</v>
      </c>
      <c r="J426" s="51" t="str">
        <f>IFERROR(__xludf.DUMMYFUNCTION("""COMPUTED_VALUE"""),"")</f>
        <v/>
      </c>
      <c r="K426" s="51"/>
      <c r="L426" s="51" t="s">
        <v>257</v>
      </c>
      <c r="M426" s="51"/>
      <c r="N426" s="51"/>
      <c r="O426" s="51"/>
      <c r="P426" s="51"/>
      <c r="Q426" s="51"/>
      <c r="R426" s="51"/>
      <c r="S426" s="51"/>
      <c r="T426" s="51"/>
    </row>
    <row r="427">
      <c r="A427" s="51"/>
      <c r="B427" s="51"/>
      <c r="C427" s="56"/>
      <c r="D427" s="51"/>
      <c r="E427" s="51"/>
      <c r="F427" s="51"/>
      <c r="G427" s="51" t="str">
        <f>IFERROR(__xludf.DUMMYFUNCTION("""COMPUTED_VALUE"""),"#VALUE!")</f>
        <v>#VALUE!</v>
      </c>
      <c r="H427" s="51" t="str">
        <f>IFERROR(__xludf.DUMMYFUNCTION("""COMPUTED_VALUE"""),"")</f>
        <v/>
      </c>
      <c r="I427" s="51" t="str">
        <f>IFERROR(__xludf.DUMMYFUNCTION("""COMPUTED_VALUE"""),"#VALUE!")</f>
        <v>#VALUE!</v>
      </c>
      <c r="J427" s="51" t="str">
        <f>IFERROR(__xludf.DUMMYFUNCTION("""COMPUTED_VALUE"""),"")</f>
        <v/>
      </c>
      <c r="K427" s="51"/>
      <c r="L427" s="51" t="s">
        <v>257</v>
      </c>
      <c r="M427" s="51"/>
      <c r="N427" s="51"/>
      <c r="O427" s="51"/>
      <c r="P427" s="51"/>
      <c r="Q427" s="51"/>
      <c r="R427" s="51"/>
      <c r="S427" s="51"/>
      <c r="T427" s="51"/>
    </row>
    <row r="428">
      <c r="A428" s="51"/>
      <c r="B428" s="51"/>
      <c r="C428" s="56"/>
      <c r="D428" s="51"/>
      <c r="E428" s="51"/>
      <c r="F428" s="51"/>
      <c r="G428" s="51" t="str">
        <f>IFERROR(__xludf.DUMMYFUNCTION("""COMPUTED_VALUE"""),"#VALUE!")</f>
        <v>#VALUE!</v>
      </c>
      <c r="H428" s="51" t="str">
        <f>IFERROR(__xludf.DUMMYFUNCTION("""COMPUTED_VALUE"""),"")</f>
        <v/>
      </c>
      <c r="I428" s="51" t="str">
        <f>IFERROR(__xludf.DUMMYFUNCTION("""COMPUTED_VALUE"""),"#VALUE!")</f>
        <v>#VALUE!</v>
      </c>
      <c r="J428" s="51" t="str">
        <f>IFERROR(__xludf.DUMMYFUNCTION("""COMPUTED_VALUE"""),"")</f>
        <v/>
      </c>
      <c r="K428" s="51"/>
      <c r="L428" s="51" t="s">
        <v>257</v>
      </c>
      <c r="M428" s="51"/>
      <c r="N428" s="51"/>
      <c r="O428" s="51"/>
      <c r="P428" s="51"/>
      <c r="Q428" s="51"/>
      <c r="R428" s="51"/>
      <c r="S428" s="51"/>
      <c r="T428" s="51"/>
    </row>
    <row r="429">
      <c r="A429" s="51"/>
      <c r="B429" s="51"/>
      <c r="C429" s="56"/>
      <c r="D429" s="51"/>
      <c r="E429" s="51"/>
      <c r="F429" s="51"/>
      <c r="G429" s="51" t="str">
        <f>IFERROR(__xludf.DUMMYFUNCTION("""COMPUTED_VALUE"""),"#VALUE!")</f>
        <v>#VALUE!</v>
      </c>
      <c r="H429" s="51" t="str">
        <f>IFERROR(__xludf.DUMMYFUNCTION("""COMPUTED_VALUE"""),"")</f>
        <v/>
      </c>
      <c r="I429" s="51" t="str">
        <f>IFERROR(__xludf.DUMMYFUNCTION("""COMPUTED_VALUE"""),"#VALUE!")</f>
        <v>#VALUE!</v>
      </c>
      <c r="J429" s="51" t="str">
        <f>IFERROR(__xludf.DUMMYFUNCTION("""COMPUTED_VALUE"""),"")</f>
        <v/>
      </c>
      <c r="K429" s="51"/>
      <c r="L429" s="51" t="s">
        <v>257</v>
      </c>
      <c r="M429" s="51"/>
      <c r="N429" s="51"/>
      <c r="O429" s="51"/>
      <c r="P429" s="51"/>
      <c r="Q429" s="51"/>
      <c r="R429" s="51"/>
      <c r="S429" s="51"/>
      <c r="T429" s="51"/>
    </row>
    <row r="430">
      <c r="A430" s="51"/>
      <c r="B430" s="51"/>
      <c r="C430" s="56"/>
      <c r="D430" s="51"/>
      <c r="E430" s="51"/>
      <c r="F430" s="51"/>
      <c r="G430" s="51" t="str">
        <f>IFERROR(__xludf.DUMMYFUNCTION("""COMPUTED_VALUE"""),"#VALUE!")</f>
        <v>#VALUE!</v>
      </c>
      <c r="H430" s="51" t="str">
        <f>IFERROR(__xludf.DUMMYFUNCTION("""COMPUTED_VALUE"""),"")</f>
        <v/>
      </c>
      <c r="I430" s="51" t="str">
        <f>IFERROR(__xludf.DUMMYFUNCTION("""COMPUTED_VALUE"""),"#VALUE!")</f>
        <v>#VALUE!</v>
      </c>
      <c r="J430" s="51" t="str">
        <f>IFERROR(__xludf.DUMMYFUNCTION("""COMPUTED_VALUE"""),"")</f>
        <v/>
      </c>
      <c r="K430" s="51"/>
      <c r="L430" s="51" t="s">
        <v>257</v>
      </c>
      <c r="M430" s="51"/>
      <c r="N430" s="51"/>
      <c r="O430" s="51"/>
      <c r="P430" s="51"/>
      <c r="Q430" s="51"/>
      <c r="R430" s="51"/>
      <c r="S430" s="51"/>
      <c r="T430" s="51"/>
    </row>
    <row r="431">
      <c r="A431" s="51"/>
      <c r="B431" s="51"/>
      <c r="C431" s="56"/>
      <c r="D431" s="51"/>
      <c r="E431" s="51"/>
      <c r="F431" s="51"/>
      <c r="G431" s="51" t="str">
        <f>IFERROR(__xludf.DUMMYFUNCTION("""COMPUTED_VALUE"""),"#VALUE!")</f>
        <v>#VALUE!</v>
      </c>
      <c r="H431" s="51" t="str">
        <f>IFERROR(__xludf.DUMMYFUNCTION("""COMPUTED_VALUE"""),"")</f>
        <v/>
      </c>
      <c r="I431" s="51" t="str">
        <f>IFERROR(__xludf.DUMMYFUNCTION("""COMPUTED_VALUE"""),"#VALUE!")</f>
        <v>#VALUE!</v>
      </c>
      <c r="J431" s="51" t="str">
        <f>IFERROR(__xludf.DUMMYFUNCTION("""COMPUTED_VALUE"""),"")</f>
        <v/>
      </c>
      <c r="K431" s="51"/>
      <c r="L431" s="51" t="s">
        <v>257</v>
      </c>
      <c r="M431" s="51"/>
      <c r="N431" s="51"/>
      <c r="O431" s="51"/>
      <c r="P431" s="51"/>
      <c r="Q431" s="51"/>
      <c r="R431" s="51"/>
      <c r="S431" s="51"/>
      <c r="T431" s="51"/>
    </row>
    <row r="432">
      <c r="A432" s="51"/>
      <c r="B432" s="51"/>
      <c r="C432" s="56"/>
      <c r="D432" s="51"/>
      <c r="E432" s="51"/>
      <c r="F432" s="51"/>
      <c r="G432" s="51" t="str">
        <f>IFERROR(__xludf.DUMMYFUNCTION("""COMPUTED_VALUE"""),"#VALUE!")</f>
        <v>#VALUE!</v>
      </c>
      <c r="H432" s="51" t="str">
        <f>IFERROR(__xludf.DUMMYFUNCTION("""COMPUTED_VALUE"""),"")</f>
        <v/>
      </c>
      <c r="I432" s="51" t="str">
        <f>IFERROR(__xludf.DUMMYFUNCTION("""COMPUTED_VALUE"""),"#VALUE!")</f>
        <v>#VALUE!</v>
      </c>
      <c r="J432" s="51" t="str">
        <f>IFERROR(__xludf.DUMMYFUNCTION("""COMPUTED_VALUE"""),"")</f>
        <v/>
      </c>
      <c r="K432" s="51"/>
      <c r="L432" s="51" t="s">
        <v>257</v>
      </c>
      <c r="M432" s="51"/>
      <c r="N432" s="51"/>
      <c r="O432" s="51"/>
      <c r="P432" s="51"/>
      <c r="Q432" s="51"/>
      <c r="R432" s="51"/>
      <c r="S432" s="51"/>
      <c r="T432" s="51"/>
    </row>
    <row r="433">
      <c r="A433" s="51"/>
      <c r="B433" s="51"/>
      <c r="C433" s="56"/>
      <c r="D433" s="51"/>
      <c r="E433" s="51"/>
      <c r="F433" s="51"/>
      <c r="G433" s="51" t="str">
        <f>IFERROR(__xludf.DUMMYFUNCTION("""COMPUTED_VALUE"""),"#VALUE!")</f>
        <v>#VALUE!</v>
      </c>
      <c r="H433" s="51" t="str">
        <f>IFERROR(__xludf.DUMMYFUNCTION("""COMPUTED_VALUE"""),"")</f>
        <v/>
      </c>
      <c r="I433" s="51" t="str">
        <f>IFERROR(__xludf.DUMMYFUNCTION("""COMPUTED_VALUE"""),"#VALUE!")</f>
        <v>#VALUE!</v>
      </c>
      <c r="J433" s="51" t="str">
        <f>IFERROR(__xludf.DUMMYFUNCTION("""COMPUTED_VALUE"""),"")</f>
        <v/>
      </c>
      <c r="K433" s="51"/>
      <c r="L433" s="51" t="s">
        <v>257</v>
      </c>
      <c r="M433" s="51"/>
      <c r="N433" s="51"/>
      <c r="O433" s="51"/>
      <c r="P433" s="51"/>
      <c r="Q433" s="51"/>
      <c r="R433" s="51"/>
      <c r="S433" s="51"/>
      <c r="T433" s="51"/>
    </row>
    <row r="434">
      <c r="A434" s="51"/>
      <c r="B434" s="51"/>
      <c r="C434" s="56"/>
      <c r="D434" s="51"/>
      <c r="E434" s="51"/>
      <c r="F434" s="51"/>
      <c r="G434" s="51" t="str">
        <f>IFERROR(__xludf.DUMMYFUNCTION("""COMPUTED_VALUE"""),"#VALUE!")</f>
        <v>#VALUE!</v>
      </c>
      <c r="H434" s="51" t="str">
        <f>IFERROR(__xludf.DUMMYFUNCTION("""COMPUTED_VALUE"""),"")</f>
        <v/>
      </c>
      <c r="I434" s="51" t="str">
        <f>IFERROR(__xludf.DUMMYFUNCTION("""COMPUTED_VALUE"""),"#VALUE!")</f>
        <v>#VALUE!</v>
      </c>
      <c r="J434" s="51" t="str">
        <f>IFERROR(__xludf.DUMMYFUNCTION("""COMPUTED_VALUE"""),"")</f>
        <v/>
      </c>
      <c r="K434" s="51"/>
      <c r="L434" s="51" t="s">
        <v>257</v>
      </c>
      <c r="M434" s="51"/>
      <c r="N434" s="51"/>
      <c r="O434" s="51"/>
      <c r="P434" s="51"/>
      <c r="Q434" s="51"/>
      <c r="R434" s="51"/>
      <c r="S434" s="51"/>
      <c r="T434" s="51"/>
    </row>
    <row r="435">
      <c r="A435" s="51"/>
      <c r="B435" s="51"/>
      <c r="C435" s="56"/>
      <c r="D435" s="51"/>
      <c r="E435" s="51"/>
      <c r="F435" s="51"/>
      <c r="G435" s="51" t="str">
        <f>IFERROR(__xludf.DUMMYFUNCTION("""COMPUTED_VALUE"""),"#VALUE!")</f>
        <v>#VALUE!</v>
      </c>
      <c r="H435" s="51" t="str">
        <f>IFERROR(__xludf.DUMMYFUNCTION("""COMPUTED_VALUE"""),"")</f>
        <v/>
      </c>
      <c r="I435" s="51" t="str">
        <f>IFERROR(__xludf.DUMMYFUNCTION("""COMPUTED_VALUE"""),"#VALUE!")</f>
        <v>#VALUE!</v>
      </c>
      <c r="J435" s="51" t="str">
        <f>IFERROR(__xludf.DUMMYFUNCTION("""COMPUTED_VALUE"""),"")</f>
        <v/>
      </c>
      <c r="K435" s="51"/>
      <c r="L435" s="51" t="s">
        <v>257</v>
      </c>
      <c r="M435" s="51"/>
      <c r="N435" s="51"/>
      <c r="O435" s="51"/>
      <c r="P435" s="51"/>
      <c r="Q435" s="51"/>
      <c r="R435" s="51"/>
      <c r="S435" s="51"/>
      <c r="T435" s="51"/>
    </row>
    <row r="436">
      <c r="A436" s="51"/>
      <c r="B436" s="51"/>
      <c r="C436" s="56"/>
      <c r="D436" s="51"/>
      <c r="E436" s="51"/>
      <c r="F436" s="51"/>
      <c r="G436" s="51" t="str">
        <f>IFERROR(__xludf.DUMMYFUNCTION("""COMPUTED_VALUE"""),"#VALUE!")</f>
        <v>#VALUE!</v>
      </c>
      <c r="H436" s="51" t="str">
        <f>IFERROR(__xludf.DUMMYFUNCTION("""COMPUTED_VALUE"""),"")</f>
        <v/>
      </c>
      <c r="I436" s="51" t="str">
        <f>IFERROR(__xludf.DUMMYFUNCTION("""COMPUTED_VALUE"""),"#VALUE!")</f>
        <v>#VALUE!</v>
      </c>
      <c r="J436" s="51" t="str">
        <f>IFERROR(__xludf.DUMMYFUNCTION("""COMPUTED_VALUE"""),"")</f>
        <v/>
      </c>
      <c r="K436" s="51"/>
      <c r="L436" s="51" t="s">
        <v>257</v>
      </c>
      <c r="M436" s="51"/>
      <c r="N436" s="51"/>
      <c r="O436" s="51"/>
      <c r="P436" s="51"/>
      <c r="Q436" s="51"/>
      <c r="R436" s="51"/>
      <c r="S436" s="51"/>
      <c r="T436" s="51"/>
    </row>
    <row r="437">
      <c r="A437" s="51"/>
      <c r="B437" s="51"/>
      <c r="C437" s="56"/>
      <c r="D437" s="51"/>
      <c r="E437" s="51"/>
      <c r="F437" s="51"/>
      <c r="G437" s="51" t="str">
        <f>IFERROR(__xludf.DUMMYFUNCTION("""COMPUTED_VALUE"""),"#VALUE!")</f>
        <v>#VALUE!</v>
      </c>
      <c r="H437" s="51" t="str">
        <f>IFERROR(__xludf.DUMMYFUNCTION("""COMPUTED_VALUE"""),"")</f>
        <v/>
      </c>
      <c r="I437" s="51" t="str">
        <f>IFERROR(__xludf.DUMMYFUNCTION("""COMPUTED_VALUE"""),"#VALUE!")</f>
        <v>#VALUE!</v>
      </c>
      <c r="J437" s="51" t="str">
        <f>IFERROR(__xludf.DUMMYFUNCTION("""COMPUTED_VALUE"""),"")</f>
        <v/>
      </c>
      <c r="K437" s="51"/>
      <c r="L437" s="51" t="s">
        <v>257</v>
      </c>
      <c r="M437" s="51"/>
      <c r="N437" s="51"/>
      <c r="O437" s="51"/>
      <c r="P437" s="51"/>
      <c r="Q437" s="51"/>
      <c r="R437" s="51"/>
      <c r="S437" s="51"/>
      <c r="T437" s="51"/>
    </row>
    <row r="438">
      <c r="A438" s="51"/>
      <c r="B438" s="51"/>
      <c r="C438" s="56"/>
      <c r="D438" s="51"/>
      <c r="E438" s="51"/>
      <c r="F438" s="51"/>
      <c r="G438" s="51" t="str">
        <f>IFERROR(__xludf.DUMMYFUNCTION("""COMPUTED_VALUE"""),"#VALUE!")</f>
        <v>#VALUE!</v>
      </c>
      <c r="H438" s="51" t="str">
        <f>IFERROR(__xludf.DUMMYFUNCTION("""COMPUTED_VALUE"""),"")</f>
        <v/>
      </c>
      <c r="I438" s="51" t="str">
        <f>IFERROR(__xludf.DUMMYFUNCTION("""COMPUTED_VALUE"""),"#VALUE!")</f>
        <v>#VALUE!</v>
      </c>
      <c r="J438" s="51" t="str">
        <f>IFERROR(__xludf.DUMMYFUNCTION("""COMPUTED_VALUE"""),"")</f>
        <v/>
      </c>
      <c r="K438" s="51"/>
      <c r="L438" s="51" t="s">
        <v>257</v>
      </c>
      <c r="M438" s="51"/>
      <c r="N438" s="51"/>
      <c r="O438" s="51"/>
      <c r="P438" s="51"/>
      <c r="Q438" s="51"/>
      <c r="R438" s="51"/>
      <c r="S438" s="51"/>
      <c r="T438" s="51"/>
    </row>
    <row r="439">
      <c r="A439" s="51"/>
      <c r="B439" s="51"/>
      <c r="C439" s="56"/>
      <c r="D439" s="51"/>
      <c r="E439" s="51"/>
      <c r="F439" s="51"/>
      <c r="G439" s="51" t="str">
        <f>IFERROR(__xludf.DUMMYFUNCTION("""COMPUTED_VALUE"""),"#VALUE!")</f>
        <v>#VALUE!</v>
      </c>
      <c r="H439" s="51" t="str">
        <f>IFERROR(__xludf.DUMMYFUNCTION("""COMPUTED_VALUE"""),"")</f>
        <v/>
      </c>
      <c r="I439" s="51" t="str">
        <f>IFERROR(__xludf.DUMMYFUNCTION("""COMPUTED_VALUE"""),"#VALUE!")</f>
        <v>#VALUE!</v>
      </c>
      <c r="J439" s="51" t="str">
        <f>IFERROR(__xludf.DUMMYFUNCTION("""COMPUTED_VALUE"""),"")</f>
        <v/>
      </c>
      <c r="K439" s="51"/>
      <c r="L439" s="51" t="s">
        <v>257</v>
      </c>
      <c r="M439" s="51"/>
      <c r="N439" s="51"/>
      <c r="O439" s="51"/>
      <c r="P439" s="51"/>
      <c r="Q439" s="51"/>
      <c r="R439" s="51"/>
      <c r="S439" s="51"/>
      <c r="T439" s="51"/>
    </row>
    <row r="440">
      <c r="A440" s="51"/>
      <c r="B440" s="51"/>
      <c r="C440" s="56"/>
      <c r="D440" s="51"/>
      <c r="E440" s="51"/>
      <c r="F440" s="51"/>
      <c r="G440" s="51" t="str">
        <f>IFERROR(__xludf.DUMMYFUNCTION("""COMPUTED_VALUE"""),"#VALUE!")</f>
        <v>#VALUE!</v>
      </c>
      <c r="H440" s="51" t="str">
        <f>IFERROR(__xludf.DUMMYFUNCTION("""COMPUTED_VALUE"""),"")</f>
        <v/>
      </c>
      <c r="I440" s="51" t="str">
        <f>IFERROR(__xludf.DUMMYFUNCTION("""COMPUTED_VALUE"""),"#VALUE!")</f>
        <v>#VALUE!</v>
      </c>
      <c r="J440" s="51" t="str">
        <f>IFERROR(__xludf.DUMMYFUNCTION("""COMPUTED_VALUE"""),"")</f>
        <v/>
      </c>
      <c r="K440" s="51"/>
      <c r="L440" s="51" t="s">
        <v>257</v>
      </c>
      <c r="M440" s="51"/>
      <c r="N440" s="51"/>
      <c r="O440" s="51"/>
      <c r="P440" s="51"/>
      <c r="Q440" s="51"/>
      <c r="R440" s="51"/>
      <c r="S440" s="51"/>
      <c r="T440" s="51"/>
    </row>
    <row r="441">
      <c r="A441" s="51"/>
      <c r="B441" s="51"/>
      <c r="C441" s="56"/>
      <c r="D441" s="51"/>
      <c r="E441" s="51"/>
      <c r="F441" s="51"/>
      <c r="G441" s="51" t="str">
        <f>IFERROR(__xludf.DUMMYFUNCTION("""COMPUTED_VALUE"""),"#VALUE!")</f>
        <v>#VALUE!</v>
      </c>
      <c r="H441" s="51" t="str">
        <f>IFERROR(__xludf.DUMMYFUNCTION("""COMPUTED_VALUE"""),"")</f>
        <v/>
      </c>
      <c r="I441" s="51" t="str">
        <f>IFERROR(__xludf.DUMMYFUNCTION("""COMPUTED_VALUE"""),"#VALUE!")</f>
        <v>#VALUE!</v>
      </c>
      <c r="J441" s="51" t="str">
        <f>IFERROR(__xludf.DUMMYFUNCTION("""COMPUTED_VALUE"""),"")</f>
        <v/>
      </c>
      <c r="K441" s="51"/>
      <c r="L441" s="51" t="s">
        <v>257</v>
      </c>
      <c r="M441" s="51"/>
      <c r="N441" s="51"/>
      <c r="O441" s="51"/>
      <c r="P441" s="51"/>
      <c r="Q441" s="51"/>
      <c r="R441" s="51"/>
      <c r="S441" s="51"/>
      <c r="T441" s="51"/>
    </row>
    <row r="442">
      <c r="A442" s="51"/>
      <c r="B442" s="51"/>
      <c r="C442" s="56"/>
      <c r="D442" s="51"/>
      <c r="E442" s="51"/>
      <c r="F442" s="51"/>
      <c r="G442" s="51" t="str">
        <f>IFERROR(__xludf.DUMMYFUNCTION("""COMPUTED_VALUE"""),"#VALUE!")</f>
        <v>#VALUE!</v>
      </c>
      <c r="H442" s="51" t="str">
        <f>IFERROR(__xludf.DUMMYFUNCTION("""COMPUTED_VALUE"""),"")</f>
        <v/>
      </c>
      <c r="I442" s="51" t="str">
        <f>IFERROR(__xludf.DUMMYFUNCTION("""COMPUTED_VALUE"""),"#VALUE!")</f>
        <v>#VALUE!</v>
      </c>
      <c r="J442" s="51" t="str">
        <f>IFERROR(__xludf.DUMMYFUNCTION("""COMPUTED_VALUE"""),"")</f>
        <v/>
      </c>
      <c r="K442" s="51"/>
      <c r="L442" s="51" t="s">
        <v>257</v>
      </c>
      <c r="M442" s="51"/>
      <c r="N442" s="51"/>
      <c r="O442" s="51"/>
      <c r="P442" s="51"/>
      <c r="Q442" s="51"/>
      <c r="R442" s="51"/>
      <c r="S442" s="51"/>
      <c r="T442" s="51"/>
    </row>
    <row r="443">
      <c r="A443" s="51"/>
      <c r="B443" s="51"/>
      <c r="C443" s="56"/>
      <c r="D443" s="51"/>
      <c r="E443" s="51"/>
      <c r="F443" s="51"/>
      <c r="G443" s="51" t="str">
        <f>IFERROR(__xludf.DUMMYFUNCTION("""COMPUTED_VALUE"""),"#VALUE!")</f>
        <v>#VALUE!</v>
      </c>
      <c r="H443" s="51" t="str">
        <f>IFERROR(__xludf.DUMMYFUNCTION("""COMPUTED_VALUE"""),"")</f>
        <v/>
      </c>
      <c r="I443" s="51" t="str">
        <f>IFERROR(__xludf.DUMMYFUNCTION("""COMPUTED_VALUE"""),"#VALUE!")</f>
        <v>#VALUE!</v>
      </c>
      <c r="J443" s="51" t="str">
        <f>IFERROR(__xludf.DUMMYFUNCTION("""COMPUTED_VALUE"""),"")</f>
        <v/>
      </c>
      <c r="K443" s="51"/>
      <c r="L443" s="51" t="s">
        <v>257</v>
      </c>
      <c r="M443" s="51"/>
      <c r="N443" s="51"/>
      <c r="O443" s="51"/>
      <c r="P443" s="51"/>
      <c r="Q443" s="51"/>
      <c r="R443" s="51"/>
      <c r="S443" s="51"/>
      <c r="T443" s="51"/>
    </row>
    <row r="444">
      <c r="A444" s="51"/>
      <c r="B444" s="51"/>
      <c r="C444" s="56"/>
      <c r="D444" s="51"/>
      <c r="E444" s="51"/>
      <c r="F444" s="51"/>
      <c r="G444" s="51" t="str">
        <f>IFERROR(__xludf.DUMMYFUNCTION("""COMPUTED_VALUE"""),"#VALUE!")</f>
        <v>#VALUE!</v>
      </c>
      <c r="H444" s="51" t="str">
        <f>IFERROR(__xludf.DUMMYFUNCTION("""COMPUTED_VALUE"""),"")</f>
        <v/>
      </c>
      <c r="I444" s="51" t="str">
        <f>IFERROR(__xludf.DUMMYFUNCTION("""COMPUTED_VALUE"""),"#VALUE!")</f>
        <v>#VALUE!</v>
      </c>
      <c r="J444" s="51" t="str">
        <f>IFERROR(__xludf.DUMMYFUNCTION("""COMPUTED_VALUE"""),"")</f>
        <v/>
      </c>
      <c r="K444" s="51"/>
      <c r="L444" s="51" t="s">
        <v>257</v>
      </c>
      <c r="M444" s="51"/>
      <c r="N444" s="51"/>
      <c r="O444" s="51"/>
      <c r="P444" s="51"/>
      <c r="Q444" s="51"/>
      <c r="R444" s="51"/>
      <c r="S444" s="51"/>
      <c r="T444" s="51"/>
    </row>
    <row r="445">
      <c r="A445" s="51"/>
      <c r="B445" s="51"/>
      <c r="C445" s="56"/>
      <c r="D445" s="51"/>
      <c r="E445" s="51"/>
      <c r="F445" s="51"/>
      <c r="G445" s="51" t="str">
        <f>IFERROR(__xludf.DUMMYFUNCTION("""COMPUTED_VALUE"""),"#VALUE!")</f>
        <v>#VALUE!</v>
      </c>
      <c r="H445" s="51" t="str">
        <f>IFERROR(__xludf.DUMMYFUNCTION("""COMPUTED_VALUE"""),"")</f>
        <v/>
      </c>
      <c r="I445" s="51" t="str">
        <f>IFERROR(__xludf.DUMMYFUNCTION("""COMPUTED_VALUE"""),"#VALUE!")</f>
        <v>#VALUE!</v>
      </c>
      <c r="J445" s="51" t="str">
        <f>IFERROR(__xludf.DUMMYFUNCTION("""COMPUTED_VALUE"""),"")</f>
        <v/>
      </c>
      <c r="K445" s="51"/>
      <c r="L445" s="51" t="s">
        <v>257</v>
      </c>
      <c r="M445" s="51"/>
      <c r="N445" s="51"/>
      <c r="O445" s="51"/>
      <c r="P445" s="51"/>
      <c r="Q445" s="51"/>
      <c r="R445" s="51"/>
      <c r="S445" s="51"/>
      <c r="T445" s="51"/>
    </row>
    <row r="446">
      <c r="A446" s="51"/>
      <c r="B446" s="51"/>
      <c r="C446" s="56"/>
      <c r="D446" s="51"/>
      <c r="E446" s="51"/>
      <c r="F446" s="51"/>
      <c r="G446" s="51" t="str">
        <f>IFERROR(__xludf.DUMMYFUNCTION("""COMPUTED_VALUE"""),"#VALUE!")</f>
        <v>#VALUE!</v>
      </c>
      <c r="H446" s="51" t="str">
        <f>IFERROR(__xludf.DUMMYFUNCTION("""COMPUTED_VALUE"""),"")</f>
        <v/>
      </c>
      <c r="I446" s="51" t="str">
        <f>IFERROR(__xludf.DUMMYFUNCTION("""COMPUTED_VALUE"""),"#VALUE!")</f>
        <v>#VALUE!</v>
      </c>
      <c r="J446" s="51" t="str">
        <f>IFERROR(__xludf.DUMMYFUNCTION("""COMPUTED_VALUE"""),"")</f>
        <v/>
      </c>
      <c r="K446" s="51"/>
      <c r="L446" s="51" t="s">
        <v>257</v>
      </c>
      <c r="M446" s="51"/>
      <c r="N446" s="51"/>
      <c r="O446" s="51"/>
      <c r="P446" s="51"/>
      <c r="Q446" s="51"/>
      <c r="R446" s="51"/>
      <c r="S446" s="51"/>
      <c r="T446" s="51"/>
    </row>
    <row r="447">
      <c r="A447" s="51"/>
      <c r="B447" s="51"/>
      <c r="C447" s="56"/>
      <c r="D447" s="51"/>
      <c r="E447" s="51"/>
      <c r="F447" s="51"/>
      <c r="G447" s="51" t="str">
        <f>IFERROR(__xludf.DUMMYFUNCTION("""COMPUTED_VALUE"""),"#VALUE!")</f>
        <v>#VALUE!</v>
      </c>
      <c r="H447" s="51" t="str">
        <f>IFERROR(__xludf.DUMMYFUNCTION("""COMPUTED_VALUE"""),"")</f>
        <v/>
      </c>
      <c r="I447" s="51" t="str">
        <f>IFERROR(__xludf.DUMMYFUNCTION("""COMPUTED_VALUE"""),"#VALUE!")</f>
        <v>#VALUE!</v>
      </c>
      <c r="J447" s="51" t="str">
        <f>IFERROR(__xludf.DUMMYFUNCTION("""COMPUTED_VALUE"""),"")</f>
        <v/>
      </c>
      <c r="K447" s="51"/>
      <c r="L447" s="51" t="s">
        <v>257</v>
      </c>
      <c r="M447" s="51"/>
      <c r="N447" s="51"/>
      <c r="O447" s="51"/>
      <c r="P447" s="51"/>
      <c r="Q447" s="51"/>
      <c r="R447" s="51"/>
      <c r="S447" s="51"/>
      <c r="T447" s="51"/>
    </row>
    <row r="448">
      <c r="A448" s="51"/>
      <c r="B448" s="51"/>
      <c r="C448" s="56"/>
      <c r="D448" s="51"/>
      <c r="E448" s="51"/>
      <c r="F448" s="51"/>
      <c r="G448" s="51" t="str">
        <f>IFERROR(__xludf.DUMMYFUNCTION("""COMPUTED_VALUE"""),"#VALUE!")</f>
        <v>#VALUE!</v>
      </c>
      <c r="H448" s="51" t="str">
        <f>IFERROR(__xludf.DUMMYFUNCTION("""COMPUTED_VALUE"""),"")</f>
        <v/>
      </c>
      <c r="I448" s="51" t="str">
        <f>IFERROR(__xludf.DUMMYFUNCTION("""COMPUTED_VALUE"""),"#VALUE!")</f>
        <v>#VALUE!</v>
      </c>
      <c r="J448" s="51" t="str">
        <f>IFERROR(__xludf.DUMMYFUNCTION("""COMPUTED_VALUE"""),"")</f>
        <v/>
      </c>
      <c r="K448" s="51"/>
      <c r="L448" s="51" t="s">
        <v>257</v>
      </c>
      <c r="M448" s="51"/>
      <c r="N448" s="51"/>
      <c r="O448" s="51"/>
      <c r="P448" s="51"/>
      <c r="Q448" s="51"/>
      <c r="R448" s="51"/>
      <c r="S448" s="51"/>
      <c r="T448" s="51"/>
    </row>
    <row r="449">
      <c r="A449" s="51"/>
      <c r="B449" s="51"/>
      <c r="C449" s="56"/>
      <c r="D449" s="51"/>
      <c r="E449" s="51"/>
      <c r="F449" s="51"/>
      <c r="G449" s="51" t="str">
        <f>IFERROR(__xludf.DUMMYFUNCTION("""COMPUTED_VALUE"""),"#VALUE!")</f>
        <v>#VALUE!</v>
      </c>
      <c r="H449" s="51" t="str">
        <f>IFERROR(__xludf.DUMMYFUNCTION("""COMPUTED_VALUE"""),"")</f>
        <v/>
      </c>
      <c r="I449" s="51" t="str">
        <f>IFERROR(__xludf.DUMMYFUNCTION("""COMPUTED_VALUE"""),"#VALUE!")</f>
        <v>#VALUE!</v>
      </c>
      <c r="J449" s="51" t="str">
        <f>IFERROR(__xludf.DUMMYFUNCTION("""COMPUTED_VALUE"""),"")</f>
        <v/>
      </c>
      <c r="K449" s="51"/>
      <c r="L449" s="51" t="s">
        <v>257</v>
      </c>
      <c r="M449" s="51"/>
      <c r="N449" s="51"/>
      <c r="O449" s="51"/>
      <c r="P449" s="51"/>
      <c r="Q449" s="51"/>
      <c r="R449" s="51"/>
      <c r="S449" s="51"/>
      <c r="T449" s="51"/>
    </row>
    <row r="450">
      <c r="A450" s="51"/>
      <c r="B450" s="51"/>
      <c r="C450" s="56"/>
      <c r="D450" s="51"/>
      <c r="E450" s="51"/>
      <c r="F450" s="51"/>
      <c r="G450" s="51" t="str">
        <f>IFERROR(__xludf.DUMMYFUNCTION("""COMPUTED_VALUE"""),"#VALUE!")</f>
        <v>#VALUE!</v>
      </c>
      <c r="H450" s="51" t="str">
        <f>IFERROR(__xludf.DUMMYFUNCTION("""COMPUTED_VALUE"""),"")</f>
        <v/>
      </c>
      <c r="I450" s="51" t="str">
        <f>IFERROR(__xludf.DUMMYFUNCTION("""COMPUTED_VALUE"""),"#VALUE!")</f>
        <v>#VALUE!</v>
      </c>
      <c r="J450" s="51" t="str">
        <f>IFERROR(__xludf.DUMMYFUNCTION("""COMPUTED_VALUE"""),"")</f>
        <v/>
      </c>
      <c r="K450" s="51"/>
      <c r="L450" s="51" t="s">
        <v>257</v>
      </c>
      <c r="M450" s="51"/>
      <c r="N450" s="51"/>
      <c r="O450" s="51"/>
      <c r="P450" s="51"/>
      <c r="Q450" s="51"/>
      <c r="R450" s="51"/>
      <c r="S450" s="51"/>
      <c r="T450" s="51"/>
    </row>
    <row r="451">
      <c r="A451" s="51"/>
      <c r="B451" s="51"/>
      <c r="C451" s="56"/>
      <c r="D451" s="51"/>
      <c r="E451" s="51"/>
      <c r="F451" s="51"/>
      <c r="G451" s="51" t="str">
        <f>IFERROR(__xludf.DUMMYFUNCTION("""COMPUTED_VALUE"""),"#VALUE!")</f>
        <v>#VALUE!</v>
      </c>
      <c r="H451" s="51" t="str">
        <f>IFERROR(__xludf.DUMMYFUNCTION("""COMPUTED_VALUE"""),"")</f>
        <v/>
      </c>
      <c r="I451" s="51" t="str">
        <f>IFERROR(__xludf.DUMMYFUNCTION("""COMPUTED_VALUE"""),"#VALUE!")</f>
        <v>#VALUE!</v>
      </c>
      <c r="J451" s="51" t="str">
        <f>IFERROR(__xludf.DUMMYFUNCTION("""COMPUTED_VALUE"""),"")</f>
        <v/>
      </c>
      <c r="K451" s="51"/>
      <c r="L451" s="51" t="s">
        <v>257</v>
      </c>
      <c r="M451" s="51"/>
      <c r="N451" s="51"/>
      <c r="O451" s="51"/>
      <c r="P451" s="51"/>
      <c r="Q451" s="51"/>
      <c r="R451" s="51"/>
      <c r="S451" s="51"/>
      <c r="T451" s="51"/>
    </row>
    <row r="452">
      <c r="A452" s="51"/>
      <c r="B452" s="51"/>
      <c r="C452" s="56"/>
      <c r="D452" s="51"/>
      <c r="E452" s="51"/>
      <c r="F452" s="51"/>
      <c r="G452" s="51" t="str">
        <f>IFERROR(__xludf.DUMMYFUNCTION("""COMPUTED_VALUE"""),"#VALUE!")</f>
        <v>#VALUE!</v>
      </c>
      <c r="H452" s="51" t="str">
        <f>IFERROR(__xludf.DUMMYFUNCTION("""COMPUTED_VALUE"""),"")</f>
        <v/>
      </c>
      <c r="I452" s="51" t="str">
        <f>IFERROR(__xludf.DUMMYFUNCTION("""COMPUTED_VALUE"""),"#VALUE!")</f>
        <v>#VALUE!</v>
      </c>
      <c r="J452" s="51" t="str">
        <f>IFERROR(__xludf.DUMMYFUNCTION("""COMPUTED_VALUE"""),"")</f>
        <v/>
      </c>
      <c r="K452" s="51"/>
      <c r="L452" s="51" t="s">
        <v>257</v>
      </c>
      <c r="M452" s="51"/>
      <c r="N452" s="51"/>
      <c r="O452" s="51"/>
      <c r="P452" s="51"/>
      <c r="Q452" s="51"/>
      <c r="R452" s="51"/>
      <c r="S452" s="51"/>
      <c r="T452" s="51"/>
    </row>
    <row r="453">
      <c r="A453" s="51"/>
      <c r="B453" s="51"/>
      <c r="C453" s="56"/>
      <c r="D453" s="51"/>
      <c r="E453" s="51"/>
      <c r="F453" s="51"/>
      <c r="G453" s="51" t="str">
        <f>IFERROR(__xludf.DUMMYFUNCTION("""COMPUTED_VALUE"""),"#VALUE!")</f>
        <v>#VALUE!</v>
      </c>
      <c r="H453" s="51" t="str">
        <f>IFERROR(__xludf.DUMMYFUNCTION("""COMPUTED_VALUE"""),"")</f>
        <v/>
      </c>
      <c r="I453" s="51" t="str">
        <f>IFERROR(__xludf.DUMMYFUNCTION("""COMPUTED_VALUE"""),"#VALUE!")</f>
        <v>#VALUE!</v>
      </c>
      <c r="J453" s="51" t="str">
        <f>IFERROR(__xludf.DUMMYFUNCTION("""COMPUTED_VALUE"""),"")</f>
        <v/>
      </c>
      <c r="K453" s="51"/>
      <c r="L453" s="51" t="s">
        <v>257</v>
      </c>
      <c r="M453" s="51"/>
      <c r="N453" s="51"/>
      <c r="O453" s="51"/>
      <c r="P453" s="51"/>
      <c r="Q453" s="51"/>
      <c r="R453" s="51"/>
      <c r="S453" s="51"/>
      <c r="T453" s="51"/>
    </row>
    <row r="454">
      <c r="A454" s="51"/>
      <c r="B454" s="51"/>
      <c r="C454" s="56"/>
      <c r="D454" s="51"/>
      <c r="E454" s="51"/>
      <c r="F454" s="51"/>
      <c r="G454" s="51" t="str">
        <f>IFERROR(__xludf.DUMMYFUNCTION("""COMPUTED_VALUE"""),"#VALUE!")</f>
        <v>#VALUE!</v>
      </c>
      <c r="H454" s="51" t="str">
        <f>IFERROR(__xludf.DUMMYFUNCTION("""COMPUTED_VALUE"""),"")</f>
        <v/>
      </c>
      <c r="I454" s="51" t="str">
        <f>IFERROR(__xludf.DUMMYFUNCTION("""COMPUTED_VALUE"""),"#VALUE!")</f>
        <v>#VALUE!</v>
      </c>
      <c r="J454" s="51" t="str">
        <f>IFERROR(__xludf.DUMMYFUNCTION("""COMPUTED_VALUE"""),"")</f>
        <v/>
      </c>
      <c r="K454" s="51"/>
      <c r="L454" s="51" t="s">
        <v>257</v>
      </c>
      <c r="M454" s="51"/>
      <c r="N454" s="51"/>
      <c r="O454" s="51"/>
      <c r="P454" s="51"/>
      <c r="Q454" s="51"/>
      <c r="R454" s="51"/>
      <c r="S454" s="51"/>
      <c r="T454" s="51"/>
    </row>
    <row r="455">
      <c r="A455" s="51"/>
      <c r="B455" s="51"/>
      <c r="C455" s="56"/>
      <c r="D455" s="51"/>
      <c r="E455" s="51"/>
      <c r="F455" s="51"/>
      <c r="G455" s="51" t="str">
        <f>IFERROR(__xludf.DUMMYFUNCTION("""COMPUTED_VALUE"""),"#VALUE!")</f>
        <v>#VALUE!</v>
      </c>
      <c r="H455" s="51" t="str">
        <f>IFERROR(__xludf.DUMMYFUNCTION("""COMPUTED_VALUE"""),"")</f>
        <v/>
      </c>
      <c r="I455" s="51" t="str">
        <f>IFERROR(__xludf.DUMMYFUNCTION("""COMPUTED_VALUE"""),"#VALUE!")</f>
        <v>#VALUE!</v>
      </c>
      <c r="J455" s="51" t="str">
        <f>IFERROR(__xludf.DUMMYFUNCTION("""COMPUTED_VALUE"""),"")</f>
        <v/>
      </c>
      <c r="K455" s="51"/>
      <c r="L455" s="51" t="s">
        <v>257</v>
      </c>
      <c r="M455" s="51"/>
      <c r="N455" s="51"/>
      <c r="O455" s="51"/>
      <c r="P455" s="51"/>
      <c r="Q455" s="51"/>
      <c r="R455" s="51"/>
      <c r="S455" s="51"/>
      <c r="T455" s="51"/>
    </row>
    <row r="456">
      <c r="A456" s="51"/>
      <c r="B456" s="51"/>
      <c r="C456" s="56"/>
      <c r="D456" s="51"/>
      <c r="E456" s="51"/>
      <c r="F456" s="51"/>
      <c r="G456" s="51" t="str">
        <f>IFERROR(__xludf.DUMMYFUNCTION("""COMPUTED_VALUE"""),"#VALUE!")</f>
        <v>#VALUE!</v>
      </c>
      <c r="H456" s="51" t="str">
        <f>IFERROR(__xludf.DUMMYFUNCTION("""COMPUTED_VALUE"""),"")</f>
        <v/>
      </c>
      <c r="I456" s="51" t="str">
        <f>IFERROR(__xludf.DUMMYFUNCTION("""COMPUTED_VALUE"""),"#VALUE!")</f>
        <v>#VALUE!</v>
      </c>
      <c r="J456" s="51" t="str">
        <f>IFERROR(__xludf.DUMMYFUNCTION("""COMPUTED_VALUE"""),"")</f>
        <v/>
      </c>
      <c r="K456" s="51"/>
      <c r="L456" s="51" t="s">
        <v>257</v>
      </c>
      <c r="M456" s="51"/>
      <c r="N456" s="51"/>
      <c r="O456" s="51"/>
      <c r="P456" s="51"/>
      <c r="Q456" s="51"/>
      <c r="R456" s="51"/>
      <c r="S456" s="51"/>
      <c r="T456" s="51"/>
    </row>
    <row r="457">
      <c r="A457" s="51"/>
      <c r="B457" s="51"/>
      <c r="C457" s="56"/>
      <c r="D457" s="51"/>
      <c r="E457" s="51"/>
      <c r="F457" s="51"/>
      <c r="G457" s="51" t="str">
        <f>IFERROR(__xludf.DUMMYFUNCTION("""COMPUTED_VALUE"""),"#VALUE!")</f>
        <v>#VALUE!</v>
      </c>
      <c r="H457" s="51" t="str">
        <f>IFERROR(__xludf.DUMMYFUNCTION("""COMPUTED_VALUE"""),"")</f>
        <v/>
      </c>
      <c r="I457" s="51" t="str">
        <f>IFERROR(__xludf.DUMMYFUNCTION("""COMPUTED_VALUE"""),"#VALUE!")</f>
        <v>#VALUE!</v>
      </c>
      <c r="J457" s="51" t="str">
        <f>IFERROR(__xludf.DUMMYFUNCTION("""COMPUTED_VALUE"""),"")</f>
        <v/>
      </c>
      <c r="K457" s="51"/>
      <c r="L457" s="51" t="s">
        <v>257</v>
      </c>
      <c r="M457" s="51"/>
      <c r="N457" s="51"/>
      <c r="O457" s="51"/>
      <c r="P457" s="51"/>
      <c r="Q457" s="51"/>
      <c r="R457" s="51"/>
      <c r="S457" s="51"/>
      <c r="T457" s="51"/>
    </row>
    <row r="458">
      <c r="A458" s="51"/>
      <c r="B458" s="51"/>
      <c r="C458" s="56"/>
      <c r="D458" s="51"/>
      <c r="E458" s="51"/>
      <c r="F458" s="51"/>
      <c r="G458" s="51" t="str">
        <f>IFERROR(__xludf.DUMMYFUNCTION("""COMPUTED_VALUE"""),"#VALUE!")</f>
        <v>#VALUE!</v>
      </c>
      <c r="H458" s="51" t="str">
        <f>IFERROR(__xludf.DUMMYFUNCTION("""COMPUTED_VALUE"""),"")</f>
        <v/>
      </c>
      <c r="I458" s="51" t="str">
        <f>IFERROR(__xludf.DUMMYFUNCTION("""COMPUTED_VALUE"""),"#VALUE!")</f>
        <v>#VALUE!</v>
      </c>
      <c r="J458" s="51" t="str">
        <f>IFERROR(__xludf.DUMMYFUNCTION("""COMPUTED_VALUE"""),"")</f>
        <v/>
      </c>
      <c r="K458" s="51"/>
      <c r="L458" s="51" t="s">
        <v>257</v>
      </c>
      <c r="M458" s="51"/>
      <c r="N458" s="51"/>
      <c r="O458" s="51"/>
      <c r="P458" s="51"/>
      <c r="Q458" s="51"/>
      <c r="R458" s="51"/>
      <c r="S458" s="51"/>
      <c r="T458" s="51"/>
    </row>
    <row r="459">
      <c r="A459" s="51"/>
      <c r="B459" s="51"/>
      <c r="C459" s="56"/>
      <c r="D459" s="51"/>
      <c r="E459" s="51"/>
      <c r="F459" s="51"/>
      <c r="G459" s="51" t="str">
        <f>IFERROR(__xludf.DUMMYFUNCTION("""COMPUTED_VALUE"""),"#VALUE!")</f>
        <v>#VALUE!</v>
      </c>
      <c r="H459" s="51" t="str">
        <f>IFERROR(__xludf.DUMMYFUNCTION("""COMPUTED_VALUE"""),"")</f>
        <v/>
      </c>
      <c r="I459" s="51" t="str">
        <f>IFERROR(__xludf.DUMMYFUNCTION("""COMPUTED_VALUE"""),"#VALUE!")</f>
        <v>#VALUE!</v>
      </c>
      <c r="J459" s="51" t="str">
        <f>IFERROR(__xludf.DUMMYFUNCTION("""COMPUTED_VALUE"""),"")</f>
        <v/>
      </c>
      <c r="K459" s="51"/>
      <c r="L459" s="51" t="s">
        <v>257</v>
      </c>
      <c r="M459" s="51"/>
      <c r="N459" s="51"/>
      <c r="O459" s="51"/>
      <c r="P459" s="51"/>
      <c r="Q459" s="51"/>
      <c r="R459" s="51"/>
      <c r="S459" s="51"/>
      <c r="T459" s="51"/>
    </row>
    <row r="460">
      <c r="A460" s="51"/>
      <c r="B460" s="51"/>
      <c r="C460" s="56"/>
      <c r="D460" s="51"/>
      <c r="E460" s="51"/>
      <c r="F460" s="51"/>
      <c r="G460" s="51" t="str">
        <f>IFERROR(__xludf.DUMMYFUNCTION("""COMPUTED_VALUE"""),"#VALUE!")</f>
        <v>#VALUE!</v>
      </c>
      <c r="H460" s="51" t="str">
        <f>IFERROR(__xludf.DUMMYFUNCTION("""COMPUTED_VALUE"""),"")</f>
        <v/>
      </c>
      <c r="I460" s="51" t="str">
        <f>IFERROR(__xludf.DUMMYFUNCTION("""COMPUTED_VALUE"""),"#VALUE!")</f>
        <v>#VALUE!</v>
      </c>
      <c r="J460" s="51" t="str">
        <f>IFERROR(__xludf.DUMMYFUNCTION("""COMPUTED_VALUE"""),"")</f>
        <v/>
      </c>
      <c r="K460" s="51"/>
      <c r="L460" s="51" t="s">
        <v>257</v>
      </c>
      <c r="M460" s="51"/>
      <c r="N460" s="51"/>
      <c r="O460" s="51"/>
      <c r="P460" s="51"/>
      <c r="Q460" s="51"/>
      <c r="R460" s="51"/>
      <c r="S460" s="51"/>
      <c r="T460" s="51"/>
    </row>
    <row r="461">
      <c r="A461" s="51"/>
      <c r="B461" s="51"/>
      <c r="C461" s="56"/>
      <c r="D461" s="51"/>
      <c r="E461" s="51"/>
      <c r="F461" s="51"/>
      <c r="G461" s="51" t="str">
        <f>IFERROR(__xludf.DUMMYFUNCTION("""COMPUTED_VALUE"""),"#VALUE!")</f>
        <v>#VALUE!</v>
      </c>
      <c r="H461" s="51" t="str">
        <f>IFERROR(__xludf.DUMMYFUNCTION("""COMPUTED_VALUE"""),"")</f>
        <v/>
      </c>
      <c r="I461" s="51" t="str">
        <f>IFERROR(__xludf.DUMMYFUNCTION("""COMPUTED_VALUE"""),"#VALUE!")</f>
        <v>#VALUE!</v>
      </c>
      <c r="J461" s="51" t="str">
        <f>IFERROR(__xludf.DUMMYFUNCTION("""COMPUTED_VALUE"""),"")</f>
        <v/>
      </c>
      <c r="K461" s="51"/>
      <c r="L461" s="51" t="s">
        <v>257</v>
      </c>
      <c r="M461" s="51"/>
      <c r="N461" s="51"/>
      <c r="O461" s="51"/>
      <c r="P461" s="51"/>
      <c r="Q461" s="51"/>
      <c r="R461" s="51"/>
      <c r="S461" s="51"/>
      <c r="T461" s="51"/>
    </row>
    <row r="462">
      <c r="A462" s="51"/>
      <c r="B462" s="51"/>
      <c r="C462" s="56"/>
      <c r="D462" s="51"/>
      <c r="E462" s="51"/>
      <c r="F462" s="51"/>
      <c r="G462" s="51" t="str">
        <f>IFERROR(__xludf.DUMMYFUNCTION("""COMPUTED_VALUE"""),"#VALUE!")</f>
        <v>#VALUE!</v>
      </c>
      <c r="H462" s="51" t="str">
        <f>IFERROR(__xludf.DUMMYFUNCTION("""COMPUTED_VALUE"""),"")</f>
        <v/>
      </c>
      <c r="I462" s="51" t="str">
        <f>IFERROR(__xludf.DUMMYFUNCTION("""COMPUTED_VALUE"""),"#VALUE!")</f>
        <v>#VALUE!</v>
      </c>
      <c r="J462" s="51" t="str">
        <f>IFERROR(__xludf.DUMMYFUNCTION("""COMPUTED_VALUE"""),"")</f>
        <v/>
      </c>
      <c r="K462" s="51"/>
      <c r="L462" s="51" t="s">
        <v>257</v>
      </c>
      <c r="M462" s="51"/>
      <c r="N462" s="51"/>
      <c r="O462" s="51"/>
      <c r="P462" s="51"/>
      <c r="Q462" s="51"/>
      <c r="R462" s="51"/>
      <c r="S462" s="51"/>
      <c r="T462" s="51"/>
    </row>
    <row r="463">
      <c r="A463" s="51"/>
      <c r="B463" s="51"/>
      <c r="C463" s="56"/>
      <c r="D463" s="51"/>
      <c r="E463" s="51"/>
      <c r="F463" s="51"/>
      <c r="G463" s="51" t="str">
        <f>IFERROR(__xludf.DUMMYFUNCTION("""COMPUTED_VALUE"""),"#VALUE!")</f>
        <v>#VALUE!</v>
      </c>
      <c r="H463" s="51" t="str">
        <f>IFERROR(__xludf.DUMMYFUNCTION("""COMPUTED_VALUE"""),"")</f>
        <v/>
      </c>
      <c r="I463" s="51" t="str">
        <f>IFERROR(__xludf.DUMMYFUNCTION("""COMPUTED_VALUE"""),"#VALUE!")</f>
        <v>#VALUE!</v>
      </c>
      <c r="J463" s="51" t="str">
        <f>IFERROR(__xludf.DUMMYFUNCTION("""COMPUTED_VALUE"""),"")</f>
        <v/>
      </c>
      <c r="K463" s="51"/>
      <c r="L463" s="51" t="s">
        <v>257</v>
      </c>
      <c r="M463" s="51"/>
      <c r="N463" s="51"/>
      <c r="O463" s="51"/>
      <c r="P463" s="51"/>
      <c r="Q463" s="51"/>
      <c r="R463" s="51"/>
      <c r="S463" s="51"/>
      <c r="T463" s="51"/>
    </row>
    <row r="464">
      <c r="A464" s="51"/>
      <c r="B464" s="51"/>
      <c r="C464" s="56"/>
      <c r="D464" s="51"/>
      <c r="E464" s="51"/>
      <c r="F464" s="51"/>
      <c r="G464" s="51" t="str">
        <f>IFERROR(__xludf.DUMMYFUNCTION("""COMPUTED_VALUE"""),"#VALUE!")</f>
        <v>#VALUE!</v>
      </c>
      <c r="H464" s="51" t="str">
        <f>IFERROR(__xludf.DUMMYFUNCTION("""COMPUTED_VALUE"""),"")</f>
        <v/>
      </c>
      <c r="I464" s="51" t="str">
        <f>IFERROR(__xludf.DUMMYFUNCTION("""COMPUTED_VALUE"""),"#VALUE!")</f>
        <v>#VALUE!</v>
      </c>
      <c r="J464" s="51" t="str">
        <f>IFERROR(__xludf.DUMMYFUNCTION("""COMPUTED_VALUE"""),"")</f>
        <v/>
      </c>
      <c r="K464" s="51"/>
      <c r="L464" s="51" t="s">
        <v>257</v>
      </c>
      <c r="M464" s="51"/>
      <c r="N464" s="51"/>
      <c r="O464" s="51"/>
      <c r="P464" s="51"/>
      <c r="Q464" s="51"/>
      <c r="R464" s="51"/>
      <c r="S464" s="51"/>
      <c r="T464" s="51"/>
    </row>
    <row r="465">
      <c r="A465" s="51"/>
      <c r="B465" s="51"/>
      <c r="C465" s="56"/>
      <c r="D465" s="51"/>
      <c r="E465" s="51"/>
      <c r="F465" s="51"/>
      <c r="G465" s="51" t="str">
        <f>IFERROR(__xludf.DUMMYFUNCTION("""COMPUTED_VALUE"""),"#VALUE!")</f>
        <v>#VALUE!</v>
      </c>
      <c r="H465" s="51" t="str">
        <f>IFERROR(__xludf.DUMMYFUNCTION("""COMPUTED_VALUE"""),"")</f>
        <v/>
      </c>
      <c r="I465" s="51" t="str">
        <f>IFERROR(__xludf.DUMMYFUNCTION("""COMPUTED_VALUE"""),"#VALUE!")</f>
        <v>#VALUE!</v>
      </c>
      <c r="J465" s="51" t="str">
        <f>IFERROR(__xludf.DUMMYFUNCTION("""COMPUTED_VALUE"""),"")</f>
        <v/>
      </c>
      <c r="K465" s="51"/>
      <c r="L465" s="51" t="s">
        <v>257</v>
      </c>
      <c r="M465" s="51"/>
      <c r="N465" s="51"/>
      <c r="O465" s="51"/>
      <c r="P465" s="51"/>
      <c r="Q465" s="51"/>
      <c r="R465" s="51"/>
      <c r="S465" s="51"/>
      <c r="T465" s="51"/>
    </row>
    <row r="466">
      <c r="A466" s="51"/>
      <c r="B466" s="51"/>
      <c r="C466" s="56"/>
      <c r="D466" s="51"/>
      <c r="E466" s="51"/>
      <c r="F466" s="51"/>
      <c r="G466" s="51" t="str">
        <f>IFERROR(__xludf.DUMMYFUNCTION("""COMPUTED_VALUE"""),"#VALUE!")</f>
        <v>#VALUE!</v>
      </c>
      <c r="H466" s="51" t="str">
        <f>IFERROR(__xludf.DUMMYFUNCTION("""COMPUTED_VALUE"""),"")</f>
        <v/>
      </c>
      <c r="I466" s="51" t="str">
        <f>IFERROR(__xludf.DUMMYFUNCTION("""COMPUTED_VALUE"""),"#VALUE!")</f>
        <v>#VALUE!</v>
      </c>
      <c r="J466" s="51" t="str">
        <f>IFERROR(__xludf.DUMMYFUNCTION("""COMPUTED_VALUE"""),"")</f>
        <v/>
      </c>
      <c r="K466" s="51"/>
      <c r="L466" s="51" t="s">
        <v>257</v>
      </c>
      <c r="M466" s="51"/>
      <c r="N466" s="51"/>
      <c r="O466" s="51"/>
      <c r="P466" s="51"/>
      <c r="Q466" s="51"/>
      <c r="R466" s="51"/>
      <c r="S466" s="51"/>
      <c r="T466" s="51"/>
    </row>
    <row r="467">
      <c r="A467" s="51"/>
      <c r="B467" s="51"/>
      <c r="C467" s="56"/>
      <c r="D467" s="51"/>
      <c r="E467" s="51"/>
      <c r="F467" s="51"/>
      <c r="G467" s="51" t="str">
        <f>IFERROR(__xludf.DUMMYFUNCTION("""COMPUTED_VALUE"""),"#VALUE!")</f>
        <v>#VALUE!</v>
      </c>
      <c r="H467" s="51" t="str">
        <f>IFERROR(__xludf.DUMMYFUNCTION("""COMPUTED_VALUE"""),"")</f>
        <v/>
      </c>
      <c r="I467" s="51" t="str">
        <f>IFERROR(__xludf.DUMMYFUNCTION("""COMPUTED_VALUE"""),"#VALUE!")</f>
        <v>#VALUE!</v>
      </c>
      <c r="J467" s="51" t="str">
        <f>IFERROR(__xludf.DUMMYFUNCTION("""COMPUTED_VALUE"""),"")</f>
        <v/>
      </c>
      <c r="K467" s="51"/>
      <c r="L467" s="51" t="s">
        <v>257</v>
      </c>
      <c r="M467" s="51"/>
      <c r="N467" s="51"/>
      <c r="O467" s="51"/>
      <c r="P467" s="51"/>
      <c r="Q467" s="51"/>
      <c r="R467" s="51"/>
      <c r="S467" s="51"/>
      <c r="T467" s="51"/>
    </row>
    <row r="468">
      <c r="A468" s="51"/>
      <c r="B468" s="51"/>
      <c r="C468" s="56"/>
      <c r="D468" s="51"/>
      <c r="E468" s="51"/>
      <c r="F468" s="51"/>
      <c r="G468" s="51" t="str">
        <f>IFERROR(__xludf.DUMMYFUNCTION("""COMPUTED_VALUE"""),"#VALUE!")</f>
        <v>#VALUE!</v>
      </c>
      <c r="H468" s="51" t="str">
        <f>IFERROR(__xludf.DUMMYFUNCTION("""COMPUTED_VALUE"""),"")</f>
        <v/>
      </c>
      <c r="I468" s="51" t="str">
        <f>IFERROR(__xludf.DUMMYFUNCTION("""COMPUTED_VALUE"""),"#VALUE!")</f>
        <v>#VALUE!</v>
      </c>
      <c r="J468" s="51" t="str">
        <f>IFERROR(__xludf.DUMMYFUNCTION("""COMPUTED_VALUE"""),"")</f>
        <v/>
      </c>
      <c r="K468" s="51"/>
      <c r="L468" s="51" t="s">
        <v>257</v>
      </c>
      <c r="M468" s="51"/>
      <c r="N468" s="51"/>
      <c r="O468" s="51"/>
      <c r="P468" s="51"/>
      <c r="Q468" s="51"/>
      <c r="R468" s="51"/>
      <c r="S468" s="51"/>
      <c r="T468" s="51"/>
    </row>
    <row r="469">
      <c r="A469" s="51"/>
      <c r="B469" s="51"/>
      <c r="C469" s="56"/>
      <c r="D469" s="51"/>
      <c r="E469" s="51"/>
      <c r="F469" s="51"/>
      <c r="G469" s="51" t="str">
        <f>IFERROR(__xludf.DUMMYFUNCTION("""COMPUTED_VALUE"""),"#VALUE!")</f>
        <v>#VALUE!</v>
      </c>
      <c r="H469" s="51" t="str">
        <f>IFERROR(__xludf.DUMMYFUNCTION("""COMPUTED_VALUE"""),"")</f>
        <v/>
      </c>
      <c r="I469" s="51" t="str">
        <f>IFERROR(__xludf.DUMMYFUNCTION("""COMPUTED_VALUE"""),"#VALUE!")</f>
        <v>#VALUE!</v>
      </c>
      <c r="J469" s="51" t="str">
        <f>IFERROR(__xludf.DUMMYFUNCTION("""COMPUTED_VALUE"""),"")</f>
        <v/>
      </c>
      <c r="K469" s="51"/>
      <c r="L469" s="51" t="s">
        <v>257</v>
      </c>
      <c r="M469" s="51"/>
      <c r="N469" s="51"/>
      <c r="O469" s="51"/>
      <c r="P469" s="51"/>
      <c r="Q469" s="51"/>
      <c r="R469" s="51"/>
      <c r="S469" s="51"/>
      <c r="T469" s="51"/>
    </row>
    <row r="470">
      <c r="A470" s="51"/>
      <c r="B470" s="51"/>
      <c r="C470" s="56"/>
      <c r="D470" s="51"/>
      <c r="E470" s="51"/>
      <c r="F470" s="51"/>
      <c r="G470" s="51" t="str">
        <f>IFERROR(__xludf.DUMMYFUNCTION("""COMPUTED_VALUE"""),"#VALUE!")</f>
        <v>#VALUE!</v>
      </c>
      <c r="H470" s="51" t="str">
        <f>IFERROR(__xludf.DUMMYFUNCTION("""COMPUTED_VALUE"""),"")</f>
        <v/>
      </c>
      <c r="I470" s="51" t="str">
        <f>IFERROR(__xludf.DUMMYFUNCTION("""COMPUTED_VALUE"""),"#VALUE!")</f>
        <v>#VALUE!</v>
      </c>
      <c r="J470" s="51" t="str">
        <f>IFERROR(__xludf.DUMMYFUNCTION("""COMPUTED_VALUE"""),"")</f>
        <v/>
      </c>
      <c r="K470" s="51"/>
      <c r="L470" s="51" t="s">
        <v>257</v>
      </c>
      <c r="M470" s="51"/>
      <c r="N470" s="51"/>
      <c r="O470" s="51"/>
      <c r="P470" s="51"/>
      <c r="Q470" s="51"/>
      <c r="R470" s="51"/>
      <c r="S470" s="51"/>
      <c r="T470" s="51"/>
    </row>
    <row r="471">
      <c r="A471" s="51"/>
      <c r="B471" s="51"/>
      <c r="C471" s="56"/>
      <c r="D471" s="51"/>
      <c r="E471" s="51"/>
      <c r="F471" s="51"/>
      <c r="G471" s="51" t="str">
        <f>IFERROR(__xludf.DUMMYFUNCTION("""COMPUTED_VALUE"""),"#VALUE!")</f>
        <v>#VALUE!</v>
      </c>
      <c r="H471" s="51" t="str">
        <f>IFERROR(__xludf.DUMMYFUNCTION("""COMPUTED_VALUE"""),"")</f>
        <v/>
      </c>
      <c r="I471" s="51" t="str">
        <f>IFERROR(__xludf.DUMMYFUNCTION("""COMPUTED_VALUE"""),"#VALUE!")</f>
        <v>#VALUE!</v>
      </c>
      <c r="J471" s="51" t="str">
        <f>IFERROR(__xludf.DUMMYFUNCTION("""COMPUTED_VALUE"""),"")</f>
        <v/>
      </c>
      <c r="K471" s="51"/>
      <c r="L471" s="51" t="s">
        <v>257</v>
      </c>
      <c r="M471" s="51"/>
      <c r="N471" s="51"/>
      <c r="O471" s="51"/>
      <c r="P471" s="51"/>
      <c r="Q471" s="51"/>
      <c r="R471" s="51"/>
      <c r="S471" s="51"/>
      <c r="T471" s="51"/>
    </row>
    <row r="472">
      <c r="A472" s="51"/>
      <c r="B472" s="51"/>
      <c r="C472" s="56"/>
      <c r="D472" s="51"/>
      <c r="E472" s="51"/>
      <c r="F472" s="51"/>
      <c r="G472" s="51" t="str">
        <f>IFERROR(__xludf.DUMMYFUNCTION("""COMPUTED_VALUE"""),"#VALUE!")</f>
        <v>#VALUE!</v>
      </c>
      <c r="H472" s="51" t="str">
        <f>IFERROR(__xludf.DUMMYFUNCTION("""COMPUTED_VALUE"""),"")</f>
        <v/>
      </c>
      <c r="I472" s="51" t="str">
        <f>IFERROR(__xludf.DUMMYFUNCTION("""COMPUTED_VALUE"""),"#VALUE!")</f>
        <v>#VALUE!</v>
      </c>
      <c r="J472" s="51" t="str">
        <f>IFERROR(__xludf.DUMMYFUNCTION("""COMPUTED_VALUE"""),"")</f>
        <v/>
      </c>
      <c r="K472" s="51"/>
      <c r="L472" s="51" t="s">
        <v>257</v>
      </c>
      <c r="M472" s="51"/>
      <c r="N472" s="51"/>
      <c r="O472" s="51"/>
      <c r="P472" s="51"/>
      <c r="Q472" s="51"/>
      <c r="R472" s="51"/>
      <c r="S472" s="51"/>
      <c r="T472" s="51"/>
    </row>
    <row r="473">
      <c r="A473" s="51"/>
      <c r="B473" s="51"/>
      <c r="C473" s="56"/>
      <c r="D473" s="51"/>
      <c r="E473" s="51"/>
      <c r="F473" s="51"/>
      <c r="G473" s="51" t="str">
        <f>IFERROR(__xludf.DUMMYFUNCTION("""COMPUTED_VALUE"""),"#VALUE!")</f>
        <v>#VALUE!</v>
      </c>
      <c r="H473" s="51" t="str">
        <f>IFERROR(__xludf.DUMMYFUNCTION("""COMPUTED_VALUE"""),"")</f>
        <v/>
      </c>
      <c r="I473" s="51" t="str">
        <f>IFERROR(__xludf.DUMMYFUNCTION("""COMPUTED_VALUE"""),"#VALUE!")</f>
        <v>#VALUE!</v>
      </c>
      <c r="J473" s="51" t="str">
        <f>IFERROR(__xludf.DUMMYFUNCTION("""COMPUTED_VALUE"""),"")</f>
        <v/>
      </c>
      <c r="K473" s="51"/>
      <c r="L473" s="51" t="s">
        <v>257</v>
      </c>
      <c r="M473" s="51"/>
      <c r="N473" s="51"/>
      <c r="O473" s="51"/>
      <c r="P473" s="51"/>
      <c r="Q473" s="51"/>
      <c r="R473" s="51"/>
      <c r="S473" s="51"/>
      <c r="T473" s="51"/>
    </row>
    <row r="474">
      <c r="A474" s="51"/>
      <c r="B474" s="51"/>
      <c r="C474" s="56"/>
      <c r="D474" s="51"/>
      <c r="E474" s="51"/>
      <c r="F474" s="51"/>
      <c r="G474" s="51" t="str">
        <f>IFERROR(__xludf.DUMMYFUNCTION("""COMPUTED_VALUE"""),"#VALUE!")</f>
        <v>#VALUE!</v>
      </c>
      <c r="H474" s="51" t="str">
        <f>IFERROR(__xludf.DUMMYFUNCTION("""COMPUTED_VALUE"""),"")</f>
        <v/>
      </c>
      <c r="I474" s="51" t="str">
        <f>IFERROR(__xludf.DUMMYFUNCTION("""COMPUTED_VALUE"""),"#VALUE!")</f>
        <v>#VALUE!</v>
      </c>
      <c r="J474" s="51" t="str">
        <f>IFERROR(__xludf.DUMMYFUNCTION("""COMPUTED_VALUE"""),"")</f>
        <v/>
      </c>
      <c r="K474" s="51"/>
      <c r="L474" s="51" t="s">
        <v>257</v>
      </c>
      <c r="M474" s="51"/>
      <c r="N474" s="51"/>
      <c r="O474" s="51"/>
      <c r="P474" s="51"/>
      <c r="Q474" s="51"/>
      <c r="R474" s="51"/>
      <c r="S474" s="51"/>
      <c r="T474" s="51"/>
    </row>
    <row r="475">
      <c r="A475" s="51"/>
      <c r="B475" s="51"/>
      <c r="C475" s="56"/>
      <c r="D475" s="51"/>
      <c r="E475" s="51"/>
      <c r="F475" s="51"/>
      <c r="G475" s="51" t="str">
        <f>IFERROR(__xludf.DUMMYFUNCTION("""COMPUTED_VALUE"""),"#VALUE!")</f>
        <v>#VALUE!</v>
      </c>
      <c r="H475" s="51" t="str">
        <f>IFERROR(__xludf.DUMMYFUNCTION("""COMPUTED_VALUE"""),"")</f>
        <v/>
      </c>
      <c r="I475" s="51" t="str">
        <f>IFERROR(__xludf.DUMMYFUNCTION("""COMPUTED_VALUE"""),"#VALUE!")</f>
        <v>#VALUE!</v>
      </c>
      <c r="J475" s="51" t="str">
        <f>IFERROR(__xludf.DUMMYFUNCTION("""COMPUTED_VALUE"""),"")</f>
        <v/>
      </c>
      <c r="K475" s="51"/>
      <c r="L475" s="51" t="s">
        <v>257</v>
      </c>
      <c r="M475" s="51"/>
      <c r="N475" s="51"/>
      <c r="O475" s="51"/>
      <c r="P475" s="51"/>
      <c r="Q475" s="51"/>
      <c r="R475" s="51"/>
      <c r="S475" s="51"/>
      <c r="T475" s="51"/>
    </row>
    <row r="476">
      <c r="A476" s="51"/>
      <c r="B476" s="51"/>
      <c r="C476" s="56"/>
      <c r="D476" s="51"/>
      <c r="E476" s="51"/>
      <c r="F476" s="51"/>
      <c r="G476" s="51" t="str">
        <f>IFERROR(__xludf.DUMMYFUNCTION("""COMPUTED_VALUE"""),"#VALUE!")</f>
        <v>#VALUE!</v>
      </c>
      <c r="H476" s="51" t="str">
        <f>IFERROR(__xludf.DUMMYFUNCTION("""COMPUTED_VALUE"""),"")</f>
        <v/>
      </c>
      <c r="I476" s="51" t="str">
        <f>IFERROR(__xludf.DUMMYFUNCTION("""COMPUTED_VALUE"""),"#VALUE!")</f>
        <v>#VALUE!</v>
      </c>
      <c r="J476" s="51" t="str">
        <f>IFERROR(__xludf.DUMMYFUNCTION("""COMPUTED_VALUE"""),"")</f>
        <v/>
      </c>
      <c r="K476" s="51"/>
      <c r="L476" s="51" t="s">
        <v>257</v>
      </c>
      <c r="M476" s="51"/>
      <c r="N476" s="51"/>
      <c r="O476" s="51"/>
      <c r="P476" s="51"/>
      <c r="Q476" s="51"/>
      <c r="R476" s="51"/>
      <c r="S476" s="51"/>
      <c r="T476" s="51"/>
    </row>
    <row r="477">
      <c r="A477" s="51"/>
      <c r="B477" s="51"/>
      <c r="C477" s="56"/>
      <c r="D477" s="51"/>
      <c r="E477" s="51"/>
      <c r="F477" s="51"/>
      <c r="G477" s="51" t="str">
        <f>IFERROR(__xludf.DUMMYFUNCTION("""COMPUTED_VALUE"""),"#VALUE!")</f>
        <v>#VALUE!</v>
      </c>
      <c r="H477" s="51" t="str">
        <f>IFERROR(__xludf.DUMMYFUNCTION("""COMPUTED_VALUE"""),"")</f>
        <v/>
      </c>
      <c r="I477" s="51" t="str">
        <f>IFERROR(__xludf.DUMMYFUNCTION("""COMPUTED_VALUE"""),"#VALUE!")</f>
        <v>#VALUE!</v>
      </c>
      <c r="J477" s="51" t="str">
        <f>IFERROR(__xludf.DUMMYFUNCTION("""COMPUTED_VALUE"""),"")</f>
        <v/>
      </c>
      <c r="K477" s="51"/>
      <c r="L477" s="51" t="s">
        <v>257</v>
      </c>
      <c r="M477" s="51"/>
      <c r="N477" s="51"/>
      <c r="O477" s="51"/>
      <c r="P477" s="51"/>
      <c r="Q477" s="51"/>
      <c r="R477" s="51"/>
      <c r="S477" s="51"/>
      <c r="T477" s="51"/>
    </row>
    <row r="478">
      <c r="A478" s="51"/>
      <c r="B478" s="51"/>
      <c r="C478" s="56"/>
      <c r="D478" s="51"/>
      <c r="E478" s="51"/>
      <c r="F478" s="51"/>
      <c r="G478" s="51" t="str">
        <f>IFERROR(__xludf.DUMMYFUNCTION("""COMPUTED_VALUE"""),"#VALUE!")</f>
        <v>#VALUE!</v>
      </c>
      <c r="H478" s="51" t="str">
        <f>IFERROR(__xludf.DUMMYFUNCTION("""COMPUTED_VALUE"""),"")</f>
        <v/>
      </c>
      <c r="I478" s="51" t="str">
        <f>IFERROR(__xludf.DUMMYFUNCTION("""COMPUTED_VALUE"""),"#VALUE!")</f>
        <v>#VALUE!</v>
      </c>
      <c r="J478" s="51" t="str">
        <f>IFERROR(__xludf.DUMMYFUNCTION("""COMPUTED_VALUE"""),"")</f>
        <v/>
      </c>
      <c r="K478" s="51"/>
      <c r="L478" s="51" t="s">
        <v>257</v>
      </c>
      <c r="M478" s="51"/>
      <c r="N478" s="51"/>
      <c r="O478" s="51"/>
      <c r="P478" s="51"/>
      <c r="Q478" s="51"/>
      <c r="R478" s="51"/>
      <c r="S478" s="51"/>
      <c r="T478" s="51"/>
    </row>
    <row r="479">
      <c r="A479" s="51"/>
      <c r="B479" s="51"/>
      <c r="C479" s="56"/>
      <c r="D479" s="51"/>
      <c r="E479" s="51"/>
      <c r="F479" s="51"/>
      <c r="G479" s="51" t="str">
        <f>IFERROR(__xludf.DUMMYFUNCTION("""COMPUTED_VALUE"""),"#VALUE!")</f>
        <v>#VALUE!</v>
      </c>
      <c r="H479" s="51" t="str">
        <f>IFERROR(__xludf.DUMMYFUNCTION("""COMPUTED_VALUE"""),"")</f>
        <v/>
      </c>
      <c r="I479" s="51" t="str">
        <f>IFERROR(__xludf.DUMMYFUNCTION("""COMPUTED_VALUE"""),"#VALUE!")</f>
        <v>#VALUE!</v>
      </c>
      <c r="J479" s="51" t="str">
        <f>IFERROR(__xludf.DUMMYFUNCTION("""COMPUTED_VALUE"""),"")</f>
        <v/>
      </c>
      <c r="K479" s="51"/>
      <c r="L479" s="51" t="s">
        <v>257</v>
      </c>
      <c r="M479" s="51"/>
      <c r="N479" s="51"/>
      <c r="O479" s="51"/>
      <c r="P479" s="51"/>
      <c r="Q479" s="51"/>
      <c r="R479" s="51"/>
      <c r="S479" s="51"/>
      <c r="T479" s="51"/>
    </row>
    <row r="480">
      <c r="A480" s="51"/>
      <c r="B480" s="51"/>
      <c r="C480" s="56"/>
      <c r="D480" s="51"/>
      <c r="E480" s="51"/>
      <c r="F480" s="51"/>
      <c r="G480" s="51" t="str">
        <f>IFERROR(__xludf.DUMMYFUNCTION("""COMPUTED_VALUE"""),"#VALUE!")</f>
        <v>#VALUE!</v>
      </c>
      <c r="H480" s="51" t="str">
        <f>IFERROR(__xludf.DUMMYFUNCTION("""COMPUTED_VALUE"""),"")</f>
        <v/>
      </c>
      <c r="I480" s="51" t="str">
        <f>IFERROR(__xludf.DUMMYFUNCTION("""COMPUTED_VALUE"""),"#VALUE!")</f>
        <v>#VALUE!</v>
      </c>
      <c r="J480" s="51" t="str">
        <f>IFERROR(__xludf.DUMMYFUNCTION("""COMPUTED_VALUE"""),"")</f>
        <v/>
      </c>
      <c r="K480" s="51"/>
      <c r="L480" s="51" t="s">
        <v>257</v>
      </c>
      <c r="M480" s="51"/>
      <c r="N480" s="51"/>
      <c r="O480" s="51"/>
      <c r="P480" s="51"/>
      <c r="Q480" s="51"/>
      <c r="R480" s="51"/>
      <c r="S480" s="51"/>
      <c r="T480" s="51"/>
    </row>
    <row r="481">
      <c r="A481" s="51"/>
      <c r="B481" s="51"/>
      <c r="C481" s="56"/>
      <c r="D481" s="51"/>
      <c r="E481" s="51"/>
      <c r="F481" s="51"/>
      <c r="G481" s="51" t="str">
        <f>IFERROR(__xludf.DUMMYFUNCTION("""COMPUTED_VALUE"""),"#VALUE!")</f>
        <v>#VALUE!</v>
      </c>
      <c r="H481" s="51" t="str">
        <f>IFERROR(__xludf.DUMMYFUNCTION("""COMPUTED_VALUE"""),"")</f>
        <v/>
      </c>
      <c r="I481" s="51" t="str">
        <f>IFERROR(__xludf.DUMMYFUNCTION("""COMPUTED_VALUE"""),"#VALUE!")</f>
        <v>#VALUE!</v>
      </c>
      <c r="J481" s="51" t="str">
        <f>IFERROR(__xludf.DUMMYFUNCTION("""COMPUTED_VALUE"""),"")</f>
        <v/>
      </c>
      <c r="K481" s="51"/>
      <c r="L481" s="51" t="s">
        <v>257</v>
      </c>
      <c r="M481" s="51"/>
      <c r="N481" s="51"/>
      <c r="O481" s="51"/>
      <c r="P481" s="51"/>
      <c r="Q481" s="51"/>
      <c r="R481" s="51"/>
      <c r="S481" s="51"/>
      <c r="T481" s="51"/>
    </row>
    <row r="482">
      <c r="A482" s="51"/>
      <c r="B482" s="51"/>
      <c r="C482" s="56"/>
      <c r="D482" s="51"/>
      <c r="E482" s="51"/>
      <c r="F482" s="51"/>
      <c r="G482" s="51" t="str">
        <f>IFERROR(__xludf.DUMMYFUNCTION("""COMPUTED_VALUE"""),"#VALUE!")</f>
        <v>#VALUE!</v>
      </c>
      <c r="H482" s="51" t="str">
        <f>IFERROR(__xludf.DUMMYFUNCTION("""COMPUTED_VALUE"""),"")</f>
        <v/>
      </c>
      <c r="I482" s="51" t="str">
        <f>IFERROR(__xludf.DUMMYFUNCTION("""COMPUTED_VALUE"""),"#VALUE!")</f>
        <v>#VALUE!</v>
      </c>
      <c r="J482" s="51" t="str">
        <f>IFERROR(__xludf.DUMMYFUNCTION("""COMPUTED_VALUE"""),"")</f>
        <v/>
      </c>
      <c r="K482" s="51"/>
      <c r="L482" s="51" t="s">
        <v>257</v>
      </c>
      <c r="M482" s="51"/>
      <c r="N482" s="51"/>
      <c r="O482" s="51"/>
      <c r="P482" s="51"/>
      <c r="Q482" s="51"/>
      <c r="R482" s="51"/>
      <c r="S482" s="51"/>
      <c r="T482" s="51"/>
    </row>
    <row r="483">
      <c r="A483" s="51"/>
      <c r="B483" s="51"/>
      <c r="C483" s="56"/>
      <c r="D483" s="51"/>
      <c r="E483" s="51"/>
      <c r="F483" s="51"/>
      <c r="G483" s="51" t="str">
        <f>IFERROR(__xludf.DUMMYFUNCTION("""COMPUTED_VALUE"""),"#VALUE!")</f>
        <v>#VALUE!</v>
      </c>
      <c r="H483" s="51" t="str">
        <f>IFERROR(__xludf.DUMMYFUNCTION("""COMPUTED_VALUE"""),"")</f>
        <v/>
      </c>
      <c r="I483" s="51" t="str">
        <f>IFERROR(__xludf.DUMMYFUNCTION("""COMPUTED_VALUE"""),"#VALUE!")</f>
        <v>#VALUE!</v>
      </c>
      <c r="J483" s="51" t="str">
        <f>IFERROR(__xludf.DUMMYFUNCTION("""COMPUTED_VALUE"""),"")</f>
        <v/>
      </c>
      <c r="K483" s="51"/>
      <c r="L483" s="51" t="s">
        <v>257</v>
      </c>
      <c r="M483" s="51"/>
      <c r="N483" s="51"/>
      <c r="O483" s="51"/>
      <c r="P483" s="51"/>
      <c r="Q483" s="51"/>
      <c r="R483" s="51"/>
      <c r="S483" s="51"/>
      <c r="T483" s="51"/>
    </row>
    <row r="484">
      <c r="A484" s="51"/>
      <c r="B484" s="51"/>
      <c r="C484" s="56"/>
      <c r="D484" s="51"/>
      <c r="E484" s="51"/>
      <c r="F484" s="51"/>
      <c r="G484" s="51" t="str">
        <f>IFERROR(__xludf.DUMMYFUNCTION("""COMPUTED_VALUE"""),"#VALUE!")</f>
        <v>#VALUE!</v>
      </c>
      <c r="H484" s="51" t="str">
        <f>IFERROR(__xludf.DUMMYFUNCTION("""COMPUTED_VALUE"""),"")</f>
        <v/>
      </c>
      <c r="I484" s="51" t="str">
        <f>IFERROR(__xludf.DUMMYFUNCTION("""COMPUTED_VALUE"""),"#VALUE!")</f>
        <v>#VALUE!</v>
      </c>
      <c r="J484" s="51" t="str">
        <f>IFERROR(__xludf.DUMMYFUNCTION("""COMPUTED_VALUE"""),"")</f>
        <v/>
      </c>
      <c r="K484" s="51"/>
      <c r="L484" s="51" t="s">
        <v>257</v>
      </c>
      <c r="M484" s="51"/>
      <c r="N484" s="51"/>
      <c r="O484" s="51"/>
      <c r="P484" s="51"/>
      <c r="Q484" s="51"/>
      <c r="R484" s="51"/>
      <c r="S484" s="51"/>
      <c r="T484" s="51"/>
    </row>
    <row r="485">
      <c r="A485" s="51"/>
      <c r="B485" s="51"/>
      <c r="C485" s="56"/>
      <c r="D485" s="51"/>
      <c r="E485" s="51"/>
      <c r="F485" s="51"/>
      <c r="G485" s="51" t="str">
        <f>IFERROR(__xludf.DUMMYFUNCTION("""COMPUTED_VALUE"""),"#VALUE!")</f>
        <v>#VALUE!</v>
      </c>
      <c r="H485" s="51" t="str">
        <f>IFERROR(__xludf.DUMMYFUNCTION("""COMPUTED_VALUE"""),"")</f>
        <v/>
      </c>
      <c r="I485" s="51" t="str">
        <f>IFERROR(__xludf.DUMMYFUNCTION("""COMPUTED_VALUE"""),"#VALUE!")</f>
        <v>#VALUE!</v>
      </c>
      <c r="J485" s="51" t="str">
        <f>IFERROR(__xludf.DUMMYFUNCTION("""COMPUTED_VALUE"""),"")</f>
        <v/>
      </c>
      <c r="K485" s="51"/>
      <c r="L485" s="51" t="s">
        <v>257</v>
      </c>
      <c r="M485" s="51"/>
      <c r="N485" s="51"/>
      <c r="O485" s="51"/>
      <c r="P485" s="51"/>
      <c r="Q485" s="51"/>
      <c r="R485" s="51"/>
      <c r="S485" s="51"/>
      <c r="T485" s="51"/>
    </row>
    <row r="486">
      <c r="A486" s="51"/>
      <c r="B486" s="51"/>
      <c r="C486" s="56"/>
      <c r="D486" s="51"/>
      <c r="E486" s="51"/>
      <c r="F486" s="51"/>
      <c r="G486" s="51" t="str">
        <f>IFERROR(__xludf.DUMMYFUNCTION("""COMPUTED_VALUE"""),"#VALUE!")</f>
        <v>#VALUE!</v>
      </c>
      <c r="H486" s="51" t="str">
        <f>IFERROR(__xludf.DUMMYFUNCTION("""COMPUTED_VALUE"""),"")</f>
        <v/>
      </c>
      <c r="I486" s="51" t="str">
        <f>IFERROR(__xludf.DUMMYFUNCTION("""COMPUTED_VALUE"""),"#VALUE!")</f>
        <v>#VALUE!</v>
      </c>
      <c r="J486" s="51" t="str">
        <f>IFERROR(__xludf.DUMMYFUNCTION("""COMPUTED_VALUE"""),"")</f>
        <v/>
      </c>
      <c r="K486" s="51"/>
      <c r="L486" s="51" t="s">
        <v>257</v>
      </c>
      <c r="M486" s="51"/>
      <c r="N486" s="51"/>
      <c r="O486" s="51"/>
      <c r="P486" s="51"/>
      <c r="Q486" s="51"/>
      <c r="R486" s="51"/>
      <c r="S486" s="51"/>
      <c r="T486" s="51"/>
    </row>
    <row r="487">
      <c r="A487" s="51"/>
      <c r="B487" s="51"/>
      <c r="C487" s="56"/>
      <c r="D487" s="51"/>
      <c r="E487" s="51"/>
      <c r="F487" s="51"/>
      <c r="G487" s="51" t="str">
        <f>IFERROR(__xludf.DUMMYFUNCTION("""COMPUTED_VALUE"""),"#VALUE!")</f>
        <v>#VALUE!</v>
      </c>
      <c r="H487" s="51" t="str">
        <f>IFERROR(__xludf.DUMMYFUNCTION("""COMPUTED_VALUE"""),"")</f>
        <v/>
      </c>
      <c r="I487" s="51" t="str">
        <f>IFERROR(__xludf.DUMMYFUNCTION("""COMPUTED_VALUE"""),"#VALUE!")</f>
        <v>#VALUE!</v>
      </c>
      <c r="J487" s="51" t="str">
        <f>IFERROR(__xludf.DUMMYFUNCTION("""COMPUTED_VALUE"""),"")</f>
        <v/>
      </c>
      <c r="K487" s="51"/>
      <c r="L487" s="51" t="s">
        <v>257</v>
      </c>
      <c r="M487" s="51"/>
      <c r="N487" s="51"/>
      <c r="O487" s="51"/>
      <c r="P487" s="51"/>
      <c r="Q487" s="51"/>
      <c r="R487" s="51"/>
      <c r="S487" s="51"/>
      <c r="T487" s="51"/>
    </row>
    <row r="488">
      <c r="A488" s="51"/>
      <c r="B488" s="51"/>
      <c r="C488" s="56"/>
      <c r="D488" s="51"/>
      <c r="E488" s="51"/>
      <c r="F488" s="51"/>
      <c r="G488" s="51" t="str">
        <f>IFERROR(__xludf.DUMMYFUNCTION("""COMPUTED_VALUE"""),"#VALUE!")</f>
        <v>#VALUE!</v>
      </c>
      <c r="H488" s="51" t="str">
        <f>IFERROR(__xludf.DUMMYFUNCTION("""COMPUTED_VALUE"""),"")</f>
        <v/>
      </c>
      <c r="I488" s="51" t="str">
        <f>IFERROR(__xludf.DUMMYFUNCTION("""COMPUTED_VALUE"""),"#VALUE!")</f>
        <v>#VALUE!</v>
      </c>
      <c r="J488" s="51" t="str">
        <f>IFERROR(__xludf.DUMMYFUNCTION("""COMPUTED_VALUE"""),"")</f>
        <v/>
      </c>
      <c r="K488" s="51"/>
      <c r="L488" s="51" t="s">
        <v>257</v>
      </c>
      <c r="M488" s="51"/>
      <c r="N488" s="51"/>
      <c r="O488" s="51"/>
      <c r="P488" s="51"/>
      <c r="Q488" s="51"/>
      <c r="R488" s="51"/>
      <c r="S488" s="51"/>
      <c r="T488" s="51"/>
    </row>
    <row r="489">
      <c r="A489" s="51"/>
      <c r="B489" s="51"/>
      <c r="C489" s="56"/>
      <c r="D489" s="51"/>
      <c r="E489" s="51"/>
      <c r="F489" s="51"/>
      <c r="G489" s="51" t="str">
        <f>IFERROR(__xludf.DUMMYFUNCTION("""COMPUTED_VALUE"""),"#VALUE!")</f>
        <v>#VALUE!</v>
      </c>
      <c r="H489" s="51" t="str">
        <f>IFERROR(__xludf.DUMMYFUNCTION("""COMPUTED_VALUE"""),"")</f>
        <v/>
      </c>
      <c r="I489" s="51" t="str">
        <f>IFERROR(__xludf.DUMMYFUNCTION("""COMPUTED_VALUE"""),"#VALUE!")</f>
        <v>#VALUE!</v>
      </c>
      <c r="J489" s="51" t="str">
        <f>IFERROR(__xludf.DUMMYFUNCTION("""COMPUTED_VALUE"""),"")</f>
        <v/>
      </c>
      <c r="K489" s="51"/>
      <c r="L489" s="51" t="s">
        <v>257</v>
      </c>
      <c r="M489" s="51"/>
      <c r="N489" s="51"/>
      <c r="O489" s="51"/>
      <c r="P489" s="51"/>
      <c r="Q489" s="51"/>
      <c r="R489" s="51"/>
      <c r="S489" s="51"/>
      <c r="T489" s="51"/>
    </row>
    <row r="490">
      <c r="A490" s="51"/>
      <c r="B490" s="51"/>
      <c r="C490" s="56"/>
      <c r="D490" s="51"/>
      <c r="E490" s="51"/>
      <c r="F490" s="51"/>
      <c r="G490" s="51" t="str">
        <f>IFERROR(__xludf.DUMMYFUNCTION("""COMPUTED_VALUE"""),"#VALUE!")</f>
        <v>#VALUE!</v>
      </c>
      <c r="H490" s="51" t="str">
        <f>IFERROR(__xludf.DUMMYFUNCTION("""COMPUTED_VALUE"""),"")</f>
        <v/>
      </c>
      <c r="I490" s="51" t="str">
        <f>IFERROR(__xludf.DUMMYFUNCTION("""COMPUTED_VALUE"""),"#VALUE!")</f>
        <v>#VALUE!</v>
      </c>
      <c r="J490" s="51" t="str">
        <f>IFERROR(__xludf.DUMMYFUNCTION("""COMPUTED_VALUE"""),"")</f>
        <v/>
      </c>
      <c r="K490" s="51"/>
      <c r="L490" s="51" t="s">
        <v>257</v>
      </c>
      <c r="M490" s="51"/>
      <c r="N490" s="51"/>
      <c r="O490" s="51"/>
      <c r="P490" s="51"/>
      <c r="Q490" s="51"/>
      <c r="R490" s="51"/>
      <c r="S490" s="51"/>
      <c r="T490" s="51"/>
    </row>
    <row r="491">
      <c r="A491" s="51"/>
      <c r="B491" s="51"/>
      <c r="C491" s="56"/>
      <c r="D491" s="51"/>
      <c r="E491" s="51"/>
      <c r="F491" s="51"/>
      <c r="G491" s="51" t="str">
        <f>IFERROR(__xludf.DUMMYFUNCTION("""COMPUTED_VALUE"""),"#VALUE!")</f>
        <v>#VALUE!</v>
      </c>
      <c r="H491" s="51" t="str">
        <f>IFERROR(__xludf.DUMMYFUNCTION("""COMPUTED_VALUE"""),"")</f>
        <v/>
      </c>
      <c r="I491" s="51" t="str">
        <f>IFERROR(__xludf.DUMMYFUNCTION("""COMPUTED_VALUE"""),"#VALUE!")</f>
        <v>#VALUE!</v>
      </c>
      <c r="J491" s="51" t="str">
        <f>IFERROR(__xludf.DUMMYFUNCTION("""COMPUTED_VALUE"""),"")</f>
        <v/>
      </c>
      <c r="K491" s="51"/>
      <c r="L491" s="51" t="s">
        <v>257</v>
      </c>
      <c r="M491" s="51"/>
      <c r="N491" s="51"/>
      <c r="O491" s="51"/>
      <c r="P491" s="51"/>
      <c r="Q491" s="51"/>
      <c r="R491" s="51"/>
      <c r="S491" s="51"/>
      <c r="T491" s="51"/>
    </row>
    <row r="492">
      <c r="A492" s="51"/>
      <c r="B492" s="51"/>
      <c r="C492" s="56"/>
      <c r="D492" s="51"/>
      <c r="E492" s="51"/>
      <c r="F492" s="51"/>
      <c r="G492" s="51" t="str">
        <f>IFERROR(__xludf.DUMMYFUNCTION("""COMPUTED_VALUE"""),"#VALUE!")</f>
        <v>#VALUE!</v>
      </c>
      <c r="H492" s="51" t="str">
        <f>IFERROR(__xludf.DUMMYFUNCTION("""COMPUTED_VALUE"""),"")</f>
        <v/>
      </c>
      <c r="I492" s="51" t="str">
        <f>IFERROR(__xludf.DUMMYFUNCTION("""COMPUTED_VALUE"""),"#VALUE!")</f>
        <v>#VALUE!</v>
      </c>
      <c r="J492" s="51" t="str">
        <f>IFERROR(__xludf.DUMMYFUNCTION("""COMPUTED_VALUE"""),"")</f>
        <v/>
      </c>
      <c r="K492" s="51"/>
      <c r="L492" s="51" t="s">
        <v>257</v>
      </c>
      <c r="M492" s="51"/>
      <c r="N492" s="51"/>
      <c r="O492" s="51"/>
      <c r="P492" s="51"/>
      <c r="Q492" s="51"/>
      <c r="R492" s="51"/>
      <c r="S492" s="51"/>
      <c r="T492" s="51"/>
    </row>
    <row r="493">
      <c r="A493" s="51"/>
      <c r="B493" s="51"/>
      <c r="C493" s="56"/>
      <c r="D493" s="51"/>
      <c r="E493" s="51"/>
      <c r="F493" s="51"/>
      <c r="G493" s="51" t="str">
        <f>IFERROR(__xludf.DUMMYFUNCTION("""COMPUTED_VALUE"""),"#VALUE!")</f>
        <v>#VALUE!</v>
      </c>
      <c r="H493" s="51" t="str">
        <f>IFERROR(__xludf.DUMMYFUNCTION("""COMPUTED_VALUE"""),"")</f>
        <v/>
      </c>
      <c r="I493" s="51" t="str">
        <f>IFERROR(__xludf.DUMMYFUNCTION("""COMPUTED_VALUE"""),"#VALUE!")</f>
        <v>#VALUE!</v>
      </c>
      <c r="J493" s="51" t="str">
        <f>IFERROR(__xludf.DUMMYFUNCTION("""COMPUTED_VALUE"""),"")</f>
        <v/>
      </c>
      <c r="K493" s="51"/>
      <c r="L493" s="51" t="s">
        <v>257</v>
      </c>
      <c r="M493" s="51"/>
      <c r="N493" s="51"/>
      <c r="O493" s="51"/>
      <c r="P493" s="51"/>
      <c r="Q493" s="51"/>
      <c r="R493" s="51"/>
      <c r="S493" s="51"/>
      <c r="T493" s="51"/>
    </row>
    <row r="494">
      <c r="A494" s="51"/>
      <c r="B494" s="51"/>
      <c r="C494" s="56"/>
      <c r="D494" s="51"/>
      <c r="E494" s="51"/>
      <c r="F494" s="51"/>
      <c r="G494" s="51" t="str">
        <f>IFERROR(__xludf.DUMMYFUNCTION("""COMPUTED_VALUE"""),"#VALUE!")</f>
        <v>#VALUE!</v>
      </c>
      <c r="H494" s="51" t="str">
        <f>IFERROR(__xludf.DUMMYFUNCTION("""COMPUTED_VALUE"""),"")</f>
        <v/>
      </c>
      <c r="I494" s="51" t="str">
        <f>IFERROR(__xludf.DUMMYFUNCTION("""COMPUTED_VALUE"""),"#VALUE!")</f>
        <v>#VALUE!</v>
      </c>
      <c r="J494" s="51" t="str">
        <f>IFERROR(__xludf.DUMMYFUNCTION("""COMPUTED_VALUE"""),"")</f>
        <v/>
      </c>
      <c r="K494" s="51"/>
      <c r="L494" s="51" t="s">
        <v>257</v>
      </c>
      <c r="M494" s="51"/>
      <c r="N494" s="51"/>
      <c r="O494" s="51"/>
      <c r="P494" s="51"/>
      <c r="Q494" s="51"/>
      <c r="R494" s="51"/>
      <c r="S494" s="51"/>
      <c r="T494" s="51"/>
    </row>
    <row r="495">
      <c r="A495" s="51"/>
      <c r="B495" s="51"/>
      <c r="C495" s="56"/>
      <c r="D495" s="51"/>
      <c r="E495" s="51"/>
      <c r="F495" s="51"/>
      <c r="G495" s="51" t="str">
        <f>IFERROR(__xludf.DUMMYFUNCTION("""COMPUTED_VALUE"""),"#VALUE!")</f>
        <v>#VALUE!</v>
      </c>
      <c r="H495" s="51" t="str">
        <f>IFERROR(__xludf.DUMMYFUNCTION("""COMPUTED_VALUE"""),"")</f>
        <v/>
      </c>
      <c r="I495" s="51" t="str">
        <f>IFERROR(__xludf.DUMMYFUNCTION("""COMPUTED_VALUE"""),"#VALUE!")</f>
        <v>#VALUE!</v>
      </c>
      <c r="J495" s="51" t="str">
        <f>IFERROR(__xludf.DUMMYFUNCTION("""COMPUTED_VALUE"""),"")</f>
        <v/>
      </c>
      <c r="K495" s="51"/>
      <c r="L495" s="51" t="s">
        <v>257</v>
      </c>
      <c r="M495" s="51"/>
      <c r="N495" s="51"/>
      <c r="O495" s="51"/>
      <c r="P495" s="51"/>
      <c r="Q495" s="51"/>
      <c r="R495" s="51"/>
      <c r="S495" s="51"/>
      <c r="T495" s="51"/>
    </row>
    <row r="496">
      <c r="A496" s="51"/>
      <c r="B496" s="51"/>
      <c r="C496" s="56"/>
      <c r="D496" s="51"/>
      <c r="E496" s="51"/>
      <c r="F496" s="51"/>
      <c r="G496" s="51" t="str">
        <f>IFERROR(__xludf.DUMMYFUNCTION("""COMPUTED_VALUE"""),"#VALUE!")</f>
        <v>#VALUE!</v>
      </c>
      <c r="H496" s="51" t="str">
        <f>IFERROR(__xludf.DUMMYFUNCTION("""COMPUTED_VALUE"""),"")</f>
        <v/>
      </c>
      <c r="I496" s="51" t="str">
        <f>IFERROR(__xludf.DUMMYFUNCTION("""COMPUTED_VALUE"""),"#VALUE!")</f>
        <v>#VALUE!</v>
      </c>
      <c r="J496" s="51" t="str">
        <f>IFERROR(__xludf.DUMMYFUNCTION("""COMPUTED_VALUE"""),"")</f>
        <v/>
      </c>
      <c r="K496" s="51"/>
      <c r="L496" s="51" t="s">
        <v>257</v>
      </c>
      <c r="M496" s="51"/>
      <c r="N496" s="51"/>
      <c r="O496" s="51"/>
      <c r="P496" s="51"/>
      <c r="Q496" s="51"/>
      <c r="R496" s="51"/>
      <c r="S496" s="51"/>
      <c r="T496" s="51"/>
    </row>
    <row r="497">
      <c r="A497" s="51"/>
      <c r="B497" s="51"/>
      <c r="C497" s="56"/>
      <c r="D497" s="51"/>
      <c r="E497" s="51"/>
      <c r="F497" s="51"/>
      <c r="G497" s="51" t="str">
        <f>IFERROR(__xludf.DUMMYFUNCTION("""COMPUTED_VALUE"""),"#VALUE!")</f>
        <v>#VALUE!</v>
      </c>
      <c r="H497" s="51" t="str">
        <f>IFERROR(__xludf.DUMMYFUNCTION("""COMPUTED_VALUE"""),"")</f>
        <v/>
      </c>
      <c r="I497" s="51" t="str">
        <f>IFERROR(__xludf.DUMMYFUNCTION("""COMPUTED_VALUE"""),"#VALUE!")</f>
        <v>#VALUE!</v>
      </c>
      <c r="J497" s="51" t="str">
        <f>IFERROR(__xludf.DUMMYFUNCTION("""COMPUTED_VALUE"""),"")</f>
        <v/>
      </c>
      <c r="K497" s="51"/>
      <c r="L497" s="51" t="s">
        <v>257</v>
      </c>
      <c r="M497" s="51"/>
      <c r="N497" s="51"/>
      <c r="O497" s="51"/>
      <c r="P497" s="51"/>
      <c r="Q497" s="51"/>
      <c r="R497" s="51"/>
      <c r="S497" s="51"/>
      <c r="T497" s="51"/>
    </row>
    <row r="498">
      <c r="A498" s="51"/>
      <c r="B498" s="51"/>
      <c r="C498" s="56"/>
      <c r="D498" s="51"/>
      <c r="E498" s="51"/>
      <c r="F498" s="51"/>
      <c r="G498" s="51" t="str">
        <f>IFERROR(__xludf.DUMMYFUNCTION("""COMPUTED_VALUE"""),"#VALUE!")</f>
        <v>#VALUE!</v>
      </c>
      <c r="H498" s="51" t="str">
        <f>IFERROR(__xludf.DUMMYFUNCTION("""COMPUTED_VALUE"""),"")</f>
        <v/>
      </c>
      <c r="I498" s="51" t="str">
        <f>IFERROR(__xludf.DUMMYFUNCTION("""COMPUTED_VALUE"""),"#VALUE!")</f>
        <v>#VALUE!</v>
      </c>
      <c r="J498" s="51" t="str">
        <f>IFERROR(__xludf.DUMMYFUNCTION("""COMPUTED_VALUE"""),"")</f>
        <v/>
      </c>
      <c r="K498" s="51"/>
      <c r="L498" s="51" t="s">
        <v>257</v>
      </c>
      <c r="M498" s="51"/>
      <c r="N498" s="51"/>
      <c r="O498" s="51"/>
      <c r="P498" s="51"/>
      <c r="Q498" s="51"/>
      <c r="R498" s="51"/>
      <c r="S498" s="51"/>
      <c r="T498" s="51"/>
    </row>
    <row r="499">
      <c r="A499" s="51"/>
      <c r="B499" s="51"/>
      <c r="C499" s="56"/>
      <c r="D499" s="51"/>
      <c r="E499" s="51"/>
      <c r="F499" s="51"/>
      <c r="G499" s="51" t="str">
        <f>IFERROR(__xludf.DUMMYFUNCTION("""COMPUTED_VALUE"""),"#VALUE!")</f>
        <v>#VALUE!</v>
      </c>
      <c r="H499" s="51" t="str">
        <f>IFERROR(__xludf.DUMMYFUNCTION("""COMPUTED_VALUE"""),"")</f>
        <v/>
      </c>
      <c r="I499" s="51" t="str">
        <f>IFERROR(__xludf.DUMMYFUNCTION("""COMPUTED_VALUE"""),"#VALUE!")</f>
        <v>#VALUE!</v>
      </c>
      <c r="J499" s="51" t="str">
        <f>IFERROR(__xludf.DUMMYFUNCTION("""COMPUTED_VALUE"""),"")</f>
        <v/>
      </c>
      <c r="K499" s="51"/>
      <c r="L499" s="51" t="s">
        <v>257</v>
      </c>
      <c r="M499" s="51"/>
      <c r="N499" s="51"/>
      <c r="O499" s="51"/>
      <c r="P499" s="51"/>
      <c r="Q499" s="51"/>
      <c r="R499" s="51"/>
      <c r="S499" s="51"/>
      <c r="T499" s="51"/>
    </row>
    <row r="500">
      <c r="A500" s="51"/>
      <c r="B500" s="51"/>
      <c r="C500" s="56"/>
      <c r="D500" s="51"/>
      <c r="E500" s="51"/>
      <c r="F500" s="51"/>
      <c r="G500" s="51" t="str">
        <f>IFERROR(__xludf.DUMMYFUNCTION("""COMPUTED_VALUE"""),"#VALUE!")</f>
        <v>#VALUE!</v>
      </c>
      <c r="H500" s="51" t="str">
        <f>IFERROR(__xludf.DUMMYFUNCTION("""COMPUTED_VALUE"""),"")</f>
        <v/>
      </c>
      <c r="I500" s="51" t="str">
        <f>IFERROR(__xludf.DUMMYFUNCTION("""COMPUTED_VALUE"""),"#VALUE!")</f>
        <v>#VALUE!</v>
      </c>
      <c r="J500" s="51" t="str">
        <f>IFERROR(__xludf.DUMMYFUNCTION("""COMPUTED_VALUE"""),"")</f>
        <v/>
      </c>
      <c r="K500" s="51"/>
      <c r="L500" s="51" t="s">
        <v>257</v>
      </c>
      <c r="M500" s="51"/>
      <c r="N500" s="51"/>
      <c r="O500" s="51"/>
      <c r="P500" s="51"/>
      <c r="Q500" s="51"/>
      <c r="R500" s="51"/>
      <c r="S500" s="51"/>
      <c r="T500" s="51"/>
    </row>
    <row r="501">
      <c r="A501" s="51"/>
      <c r="B501" s="51"/>
      <c r="C501" s="56"/>
      <c r="D501" s="51"/>
      <c r="E501" s="51"/>
      <c r="F501" s="51"/>
      <c r="G501" s="51" t="str">
        <f>IFERROR(__xludf.DUMMYFUNCTION("""COMPUTED_VALUE"""),"#VALUE!")</f>
        <v>#VALUE!</v>
      </c>
      <c r="H501" s="51" t="str">
        <f>IFERROR(__xludf.DUMMYFUNCTION("""COMPUTED_VALUE"""),"")</f>
        <v/>
      </c>
      <c r="I501" s="51" t="str">
        <f>IFERROR(__xludf.DUMMYFUNCTION("""COMPUTED_VALUE"""),"#VALUE!")</f>
        <v>#VALUE!</v>
      </c>
      <c r="J501" s="51" t="str">
        <f>IFERROR(__xludf.DUMMYFUNCTION("""COMPUTED_VALUE"""),"")</f>
        <v/>
      </c>
      <c r="K501" s="51"/>
      <c r="L501" s="51" t="s">
        <v>257</v>
      </c>
      <c r="M501" s="51"/>
      <c r="N501" s="51"/>
      <c r="O501" s="51"/>
      <c r="P501" s="51"/>
      <c r="Q501" s="51"/>
      <c r="R501" s="51"/>
      <c r="S501" s="51"/>
      <c r="T501" s="51"/>
    </row>
    <row r="502">
      <c r="A502" s="51"/>
      <c r="B502" s="51"/>
      <c r="C502" s="56"/>
      <c r="D502" s="51"/>
      <c r="E502" s="51"/>
      <c r="F502" s="51"/>
      <c r="G502" s="51" t="str">
        <f>IFERROR(__xludf.DUMMYFUNCTION("""COMPUTED_VALUE"""),"#VALUE!")</f>
        <v>#VALUE!</v>
      </c>
      <c r="H502" s="51" t="str">
        <f>IFERROR(__xludf.DUMMYFUNCTION("""COMPUTED_VALUE"""),"")</f>
        <v/>
      </c>
      <c r="I502" s="51" t="str">
        <f>IFERROR(__xludf.DUMMYFUNCTION("""COMPUTED_VALUE"""),"#VALUE!")</f>
        <v>#VALUE!</v>
      </c>
      <c r="J502" s="51" t="str">
        <f>IFERROR(__xludf.DUMMYFUNCTION("""COMPUTED_VALUE"""),"")</f>
        <v/>
      </c>
      <c r="K502" s="51"/>
      <c r="L502" s="51" t="s">
        <v>257</v>
      </c>
      <c r="M502" s="51"/>
      <c r="N502" s="51"/>
      <c r="O502" s="51"/>
      <c r="P502" s="51"/>
      <c r="Q502" s="51"/>
      <c r="R502" s="51"/>
      <c r="S502" s="51"/>
      <c r="T502" s="51"/>
    </row>
    <row r="503">
      <c r="A503" s="51"/>
      <c r="B503" s="51"/>
      <c r="C503" s="56"/>
      <c r="D503" s="51"/>
      <c r="E503" s="51"/>
      <c r="F503" s="51"/>
      <c r="G503" s="51" t="str">
        <f>IFERROR(__xludf.DUMMYFUNCTION("""COMPUTED_VALUE"""),"#VALUE!")</f>
        <v>#VALUE!</v>
      </c>
      <c r="H503" s="51" t="str">
        <f>IFERROR(__xludf.DUMMYFUNCTION("""COMPUTED_VALUE"""),"")</f>
        <v/>
      </c>
      <c r="I503" s="51" t="str">
        <f>IFERROR(__xludf.DUMMYFUNCTION("""COMPUTED_VALUE"""),"#VALUE!")</f>
        <v>#VALUE!</v>
      </c>
      <c r="J503" s="51" t="str">
        <f>IFERROR(__xludf.DUMMYFUNCTION("""COMPUTED_VALUE"""),"")</f>
        <v/>
      </c>
      <c r="K503" s="51"/>
      <c r="L503" s="51" t="s">
        <v>257</v>
      </c>
      <c r="M503" s="51"/>
      <c r="N503" s="51"/>
      <c r="O503" s="51"/>
      <c r="P503" s="51"/>
      <c r="Q503" s="51"/>
      <c r="R503" s="51"/>
      <c r="S503" s="51"/>
      <c r="T503" s="51"/>
    </row>
    <row r="504">
      <c r="A504" s="51"/>
      <c r="B504" s="51"/>
      <c r="C504" s="56"/>
      <c r="D504" s="51"/>
      <c r="E504" s="51"/>
      <c r="F504" s="51"/>
      <c r="G504" s="51" t="str">
        <f>IFERROR(__xludf.DUMMYFUNCTION("""COMPUTED_VALUE"""),"#VALUE!")</f>
        <v>#VALUE!</v>
      </c>
      <c r="H504" s="51" t="str">
        <f>IFERROR(__xludf.DUMMYFUNCTION("""COMPUTED_VALUE"""),"")</f>
        <v/>
      </c>
      <c r="I504" s="51" t="str">
        <f>IFERROR(__xludf.DUMMYFUNCTION("""COMPUTED_VALUE"""),"#VALUE!")</f>
        <v>#VALUE!</v>
      </c>
      <c r="J504" s="51" t="str">
        <f>IFERROR(__xludf.DUMMYFUNCTION("""COMPUTED_VALUE"""),"")</f>
        <v/>
      </c>
      <c r="K504" s="51"/>
      <c r="L504" s="51" t="s">
        <v>257</v>
      </c>
      <c r="M504" s="51"/>
      <c r="N504" s="51"/>
      <c r="O504" s="51"/>
      <c r="P504" s="51"/>
      <c r="Q504" s="51"/>
      <c r="R504" s="51"/>
      <c r="S504" s="51"/>
      <c r="T504" s="51"/>
    </row>
    <row r="505">
      <c r="A505" s="51"/>
      <c r="B505" s="51"/>
      <c r="C505" s="56"/>
      <c r="D505" s="51"/>
      <c r="E505" s="51"/>
      <c r="F505" s="51"/>
      <c r="G505" s="51" t="str">
        <f>IFERROR(__xludf.DUMMYFUNCTION("""COMPUTED_VALUE"""),"#VALUE!")</f>
        <v>#VALUE!</v>
      </c>
      <c r="H505" s="51" t="str">
        <f>IFERROR(__xludf.DUMMYFUNCTION("""COMPUTED_VALUE"""),"")</f>
        <v/>
      </c>
      <c r="I505" s="51" t="str">
        <f>IFERROR(__xludf.DUMMYFUNCTION("""COMPUTED_VALUE"""),"#VALUE!")</f>
        <v>#VALUE!</v>
      </c>
      <c r="J505" s="51" t="str">
        <f>IFERROR(__xludf.DUMMYFUNCTION("""COMPUTED_VALUE"""),"")</f>
        <v/>
      </c>
      <c r="K505" s="51"/>
      <c r="L505" s="51" t="s">
        <v>257</v>
      </c>
      <c r="M505" s="51"/>
      <c r="N505" s="51"/>
      <c r="O505" s="51"/>
      <c r="P505" s="51"/>
      <c r="Q505" s="51"/>
      <c r="R505" s="51"/>
      <c r="S505" s="51"/>
      <c r="T505" s="51"/>
    </row>
    <row r="506">
      <c r="A506" s="51"/>
      <c r="B506" s="51"/>
      <c r="C506" s="56"/>
      <c r="D506" s="51"/>
      <c r="E506" s="51"/>
      <c r="F506" s="51"/>
      <c r="G506" s="51" t="str">
        <f>IFERROR(__xludf.DUMMYFUNCTION("""COMPUTED_VALUE"""),"#VALUE!")</f>
        <v>#VALUE!</v>
      </c>
      <c r="H506" s="51" t="str">
        <f>IFERROR(__xludf.DUMMYFUNCTION("""COMPUTED_VALUE"""),"")</f>
        <v/>
      </c>
      <c r="I506" s="51" t="str">
        <f>IFERROR(__xludf.DUMMYFUNCTION("""COMPUTED_VALUE"""),"#VALUE!")</f>
        <v>#VALUE!</v>
      </c>
      <c r="J506" s="51" t="str">
        <f>IFERROR(__xludf.DUMMYFUNCTION("""COMPUTED_VALUE"""),"")</f>
        <v/>
      </c>
      <c r="K506" s="51"/>
      <c r="L506" s="51" t="s">
        <v>257</v>
      </c>
      <c r="M506" s="51"/>
      <c r="N506" s="51"/>
      <c r="O506" s="51"/>
      <c r="P506" s="51"/>
      <c r="Q506" s="51"/>
      <c r="R506" s="51"/>
      <c r="S506" s="51"/>
      <c r="T506" s="51"/>
    </row>
    <row r="507">
      <c r="A507" s="51"/>
      <c r="B507" s="51"/>
      <c r="C507" s="56"/>
      <c r="D507" s="51"/>
      <c r="E507" s="51"/>
      <c r="F507" s="51"/>
      <c r="G507" s="51" t="str">
        <f>IFERROR(__xludf.DUMMYFUNCTION("""COMPUTED_VALUE"""),"#VALUE!")</f>
        <v>#VALUE!</v>
      </c>
      <c r="H507" s="51" t="str">
        <f>IFERROR(__xludf.DUMMYFUNCTION("""COMPUTED_VALUE"""),"")</f>
        <v/>
      </c>
      <c r="I507" s="51" t="str">
        <f>IFERROR(__xludf.DUMMYFUNCTION("""COMPUTED_VALUE"""),"#VALUE!")</f>
        <v>#VALUE!</v>
      </c>
      <c r="J507" s="51" t="str">
        <f>IFERROR(__xludf.DUMMYFUNCTION("""COMPUTED_VALUE"""),"")</f>
        <v/>
      </c>
      <c r="K507" s="51"/>
      <c r="L507" s="51" t="s">
        <v>257</v>
      </c>
      <c r="M507" s="51"/>
      <c r="N507" s="51"/>
      <c r="O507" s="51"/>
      <c r="P507" s="51"/>
      <c r="Q507" s="51"/>
      <c r="R507" s="51"/>
      <c r="S507" s="51"/>
      <c r="T507" s="51"/>
    </row>
    <row r="508">
      <c r="A508" s="51"/>
      <c r="B508" s="51"/>
      <c r="C508" s="56"/>
      <c r="D508" s="51"/>
      <c r="E508" s="51"/>
      <c r="F508" s="51"/>
      <c r="G508" s="51" t="str">
        <f>IFERROR(__xludf.DUMMYFUNCTION("""COMPUTED_VALUE"""),"#VALUE!")</f>
        <v>#VALUE!</v>
      </c>
      <c r="H508" s="51" t="str">
        <f>IFERROR(__xludf.DUMMYFUNCTION("""COMPUTED_VALUE"""),"")</f>
        <v/>
      </c>
      <c r="I508" s="51" t="str">
        <f>IFERROR(__xludf.DUMMYFUNCTION("""COMPUTED_VALUE"""),"#VALUE!")</f>
        <v>#VALUE!</v>
      </c>
      <c r="J508" s="51" t="str">
        <f>IFERROR(__xludf.DUMMYFUNCTION("""COMPUTED_VALUE"""),"")</f>
        <v/>
      </c>
      <c r="K508" s="51"/>
      <c r="L508" s="51" t="s">
        <v>257</v>
      </c>
      <c r="M508" s="51"/>
      <c r="N508" s="51"/>
      <c r="O508" s="51"/>
      <c r="P508" s="51"/>
      <c r="Q508" s="51"/>
      <c r="R508" s="51"/>
      <c r="S508" s="51"/>
      <c r="T508" s="51"/>
    </row>
    <row r="509">
      <c r="A509" s="51"/>
      <c r="B509" s="51"/>
      <c r="C509" s="56"/>
      <c r="D509" s="51"/>
      <c r="E509" s="51"/>
      <c r="F509" s="51"/>
      <c r="G509" s="51" t="str">
        <f>IFERROR(__xludf.DUMMYFUNCTION("""COMPUTED_VALUE"""),"#VALUE!")</f>
        <v>#VALUE!</v>
      </c>
      <c r="H509" s="51" t="str">
        <f>IFERROR(__xludf.DUMMYFUNCTION("""COMPUTED_VALUE"""),"")</f>
        <v/>
      </c>
      <c r="I509" s="51" t="str">
        <f>IFERROR(__xludf.DUMMYFUNCTION("""COMPUTED_VALUE"""),"#VALUE!")</f>
        <v>#VALUE!</v>
      </c>
      <c r="J509" s="51" t="str">
        <f>IFERROR(__xludf.DUMMYFUNCTION("""COMPUTED_VALUE"""),"")</f>
        <v/>
      </c>
      <c r="K509" s="51"/>
      <c r="L509" s="51" t="s">
        <v>257</v>
      </c>
      <c r="M509" s="51"/>
      <c r="N509" s="51"/>
      <c r="O509" s="51"/>
      <c r="P509" s="51"/>
      <c r="Q509" s="51"/>
      <c r="R509" s="51"/>
      <c r="S509" s="51"/>
      <c r="T509" s="51"/>
    </row>
    <row r="510">
      <c r="A510" s="51"/>
      <c r="B510" s="51"/>
      <c r="C510" s="56"/>
      <c r="D510" s="51"/>
      <c r="E510" s="51"/>
      <c r="F510" s="51"/>
      <c r="G510" s="51" t="str">
        <f>IFERROR(__xludf.DUMMYFUNCTION("""COMPUTED_VALUE"""),"#VALUE!")</f>
        <v>#VALUE!</v>
      </c>
      <c r="H510" s="51" t="str">
        <f>IFERROR(__xludf.DUMMYFUNCTION("""COMPUTED_VALUE"""),"")</f>
        <v/>
      </c>
      <c r="I510" s="51" t="str">
        <f>IFERROR(__xludf.DUMMYFUNCTION("""COMPUTED_VALUE"""),"#VALUE!")</f>
        <v>#VALUE!</v>
      </c>
      <c r="J510" s="51" t="str">
        <f>IFERROR(__xludf.DUMMYFUNCTION("""COMPUTED_VALUE"""),"")</f>
        <v/>
      </c>
      <c r="K510" s="51"/>
      <c r="L510" s="51" t="s">
        <v>257</v>
      </c>
      <c r="M510" s="51"/>
      <c r="N510" s="51"/>
      <c r="O510" s="51"/>
      <c r="P510" s="51"/>
      <c r="Q510" s="51"/>
      <c r="R510" s="51"/>
      <c r="S510" s="51"/>
      <c r="T510" s="51"/>
    </row>
    <row r="511">
      <c r="A511" s="51"/>
      <c r="B511" s="51"/>
      <c r="C511" s="56"/>
      <c r="D511" s="51"/>
      <c r="E511" s="51"/>
      <c r="F511" s="51"/>
      <c r="G511" s="51" t="str">
        <f>IFERROR(__xludf.DUMMYFUNCTION("""COMPUTED_VALUE"""),"#VALUE!")</f>
        <v>#VALUE!</v>
      </c>
      <c r="H511" s="51" t="str">
        <f>IFERROR(__xludf.DUMMYFUNCTION("""COMPUTED_VALUE"""),"")</f>
        <v/>
      </c>
      <c r="I511" s="51" t="str">
        <f>IFERROR(__xludf.DUMMYFUNCTION("""COMPUTED_VALUE"""),"#VALUE!")</f>
        <v>#VALUE!</v>
      </c>
      <c r="J511" s="51" t="str">
        <f>IFERROR(__xludf.DUMMYFUNCTION("""COMPUTED_VALUE"""),"")</f>
        <v/>
      </c>
      <c r="K511" s="51"/>
      <c r="L511" s="51" t="s">
        <v>257</v>
      </c>
      <c r="M511" s="51"/>
      <c r="N511" s="51"/>
      <c r="O511" s="51"/>
      <c r="P511" s="51"/>
      <c r="Q511" s="51"/>
      <c r="R511" s="51"/>
      <c r="S511" s="51"/>
      <c r="T511" s="51"/>
    </row>
    <row r="512">
      <c r="A512" s="51"/>
      <c r="B512" s="51"/>
      <c r="C512" s="56"/>
      <c r="D512" s="51"/>
      <c r="E512" s="51"/>
      <c r="F512" s="51"/>
      <c r="G512" s="51" t="str">
        <f>IFERROR(__xludf.DUMMYFUNCTION("""COMPUTED_VALUE"""),"#VALUE!")</f>
        <v>#VALUE!</v>
      </c>
      <c r="H512" s="51" t="str">
        <f>IFERROR(__xludf.DUMMYFUNCTION("""COMPUTED_VALUE"""),"")</f>
        <v/>
      </c>
      <c r="I512" s="51" t="str">
        <f>IFERROR(__xludf.DUMMYFUNCTION("""COMPUTED_VALUE"""),"#VALUE!")</f>
        <v>#VALUE!</v>
      </c>
      <c r="J512" s="51" t="str">
        <f>IFERROR(__xludf.DUMMYFUNCTION("""COMPUTED_VALUE"""),"")</f>
        <v/>
      </c>
      <c r="K512" s="51"/>
      <c r="L512" s="51" t="s">
        <v>257</v>
      </c>
      <c r="M512" s="51"/>
      <c r="N512" s="51"/>
      <c r="O512" s="51"/>
      <c r="P512" s="51"/>
      <c r="Q512" s="51"/>
      <c r="R512" s="51"/>
      <c r="S512" s="51"/>
      <c r="T512" s="51"/>
    </row>
    <row r="513">
      <c r="A513" s="51"/>
      <c r="B513" s="51"/>
      <c r="C513" s="56"/>
      <c r="D513" s="51"/>
      <c r="E513" s="51"/>
      <c r="F513" s="51"/>
      <c r="G513" s="51" t="str">
        <f>IFERROR(__xludf.DUMMYFUNCTION("""COMPUTED_VALUE"""),"#VALUE!")</f>
        <v>#VALUE!</v>
      </c>
      <c r="H513" s="51" t="str">
        <f>IFERROR(__xludf.DUMMYFUNCTION("""COMPUTED_VALUE"""),"")</f>
        <v/>
      </c>
      <c r="I513" s="51" t="str">
        <f>IFERROR(__xludf.DUMMYFUNCTION("""COMPUTED_VALUE"""),"#VALUE!")</f>
        <v>#VALUE!</v>
      </c>
      <c r="J513" s="51" t="str">
        <f>IFERROR(__xludf.DUMMYFUNCTION("""COMPUTED_VALUE"""),"")</f>
        <v/>
      </c>
      <c r="K513" s="51"/>
      <c r="L513" s="51" t="s">
        <v>257</v>
      </c>
      <c r="M513" s="51"/>
      <c r="N513" s="51"/>
      <c r="O513" s="51"/>
      <c r="P513" s="51"/>
      <c r="Q513" s="51"/>
      <c r="R513" s="51"/>
      <c r="S513" s="51"/>
      <c r="T513" s="51"/>
    </row>
    <row r="514">
      <c r="A514" s="51"/>
      <c r="B514" s="51"/>
      <c r="C514" s="56"/>
      <c r="D514" s="51"/>
      <c r="E514" s="51"/>
      <c r="F514" s="51"/>
      <c r="G514" s="51" t="str">
        <f>IFERROR(__xludf.DUMMYFUNCTION("""COMPUTED_VALUE"""),"#VALUE!")</f>
        <v>#VALUE!</v>
      </c>
      <c r="H514" s="51" t="str">
        <f>IFERROR(__xludf.DUMMYFUNCTION("""COMPUTED_VALUE"""),"")</f>
        <v/>
      </c>
      <c r="I514" s="51" t="str">
        <f>IFERROR(__xludf.DUMMYFUNCTION("""COMPUTED_VALUE"""),"#VALUE!")</f>
        <v>#VALUE!</v>
      </c>
      <c r="J514" s="51" t="str">
        <f>IFERROR(__xludf.DUMMYFUNCTION("""COMPUTED_VALUE"""),"")</f>
        <v/>
      </c>
      <c r="K514" s="51"/>
      <c r="L514" s="51" t="s">
        <v>257</v>
      </c>
      <c r="M514" s="51"/>
      <c r="N514" s="51"/>
      <c r="O514" s="51"/>
      <c r="P514" s="51"/>
      <c r="Q514" s="51"/>
      <c r="R514" s="51"/>
      <c r="S514" s="51"/>
      <c r="T514" s="51"/>
    </row>
    <row r="515">
      <c r="A515" s="51"/>
      <c r="B515" s="51"/>
      <c r="C515" s="56"/>
      <c r="D515" s="51"/>
      <c r="E515" s="51"/>
      <c r="F515" s="51"/>
      <c r="G515" s="51" t="str">
        <f>IFERROR(__xludf.DUMMYFUNCTION("""COMPUTED_VALUE"""),"#VALUE!")</f>
        <v>#VALUE!</v>
      </c>
      <c r="H515" s="51" t="str">
        <f>IFERROR(__xludf.DUMMYFUNCTION("""COMPUTED_VALUE"""),"")</f>
        <v/>
      </c>
      <c r="I515" s="51" t="str">
        <f>IFERROR(__xludf.DUMMYFUNCTION("""COMPUTED_VALUE"""),"#VALUE!")</f>
        <v>#VALUE!</v>
      </c>
      <c r="J515" s="51" t="str">
        <f>IFERROR(__xludf.DUMMYFUNCTION("""COMPUTED_VALUE"""),"")</f>
        <v/>
      </c>
      <c r="K515" s="51"/>
      <c r="L515" s="51" t="s">
        <v>257</v>
      </c>
      <c r="M515" s="51"/>
      <c r="N515" s="51"/>
      <c r="O515" s="51"/>
      <c r="P515" s="51"/>
      <c r="Q515" s="51"/>
      <c r="R515" s="51"/>
      <c r="S515" s="51"/>
      <c r="T515" s="51"/>
    </row>
    <row r="516">
      <c r="A516" s="51"/>
      <c r="B516" s="51"/>
      <c r="C516" s="56"/>
      <c r="D516" s="51"/>
      <c r="E516" s="51"/>
      <c r="F516" s="51"/>
      <c r="G516" s="51" t="str">
        <f>IFERROR(__xludf.DUMMYFUNCTION("""COMPUTED_VALUE"""),"#VALUE!")</f>
        <v>#VALUE!</v>
      </c>
      <c r="H516" s="51" t="str">
        <f>IFERROR(__xludf.DUMMYFUNCTION("""COMPUTED_VALUE"""),"")</f>
        <v/>
      </c>
      <c r="I516" s="51" t="str">
        <f>IFERROR(__xludf.DUMMYFUNCTION("""COMPUTED_VALUE"""),"#VALUE!")</f>
        <v>#VALUE!</v>
      </c>
      <c r="J516" s="51" t="str">
        <f>IFERROR(__xludf.DUMMYFUNCTION("""COMPUTED_VALUE"""),"")</f>
        <v/>
      </c>
      <c r="K516" s="51"/>
      <c r="L516" s="51" t="s">
        <v>257</v>
      </c>
      <c r="M516" s="51"/>
      <c r="N516" s="51"/>
      <c r="O516" s="51"/>
      <c r="P516" s="51"/>
      <c r="Q516" s="51"/>
      <c r="R516" s="51"/>
      <c r="S516" s="51"/>
      <c r="T516" s="51"/>
    </row>
    <row r="517">
      <c r="A517" s="51"/>
      <c r="B517" s="51"/>
      <c r="C517" s="56"/>
      <c r="D517" s="51"/>
      <c r="E517" s="51"/>
      <c r="F517" s="51"/>
      <c r="G517" s="51" t="str">
        <f>IFERROR(__xludf.DUMMYFUNCTION("""COMPUTED_VALUE"""),"#VALUE!")</f>
        <v>#VALUE!</v>
      </c>
      <c r="H517" s="51" t="str">
        <f>IFERROR(__xludf.DUMMYFUNCTION("""COMPUTED_VALUE"""),"")</f>
        <v/>
      </c>
      <c r="I517" s="51" t="str">
        <f>IFERROR(__xludf.DUMMYFUNCTION("""COMPUTED_VALUE"""),"#VALUE!")</f>
        <v>#VALUE!</v>
      </c>
      <c r="J517" s="51" t="str">
        <f>IFERROR(__xludf.DUMMYFUNCTION("""COMPUTED_VALUE"""),"")</f>
        <v/>
      </c>
      <c r="K517" s="51"/>
      <c r="L517" s="51" t="s">
        <v>257</v>
      </c>
      <c r="M517" s="51"/>
      <c r="N517" s="51"/>
      <c r="O517" s="51"/>
      <c r="P517" s="51"/>
      <c r="Q517" s="51"/>
      <c r="R517" s="51"/>
      <c r="S517" s="51"/>
      <c r="T517" s="51"/>
    </row>
    <row r="518">
      <c r="A518" s="51"/>
      <c r="B518" s="51"/>
      <c r="C518" s="56"/>
      <c r="D518" s="51"/>
      <c r="E518" s="51"/>
      <c r="F518" s="51"/>
      <c r="G518" s="51" t="str">
        <f>IFERROR(__xludf.DUMMYFUNCTION("""COMPUTED_VALUE"""),"#VALUE!")</f>
        <v>#VALUE!</v>
      </c>
      <c r="H518" s="51" t="str">
        <f>IFERROR(__xludf.DUMMYFUNCTION("""COMPUTED_VALUE"""),"")</f>
        <v/>
      </c>
      <c r="I518" s="51" t="str">
        <f>IFERROR(__xludf.DUMMYFUNCTION("""COMPUTED_VALUE"""),"#VALUE!")</f>
        <v>#VALUE!</v>
      </c>
      <c r="J518" s="51" t="str">
        <f>IFERROR(__xludf.DUMMYFUNCTION("""COMPUTED_VALUE"""),"")</f>
        <v/>
      </c>
      <c r="K518" s="51"/>
      <c r="L518" s="51" t="s">
        <v>257</v>
      </c>
      <c r="M518" s="51"/>
      <c r="N518" s="51"/>
      <c r="O518" s="51"/>
      <c r="P518" s="51"/>
      <c r="Q518" s="51"/>
      <c r="R518" s="51"/>
      <c r="S518" s="51"/>
      <c r="T518" s="51"/>
    </row>
    <row r="519">
      <c r="A519" s="51"/>
      <c r="B519" s="51"/>
      <c r="C519" s="56"/>
      <c r="D519" s="51"/>
      <c r="E519" s="51"/>
      <c r="F519" s="51"/>
      <c r="G519" s="51" t="str">
        <f>IFERROR(__xludf.DUMMYFUNCTION("""COMPUTED_VALUE"""),"#VALUE!")</f>
        <v>#VALUE!</v>
      </c>
      <c r="H519" s="51" t="str">
        <f>IFERROR(__xludf.DUMMYFUNCTION("""COMPUTED_VALUE"""),"")</f>
        <v/>
      </c>
      <c r="I519" s="51" t="str">
        <f>IFERROR(__xludf.DUMMYFUNCTION("""COMPUTED_VALUE"""),"#VALUE!")</f>
        <v>#VALUE!</v>
      </c>
      <c r="J519" s="51" t="str">
        <f>IFERROR(__xludf.DUMMYFUNCTION("""COMPUTED_VALUE"""),"")</f>
        <v/>
      </c>
      <c r="K519" s="51"/>
      <c r="L519" s="51" t="s">
        <v>257</v>
      </c>
      <c r="M519" s="51"/>
      <c r="N519" s="51"/>
      <c r="O519" s="51"/>
      <c r="P519" s="51"/>
      <c r="Q519" s="51"/>
      <c r="R519" s="51"/>
      <c r="S519" s="51"/>
      <c r="T519" s="51"/>
    </row>
    <row r="520">
      <c r="A520" s="51"/>
      <c r="B520" s="51"/>
      <c r="C520" s="56"/>
      <c r="D520" s="51"/>
      <c r="E520" s="51"/>
      <c r="F520" s="51"/>
      <c r="G520" s="51" t="str">
        <f>IFERROR(__xludf.DUMMYFUNCTION("""COMPUTED_VALUE"""),"#VALUE!")</f>
        <v>#VALUE!</v>
      </c>
      <c r="H520" s="51" t="str">
        <f>IFERROR(__xludf.DUMMYFUNCTION("""COMPUTED_VALUE"""),"")</f>
        <v/>
      </c>
      <c r="I520" s="51" t="str">
        <f>IFERROR(__xludf.DUMMYFUNCTION("""COMPUTED_VALUE"""),"#VALUE!")</f>
        <v>#VALUE!</v>
      </c>
      <c r="J520" s="51" t="str">
        <f>IFERROR(__xludf.DUMMYFUNCTION("""COMPUTED_VALUE"""),"")</f>
        <v/>
      </c>
      <c r="K520" s="51"/>
      <c r="L520" s="51" t="s">
        <v>257</v>
      </c>
      <c r="M520" s="51"/>
      <c r="N520" s="51"/>
      <c r="O520" s="51"/>
      <c r="P520" s="51"/>
      <c r="Q520" s="51"/>
      <c r="R520" s="51"/>
      <c r="S520" s="51"/>
      <c r="T520" s="51"/>
    </row>
    <row r="521">
      <c r="A521" s="51"/>
      <c r="B521" s="51"/>
      <c r="C521" s="56"/>
      <c r="D521" s="51"/>
      <c r="E521" s="51"/>
      <c r="F521" s="51"/>
      <c r="G521" s="51" t="str">
        <f>IFERROR(__xludf.DUMMYFUNCTION("""COMPUTED_VALUE"""),"#VALUE!")</f>
        <v>#VALUE!</v>
      </c>
      <c r="H521" s="51" t="str">
        <f>IFERROR(__xludf.DUMMYFUNCTION("""COMPUTED_VALUE"""),"")</f>
        <v/>
      </c>
      <c r="I521" s="51" t="str">
        <f>IFERROR(__xludf.DUMMYFUNCTION("""COMPUTED_VALUE"""),"#VALUE!")</f>
        <v>#VALUE!</v>
      </c>
      <c r="J521" s="51" t="str">
        <f>IFERROR(__xludf.DUMMYFUNCTION("""COMPUTED_VALUE"""),"")</f>
        <v/>
      </c>
      <c r="K521" s="51"/>
      <c r="L521" s="51" t="s">
        <v>257</v>
      </c>
      <c r="M521" s="51"/>
      <c r="N521" s="51"/>
      <c r="O521" s="51"/>
      <c r="P521" s="51"/>
      <c r="Q521" s="51"/>
      <c r="R521" s="51"/>
      <c r="S521" s="51"/>
      <c r="T521" s="51"/>
    </row>
    <row r="522">
      <c r="A522" s="51"/>
      <c r="B522" s="51"/>
      <c r="C522" s="56"/>
      <c r="D522" s="51"/>
      <c r="E522" s="51"/>
      <c r="F522" s="51"/>
      <c r="G522" s="51" t="str">
        <f>IFERROR(__xludf.DUMMYFUNCTION("""COMPUTED_VALUE"""),"#VALUE!")</f>
        <v>#VALUE!</v>
      </c>
      <c r="H522" s="51" t="str">
        <f>IFERROR(__xludf.DUMMYFUNCTION("""COMPUTED_VALUE"""),"")</f>
        <v/>
      </c>
      <c r="I522" s="51" t="str">
        <f>IFERROR(__xludf.DUMMYFUNCTION("""COMPUTED_VALUE"""),"#VALUE!")</f>
        <v>#VALUE!</v>
      </c>
      <c r="J522" s="51" t="str">
        <f>IFERROR(__xludf.DUMMYFUNCTION("""COMPUTED_VALUE"""),"")</f>
        <v/>
      </c>
      <c r="K522" s="51"/>
      <c r="L522" s="51" t="s">
        <v>257</v>
      </c>
      <c r="M522" s="51"/>
      <c r="N522" s="51"/>
      <c r="O522" s="51"/>
      <c r="P522" s="51"/>
      <c r="Q522" s="51"/>
      <c r="R522" s="51"/>
      <c r="S522" s="51"/>
      <c r="T522" s="51"/>
    </row>
    <row r="523">
      <c r="A523" s="51"/>
      <c r="B523" s="51"/>
      <c r="C523" s="56"/>
      <c r="D523" s="51"/>
      <c r="E523" s="51"/>
      <c r="F523" s="51"/>
      <c r="G523" s="51" t="str">
        <f>IFERROR(__xludf.DUMMYFUNCTION("""COMPUTED_VALUE"""),"#VALUE!")</f>
        <v>#VALUE!</v>
      </c>
      <c r="H523" s="51" t="str">
        <f>IFERROR(__xludf.DUMMYFUNCTION("""COMPUTED_VALUE"""),"")</f>
        <v/>
      </c>
      <c r="I523" s="51" t="str">
        <f>IFERROR(__xludf.DUMMYFUNCTION("""COMPUTED_VALUE"""),"#VALUE!")</f>
        <v>#VALUE!</v>
      </c>
      <c r="J523" s="51" t="str">
        <f>IFERROR(__xludf.DUMMYFUNCTION("""COMPUTED_VALUE"""),"")</f>
        <v/>
      </c>
      <c r="K523" s="51"/>
      <c r="L523" s="51" t="s">
        <v>257</v>
      </c>
      <c r="M523" s="51"/>
      <c r="N523" s="51"/>
      <c r="O523" s="51"/>
      <c r="P523" s="51"/>
      <c r="Q523" s="51"/>
      <c r="R523" s="51"/>
      <c r="S523" s="51"/>
      <c r="T523" s="51"/>
    </row>
  </sheetData>
  <conditionalFormatting sqref="O2:O16">
    <cfRule type="containsText" dxfId="4" priority="1" operator="containsText" text="YES">
      <formula>NOT(ISERROR(SEARCH(("YES"),(O2))))</formula>
    </cfRule>
  </conditionalFormatting>
  <conditionalFormatting sqref="O2:O16">
    <cfRule type="cellIs" dxfId="5" priority="2" operator="equal">
      <formula>"NO"</formula>
    </cfRule>
  </conditionalFormatting>
  <conditionalFormatting sqref="P2:P16">
    <cfRule type="cellIs" dxfId="4" priority="3" operator="equal">
      <formula>"AVAILABLE"</formula>
    </cfRule>
  </conditionalFormatting>
  <conditionalFormatting sqref="P2:P16">
    <cfRule type="cellIs" dxfId="5" priority="4" operator="equal">
      <formula>"NOT AVAILABLE"</formula>
    </cfRule>
  </conditionalFormatting>
  <conditionalFormatting sqref="Q2:Q16">
    <cfRule type="cellIs" dxfId="4" priority="5" operator="equal">
      <formula>"AVAILABLE"</formula>
    </cfRule>
  </conditionalFormatting>
  <conditionalFormatting sqref="Q2:Q16">
    <cfRule type="cellIs" dxfId="6" priority="6" operator="equal">
      <formula>"UPLOADING"</formula>
    </cfRule>
  </conditionalFormatting>
  <conditionalFormatting sqref="Q2:Q16">
    <cfRule type="cellIs" dxfId="5" priority="7" operator="equal">
      <formula>"NOT AVAILABLE"</formula>
    </cfRule>
  </conditionalFormatting>
  <dataValidations>
    <dataValidation type="list" allowBlank="1" sqref="O2:O16">
      <formula1>"YES,NO"</formula1>
    </dataValidation>
    <dataValidation type="list" allowBlank="1" sqref="P2:P16">
      <formula1>"AVAILABLE,NOT AVAILABLE"</formula1>
    </dataValidation>
    <dataValidation type="list" allowBlank="1" sqref="Q2:Q16">
      <formula1>"AVAILABLE,UPLOADING,NOT AVAILABLE"</formula1>
    </dataValidation>
  </dataValidations>
  <drawing r:id="rId1"/>
  <tableParts count="1">
    <tablePart r:id="rId3"/>
  </tableParts>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7.14"/>
    <col customWidth="1" min="3" max="3" width="24.71"/>
    <col hidden="1" min="4" max="5" width="14.43"/>
    <col customWidth="1" min="6" max="6" width="36.57"/>
    <col hidden="1" min="9" max="9" width="14.43"/>
  </cols>
  <sheetData>
    <row r="1">
      <c r="A1" s="46" t="s">
        <v>79</v>
      </c>
      <c r="B1" s="46" t="s">
        <v>80</v>
      </c>
      <c r="C1" s="48" t="s">
        <v>81</v>
      </c>
      <c r="D1" s="46" t="s">
        <v>82</v>
      </c>
      <c r="E1" s="46" t="s">
        <v>83</v>
      </c>
      <c r="F1" s="46" t="s">
        <v>84</v>
      </c>
      <c r="G1" s="46" t="s">
        <v>85</v>
      </c>
      <c r="H1" s="46" t="s">
        <v>86</v>
      </c>
      <c r="I1" s="46" t="s">
        <v>87</v>
      </c>
      <c r="J1" s="46" t="s">
        <v>88</v>
      </c>
      <c r="K1" s="46" t="s">
        <v>89</v>
      </c>
      <c r="L1" s="46" t="s">
        <v>90</v>
      </c>
      <c r="M1" s="46" t="s">
        <v>91</v>
      </c>
      <c r="N1" s="46" t="s">
        <v>92</v>
      </c>
      <c r="O1" s="50" t="s">
        <v>93</v>
      </c>
      <c r="P1" s="50" t="s">
        <v>94</v>
      </c>
      <c r="Q1" s="50" t="s">
        <v>95</v>
      </c>
      <c r="R1" s="51"/>
      <c r="S1" s="51"/>
      <c r="T1" s="51"/>
    </row>
    <row r="2">
      <c r="A2" s="54" t="str">
        <f>IFERROR(__xludf.DUMMYFUNCTION("QUERY(Master!A:H,""SELECT A,C,D,F,G,H where C = 'SaaS Monster' ORDER BY F"")"),"Opening Remarks: Not just another player: Four huge visions of SaaS enablement!")</f>
        <v>Opening Remarks: Not just another player: Four huge visions of SaaS enablement!</v>
      </c>
      <c r="B2" s="51" t="str">
        <f>IFERROR(__xludf.DUMMYFUNCTION("""COMPUTED_VALUE"""),"SaaS Monster")</f>
        <v>SaaS Monster</v>
      </c>
      <c r="C2" s="56" t="str">
        <f>IFERROR(__xludf.DUMMYFUNCTION("""COMPUTED_VALUE"""),"Stephen Cummins")</f>
        <v>Stephen Cummins</v>
      </c>
      <c r="D2" s="51" t="str">
        <f>IFERROR(__xludf.DUMMYFUNCTION("""COMPUTED_VALUE"""),"2019/11/05 10:15:00")</f>
        <v>2019/11/05 10:15:00</v>
      </c>
      <c r="E2" s="51" t="str">
        <f>IFERROR(__xludf.DUMMYFUNCTION("""COMPUTED_VALUE"""),"2019/11/05 10:30:00")</f>
        <v>2019/11/05 10:30:00</v>
      </c>
      <c r="F2" s="51" t="str">
        <f>IFERROR(__xludf.DUMMYFUNCTION("""COMPUTED_VALUE"""),"0bf64b65-4621-468c-a8ea-741ffab94a56")</f>
        <v>0bf64b65-4621-468c-a8ea-741ffab94a56</v>
      </c>
      <c r="G2" s="61">
        <f>IFERROR(__xludf.DUMMYFUNCTION("ARRAYFORMULA(SPLIT(D2:D545,"" ""))"),43774.0)</f>
        <v>43774</v>
      </c>
      <c r="H2" s="60">
        <f>IFERROR(__xludf.DUMMYFUNCTION("""COMPUTED_VALUE"""),0.4270833333333333)</f>
        <v>0.4270833333</v>
      </c>
      <c r="I2" s="61">
        <f>IFERROR(__xludf.DUMMYFUNCTION("ARRAYFORMULA(SPLIT(E2:E545,"" ""))"),43774.0)</f>
        <v>43774</v>
      </c>
      <c r="J2" s="60">
        <f>IFERROR(__xludf.DUMMYFUNCTION("""COMPUTED_VALUE"""),0.4375)</f>
        <v>0.4375</v>
      </c>
      <c r="K2" s="60">
        <f t="shared" ref="K2:K44" si="1">J2-H2</f>
        <v>0.01041666667</v>
      </c>
      <c r="L2" s="54" t="str">
        <f t="array" ref="L2:L545">TEXT(K2:K545,"hhmmss")</f>
        <v>001500</v>
      </c>
      <c r="M2" s="62" t="s">
        <v>580</v>
      </c>
      <c r="N2" s="62" t="str">
        <f>CONCATENATE(M2,"_",F2,"_","000000_000000.mp4")</f>
        <v>SM_4_1_0bf64b65-4621-468c-a8ea-741ffab94a56_000000_000000.mp4</v>
      </c>
      <c r="O2" s="50"/>
      <c r="P2" s="50"/>
      <c r="Q2" s="63"/>
      <c r="R2" s="51"/>
      <c r="S2" s="51"/>
      <c r="T2" s="51"/>
    </row>
    <row r="3">
      <c r="A3" s="51" t="str">
        <f>IFERROR(__xludf.DUMMYFUNCTION("""COMPUTED_VALUE"""),"Back to the future with cloud")</f>
        <v>Back to the future with cloud</v>
      </c>
      <c r="B3" s="51" t="str">
        <f>IFERROR(__xludf.DUMMYFUNCTION("""COMPUTED_VALUE"""),"SaaS Monster")</f>
        <v>SaaS Monster</v>
      </c>
      <c r="C3" s="56" t="str">
        <f>IFERROR(__xludf.DUMMYFUNCTION("""COMPUTED_VALUE"""),"Adaire Fox-Martin")</f>
        <v>Adaire Fox-Martin</v>
      </c>
      <c r="D3" s="51" t="str">
        <f>IFERROR(__xludf.DUMMYFUNCTION("""COMPUTED_VALUE"""),"2019/11/05 10:30:00")</f>
        <v>2019/11/05 10:30:00</v>
      </c>
      <c r="E3" s="51" t="str">
        <f>IFERROR(__xludf.DUMMYFUNCTION("""COMPUTED_VALUE"""),"2019/11/05 10:50:00")</f>
        <v>2019/11/05 10:50:00</v>
      </c>
      <c r="F3" s="51" t="str">
        <f>IFERROR(__xludf.DUMMYFUNCTION("""COMPUTED_VALUE"""),"52d1fcf0-7511-4479-9b2f-84624a820b06")</f>
        <v>52d1fcf0-7511-4479-9b2f-84624a820b06</v>
      </c>
      <c r="G3" s="58">
        <f>IFERROR(__xludf.DUMMYFUNCTION("""COMPUTED_VALUE"""),43774.0)</f>
        <v>43774</v>
      </c>
      <c r="H3" s="60">
        <f>IFERROR(__xludf.DUMMYFUNCTION("""COMPUTED_VALUE"""),0.4375)</f>
        <v>0.4375</v>
      </c>
      <c r="I3" s="58">
        <f>IFERROR(__xludf.DUMMYFUNCTION("""COMPUTED_VALUE"""),43774.0)</f>
        <v>43774</v>
      </c>
      <c r="J3" s="60">
        <f>IFERROR(__xludf.DUMMYFUNCTION("""COMPUTED_VALUE"""),0.4513888888888889)</f>
        <v>0.4513888889</v>
      </c>
      <c r="K3" s="60">
        <f t="shared" si="1"/>
        <v>0.01388888889</v>
      </c>
      <c r="L3" s="51" t="s">
        <v>111</v>
      </c>
      <c r="M3" s="51"/>
      <c r="N3" s="51"/>
      <c r="O3" s="50"/>
      <c r="P3" s="50"/>
      <c r="Q3" s="63"/>
      <c r="R3" s="51"/>
      <c r="S3" s="51"/>
      <c r="T3" s="51"/>
    </row>
    <row r="4">
      <c r="A4" s="51" t="str">
        <f>IFERROR(__xludf.DUMMYFUNCTION("""COMPUTED_VALUE"""),"Inside Facebook’s SaaS company")</f>
        <v>Inside Facebook’s SaaS company</v>
      </c>
      <c r="B4" s="51" t="str">
        <f>IFERROR(__xludf.DUMMYFUNCTION("""COMPUTED_VALUE"""),"SaaS Monster")</f>
        <v>SaaS Monster</v>
      </c>
      <c r="C4" s="56" t="str">
        <f>IFERROR(__xludf.DUMMYFUNCTION("""COMPUTED_VALUE"""),"Julien Codorniou and Elizabeth Schulze")</f>
        <v>Julien Codorniou and Elizabeth Schulze</v>
      </c>
      <c r="D4" s="51" t="str">
        <f>IFERROR(__xludf.DUMMYFUNCTION("""COMPUTED_VALUE"""),"2019/11/05 10:50:00")</f>
        <v>2019/11/05 10:50:00</v>
      </c>
      <c r="E4" s="51" t="str">
        <f>IFERROR(__xludf.DUMMYFUNCTION("""COMPUTED_VALUE"""),"2019/11/05 11:10:00")</f>
        <v>2019/11/05 11:10:00</v>
      </c>
      <c r="F4" s="51" t="str">
        <f>IFERROR(__xludf.DUMMYFUNCTION("""COMPUTED_VALUE"""),"39212513-fefc-4de6-8644-66f905489c46")</f>
        <v>39212513-fefc-4de6-8644-66f905489c46</v>
      </c>
      <c r="G4" s="58">
        <f>IFERROR(__xludf.DUMMYFUNCTION("""COMPUTED_VALUE"""),43774.0)</f>
        <v>43774</v>
      </c>
      <c r="H4" s="60">
        <f>IFERROR(__xludf.DUMMYFUNCTION("""COMPUTED_VALUE"""),0.4513888888888889)</f>
        <v>0.4513888889</v>
      </c>
      <c r="I4" s="58">
        <f>IFERROR(__xludf.DUMMYFUNCTION("""COMPUTED_VALUE"""),43774.0)</f>
        <v>43774</v>
      </c>
      <c r="J4" s="60">
        <f>IFERROR(__xludf.DUMMYFUNCTION("""COMPUTED_VALUE"""),0.4652777777777778)</f>
        <v>0.4652777778</v>
      </c>
      <c r="K4" s="60">
        <f t="shared" si="1"/>
        <v>0.01388888889</v>
      </c>
      <c r="L4" s="51" t="s">
        <v>111</v>
      </c>
      <c r="M4" s="51"/>
      <c r="N4" s="51"/>
      <c r="O4" s="50"/>
      <c r="P4" s="50"/>
      <c r="Q4" s="63"/>
      <c r="R4" s="51"/>
      <c r="S4" s="51"/>
      <c r="T4" s="51"/>
    </row>
    <row r="5">
      <c r="A5" s="51" t="str">
        <f>IFERROR(__xludf.DUMMYFUNCTION("""COMPUTED_VALUE"""),"Retention as the new conversion")</f>
        <v>Retention as the new conversion</v>
      </c>
      <c r="B5" s="51" t="str">
        <f>IFERROR(__xludf.DUMMYFUNCTION("""COMPUTED_VALUE"""),"SaaS Monster")</f>
        <v>SaaS Monster</v>
      </c>
      <c r="C5" s="56" t="str">
        <f>IFERROR(__xludf.DUMMYFUNCTION("""COMPUTED_VALUE"""),"Des Traynor")</f>
        <v>Des Traynor</v>
      </c>
      <c r="D5" s="51" t="str">
        <f>IFERROR(__xludf.DUMMYFUNCTION("""COMPUTED_VALUE"""),"2019/11/05 11:10:00")</f>
        <v>2019/11/05 11:10:00</v>
      </c>
      <c r="E5" s="51" t="str">
        <f>IFERROR(__xludf.DUMMYFUNCTION("""COMPUTED_VALUE"""),"2019/11/05 11:30:00")</f>
        <v>2019/11/05 11:30:00</v>
      </c>
      <c r="F5" s="51" t="str">
        <f>IFERROR(__xludf.DUMMYFUNCTION("""COMPUTED_VALUE"""),"1212862d-08b2-4165-9c8f-e9316b2c9cd4")</f>
        <v>1212862d-08b2-4165-9c8f-e9316b2c9cd4</v>
      </c>
      <c r="G5" s="58">
        <f>IFERROR(__xludf.DUMMYFUNCTION("""COMPUTED_VALUE"""),43774.0)</f>
        <v>43774</v>
      </c>
      <c r="H5" s="60">
        <f>IFERROR(__xludf.DUMMYFUNCTION("""COMPUTED_VALUE"""),0.4652777777777778)</f>
        <v>0.4652777778</v>
      </c>
      <c r="I5" s="58">
        <f>IFERROR(__xludf.DUMMYFUNCTION("""COMPUTED_VALUE"""),43774.0)</f>
        <v>43774</v>
      </c>
      <c r="J5" s="60">
        <f>IFERROR(__xludf.DUMMYFUNCTION("""COMPUTED_VALUE"""),0.4791666666666667)</f>
        <v>0.4791666667</v>
      </c>
      <c r="K5" s="60">
        <f t="shared" si="1"/>
        <v>0.01388888889</v>
      </c>
      <c r="L5" s="51" t="s">
        <v>111</v>
      </c>
      <c r="M5" s="51"/>
      <c r="N5" s="51"/>
      <c r="O5" s="50"/>
      <c r="P5" s="50"/>
      <c r="Q5" s="63"/>
      <c r="R5" s="51"/>
      <c r="S5" s="51"/>
      <c r="T5" s="51"/>
    </row>
    <row r="6">
      <c r="A6" s="51" t="str">
        <f>IFERROR(__xludf.DUMMYFUNCTION("""COMPUTED_VALUE"""),"To scale or not to scale?")</f>
        <v>To scale or not to scale?</v>
      </c>
      <c r="B6" s="51" t="str">
        <f>IFERROR(__xludf.DUMMYFUNCTION("""COMPUTED_VALUE"""),"SaaS Monster")</f>
        <v>SaaS Monster</v>
      </c>
      <c r="C6" s="56" t="str">
        <f>IFERROR(__xludf.DUMMYFUNCTION("""COMPUTED_VALUE"""),"Ariel Cohen, Bob Moore, Lingjia Tang and Kimberly Weisul")</f>
        <v>Ariel Cohen, Bob Moore, Lingjia Tang and Kimberly Weisul</v>
      </c>
      <c r="D6" s="51" t="str">
        <f>IFERROR(__xludf.DUMMYFUNCTION("""COMPUTED_VALUE"""),"2019/11/05 11:30:00")</f>
        <v>2019/11/05 11:30:00</v>
      </c>
      <c r="E6" s="51" t="str">
        <f>IFERROR(__xludf.DUMMYFUNCTION("""COMPUTED_VALUE"""),"2019/11/05 11:50:00")</f>
        <v>2019/11/05 11:50:00</v>
      </c>
      <c r="F6" s="51" t="str">
        <f>IFERROR(__xludf.DUMMYFUNCTION("""COMPUTED_VALUE"""),"6a495aed-ecdf-47ec-8c0a-e6f37e1afeb2")</f>
        <v>6a495aed-ecdf-47ec-8c0a-e6f37e1afeb2</v>
      </c>
      <c r="G6" s="58">
        <f>IFERROR(__xludf.DUMMYFUNCTION("""COMPUTED_VALUE"""),43774.0)</f>
        <v>43774</v>
      </c>
      <c r="H6" s="60">
        <f>IFERROR(__xludf.DUMMYFUNCTION("""COMPUTED_VALUE"""),0.4791666666666667)</f>
        <v>0.4791666667</v>
      </c>
      <c r="I6" s="58">
        <f>IFERROR(__xludf.DUMMYFUNCTION("""COMPUTED_VALUE"""),43774.0)</f>
        <v>43774</v>
      </c>
      <c r="J6" s="60">
        <f>IFERROR(__xludf.DUMMYFUNCTION("""COMPUTED_VALUE"""),0.4930555555555556)</f>
        <v>0.4930555556</v>
      </c>
      <c r="K6" s="60">
        <f t="shared" si="1"/>
        <v>0.01388888889</v>
      </c>
      <c r="L6" s="51" t="s">
        <v>111</v>
      </c>
      <c r="M6" s="51"/>
      <c r="N6" s="51"/>
      <c r="O6" s="50"/>
      <c r="P6" s="50"/>
      <c r="Q6" s="63"/>
      <c r="R6" s="51"/>
      <c r="S6" s="51"/>
      <c r="T6" s="51"/>
    </row>
    <row r="7">
      <c r="A7" s="51" t="str">
        <f>IFERROR(__xludf.DUMMYFUNCTION("""COMPUTED_VALUE"""),"The democratisation of innovation")</f>
        <v>The democratisation of innovation</v>
      </c>
      <c r="B7" s="51" t="str">
        <f>IFERROR(__xludf.DUMMYFUNCTION("""COMPUTED_VALUE"""),"SaaS Monster")</f>
        <v>SaaS Monster</v>
      </c>
      <c r="C7" s="56" t="str">
        <f>IFERROR(__xludf.DUMMYFUNCTION("""COMPUTED_VALUE"""),"Ross Mason and Julie Bort")</f>
        <v>Ross Mason and Julie Bort</v>
      </c>
      <c r="D7" s="51" t="str">
        <f>IFERROR(__xludf.DUMMYFUNCTION("""COMPUTED_VALUE"""),"2019/11/05 11:50:00")</f>
        <v>2019/11/05 11:50:00</v>
      </c>
      <c r="E7" s="51" t="str">
        <f>IFERROR(__xludf.DUMMYFUNCTION("""COMPUTED_VALUE"""),"2019/11/05 12:10:00")</f>
        <v>2019/11/05 12:10:00</v>
      </c>
      <c r="F7" s="51" t="str">
        <f>IFERROR(__xludf.DUMMYFUNCTION("""COMPUTED_VALUE"""),"7169092f-3e8a-4086-bf3b-d54656a064cb")</f>
        <v>7169092f-3e8a-4086-bf3b-d54656a064cb</v>
      </c>
      <c r="G7" s="58">
        <f>IFERROR(__xludf.DUMMYFUNCTION("""COMPUTED_VALUE"""),43774.0)</f>
        <v>43774</v>
      </c>
      <c r="H7" s="60">
        <f>IFERROR(__xludf.DUMMYFUNCTION("""COMPUTED_VALUE"""),0.4930555555555556)</f>
        <v>0.4930555556</v>
      </c>
      <c r="I7" s="58">
        <f>IFERROR(__xludf.DUMMYFUNCTION("""COMPUTED_VALUE"""),43774.0)</f>
        <v>43774</v>
      </c>
      <c r="J7" s="60">
        <f>IFERROR(__xludf.DUMMYFUNCTION("""COMPUTED_VALUE"""),0.5069444444444444)</f>
        <v>0.5069444444</v>
      </c>
      <c r="K7" s="60">
        <f t="shared" si="1"/>
        <v>0.01388888889</v>
      </c>
      <c r="L7" s="51" t="s">
        <v>111</v>
      </c>
      <c r="M7" s="51"/>
      <c r="N7" s="51"/>
      <c r="O7" s="50"/>
      <c r="P7" s="50"/>
      <c r="Q7" s="63"/>
      <c r="R7" s="51"/>
      <c r="S7" s="51"/>
      <c r="T7" s="51"/>
    </row>
    <row r="8">
      <c r="A8" s="51" t="str">
        <f>IFERROR(__xludf.DUMMYFUNCTION("""COMPUTED_VALUE"""),"From freemium to premium")</f>
        <v>From freemium to premium</v>
      </c>
      <c r="B8" s="51" t="str">
        <f>IFERROR(__xludf.DUMMYFUNCTION("""COMPUTED_VALUE"""),"SaaS Monster")</f>
        <v>SaaS Monster</v>
      </c>
      <c r="C8" s="56" t="str">
        <f>IFERROR(__xludf.DUMMYFUNCTION("""COMPUTED_VALUE"""),"Jager McConnell, Ted Krantz and Don Clark")</f>
        <v>Jager McConnell, Ted Krantz and Don Clark</v>
      </c>
      <c r="D8" s="51" t="str">
        <f>IFERROR(__xludf.DUMMYFUNCTION("""COMPUTED_VALUE"""),"2019/11/05 12:10:00")</f>
        <v>2019/11/05 12:10:00</v>
      </c>
      <c r="E8" s="51" t="str">
        <f>IFERROR(__xludf.DUMMYFUNCTION("""COMPUTED_VALUE"""),"2019/11/05 12:30:00")</f>
        <v>2019/11/05 12:30:00</v>
      </c>
      <c r="F8" s="51" t="str">
        <f>IFERROR(__xludf.DUMMYFUNCTION("""COMPUTED_VALUE"""),"b9c4bff0-a071-41e4-ac1b-fed6c9efac23")</f>
        <v>b9c4bff0-a071-41e4-ac1b-fed6c9efac23</v>
      </c>
      <c r="G8" s="58">
        <f>IFERROR(__xludf.DUMMYFUNCTION("""COMPUTED_VALUE"""),43774.0)</f>
        <v>43774</v>
      </c>
      <c r="H8" s="60">
        <f>IFERROR(__xludf.DUMMYFUNCTION("""COMPUTED_VALUE"""),0.5069444444444444)</f>
        <v>0.5069444444</v>
      </c>
      <c r="I8" s="58">
        <f>IFERROR(__xludf.DUMMYFUNCTION("""COMPUTED_VALUE"""),43774.0)</f>
        <v>43774</v>
      </c>
      <c r="J8" s="60">
        <f>IFERROR(__xludf.DUMMYFUNCTION("""COMPUTED_VALUE"""),0.5208333333333334)</f>
        <v>0.5208333333</v>
      </c>
      <c r="K8" s="60">
        <f t="shared" si="1"/>
        <v>0.01388888889</v>
      </c>
      <c r="L8" s="51" t="s">
        <v>111</v>
      </c>
      <c r="M8" s="51"/>
      <c r="N8" s="51"/>
      <c r="O8" s="50"/>
      <c r="P8" s="50"/>
      <c r="Q8" s="63"/>
      <c r="R8" s="51"/>
      <c r="S8" s="51"/>
      <c r="T8" s="51"/>
    </row>
    <row r="9">
      <c r="A9" s="51" t="str">
        <f>IFERROR(__xludf.DUMMYFUNCTION("""COMPUTED_VALUE"""),"Shortcuts to succ-Saas")</f>
        <v>Shortcuts to succ-Saas</v>
      </c>
      <c r="B9" s="51" t="str">
        <f>IFERROR(__xludf.DUMMYFUNCTION("""COMPUTED_VALUE"""),"SaaS Monster")</f>
        <v>SaaS Monster</v>
      </c>
      <c r="C9" s="56" t="str">
        <f>IFERROR(__xludf.DUMMYFUNCTION("""COMPUTED_VALUE"""),"Janine Pelosi, Tom Klein and Jordan French")</f>
        <v>Janine Pelosi, Tom Klein and Jordan French</v>
      </c>
      <c r="D9" s="51" t="str">
        <f>IFERROR(__xludf.DUMMYFUNCTION("""COMPUTED_VALUE"""),"2019/11/05 12:30:00")</f>
        <v>2019/11/05 12:30:00</v>
      </c>
      <c r="E9" s="51" t="str">
        <f>IFERROR(__xludf.DUMMYFUNCTION("""COMPUTED_VALUE"""),"2019/11/05 12:50:00")</f>
        <v>2019/11/05 12:50:00</v>
      </c>
      <c r="F9" s="51" t="str">
        <f>IFERROR(__xludf.DUMMYFUNCTION("""COMPUTED_VALUE"""),"d13de206-4905-431f-be23-206ebc7b96b9")</f>
        <v>d13de206-4905-431f-be23-206ebc7b96b9</v>
      </c>
      <c r="G9" s="58">
        <f>IFERROR(__xludf.DUMMYFUNCTION("""COMPUTED_VALUE"""),43774.0)</f>
        <v>43774</v>
      </c>
      <c r="H9" s="60">
        <f>IFERROR(__xludf.DUMMYFUNCTION("""COMPUTED_VALUE"""),0.5208333333333334)</f>
        <v>0.5208333333</v>
      </c>
      <c r="I9" s="58">
        <f>IFERROR(__xludf.DUMMYFUNCTION("""COMPUTED_VALUE"""),43774.0)</f>
        <v>43774</v>
      </c>
      <c r="J9" s="60">
        <f>IFERROR(__xludf.DUMMYFUNCTION("""COMPUTED_VALUE"""),0.5347222222222222)</f>
        <v>0.5347222222</v>
      </c>
      <c r="K9" s="60">
        <f t="shared" si="1"/>
        <v>0.01388888889</v>
      </c>
      <c r="L9" s="51" t="s">
        <v>111</v>
      </c>
      <c r="M9" s="51"/>
      <c r="N9" s="51"/>
      <c r="O9" s="50"/>
      <c r="P9" s="50"/>
      <c r="Q9" s="63"/>
      <c r="R9" s="51"/>
      <c r="S9" s="51"/>
      <c r="T9" s="51"/>
    </row>
    <row r="10">
      <c r="A10" s="51" t="str">
        <f>IFERROR(__xludf.DUMMYFUNCTION("""COMPUTED_VALUE"""),"Lunch break")</f>
        <v>Lunch break</v>
      </c>
      <c r="B10" s="51" t="str">
        <f>IFERROR(__xludf.DUMMYFUNCTION("""COMPUTED_VALUE"""),"SaaS Monster")</f>
        <v>SaaS Monster</v>
      </c>
      <c r="C10" s="56" t="str">
        <f>IFERROR(__xludf.DUMMYFUNCTION("""COMPUTED_VALUE"""),"")</f>
        <v/>
      </c>
      <c r="D10" s="51" t="str">
        <f>IFERROR(__xludf.DUMMYFUNCTION("""COMPUTED_VALUE"""),"2019/11/05 12:50:00")</f>
        <v>2019/11/05 12:50:00</v>
      </c>
      <c r="E10" s="51" t="str">
        <f>IFERROR(__xludf.DUMMYFUNCTION("""COMPUTED_VALUE"""),"2019/11/05 13:20:00")</f>
        <v>2019/11/05 13:20:00</v>
      </c>
      <c r="F10" s="51" t="str">
        <f>IFERROR(__xludf.DUMMYFUNCTION("""COMPUTED_VALUE"""),"ac332420-8830-4529-a87b-8a39999aca64")</f>
        <v>ac332420-8830-4529-a87b-8a39999aca64</v>
      </c>
      <c r="G10" s="58">
        <f>IFERROR(__xludf.DUMMYFUNCTION("""COMPUTED_VALUE"""),43774.0)</f>
        <v>43774</v>
      </c>
      <c r="H10" s="60">
        <f>IFERROR(__xludf.DUMMYFUNCTION("""COMPUTED_VALUE"""),0.5347222222222222)</f>
        <v>0.5347222222</v>
      </c>
      <c r="I10" s="58">
        <f>IFERROR(__xludf.DUMMYFUNCTION("""COMPUTED_VALUE"""),43774.0)</f>
        <v>43774</v>
      </c>
      <c r="J10" s="60">
        <f>IFERROR(__xludf.DUMMYFUNCTION("""COMPUTED_VALUE"""),0.5555555555555556)</f>
        <v>0.5555555556</v>
      </c>
      <c r="K10" s="60">
        <f t="shared" si="1"/>
        <v>0.02083333333</v>
      </c>
      <c r="L10" s="51" t="s">
        <v>105</v>
      </c>
      <c r="M10" s="51"/>
      <c r="N10" s="51"/>
      <c r="O10" s="50"/>
      <c r="P10" s="50"/>
      <c r="Q10" s="63"/>
      <c r="R10" s="51"/>
      <c r="S10" s="51"/>
      <c r="T10" s="51"/>
    </row>
    <row r="11">
      <c r="A11" s="51" t="str">
        <f>IFERROR(__xludf.DUMMYFUNCTION("""COMPUTED_VALUE"""),"Opening remarks")</f>
        <v>Opening remarks</v>
      </c>
      <c r="B11" s="51" t="str">
        <f>IFERROR(__xludf.DUMMYFUNCTION("""COMPUTED_VALUE"""),"SaaS Monster")</f>
        <v>SaaS Monster</v>
      </c>
      <c r="C11" s="56" t="str">
        <f>IFERROR(__xludf.DUMMYFUNCTION("""COMPUTED_VALUE"""),"Josh Holmes")</f>
        <v>Josh Holmes</v>
      </c>
      <c r="D11" s="51" t="str">
        <f>IFERROR(__xludf.DUMMYFUNCTION("""COMPUTED_VALUE"""),"2019/11/05 13:20:00")</f>
        <v>2019/11/05 13:20:00</v>
      </c>
      <c r="E11" s="51" t="str">
        <f>IFERROR(__xludf.DUMMYFUNCTION("""COMPUTED_VALUE"""),"2019/11/05 13:25:00")</f>
        <v>2019/11/05 13:25:00</v>
      </c>
      <c r="F11" s="51" t="str">
        <f>IFERROR(__xludf.DUMMYFUNCTION("""COMPUTED_VALUE"""),"9cc0570c-29d4-4b56-8620-8432dfc0cd5d")</f>
        <v>9cc0570c-29d4-4b56-8620-8432dfc0cd5d</v>
      </c>
      <c r="G11" s="58">
        <f>IFERROR(__xludf.DUMMYFUNCTION("""COMPUTED_VALUE"""),43774.0)</f>
        <v>43774</v>
      </c>
      <c r="H11" s="60">
        <f>IFERROR(__xludf.DUMMYFUNCTION("""COMPUTED_VALUE"""),0.5555555555555556)</f>
        <v>0.5555555556</v>
      </c>
      <c r="I11" s="58">
        <f>IFERROR(__xludf.DUMMYFUNCTION("""COMPUTED_VALUE"""),43774.0)</f>
        <v>43774</v>
      </c>
      <c r="J11" s="60">
        <f>IFERROR(__xludf.DUMMYFUNCTION("""COMPUTED_VALUE"""),0.5590277777777778)</f>
        <v>0.5590277778</v>
      </c>
      <c r="K11" s="60">
        <f t="shared" si="1"/>
        <v>0.003472222222</v>
      </c>
      <c r="L11" s="51" t="s">
        <v>234</v>
      </c>
      <c r="M11" s="51"/>
      <c r="N11" s="51"/>
      <c r="O11" s="50"/>
      <c r="P11" s="50"/>
      <c r="Q11" s="63"/>
      <c r="R11" s="51"/>
      <c r="S11" s="51"/>
      <c r="T11" s="51"/>
    </row>
    <row r="12">
      <c r="A12" s="51" t="str">
        <f>IFERROR(__xludf.DUMMYFUNCTION("""COMPUTED_VALUE"""),"How space-based networks will bring internet to the world")</f>
        <v>How space-based networks will bring internet to the world</v>
      </c>
      <c r="B12" s="51" t="str">
        <f>IFERROR(__xludf.DUMMYFUNCTION("""COMPUTED_VALUE"""),"SaaS Monster")</f>
        <v>SaaS Monster</v>
      </c>
      <c r="C12" s="56" t="str">
        <f>IFERROR(__xludf.DUMMYFUNCTION("""COMPUTED_VALUE"""),"Adrián Steckel and Kit Eaton")</f>
        <v>Adrián Steckel and Kit Eaton</v>
      </c>
      <c r="D12" s="51" t="str">
        <f>IFERROR(__xludf.DUMMYFUNCTION("""COMPUTED_VALUE"""),"2019/11/05 13:25:00")</f>
        <v>2019/11/05 13:25:00</v>
      </c>
      <c r="E12" s="51" t="str">
        <f>IFERROR(__xludf.DUMMYFUNCTION("""COMPUTED_VALUE"""),"2019/11/05 13:45:00")</f>
        <v>2019/11/05 13:45:00</v>
      </c>
      <c r="F12" s="51" t="str">
        <f>IFERROR(__xludf.DUMMYFUNCTION("""COMPUTED_VALUE"""),"e5258c6a-52bb-4c7a-aa67-b539a898d668")</f>
        <v>e5258c6a-52bb-4c7a-aa67-b539a898d668</v>
      </c>
      <c r="G12" s="58">
        <f>IFERROR(__xludf.DUMMYFUNCTION("""COMPUTED_VALUE"""),43774.0)</f>
        <v>43774</v>
      </c>
      <c r="H12" s="60">
        <f>IFERROR(__xludf.DUMMYFUNCTION("""COMPUTED_VALUE"""),0.5590277777777778)</f>
        <v>0.5590277778</v>
      </c>
      <c r="I12" s="58">
        <f>IFERROR(__xludf.DUMMYFUNCTION("""COMPUTED_VALUE"""),43774.0)</f>
        <v>43774</v>
      </c>
      <c r="J12" s="60">
        <f>IFERROR(__xludf.DUMMYFUNCTION("""COMPUTED_VALUE"""),0.5729166666666666)</f>
        <v>0.5729166667</v>
      </c>
      <c r="K12" s="60">
        <f t="shared" si="1"/>
        <v>0.01388888889</v>
      </c>
      <c r="L12" s="51" t="s">
        <v>111</v>
      </c>
      <c r="M12" s="51"/>
      <c r="N12" s="51"/>
      <c r="O12" s="50"/>
      <c r="P12" s="50"/>
      <c r="Q12" s="63"/>
      <c r="R12" s="51"/>
      <c r="S12" s="51"/>
      <c r="T12" s="51"/>
    </row>
    <row r="13">
      <c r="A13" s="51" t="str">
        <f>IFERROR(__xludf.DUMMYFUNCTION("""COMPUTED_VALUE"""),"Is collaboration killing us?")</f>
        <v>Is collaboration killing us?</v>
      </c>
      <c r="B13" s="51" t="str">
        <f>IFERROR(__xludf.DUMMYFUNCTION("""COMPUTED_VALUE"""),"SaaS Monster")</f>
        <v>SaaS Monster</v>
      </c>
      <c r="C13" s="56" t="str">
        <f>IFERROR(__xludf.DUMMYFUNCTION("""COMPUTED_VALUE"""),"Chris Farinacci and Jordan French")</f>
        <v>Chris Farinacci and Jordan French</v>
      </c>
      <c r="D13" s="51" t="str">
        <f>IFERROR(__xludf.DUMMYFUNCTION("""COMPUTED_VALUE"""),"2019/11/05 13:45:00")</f>
        <v>2019/11/05 13:45:00</v>
      </c>
      <c r="E13" s="51" t="str">
        <f>IFERROR(__xludf.DUMMYFUNCTION("""COMPUTED_VALUE"""),"2019/11/05 14:05:00")</f>
        <v>2019/11/05 14:05:00</v>
      </c>
      <c r="F13" s="51" t="str">
        <f>IFERROR(__xludf.DUMMYFUNCTION("""COMPUTED_VALUE"""),"175bc399-db50-4844-9a34-d3941af68962")</f>
        <v>175bc399-db50-4844-9a34-d3941af68962</v>
      </c>
      <c r="G13" s="58">
        <f>IFERROR(__xludf.DUMMYFUNCTION("""COMPUTED_VALUE"""),43774.0)</f>
        <v>43774</v>
      </c>
      <c r="H13" s="60">
        <f>IFERROR(__xludf.DUMMYFUNCTION("""COMPUTED_VALUE"""),0.5729166666666666)</f>
        <v>0.5729166667</v>
      </c>
      <c r="I13" s="58">
        <f>IFERROR(__xludf.DUMMYFUNCTION("""COMPUTED_VALUE"""),43774.0)</f>
        <v>43774</v>
      </c>
      <c r="J13" s="60">
        <f>IFERROR(__xludf.DUMMYFUNCTION("""COMPUTED_VALUE"""),0.5868055555555556)</f>
        <v>0.5868055556</v>
      </c>
      <c r="K13" s="60">
        <f t="shared" si="1"/>
        <v>0.01388888889</v>
      </c>
      <c r="L13" s="51" t="s">
        <v>111</v>
      </c>
      <c r="M13" s="51"/>
      <c r="N13" s="51"/>
      <c r="O13" s="50"/>
      <c r="P13" s="50"/>
      <c r="Q13" s="63"/>
      <c r="R13" s="51"/>
      <c r="S13" s="51"/>
      <c r="T13" s="51"/>
    </row>
    <row r="14">
      <c r="A14" s="51" t="str">
        <f>IFERROR(__xludf.DUMMYFUNCTION("""COMPUTED_VALUE"""),"Grow fast or die slow")</f>
        <v>Grow fast or die slow</v>
      </c>
      <c r="B14" s="51" t="str">
        <f>IFERROR(__xludf.DUMMYFUNCTION("""COMPUTED_VALUE"""),"SaaS Monster")</f>
        <v>SaaS Monster</v>
      </c>
      <c r="C14" s="56" t="str">
        <f>IFERROR(__xludf.DUMMYFUNCTION("""COMPUTED_VALUE"""),"Gaurav Dhillon, Frida Polli, Allan Grant and Liam Proud")</f>
        <v>Gaurav Dhillon, Frida Polli, Allan Grant and Liam Proud</v>
      </c>
      <c r="D14" s="51" t="str">
        <f>IFERROR(__xludf.DUMMYFUNCTION("""COMPUTED_VALUE"""),"2019/11/05 14:05:00")</f>
        <v>2019/11/05 14:05:00</v>
      </c>
      <c r="E14" s="51" t="str">
        <f>IFERROR(__xludf.DUMMYFUNCTION("""COMPUTED_VALUE"""),"2019/11/05 14:25:00")</f>
        <v>2019/11/05 14:25:00</v>
      </c>
      <c r="F14" s="51" t="str">
        <f>IFERROR(__xludf.DUMMYFUNCTION("""COMPUTED_VALUE"""),"5e174c71-64d5-46a5-90a1-f607b057db02")</f>
        <v>5e174c71-64d5-46a5-90a1-f607b057db02</v>
      </c>
      <c r="G14" s="58">
        <f>IFERROR(__xludf.DUMMYFUNCTION("""COMPUTED_VALUE"""),43774.0)</f>
        <v>43774</v>
      </c>
      <c r="H14" s="60">
        <f>IFERROR(__xludf.DUMMYFUNCTION("""COMPUTED_VALUE"""),0.5868055555555556)</f>
        <v>0.5868055556</v>
      </c>
      <c r="I14" s="58">
        <f>IFERROR(__xludf.DUMMYFUNCTION("""COMPUTED_VALUE"""),43774.0)</f>
        <v>43774</v>
      </c>
      <c r="J14" s="60">
        <f>IFERROR(__xludf.DUMMYFUNCTION("""COMPUTED_VALUE"""),0.6006944444444444)</f>
        <v>0.6006944444</v>
      </c>
      <c r="K14" s="60">
        <f t="shared" si="1"/>
        <v>0.01388888889</v>
      </c>
      <c r="L14" s="51" t="s">
        <v>111</v>
      </c>
      <c r="M14" s="51"/>
      <c r="N14" s="51"/>
      <c r="O14" s="50"/>
      <c r="P14" s="50"/>
      <c r="Q14" s="63"/>
      <c r="R14" s="51"/>
      <c r="S14" s="51"/>
      <c r="T14" s="51"/>
    </row>
    <row r="15">
      <c r="A15" s="51" t="str">
        <f>IFERROR(__xludf.DUMMYFUNCTION("""COMPUTED_VALUE"""),"I, Robot: The future of marketing ")</f>
        <v>I, Robot: The future of marketing </v>
      </c>
      <c r="B15" s="51" t="str">
        <f>IFERROR(__xludf.DUMMYFUNCTION("""COMPUTED_VALUE"""),"SaaS Monster")</f>
        <v>SaaS Monster</v>
      </c>
      <c r="C15" s="56" t="str">
        <f>IFERROR(__xludf.DUMMYFUNCTION("""COMPUTED_VALUE"""),"Christian Henschel and Emil Protalinski")</f>
        <v>Christian Henschel and Emil Protalinski</v>
      </c>
      <c r="D15" s="51" t="str">
        <f>IFERROR(__xludf.DUMMYFUNCTION("""COMPUTED_VALUE"""),"2019/11/05 14:25:00")</f>
        <v>2019/11/05 14:25:00</v>
      </c>
      <c r="E15" s="51" t="str">
        <f>IFERROR(__xludf.DUMMYFUNCTION("""COMPUTED_VALUE"""),"2019/11/05 14:45:00")</f>
        <v>2019/11/05 14:45:00</v>
      </c>
      <c r="F15" s="51" t="str">
        <f>IFERROR(__xludf.DUMMYFUNCTION("""COMPUTED_VALUE"""),"f8834362-1388-40bf-bd2a-9d4c8118f0f6")</f>
        <v>f8834362-1388-40bf-bd2a-9d4c8118f0f6</v>
      </c>
      <c r="G15" s="58">
        <f>IFERROR(__xludf.DUMMYFUNCTION("""COMPUTED_VALUE"""),43774.0)</f>
        <v>43774</v>
      </c>
      <c r="H15" s="60">
        <f>IFERROR(__xludf.DUMMYFUNCTION("""COMPUTED_VALUE"""),0.6006944444444444)</f>
        <v>0.6006944444</v>
      </c>
      <c r="I15" s="58">
        <f>IFERROR(__xludf.DUMMYFUNCTION("""COMPUTED_VALUE"""),43774.0)</f>
        <v>43774</v>
      </c>
      <c r="J15" s="60">
        <f>IFERROR(__xludf.DUMMYFUNCTION("""COMPUTED_VALUE"""),0.6145833333333334)</f>
        <v>0.6145833333</v>
      </c>
      <c r="K15" s="60">
        <f t="shared" si="1"/>
        <v>0.01388888889</v>
      </c>
      <c r="L15" s="51" t="s">
        <v>111</v>
      </c>
      <c r="M15" s="51"/>
      <c r="N15" s="51"/>
      <c r="O15" s="50"/>
      <c r="P15" s="50"/>
      <c r="Q15" s="63"/>
      <c r="R15" s="51"/>
      <c r="S15" s="51"/>
      <c r="T15" s="51"/>
    </row>
    <row r="16">
      <c r="A16" s="51" t="str">
        <f>IFERROR(__xludf.DUMMYFUNCTION("""COMPUTED_VALUE"""),"The true meaning of free trade")</f>
        <v>The true meaning of free trade</v>
      </c>
      <c r="B16" s="51" t="str">
        <f>IFERROR(__xludf.DUMMYFUNCTION("""COMPUTED_VALUE"""),"SaaS Monster")</f>
        <v>SaaS Monster</v>
      </c>
      <c r="C16" s="56" t="str">
        <f>IFERROR(__xludf.DUMMYFUNCTION("""COMPUTED_VALUE"""),"Gert Sylvest and Don Clark")</f>
        <v>Gert Sylvest and Don Clark</v>
      </c>
      <c r="D16" s="51" t="str">
        <f>IFERROR(__xludf.DUMMYFUNCTION("""COMPUTED_VALUE"""),"2019/11/05 14:45:00")</f>
        <v>2019/11/05 14:45:00</v>
      </c>
      <c r="E16" s="51" t="str">
        <f>IFERROR(__xludf.DUMMYFUNCTION("""COMPUTED_VALUE"""),"2019/11/05 15:05:00")</f>
        <v>2019/11/05 15:05:00</v>
      </c>
      <c r="F16" s="51" t="str">
        <f>IFERROR(__xludf.DUMMYFUNCTION("""COMPUTED_VALUE"""),"42510510-abbe-4a6c-bb0e-e70f1ad98e55")</f>
        <v>42510510-abbe-4a6c-bb0e-e70f1ad98e55</v>
      </c>
      <c r="G16" s="58">
        <f>IFERROR(__xludf.DUMMYFUNCTION("""COMPUTED_VALUE"""),43774.0)</f>
        <v>43774</v>
      </c>
      <c r="H16" s="60">
        <f>IFERROR(__xludf.DUMMYFUNCTION("""COMPUTED_VALUE"""),0.6145833333333334)</f>
        <v>0.6145833333</v>
      </c>
      <c r="I16" s="58">
        <f>IFERROR(__xludf.DUMMYFUNCTION("""COMPUTED_VALUE"""),43774.0)</f>
        <v>43774</v>
      </c>
      <c r="J16" s="60">
        <f>IFERROR(__xludf.DUMMYFUNCTION("""COMPUTED_VALUE"""),0.6284722222222222)</f>
        <v>0.6284722222</v>
      </c>
      <c r="K16" s="60">
        <f t="shared" si="1"/>
        <v>0.01388888889</v>
      </c>
      <c r="L16" s="51" t="s">
        <v>111</v>
      </c>
      <c r="M16" s="51"/>
      <c r="N16" s="51"/>
      <c r="O16" s="50"/>
      <c r="P16" s="50"/>
      <c r="Q16" s="63"/>
      <c r="R16" s="51"/>
      <c r="S16" s="51"/>
      <c r="T16" s="51"/>
    </row>
    <row r="17">
      <c r="A17" s="51" t="str">
        <f>IFERROR(__xludf.DUMMYFUNCTION("""COMPUTED_VALUE"""),"Lisbon and the world")</f>
        <v>Lisbon and the world</v>
      </c>
      <c r="B17" s="51" t="str">
        <f>IFERROR(__xludf.DUMMYFUNCTION("""COMPUTED_VALUE"""),"SaaS Monster")</f>
        <v>SaaS Monster</v>
      </c>
      <c r="C17" s="56" t="str">
        <f>IFERROR(__xludf.DUMMYFUNCTION("""COMPUTED_VALUE"""),"John Graham-Cumming and Mariana Barbosa")</f>
        <v>John Graham-Cumming and Mariana Barbosa</v>
      </c>
      <c r="D17" s="51" t="str">
        <f>IFERROR(__xludf.DUMMYFUNCTION("""COMPUTED_VALUE"""),"2019/11/05 15:05:00")</f>
        <v>2019/11/05 15:05:00</v>
      </c>
      <c r="E17" s="51" t="str">
        <f>IFERROR(__xludf.DUMMYFUNCTION("""COMPUTED_VALUE"""),"2019/11/05 15:25:00")</f>
        <v>2019/11/05 15:25:00</v>
      </c>
      <c r="F17" s="51" t="str">
        <f>IFERROR(__xludf.DUMMYFUNCTION("""COMPUTED_VALUE"""),"6496ba34-14e0-4480-ad1f-5c2d82992dc1")</f>
        <v>6496ba34-14e0-4480-ad1f-5c2d82992dc1</v>
      </c>
      <c r="G17" s="58">
        <f>IFERROR(__xludf.DUMMYFUNCTION("""COMPUTED_VALUE"""),43774.0)</f>
        <v>43774</v>
      </c>
      <c r="H17" s="60">
        <f>IFERROR(__xludf.DUMMYFUNCTION("""COMPUTED_VALUE"""),0.6284722222222222)</f>
        <v>0.6284722222</v>
      </c>
      <c r="I17" s="58">
        <f>IFERROR(__xludf.DUMMYFUNCTION("""COMPUTED_VALUE"""),43774.0)</f>
        <v>43774</v>
      </c>
      <c r="J17" s="60">
        <f>IFERROR(__xludf.DUMMYFUNCTION("""COMPUTED_VALUE"""),0.6423611111111112)</f>
        <v>0.6423611111</v>
      </c>
      <c r="K17" s="60">
        <f t="shared" si="1"/>
        <v>0.01388888889</v>
      </c>
      <c r="L17" s="51" t="s">
        <v>111</v>
      </c>
      <c r="M17" s="51"/>
      <c r="N17" s="51"/>
      <c r="O17" s="50"/>
      <c r="P17" s="50"/>
      <c r="Q17" s="63"/>
      <c r="R17" s="51"/>
      <c r="S17" s="51"/>
      <c r="T17" s="51"/>
    </row>
    <row r="18">
      <c r="A18" s="51" t="str">
        <f>IFERROR(__xludf.DUMMYFUNCTION("""COMPUTED_VALUE"""),"The age of AI: Promises and challenges")</f>
        <v>The age of AI: Promises and challenges</v>
      </c>
      <c r="B18" s="51" t="str">
        <f>IFERROR(__xludf.DUMMYFUNCTION("""COMPUTED_VALUE"""),"SaaS Monster")</f>
        <v>SaaS Monster</v>
      </c>
      <c r="C18" s="56" t="str">
        <f>IFERROR(__xludf.DUMMYFUNCTION("""COMPUTED_VALUE"""),"Brad Smith and Sara Fischer")</f>
        <v>Brad Smith and Sara Fischer</v>
      </c>
      <c r="D18" s="51" t="str">
        <f>IFERROR(__xludf.DUMMYFUNCTION("""COMPUTED_VALUE"""),"2019/11/05 15:25:00")</f>
        <v>2019/11/05 15:25:00</v>
      </c>
      <c r="E18" s="51" t="str">
        <f>IFERROR(__xludf.DUMMYFUNCTION("""COMPUTED_VALUE"""),"2019/11/05 15:45:00")</f>
        <v>2019/11/05 15:45:00</v>
      </c>
      <c r="F18" s="51" t="str">
        <f>IFERROR(__xludf.DUMMYFUNCTION("""COMPUTED_VALUE"""),"e7124751-1822-4351-9321-5e8fc558b281")</f>
        <v>e7124751-1822-4351-9321-5e8fc558b281</v>
      </c>
      <c r="G18" s="58">
        <f>IFERROR(__xludf.DUMMYFUNCTION("""COMPUTED_VALUE"""),43774.0)</f>
        <v>43774</v>
      </c>
      <c r="H18" s="60">
        <f>IFERROR(__xludf.DUMMYFUNCTION("""COMPUTED_VALUE"""),0.6423611111111112)</f>
        <v>0.6423611111</v>
      </c>
      <c r="I18" s="58">
        <f>IFERROR(__xludf.DUMMYFUNCTION("""COMPUTED_VALUE"""),43774.0)</f>
        <v>43774</v>
      </c>
      <c r="J18" s="60">
        <f>IFERROR(__xludf.DUMMYFUNCTION("""COMPUTED_VALUE"""),0.65625)</f>
        <v>0.65625</v>
      </c>
      <c r="K18" s="60">
        <f t="shared" si="1"/>
        <v>0.01388888889</v>
      </c>
      <c r="L18" s="51" t="s">
        <v>111</v>
      </c>
      <c r="M18" s="51"/>
      <c r="N18" s="51"/>
      <c r="O18" s="50"/>
      <c r="P18" s="50"/>
      <c r="Q18" s="63"/>
      <c r="R18" s="51"/>
      <c r="S18" s="51"/>
      <c r="T18" s="51"/>
    </row>
    <row r="19">
      <c r="A19" s="51" t="str">
        <f>IFERROR(__xludf.DUMMYFUNCTION("""COMPUTED_VALUE"""),"Unlocking the opportunities with AI in large enterprises")</f>
        <v>Unlocking the opportunities with AI in large enterprises</v>
      </c>
      <c r="B19" s="51" t="str">
        <f>IFERROR(__xludf.DUMMYFUNCTION("""COMPUTED_VALUE"""),"SaaS Monster")</f>
        <v>SaaS Monster</v>
      </c>
      <c r="C19" s="56" t="str">
        <f>IFERROR(__xludf.DUMMYFUNCTION("""COMPUTED_VALUE"""),"Lucy Thomas, John Paul, Barry Panayi, Luis Alveirinho and Princess Beatrice of York")</f>
        <v>Lucy Thomas, John Paul, Barry Panayi, Luis Alveirinho and Princess Beatrice of York</v>
      </c>
      <c r="D19" s="51" t="str">
        <f>IFERROR(__xludf.DUMMYFUNCTION("""COMPUTED_VALUE"""),"2019/11/05 15:45:00")</f>
        <v>2019/11/05 15:45:00</v>
      </c>
      <c r="E19" s="51" t="str">
        <f>IFERROR(__xludf.DUMMYFUNCTION("""COMPUTED_VALUE"""),"2019/11/05 16:05:00")</f>
        <v>2019/11/05 16:05:00</v>
      </c>
      <c r="F19" s="51" t="str">
        <f>IFERROR(__xludf.DUMMYFUNCTION("""COMPUTED_VALUE"""),"8cc845ab-5e39-4ad1-aa5a-d7383ca4e8e1")</f>
        <v>8cc845ab-5e39-4ad1-aa5a-d7383ca4e8e1</v>
      </c>
      <c r="G19" s="58">
        <f>IFERROR(__xludf.DUMMYFUNCTION("""COMPUTED_VALUE"""),43774.0)</f>
        <v>43774</v>
      </c>
      <c r="H19" s="60">
        <f>IFERROR(__xludf.DUMMYFUNCTION("""COMPUTED_VALUE"""),0.65625)</f>
        <v>0.65625</v>
      </c>
      <c r="I19" s="58">
        <f>IFERROR(__xludf.DUMMYFUNCTION("""COMPUTED_VALUE"""),43774.0)</f>
        <v>43774</v>
      </c>
      <c r="J19" s="60">
        <f>IFERROR(__xludf.DUMMYFUNCTION("""COMPUTED_VALUE"""),0.6701388888888888)</f>
        <v>0.6701388889</v>
      </c>
      <c r="K19" s="60">
        <f t="shared" si="1"/>
        <v>0.01388888889</v>
      </c>
      <c r="L19" s="51" t="s">
        <v>111</v>
      </c>
      <c r="M19" s="51"/>
      <c r="N19" s="51"/>
      <c r="O19" s="50"/>
      <c r="P19" s="50"/>
      <c r="Q19" s="63"/>
      <c r="R19" s="51"/>
      <c r="S19" s="51"/>
      <c r="T19" s="51"/>
    </row>
    <row r="20">
      <c r="A20" s="51" t="str">
        <f>IFERROR(__xludf.DUMMYFUNCTION("""COMPUTED_VALUE"""),"Opening Remarks: The world is broken: Four founders who solved problems in their own office with SaaS")</f>
        <v>Opening Remarks: The world is broken: Four founders who solved problems in their own office with SaaS</v>
      </c>
      <c r="B20" s="51" t="str">
        <f>IFERROR(__xludf.DUMMYFUNCTION("""COMPUTED_VALUE"""),"SaaS Monster")</f>
        <v>SaaS Monster</v>
      </c>
      <c r="C20" s="56" t="str">
        <f>IFERROR(__xludf.DUMMYFUNCTION("""COMPUTED_VALUE"""),"Stephen Cummins")</f>
        <v>Stephen Cummins</v>
      </c>
      <c r="D20" s="51" t="str">
        <f>IFERROR(__xludf.DUMMYFUNCTION("""COMPUTED_VALUE"""),"2019/11/06 10:45:00")</f>
        <v>2019/11/06 10:45:00</v>
      </c>
      <c r="E20" s="51" t="str">
        <f>IFERROR(__xludf.DUMMYFUNCTION("""COMPUTED_VALUE"""),"2019/11/06 11:00:00")</f>
        <v>2019/11/06 11:00:00</v>
      </c>
      <c r="F20" s="51" t="str">
        <f>IFERROR(__xludf.DUMMYFUNCTION("""COMPUTED_VALUE"""),"72860cf5-c69d-4def-823c-b25c9fb6cf49")</f>
        <v>72860cf5-c69d-4def-823c-b25c9fb6cf49</v>
      </c>
      <c r="G20" s="58">
        <f>IFERROR(__xludf.DUMMYFUNCTION("""COMPUTED_VALUE"""),43775.0)</f>
        <v>43775</v>
      </c>
      <c r="H20" s="60">
        <f>IFERROR(__xludf.DUMMYFUNCTION("""COMPUTED_VALUE"""),0.4479166666666667)</f>
        <v>0.4479166667</v>
      </c>
      <c r="I20" s="58">
        <f>IFERROR(__xludf.DUMMYFUNCTION("""COMPUTED_VALUE"""),43775.0)</f>
        <v>43775</v>
      </c>
      <c r="J20" s="60">
        <f>IFERROR(__xludf.DUMMYFUNCTION("""COMPUTED_VALUE"""),0.4583333333333333)</f>
        <v>0.4583333333</v>
      </c>
      <c r="K20" s="60">
        <f t="shared" si="1"/>
        <v>0.01041666667</v>
      </c>
      <c r="L20" s="51" t="s">
        <v>116</v>
      </c>
      <c r="M20" s="51"/>
      <c r="N20" s="51"/>
      <c r="O20" s="50"/>
      <c r="P20" s="50"/>
      <c r="Q20" s="63"/>
      <c r="R20" s="51"/>
      <c r="S20" s="51"/>
      <c r="T20" s="51"/>
    </row>
    <row r="21">
      <c r="A21" s="51" t="str">
        <f>IFERROR(__xludf.DUMMYFUNCTION("""COMPUTED_VALUE"""),"Future of work")</f>
        <v>Future of work</v>
      </c>
      <c r="B21" s="51" t="str">
        <f>IFERROR(__xludf.DUMMYFUNCTION("""COMPUTED_VALUE"""),"SaaS Monster")</f>
        <v>SaaS Monster</v>
      </c>
      <c r="C21" s="56" t="str">
        <f>IFERROR(__xludf.DUMMYFUNCTION("""COMPUTED_VALUE"""),"Polina Montano, David Yang, Yancey Spruill, Sarah Nahm and Liam Proud")</f>
        <v>Polina Montano, David Yang, Yancey Spruill, Sarah Nahm and Liam Proud</v>
      </c>
      <c r="D21" s="51" t="str">
        <f>IFERROR(__xludf.DUMMYFUNCTION("""COMPUTED_VALUE"""),"2019/11/06 11:00:00")</f>
        <v>2019/11/06 11:00:00</v>
      </c>
      <c r="E21" s="51" t="str">
        <f>IFERROR(__xludf.DUMMYFUNCTION("""COMPUTED_VALUE"""),"2019/11/06 11:25:00")</f>
        <v>2019/11/06 11:25:00</v>
      </c>
      <c r="F21" s="51" t="str">
        <f>IFERROR(__xludf.DUMMYFUNCTION("""COMPUTED_VALUE"""),"686bb2e4-b91c-4c22-8a5e-f03c67fb0b25")</f>
        <v>686bb2e4-b91c-4c22-8a5e-f03c67fb0b25</v>
      </c>
      <c r="G21" s="58">
        <f>IFERROR(__xludf.DUMMYFUNCTION("""COMPUTED_VALUE"""),43775.0)</f>
        <v>43775</v>
      </c>
      <c r="H21" s="60">
        <f>IFERROR(__xludf.DUMMYFUNCTION("""COMPUTED_VALUE"""),0.4583333333333333)</f>
        <v>0.4583333333</v>
      </c>
      <c r="I21" s="58">
        <f>IFERROR(__xludf.DUMMYFUNCTION("""COMPUTED_VALUE"""),43775.0)</f>
        <v>43775</v>
      </c>
      <c r="J21" s="60">
        <f>IFERROR(__xludf.DUMMYFUNCTION("""COMPUTED_VALUE"""),0.4756944444444444)</f>
        <v>0.4756944444</v>
      </c>
      <c r="K21" s="60">
        <f t="shared" si="1"/>
        <v>0.01736111111</v>
      </c>
      <c r="L21" s="51" t="s">
        <v>107</v>
      </c>
      <c r="M21" s="51"/>
      <c r="N21" s="51"/>
      <c r="O21" s="50"/>
      <c r="P21" s="50"/>
      <c r="Q21" s="63"/>
      <c r="R21" s="51"/>
      <c r="S21" s="51"/>
      <c r="T21" s="51"/>
    </row>
    <row r="22">
      <c r="A22" s="51" t="str">
        <f>IFERROR(__xludf.DUMMYFUNCTION("""COMPUTED_VALUE"""),"Robotics Process Automation, shaping the future of work")</f>
        <v>Robotics Process Automation, shaping the future of work</v>
      </c>
      <c r="B22" s="51" t="str">
        <f>IFERROR(__xludf.DUMMYFUNCTION("""COMPUTED_VALUE"""),"SaaS Monster")</f>
        <v>SaaS Monster</v>
      </c>
      <c r="C22" s="56" t="str">
        <f>IFERROR(__xludf.DUMMYFUNCTION("""COMPUTED_VALUE"""),"Vargha Moayed")</f>
        <v>Vargha Moayed</v>
      </c>
      <c r="D22" s="51" t="str">
        <f>IFERROR(__xludf.DUMMYFUNCTION("""COMPUTED_VALUE"""),"2019/11/06 11:25:00")</f>
        <v>2019/11/06 11:25:00</v>
      </c>
      <c r="E22" s="51" t="str">
        <f>IFERROR(__xludf.DUMMYFUNCTION("""COMPUTED_VALUE"""),"2019/11/06 11:45:00")</f>
        <v>2019/11/06 11:45:00</v>
      </c>
      <c r="F22" s="51" t="str">
        <f>IFERROR(__xludf.DUMMYFUNCTION("""COMPUTED_VALUE"""),"0235c182-6a0f-440a-bbe7-f9aab349aa69")</f>
        <v>0235c182-6a0f-440a-bbe7-f9aab349aa69</v>
      </c>
      <c r="G22" s="58">
        <f>IFERROR(__xludf.DUMMYFUNCTION("""COMPUTED_VALUE"""),43775.0)</f>
        <v>43775</v>
      </c>
      <c r="H22" s="60">
        <f>IFERROR(__xludf.DUMMYFUNCTION("""COMPUTED_VALUE"""),0.4756944444444444)</f>
        <v>0.4756944444</v>
      </c>
      <c r="I22" s="58">
        <f>IFERROR(__xludf.DUMMYFUNCTION("""COMPUTED_VALUE"""),43775.0)</f>
        <v>43775</v>
      </c>
      <c r="J22" s="60">
        <f>IFERROR(__xludf.DUMMYFUNCTION("""COMPUTED_VALUE"""),0.4895833333333333)</f>
        <v>0.4895833333</v>
      </c>
      <c r="K22" s="60">
        <f t="shared" si="1"/>
        <v>0.01388888889</v>
      </c>
      <c r="L22" s="51" t="s">
        <v>111</v>
      </c>
      <c r="M22" s="51"/>
      <c r="N22" s="51"/>
      <c r="O22" s="50"/>
      <c r="P22" s="50"/>
      <c r="Q22" s="63"/>
      <c r="R22" s="51"/>
      <c r="S22" s="51"/>
      <c r="T22" s="51"/>
    </row>
    <row r="23">
      <c r="A23" s="51" t="str">
        <f>IFERROR(__xludf.DUMMYFUNCTION("""COMPUTED_VALUE"""),"Predicting tomorrow's megatrends for a better today")</f>
        <v>Predicting tomorrow's megatrends for a better today</v>
      </c>
      <c r="B23" s="51" t="str">
        <f>IFERROR(__xludf.DUMMYFUNCTION("""COMPUTED_VALUE"""),"SaaS Monster")</f>
        <v>SaaS Monster</v>
      </c>
      <c r="C23" s="56" t="str">
        <f>IFERROR(__xludf.DUMMYFUNCTION("""COMPUTED_VALUE"""),"Shane Wall and Rob Pegoraro")</f>
        <v>Shane Wall and Rob Pegoraro</v>
      </c>
      <c r="D23" s="51" t="str">
        <f>IFERROR(__xludf.DUMMYFUNCTION("""COMPUTED_VALUE"""),"2019/11/06 11:45:00")</f>
        <v>2019/11/06 11:45:00</v>
      </c>
      <c r="E23" s="51" t="str">
        <f>IFERROR(__xludf.DUMMYFUNCTION("""COMPUTED_VALUE"""),"2019/11/06 12:05:00")</f>
        <v>2019/11/06 12:05:00</v>
      </c>
      <c r="F23" s="51" t="str">
        <f>IFERROR(__xludf.DUMMYFUNCTION("""COMPUTED_VALUE"""),"1cd4494f-0692-4dc3-a33b-8f1a29633bf0")</f>
        <v>1cd4494f-0692-4dc3-a33b-8f1a29633bf0</v>
      </c>
      <c r="G23" s="58">
        <f>IFERROR(__xludf.DUMMYFUNCTION("""COMPUTED_VALUE"""),43775.0)</f>
        <v>43775</v>
      </c>
      <c r="H23" s="60">
        <f>IFERROR(__xludf.DUMMYFUNCTION("""COMPUTED_VALUE"""),0.4895833333333333)</f>
        <v>0.4895833333</v>
      </c>
      <c r="I23" s="58">
        <f>IFERROR(__xludf.DUMMYFUNCTION("""COMPUTED_VALUE"""),43775.0)</f>
        <v>43775</v>
      </c>
      <c r="J23" s="60">
        <f>IFERROR(__xludf.DUMMYFUNCTION("""COMPUTED_VALUE"""),0.5034722222222222)</f>
        <v>0.5034722222</v>
      </c>
      <c r="K23" s="60">
        <f t="shared" si="1"/>
        <v>0.01388888889</v>
      </c>
      <c r="L23" s="51" t="s">
        <v>111</v>
      </c>
      <c r="M23" s="51"/>
      <c r="N23" s="51"/>
      <c r="O23" s="50"/>
      <c r="P23" s="50"/>
      <c r="Q23" s="63"/>
      <c r="R23" s="51"/>
      <c r="S23" s="51"/>
      <c r="T23" s="51"/>
    </row>
    <row r="24">
      <c r="A24" s="51" t="str">
        <f>IFERROR(__xludf.DUMMYFUNCTION("""COMPUTED_VALUE"""),"The future of digital identity in the era of digital transformation")</f>
        <v>The future of digital identity in the era of digital transformation</v>
      </c>
      <c r="B24" s="51" t="str">
        <f>IFERROR(__xludf.DUMMYFUNCTION("""COMPUTED_VALUE"""),"SaaS Monster")</f>
        <v>SaaS Monster</v>
      </c>
      <c r="C24" s="56" t="str">
        <f>IFERROR(__xludf.DUMMYFUNCTION("""COMPUTED_VALUE"""),"Dr. Zulfikar Ramzan")</f>
        <v>Dr. Zulfikar Ramzan</v>
      </c>
      <c r="D24" s="51" t="str">
        <f>IFERROR(__xludf.DUMMYFUNCTION("""COMPUTED_VALUE"""),"2019/11/06 12:05:00")</f>
        <v>2019/11/06 12:05:00</v>
      </c>
      <c r="E24" s="51" t="str">
        <f>IFERROR(__xludf.DUMMYFUNCTION("""COMPUTED_VALUE"""),"2019/11/06 12:25:00")</f>
        <v>2019/11/06 12:25:00</v>
      </c>
      <c r="F24" s="51" t="str">
        <f>IFERROR(__xludf.DUMMYFUNCTION("""COMPUTED_VALUE"""),"93e6e57c-3328-4880-9964-5435c1a5a20e")</f>
        <v>93e6e57c-3328-4880-9964-5435c1a5a20e</v>
      </c>
      <c r="G24" s="58">
        <f>IFERROR(__xludf.DUMMYFUNCTION("""COMPUTED_VALUE"""),43775.0)</f>
        <v>43775</v>
      </c>
      <c r="H24" s="60">
        <f>IFERROR(__xludf.DUMMYFUNCTION("""COMPUTED_VALUE"""),0.5034722222222222)</f>
        <v>0.5034722222</v>
      </c>
      <c r="I24" s="58">
        <f>IFERROR(__xludf.DUMMYFUNCTION("""COMPUTED_VALUE"""),43775.0)</f>
        <v>43775</v>
      </c>
      <c r="J24" s="60">
        <f>IFERROR(__xludf.DUMMYFUNCTION("""COMPUTED_VALUE"""),0.5173611111111112)</f>
        <v>0.5173611111</v>
      </c>
      <c r="K24" s="60">
        <f t="shared" si="1"/>
        <v>0.01388888889</v>
      </c>
      <c r="L24" s="51" t="s">
        <v>111</v>
      </c>
      <c r="M24" s="51"/>
      <c r="N24" s="51"/>
      <c r="O24" s="50"/>
      <c r="P24" s="50"/>
      <c r="Q24" s="63"/>
      <c r="R24" s="51"/>
      <c r="S24" s="51"/>
      <c r="T24" s="51"/>
    </row>
    <row r="25">
      <c r="A25" s="51" t="str">
        <f>IFERROR(__xludf.DUMMYFUNCTION("""COMPUTED_VALUE"""),"How to build digital relationships with your customers")</f>
        <v>How to build digital relationships with your customers</v>
      </c>
      <c r="B25" s="51" t="str">
        <f>IFERROR(__xludf.DUMMYFUNCTION("""COMPUTED_VALUE"""),"SaaS Monster")</f>
        <v>SaaS Monster</v>
      </c>
      <c r="C25" s="56" t="str">
        <f>IFERROR(__xludf.DUMMYFUNCTION("""COMPUTED_VALUE"""),"Sara Varni, Mada Seghete and Don Clark")</f>
        <v>Sara Varni, Mada Seghete and Don Clark</v>
      </c>
      <c r="D25" s="51" t="str">
        <f>IFERROR(__xludf.DUMMYFUNCTION("""COMPUTED_VALUE"""),"2019/11/06 12:25:00")</f>
        <v>2019/11/06 12:25:00</v>
      </c>
      <c r="E25" s="51" t="str">
        <f>IFERROR(__xludf.DUMMYFUNCTION("""COMPUTED_VALUE"""),"2019/11/06 12:45:00")</f>
        <v>2019/11/06 12:45:00</v>
      </c>
      <c r="F25" s="51" t="str">
        <f>IFERROR(__xludf.DUMMYFUNCTION("""COMPUTED_VALUE"""),"205f40c5-452b-41fd-aaef-c7f7f299720e")</f>
        <v>205f40c5-452b-41fd-aaef-c7f7f299720e</v>
      </c>
      <c r="G25" s="58">
        <f>IFERROR(__xludf.DUMMYFUNCTION("""COMPUTED_VALUE"""),43775.0)</f>
        <v>43775</v>
      </c>
      <c r="H25" s="60">
        <f>IFERROR(__xludf.DUMMYFUNCTION("""COMPUTED_VALUE"""),0.5173611111111112)</f>
        <v>0.5173611111</v>
      </c>
      <c r="I25" s="58">
        <f>IFERROR(__xludf.DUMMYFUNCTION("""COMPUTED_VALUE"""),43775.0)</f>
        <v>43775</v>
      </c>
      <c r="J25" s="60">
        <f>IFERROR(__xludf.DUMMYFUNCTION("""COMPUTED_VALUE"""),0.53125)</f>
        <v>0.53125</v>
      </c>
      <c r="K25" s="60">
        <f t="shared" si="1"/>
        <v>0.01388888889</v>
      </c>
      <c r="L25" s="51" t="s">
        <v>111</v>
      </c>
      <c r="M25" s="51"/>
      <c r="N25" s="51"/>
      <c r="O25" s="50"/>
      <c r="P25" s="50"/>
      <c r="Q25" s="63"/>
      <c r="R25" s="51"/>
      <c r="S25" s="51"/>
      <c r="T25" s="51"/>
    </row>
    <row r="26">
      <c r="A26" s="51" t="str">
        <f>IFERROR(__xludf.DUMMYFUNCTION("""COMPUTED_VALUE"""),"Lunch break")</f>
        <v>Lunch break</v>
      </c>
      <c r="B26" s="51" t="str">
        <f>IFERROR(__xludf.DUMMYFUNCTION("""COMPUTED_VALUE"""),"SaaS Monster")</f>
        <v>SaaS Monster</v>
      </c>
      <c r="C26" s="56" t="str">
        <f>IFERROR(__xludf.DUMMYFUNCTION("""COMPUTED_VALUE"""),"")</f>
        <v/>
      </c>
      <c r="D26" s="51" t="str">
        <f>IFERROR(__xludf.DUMMYFUNCTION("""COMPUTED_VALUE"""),"2019/11/06 12:45:00")</f>
        <v>2019/11/06 12:45:00</v>
      </c>
      <c r="E26" s="51" t="str">
        <f>IFERROR(__xludf.DUMMYFUNCTION("""COMPUTED_VALUE"""),"2019/11/06 13:30:00")</f>
        <v>2019/11/06 13:30:00</v>
      </c>
      <c r="F26" s="51" t="str">
        <f>IFERROR(__xludf.DUMMYFUNCTION("""COMPUTED_VALUE"""),"37351a59-e19e-47dc-9537-3f9a33efef30")</f>
        <v>37351a59-e19e-47dc-9537-3f9a33efef30</v>
      </c>
      <c r="G26" s="58">
        <f>IFERROR(__xludf.DUMMYFUNCTION("""COMPUTED_VALUE"""),43775.0)</f>
        <v>43775</v>
      </c>
      <c r="H26" s="60">
        <f>IFERROR(__xludf.DUMMYFUNCTION("""COMPUTED_VALUE"""),0.53125)</f>
        <v>0.53125</v>
      </c>
      <c r="I26" s="58">
        <f>IFERROR(__xludf.DUMMYFUNCTION("""COMPUTED_VALUE"""),43775.0)</f>
        <v>43775</v>
      </c>
      <c r="J26" s="60">
        <f>IFERROR(__xludf.DUMMYFUNCTION("""COMPUTED_VALUE"""),0.5625)</f>
        <v>0.5625</v>
      </c>
      <c r="K26" s="60">
        <f t="shared" si="1"/>
        <v>0.03125</v>
      </c>
      <c r="L26" s="51" t="s">
        <v>131</v>
      </c>
      <c r="M26" s="51"/>
      <c r="N26" s="51"/>
      <c r="O26" s="50"/>
      <c r="P26" s="50"/>
      <c r="Q26" s="63"/>
      <c r="R26" s="51"/>
      <c r="S26" s="51"/>
      <c r="T26" s="51"/>
    </row>
    <row r="27">
      <c r="A27" s="51" t="str">
        <f>IFERROR(__xludf.DUMMYFUNCTION("""COMPUTED_VALUE"""),"Opening remarks")</f>
        <v>Opening remarks</v>
      </c>
      <c r="B27" s="51" t="str">
        <f>IFERROR(__xludf.DUMMYFUNCTION("""COMPUTED_VALUE"""),"SaaS Monster")</f>
        <v>SaaS Monster</v>
      </c>
      <c r="C27" s="56" t="str">
        <f>IFERROR(__xludf.DUMMYFUNCTION("""COMPUTED_VALUE"""),"Mandy Gilbert")</f>
        <v>Mandy Gilbert</v>
      </c>
      <c r="D27" s="51" t="str">
        <f>IFERROR(__xludf.DUMMYFUNCTION("""COMPUTED_VALUE"""),"2019/11/06 13:30:00")</f>
        <v>2019/11/06 13:30:00</v>
      </c>
      <c r="E27" s="51" t="str">
        <f>IFERROR(__xludf.DUMMYFUNCTION("""COMPUTED_VALUE"""),"2019/11/06 13:40:00")</f>
        <v>2019/11/06 13:40:00</v>
      </c>
      <c r="F27" s="51" t="str">
        <f>IFERROR(__xludf.DUMMYFUNCTION("""COMPUTED_VALUE"""),"1d5b0336-6b60-4a9e-8b29-ed010c0e5746")</f>
        <v>1d5b0336-6b60-4a9e-8b29-ed010c0e5746</v>
      </c>
      <c r="G27" s="58">
        <f>IFERROR(__xludf.DUMMYFUNCTION("""COMPUTED_VALUE"""),43775.0)</f>
        <v>43775</v>
      </c>
      <c r="H27" s="60">
        <f>IFERROR(__xludf.DUMMYFUNCTION("""COMPUTED_VALUE"""),0.5625)</f>
        <v>0.5625</v>
      </c>
      <c r="I27" s="58">
        <f>IFERROR(__xludf.DUMMYFUNCTION("""COMPUTED_VALUE"""),43775.0)</f>
        <v>43775</v>
      </c>
      <c r="J27" s="60">
        <f>IFERROR(__xludf.DUMMYFUNCTION("""COMPUTED_VALUE"""),0.5694444444444444)</f>
        <v>0.5694444444</v>
      </c>
      <c r="K27" s="60">
        <f t="shared" si="1"/>
        <v>0.006944444444</v>
      </c>
      <c r="L27" s="51" t="s">
        <v>124</v>
      </c>
      <c r="M27" s="51"/>
      <c r="N27" s="51"/>
      <c r="O27" s="50"/>
      <c r="P27" s="50"/>
      <c r="Q27" s="63"/>
      <c r="R27" s="51"/>
      <c r="S27" s="51"/>
      <c r="T27" s="51"/>
    </row>
    <row r="28">
      <c r="A28" s="51" t="str">
        <f>IFERROR(__xludf.DUMMYFUNCTION("""COMPUTED_VALUE"""),"Myths and facts: Everyone has an AI story")</f>
        <v>Myths and facts: Everyone has an AI story</v>
      </c>
      <c r="B28" s="51" t="str">
        <f>IFERROR(__xludf.DUMMYFUNCTION("""COMPUTED_VALUE"""),"SaaS Monster")</f>
        <v>SaaS Monster</v>
      </c>
      <c r="C28" s="56" t="str">
        <f>IFERROR(__xludf.DUMMYFUNCTION("""COMPUTED_VALUE"""),"David Cancel, Sudheesh Nair, Falon Fatemi and Jeremy Kahn")</f>
        <v>David Cancel, Sudheesh Nair, Falon Fatemi and Jeremy Kahn</v>
      </c>
      <c r="D28" s="51" t="str">
        <f>IFERROR(__xludf.DUMMYFUNCTION("""COMPUTED_VALUE"""),"2019/11/06 13:40:00")</f>
        <v>2019/11/06 13:40:00</v>
      </c>
      <c r="E28" s="51" t="str">
        <f>IFERROR(__xludf.DUMMYFUNCTION("""COMPUTED_VALUE"""),"2019/11/06 14:00:00")</f>
        <v>2019/11/06 14:00:00</v>
      </c>
      <c r="F28" s="51" t="str">
        <f>IFERROR(__xludf.DUMMYFUNCTION("""COMPUTED_VALUE"""),"a337a32f-0332-4cb1-85f2-e3afa5259bec")</f>
        <v>a337a32f-0332-4cb1-85f2-e3afa5259bec</v>
      </c>
      <c r="G28" s="58">
        <f>IFERROR(__xludf.DUMMYFUNCTION("""COMPUTED_VALUE"""),43775.0)</f>
        <v>43775</v>
      </c>
      <c r="H28" s="60">
        <f>IFERROR(__xludf.DUMMYFUNCTION("""COMPUTED_VALUE"""),0.5694444444444444)</f>
        <v>0.5694444444</v>
      </c>
      <c r="I28" s="58">
        <f>IFERROR(__xludf.DUMMYFUNCTION("""COMPUTED_VALUE"""),43775.0)</f>
        <v>43775</v>
      </c>
      <c r="J28" s="60">
        <f>IFERROR(__xludf.DUMMYFUNCTION("""COMPUTED_VALUE"""),0.5833333333333334)</f>
        <v>0.5833333333</v>
      </c>
      <c r="K28" s="60">
        <f t="shared" si="1"/>
        <v>0.01388888889</v>
      </c>
      <c r="L28" s="51" t="s">
        <v>111</v>
      </c>
      <c r="M28" s="51"/>
      <c r="N28" s="51"/>
      <c r="O28" s="50"/>
      <c r="P28" s="50"/>
      <c r="Q28" s="63"/>
      <c r="R28" s="51"/>
      <c r="S28" s="51"/>
      <c r="T28" s="51"/>
    </row>
    <row r="29">
      <c r="A29" s="51" t="str">
        <f>IFERROR(__xludf.DUMMYFUNCTION("""COMPUTED_VALUE"""),"How to compete against the big guns")</f>
        <v>How to compete against the big guns</v>
      </c>
      <c r="B29" s="51" t="str">
        <f>IFERROR(__xludf.DUMMYFUNCTION("""COMPUTED_VALUE"""),"SaaS Monster")</f>
        <v>SaaS Monster</v>
      </c>
      <c r="C29" s="56" t="str">
        <f>IFERROR(__xludf.DUMMYFUNCTION("""COMPUTED_VALUE"""),"Octave Klaba and John Rampton")</f>
        <v>Octave Klaba and John Rampton</v>
      </c>
      <c r="D29" s="51" t="str">
        <f>IFERROR(__xludf.DUMMYFUNCTION("""COMPUTED_VALUE"""),"2019/11/06 14:00:00")</f>
        <v>2019/11/06 14:00:00</v>
      </c>
      <c r="E29" s="51" t="str">
        <f>IFERROR(__xludf.DUMMYFUNCTION("""COMPUTED_VALUE"""),"2019/11/06 14:20:00")</f>
        <v>2019/11/06 14:20:00</v>
      </c>
      <c r="F29" s="51" t="str">
        <f>IFERROR(__xludf.DUMMYFUNCTION("""COMPUTED_VALUE"""),"d6335c5b-311b-4700-b362-bd8c4fc66bc5")</f>
        <v>d6335c5b-311b-4700-b362-bd8c4fc66bc5</v>
      </c>
      <c r="G29" s="58">
        <f>IFERROR(__xludf.DUMMYFUNCTION("""COMPUTED_VALUE"""),43775.0)</f>
        <v>43775</v>
      </c>
      <c r="H29" s="60">
        <f>IFERROR(__xludf.DUMMYFUNCTION("""COMPUTED_VALUE"""),0.5833333333333334)</f>
        <v>0.5833333333</v>
      </c>
      <c r="I29" s="58">
        <f>IFERROR(__xludf.DUMMYFUNCTION("""COMPUTED_VALUE"""),43775.0)</f>
        <v>43775</v>
      </c>
      <c r="J29" s="60">
        <f>IFERROR(__xludf.DUMMYFUNCTION("""COMPUTED_VALUE"""),0.5972222222222222)</f>
        <v>0.5972222222</v>
      </c>
      <c r="K29" s="60">
        <f t="shared" si="1"/>
        <v>0.01388888889</v>
      </c>
      <c r="L29" s="51" t="s">
        <v>111</v>
      </c>
      <c r="M29" s="51"/>
      <c r="N29" s="51"/>
      <c r="O29" s="50"/>
      <c r="P29" s="50"/>
      <c r="Q29" s="63"/>
      <c r="R29" s="51"/>
      <c r="S29" s="51"/>
      <c r="T29" s="51"/>
    </row>
    <row r="30">
      <c r="A30" s="51" t="str">
        <f>IFERROR(__xludf.DUMMYFUNCTION("""COMPUTED_VALUE"""),"Winter is here")</f>
        <v>Winter is here</v>
      </c>
      <c r="B30" s="51" t="str">
        <f>IFERROR(__xludf.DUMMYFUNCTION("""COMPUTED_VALUE"""),"SaaS Monster")</f>
        <v>SaaS Monster</v>
      </c>
      <c r="C30" s="56" t="str">
        <f>IFERROR(__xludf.DUMMYFUNCTION("""COMPUTED_VALUE"""),"Christina Bechhold Russ, Rashmi Gopinath, Philippe Botteri and Peter Thal Larsen")</f>
        <v>Christina Bechhold Russ, Rashmi Gopinath, Philippe Botteri and Peter Thal Larsen</v>
      </c>
      <c r="D30" s="51" t="str">
        <f>IFERROR(__xludf.DUMMYFUNCTION("""COMPUTED_VALUE"""),"2019/11/06 14:20:00")</f>
        <v>2019/11/06 14:20:00</v>
      </c>
      <c r="E30" s="51" t="str">
        <f>IFERROR(__xludf.DUMMYFUNCTION("""COMPUTED_VALUE"""),"2019/11/06 14:45:00")</f>
        <v>2019/11/06 14:45:00</v>
      </c>
      <c r="F30" s="51" t="str">
        <f>IFERROR(__xludf.DUMMYFUNCTION("""COMPUTED_VALUE"""),"c2a1daa1-bf62-4720-bb17-1d620e401f3a")</f>
        <v>c2a1daa1-bf62-4720-bb17-1d620e401f3a</v>
      </c>
      <c r="G30" s="58">
        <f>IFERROR(__xludf.DUMMYFUNCTION("""COMPUTED_VALUE"""),43775.0)</f>
        <v>43775</v>
      </c>
      <c r="H30" s="60">
        <f>IFERROR(__xludf.DUMMYFUNCTION("""COMPUTED_VALUE"""),0.5972222222222222)</f>
        <v>0.5972222222</v>
      </c>
      <c r="I30" s="58">
        <f>IFERROR(__xludf.DUMMYFUNCTION("""COMPUTED_VALUE"""),43775.0)</f>
        <v>43775</v>
      </c>
      <c r="J30" s="60">
        <f>IFERROR(__xludf.DUMMYFUNCTION("""COMPUTED_VALUE"""),0.6145833333333334)</f>
        <v>0.6145833333</v>
      </c>
      <c r="K30" s="60">
        <f t="shared" si="1"/>
        <v>0.01736111111</v>
      </c>
      <c r="L30" s="51" t="s">
        <v>107</v>
      </c>
      <c r="M30" s="51"/>
      <c r="N30" s="51"/>
      <c r="O30" s="50"/>
      <c r="P30" s="50"/>
      <c r="Q30" s="63"/>
      <c r="R30" s="51"/>
      <c r="S30" s="51"/>
      <c r="T30" s="51"/>
    </row>
    <row r="31">
      <c r="A31" s="51" t="str">
        <f>IFERROR(__xludf.DUMMYFUNCTION("""COMPUTED_VALUE"""),"Innovation and regulation: The EU takes on Silicon Valley ")</f>
        <v>Innovation and regulation: The EU takes on Silicon Valley </v>
      </c>
      <c r="B31" s="51" t="str">
        <f>IFERROR(__xludf.DUMMYFUNCTION("""COMPUTED_VALUE"""),"SaaS Monster")</f>
        <v>SaaS Monster</v>
      </c>
      <c r="C31" s="56" t="str">
        <f>IFERROR(__xludf.DUMMYFUNCTION("""COMPUTED_VALUE"""),"Emmanuel Schalit and Nicholas Vinocur")</f>
        <v>Emmanuel Schalit and Nicholas Vinocur</v>
      </c>
      <c r="D31" s="51" t="str">
        <f>IFERROR(__xludf.DUMMYFUNCTION("""COMPUTED_VALUE"""),"2019/11/06 14:45:00")</f>
        <v>2019/11/06 14:45:00</v>
      </c>
      <c r="E31" s="51" t="str">
        <f>IFERROR(__xludf.DUMMYFUNCTION("""COMPUTED_VALUE"""),"2019/11/06 15:05:00")</f>
        <v>2019/11/06 15:05:00</v>
      </c>
      <c r="F31" s="51" t="str">
        <f>IFERROR(__xludf.DUMMYFUNCTION("""COMPUTED_VALUE"""),"6f83107c-c233-4251-967d-13e881b14d20")</f>
        <v>6f83107c-c233-4251-967d-13e881b14d20</v>
      </c>
      <c r="G31" s="58">
        <f>IFERROR(__xludf.DUMMYFUNCTION("""COMPUTED_VALUE"""),43775.0)</f>
        <v>43775</v>
      </c>
      <c r="H31" s="60">
        <f>IFERROR(__xludf.DUMMYFUNCTION("""COMPUTED_VALUE"""),0.6145833333333334)</f>
        <v>0.6145833333</v>
      </c>
      <c r="I31" s="58">
        <f>IFERROR(__xludf.DUMMYFUNCTION("""COMPUTED_VALUE"""),43775.0)</f>
        <v>43775</v>
      </c>
      <c r="J31" s="60">
        <f>IFERROR(__xludf.DUMMYFUNCTION("""COMPUTED_VALUE"""),0.6284722222222222)</f>
        <v>0.6284722222</v>
      </c>
      <c r="K31" s="60">
        <f t="shared" si="1"/>
        <v>0.01388888889</v>
      </c>
      <c r="L31" s="51" t="s">
        <v>111</v>
      </c>
      <c r="M31" s="51"/>
      <c r="N31" s="51"/>
      <c r="O31" s="50"/>
      <c r="P31" s="50"/>
      <c r="Q31" s="63"/>
      <c r="R31" s="51"/>
      <c r="S31" s="51"/>
      <c r="T31" s="51"/>
    </row>
    <row r="32">
      <c r="A32" s="51" t="str">
        <f>IFERROR(__xludf.DUMMYFUNCTION("""COMPUTED_VALUE"""),"Security and SaaS: Privacy-first culture")</f>
        <v>Security and SaaS: Privacy-first culture</v>
      </c>
      <c r="B32" s="51" t="str">
        <f>IFERROR(__xludf.DUMMYFUNCTION("""COMPUTED_VALUE"""),"SaaS Monster")</f>
        <v>SaaS Monster</v>
      </c>
      <c r="C32" s="56" t="str">
        <f>IFERROR(__xludf.DUMMYFUNCTION("""COMPUTED_VALUE"""),"Calvin French-Owen and Dermot Williams")</f>
        <v>Calvin French-Owen and Dermot Williams</v>
      </c>
      <c r="D32" s="51" t="str">
        <f>IFERROR(__xludf.DUMMYFUNCTION("""COMPUTED_VALUE"""),"2019/11/06 15:05:00")</f>
        <v>2019/11/06 15:05:00</v>
      </c>
      <c r="E32" s="51" t="str">
        <f>IFERROR(__xludf.DUMMYFUNCTION("""COMPUTED_VALUE"""),"2019/11/06 15:25:00")</f>
        <v>2019/11/06 15:25:00</v>
      </c>
      <c r="F32" s="51" t="str">
        <f>IFERROR(__xludf.DUMMYFUNCTION("""COMPUTED_VALUE"""),"fa77150e-8eb7-4899-9748-0400e23acece")</f>
        <v>fa77150e-8eb7-4899-9748-0400e23acece</v>
      </c>
      <c r="G32" s="58">
        <f>IFERROR(__xludf.DUMMYFUNCTION("""COMPUTED_VALUE"""),43775.0)</f>
        <v>43775</v>
      </c>
      <c r="H32" s="60">
        <f>IFERROR(__xludf.DUMMYFUNCTION("""COMPUTED_VALUE"""),0.6284722222222222)</f>
        <v>0.6284722222</v>
      </c>
      <c r="I32" s="58">
        <f>IFERROR(__xludf.DUMMYFUNCTION("""COMPUTED_VALUE"""),43775.0)</f>
        <v>43775</v>
      </c>
      <c r="J32" s="60">
        <f>IFERROR(__xludf.DUMMYFUNCTION("""COMPUTED_VALUE"""),0.6423611111111112)</f>
        <v>0.6423611111</v>
      </c>
      <c r="K32" s="60">
        <f t="shared" si="1"/>
        <v>0.01388888889</v>
      </c>
      <c r="L32" s="51" t="s">
        <v>111</v>
      </c>
      <c r="M32" s="51"/>
      <c r="N32" s="51"/>
      <c r="O32" s="50"/>
      <c r="P32" s="50"/>
      <c r="Q32" s="63"/>
      <c r="R32" s="51"/>
      <c r="S32" s="51"/>
      <c r="T32" s="51"/>
    </row>
    <row r="33">
      <c r="A33" s="51" t="str">
        <f>IFERROR(__xludf.DUMMYFUNCTION("""COMPUTED_VALUE"""),"Hybrid cloud to rule them all")</f>
        <v>Hybrid cloud to rule them all</v>
      </c>
      <c r="B33" s="51" t="str">
        <f>IFERROR(__xludf.DUMMYFUNCTION("""COMPUTED_VALUE"""),"SaaS Monster")</f>
        <v>SaaS Monster</v>
      </c>
      <c r="C33" s="56" t="str">
        <f>IFERROR(__xludf.DUMMYFUNCTION("""COMPUTED_VALUE"""),"John Granger and John Rampton")</f>
        <v>John Granger and John Rampton</v>
      </c>
      <c r="D33" s="51" t="str">
        <f>IFERROR(__xludf.DUMMYFUNCTION("""COMPUTED_VALUE"""),"2019/11/06 15:25:00")</f>
        <v>2019/11/06 15:25:00</v>
      </c>
      <c r="E33" s="51" t="str">
        <f>IFERROR(__xludf.DUMMYFUNCTION("""COMPUTED_VALUE"""),"2019/11/06 15:45:00")</f>
        <v>2019/11/06 15:45:00</v>
      </c>
      <c r="F33" s="51" t="str">
        <f>IFERROR(__xludf.DUMMYFUNCTION("""COMPUTED_VALUE"""),"d6c9a225-360d-49ee-9130-92b024745e88")</f>
        <v>d6c9a225-360d-49ee-9130-92b024745e88</v>
      </c>
      <c r="G33" s="58">
        <f>IFERROR(__xludf.DUMMYFUNCTION("""COMPUTED_VALUE"""),43775.0)</f>
        <v>43775</v>
      </c>
      <c r="H33" s="60">
        <f>IFERROR(__xludf.DUMMYFUNCTION("""COMPUTED_VALUE"""),0.6423611111111112)</f>
        <v>0.6423611111</v>
      </c>
      <c r="I33" s="58">
        <f>IFERROR(__xludf.DUMMYFUNCTION("""COMPUTED_VALUE"""),43775.0)</f>
        <v>43775</v>
      </c>
      <c r="J33" s="60">
        <f>IFERROR(__xludf.DUMMYFUNCTION("""COMPUTED_VALUE"""),0.65625)</f>
        <v>0.65625</v>
      </c>
      <c r="K33" s="60">
        <f t="shared" si="1"/>
        <v>0.01388888889</v>
      </c>
      <c r="L33" s="51" t="s">
        <v>111</v>
      </c>
      <c r="M33" s="51"/>
      <c r="N33" s="51"/>
      <c r="O33" s="50"/>
      <c r="P33" s="50"/>
      <c r="Q33" s="63"/>
      <c r="R33" s="51"/>
      <c r="S33" s="51"/>
      <c r="T33" s="51"/>
    </row>
    <row r="34">
      <c r="A34" s="51"/>
      <c r="B34" s="51"/>
      <c r="C34" s="56"/>
      <c r="D34" s="51"/>
      <c r="E34" s="51"/>
      <c r="F34" s="51"/>
      <c r="G34" s="51" t="str">
        <f>IFERROR(__xludf.DUMMYFUNCTION("""COMPUTED_VALUE"""),"#VALUE!")</f>
        <v>#VALUE!</v>
      </c>
      <c r="H34" s="51" t="str">
        <f>IFERROR(__xludf.DUMMYFUNCTION("""COMPUTED_VALUE"""),"")</f>
        <v/>
      </c>
      <c r="I34" s="51" t="str">
        <f>IFERROR(__xludf.DUMMYFUNCTION("""COMPUTED_VALUE"""),"#VALUE!")</f>
        <v>#VALUE!</v>
      </c>
      <c r="J34" s="51" t="str">
        <f>IFERROR(__xludf.DUMMYFUNCTION("""COMPUTED_VALUE"""),"")</f>
        <v/>
      </c>
      <c r="K34" s="51">
        <f t="shared" si="1"/>
        <v>0</v>
      </c>
      <c r="L34" s="51" t="s">
        <v>257</v>
      </c>
      <c r="M34" s="51"/>
      <c r="N34" s="51"/>
      <c r="O34" s="51"/>
      <c r="P34" s="51"/>
      <c r="Q34" s="51"/>
      <c r="R34" s="51"/>
      <c r="S34" s="51"/>
      <c r="T34" s="51"/>
    </row>
    <row r="35">
      <c r="A35" s="51"/>
      <c r="B35" s="51"/>
      <c r="C35" s="56"/>
      <c r="D35" s="51"/>
      <c r="E35" s="51"/>
      <c r="F35" s="51"/>
      <c r="G35" s="51" t="str">
        <f>IFERROR(__xludf.DUMMYFUNCTION("""COMPUTED_VALUE"""),"#VALUE!")</f>
        <v>#VALUE!</v>
      </c>
      <c r="H35" s="51" t="str">
        <f>IFERROR(__xludf.DUMMYFUNCTION("""COMPUTED_VALUE"""),"")</f>
        <v/>
      </c>
      <c r="I35" s="51" t="str">
        <f>IFERROR(__xludf.DUMMYFUNCTION("""COMPUTED_VALUE"""),"#VALUE!")</f>
        <v>#VALUE!</v>
      </c>
      <c r="J35" s="51" t="str">
        <f>IFERROR(__xludf.DUMMYFUNCTION("""COMPUTED_VALUE"""),"")</f>
        <v/>
      </c>
      <c r="K35" s="51">
        <f t="shared" si="1"/>
        <v>0</v>
      </c>
      <c r="L35" s="51" t="s">
        <v>257</v>
      </c>
      <c r="M35" s="51"/>
      <c r="N35" s="51"/>
      <c r="O35" s="51"/>
      <c r="P35" s="51"/>
      <c r="Q35" s="51"/>
      <c r="R35" s="51"/>
      <c r="S35" s="51"/>
      <c r="T35" s="51"/>
    </row>
    <row r="36">
      <c r="A36" s="51"/>
      <c r="B36" s="51"/>
      <c r="C36" s="56"/>
      <c r="D36" s="51"/>
      <c r="E36" s="51"/>
      <c r="F36" s="51"/>
      <c r="G36" s="51" t="str">
        <f>IFERROR(__xludf.DUMMYFUNCTION("""COMPUTED_VALUE"""),"#VALUE!")</f>
        <v>#VALUE!</v>
      </c>
      <c r="H36" s="51" t="str">
        <f>IFERROR(__xludf.DUMMYFUNCTION("""COMPUTED_VALUE"""),"")</f>
        <v/>
      </c>
      <c r="I36" s="51" t="str">
        <f>IFERROR(__xludf.DUMMYFUNCTION("""COMPUTED_VALUE"""),"#VALUE!")</f>
        <v>#VALUE!</v>
      </c>
      <c r="J36" s="51" t="str">
        <f>IFERROR(__xludf.DUMMYFUNCTION("""COMPUTED_VALUE"""),"")</f>
        <v/>
      </c>
      <c r="K36" s="51">
        <f t="shared" si="1"/>
        <v>0</v>
      </c>
      <c r="L36" s="51" t="s">
        <v>257</v>
      </c>
      <c r="M36" s="51"/>
      <c r="N36" s="51"/>
      <c r="O36" s="51"/>
      <c r="P36" s="51"/>
      <c r="Q36" s="51"/>
      <c r="R36" s="51"/>
      <c r="S36" s="51"/>
      <c r="T36" s="51"/>
    </row>
    <row r="37">
      <c r="A37" s="51"/>
      <c r="B37" s="51"/>
      <c r="C37" s="56"/>
      <c r="D37" s="51"/>
      <c r="E37" s="51"/>
      <c r="F37" s="51"/>
      <c r="G37" s="51" t="str">
        <f>IFERROR(__xludf.DUMMYFUNCTION("""COMPUTED_VALUE"""),"#VALUE!")</f>
        <v>#VALUE!</v>
      </c>
      <c r="H37" s="51" t="str">
        <f>IFERROR(__xludf.DUMMYFUNCTION("""COMPUTED_VALUE"""),"")</f>
        <v/>
      </c>
      <c r="I37" s="51" t="str">
        <f>IFERROR(__xludf.DUMMYFUNCTION("""COMPUTED_VALUE"""),"#VALUE!")</f>
        <v>#VALUE!</v>
      </c>
      <c r="J37" s="51" t="str">
        <f>IFERROR(__xludf.DUMMYFUNCTION("""COMPUTED_VALUE"""),"")</f>
        <v/>
      </c>
      <c r="K37" s="51">
        <f t="shared" si="1"/>
        <v>0</v>
      </c>
      <c r="L37" s="51" t="s">
        <v>257</v>
      </c>
      <c r="M37" s="51"/>
      <c r="N37" s="51"/>
      <c r="O37" s="51"/>
      <c r="P37" s="51"/>
      <c r="Q37" s="51"/>
      <c r="R37" s="51"/>
      <c r="S37" s="51"/>
      <c r="T37" s="51"/>
    </row>
    <row r="38">
      <c r="A38" s="51"/>
      <c r="B38" s="51"/>
      <c r="C38" s="56"/>
      <c r="D38" s="51"/>
      <c r="E38" s="51"/>
      <c r="F38" s="51"/>
      <c r="G38" s="51" t="str">
        <f>IFERROR(__xludf.DUMMYFUNCTION("""COMPUTED_VALUE"""),"#VALUE!")</f>
        <v>#VALUE!</v>
      </c>
      <c r="H38" s="51" t="str">
        <f>IFERROR(__xludf.DUMMYFUNCTION("""COMPUTED_VALUE"""),"")</f>
        <v/>
      </c>
      <c r="I38" s="51" t="str">
        <f>IFERROR(__xludf.DUMMYFUNCTION("""COMPUTED_VALUE"""),"#VALUE!")</f>
        <v>#VALUE!</v>
      </c>
      <c r="J38" s="51" t="str">
        <f>IFERROR(__xludf.DUMMYFUNCTION("""COMPUTED_VALUE"""),"")</f>
        <v/>
      </c>
      <c r="K38" s="51">
        <f t="shared" si="1"/>
        <v>0</v>
      </c>
      <c r="L38" s="51" t="s">
        <v>257</v>
      </c>
      <c r="M38" s="51"/>
      <c r="N38" s="51"/>
      <c r="O38" s="51"/>
      <c r="P38" s="51"/>
      <c r="Q38" s="51"/>
      <c r="R38" s="51"/>
      <c r="S38" s="51"/>
      <c r="T38" s="51"/>
    </row>
    <row r="39">
      <c r="A39" s="51"/>
      <c r="B39" s="51"/>
      <c r="C39" s="56"/>
      <c r="D39" s="51"/>
      <c r="E39" s="51"/>
      <c r="F39" s="51"/>
      <c r="G39" s="51" t="str">
        <f>IFERROR(__xludf.DUMMYFUNCTION("""COMPUTED_VALUE"""),"#VALUE!")</f>
        <v>#VALUE!</v>
      </c>
      <c r="H39" s="51" t="str">
        <f>IFERROR(__xludf.DUMMYFUNCTION("""COMPUTED_VALUE"""),"")</f>
        <v/>
      </c>
      <c r="I39" s="51" t="str">
        <f>IFERROR(__xludf.DUMMYFUNCTION("""COMPUTED_VALUE"""),"#VALUE!")</f>
        <v>#VALUE!</v>
      </c>
      <c r="J39" s="51" t="str">
        <f>IFERROR(__xludf.DUMMYFUNCTION("""COMPUTED_VALUE"""),"")</f>
        <v/>
      </c>
      <c r="K39" s="51">
        <f t="shared" si="1"/>
        <v>0</v>
      </c>
      <c r="L39" s="51" t="s">
        <v>257</v>
      </c>
      <c r="M39" s="51"/>
      <c r="N39" s="51"/>
      <c r="O39" s="51"/>
      <c r="P39" s="51"/>
      <c r="Q39" s="51"/>
      <c r="R39" s="51"/>
      <c r="S39" s="51"/>
      <c r="T39" s="51"/>
    </row>
    <row r="40">
      <c r="A40" s="51"/>
      <c r="B40" s="51"/>
      <c r="C40" s="56"/>
      <c r="D40" s="51"/>
      <c r="E40" s="51"/>
      <c r="F40" s="51"/>
      <c r="G40" s="51" t="str">
        <f>IFERROR(__xludf.DUMMYFUNCTION("""COMPUTED_VALUE"""),"#VALUE!")</f>
        <v>#VALUE!</v>
      </c>
      <c r="H40" s="51" t="str">
        <f>IFERROR(__xludf.DUMMYFUNCTION("""COMPUTED_VALUE"""),"")</f>
        <v/>
      </c>
      <c r="I40" s="51" t="str">
        <f>IFERROR(__xludf.DUMMYFUNCTION("""COMPUTED_VALUE"""),"#VALUE!")</f>
        <v>#VALUE!</v>
      </c>
      <c r="J40" s="51" t="str">
        <f>IFERROR(__xludf.DUMMYFUNCTION("""COMPUTED_VALUE"""),"")</f>
        <v/>
      </c>
      <c r="K40" s="51">
        <f t="shared" si="1"/>
        <v>0</v>
      </c>
      <c r="L40" s="51" t="s">
        <v>257</v>
      </c>
      <c r="M40" s="51"/>
      <c r="N40" s="51"/>
      <c r="O40" s="51"/>
      <c r="P40" s="51"/>
      <c r="Q40" s="51"/>
      <c r="R40" s="51"/>
      <c r="S40" s="51"/>
      <c r="T40" s="51"/>
    </row>
    <row r="41">
      <c r="A41" s="51"/>
      <c r="B41" s="51"/>
      <c r="C41" s="56"/>
      <c r="D41" s="51"/>
      <c r="E41" s="51"/>
      <c r="F41" s="51"/>
      <c r="G41" s="51" t="str">
        <f>IFERROR(__xludf.DUMMYFUNCTION("""COMPUTED_VALUE"""),"#VALUE!")</f>
        <v>#VALUE!</v>
      </c>
      <c r="H41" s="51" t="str">
        <f>IFERROR(__xludf.DUMMYFUNCTION("""COMPUTED_VALUE"""),"")</f>
        <v/>
      </c>
      <c r="I41" s="51" t="str">
        <f>IFERROR(__xludf.DUMMYFUNCTION("""COMPUTED_VALUE"""),"#VALUE!")</f>
        <v>#VALUE!</v>
      </c>
      <c r="J41" s="51" t="str">
        <f>IFERROR(__xludf.DUMMYFUNCTION("""COMPUTED_VALUE"""),"")</f>
        <v/>
      </c>
      <c r="K41" s="51">
        <f t="shared" si="1"/>
        <v>0</v>
      </c>
      <c r="L41" s="51" t="s">
        <v>257</v>
      </c>
      <c r="M41" s="51"/>
      <c r="N41" s="51"/>
      <c r="O41" s="51"/>
      <c r="P41" s="51"/>
      <c r="Q41" s="51"/>
      <c r="R41" s="51"/>
      <c r="S41" s="51"/>
      <c r="T41" s="51"/>
    </row>
    <row r="42">
      <c r="A42" s="51"/>
      <c r="B42" s="51"/>
      <c r="C42" s="56"/>
      <c r="D42" s="51"/>
      <c r="E42" s="51"/>
      <c r="F42" s="51"/>
      <c r="G42" s="51" t="str">
        <f>IFERROR(__xludf.DUMMYFUNCTION("""COMPUTED_VALUE"""),"#VALUE!")</f>
        <v>#VALUE!</v>
      </c>
      <c r="H42" s="51" t="str">
        <f>IFERROR(__xludf.DUMMYFUNCTION("""COMPUTED_VALUE"""),"")</f>
        <v/>
      </c>
      <c r="I42" s="51" t="str">
        <f>IFERROR(__xludf.DUMMYFUNCTION("""COMPUTED_VALUE"""),"#VALUE!")</f>
        <v>#VALUE!</v>
      </c>
      <c r="J42" s="51" t="str">
        <f>IFERROR(__xludf.DUMMYFUNCTION("""COMPUTED_VALUE"""),"")</f>
        <v/>
      </c>
      <c r="K42" s="51">
        <f t="shared" si="1"/>
        <v>0</v>
      </c>
      <c r="L42" s="51" t="s">
        <v>257</v>
      </c>
      <c r="M42" s="51"/>
      <c r="N42" s="51"/>
      <c r="O42" s="51"/>
      <c r="P42" s="51"/>
      <c r="Q42" s="51"/>
      <c r="R42" s="51"/>
      <c r="S42" s="51"/>
      <c r="T42" s="51"/>
    </row>
    <row r="43">
      <c r="A43" s="51"/>
      <c r="B43" s="51"/>
      <c r="C43" s="56"/>
      <c r="D43" s="51"/>
      <c r="E43" s="51"/>
      <c r="F43" s="51"/>
      <c r="G43" s="51" t="str">
        <f>IFERROR(__xludf.DUMMYFUNCTION("""COMPUTED_VALUE"""),"#VALUE!")</f>
        <v>#VALUE!</v>
      </c>
      <c r="H43" s="51" t="str">
        <f>IFERROR(__xludf.DUMMYFUNCTION("""COMPUTED_VALUE"""),"")</f>
        <v/>
      </c>
      <c r="I43" s="51" t="str">
        <f>IFERROR(__xludf.DUMMYFUNCTION("""COMPUTED_VALUE"""),"#VALUE!")</f>
        <v>#VALUE!</v>
      </c>
      <c r="J43" s="51" t="str">
        <f>IFERROR(__xludf.DUMMYFUNCTION("""COMPUTED_VALUE"""),"")</f>
        <v/>
      </c>
      <c r="K43" s="51">
        <f t="shared" si="1"/>
        <v>0</v>
      </c>
      <c r="L43" s="51" t="s">
        <v>257</v>
      </c>
      <c r="M43" s="51"/>
      <c r="N43" s="51"/>
      <c r="O43" s="51"/>
      <c r="P43" s="51"/>
      <c r="Q43" s="51"/>
      <c r="R43" s="51"/>
      <c r="S43" s="51"/>
      <c r="T43" s="51"/>
    </row>
    <row r="44">
      <c r="A44" s="51"/>
      <c r="B44" s="51"/>
      <c r="C44" s="56"/>
      <c r="D44" s="51"/>
      <c r="E44" s="51"/>
      <c r="F44" s="51"/>
      <c r="G44" s="51" t="str">
        <f>IFERROR(__xludf.DUMMYFUNCTION("""COMPUTED_VALUE"""),"#VALUE!")</f>
        <v>#VALUE!</v>
      </c>
      <c r="H44" s="51" t="str">
        <f>IFERROR(__xludf.DUMMYFUNCTION("""COMPUTED_VALUE"""),"")</f>
        <v/>
      </c>
      <c r="I44" s="51" t="str">
        <f>IFERROR(__xludf.DUMMYFUNCTION("""COMPUTED_VALUE"""),"#VALUE!")</f>
        <v>#VALUE!</v>
      </c>
      <c r="J44" s="51" t="str">
        <f>IFERROR(__xludf.DUMMYFUNCTION("""COMPUTED_VALUE"""),"")</f>
        <v/>
      </c>
      <c r="K44" s="51">
        <f t="shared" si="1"/>
        <v>0</v>
      </c>
      <c r="L44" s="51" t="s">
        <v>257</v>
      </c>
      <c r="M44" s="51"/>
      <c r="N44" s="51"/>
      <c r="O44" s="51"/>
      <c r="P44" s="51"/>
      <c r="Q44" s="51"/>
      <c r="R44" s="51"/>
      <c r="S44" s="51"/>
      <c r="T44" s="51"/>
    </row>
    <row r="45">
      <c r="A45" s="51"/>
      <c r="B45" s="51"/>
      <c r="C45" s="56"/>
      <c r="D45" s="51"/>
      <c r="E45" s="51"/>
      <c r="F45" s="51"/>
      <c r="G45" s="51" t="str">
        <f>IFERROR(__xludf.DUMMYFUNCTION("""COMPUTED_VALUE"""),"#VALUE!")</f>
        <v>#VALUE!</v>
      </c>
      <c r="H45" s="51" t="str">
        <f>IFERROR(__xludf.DUMMYFUNCTION("""COMPUTED_VALUE"""),"")</f>
        <v/>
      </c>
      <c r="I45" s="51" t="str">
        <f>IFERROR(__xludf.DUMMYFUNCTION("""COMPUTED_VALUE"""),"#VALUE!")</f>
        <v>#VALUE!</v>
      </c>
      <c r="J45" s="51" t="str">
        <f>IFERROR(__xludf.DUMMYFUNCTION("""COMPUTED_VALUE"""),"")</f>
        <v/>
      </c>
      <c r="K45" s="51"/>
      <c r="L45" s="51" t="s">
        <v>257</v>
      </c>
      <c r="M45" s="51"/>
      <c r="N45" s="51"/>
      <c r="O45" s="51"/>
      <c r="P45" s="51"/>
      <c r="Q45" s="51"/>
      <c r="R45" s="51"/>
      <c r="S45" s="51"/>
      <c r="T45" s="51"/>
    </row>
    <row r="46">
      <c r="A46" s="51"/>
      <c r="B46" s="51"/>
      <c r="C46" s="56"/>
      <c r="D46" s="51"/>
      <c r="E46" s="51"/>
      <c r="F46" s="51"/>
      <c r="G46" s="51" t="str">
        <f>IFERROR(__xludf.DUMMYFUNCTION("""COMPUTED_VALUE"""),"#VALUE!")</f>
        <v>#VALUE!</v>
      </c>
      <c r="H46" s="51" t="str">
        <f>IFERROR(__xludf.DUMMYFUNCTION("""COMPUTED_VALUE"""),"")</f>
        <v/>
      </c>
      <c r="I46" s="51" t="str">
        <f>IFERROR(__xludf.DUMMYFUNCTION("""COMPUTED_VALUE"""),"#VALUE!")</f>
        <v>#VALUE!</v>
      </c>
      <c r="J46" s="51" t="str">
        <f>IFERROR(__xludf.DUMMYFUNCTION("""COMPUTED_VALUE"""),"")</f>
        <v/>
      </c>
      <c r="K46" s="51"/>
      <c r="L46" s="51" t="s">
        <v>257</v>
      </c>
      <c r="M46" s="51"/>
      <c r="N46" s="51"/>
      <c r="O46" s="51"/>
      <c r="P46" s="51"/>
      <c r="Q46" s="51"/>
      <c r="R46" s="51"/>
      <c r="S46" s="51"/>
      <c r="T46" s="51"/>
    </row>
    <row r="47">
      <c r="A47" s="51"/>
      <c r="B47" s="51"/>
      <c r="C47" s="56"/>
      <c r="D47" s="51"/>
      <c r="E47" s="51"/>
      <c r="F47" s="51"/>
      <c r="G47" s="51" t="str">
        <f>IFERROR(__xludf.DUMMYFUNCTION("""COMPUTED_VALUE"""),"#VALUE!")</f>
        <v>#VALUE!</v>
      </c>
      <c r="H47" s="51" t="str">
        <f>IFERROR(__xludf.DUMMYFUNCTION("""COMPUTED_VALUE"""),"")</f>
        <v/>
      </c>
      <c r="I47" s="51" t="str">
        <f>IFERROR(__xludf.DUMMYFUNCTION("""COMPUTED_VALUE"""),"#VALUE!")</f>
        <v>#VALUE!</v>
      </c>
      <c r="J47" s="51" t="str">
        <f>IFERROR(__xludf.DUMMYFUNCTION("""COMPUTED_VALUE"""),"")</f>
        <v/>
      </c>
      <c r="K47" s="51"/>
      <c r="L47" s="51" t="s">
        <v>257</v>
      </c>
      <c r="M47" s="51"/>
      <c r="N47" s="51"/>
      <c r="O47" s="51"/>
      <c r="P47" s="51"/>
      <c r="Q47" s="51"/>
      <c r="R47" s="51"/>
      <c r="S47" s="51"/>
      <c r="T47" s="51"/>
    </row>
    <row r="48">
      <c r="A48" s="51"/>
      <c r="B48" s="51"/>
      <c r="C48" s="56"/>
      <c r="D48" s="51"/>
      <c r="E48" s="51"/>
      <c r="F48" s="51"/>
      <c r="G48" s="51" t="str">
        <f>IFERROR(__xludf.DUMMYFUNCTION("""COMPUTED_VALUE"""),"#VALUE!")</f>
        <v>#VALUE!</v>
      </c>
      <c r="H48" s="51" t="str">
        <f>IFERROR(__xludf.DUMMYFUNCTION("""COMPUTED_VALUE"""),"")</f>
        <v/>
      </c>
      <c r="I48" s="51" t="str">
        <f>IFERROR(__xludf.DUMMYFUNCTION("""COMPUTED_VALUE"""),"#VALUE!")</f>
        <v>#VALUE!</v>
      </c>
      <c r="J48" s="51" t="str">
        <f>IFERROR(__xludf.DUMMYFUNCTION("""COMPUTED_VALUE"""),"")</f>
        <v/>
      </c>
      <c r="K48" s="51"/>
      <c r="L48" s="51" t="s">
        <v>257</v>
      </c>
      <c r="M48" s="51"/>
      <c r="N48" s="51"/>
      <c r="O48" s="51"/>
      <c r="P48" s="51"/>
      <c r="Q48" s="51"/>
      <c r="R48" s="51"/>
      <c r="S48" s="51"/>
      <c r="T48" s="51"/>
    </row>
    <row r="49">
      <c r="A49" s="51"/>
      <c r="B49" s="51"/>
      <c r="C49" s="56"/>
      <c r="D49" s="51"/>
      <c r="E49" s="51"/>
      <c r="F49" s="51"/>
      <c r="G49" s="51" t="str">
        <f>IFERROR(__xludf.DUMMYFUNCTION("""COMPUTED_VALUE"""),"#VALUE!")</f>
        <v>#VALUE!</v>
      </c>
      <c r="H49" s="51" t="str">
        <f>IFERROR(__xludf.DUMMYFUNCTION("""COMPUTED_VALUE"""),"")</f>
        <v/>
      </c>
      <c r="I49" s="51" t="str">
        <f>IFERROR(__xludf.DUMMYFUNCTION("""COMPUTED_VALUE"""),"#VALUE!")</f>
        <v>#VALUE!</v>
      </c>
      <c r="J49" s="51" t="str">
        <f>IFERROR(__xludf.DUMMYFUNCTION("""COMPUTED_VALUE"""),"")</f>
        <v/>
      </c>
      <c r="K49" s="51"/>
      <c r="L49" s="51" t="s">
        <v>257</v>
      </c>
      <c r="M49" s="51"/>
      <c r="N49" s="51"/>
      <c r="O49" s="51"/>
      <c r="P49" s="51"/>
      <c r="Q49" s="51"/>
      <c r="R49" s="51"/>
      <c r="S49" s="51"/>
      <c r="T49" s="51"/>
    </row>
    <row r="50">
      <c r="A50" s="51"/>
      <c r="B50" s="51"/>
      <c r="C50" s="56"/>
      <c r="D50" s="51"/>
      <c r="E50" s="51"/>
      <c r="F50" s="51"/>
      <c r="G50" s="51" t="str">
        <f>IFERROR(__xludf.DUMMYFUNCTION("""COMPUTED_VALUE"""),"#VALUE!")</f>
        <v>#VALUE!</v>
      </c>
      <c r="H50" s="51" t="str">
        <f>IFERROR(__xludf.DUMMYFUNCTION("""COMPUTED_VALUE"""),"")</f>
        <v/>
      </c>
      <c r="I50" s="51" t="str">
        <f>IFERROR(__xludf.DUMMYFUNCTION("""COMPUTED_VALUE"""),"#VALUE!")</f>
        <v>#VALUE!</v>
      </c>
      <c r="J50" s="51" t="str">
        <f>IFERROR(__xludf.DUMMYFUNCTION("""COMPUTED_VALUE"""),"")</f>
        <v/>
      </c>
      <c r="K50" s="51"/>
      <c r="L50" s="51" t="s">
        <v>257</v>
      </c>
      <c r="M50" s="51"/>
      <c r="N50" s="51"/>
      <c r="O50" s="51"/>
      <c r="P50" s="51"/>
      <c r="Q50" s="51"/>
      <c r="R50" s="51"/>
      <c r="S50" s="51"/>
      <c r="T50" s="51"/>
    </row>
    <row r="51">
      <c r="A51" s="51"/>
      <c r="B51" s="51"/>
      <c r="C51" s="56"/>
      <c r="D51" s="51"/>
      <c r="E51" s="51"/>
      <c r="F51" s="51"/>
      <c r="G51" s="51" t="str">
        <f>IFERROR(__xludf.DUMMYFUNCTION("""COMPUTED_VALUE"""),"#VALUE!")</f>
        <v>#VALUE!</v>
      </c>
      <c r="H51" s="51" t="str">
        <f>IFERROR(__xludf.DUMMYFUNCTION("""COMPUTED_VALUE"""),"")</f>
        <v/>
      </c>
      <c r="I51" s="51" t="str">
        <f>IFERROR(__xludf.DUMMYFUNCTION("""COMPUTED_VALUE"""),"#VALUE!")</f>
        <v>#VALUE!</v>
      </c>
      <c r="J51" s="51" t="str">
        <f>IFERROR(__xludf.DUMMYFUNCTION("""COMPUTED_VALUE"""),"")</f>
        <v/>
      </c>
      <c r="K51" s="51"/>
      <c r="L51" s="51" t="s">
        <v>257</v>
      </c>
      <c r="M51" s="51"/>
      <c r="N51" s="51"/>
      <c r="O51" s="51"/>
      <c r="P51" s="51"/>
      <c r="Q51" s="51"/>
      <c r="R51" s="51"/>
      <c r="S51" s="51"/>
      <c r="T51" s="51"/>
    </row>
    <row r="52">
      <c r="A52" s="51"/>
      <c r="B52" s="51"/>
      <c r="C52" s="56"/>
      <c r="D52" s="51"/>
      <c r="E52" s="51"/>
      <c r="F52" s="51"/>
      <c r="G52" s="51" t="str">
        <f>IFERROR(__xludf.DUMMYFUNCTION("""COMPUTED_VALUE"""),"#VALUE!")</f>
        <v>#VALUE!</v>
      </c>
      <c r="H52" s="51" t="str">
        <f>IFERROR(__xludf.DUMMYFUNCTION("""COMPUTED_VALUE"""),"")</f>
        <v/>
      </c>
      <c r="I52" s="51" t="str">
        <f>IFERROR(__xludf.DUMMYFUNCTION("""COMPUTED_VALUE"""),"#VALUE!")</f>
        <v>#VALUE!</v>
      </c>
      <c r="J52" s="51" t="str">
        <f>IFERROR(__xludf.DUMMYFUNCTION("""COMPUTED_VALUE"""),"")</f>
        <v/>
      </c>
      <c r="K52" s="51"/>
      <c r="L52" s="51" t="s">
        <v>257</v>
      </c>
      <c r="M52" s="51"/>
      <c r="N52" s="51"/>
      <c r="O52" s="51"/>
      <c r="P52" s="51"/>
      <c r="Q52" s="51"/>
      <c r="R52" s="51"/>
      <c r="S52" s="51"/>
      <c r="T52" s="51"/>
    </row>
    <row r="53">
      <c r="A53" s="51"/>
      <c r="B53" s="51"/>
      <c r="C53" s="56"/>
      <c r="D53" s="51"/>
      <c r="E53" s="51"/>
      <c r="F53" s="51"/>
      <c r="G53" s="51" t="str">
        <f>IFERROR(__xludf.DUMMYFUNCTION("""COMPUTED_VALUE"""),"#VALUE!")</f>
        <v>#VALUE!</v>
      </c>
      <c r="H53" s="51" t="str">
        <f>IFERROR(__xludf.DUMMYFUNCTION("""COMPUTED_VALUE"""),"")</f>
        <v/>
      </c>
      <c r="I53" s="51" t="str">
        <f>IFERROR(__xludf.DUMMYFUNCTION("""COMPUTED_VALUE"""),"#VALUE!")</f>
        <v>#VALUE!</v>
      </c>
      <c r="J53" s="51" t="str">
        <f>IFERROR(__xludf.DUMMYFUNCTION("""COMPUTED_VALUE"""),"")</f>
        <v/>
      </c>
      <c r="K53" s="51"/>
      <c r="L53" s="51" t="s">
        <v>257</v>
      </c>
      <c r="M53" s="51"/>
      <c r="N53" s="51"/>
      <c r="O53" s="51"/>
      <c r="P53" s="51"/>
      <c r="Q53" s="51"/>
      <c r="R53" s="51"/>
      <c r="S53" s="51"/>
      <c r="T53" s="51"/>
    </row>
    <row r="54">
      <c r="A54" s="51"/>
      <c r="B54" s="51"/>
      <c r="C54" s="56"/>
      <c r="D54" s="51"/>
      <c r="E54" s="51"/>
      <c r="F54" s="51"/>
      <c r="G54" s="51" t="str">
        <f>IFERROR(__xludf.DUMMYFUNCTION("""COMPUTED_VALUE"""),"#VALUE!")</f>
        <v>#VALUE!</v>
      </c>
      <c r="H54" s="51" t="str">
        <f>IFERROR(__xludf.DUMMYFUNCTION("""COMPUTED_VALUE"""),"")</f>
        <v/>
      </c>
      <c r="I54" s="51" t="str">
        <f>IFERROR(__xludf.DUMMYFUNCTION("""COMPUTED_VALUE"""),"#VALUE!")</f>
        <v>#VALUE!</v>
      </c>
      <c r="J54" s="51" t="str">
        <f>IFERROR(__xludf.DUMMYFUNCTION("""COMPUTED_VALUE"""),"")</f>
        <v/>
      </c>
      <c r="K54" s="51"/>
      <c r="L54" s="51" t="s">
        <v>257</v>
      </c>
      <c r="M54" s="51"/>
      <c r="N54" s="51"/>
      <c r="O54" s="51"/>
      <c r="P54" s="51"/>
      <c r="Q54" s="51"/>
      <c r="R54" s="51"/>
      <c r="S54" s="51"/>
      <c r="T54" s="51"/>
    </row>
    <row r="55">
      <c r="A55" s="51"/>
      <c r="B55" s="51"/>
      <c r="C55" s="56"/>
      <c r="D55" s="51"/>
      <c r="E55" s="51"/>
      <c r="F55" s="51"/>
      <c r="G55" s="51" t="str">
        <f>IFERROR(__xludf.DUMMYFUNCTION("""COMPUTED_VALUE"""),"#VALUE!")</f>
        <v>#VALUE!</v>
      </c>
      <c r="H55" s="51" t="str">
        <f>IFERROR(__xludf.DUMMYFUNCTION("""COMPUTED_VALUE"""),"")</f>
        <v/>
      </c>
      <c r="I55" s="51" t="str">
        <f>IFERROR(__xludf.DUMMYFUNCTION("""COMPUTED_VALUE"""),"#VALUE!")</f>
        <v>#VALUE!</v>
      </c>
      <c r="J55" s="51" t="str">
        <f>IFERROR(__xludf.DUMMYFUNCTION("""COMPUTED_VALUE"""),"")</f>
        <v/>
      </c>
      <c r="K55" s="51"/>
      <c r="L55" s="51" t="s">
        <v>257</v>
      </c>
      <c r="M55" s="51"/>
      <c r="N55" s="51"/>
      <c r="O55" s="51"/>
      <c r="P55" s="51"/>
      <c r="Q55" s="51"/>
      <c r="R55" s="51"/>
      <c r="S55" s="51"/>
      <c r="T55" s="51"/>
    </row>
    <row r="56">
      <c r="A56" s="51"/>
      <c r="B56" s="51"/>
      <c r="C56" s="56"/>
      <c r="D56" s="51"/>
      <c r="E56" s="51"/>
      <c r="F56" s="51"/>
      <c r="G56" s="51" t="str">
        <f>IFERROR(__xludf.DUMMYFUNCTION("""COMPUTED_VALUE"""),"#VALUE!")</f>
        <v>#VALUE!</v>
      </c>
      <c r="H56" s="51" t="str">
        <f>IFERROR(__xludf.DUMMYFUNCTION("""COMPUTED_VALUE"""),"")</f>
        <v/>
      </c>
      <c r="I56" s="51" t="str">
        <f>IFERROR(__xludf.DUMMYFUNCTION("""COMPUTED_VALUE"""),"#VALUE!")</f>
        <v>#VALUE!</v>
      </c>
      <c r="J56" s="51" t="str">
        <f>IFERROR(__xludf.DUMMYFUNCTION("""COMPUTED_VALUE"""),"")</f>
        <v/>
      </c>
      <c r="K56" s="51"/>
      <c r="L56" s="51" t="s">
        <v>257</v>
      </c>
      <c r="M56" s="51"/>
      <c r="N56" s="51"/>
      <c r="O56" s="51"/>
      <c r="P56" s="51"/>
      <c r="Q56" s="51"/>
      <c r="R56" s="51"/>
      <c r="S56" s="51"/>
      <c r="T56" s="51"/>
    </row>
    <row r="57">
      <c r="A57" s="51"/>
      <c r="B57" s="51"/>
      <c r="C57" s="56"/>
      <c r="D57" s="51"/>
      <c r="E57" s="51"/>
      <c r="F57" s="51"/>
      <c r="G57" s="51" t="str">
        <f>IFERROR(__xludf.DUMMYFUNCTION("""COMPUTED_VALUE"""),"#VALUE!")</f>
        <v>#VALUE!</v>
      </c>
      <c r="H57" s="51" t="str">
        <f>IFERROR(__xludf.DUMMYFUNCTION("""COMPUTED_VALUE"""),"")</f>
        <v/>
      </c>
      <c r="I57" s="51" t="str">
        <f>IFERROR(__xludf.DUMMYFUNCTION("""COMPUTED_VALUE"""),"#VALUE!")</f>
        <v>#VALUE!</v>
      </c>
      <c r="J57" s="51" t="str">
        <f>IFERROR(__xludf.DUMMYFUNCTION("""COMPUTED_VALUE"""),"")</f>
        <v/>
      </c>
      <c r="K57" s="51"/>
      <c r="L57" s="51" t="s">
        <v>257</v>
      </c>
      <c r="M57" s="51"/>
      <c r="N57" s="51"/>
      <c r="O57" s="51"/>
      <c r="P57" s="51"/>
      <c r="Q57" s="51"/>
      <c r="R57" s="51"/>
      <c r="S57" s="51"/>
      <c r="T57" s="51"/>
    </row>
    <row r="58">
      <c r="A58" s="51"/>
      <c r="B58" s="51"/>
      <c r="C58" s="56"/>
      <c r="D58" s="51"/>
      <c r="E58" s="51"/>
      <c r="F58" s="51"/>
      <c r="G58" s="51" t="str">
        <f>IFERROR(__xludf.DUMMYFUNCTION("""COMPUTED_VALUE"""),"#VALUE!")</f>
        <v>#VALUE!</v>
      </c>
      <c r="H58" s="51" t="str">
        <f>IFERROR(__xludf.DUMMYFUNCTION("""COMPUTED_VALUE"""),"")</f>
        <v/>
      </c>
      <c r="I58" s="51" t="str">
        <f>IFERROR(__xludf.DUMMYFUNCTION("""COMPUTED_VALUE"""),"#VALUE!")</f>
        <v>#VALUE!</v>
      </c>
      <c r="J58" s="51" t="str">
        <f>IFERROR(__xludf.DUMMYFUNCTION("""COMPUTED_VALUE"""),"")</f>
        <v/>
      </c>
      <c r="K58" s="51"/>
      <c r="L58" s="51" t="s">
        <v>257</v>
      </c>
      <c r="M58" s="51"/>
      <c r="N58" s="51"/>
      <c r="O58" s="51"/>
      <c r="P58" s="51"/>
      <c r="Q58" s="51"/>
      <c r="R58" s="51"/>
      <c r="S58" s="51"/>
      <c r="T58" s="51"/>
    </row>
    <row r="59">
      <c r="A59" s="51"/>
      <c r="B59" s="51"/>
      <c r="C59" s="56"/>
      <c r="D59" s="51"/>
      <c r="E59" s="51"/>
      <c r="F59" s="51"/>
      <c r="G59" s="51" t="str">
        <f>IFERROR(__xludf.DUMMYFUNCTION("""COMPUTED_VALUE"""),"#VALUE!")</f>
        <v>#VALUE!</v>
      </c>
      <c r="H59" s="51" t="str">
        <f>IFERROR(__xludf.DUMMYFUNCTION("""COMPUTED_VALUE"""),"")</f>
        <v/>
      </c>
      <c r="I59" s="51" t="str">
        <f>IFERROR(__xludf.DUMMYFUNCTION("""COMPUTED_VALUE"""),"#VALUE!")</f>
        <v>#VALUE!</v>
      </c>
      <c r="J59" s="51" t="str">
        <f>IFERROR(__xludf.DUMMYFUNCTION("""COMPUTED_VALUE"""),"")</f>
        <v/>
      </c>
      <c r="K59" s="51"/>
      <c r="L59" s="51" t="s">
        <v>257</v>
      </c>
      <c r="M59" s="51"/>
      <c r="N59" s="51"/>
      <c r="O59" s="51"/>
      <c r="P59" s="51"/>
      <c r="Q59" s="51"/>
      <c r="R59" s="51"/>
      <c r="S59" s="51"/>
      <c r="T59" s="51"/>
    </row>
    <row r="60">
      <c r="A60" s="51"/>
      <c r="B60" s="51"/>
      <c r="C60" s="56"/>
      <c r="D60" s="51"/>
      <c r="E60" s="51"/>
      <c r="F60" s="51"/>
      <c r="G60" s="51" t="str">
        <f>IFERROR(__xludf.DUMMYFUNCTION("""COMPUTED_VALUE"""),"#VALUE!")</f>
        <v>#VALUE!</v>
      </c>
      <c r="H60" s="51" t="str">
        <f>IFERROR(__xludf.DUMMYFUNCTION("""COMPUTED_VALUE"""),"")</f>
        <v/>
      </c>
      <c r="I60" s="51" t="str">
        <f>IFERROR(__xludf.DUMMYFUNCTION("""COMPUTED_VALUE"""),"#VALUE!")</f>
        <v>#VALUE!</v>
      </c>
      <c r="J60" s="51" t="str">
        <f>IFERROR(__xludf.DUMMYFUNCTION("""COMPUTED_VALUE"""),"")</f>
        <v/>
      </c>
      <c r="K60" s="51"/>
      <c r="L60" s="51" t="s">
        <v>257</v>
      </c>
      <c r="M60" s="51"/>
      <c r="N60" s="51"/>
      <c r="O60" s="51"/>
      <c r="P60" s="51"/>
      <c r="Q60" s="51"/>
      <c r="R60" s="51"/>
      <c r="S60" s="51"/>
      <c r="T60" s="51"/>
    </row>
    <row r="61">
      <c r="A61" s="51"/>
      <c r="B61" s="51"/>
      <c r="C61" s="56"/>
      <c r="D61" s="51"/>
      <c r="E61" s="51"/>
      <c r="F61" s="51"/>
      <c r="G61" s="51" t="str">
        <f>IFERROR(__xludf.DUMMYFUNCTION("""COMPUTED_VALUE"""),"#VALUE!")</f>
        <v>#VALUE!</v>
      </c>
      <c r="H61" s="51" t="str">
        <f>IFERROR(__xludf.DUMMYFUNCTION("""COMPUTED_VALUE"""),"")</f>
        <v/>
      </c>
      <c r="I61" s="51" t="str">
        <f>IFERROR(__xludf.DUMMYFUNCTION("""COMPUTED_VALUE"""),"#VALUE!")</f>
        <v>#VALUE!</v>
      </c>
      <c r="J61" s="51" t="str">
        <f>IFERROR(__xludf.DUMMYFUNCTION("""COMPUTED_VALUE"""),"")</f>
        <v/>
      </c>
      <c r="K61" s="51"/>
      <c r="L61" s="51" t="s">
        <v>257</v>
      </c>
      <c r="M61" s="51"/>
      <c r="N61" s="51"/>
      <c r="O61" s="51"/>
      <c r="P61" s="51"/>
      <c r="Q61" s="51"/>
      <c r="R61" s="51"/>
      <c r="S61" s="51"/>
      <c r="T61" s="51"/>
    </row>
    <row r="62">
      <c r="A62" s="51"/>
      <c r="B62" s="51"/>
      <c r="C62" s="56"/>
      <c r="D62" s="51"/>
      <c r="E62" s="51"/>
      <c r="F62" s="51"/>
      <c r="G62" s="51" t="str">
        <f>IFERROR(__xludf.DUMMYFUNCTION("""COMPUTED_VALUE"""),"#VALUE!")</f>
        <v>#VALUE!</v>
      </c>
      <c r="H62" s="51" t="str">
        <f>IFERROR(__xludf.DUMMYFUNCTION("""COMPUTED_VALUE"""),"")</f>
        <v/>
      </c>
      <c r="I62" s="51" t="str">
        <f>IFERROR(__xludf.DUMMYFUNCTION("""COMPUTED_VALUE"""),"#VALUE!")</f>
        <v>#VALUE!</v>
      </c>
      <c r="J62" s="51" t="str">
        <f>IFERROR(__xludf.DUMMYFUNCTION("""COMPUTED_VALUE"""),"")</f>
        <v/>
      </c>
      <c r="K62" s="51"/>
      <c r="L62" s="51" t="s">
        <v>257</v>
      </c>
      <c r="M62" s="51"/>
      <c r="N62" s="51"/>
      <c r="O62" s="51"/>
      <c r="P62" s="51"/>
      <c r="Q62" s="51"/>
      <c r="R62" s="51"/>
      <c r="S62" s="51"/>
      <c r="T62" s="51"/>
    </row>
    <row r="63">
      <c r="A63" s="51"/>
      <c r="B63" s="51"/>
      <c r="C63" s="56"/>
      <c r="D63" s="51"/>
      <c r="E63" s="51"/>
      <c r="F63" s="51"/>
      <c r="G63" s="51" t="str">
        <f>IFERROR(__xludf.DUMMYFUNCTION("""COMPUTED_VALUE"""),"#VALUE!")</f>
        <v>#VALUE!</v>
      </c>
      <c r="H63" s="51" t="str">
        <f>IFERROR(__xludf.DUMMYFUNCTION("""COMPUTED_VALUE"""),"")</f>
        <v/>
      </c>
      <c r="I63" s="51" t="str">
        <f>IFERROR(__xludf.DUMMYFUNCTION("""COMPUTED_VALUE"""),"#VALUE!")</f>
        <v>#VALUE!</v>
      </c>
      <c r="J63" s="51" t="str">
        <f>IFERROR(__xludf.DUMMYFUNCTION("""COMPUTED_VALUE"""),"")</f>
        <v/>
      </c>
      <c r="K63" s="51"/>
      <c r="L63" s="51" t="s">
        <v>257</v>
      </c>
      <c r="M63" s="51"/>
      <c r="N63" s="51"/>
      <c r="O63" s="51"/>
      <c r="P63" s="51"/>
      <c r="Q63" s="51"/>
      <c r="R63" s="51"/>
      <c r="S63" s="51"/>
      <c r="T63" s="51"/>
    </row>
    <row r="64">
      <c r="A64" s="51"/>
      <c r="B64" s="51"/>
      <c r="C64" s="56"/>
      <c r="D64" s="51"/>
      <c r="E64" s="51"/>
      <c r="F64" s="51"/>
      <c r="G64" s="51" t="str">
        <f>IFERROR(__xludf.DUMMYFUNCTION("""COMPUTED_VALUE"""),"#VALUE!")</f>
        <v>#VALUE!</v>
      </c>
      <c r="H64" s="51" t="str">
        <f>IFERROR(__xludf.DUMMYFUNCTION("""COMPUTED_VALUE"""),"")</f>
        <v/>
      </c>
      <c r="I64" s="51" t="str">
        <f>IFERROR(__xludf.DUMMYFUNCTION("""COMPUTED_VALUE"""),"#VALUE!")</f>
        <v>#VALUE!</v>
      </c>
      <c r="J64" s="51" t="str">
        <f>IFERROR(__xludf.DUMMYFUNCTION("""COMPUTED_VALUE"""),"")</f>
        <v/>
      </c>
      <c r="K64" s="51"/>
      <c r="L64" s="51" t="s">
        <v>257</v>
      </c>
      <c r="M64" s="51"/>
      <c r="N64" s="51"/>
      <c r="O64" s="51"/>
      <c r="P64" s="51"/>
      <c r="Q64" s="51"/>
      <c r="R64" s="51"/>
      <c r="S64" s="51"/>
      <c r="T64" s="51"/>
    </row>
    <row r="65">
      <c r="A65" s="51"/>
      <c r="B65" s="51"/>
      <c r="C65" s="56"/>
      <c r="D65" s="51"/>
      <c r="E65" s="51"/>
      <c r="F65" s="51"/>
      <c r="G65" s="51" t="str">
        <f>IFERROR(__xludf.DUMMYFUNCTION("""COMPUTED_VALUE"""),"#VALUE!")</f>
        <v>#VALUE!</v>
      </c>
      <c r="H65" s="51" t="str">
        <f>IFERROR(__xludf.DUMMYFUNCTION("""COMPUTED_VALUE"""),"")</f>
        <v/>
      </c>
      <c r="I65" s="51" t="str">
        <f>IFERROR(__xludf.DUMMYFUNCTION("""COMPUTED_VALUE"""),"#VALUE!")</f>
        <v>#VALUE!</v>
      </c>
      <c r="J65" s="51" t="str">
        <f>IFERROR(__xludf.DUMMYFUNCTION("""COMPUTED_VALUE"""),"")</f>
        <v/>
      </c>
      <c r="K65" s="51"/>
      <c r="L65" s="51" t="s">
        <v>257</v>
      </c>
      <c r="M65" s="51"/>
      <c r="N65" s="51"/>
      <c r="O65" s="51"/>
      <c r="P65" s="51"/>
      <c r="Q65" s="51"/>
      <c r="R65" s="51"/>
      <c r="S65" s="51"/>
      <c r="T65" s="51"/>
    </row>
    <row r="66">
      <c r="A66" s="51"/>
      <c r="B66" s="51"/>
      <c r="C66" s="56"/>
      <c r="D66" s="51"/>
      <c r="E66" s="51"/>
      <c r="F66" s="51"/>
      <c r="G66" s="51" t="str">
        <f>IFERROR(__xludf.DUMMYFUNCTION("""COMPUTED_VALUE"""),"#VALUE!")</f>
        <v>#VALUE!</v>
      </c>
      <c r="H66" s="51" t="str">
        <f>IFERROR(__xludf.DUMMYFUNCTION("""COMPUTED_VALUE"""),"")</f>
        <v/>
      </c>
      <c r="I66" s="51" t="str">
        <f>IFERROR(__xludf.DUMMYFUNCTION("""COMPUTED_VALUE"""),"#VALUE!")</f>
        <v>#VALUE!</v>
      </c>
      <c r="J66" s="51" t="str">
        <f>IFERROR(__xludf.DUMMYFUNCTION("""COMPUTED_VALUE"""),"")</f>
        <v/>
      </c>
      <c r="K66" s="51"/>
      <c r="L66" s="51" t="s">
        <v>257</v>
      </c>
      <c r="M66" s="51"/>
      <c r="N66" s="51"/>
      <c r="O66" s="51"/>
      <c r="P66" s="51"/>
      <c r="Q66" s="51"/>
      <c r="R66" s="51"/>
      <c r="S66" s="51"/>
      <c r="T66" s="51"/>
    </row>
    <row r="67">
      <c r="A67" s="51"/>
      <c r="B67" s="51"/>
      <c r="C67" s="56"/>
      <c r="D67" s="51"/>
      <c r="E67" s="51"/>
      <c r="F67" s="51"/>
      <c r="G67" s="51" t="str">
        <f>IFERROR(__xludf.DUMMYFUNCTION("""COMPUTED_VALUE"""),"#VALUE!")</f>
        <v>#VALUE!</v>
      </c>
      <c r="H67" s="51" t="str">
        <f>IFERROR(__xludf.DUMMYFUNCTION("""COMPUTED_VALUE"""),"")</f>
        <v/>
      </c>
      <c r="I67" s="51" t="str">
        <f>IFERROR(__xludf.DUMMYFUNCTION("""COMPUTED_VALUE"""),"#VALUE!")</f>
        <v>#VALUE!</v>
      </c>
      <c r="J67" s="51" t="str">
        <f>IFERROR(__xludf.DUMMYFUNCTION("""COMPUTED_VALUE"""),"")</f>
        <v/>
      </c>
      <c r="K67" s="51"/>
      <c r="L67" s="51" t="s">
        <v>257</v>
      </c>
      <c r="M67" s="51"/>
      <c r="N67" s="51"/>
      <c r="O67" s="51"/>
      <c r="P67" s="51"/>
      <c r="Q67" s="51"/>
      <c r="R67" s="51"/>
      <c r="S67" s="51"/>
      <c r="T67" s="51"/>
    </row>
    <row r="68">
      <c r="A68" s="51"/>
      <c r="B68" s="51"/>
      <c r="C68" s="56"/>
      <c r="D68" s="51"/>
      <c r="E68" s="51"/>
      <c r="F68" s="51"/>
      <c r="G68" s="51" t="str">
        <f>IFERROR(__xludf.DUMMYFUNCTION("""COMPUTED_VALUE"""),"#VALUE!")</f>
        <v>#VALUE!</v>
      </c>
      <c r="H68" s="51" t="str">
        <f>IFERROR(__xludf.DUMMYFUNCTION("""COMPUTED_VALUE"""),"")</f>
        <v/>
      </c>
      <c r="I68" s="51" t="str">
        <f>IFERROR(__xludf.DUMMYFUNCTION("""COMPUTED_VALUE"""),"#VALUE!")</f>
        <v>#VALUE!</v>
      </c>
      <c r="J68" s="51" t="str">
        <f>IFERROR(__xludf.DUMMYFUNCTION("""COMPUTED_VALUE"""),"")</f>
        <v/>
      </c>
      <c r="K68" s="51"/>
      <c r="L68" s="51" t="s">
        <v>257</v>
      </c>
      <c r="M68" s="51"/>
      <c r="N68" s="51"/>
      <c r="O68" s="51"/>
      <c r="P68" s="51"/>
      <c r="Q68" s="51"/>
      <c r="R68" s="51"/>
      <c r="S68" s="51"/>
      <c r="T68" s="51"/>
    </row>
    <row r="69">
      <c r="A69" s="51"/>
      <c r="B69" s="51"/>
      <c r="C69" s="56"/>
      <c r="D69" s="51"/>
      <c r="E69" s="51"/>
      <c r="F69" s="51"/>
      <c r="G69" s="51" t="str">
        <f>IFERROR(__xludf.DUMMYFUNCTION("""COMPUTED_VALUE"""),"#VALUE!")</f>
        <v>#VALUE!</v>
      </c>
      <c r="H69" s="51" t="str">
        <f>IFERROR(__xludf.DUMMYFUNCTION("""COMPUTED_VALUE"""),"")</f>
        <v/>
      </c>
      <c r="I69" s="51" t="str">
        <f>IFERROR(__xludf.DUMMYFUNCTION("""COMPUTED_VALUE"""),"#VALUE!")</f>
        <v>#VALUE!</v>
      </c>
      <c r="J69" s="51" t="str">
        <f>IFERROR(__xludf.DUMMYFUNCTION("""COMPUTED_VALUE"""),"")</f>
        <v/>
      </c>
      <c r="K69" s="51"/>
      <c r="L69" s="51" t="s">
        <v>257</v>
      </c>
      <c r="M69" s="51"/>
      <c r="N69" s="51"/>
      <c r="O69" s="51"/>
      <c r="P69" s="51"/>
      <c r="Q69" s="51"/>
      <c r="R69" s="51"/>
      <c r="S69" s="51"/>
      <c r="T69" s="51"/>
    </row>
    <row r="70">
      <c r="A70" s="51"/>
      <c r="B70" s="51"/>
      <c r="C70" s="56"/>
      <c r="D70" s="51"/>
      <c r="E70" s="51"/>
      <c r="F70" s="51"/>
      <c r="G70" s="51" t="str">
        <f>IFERROR(__xludf.DUMMYFUNCTION("""COMPUTED_VALUE"""),"#VALUE!")</f>
        <v>#VALUE!</v>
      </c>
      <c r="H70" s="51" t="str">
        <f>IFERROR(__xludf.DUMMYFUNCTION("""COMPUTED_VALUE"""),"")</f>
        <v/>
      </c>
      <c r="I70" s="51" t="str">
        <f>IFERROR(__xludf.DUMMYFUNCTION("""COMPUTED_VALUE"""),"#VALUE!")</f>
        <v>#VALUE!</v>
      </c>
      <c r="J70" s="51" t="str">
        <f>IFERROR(__xludf.DUMMYFUNCTION("""COMPUTED_VALUE"""),"")</f>
        <v/>
      </c>
      <c r="K70" s="51"/>
      <c r="L70" s="51" t="s">
        <v>257</v>
      </c>
      <c r="M70" s="51"/>
      <c r="N70" s="51"/>
      <c r="O70" s="51"/>
      <c r="P70" s="51"/>
      <c r="Q70" s="51"/>
      <c r="R70" s="51"/>
      <c r="S70" s="51"/>
      <c r="T70" s="51"/>
    </row>
    <row r="71">
      <c r="A71" s="51"/>
      <c r="B71" s="51"/>
      <c r="C71" s="56"/>
      <c r="D71" s="51"/>
      <c r="E71" s="51"/>
      <c r="F71" s="51"/>
      <c r="G71" s="51" t="str">
        <f>IFERROR(__xludf.DUMMYFUNCTION("""COMPUTED_VALUE"""),"#VALUE!")</f>
        <v>#VALUE!</v>
      </c>
      <c r="H71" s="51" t="str">
        <f>IFERROR(__xludf.DUMMYFUNCTION("""COMPUTED_VALUE"""),"")</f>
        <v/>
      </c>
      <c r="I71" s="51" t="str">
        <f>IFERROR(__xludf.DUMMYFUNCTION("""COMPUTED_VALUE"""),"#VALUE!")</f>
        <v>#VALUE!</v>
      </c>
      <c r="J71" s="51" t="str">
        <f>IFERROR(__xludf.DUMMYFUNCTION("""COMPUTED_VALUE"""),"")</f>
        <v/>
      </c>
      <c r="K71" s="51"/>
      <c r="L71" s="51" t="s">
        <v>257</v>
      </c>
      <c r="M71" s="51"/>
      <c r="N71" s="51"/>
      <c r="O71" s="51"/>
      <c r="P71" s="51"/>
      <c r="Q71" s="51"/>
      <c r="R71" s="51"/>
      <c r="S71" s="51"/>
      <c r="T71" s="51"/>
    </row>
    <row r="72">
      <c r="A72" s="51"/>
      <c r="B72" s="51"/>
      <c r="C72" s="56"/>
      <c r="D72" s="51"/>
      <c r="E72" s="51"/>
      <c r="F72" s="51"/>
      <c r="G72" s="51" t="str">
        <f>IFERROR(__xludf.DUMMYFUNCTION("""COMPUTED_VALUE"""),"#VALUE!")</f>
        <v>#VALUE!</v>
      </c>
      <c r="H72" s="51" t="str">
        <f>IFERROR(__xludf.DUMMYFUNCTION("""COMPUTED_VALUE"""),"")</f>
        <v/>
      </c>
      <c r="I72" s="51" t="str">
        <f>IFERROR(__xludf.DUMMYFUNCTION("""COMPUTED_VALUE"""),"#VALUE!")</f>
        <v>#VALUE!</v>
      </c>
      <c r="J72" s="51" t="str">
        <f>IFERROR(__xludf.DUMMYFUNCTION("""COMPUTED_VALUE"""),"")</f>
        <v/>
      </c>
      <c r="K72" s="51"/>
      <c r="L72" s="51" t="s">
        <v>257</v>
      </c>
      <c r="M72" s="51"/>
      <c r="N72" s="51"/>
      <c r="O72" s="51"/>
      <c r="P72" s="51"/>
      <c r="Q72" s="51"/>
      <c r="R72" s="51"/>
      <c r="S72" s="51"/>
      <c r="T72" s="51"/>
    </row>
    <row r="73">
      <c r="A73" s="51"/>
      <c r="B73" s="51"/>
      <c r="C73" s="56"/>
      <c r="D73" s="51"/>
      <c r="E73" s="51"/>
      <c r="F73" s="51"/>
      <c r="G73" s="51" t="str">
        <f>IFERROR(__xludf.DUMMYFUNCTION("""COMPUTED_VALUE"""),"#VALUE!")</f>
        <v>#VALUE!</v>
      </c>
      <c r="H73" s="51" t="str">
        <f>IFERROR(__xludf.DUMMYFUNCTION("""COMPUTED_VALUE"""),"")</f>
        <v/>
      </c>
      <c r="I73" s="51" t="str">
        <f>IFERROR(__xludf.DUMMYFUNCTION("""COMPUTED_VALUE"""),"#VALUE!")</f>
        <v>#VALUE!</v>
      </c>
      <c r="J73" s="51" t="str">
        <f>IFERROR(__xludf.DUMMYFUNCTION("""COMPUTED_VALUE"""),"")</f>
        <v/>
      </c>
      <c r="K73" s="51"/>
      <c r="L73" s="51" t="s">
        <v>257</v>
      </c>
      <c r="M73" s="51"/>
      <c r="N73" s="51"/>
      <c r="O73" s="51"/>
      <c r="P73" s="51"/>
      <c r="Q73" s="51"/>
      <c r="R73" s="51"/>
      <c r="S73" s="51"/>
      <c r="T73" s="51"/>
    </row>
    <row r="74">
      <c r="A74" s="51"/>
      <c r="B74" s="51"/>
      <c r="C74" s="56"/>
      <c r="D74" s="51"/>
      <c r="E74" s="51"/>
      <c r="F74" s="51"/>
      <c r="G74" s="51" t="str">
        <f>IFERROR(__xludf.DUMMYFUNCTION("""COMPUTED_VALUE"""),"#VALUE!")</f>
        <v>#VALUE!</v>
      </c>
      <c r="H74" s="51" t="str">
        <f>IFERROR(__xludf.DUMMYFUNCTION("""COMPUTED_VALUE"""),"")</f>
        <v/>
      </c>
      <c r="I74" s="51" t="str">
        <f>IFERROR(__xludf.DUMMYFUNCTION("""COMPUTED_VALUE"""),"#VALUE!")</f>
        <v>#VALUE!</v>
      </c>
      <c r="J74" s="51" t="str">
        <f>IFERROR(__xludf.DUMMYFUNCTION("""COMPUTED_VALUE"""),"")</f>
        <v/>
      </c>
      <c r="K74" s="51"/>
      <c r="L74" s="51" t="s">
        <v>257</v>
      </c>
      <c r="M74" s="51"/>
      <c r="N74" s="51"/>
      <c r="O74" s="51"/>
      <c r="P74" s="51"/>
      <c r="Q74" s="51"/>
      <c r="R74" s="51"/>
      <c r="S74" s="51"/>
      <c r="T74" s="51"/>
    </row>
    <row r="75">
      <c r="A75" s="51"/>
      <c r="B75" s="51"/>
      <c r="C75" s="56"/>
      <c r="D75" s="51"/>
      <c r="E75" s="51"/>
      <c r="F75" s="51"/>
      <c r="G75" s="51" t="str">
        <f>IFERROR(__xludf.DUMMYFUNCTION("""COMPUTED_VALUE"""),"#VALUE!")</f>
        <v>#VALUE!</v>
      </c>
      <c r="H75" s="51" t="str">
        <f>IFERROR(__xludf.DUMMYFUNCTION("""COMPUTED_VALUE"""),"")</f>
        <v/>
      </c>
      <c r="I75" s="51" t="str">
        <f>IFERROR(__xludf.DUMMYFUNCTION("""COMPUTED_VALUE"""),"#VALUE!")</f>
        <v>#VALUE!</v>
      </c>
      <c r="J75" s="51" t="str">
        <f>IFERROR(__xludf.DUMMYFUNCTION("""COMPUTED_VALUE"""),"")</f>
        <v/>
      </c>
      <c r="K75" s="51"/>
      <c r="L75" s="51" t="s">
        <v>257</v>
      </c>
      <c r="M75" s="51"/>
      <c r="N75" s="51"/>
      <c r="O75" s="51"/>
      <c r="P75" s="51"/>
      <c r="Q75" s="51"/>
      <c r="R75" s="51"/>
      <c r="S75" s="51"/>
      <c r="T75" s="51"/>
    </row>
    <row r="76">
      <c r="A76" s="51"/>
      <c r="B76" s="51"/>
      <c r="C76" s="56"/>
      <c r="D76" s="51"/>
      <c r="E76" s="51"/>
      <c r="F76" s="51"/>
      <c r="G76" s="51" t="str">
        <f>IFERROR(__xludf.DUMMYFUNCTION("""COMPUTED_VALUE"""),"#VALUE!")</f>
        <v>#VALUE!</v>
      </c>
      <c r="H76" s="51" t="str">
        <f>IFERROR(__xludf.DUMMYFUNCTION("""COMPUTED_VALUE"""),"")</f>
        <v/>
      </c>
      <c r="I76" s="51" t="str">
        <f>IFERROR(__xludf.DUMMYFUNCTION("""COMPUTED_VALUE"""),"#VALUE!")</f>
        <v>#VALUE!</v>
      </c>
      <c r="J76" s="51" t="str">
        <f>IFERROR(__xludf.DUMMYFUNCTION("""COMPUTED_VALUE"""),"")</f>
        <v/>
      </c>
      <c r="K76" s="51"/>
      <c r="L76" s="51" t="s">
        <v>257</v>
      </c>
      <c r="M76" s="51"/>
      <c r="N76" s="51"/>
      <c r="O76" s="51"/>
      <c r="P76" s="51"/>
      <c r="Q76" s="51"/>
      <c r="R76" s="51"/>
      <c r="S76" s="51"/>
      <c r="T76" s="51"/>
    </row>
    <row r="77">
      <c r="A77" s="51"/>
      <c r="B77" s="51"/>
      <c r="C77" s="56"/>
      <c r="D77" s="51"/>
      <c r="E77" s="51"/>
      <c r="F77" s="51"/>
      <c r="G77" s="51" t="str">
        <f>IFERROR(__xludf.DUMMYFUNCTION("""COMPUTED_VALUE"""),"#VALUE!")</f>
        <v>#VALUE!</v>
      </c>
      <c r="H77" s="51" t="str">
        <f>IFERROR(__xludf.DUMMYFUNCTION("""COMPUTED_VALUE"""),"")</f>
        <v/>
      </c>
      <c r="I77" s="51" t="str">
        <f>IFERROR(__xludf.DUMMYFUNCTION("""COMPUTED_VALUE"""),"#VALUE!")</f>
        <v>#VALUE!</v>
      </c>
      <c r="J77" s="51" t="str">
        <f>IFERROR(__xludf.DUMMYFUNCTION("""COMPUTED_VALUE"""),"")</f>
        <v/>
      </c>
      <c r="K77" s="51"/>
      <c r="L77" s="51" t="s">
        <v>257</v>
      </c>
      <c r="M77" s="51"/>
      <c r="N77" s="51"/>
      <c r="O77" s="51"/>
      <c r="P77" s="51"/>
      <c r="Q77" s="51"/>
      <c r="R77" s="51"/>
      <c r="S77" s="51"/>
      <c r="T77" s="51"/>
    </row>
    <row r="78">
      <c r="A78" s="51"/>
      <c r="B78" s="51"/>
      <c r="C78" s="56"/>
      <c r="D78" s="51"/>
      <c r="E78" s="51"/>
      <c r="F78" s="51"/>
      <c r="G78" s="51" t="str">
        <f>IFERROR(__xludf.DUMMYFUNCTION("""COMPUTED_VALUE"""),"#VALUE!")</f>
        <v>#VALUE!</v>
      </c>
      <c r="H78" s="51" t="str">
        <f>IFERROR(__xludf.DUMMYFUNCTION("""COMPUTED_VALUE"""),"")</f>
        <v/>
      </c>
      <c r="I78" s="51" t="str">
        <f>IFERROR(__xludf.DUMMYFUNCTION("""COMPUTED_VALUE"""),"#VALUE!")</f>
        <v>#VALUE!</v>
      </c>
      <c r="J78" s="51" t="str">
        <f>IFERROR(__xludf.DUMMYFUNCTION("""COMPUTED_VALUE"""),"")</f>
        <v/>
      </c>
      <c r="K78" s="51"/>
      <c r="L78" s="51" t="s">
        <v>257</v>
      </c>
      <c r="M78" s="51"/>
      <c r="N78" s="51"/>
      <c r="O78" s="51"/>
      <c r="P78" s="51"/>
      <c r="Q78" s="51"/>
      <c r="R78" s="51"/>
      <c r="S78" s="51"/>
      <c r="T78" s="51"/>
    </row>
    <row r="79">
      <c r="A79" s="51"/>
      <c r="B79" s="51"/>
      <c r="C79" s="56"/>
      <c r="D79" s="51"/>
      <c r="E79" s="51"/>
      <c r="F79" s="51"/>
      <c r="G79" s="51" t="str">
        <f>IFERROR(__xludf.DUMMYFUNCTION("""COMPUTED_VALUE"""),"#VALUE!")</f>
        <v>#VALUE!</v>
      </c>
      <c r="H79" s="51" t="str">
        <f>IFERROR(__xludf.DUMMYFUNCTION("""COMPUTED_VALUE"""),"")</f>
        <v/>
      </c>
      <c r="I79" s="51" t="str">
        <f>IFERROR(__xludf.DUMMYFUNCTION("""COMPUTED_VALUE"""),"#VALUE!")</f>
        <v>#VALUE!</v>
      </c>
      <c r="J79" s="51" t="str">
        <f>IFERROR(__xludf.DUMMYFUNCTION("""COMPUTED_VALUE"""),"")</f>
        <v/>
      </c>
      <c r="K79" s="51"/>
      <c r="L79" s="51" t="s">
        <v>257</v>
      </c>
      <c r="M79" s="51"/>
      <c r="N79" s="51"/>
      <c r="O79" s="51"/>
      <c r="P79" s="51"/>
      <c r="Q79" s="51"/>
      <c r="R79" s="51"/>
      <c r="S79" s="51"/>
      <c r="T79" s="51"/>
    </row>
    <row r="80">
      <c r="A80" s="51"/>
      <c r="B80" s="51"/>
      <c r="C80" s="56"/>
      <c r="D80" s="51"/>
      <c r="E80" s="51"/>
      <c r="F80" s="51"/>
      <c r="G80" s="51" t="str">
        <f>IFERROR(__xludf.DUMMYFUNCTION("""COMPUTED_VALUE"""),"#VALUE!")</f>
        <v>#VALUE!</v>
      </c>
      <c r="H80" s="51" t="str">
        <f>IFERROR(__xludf.DUMMYFUNCTION("""COMPUTED_VALUE"""),"")</f>
        <v/>
      </c>
      <c r="I80" s="51" t="str">
        <f>IFERROR(__xludf.DUMMYFUNCTION("""COMPUTED_VALUE"""),"#VALUE!")</f>
        <v>#VALUE!</v>
      </c>
      <c r="J80" s="51" t="str">
        <f>IFERROR(__xludf.DUMMYFUNCTION("""COMPUTED_VALUE"""),"")</f>
        <v/>
      </c>
      <c r="K80" s="51"/>
      <c r="L80" s="51" t="s">
        <v>257</v>
      </c>
      <c r="M80" s="51"/>
      <c r="N80" s="51"/>
      <c r="O80" s="51"/>
      <c r="P80" s="51"/>
      <c r="Q80" s="51"/>
      <c r="R80" s="51"/>
      <c r="S80" s="51"/>
      <c r="T80" s="51"/>
    </row>
    <row r="81">
      <c r="A81" s="51"/>
      <c r="B81" s="51"/>
      <c r="C81" s="56"/>
      <c r="D81" s="51"/>
      <c r="E81" s="51"/>
      <c r="F81" s="51"/>
      <c r="G81" s="51" t="str">
        <f>IFERROR(__xludf.DUMMYFUNCTION("""COMPUTED_VALUE"""),"#VALUE!")</f>
        <v>#VALUE!</v>
      </c>
      <c r="H81" s="51" t="str">
        <f>IFERROR(__xludf.DUMMYFUNCTION("""COMPUTED_VALUE"""),"")</f>
        <v/>
      </c>
      <c r="I81" s="51" t="str">
        <f>IFERROR(__xludf.DUMMYFUNCTION("""COMPUTED_VALUE"""),"#VALUE!")</f>
        <v>#VALUE!</v>
      </c>
      <c r="J81" s="51" t="str">
        <f>IFERROR(__xludf.DUMMYFUNCTION("""COMPUTED_VALUE"""),"")</f>
        <v/>
      </c>
      <c r="K81" s="51"/>
      <c r="L81" s="51" t="s">
        <v>257</v>
      </c>
      <c r="M81" s="51"/>
      <c r="N81" s="51"/>
      <c r="O81" s="51"/>
      <c r="P81" s="51"/>
      <c r="Q81" s="51"/>
      <c r="R81" s="51"/>
      <c r="S81" s="51"/>
      <c r="T81" s="51"/>
    </row>
    <row r="82">
      <c r="A82" s="51"/>
      <c r="B82" s="51"/>
      <c r="C82" s="56"/>
      <c r="D82" s="51"/>
      <c r="E82" s="51"/>
      <c r="F82" s="51"/>
      <c r="G82" s="51" t="str">
        <f>IFERROR(__xludf.DUMMYFUNCTION("""COMPUTED_VALUE"""),"#VALUE!")</f>
        <v>#VALUE!</v>
      </c>
      <c r="H82" s="51" t="str">
        <f>IFERROR(__xludf.DUMMYFUNCTION("""COMPUTED_VALUE"""),"")</f>
        <v/>
      </c>
      <c r="I82" s="51" t="str">
        <f>IFERROR(__xludf.DUMMYFUNCTION("""COMPUTED_VALUE"""),"#VALUE!")</f>
        <v>#VALUE!</v>
      </c>
      <c r="J82" s="51" t="str">
        <f>IFERROR(__xludf.DUMMYFUNCTION("""COMPUTED_VALUE"""),"")</f>
        <v/>
      </c>
      <c r="K82" s="51"/>
      <c r="L82" s="51" t="s">
        <v>257</v>
      </c>
      <c r="M82" s="51"/>
      <c r="N82" s="51"/>
      <c r="O82" s="51"/>
      <c r="P82" s="51"/>
      <c r="Q82" s="51"/>
      <c r="R82" s="51"/>
      <c r="S82" s="51"/>
      <c r="T82" s="51"/>
    </row>
    <row r="83">
      <c r="A83" s="51"/>
      <c r="B83" s="51"/>
      <c r="C83" s="56"/>
      <c r="D83" s="51"/>
      <c r="E83" s="51"/>
      <c r="F83" s="51"/>
      <c r="G83" s="51" t="str">
        <f>IFERROR(__xludf.DUMMYFUNCTION("""COMPUTED_VALUE"""),"#VALUE!")</f>
        <v>#VALUE!</v>
      </c>
      <c r="H83" s="51" t="str">
        <f>IFERROR(__xludf.DUMMYFUNCTION("""COMPUTED_VALUE"""),"")</f>
        <v/>
      </c>
      <c r="I83" s="51" t="str">
        <f>IFERROR(__xludf.DUMMYFUNCTION("""COMPUTED_VALUE"""),"#VALUE!")</f>
        <v>#VALUE!</v>
      </c>
      <c r="J83" s="51" t="str">
        <f>IFERROR(__xludf.DUMMYFUNCTION("""COMPUTED_VALUE"""),"")</f>
        <v/>
      </c>
      <c r="K83" s="51"/>
      <c r="L83" s="51" t="s">
        <v>257</v>
      </c>
      <c r="M83" s="51"/>
      <c r="N83" s="51"/>
      <c r="O83" s="51"/>
      <c r="P83" s="51"/>
      <c r="Q83" s="51"/>
      <c r="R83" s="51"/>
      <c r="S83" s="51"/>
      <c r="T83" s="51"/>
    </row>
    <row r="84">
      <c r="A84" s="51"/>
      <c r="B84" s="51"/>
      <c r="C84" s="56"/>
      <c r="D84" s="51"/>
      <c r="E84" s="51"/>
      <c r="F84" s="51"/>
      <c r="G84" s="51" t="str">
        <f>IFERROR(__xludf.DUMMYFUNCTION("""COMPUTED_VALUE"""),"#VALUE!")</f>
        <v>#VALUE!</v>
      </c>
      <c r="H84" s="51" t="str">
        <f>IFERROR(__xludf.DUMMYFUNCTION("""COMPUTED_VALUE"""),"")</f>
        <v/>
      </c>
      <c r="I84" s="51" t="str">
        <f>IFERROR(__xludf.DUMMYFUNCTION("""COMPUTED_VALUE"""),"#VALUE!")</f>
        <v>#VALUE!</v>
      </c>
      <c r="J84" s="51" t="str">
        <f>IFERROR(__xludf.DUMMYFUNCTION("""COMPUTED_VALUE"""),"")</f>
        <v/>
      </c>
      <c r="K84" s="51"/>
      <c r="L84" s="51" t="s">
        <v>257</v>
      </c>
      <c r="M84" s="51"/>
      <c r="N84" s="51"/>
      <c r="O84" s="51"/>
      <c r="P84" s="51"/>
      <c r="Q84" s="51"/>
      <c r="R84" s="51"/>
      <c r="S84" s="51"/>
      <c r="T84" s="51"/>
    </row>
    <row r="85">
      <c r="A85" s="51"/>
      <c r="B85" s="51"/>
      <c r="C85" s="56"/>
      <c r="D85" s="51"/>
      <c r="E85" s="51"/>
      <c r="F85" s="51"/>
      <c r="G85" s="51" t="str">
        <f>IFERROR(__xludf.DUMMYFUNCTION("""COMPUTED_VALUE"""),"#VALUE!")</f>
        <v>#VALUE!</v>
      </c>
      <c r="H85" s="51" t="str">
        <f>IFERROR(__xludf.DUMMYFUNCTION("""COMPUTED_VALUE"""),"")</f>
        <v/>
      </c>
      <c r="I85" s="51" t="str">
        <f>IFERROR(__xludf.DUMMYFUNCTION("""COMPUTED_VALUE"""),"#VALUE!")</f>
        <v>#VALUE!</v>
      </c>
      <c r="J85" s="51" t="str">
        <f>IFERROR(__xludf.DUMMYFUNCTION("""COMPUTED_VALUE"""),"")</f>
        <v/>
      </c>
      <c r="K85" s="51"/>
      <c r="L85" s="51" t="s">
        <v>257</v>
      </c>
      <c r="M85" s="51"/>
      <c r="N85" s="51"/>
      <c r="O85" s="51"/>
      <c r="P85" s="51"/>
      <c r="Q85" s="51"/>
      <c r="R85" s="51"/>
      <c r="S85" s="51"/>
      <c r="T85" s="51"/>
    </row>
    <row r="86">
      <c r="A86" s="51"/>
      <c r="B86" s="51"/>
      <c r="C86" s="56"/>
      <c r="D86" s="51"/>
      <c r="E86" s="51"/>
      <c r="F86" s="51"/>
      <c r="G86" s="51" t="str">
        <f>IFERROR(__xludf.DUMMYFUNCTION("""COMPUTED_VALUE"""),"#VALUE!")</f>
        <v>#VALUE!</v>
      </c>
      <c r="H86" s="51" t="str">
        <f>IFERROR(__xludf.DUMMYFUNCTION("""COMPUTED_VALUE"""),"")</f>
        <v/>
      </c>
      <c r="I86" s="51" t="str">
        <f>IFERROR(__xludf.DUMMYFUNCTION("""COMPUTED_VALUE"""),"#VALUE!")</f>
        <v>#VALUE!</v>
      </c>
      <c r="J86" s="51" t="str">
        <f>IFERROR(__xludf.DUMMYFUNCTION("""COMPUTED_VALUE"""),"")</f>
        <v/>
      </c>
      <c r="K86" s="51"/>
      <c r="L86" s="51" t="s">
        <v>257</v>
      </c>
      <c r="M86" s="51"/>
      <c r="N86" s="51"/>
      <c r="O86" s="51"/>
      <c r="P86" s="51"/>
      <c r="Q86" s="51"/>
      <c r="R86" s="51"/>
      <c r="S86" s="51"/>
      <c r="T86" s="51"/>
    </row>
    <row r="87">
      <c r="A87" s="51"/>
      <c r="B87" s="51"/>
      <c r="C87" s="56"/>
      <c r="D87" s="51"/>
      <c r="E87" s="51"/>
      <c r="F87" s="51"/>
      <c r="G87" s="51" t="str">
        <f>IFERROR(__xludf.DUMMYFUNCTION("""COMPUTED_VALUE"""),"#VALUE!")</f>
        <v>#VALUE!</v>
      </c>
      <c r="H87" s="51" t="str">
        <f>IFERROR(__xludf.DUMMYFUNCTION("""COMPUTED_VALUE"""),"")</f>
        <v/>
      </c>
      <c r="I87" s="51" t="str">
        <f>IFERROR(__xludf.DUMMYFUNCTION("""COMPUTED_VALUE"""),"#VALUE!")</f>
        <v>#VALUE!</v>
      </c>
      <c r="J87" s="51" t="str">
        <f>IFERROR(__xludf.DUMMYFUNCTION("""COMPUTED_VALUE"""),"")</f>
        <v/>
      </c>
      <c r="K87" s="51"/>
      <c r="L87" s="51" t="s">
        <v>257</v>
      </c>
      <c r="M87" s="51"/>
      <c r="N87" s="51"/>
      <c r="O87" s="51"/>
      <c r="P87" s="51"/>
      <c r="Q87" s="51"/>
      <c r="R87" s="51"/>
      <c r="S87" s="51"/>
      <c r="T87" s="51"/>
    </row>
    <row r="88">
      <c r="A88" s="51"/>
      <c r="B88" s="51"/>
      <c r="C88" s="56"/>
      <c r="D88" s="51"/>
      <c r="E88" s="51"/>
      <c r="F88" s="51"/>
      <c r="G88" s="51" t="str">
        <f>IFERROR(__xludf.DUMMYFUNCTION("""COMPUTED_VALUE"""),"#VALUE!")</f>
        <v>#VALUE!</v>
      </c>
      <c r="H88" s="51" t="str">
        <f>IFERROR(__xludf.DUMMYFUNCTION("""COMPUTED_VALUE"""),"")</f>
        <v/>
      </c>
      <c r="I88" s="51" t="str">
        <f>IFERROR(__xludf.DUMMYFUNCTION("""COMPUTED_VALUE"""),"#VALUE!")</f>
        <v>#VALUE!</v>
      </c>
      <c r="J88" s="51" t="str">
        <f>IFERROR(__xludf.DUMMYFUNCTION("""COMPUTED_VALUE"""),"")</f>
        <v/>
      </c>
      <c r="K88" s="51"/>
      <c r="L88" s="51" t="s">
        <v>257</v>
      </c>
      <c r="M88" s="51"/>
      <c r="N88" s="51"/>
      <c r="O88" s="51"/>
      <c r="P88" s="51"/>
      <c r="Q88" s="51"/>
      <c r="R88" s="51"/>
      <c r="S88" s="51"/>
      <c r="T88" s="51"/>
    </row>
    <row r="89">
      <c r="A89" s="51"/>
      <c r="B89" s="51"/>
      <c r="C89" s="56"/>
      <c r="D89" s="51"/>
      <c r="E89" s="51"/>
      <c r="F89" s="51"/>
      <c r="G89" s="51" t="str">
        <f>IFERROR(__xludf.DUMMYFUNCTION("""COMPUTED_VALUE"""),"#VALUE!")</f>
        <v>#VALUE!</v>
      </c>
      <c r="H89" s="51" t="str">
        <f>IFERROR(__xludf.DUMMYFUNCTION("""COMPUTED_VALUE"""),"")</f>
        <v/>
      </c>
      <c r="I89" s="51" t="str">
        <f>IFERROR(__xludf.DUMMYFUNCTION("""COMPUTED_VALUE"""),"#VALUE!")</f>
        <v>#VALUE!</v>
      </c>
      <c r="J89" s="51" t="str">
        <f>IFERROR(__xludf.DUMMYFUNCTION("""COMPUTED_VALUE"""),"")</f>
        <v/>
      </c>
      <c r="K89" s="51"/>
      <c r="L89" s="51" t="s">
        <v>257</v>
      </c>
      <c r="M89" s="51"/>
      <c r="N89" s="51"/>
      <c r="O89" s="51"/>
      <c r="P89" s="51"/>
      <c r="Q89" s="51"/>
      <c r="R89" s="51"/>
      <c r="S89" s="51"/>
      <c r="T89" s="51"/>
    </row>
    <row r="90">
      <c r="A90" s="51"/>
      <c r="B90" s="51"/>
      <c r="C90" s="56"/>
      <c r="D90" s="51"/>
      <c r="E90" s="51"/>
      <c r="F90" s="51"/>
      <c r="G90" s="51" t="str">
        <f>IFERROR(__xludf.DUMMYFUNCTION("""COMPUTED_VALUE"""),"#VALUE!")</f>
        <v>#VALUE!</v>
      </c>
      <c r="H90" s="51" t="str">
        <f>IFERROR(__xludf.DUMMYFUNCTION("""COMPUTED_VALUE"""),"")</f>
        <v/>
      </c>
      <c r="I90" s="51" t="str">
        <f>IFERROR(__xludf.DUMMYFUNCTION("""COMPUTED_VALUE"""),"#VALUE!")</f>
        <v>#VALUE!</v>
      </c>
      <c r="J90" s="51" t="str">
        <f>IFERROR(__xludf.DUMMYFUNCTION("""COMPUTED_VALUE"""),"")</f>
        <v/>
      </c>
      <c r="K90" s="51"/>
      <c r="L90" s="51" t="s">
        <v>257</v>
      </c>
      <c r="M90" s="51"/>
      <c r="N90" s="51"/>
      <c r="O90" s="51"/>
      <c r="P90" s="51"/>
      <c r="Q90" s="51"/>
      <c r="R90" s="51"/>
      <c r="S90" s="51"/>
      <c r="T90" s="51"/>
    </row>
    <row r="91">
      <c r="A91" s="51"/>
      <c r="B91" s="51"/>
      <c r="C91" s="56"/>
      <c r="D91" s="51"/>
      <c r="E91" s="51"/>
      <c r="F91" s="51"/>
      <c r="G91" s="51" t="str">
        <f>IFERROR(__xludf.DUMMYFUNCTION("""COMPUTED_VALUE"""),"#VALUE!")</f>
        <v>#VALUE!</v>
      </c>
      <c r="H91" s="51" t="str">
        <f>IFERROR(__xludf.DUMMYFUNCTION("""COMPUTED_VALUE"""),"")</f>
        <v/>
      </c>
      <c r="I91" s="51" t="str">
        <f>IFERROR(__xludf.DUMMYFUNCTION("""COMPUTED_VALUE"""),"#VALUE!")</f>
        <v>#VALUE!</v>
      </c>
      <c r="J91" s="51" t="str">
        <f>IFERROR(__xludf.DUMMYFUNCTION("""COMPUTED_VALUE"""),"")</f>
        <v/>
      </c>
      <c r="K91" s="51"/>
      <c r="L91" s="51" t="s">
        <v>257</v>
      </c>
      <c r="M91" s="51"/>
      <c r="N91" s="51"/>
      <c r="O91" s="51"/>
      <c r="P91" s="51"/>
      <c r="Q91" s="51"/>
      <c r="R91" s="51"/>
      <c r="S91" s="51"/>
      <c r="T91" s="51"/>
    </row>
    <row r="92">
      <c r="A92" s="51"/>
      <c r="B92" s="51"/>
      <c r="C92" s="56"/>
      <c r="D92" s="51"/>
      <c r="E92" s="51"/>
      <c r="F92" s="51"/>
      <c r="G92" s="51" t="str">
        <f>IFERROR(__xludf.DUMMYFUNCTION("""COMPUTED_VALUE"""),"#VALUE!")</f>
        <v>#VALUE!</v>
      </c>
      <c r="H92" s="51" t="str">
        <f>IFERROR(__xludf.DUMMYFUNCTION("""COMPUTED_VALUE"""),"")</f>
        <v/>
      </c>
      <c r="I92" s="51" t="str">
        <f>IFERROR(__xludf.DUMMYFUNCTION("""COMPUTED_VALUE"""),"#VALUE!")</f>
        <v>#VALUE!</v>
      </c>
      <c r="J92" s="51" t="str">
        <f>IFERROR(__xludf.DUMMYFUNCTION("""COMPUTED_VALUE"""),"")</f>
        <v/>
      </c>
      <c r="K92" s="51"/>
      <c r="L92" s="51" t="s">
        <v>257</v>
      </c>
      <c r="M92" s="51"/>
      <c r="N92" s="51"/>
      <c r="O92" s="51"/>
      <c r="P92" s="51"/>
      <c r="Q92" s="51"/>
      <c r="R92" s="51"/>
      <c r="S92" s="51"/>
      <c r="T92" s="51"/>
    </row>
    <row r="93">
      <c r="A93" s="51"/>
      <c r="B93" s="51"/>
      <c r="C93" s="56"/>
      <c r="D93" s="51"/>
      <c r="E93" s="51"/>
      <c r="F93" s="51"/>
      <c r="G93" s="51" t="str">
        <f>IFERROR(__xludf.DUMMYFUNCTION("""COMPUTED_VALUE"""),"#VALUE!")</f>
        <v>#VALUE!</v>
      </c>
      <c r="H93" s="51" t="str">
        <f>IFERROR(__xludf.DUMMYFUNCTION("""COMPUTED_VALUE"""),"")</f>
        <v/>
      </c>
      <c r="I93" s="51" t="str">
        <f>IFERROR(__xludf.DUMMYFUNCTION("""COMPUTED_VALUE"""),"#VALUE!")</f>
        <v>#VALUE!</v>
      </c>
      <c r="J93" s="51" t="str">
        <f>IFERROR(__xludf.DUMMYFUNCTION("""COMPUTED_VALUE"""),"")</f>
        <v/>
      </c>
      <c r="K93" s="51"/>
      <c r="L93" s="51" t="s">
        <v>257</v>
      </c>
      <c r="M93" s="51"/>
      <c r="N93" s="51"/>
      <c r="O93" s="51"/>
      <c r="P93" s="51"/>
      <c r="Q93" s="51"/>
      <c r="R93" s="51"/>
      <c r="S93" s="51"/>
      <c r="T93" s="51"/>
    </row>
    <row r="94">
      <c r="A94" s="51"/>
      <c r="B94" s="51"/>
      <c r="C94" s="56"/>
      <c r="D94" s="51"/>
      <c r="E94" s="51"/>
      <c r="F94" s="51"/>
      <c r="G94" s="51" t="str">
        <f>IFERROR(__xludf.DUMMYFUNCTION("""COMPUTED_VALUE"""),"#VALUE!")</f>
        <v>#VALUE!</v>
      </c>
      <c r="H94" s="51" t="str">
        <f>IFERROR(__xludf.DUMMYFUNCTION("""COMPUTED_VALUE"""),"")</f>
        <v/>
      </c>
      <c r="I94" s="51" t="str">
        <f>IFERROR(__xludf.DUMMYFUNCTION("""COMPUTED_VALUE"""),"#VALUE!")</f>
        <v>#VALUE!</v>
      </c>
      <c r="J94" s="51" t="str">
        <f>IFERROR(__xludf.DUMMYFUNCTION("""COMPUTED_VALUE"""),"")</f>
        <v/>
      </c>
      <c r="K94" s="51"/>
      <c r="L94" s="51" t="s">
        <v>257</v>
      </c>
      <c r="M94" s="51"/>
      <c r="N94" s="51"/>
      <c r="O94" s="51"/>
      <c r="P94" s="51"/>
      <c r="Q94" s="51"/>
      <c r="R94" s="51"/>
      <c r="S94" s="51"/>
      <c r="T94" s="51"/>
    </row>
    <row r="95">
      <c r="A95" s="51"/>
      <c r="B95" s="51"/>
      <c r="C95" s="56"/>
      <c r="D95" s="51"/>
      <c r="E95" s="51"/>
      <c r="F95" s="51"/>
      <c r="G95" s="51" t="str">
        <f>IFERROR(__xludf.DUMMYFUNCTION("""COMPUTED_VALUE"""),"#VALUE!")</f>
        <v>#VALUE!</v>
      </c>
      <c r="H95" s="51" t="str">
        <f>IFERROR(__xludf.DUMMYFUNCTION("""COMPUTED_VALUE"""),"")</f>
        <v/>
      </c>
      <c r="I95" s="51" t="str">
        <f>IFERROR(__xludf.DUMMYFUNCTION("""COMPUTED_VALUE"""),"#VALUE!")</f>
        <v>#VALUE!</v>
      </c>
      <c r="J95" s="51" t="str">
        <f>IFERROR(__xludf.DUMMYFUNCTION("""COMPUTED_VALUE"""),"")</f>
        <v/>
      </c>
      <c r="K95" s="51"/>
      <c r="L95" s="51" t="s">
        <v>257</v>
      </c>
      <c r="M95" s="51"/>
      <c r="N95" s="51"/>
      <c r="O95" s="51"/>
      <c r="P95" s="51"/>
      <c r="Q95" s="51"/>
      <c r="R95" s="51"/>
      <c r="S95" s="51"/>
      <c r="T95" s="51"/>
    </row>
    <row r="96">
      <c r="A96" s="51"/>
      <c r="B96" s="51"/>
      <c r="C96" s="56"/>
      <c r="D96" s="51"/>
      <c r="E96" s="51"/>
      <c r="F96" s="51"/>
      <c r="G96" s="51" t="str">
        <f>IFERROR(__xludf.DUMMYFUNCTION("""COMPUTED_VALUE"""),"#VALUE!")</f>
        <v>#VALUE!</v>
      </c>
      <c r="H96" s="51" t="str">
        <f>IFERROR(__xludf.DUMMYFUNCTION("""COMPUTED_VALUE"""),"")</f>
        <v/>
      </c>
      <c r="I96" s="51" t="str">
        <f>IFERROR(__xludf.DUMMYFUNCTION("""COMPUTED_VALUE"""),"#VALUE!")</f>
        <v>#VALUE!</v>
      </c>
      <c r="J96" s="51" t="str">
        <f>IFERROR(__xludf.DUMMYFUNCTION("""COMPUTED_VALUE"""),"")</f>
        <v/>
      </c>
      <c r="K96" s="51"/>
      <c r="L96" s="51" t="s">
        <v>257</v>
      </c>
      <c r="M96" s="51"/>
      <c r="N96" s="51"/>
      <c r="O96" s="51"/>
      <c r="P96" s="51"/>
      <c r="Q96" s="51"/>
      <c r="R96" s="51"/>
      <c r="S96" s="51"/>
      <c r="T96" s="51"/>
    </row>
    <row r="97">
      <c r="A97" s="51"/>
      <c r="B97" s="51"/>
      <c r="C97" s="56"/>
      <c r="D97" s="51"/>
      <c r="E97" s="51"/>
      <c r="F97" s="51"/>
      <c r="G97" s="51" t="str">
        <f>IFERROR(__xludf.DUMMYFUNCTION("""COMPUTED_VALUE"""),"#VALUE!")</f>
        <v>#VALUE!</v>
      </c>
      <c r="H97" s="51" t="str">
        <f>IFERROR(__xludf.DUMMYFUNCTION("""COMPUTED_VALUE"""),"")</f>
        <v/>
      </c>
      <c r="I97" s="51" t="str">
        <f>IFERROR(__xludf.DUMMYFUNCTION("""COMPUTED_VALUE"""),"#VALUE!")</f>
        <v>#VALUE!</v>
      </c>
      <c r="J97" s="51" t="str">
        <f>IFERROR(__xludf.DUMMYFUNCTION("""COMPUTED_VALUE"""),"")</f>
        <v/>
      </c>
      <c r="K97" s="51"/>
      <c r="L97" s="51" t="s">
        <v>257</v>
      </c>
      <c r="M97" s="51"/>
      <c r="N97" s="51"/>
      <c r="O97" s="51"/>
      <c r="P97" s="51"/>
      <c r="Q97" s="51"/>
      <c r="R97" s="51"/>
      <c r="S97" s="51"/>
      <c r="T97" s="51"/>
    </row>
    <row r="98">
      <c r="A98" s="51"/>
      <c r="B98" s="51"/>
      <c r="C98" s="56"/>
      <c r="D98" s="51"/>
      <c r="E98" s="51"/>
      <c r="F98" s="51"/>
      <c r="G98" s="51" t="str">
        <f>IFERROR(__xludf.DUMMYFUNCTION("""COMPUTED_VALUE"""),"#VALUE!")</f>
        <v>#VALUE!</v>
      </c>
      <c r="H98" s="51" t="str">
        <f>IFERROR(__xludf.DUMMYFUNCTION("""COMPUTED_VALUE"""),"")</f>
        <v/>
      </c>
      <c r="I98" s="51" t="str">
        <f>IFERROR(__xludf.DUMMYFUNCTION("""COMPUTED_VALUE"""),"#VALUE!")</f>
        <v>#VALUE!</v>
      </c>
      <c r="J98" s="51" t="str">
        <f>IFERROR(__xludf.DUMMYFUNCTION("""COMPUTED_VALUE"""),"")</f>
        <v/>
      </c>
      <c r="K98" s="51"/>
      <c r="L98" s="51" t="s">
        <v>257</v>
      </c>
      <c r="M98" s="51"/>
      <c r="N98" s="51"/>
      <c r="O98" s="51"/>
      <c r="P98" s="51"/>
      <c r="Q98" s="51"/>
      <c r="R98" s="51"/>
      <c r="S98" s="51"/>
      <c r="T98" s="51"/>
    </row>
    <row r="99">
      <c r="A99" s="51"/>
      <c r="B99" s="51"/>
      <c r="C99" s="56"/>
      <c r="D99" s="51"/>
      <c r="E99" s="51"/>
      <c r="F99" s="51"/>
      <c r="G99" s="51" t="str">
        <f>IFERROR(__xludf.DUMMYFUNCTION("""COMPUTED_VALUE"""),"#VALUE!")</f>
        <v>#VALUE!</v>
      </c>
      <c r="H99" s="51" t="str">
        <f>IFERROR(__xludf.DUMMYFUNCTION("""COMPUTED_VALUE"""),"")</f>
        <v/>
      </c>
      <c r="I99" s="51" t="str">
        <f>IFERROR(__xludf.DUMMYFUNCTION("""COMPUTED_VALUE"""),"#VALUE!")</f>
        <v>#VALUE!</v>
      </c>
      <c r="J99" s="51" t="str">
        <f>IFERROR(__xludf.DUMMYFUNCTION("""COMPUTED_VALUE"""),"")</f>
        <v/>
      </c>
      <c r="K99" s="51"/>
      <c r="L99" s="51" t="s">
        <v>257</v>
      </c>
      <c r="M99" s="51"/>
      <c r="N99" s="51"/>
      <c r="O99" s="51"/>
      <c r="P99" s="51"/>
      <c r="Q99" s="51"/>
      <c r="R99" s="51"/>
      <c r="S99" s="51"/>
      <c r="T99" s="51"/>
    </row>
    <row r="100">
      <c r="A100" s="51"/>
      <c r="B100" s="51"/>
      <c r="C100" s="56"/>
      <c r="D100" s="51"/>
      <c r="E100" s="51"/>
      <c r="F100" s="51"/>
      <c r="G100" s="51" t="str">
        <f>IFERROR(__xludf.DUMMYFUNCTION("""COMPUTED_VALUE"""),"#VALUE!")</f>
        <v>#VALUE!</v>
      </c>
      <c r="H100" s="51" t="str">
        <f>IFERROR(__xludf.DUMMYFUNCTION("""COMPUTED_VALUE"""),"")</f>
        <v/>
      </c>
      <c r="I100" s="51" t="str">
        <f>IFERROR(__xludf.DUMMYFUNCTION("""COMPUTED_VALUE"""),"#VALUE!")</f>
        <v>#VALUE!</v>
      </c>
      <c r="J100" s="51" t="str">
        <f>IFERROR(__xludf.DUMMYFUNCTION("""COMPUTED_VALUE"""),"")</f>
        <v/>
      </c>
      <c r="K100" s="51"/>
      <c r="L100" s="51" t="s">
        <v>257</v>
      </c>
      <c r="M100" s="51"/>
      <c r="N100" s="51"/>
      <c r="O100" s="51"/>
      <c r="P100" s="51"/>
      <c r="Q100" s="51"/>
      <c r="R100" s="51"/>
      <c r="S100" s="51"/>
      <c r="T100" s="51"/>
    </row>
    <row r="101">
      <c r="A101" s="51"/>
      <c r="B101" s="51"/>
      <c r="C101" s="56"/>
      <c r="D101" s="51"/>
      <c r="E101" s="51"/>
      <c r="F101" s="51"/>
      <c r="G101" s="51" t="str">
        <f>IFERROR(__xludf.DUMMYFUNCTION("""COMPUTED_VALUE"""),"#VALUE!")</f>
        <v>#VALUE!</v>
      </c>
      <c r="H101" s="51" t="str">
        <f>IFERROR(__xludf.DUMMYFUNCTION("""COMPUTED_VALUE"""),"")</f>
        <v/>
      </c>
      <c r="I101" s="51" t="str">
        <f>IFERROR(__xludf.DUMMYFUNCTION("""COMPUTED_VALUE"""),"#VALUE!")</f>
        <v>#VALUE!</v>
      </c>
      <c r="J101" s="51" t="str">
        <f>IFERROR(__xludf.DUMMYFUNCTION("""COMPUTED_VALUE"""),"")</f>
        <v/>
      </c>
      <c r="K101" s="51"/>
      <c r="L101" s="51" t="s">
        <v>257</v>
      </c>
      <c r="M101" s="51"/>
      <c r="N101" s="51"/>
      <c r="O101" s="51"/>
      <c r="P101" s="51"/>
      <c r="Q101" s="51"/>
      <c r="R101" s="51"/>
      <c r="S101" s="51"/>
      <c r="T101" s="51"/>
    </row>
    <row r="102">
      <c r="A102" s="51"/>
      <c r="B102" s="51"/>
      <c r="C102" s="56"/>
      <c r="D102" s="51"/>
      <c r="E102" s="51"/>
      <c r="F102" s="51"/>
      <c r="G102" s="51" t="str">
        <f>IFERROR(__xludf.DUMMYFUNCTION("""COMPUTED_VALUE"""),"#VALUE!")</f>
        <v>#VALUE!</v>
      </c>
      <c r="H102" s="51" t="str">
        <f>IFERROR(__xludf.DUMMYFUNCTION("""COMPUTED_VALUE"""),"")</f>
        <v/>
      </c>
      <c r="I102" s="51" t="str">
        <f>IFERROR(__xludf.DUMMYFUNCTION("""COMPUTED_VALUE"""),"#VALUE!")</f>
        <v>#VALUE!</v>
      </c>
      <c r="J102" s="51" t="str">
        <f>IFERROR(__xludf.DUMMYFUNCTION("""COMPUTED_VALUE"""),"")</f>
        <v/>
      </c>
      <c r="K102" s="51"/>
      <c r="L102" s="51" t="s">
        <v>257</v>
      </c>
      <c r="M102" s="51"/>
      <c r="N102" s="51"/>
      <c r="O102" s="51"/>
      <c r="P102" s="51"/>
      <c r="Q102" s="51"/>
      <c r="R102" s="51"/>
      <c r="S102" s="51"/>
      <c r="T102" s="51"/>
    </row>
    <row r="103">
      <c r="A103" s="51"/>
      <c r="B103" s="51"/>
      <c r="C103" s="56"/>
      <c r="D103" s="51"/>
      <c r="E103" s="51"/>
      <c r="F103" s="51"/>
      <c r="G103" s="51" t="str">
        <f>IFERROR(__xludf.DUMMYFUNCTION("""COMPUTED_VALUE"""),"#VALUE!")</f>
        <v>#VALUE!</v>
      </c>
      <c r="H103" s="51" t="str">
        <f>IFERROR(__xludf.DUMMYFUNCTION("""COMPUTED_VALUE"""),"")</f>
        <v/>
      </c>
      <c r="I103" s="51" t="str">
        <f>IFERROR(__xludf.DUMMYFUNCTION("""COMPUTED_VALUE"""),"#VALUE!")</f>
        <v>#VALUE!</v>
      </c>
      <c r="J103" s="51" t="str">
        <f>IFERROR(__xludf.DUMMYFUNCTION("""COMPUTED_VALUE"""),"")</f>
        <v/>
      </c>
      <c r="K103" s="51"/>
      <c r="L103" s="51" t="s">
        <v>257</v>
      </c>
      <c r="M103" s="51"/>
      <c r="N103" s="51"/>
      <c r="O103" s="51"/>
      <c r="P103" s="51"/>
      <c r="Q103" s="51"/>
      <c r="R103" s="51"/>
      <c r="S103" s="51"/>
      <c r="T103" s="51"/>
    </row>
    <row r="104">
      <c r="A104" s="51"/>
      <c r="B104" s="51"/>
      <c r="C104" s="56"/>
      <c r="D104" s="51"/>
      <c r="E104" s="51"/>
      <c r="F104" s="51"/>
      <c r="G104" s="51" t="str">
        <f>IFERROR(__xludf.DUMMYFUNCTION("""COMPUTED_VALUE"""),"#VALUE!")</f>
        <v>#VALUE!</v>
      </c>
      <c r="H104" s="51" t="str">
        <f>IFERROR(__xludf.DUMMYFUNCTION("""COMPUTED_VALUE"""),"")</f>
        <v/>
      </c>
      <c r="I104" s="51" t="str">
        <f>IFERROR(__xludf.DUMMYFUNCTION("""COMPUTED_VALUE"""),"#VALUE!")</f>
        <v>#VALUE!</v>
      </c>
      <c r="J104" s="51" t="str">
        <f>IFERROR(__xludf.DUMMYFUNCTION("""COMPUTED_VALUE"""),"")</f>
        <v/>
      </c>
      <c r="K104" s="51"/>
      <c r="L104" s="51" t="s">
        <v>257</v>
      </c>
      <c r="M104" s="51"/>
      <c r="N104" s="51"/>
      <c r="O104" s="51"/>
      <c r="P104" s="51"/>
      <c r="Q104" s="51"/>
      <c r="R104" s="51"/>
      <c r="S104" s="51"/>
      <c r="T104" s="51"/>
    </row>
    <row r="105">
      <c r="A105" s="51"/>
      <c r="B105" s="51"/>
      <c r="C105" s="56"/>
      <c r="D105" s="51"/>
      <c r="E105" s="51"/>
      <c r="F105" s="51"/>
      <c r="G105" s="51" t="str">
        <f>IFERROR(__xludf.DUMMYFUNCTION("""COMPUTED_VALUE"""),"#VALUE!")</f>
        <v>#VALUE!</v>
      </c>
      <c r="H105" s="51" t="str">
        <f>IFERROR(__xludf.DUMMYFUNCTION("""COMPUTED_VALUE"""),"")</f>
        <v/>
      </c>
      <c r="I105" s="51" t="str">
        <f>IFERROR(__xludf.DUMMYFUNCTION("""COMPUTED_VALUE"""),"#VALUE!")</f>
        <v>#VALUE!</v>
      </c>
      <c r="J105" s="51" t="str">
        <f>IFERROR(__xludf.DUMMYFUNCTION("""COMPUTED_VALUE"""),"")</f>
        <v/>
      </c>
      <c r="K105" s="51"/>
      <c r="L105" s="51" t="s">
        <v>257</v>
      </c>
      <c r="M105" s="51"/>
      <c r="N105" s="51"/>
      <c r="O105" s="51"/>
      <c r="P105" s="51"/>
      <c r="Q105" s="51"/>
      <c r="R105" s="51"/>
      <c r="S105" s="51"/>
      <c r="T105" s="51"/>
    </row>
    <row r="106">
      <c r="A106" s="51"/>
      <c r="B106" s="51"/>
      <c r="C106" s="56"/>
      <c r="D106" s="51"/>
      <c r="E106" s="51"/>
      <c r="F106" s="51"/>
      <c r="G106" s="51" t="str">
        <f>IFERROR(__xludf.DUMMYFUNCTION("""COMPUTED_VALUE"""),"#VALUE!")</f>
        <v>#VALUE!</v>
      </c>
      <c r="H106" s="51" t="str">
        <f>IFERROR(__xludf.DUMMYFUNCTION("""COMPUTED_VALUE"""),"")</f>
        <v/>
      </c>
      <c r="I106" s="51" t="str">
        <f>IFERROR(__xludf.DUMMYFUNCTION("""COMPUTED_VALUE"""),"#VALUE!")</f>
        <v>#VALUE!</v>
      </c>
      <c r="J106" s="51" t="str">
        <f>IFERROR(__xludf.DUMMYFUNCTION("""COMPUTED_VALUE"""),"")</f>
        <v/>
      </c>
      <c r="K106" s="51"/>
      <c r="L106" s="51" t="s">
        <v>257</v>
      </c>
      <c r="M106" s="51"/>
      <c r="N106" s="51"/>
      <c r="O106" s="51"/>
      <c r="P106" s="51"/>
      <c r="Q106" s="51"/>
      <c r="R106" s="51"/>
      <c r="S106" s="51"/>
      <c r="T106" s="51"/>
    </row>
    <row r="107">
      <c r="A107" s="51"/>
      <c r="B107" s="51"/>
      <c r="C107" s="56"/>
      <c r="D107" s="51"/>
      <c r="E107" s="51"/>
      <c r="F107" s="51"/>
      <c r="G107" s="51" t="str">
        <f>IFERROR(__xludf.DUMMYFUNCTION("""COMPUTED_VALUE"""),"#VALUE!")</f>
        <v>#VALUE!</v>
      </c>
      <c r="H107" s="51" t="str">
        <f>IFERROR(__xludf.DUMMYFUNCTION("""COMPUTED_VALUE"""),"")</f>
        <v/>
      </c>
      <c r="I107" s="51" t="str">
        <f>IFERROR(__xludf.DUMMYFUNCTION("""COMPUTED_VALUE"""),"#VALUE!")</f>
        <v>#VALUE!</v>
      </c>
      <c r="J107" s="51" t="str">
        <f>IFERROR(__xludf.DUMMYFUNCTION("""COMPUTED_VALUE"""),"")</f>
        <v/>
      </c>
      <c r="K107" s="51"/>
      <c r="L107" s="51" t="s">
        <v>257</v>
      </c>
      <c r="M107" s="51"/>
      <c r="N107" s="51"/>
      <c r="O107" s="51"/>
      <c r="P107" s="51"/>
      <c r="Q107" s="51"/>
      <c r="R107" s="51"/>
      <c r="S107" s="51"/>
      <c r="T107" s="51"/>
    </row>
    <row r="108">
      <c r="A108" s="51"/>
      <c r="B108" s="51"/>
      <c r="C108" s="56"/>
      <c r="D108" s="51"/>
      <c r="E108" s="51"/>
      <c r="F108" s="51"/>
      <c r="G108" s="51" t="str">
        <f>IFERROR(__xludf.DUMMYFUNCTION("""COMPUTED_VALUE"""),"#VALUE!")</f>
        <v>#VALUE!</v>
      </c>
      <c r="H108" s="51" t="str">
        <f>IFERROR(__xludf.DUMMYFUNCTION("""COMPUTED_VALUE"""),"")</f>
        <v/>
      </c>
      <c r="I108" s="51" t="str">
        <f>IFERROR(__xludf.DUMMYFUNCTION("""COMPUTED_VALUE"""),"#VALUE!")</f>
        <v>#VALUE!</v>
      </c>
      <c r="J108" s="51" t="str">
        <f>IFERROR(__xludf.DUMMYFUNCTION("""COMPUTED_VALUE"""),"")</f>
        <v/>
      </c>
      <c r="K108" s="51"/>
      <c r="L108" s="51" t="s">
        <v>257</v>
      </c>
      <c r="M108" s="51"/>
      <c r="N108" s="51"/>
      <c r="O108" s="51"/>
      <c r="P108" s="51"/>
      <c r="Q108" s="51"/>
      <c r="R108" s="51"/>
      <c r="S108" s="51"/>
      <c r="T108" s="51"/>
    </row>
    <row r="109">
      <c r="A109" s="51"/>
      <c r="B109" s="51"/>
      <c r="C109" s="56"/>
      <c r="D109" s="51"/>
      <c r="E109" s="51"/>
      <c r="F109" s="51"/>
      <c r="G109" s="51" t="str">
        <f>IFERROR(__xludf.DUMMYFUNCTION("""COMPUTED_VALUE"""),"#VALUE!")</f>
        <v>#VALUE!</v>
      </c>
      <c r="H109" s="51" t="str">
        <f>IFERROR(__xludf.DUMMYFUNCTION("""COMPUTED_VALUE"""),"")</f>
        <v/>
      </c>
      <c r="I109" s="51" t="str">
        <f>IFERROR(__xludf.DUMMYFUNCTION("""COMPUTED_VALUE"""),"#VALUE!")</f>
        <v>#VALUE!</v>
      </c>
      <c r="J109" s="51" t="str">
        <f>IFERROR(__xludf.DUMMYFUNCTION("""COMPUTED_VALUE"""),"")</f>
        <v/>
      </c>
      <c r="K109" s="51"/>
      <c r="L109" s="51" t="s">
        <v>257</v>
      </c>
      <c r="M109" s="51"/>
      <c r="N109" s="51"/>
      <c r="O109" s="51"/>
      <c r="P109" s="51"/>
      <c r="Q109" s="51"/>
      <c r="R109" s="51"/>
      <c r="S109" s="51"/>
      <c r="T109" s="51"/>
    </row>
    <row r="110">
      <c r="A110" s="51"/>
      <c r="B110" s="51"/>
      <c r="C110" s="56"/>
      <c r="D110" s="51"/>
      <c r="E110" s="51"/>
      <c r="F110" s="51"/>
      <c r="G110" s="51" t="str">
        <f>IFERROR(__xludf.DUMMYFUNCTION("""COMPUTED_VALUE"""),"#VALUE!")</f>
        <v>#VALUE!</v>
      </c>
      <c r="H110" s="51" t="str">
        <f>IFERROR(__xludf.DUMMYFUNCTION("""COMPUTED_VALUE"""),"")</f>
        <v/>
      </c>
      <c r="I110" s="51" t="str">
        <f>IFERROR(__xludf.DUMMYFUNCTION("""COMPUTED_VALUE"""),"#VALUE!")</f>
        <v>#VALUE!</v>
      </c>
      <c r="J110" s="51" t="str">
        <f>IFERROR(__xludf.DUMMYFUNCTION("""COMPUTED_VALUE"""),"")</f>
        <v/>
      </c>
      <c r="K110" s="51"/>
      <c r="L110" s="51" t="s">
        <v>257</v>
      </c>
      <c r="M110" s="51"/>
      <c r="N110" s="51"/>
      <c r="O110" s="51"/>
      <c r="P110" s="51"/>
      <c r="Q110" s="51"/>
      <c r="R110" s="51"/>
      <c r="S110" s="51"/>
      <c r="T110" s="51"/>
    </row>
    <row r="111">
      <c r="A111" s="51"/>
      <c r="B111" s="51"/>
      <c r="C111" s="56"/>
      <c r="D111" s="51"/>
      <c r="E111" s="51"/>
      <c r="F111" s="51"/>
      <c r="G111" s="51" t="str">
        <f>IFERROR(__xludf.DUMMYFUNCTION("""COMPUTED_VALUE"""),"#VALUE!")</f>
        <v>#VALUE!</v>
      </c>
      <c r="H111" s="51" t="str">
        <f>IFERROR(__xludf.DUMMYFUNCTION("""COMPUTED_VALUE"""),"")</f>
        <v/>
      </c>
      <c r="I111" s="51" t="str">
        <f>IFERROR(__xludf.DUMMYFUNCTION("""COMPUTED_VALUE"""),"#VALUE!")</f>
        <v>#VALUE!</v>
      </c>
      <c r="J111" s="51" t="str">
        <f>IFERROR(__xludf.DUMMYFUNCTION("""COMPUTED_VALUE"""),"")</f>
        <v/>
      </c>
      <c r="K111" s="51"/>
      <c r="L111" s="51" t="s">
        <v>257</v>
      </c>
      <c r="M111" s="51"/>
      <c r="N111" s="51"/>
      <c r="O111" s="51"/>
      <c r="P111" s="51"/>
      <c r="Q111" s="51"/>
      <c r="R111" s="51"/>
      <c r="S111" s="51"/>
      <c r="T111" s="51"/>
    </row>
    <row r="112">
      <c r="A112" s="51"/>
      <c r="B112" s="51"/>
      <c r="C112" s="56"/>
      <c r="D112" s="51"/>
      <c r="E112" s="51"/>
      <c r="F112" s="51"/>
      <c r="G112" s="51" t="str">
        <f>IFERROR(__xludf.DUMMYFUNCTION("""COMPUTED_VALUE"""),"#VALUE!")</f>
        <v>#VALUE!</v>
      </c>
      <c r="H112" s="51" t="str">
        <f>IFERROR(__xludf.DUMMYFUNCTION("""COMPUTED_VALUE"""),"")</f>
        <v/>
      </c>
      <c r="I112" s="51" t="str">
        <f>IFERROR(__xludf.DUMMYFUNCTION("""COMPUTED_VALUE"""),"#VALUE!")</f>
        <v>#VALUE!</v>
      </c>
      <c r="J112" s="51" t="str">
        <f>IFERROR(__xludf.DUMMYFUNCTION("""COMPUTED_VALUE"""),"")</f>
        <v/>
      </c>
      <c r="K112" s="51"/>
      <c r="L112" s="51" t="s">
        <v>257</v>
      </c>
      <c r="M112" s="51"/>
      <c r="N112" s="51"/>
      <c r="O112" s="51"/>
      <c r="P112" s="51"/>
      <c r="Q112" s="51"/>
      <c r="R112" s="51"/>
      <c r="S112" s="51"/>
      <c r="T112" s="51"/>
    </row>
    <row r="113">
      <c r="A113" s="51"/>
      <c r="B113" s="51"/>
      <c r="C113" s="56"/>
      <c r="D113" s="51"/>
      <c r="E113" s="51"/>
      <c r="F113" s="51"/>
      <c r="G113" s="51" t="str">
        <f>IFERROR(__xludf.DUMMYFUNCTION("""COMPUTED_VALUE"""),"#VALUE!")</f>
        <v>#VALUE!</v>
      </c>
      <c r="H113" s="51" t="str">
        <f>IFERROR(__xludf.DUMMYFUNCTION("""COMPUTED_VALUE"""),"")</f>
        <v/>
      </c>
      <c r="I113" s="51" t="str">
        <f>IFERROR(__xludf.DUMMYFUNCTION("""COMPUTED_VALUE"""),"#VALUE!")</f>
        <v>#VALUE!</v>
      </c>
      <c r="J113" s="51" t="str">
        <f>IFERROR(__xludf.DUMMYFUNCTION("""COMPUTED_VALUE"""),"")</f>
        <v/>
      </c>
      <c r="K113" s="51"/>
      <c r="L113" s="51" t="s">
        <v>257</v>
      </c>
      <c r="M113" s="51"/>
      <c r="N113" s="51"/>
      <c r="O113" s="51"/>
      <c r="P113" s="51"/>
      <c r="Q113" s="51"/>
      <c r="R113" s="51"/>
      <c r="S113" s="51"/>
      <c r="T113" s="51"/>
    </row>
    <row r="114">
      <c r="A114" s="51"/>
      <c r="B114" s="51"/>
      <c r="C114" s="56"/>
      <c r="D114" s="51"/>
      <c r="E114" s="51"/>
      <c r="F114" s="51"/>
      <c r="G114" s="51" t="str">
        <f>IFERROR(__xludf.DUMMYFUNCTION("""COMPUTED_VALUE"""),"#VALUE!")</f>
        <v>#VALUE!</v>
      </c>
      <c r="H114" s="51" t="str">
        <f>IFERROR(__xludf.DUMMYFUNCTION("""COMPUTED_VALUE"""),"")</f>
        <v/>
      </c>
      <c r="I114" s="51" t="str">
        <f>IFERROR(__xludf.DUMMYFUNCTION("""COMPUTED_VALUE"""),"#VALUE!")</f>
        <v>#VALUE!</v>
      </c>
      <c r="J114" s="51" t="str">
        <f>IFERROR(__xludf.DUMMYFUNCTION("""COMPUTED_VALUE"""),"")</f>
        <v/>
      </c>
      <c r="K114" s="51"/>
      <c r="L114" s="51" t="s">
        <v>257</v>
      </c>
      <c r="M114" s="51"/>
      <c r="N114" s="51"/>
      <c r="O114" s="51"/>
      <c r="P114" s="51"/>
      <c r="Q114" s="51"/>
      <c r="R114" s="51"/>
      <c r="S114" s="51"/>
      <c r="T114" s="51"/>
    </row>
    <row r="115">
      <c r="A115" s="51"/>
      <c r="B115" s="51"/>
      <c r="C115" s="56"/>
      <c r="D115" s="51"/>
      <c r="E115" s="51"/>
      <c r="F115" s="51"/>
      <c r="G115" s="51" t="str">
        <f>IFERROR(__xludf.DUMMYFUNCTION("""COMPUTED_VALUE"""),"#VALUE!")</f>
        <v>#VALUE!</v>
      </c>
      <c r="H115" s="51" t="str">
        <f>IFERROR(__xludf.DUMMYFUNCTION("""COMPUTED_VALUE"""),"")</f>
        <v/>
      </c>
      <c r="I115" s="51" t="str">
        <f>IFERROR(__xludf.DUMMYFUNCTION("""COMPUTED_VALUE"""),"#VALUE!")</f>
        <v>#VALUE!</v>
      </c>
      <c r="J115" s="51" t="str">
        <f>IFERROR(__xludf.DUMMYFUNCTION("""COMPUTED_VALUE"""),"")</f>
        <v/>
      </c>
      <c r="K115" s="51"/>
      <c r="L115" s="51" t="s">
        <v>257</v>
      </c>
      <c r="M115" s="51"/>
      <c r="N115" s="51"/>
      <c r="O115" s="51"/>
      <c r="P115" s="51"/>
      <c r="Q115" s="51"/>
      <c r="R115" s="51"/>
      <c r="S115" s="51"/>
      <c r="T115" s="51"/>
    </row>
    <row r="116">
      <c r="A116" s="51"/>
      <c r="B116" s="51"/>
      <c r="C116" s="56"/>
      <c r="D116" s="51"/>
      <c r="E116" s="51"/>
      <c r="F116" s="51"/>
      <c r="G116" s="51" t="str">
        <f>IFERROR(__xludf.DUMMYFUNCTION("""COMPUTED_VALUE"""),"#VALUE!")</f>
        <v>#VALUE!</v>
      </c>
      <c r="H116" s="51" t="str">
        <f>IFERROR(__xludf.DUMMYFUNCTION("""COMPUTED_VALUE"""),"")</f>
        <v/>
      </c>
      <c r="I116" s="51" t="str">
        <f>IFERROR(__xludf.DUMMYFUNCTION("""COMPUTED_VALUE"""),"#VALUE!")</f>
        <v>#VALUE!</v>
      </c>
      <c r="J116" s="51" t="str">
        <f>IFERROR(__xludf.DUMMYFUNCTION("""COMPUTED_VALUE"""),"")</f>
        <v/>
      </c>
      <c r="K116" s="51"/>
      <c r="L116" s="51" t="s">
        <v>257</v>
      </c>
      <c r="M116" s="51"/>
      <c r="N116" s="51"/>
      <c r="O116" s="51"/>
      <c r="P116" s="51"/>
      <c r="Q116" s="51"/>
      <c r="R116" s="51"/>
      <c r="S116" s="51"/>
      <c r="T116" s="51"/>
    </row>
    <row r="117">
      <c r="A117" s="51"/>
      <c r="B117" s="51"/>
      <c r="C117" s="56"/>
      <c r="D117" s="51"/>
      <c r="E117" s="51"/>
      <c r="F117" s="51"/>
      <c r="G117" s="51" t="str">
        <f>IFERROR(__xludf.DUMMYFUNCTION("""COMPUTED_VALUE"""),"#VALUE!")</f>
        <v>#VALUE!</v>
      </c>
      <c r="H117" s="51" t="str">
        <f>IFERROR(__xludf.DUMMYFUNCTION("""COMPUTED_VALUE"""),"")</f>
        <v/>
      </c>
      <c r="I117" s="51" t="str">
        <f>IFERROR(__xludf.DUMMYFUNCTION("""COMPUTED_VALUE"""),"#VALUE!")</f>
        <v>#VALUE!</v>
      </c>
      <c r="J117" s="51" t="str">
        <f>IFERROR(__xludf.DUMMYFUNCTION("""COMPUTED_VALUE"""),"")</f>
        <v/>
      </c>
      <c r="K117" s="51"/>
      <c r="L117" s="51" t="s">
        <v>257</v>
      </c>
      <c r="M117" s="51"/>
      <c r="N117" s="51"/>
      <c r="O117" s="51"/>
      <c r="P117" s="51"/>
      <c r="Q117" s="51"/>
      <c r="R117" s="51"/>
      <c r="S117" s="51"/>
      <c r="T117" s="51"/>
    </row>
    <row r="118">
      <c r="A118" s="51"/>
      <c r="B118" s="51"/>
      <c r="C118" s="56"/>
      <c r="D118" s="51"/>
      <c r="E118" s="51"/>
      <c r="F118" s="51"/>
      <c r="G118" s="51" t="str">
        <f>IFERROR(__xludf.DUMMYFUNCTION("""COMPUTED_VALUE"""),"#VALUE!")</f>
        <v>#VALUE!</v>
      </c>
      <c r="H118" s="51" t="str">
        <f>IFERROR(__xludf.DUMMYFUNCTION("""COMPUTED_VALUE"""),"")</f>
        <v/>
      </c>
      <c r="I118" s="51" t="str">
        <f>IFERROR(__xludf.DUMMYFUNCTION("""COMPUTED_VALUE"""),"#VALUE!")</f>
        <v>#VALUE!</v>
      </c>
      <c r="J118" s="51" t="str">
        <f>IFERROR(__xludf.DUMMYFUNCTION("""COMPUTED_VALUE"""),"")</f>
        <v/>
      </c>
      <c r="K118" s="51"/>
      <c r="L118" s="51" t="s">
        <v>257</v>
      </c>
      <c r="M118" s="51"/>
      <c r="N118" s="51"/>
      <c r="O118" s="51"/>
      <c r="P118" s="51"/>
      <c r="Q118" s="51"/>
      <c r="R118" s="51"/>
      <c r="S118" s="51"/>
      <c r="T118" s="51"/>
    </row>
    <row r="119">
      <c r="A119" s="51"/>
      <c r="B119" s="51"/>
      <c r="C119" s="56"/>
      <c r="D119" s="51"/>
      <c r="E119" s="51"/>
      <c r="F119" s="51"/>
      <c r="G119" s="51" t="str">
        <f>IFERROR(__xludf.DUMMYFUNCTION("""COMPUTED_VALUE"""),"#VALUE!")</f>
        <v>#VALUE!</v>
      </c>
      <c r="H119" s="51" t="str">
        <f>IFERROR(__xludf.DUMMYFUNCTION("""COMPUTED_VALUE"""),"")</f>
        <v/>
      </c>
      <c r="I119" s="51" t="str">
        <f>IFERROR(__xludf.DUMMYFUNCTION("""COMPUTED_VALUE"""),"#VALUE!")</f>
        <v>#VALUE!</v>
      </c>
      <c r="J119" s="51" t="str">
        <f>IFERROR(__xludf.DUMMYFUNCTION("""COMPUTED_VALUE"""),"")</f>
        <v/>
      </c>
      <c r="K119" s="51"/>
      <c r="L119" s="51" t="s">
        <v>257</v>
      </c>
      <c r="M119" s="51"/>
      <c r="N119" s="51"/>
      <c r="O119" s="51"/>
      <c r="P119" s="51"/>
      <c r="Q119" s="51"/>
      <c r="R119" s="51"/>
      <c r="S119" s="51"/>
      <c r="T119" s="51"/>
    </row>
    <row r="120">
      <c r="A120" s="51"/>
      <c r="B120" s="51"/>
      <c r="C120" s="56"/>
      <c r="D120" s="51"/>
      <c r="E120" s="51"/>
      <c r="F120" s="51"/>
      <c r="G120" s="51" t="str">
        <f>IFERROR(__xludf.DUMMYFUNCTION("""COMPUTED_VALUE"""),"#VALUE!")</f>
        <v>#VALUE!</v>
      </c>
      <c r="H120" s="51" t="str">
        <f>IFERROR(__xludf.DUMMYFUNCTION("""COMPUTED_VALUE"""),"")</f>
        <v/>
      </c>
      <c r="I120" s="51" t="str">
        <f>IFERROR(__xludf.DUMMYFUNCTION("""COMPUTED_VALUE"""),"#VALUE!")</f>
        <v>#VALUE!</v>
      </c>
      <c r="J120" s="51" t="str">
        <f>IFERROR(__xludf.DUMMYFUNCTION("""COMPUTED_VALUE"""),"")</f>
        <v/>
      </c>
      <c r="K120" s="51"/>
      <c r="L120" s="51" t="s">
        <v>257</v>
      </c>
      <c r="M120" s="51"/>
      <c r="N120" s="51"/>
      <c r="O120" s="51"/>
      <c r="P120" s="51"/>
      <c r="Q120" s="51"/>
      <c r="R120" s="51"/>
      <c r="S120" s="51"/>
      <c r="T120" s="51"/>
    </row>
    <row r="121">
      <c r="A121" s="51"/>
      <c r="B121" s="51"/>
      <c r="C121" s="56"/>
      <c r="D121" s="51"/>
      <c r="E121" s="51"/>
      <c r="F121" s="51"/>
      <c r="G121" s="51" t="str">
        <f>IFERROR(__xludf.DUMMYFUNCTION("""COMPUTED_VALUE"""),"#VALUE!")</f>
        <v>#VALUE!</v>
      </c>
      <c r="H121" s="51" t="str">
        <f>IFERROR(__xludf.DUMMYFUNCTION("""COMPUTED_VALUE"""),"")</f>
        <v/>
      </c>
      <c r="I121" s="51" t="str">
        <f>IFERROR(__xludf.DUMMYFUNCTION("""COMPUTED_VALUE"""),"#VALUE!")</f>
        <v>#VALUE!</v>
      </c>
      <c r="J121" s="51" t="str">
        <f>IFERROR(__xludf.DUMMYFUNCTION("""COMPUTED_VALUE"""),"")</f>
        <v/>
      </c>
      <c r="K121" s="51"/>
      <c r="L121" s="51" t="s">
        <v>257</v>
      </c>
      <c r="M121" s="51"/>
      <c r="N121" s="51"/>
      <c r="O121" s="51"/>
      <c r="P121" s="51"/>
      <c r="Q121" s="51"/>
      <c r="R121" s="51"/>
      <c r="S121" s="51"/>
      <c r="T121" s="51"/>
    </row>
    <row r="122">
      <c r="A122" s="51"/>
      <c r="B122" s="51"/>
      <c r="C122" s="56"/>
      <c r="D122" s="51"/>
      <c r="E122" s="51"/>
      <c r="F122" s="51"/>
      <c r="G122" s="51" t="str">
        <f>IFERROR(__xludf.DUMMYFUNCTION("""COMPUTED_VALUE"""),"#VALUE!")</f>
        <v>#VALUE!</v>
      </c>
      <c r="H122" s="51" t="str">
        <f>IFERROR(__xludf.DUMMYFUNCTION("""COMPUTED_VALUE"""),"")</f>
        <v/>
      </c>
      <c r="I122" s="51" t="str">
        <f>IFERROR(__xludf.DUMMYFUNCTION("""COMPUTED_VALUE"""),"#VALUE!")</f>
        <v>#VALUE!</v>
      </c>
      <c r="J122" s="51" t="str">
        <f>IFERROR(__xludf.DUMMYFUNCTION("""COMPUTED_VALUE"""),"")</f>
        <v/>
      </c>
      <c r="K122" s="51"/>
      <c r="L122" s="51" t="s">
        <v>257</v>
      </c>
      <c r="M122" s="51"/>
      <c r="N122" s="51"/>
      <c r="O122" s="51"/>
      <c r="P122" s="51"/>
      <c r="Q122" s="51"/>
      <c r="R122" s="51"/>
      <c r="S122" s="51"/>
      <c r="T122" s="51"/>
    </row>
    <row r="123">
      <c r="A123" s="51"/>
      <c r="B123" s="51"/>
      <c r="C123" s="56"/>
      <c r="D123" s="51"/>
      <c r="E123" s="51"/>
      <c r="F123" s="51"/>
      <c r="G123" s="51" t="str">
        <f>IFERROR(__xludf.DUMMYFUNCTION("""COMPUTED_VALUE"""),"#VALUE!")</f>
        <v>#VALUE!</v>
      </c>
      <c r="H123" s="51" t="str">
        <f>IFERROR(__xludf.DUMMYFUNCTION("""COMPUTED_VALUE"""),"")</f>
        <v/>
      </c>
      <c r="I123" s="51" t="str">
        <f>IFERROR(__xludf.DUMMYFUNCTION("""COMPUTED_VALUE"""),"#VALUE!")</f>
        <v>#VALUE!</v>
      </c>
      <c r="J123" s="51" t="str">
        <f>IFERROR(__xludf.DUMMYFUNCTION("""COMPUTED_VALUE"""),"")</f>
        <v/>
      </c>
      <c r="K123" s="51"/>
      <c r="L123" s="51" t="s">
        <v>257</v>
      </c>
      <c r="M123" s="51"/>
      <c r="N123" s="51"/>
      <c r="O123" s="51"/>
      <c r="P123" s="51"/>
      <c r="Q123" s="51"/>
      <c r="R123" s="51"/>
      <c r="S123" s="51"/>
      <c r="T123" s="51"/>
    </row>
    <row r="124">
      <c r="A124" s="51"/>
      <c r="B124" s="51"/>
      <c r="C124" s="56"/>
      <c r="D124" s="51"/>
      <c r="E124" s="51"/>
      <c r="F124" s="51"/>
      <c r="G124" s="51" t="str">
        <f>IFERROR(__xludf.DUMMYFUNCTION("""COMPUTED_VALUE"""),"#VALUE!")</f>
        <v>#VALUE!</v>
      </c>
      <c r="H124" s="51" t="str">
        <f>IFERROR(__xludf.DUMMYFUNCTION("""COMPUTED_VALUE"""),"")</f>
        <v/>
      </c>
      <c r="I124" s="51" t="str">
        <f>IFERROR(__xludf.DUMMYFUNCTION("""COMPUTED_VALUE"""),"#VALUE!")</f>
        <v>#VALUE!</v>
      </c>
      <c r="J124" s="51" t="str">
        <f>IFERROR(__xludf.DUMMYFUNCTION("""COMPUTED_VALUE"""),"")</f>
        <v/>
      </c>
      <c r="K124" s="51"/>
      <c r="L124" s="51" t="s">
        <v>257</v>
      </c>
      <c r="M124" s="51"/>
      <c r="N124" s="51"/>
      <c r="O124" s="51"/>
      <c r="P124" s="51"/>
      <c r="Q124" s="51"/>
      <c r="R124" s="51"/>
      <c r="S124" s="51"/>
      <c r="T124" s="51"/>
    </row>
    <row r="125">
      <c r="A125" s="51"/>
      <c r="B125" s="51"/>
      <c r="C125" s="56"/>
      <c r="D125" s="51"/>
      <c r="E125" s="51"/>
      <c r="F125" s="51"/>
      <c r="G125" s="51" t="str">
        <f>IFERROR(__xludf.DUMMYFUNCTION("""COMPUTED_VALUE"""),"#VALUE!")</f>
        <v>#VALUE!</v>
      </c>
      <c r="H125" s="51" t="str">
        <f>IFERROR(__xludf.DUMMYFUNCTION("""COMPUTED_VALUE"""),"")</f>
        <v/>
      </c>
      <c r="I125" s="51" t="str">
        <f>IFERROR(__xludf.DUMMYFUNCTION("""COMPUTED_VALUE"""),"#VALUE!")</f>
        <v>#VALUE!</v>
      </c>
      <c r="J125" s="51" t="str">
        <f>IFERROR(__xludf.DUMMYFUNCTION("""COMPUTED_VALUE"""),"")</f>
        <v/>
      </c>
      <c r="K125" s="51"/>
      <c r="L125" s="51" t="s">
        <v>257</v>
      </c>
      <c r="M125" s="51"/>
      <c r="N125" s="51"/>
      <c r="O125" s="51"/>
      <c r="P125" s="51"/>
      <c r="Q125" s="51"/>
      <c r="R125" s="51"/>
      <c r="S125" s="51"/>
      <c r="T125" s="51"/>
    </row>
    <row r="126">
      <c r="A126" s="51"/>
      <c r="B126" s="51"/>
      <c r="C126" s="56"/>
      <c r="D126" s="51"/>
      <c r="E126" s="51"/>
      <c r="F126" s="51"/>
      <c r="G126" s="51" t="str">
        <f>IFERROR(__xludf.DUMMYFUNCTION("""COMPUTED_VALUE"""),"#VALUE!")</f>
        <v>#VALUE!</v>
      </c>
      <c r="H126" s="51" t="str">
        <f>IFERROR(__xludf.DUMMYFUNCTION("""COMPUTED_VALUE"""),"")</f>
        <v/>
      </c>
      <c r="I126" s="51" t="str">
        <f>IFERROR(__xludf.DUMMYFUNCTION("""COMPUTED_VALUE"""),"#VALUE!")</f>
        <v>#VALUE!</v>
      </c>
      <c r="J126" s="51" t="str">
        <f>IFERROR(__xludf.DUMMYFUNCTION("""COMPUTED_VALUE"""),"")</f>
        <v/>
      </c>
      <c r="K126" s="51"/>
      <c r="L126" s="51" t="s">
        <v>257</v>
      </c>
      <c r="M126" s="51"/>
      <c r="N126" s="51"/>
      <c r="O126" s="51"/>
      <c r="P126" s="51"/>
      <c r="Q126" s="51"/>
      <c r="R126" s="51"/>
      <c r="S126" s="51"/>
      <c r="T126" s="51"/>
    </row>
    <row r="127">
      <c r="A127" s="51"/>
      <c r="B127" s="51"/>
      <c r="C127" s="56"/>
      <c r="D127" s="51"/>
      <c r="E127" s="51"/>
      <c r="F127" s="51"/>
      <c r="G127" s="51" t="str">
        <f>IFERROR(__xludf.DUMMYFUNCTION("""COMPUTED_VALUE"""),"#VALUE!")</f>
        <v>#VALUE!</v>
      </c>
      <c r="H127" s="51" t="str">
        <f>IFERROR(__xludf.DUMMYFUNCTION("""COMPUTED_VALUE"""),"")</f>
        <v/>
      </c>
      <c r="I127" s="51" t="str">
        <f>IFERROR(__xludf.DUMMYFUNCTION("""COMPUTED_VALUE"""),"#VALUE!")</f>
        <v>#VALUE!</v>
      </c>
      <c r="J127" s="51" t="str">
        <f>IFERROR(__xludf.DUMMYFUNCTION("""COMPUTED_VALUE"""),"")</f>
        <v/>
      </c>
      <c r="K127" s="51"/>
      <c r="L127" s="51" t="s">
        <v>257</v>
      </c>
      <c r="M127" s="51"/>
      <c r="N127" s="51"/>
      <c r="O127" s="51"/>
      <c r="P127" s="51"/>
      <c r="Q127" s="51"/>
      <c r="R127" s="51"/>
      <c r="S127" s="51"/>
      <c r="T127" s="51"/>
    </row>
    <row r="128">
      <c r="A128" s="51"/>
      <c r="B128" s="51"/>
      <c r="C128" s="56"/>
      <c r="D128" s="51"/>
      <c r="E128" s="51"/>
      <c r="F128" s="51"/>
      <c r="G128" s="51" t="str">
        <f>IFERROR(__xludf.DUMMYFUNCTION("""COMPUTED_VALUE"""),"#VALUE!")</f>
        <v>#VALUE!</v>
      </c>
      <c r="H128" s="51" t="str">
        <f>IFERROR(__xludf.DUMMYFUNCTION("""COMPUTED_VALUE"""),"")</f>
        <v/>
      </c>
      <c r="I128" s="51" t="str">
        <f>IFERROR(__xludf.DUMMYFUNCTION("""COMPUTED_VALUE"""),"#VALUE!")</f>
        <v>#VALUE!</v>
      </c>
      <c r="J128" s="51" t="str">
        <f>IFERROR(__xludf.DUMMYFUNCTION("""COMPUTED_VALUE"""),"")</f>
        <v/>
      </c>
      <c r="K128" s="51"/>
      <c r="L128" s="51" t="s">
        <v>257</v>
      </c>
      <c r="M128" s="51"/>
      <c r="N128" s="51"/>
      <c r="O128" s="51"/>
      <c r="P128" s="51"/>
      <c r="Q128" s="51"/>
      <c r="R128" s="51"/>
      <c r="S128" s="51"/>
      <c r="T128" s="51"/>
    </row>
    <row r="129">
      <c r="A129" s="51"/>
      <c r="B129" s="51"/>
      <c r="C129" s="56"/>
      <c r="D129" s="51"/>
      <c r="E129" s="51"/>
      <c r="F129" s="51"/>
      <c r="G129" s="51" t="str">
        <f>IFERROR(__xludf.DUMMYFUNCTION("""COMPUTED_VALUE"""),"#VALUE!")</f>
        <v>#VALUE!</v>
      </c>
      <c r="H129" s="51" t="str">
        <f>IFERROR(__xludf.DUMMYFUNCTION("""COMPUTED_VALUE"""),"")</f>
        <v/>
      </c>
      <c r="I129" s="51" t="str">
        <f>IFERROR(__xludf.DUMMYFUNCTION("""COMPUTED_VALUE"""),"#VALUE!")</f>
        <v>#VALUE!</v>
      </c>
      <c r="J129" s="51" t="str">
        <f>IFERROR(__xludf.DUMMYFUNCTION("""COMPUTED_VALUE"""),"")</f>
        <v/>
      </c>
      <c r="K129" s="51"/>
      <c r="L129" s="51" t="s">
        <v>257</v>
      </c>
      <c r="M129" s="51"/>
      <c r="N129" s="51"/>
      <c r="O129" s="51"/>
      <c r="P129" s="51"/>
      <c r="Q129" s="51"/>
      <c r="R129" s="51"/>
      <c r="S129" s="51"/>
      <c r="T129" s="51"/>
    </row>
    <row r="130">
      <c r="A130" s="51"/>
      <c r="B130" s="51"/>
      <c r="C130" s="56"/>
      <c r="D130" s="51"/>
      <c r="E130" s="51"/>
      <c r="F130" s="51"/>
      <c r="G130" s="51" t="str">
        <f>IFERROR(__xludf.DUMMYFUNCTION("""COMPUTED_VALUE"""),"#VALUE!")</f>
        <v>#VALUE!</v>
      </c>
      <c r="H130" s="51" t="str">
        <f>IFERROR(__xludf.DUMMYFUNCTION("""COMPUTED_VALUE"""),"")</f>
        <v/>
      </c>
      <c r="I130" s="51" t="str">
        <f>IFERROR(__xludf.DUMMYFUNCTION("""COMPUTED_VALUE"""),"#VALUE!")</f>
        <v>#VALUE!</v>
      </c>
      <c r="J130" s="51" t="str">
        <f>IFERROR(__xludf.DUMMYFUNCTION("""COMPUTED_VALUE"""),"")</f>
        <v/>
      </c>
      <c r="K130" s="51"/>
      <c r="L130" s="51" t="s">
        <v>257</v>
      </c>
      <c r="M130" s="51"/>
      <c r="N130" s="51"/>
      <c r="O130" s="51"/>
      <c r="P130" s="51"/>
      <c r="Q130" s="51"/>
      <c r="R130" s="51"/>
      <c r="S130" s="51"/>
      <c r="T130" s="51"/>
    </row>
    <row r="131">
      <c r="A131" s="51"/>
      <c r="B131" s="51"/>
      <c r="C131" s="56"/>
      <c r="D131" s="51"/>
      <c r="E131" s="51"/>
      <c r="F131" s="51"/>
      <c r="G131" s="51" t="str">
        <f>IFERROR(__xludf.DUMMYFUNCTION("""COMPUTED_VALUE"""),"#VALUE!")</f>
        <v>#VALUE!</v>
      </c>
      <c r="H131" s="51" t="str">
        <f>IFERROR(__xludf.DUMMYFUNCTION("""COMPUTED_VALUE"""),"")</f>
        <v/>
      </c>
      <c r="I131" s="51" t="str">
        <f>IFERROR(__xludf.DUMMYFUNCTION("""COMPUTED_VALUE"""),"#VALUE!")</f>
        <v>#VALUE!</v>
      </c>
      <c r="J131" s="51" t="str">
        <f>IFERROR(__xludf.DUMMYFUNCTION("""COMPUTED_VALUE"""),"")</f>
        <v/>
      </c>
      <c r="K131" s="51"/>
      <c r="L131" s="51" t="s">
        <v>257</v>
      </c>
      <c r="M131" s="51"/>
      <c r="N131" s="51"/>
      <c r="O131" s="51"/>
      <c r="P131" s="51"/>
      <c r="Q131" s="51"/>
      <c r="R131" s="51"/>
      <c r="S131" s="51"/>
      <c r="T131" s="51"/>
    </row>
    <row r="132">
      <c r="A132" s="51"/>
      <c r="B132" s="51"/>
      <c r="C132" s="56"/>
      <c r="D132" s="51"/>
      <c r="E132" s="51"/>
      <c r="F132" s="51"/>
      <c r="G132" s="51" t="str">
        <f>IFERROR(__xludf.DUMMYFUNCTION("""COMPUTED_VALUE"""),"#VALUE!")</f>
        <v>#VALUE!</v>
      </c>
      <c r="H132" s="51" t="str">
        <f>IFERROR(__xludf.DUMMYFUNCTION("""COMPUTED_VALUE"""),"")</f>
        <v/>
      </c>
      <c r="I132" s="51" t="str">
        <f>IFERROR(__xludf.DUMMYFUNCTION("""COMPUTED_VALUE"""),"#VALUE!")</f>
        <v>#VALUE!</v>
      </c>
      <c r="J132" s="51" t="str">
        <f>IFERROR(__xludf.DUMMYFUNCTION("""COMPUTED_VALUE"""),"")</f>
        <v/>
      </c>
      <c r="K132" s="51"/>
      <c r="L132" s="51" t="s">
        <v>257</v>
      </c>
      <c r="M132" s="51"/>
      <c r="N132" s="51"/>
      <c r="O132" s="51"/>
      <c r="P132" s="51"/>
      <c r="Q132" s="51"/>
      <c r="R132" s="51"/>
      <c r="S132" s="51"/>
      <c r="T132" s="51"/>
    </row>
    <row r="133">
      <c r="A133" s="51"/>
      <c r="B133" s="51"/>
      <c r="C133" s="56"/>
      <c r="D133" s="51"/>
      <c r="E133" s="51"/>
      <c r="F133" s="51"/>
      <c r="G133" s="51" t="str">
        <f>IFERROR(__xludf.DUMMYFUNCTION("""COMPUTED_VALUE"""),"#VALUE!")</f>
        <v>#VALUE!</v>
      </c>
      <c r="H133" s="51" t="str">
        <f>IFERROR(__xludf.DUMMYFUNCTION("""COMPUTED_VALUE"""),"")</f>
        <v/>
      </c>
      <c r="I133" s="51" t="str">
        <f>IFERROR(__xludf.DUMMYFUNCTION("""COMPUTED_VALUE"""),"#VALUE!")</f>
        <v>#VALUE!</v>
      </c>
      <c r="J133" s="51" t="str">
        <f>IFERROR(__xludf.DUMMYFUNCTION("""COMPUTED_VALUE"""),"")</f>
        <v/>
      </c>
      <c r="K133" s="51"/>
      <c r="L133" s="51" t="s">
        <v>257</v>
      </c>
      <c r="M133" s="51"/>
      <c r="N133" s="51"/>
      <c r="O133" s="51"/>
      <c r="P133" s="51"/>
      <c r="Q133" s="51"/>
      <c r="R133" s="51"/>
      <c r="S133" s="51"/>
      <c r="T133" s="51"/>
    </row>
    <row r="134">
      <c r="A134" s="51"/>
      <c r="B134" s="51"/>
      <c r="C134" s="56"/>
      <c r="D134" s="51"/>
      <c r="E134" s="51"/>
      <c r="F134" s="51"/>
      <c r="G134" s="51" t="str">
        <f>IFERROR(__xludf.DUMMYFUNCTION("""COMPUTED_VALUE"""),"#VALUE!")</f>
        <v>#VALUE!</v>
      </c>
      <c r="H134" s="51" t="str">
        <f>IFERROR(__xludf.DUMMYFUNCTION("""COMPUTED_VALUE"""),"")</f>
        <v/>
      </c>
      <c r="I134" s="51" t="str">
        <f>IFERROR(__xludf.DUMMYFUNCTION("""COMPUTED_VALUE"""),"#VALUE!")</f>
        <v>#VALUE!</v>
      </c>
      <c r="J134" s="51" t="str">
        <f>IFERROR(__xludf.DUMMYFUNCTION("""COMPUTED_VALUE"""),"")</f>
        <v/>
      </c>
      <c r="K134" s="51"/>
      <c r="L134" s="51" t="s">
        <v>257</v>
      </c>
      <c r="M134" s="51"/>
      <c r="N134" s="51"/>
      <c r="O134" s="51"/>
      <c r="P134" s="51"/>
      <c r="Q134" s="51"/>
      <c r="R134" s="51"/>
      <c r="S134" s="51"/>
      <c r="T134" s="51"/>
    </row>
    <row r="135">
      <c r="A135" s="51"/>
      <c r="B135" s="51"/>
      <c r="C135" s="56"/>
      <c r="D135" s="51"/>
      <c r="E135" s="51"/>
      <c r="F135" s="51"/>
      <c r="G135" s="51" t="str">
        <f>IFERROR(__xludf.DUMMYFUNCTION("""COMPUTED_VALUE"""),"#VALUE!")</f>
        <v>#VALUE!</v>
      </c>
      <c r="H135" s="51" t="str">
        <f>IFERROR(__xludf.DUMMYFUNCTION("""COMPUTED_VALUE"""),"")</f>
        <v/>
      </c>
      <c r="I135" s="51" t="str">
        <f>IFERROR(__xludf.DUMMYFUNCTION("""COMPUTED_VALUE"""),"#VALUE!")</f>
        <v>#VALUE!</v>
      </c>
      <c r="J135" s="51" t="str">
        <f>IFERROR(__xludf.DUMMYFUNCTION("""COMPUTED_VALUE"""),"")</f>
        <v/>
      </c>
      <c r="K135" s="51"/>
      <c r="L135" s="51" t="s">
        <v>257</v>
      </c>
      <c r="M135" s="51"/>
      <c r="N135" s="51"/>
      <c r="O135" s="51"/>
      <c r="P135" s="51"/>
      <c r="Q135" s="51"/>
      <c r="R135" s="51"/>
      <c r="S135" s="51"/>
      <c r="T135" s="51"/>
    </row>
    <row r="136">
      <c r="A136" s="51"/>
      <c r="B136" s="51"/>
      <c r="C136" s="56"/>
      <c r="D136" s="51"/>
      <c r="E136" s="51"/>
      <c r="F136" s="51"/>
      <c r="G136" s="51" t="str">
        <f>IFERROR(__xludf.DUMMYFUNCTION("""COMPUTED_VALUE"""),"#VALUE!")</f>
        <v>#VALUE!</v>
      </c>
      <c r="H136" s="51" t="str">
        <f>IFERROR(__xludf.DUMMYFUNCTION("""COMPUTED_VALUE"""),"")</f>
        <v/>
      </c>
      <c r="I136" s="51" t="str">
        <f>IFERROR(__xludf.DUMMYFUNCTION("""COMPUTED_VALUE"""),"#VALUE!")</f>
        <v>#VALUE!</v>
      </c>
      <c r="J136" s="51" t="str">
        <f>IFERROR(__xludf.DUMMYFUNCTION("""COMPUTED_VALUE"""),"")</f>
        <v/>
      </c>
      <c r="K136" s="51"/>
      <c r="L136" s="51" t="s">
        <v>257</v>
      </c>
      <c r="M136" s="51"/>
      <c r="N136" s="51"/>
      <c r="O136" s="51"/>
      <c r="P136" s="51"/>
      <c r="Q136" s="51"/>
      <c r="R136" s="51"/>
      <c r="S136" s="51"/>
      <c r="T136" s="51"/>
    </row>
    <row r="137">
      <c r="A137" s="51"/>
      <c r="B137" s="51"/>
      <c r="C137" s="56"/>
      <c r="D137" s="51"/>
      <c r="E137" s="51"/>
      <c r="F137" s="51"/>
      <c r="G137" s="51" t="str">
        <f>IFERROR(__xludf.DUMMYFUNCTION("""COMPUTED_VALUE"""),"#VALUE!")</f>
        <v>#VALUE!</v>
      </c>
      <c r="H137" s="51" t="str">
        <f>IFERROR(__xludf.DUMMYFUNCTION("""COMPUTED_VALUE"""),"")</f>
        <v/>
      </c>
      <c r="I137" s="51" t="str">
        <f>IFERROR(__xludf.DUMMYFUNCTION("""COMPUTED_VALUE"""),"#VALUE!")</f>
        <v>#VALUE!</v>
      </c>
      <c r="J137" s="51" t="str">
        <f>IFERROR(__xludf.DUMMYFUNCTION("""COMPUTED_VALUE"""),"")</f>
        <v/>
      </c>
      <c r="K137" s="51"/>
      <c r="L137" s="51" t="s">
        <v>257</v>
      </c>
      <c r="M137" s="51"/>
      <c r="N137" s="51"/>
      <c r="O137" s="51"/>
      <c r="P137" s="51"/>
      <c r="Q137" s="51"/>
      <c r="R137" s="51"/>
      <c r="S137" s="51"/>
      <c r="T137" s="51"/>
    </row>
    <row r="138">
      <c r="A138" s="51"/>
      <c r="B138" s="51"/>
      <c r="C138" s="56"/>
      <c r="D138" s="51"/>
      <c r="E138" s="51"/>
      <c r="F138" s="51"/>
      <c r="G138" s="51" t="str">
        <f>IFERROR(__xludf.DUMMYFUNCTION("""COMPUTED_VALUE"""),"#VALUE!")</f>
        <v>#VALUE!</v>
      </c>
      <c r="H138" s="51" t="str">
        <f>IFERROR(__xludf.DUMMYFUNCTION("""COMPUTED_VALUE"""),"")</f>
        <v/>
      </c>
      <c r="I138" s="51" t="str">
        <f>IFERROR(__xludf.DUMMYFUNCTION("""COMPUTED_VALUE"""),"#VALUE!")</f>
        <v>#VALUE!</v>
      </c>
      <c r="J138" s="51" t="str">
        <f>IFERROR(__xludf.DUMMYFUNCTION("""COMPUTED_VALUE"""),"")</f>
        <v/>
      </c>
      <c r="K138" s="51"/>
      <c r="L138" s="51" t="s">
        <v>257</v>
      </c>
      <c r="M138" s="51"/>
      <c r="N138" s="51"/>
      <c r="O138" s="51"/>
      <c r="P138" s="51"/>
      <c r="Q138" s="51"/>
      <c r="R138" s="51"/>
      <c r="S138" s="51"/>
      <c r="T138" s="51"/>
    </row>
    <row r="139">
      <c r="A139" s="51"/>
      <c r="B139" s="51"/>
      <c r="C139" s="56"/>
      <c r="D139" s="51"/>
      <c r="E139" s="51"/>
      <c r="F139" s="51"/>
      <c r="G139" s="51" t="str">
        <f>IFERROR(__xludf.DUMMYFUNCTION("""COMPUTED_VALUE"""),"#VALUE!")</f>
        <v>#VALUE!</v>
      </c>
      <c r="H139" s="51" t="str">
        <f>IFERROR(__xludf.DUMMYFUNCTION("""COMPUTED_VALUE"""),"")</f>
        <v/>
      </c>
      <c r="I139" s="51" t="str">
        <f>IFERROR(__xludf.DUMMYFUNCTION("""COMPUTED_VALUE"""),"#VALUE!")</f>
        <v>#VALUE!</v>
      </c>
      <c r="J139" s="51" t="str">
        <f>IFERROR(__xludf.DUMMYFUNCTION("""COMPUTED_VALUE"""),"")</f>
        <v/>
      </c>
      <c r="K139" s="51"/>
      <c r="L139" s="51" t="s">
        <v>257</v>
      </c>
      <c r="M139" s="51"/>
      <c r="N139" s="51"/>
      <c r="O139" s="51"/>
      <c r="P139" s="51"/>
      <c r="Q139" s="51"/>
      <c r="R139" s="51"/>
      <c r="S139" s="51"/>
      <c r="T139" s="51"/>
    </row>
    <row r="140">
      <c r="A140" s="51"/>
      <c r="B140" s="51"/>
      <c r="C140" s="56"/>
      <c r="D140" s="51"/>
      <c r="E140" s="51"/>
      <c r="F140" s="51"/>
      <c r="G140" s="51" t="str">
        <f>IFERROR(__xludf.DUMMYFUNCTION("""COMPUTED_VALUE"""),"#VALUE!")</f>
        <v>#VALUE!</v>
      </c>
      <c r="H140" s="51" t="str">
        <f>IFERROR(__xludf.DUMMYFUNCTION("""COMPUTED_VALUE"""),"")</f>
        <v/>
      </c>
      <c r="I140" s="51" t="str">
        <f>IFERROR(__xludf.DUMMYFUNCTION("""COMPUTED_VALUE"""),"#VALUE!")</f>
        <v>#VALUE!</v>
      </c>
      <c r="J140" s="51" t="str">
        <f>IFERROR(__xludf.DUMMYFUNCTION("""COMPUTED_VALUE"""),"")</f>
        <v/>
      </c>
      <c r="K140" s="51"/>
      <c r="L140" s="51" t="s">
        <v>257</v>
      </c>
      <c r="M140" s="51"/>
      <c r="N140" s="51"/>
      <c r="O140" s="51"/>
      <c r="P140" s="51"/>
      <c r="Q140" s="51"/>
      <c r="R140" s="51"/>
      <c r="S140" s="51"/>
      <c r="T140" s="51"/>
    </row>
    <row r="141">
      <c r="A141" s="51"/>
      <c r="B141" s="51"/>
      <c r="C141" s="56"/>
      <c r="D141" s="51"/>
      <c r="E141" s="51"/>
      <c r="F141" s="51"/>
      <c r="G141" s="51" t="str">
        <f>IFERROR(__xludf.DUMMYFUNCTION("""COMPUTED_VALUE"""),"#VALUE!")</f>
        <v>#VALUE!</v>
      </c>
      <c r="H141" s="51" t="str">
        <f>IFERROR(__xludf.DUMMYFUNCTION("""COMPUTED_VALUE"""),"")</f>
        <v/>
      </c>
      <c r="I141" s="51" t="str">
        <f>IFERROR(__xludf.DUMMYFUNCTION("""COMPUTED_VALUE"""),"#VALUE!")</f>
        <v>#VALUE!</v>
      </c>
      <c r="J141" s="51" t="str">
        <f>IFERROR(__xludf.DUMMYFUNCTION("""COMPUTED_VALUE"""),"")</f>
        <v/>
      </c>
      <c r="K141" s="51"/>
      <c r="L141" s="51" t="s">
        <v>257</v>
      </c>
      <c r="M141" s="51"/>
      <c r="N141" s="51"/>
      <c r="O141" s="51"/>
      <c r="P141" s="51"/>
      <c r="Q141" s="51"/>
      <c r="R141" s="51"/>
      <c r="S141" s="51"/>
      <c r="T141" s="51"/>
    </row>
    <row r="142">
      <c r="A142" s="51"/>
      <c r="B142" s="51"/>
      <c r="C142" s="56"/>
      <c r="D142" s="51"/>
      <c r="E142" s="51"/>
      <c r="F142" s="51"/>
      <c r="G142" s="51" t="str">
        <f>IFERROR(__xludf.DUMMYFUNCTION("""COMPUTED_VALUE"""),"#VALUE!")</f>
        <v>#VALUE!</v>
      </c>
      <c r="H142" s="51" t="str">
        <f>IFERROR(__xludf.DUMMYFUNCTION("""COMPUTED_VALUE"""),"")</f>
        <v/>
      </c>
      <c r="I142" s="51" t="str">
        <f>IFERROR(__xludf.DUMMYFUNCTION("""COMPUTED_VALUE"""),"#VALUE!")</f>
        <v>#VALUE!</v>
      </c>
      <c r="J142" s="51" t="str">
        <f>IFERROR(__xludf.DUMMYFUNCTION("""COMPUTED_VALUE"""),"")</f>
        <v/>
      </c>
      <c r="K142" s="51"/>
      <c r="L142" s="51" t="s">
        <v>257</v>
      </c>
      <c r="M142" s="51"/>
      <c r="N142" s="51"/>
      <c r="O142" s="51"/>
      <c r="P142" s="51"/>
      <c r="Q142" s="51"/>
      <c r="R142" s="51"/>
      <c r="S142" s="51"/>
      <c r="T142" s="51"/>
    </row>
    <row r="143">
      <c r="A143" s="51"/>
      <c r="B143" s="51"/>
      <c r="C143" s="56"/>
      <c r="D143" s="51"/>
      <c r="E143" s="51"/>
      <c r="F143" s="51"/>
      <c r="G143" s="51" t="str">
        <f>IFERROR(__xludf.DUMMYFUNCTION("""COMPUTED_VALUE"""),"#VALUE!")</f>
        <v>#VALUE!</v>
      </c>
      <c r="H143" s="51" t="str">
        <f>IFERROR(__xludf.DUMMYFUNCTION("""COMPUTED_VALUE"""),"")</f>
        <v/>
      </c>
      <c r="I143" s="51" t="str">
        <f>IFERROR(__xludf.DUMMYFUNCTION("""COMPUTED_VALUE"""),"#VALUE!")</f>
        <v>#VALUE!</v>
      </c>
      <c r="J143" s="51" t="str">
        <f>IFERROR(__xludf.DUMMYFUNCTION("""COMPUTED_VALUE"""),"")</f>
        <v/>
      </c>
      <c r="K143" s="51"/>
      <c r="L143" s="51" t="s">
        <v>257</v>
      </c>
      <c r="M143" s="51"/>
      <c r="N143" s="51"/>
      <c r="O143" s="51"/>
      <c r="P143" s="51"/>
      <c r="Q143" s="51"/>
      <c r="R143" s="51"/>
      <c r="S143" s="51"/>
      <c r="T143" s="51"/>
    </row>
    <row r="144">
      <c r="A144" s="51"/>
      <c r="B144" s="51"/>
      <c r="C144" s="56"/>
      <c r="D144" s="51"/>
      <c r="E144" s="51"/>
      <c r="F144" s="51"/>
      <c r="G144" s="51" t="str">
        <f>IFERROR(__xludf.DUMMYFUNCTION("""COMPUTED_VALUE"""),"#VALUE!")</f>
        <v>#VALUE!</v>
      </c>
      <c r="H144" s="51" t="str">
        <f>IFERROR(__xludf.DUMMYFUNCTION("""COMPUTED_VALUE"""),"")</f>
        <v/>
      </c>
      <c r="I144" s="51" t="str">
        <f>IFERROR(__xludf.DUMMYFUNCTION("""COMPUTED_VALUE"""),"#VALUE!")</f>
        <v>#VALUE!</v>
      </c>
      <c r="J144" s="51" t="str">
        <f>IFERROR(__xludf.DUMMYFUNCTION("""COMPUTED_VALUE"""),"")</f>
        <v/>
      </c>
      <c r="K144" s="51"/>
      <c r="L144" s="51" t="s">
        <v>257</v>
      </c>
      <c r="M144" s="51"/>
      <c r="N144" s="51"/>
      <c r="O144" s="51"/>
      <c r="P144" s="51"/>
      <c r="Q144" s="51"/>
      <c r="R144" s="51"/>
      <c r="S144" s="51"/>
      <c r="T144" s="51"/>
    </row>
    <row r="145">
      <c r="A145" s="51"/>
      <c r="B145" s="51"/>
      <c r="C145" s="56"/>
      <c r="D145" s="51"/>
      <c r="E145" s="51"/>
      <c r="F145" s="51"/>
      <c r="G145" s="51" t="str">
        <f>IFERROR(__xludf.DUMMYFUNCTION("""COMPUTED_VALUE"""),"#VALUE!")</f>
        <v>#VALUE!</v>
      </c>
      <c r="H145" s="51" t="str">
        <f>IFERROR(__xludf.DUMMYFUNCTION("""COMPUTED_VALUE"""),"")</f>
        <v/>
      </c>
      <c r="I145" s="51" t="str">
        <f>IFERROR(__xludf.DUMMYFUNCTION("""COMPUTED_VALUE"""),"#VALUE!")</f>
        <v>#VALUE!</v>
      </c>
      <c r="J145" s="51" t="str">
        <f>IFERROR(__xludf.DUMMYFUNCTION("""COMPUTED_VALUE"""),"")</f>
        <v/>
      </c>
      <c r="K145" s="51"/>
      <c r="L145" s="51" t="s">
        <v>257</v>
      </c>
      <c r="M145" s="51"/>
      <c r="N145" s="51"/>
      <c r="O145" s="51"/>
      <c r="P145" s="51"/>
      <c r="Q145" s="51"/>
      <c r="R145" s="51"/>
      <c r="S145" s="51"/>
      <c r="T145" s="51"/>
    </row>
    <row r="146">
      <c r="A146" s="51"/>
      <c r="B146" s="51"/>
      <c r="C146" s="56"/>
      <c r="D146" s="51"/>
      <c r="E146" s="51"/>
      <c r="F146" s="51"/>
      <c r="G146" s="51" t="str">
        <f>IFERROR(__xludf.DUMMYFUNCTION("""COMPUTED_VALUE"""),"#VALUE!")</f>
        <v>#VALUE!</v>
      </c>
      <c r="H146" s="51" t="str">
        <f>IFERROR(__xludf.DUMMYFUNCTION("""COMPUTED_VALUE"""),"")</f>
        <v/>
      </c>
      <c r="I146" s="51" t="str">
        <f>IFERROR(__xludf.DUMMYFUNCTION("""COMPUTED_VALUE"""),"#VALUE!")</f>
        <v>#VALUE!</v>
      </c>
      <c r="J146" s="51" t="str">
        <f>IFERROR(__xludf.DUMMYFUNCTION("""COMPUTED_VALUE"""),"")</f>
        <v/>
      </c>
      <c r="K146" s="51"/>
      <c r="L146" s="51" t="s">
        <v>257</v>
      </c>
      <c r="M146" s="51"/>
      <c r="N146" s="51"/>
      <c r="O146" s="51"/>
      <c r="P146" s="51"/>
      <c r="Q146" s="51"/>
      <c r="R146" s="51"/>
      <c r="S146" s="51"/>
      <c r="T146" s="51"/>
    </row>
    <row r="147">
      <c r="A147" s="51"/>
      <c r="B147" s="51"/>
      <c r="C147" s="56"/>
      <c r="D147" s="51"/>
      <c r="E147" s="51"/>
      <c r="F147" s="51"/>
      <c r="G147" s="51" t="str">
        <f>IFERROR(__xludf.DUMMYFUNCTION("""COMPUTED_VALUE"""),"#VALUE!")</f>
        <v>#VALUE!</v>
      </c>
      <c r="H147" s="51" t="str">
        <f>IFERROR(__xludf.DUMMYFUNCTION("""COMPUTED_VALUE"""),"")</f>
        <v/>
      </c>
      <c r="I147" s="51" t="str">
        <f>IFERROR(__xludf.DUMMYFUNCTION("""COMPUTED_VALUE"""),"#VALUE!")</f>
        <v>#VALUE!</v>
      </c>
      <c r="J147" s="51" t="str">
        <f>IFERROR(__xludf.DUMMYFUNCTION("""COMPUTED_VALUE"""),"")</f>
        <v/>
      </c>
      <c r="K147" s="51"/>
      <c r="L147" s="51" t="s">
        <v>257</v>
      </c>
      <c r="M147" s="51"/>
      <c r="N147" s="51"/>
      <c r="O147" s="51"/>
      <c r="P147" s="51"/>
      <c r="Q147" s="51"/>
      <c r="R147" s="51"/>
      <c r="S147" s="51"/>
      <c r="T147" s="51"/>
    </row>
    <row r="148">
      <c r="A148" s="51"/>
      <c r="B148" s="51"/>
      <c r="C148" s="56"/>
      <c r="D148" s="51"/>
      <c r="E148" s="51"/>
      <c r="F148" s="51"/>
      <c r="G148" s="51" t="str">
        <f>IFERROR(__xludf.DUMMYFUNCTION("""COMPUTED_VALUE"""),"#VALUE!")</f>
        <v>#VALUE!</v>
      </c>
      <c r="H148" s="51" t="str">
        <f>IFERROR(__xludf.DUMMYFUNCTION("""COMPUTED_VALUE"""),"")</f>
        <v/>
      </c>
      <c r="I148" s="51" t="str">
        <f>IFERROR(__xludf.DUMMYFUNCTION("""COMPUTED_VALUE"""),"#VALUE!")</f>
        <v>#VALUE!</v>
      </c>
      <c r="J148" s="51" t="str">
        <f>IFERROR(__xludf.DUMMYFUNCTION("""COMPUTED_VALUE"""),"")</f>
        <v/>
      </c>
      <c r="K148" s="51"/>
      <c r="L148" s="51" t="s">
        <v>257</v>
      </c>
      <c r="M148" s="51"/>
      <c r="N148" s="51"/>
      <c r="O148" s="51"/>
      <c r="P148" s="51"/>
      <c r="Q148" s="51"/>
      <c r="R148" s="51"/>
      <c r="S148" s="51"/>
      <c r="T148" s="51"/>
    </row>
    <row r="149">
      <c r="A149" s="51"/>
      <c r="B149" s="51"/>
      <c r="C149" s="56"/>
      <c r="D149" s="51"/>
      <c r="E149" s="51"/>
      <c r="F149" s="51"/>
      <c r="G149" s="51" t="str">
        <f>IFERROR(__xludf.DUMMYFUNCTION("""COMPUTED_VALUE"""),"#VALUE!")</f>
        <v>#VALUE!</v>
      </c>
      <c r="H149" s="51" t="str">
        <f>IFERROR(__xludf.DUMMYFUNCTION("""COMPUTED_VALUE"""),"")</f>
        <v/>
      </c>
      <c r="I149" s="51" t="str">
        <f>IFERROR(__xludf.DUMMYFUNCTION("""COMPUTED_VALUE"""),"#VALUE!")</f>
        <v>#VALUE!</v>
      </c>
      <c r="J149" s="51" t="str">
        <f>IFERROR(__xludf.DUMMYFUNCTION("""COMPUTED_VALUE"""),"")</f>
        <v/>
      </c>
      <c r="K149" s="51"/>
      <c r="L149" s="51" t="s">
        <v>257</v>
      </c>
      <c r="M149" s="51"/>
      <c r="N149" s="51"/>
      <c r="O149" s="51"/>
      <c r="P149" s="51"/>
      <c r="Q149" s="51"/>
      <c r="R149" s="51"/>
      <c r="S149" s="51"/>
      <c r="T149" s="51"/>
    </row>
    <row r="150">
      <c r="A150" s="51"/>
      <c r="B150" s="51"/>
      <c r="C150" s="56"/>
      <c r="D150" s="51"/>
      <c r="E150" s="51"/>
      <c r="F150" s="51"/>
      <c r="G150" s="51" t="str">
        <f>IFERROR(__xludf.DUMMYFUNCTION("""COMPUTED_VALUE"""),"#VALUE!")</f>
        <v>#VALUE!</v>
      </c>
      <c r="H150" s="51" t="str">
        <f>IFERROR(__xludf.DUMMYFUNCTION("""COMPUTED_VALUE"""),"")</f>
        <v/>
      </c>
      <c r="I150" s="51" t="str">
        <f>IFERROR(__xludf.DUMMYFUNCTION("""COMPUTED_VALUE"""),"#VALUE!")</f>
        <v>#VALUE!</v>
      </c>
      <c r="J150" s="51" t="str">
        <f>IFERROR(__xludf.DUMMYFUNCTION("""COMPUTED_VALUE"""),"")</f>
        <v/>
      </c>
      <c r="K150" s="51"/>
      <c r="L150" s="51" t="s">
        <v>257</v>
      </c>
      <c r="M150" s="51"/>
      <c r="N150" s="51"/>
      <c r="O150" s="51"/>
      <c r="P150" s="51"/>
      <c r="Q150" s="51"/>
      <c r="R150" s="51"/>
      <c r="S150" s="51"/>
      <c r="T150" s="51"/>
    </row>
    <row r="151">
      <c r="A151" s="51"/>
      <c r="B151" s="51"/>
      <c r="C151" s="56"/>
      <c r="D151" s="51"/>
      <c r="E151" s="51"/>
      <c r="F151" s="51"/>
      <c r="G151" s="51" t="str">
        <f>IFERROR(__xludf.DUMMYFUNCTION("""COMPUTED_VALUE"""),"#VALUE!")</f>
        <v>#VALUE!</v>
      </c>
      <c r="H151" s="51" t="str">
        <f>IFERROR(__xludf.DUMMYFUNCTION("""COMPUTED_VALUE"""),"")</f>
        <v/>
      </c>
      <c r="I151" s="51" t="str">
        <f>IFERROR(__xludf.DUMMYFUNCTION("""COMPUTED_VALUE"""),"#VALUE!")</f>
        <v>#VALUE!</v>
      </c>
      <c r="J151" s="51" t="str">
        <f>IFERROR(__xludf.DUMMYFUNCTION("""COMPUTED_VALUE"""),"")</f>
        <v/>
      </c>
      <c r="K151" s="51"/>
      <c r="L151" s="51" t="s">
        <v>257</v>
      </c>
      <c r="M151" s="51"/>
      <c r="N151" s="51"/>
      <c r="O151" s="51"/>
      <c r="P151" s="51"/>
      <c r="Q151" s="51"/>
      <c r="R151" s="51"/>
      <c r="S151" s="51"/>
      <c r="T151" s="51"/>
    </row>
    <row r="152">
      <c r="A152" s="51"/>
      <c r="B152" s="51"/>
      <c r="C152" s="56"/>
      <c r="D152" s="51"/>
      <c r="E152" s="51"/>
      <c r="F152" s="51"/>
      <c r="G152" s="51" t="str">
        <f>IFERROR(__xludf.DUMMYFUNCTION("""COMPUTED_VALUE"""),"#VALUE!")</f>
        <v>#VALUE!</v>
      </c>
      <c r="H152" s="51" t="str">
        <f>IFERROR(__xludf.DUMMYFUNCTION("""COMPUTED_VALUE"""),"")</f>
        <v/>
      </c>
      <c r="I152" s="51" t="str">
        <f>IFERROR(__xludf.DUMMYFUNCTION("""COMPUTED_VALUE"""),"#VALUE!")</f>
        <v>#VALUE!</v>
      </c>
      <c r="J152" s="51" t="str">
        <f>IFERROR(__xludf.DUMMYFUNCTION("""COMPUTED_VALUE"""),"")</f>
        <v/>
      </c>
      <c r="K152" s="51"/>
      <c r="L152" s="51" t="s">
        <v>257</v>
      </c>
      <c r="M152" s="51"/>
      <c r="N152" s="51"/>
      <c r="O152" s="51"/>
      <c r="P152" s="51"/>
      <c r="Q152" s="51"/>
      <c r="R152" s="51"/>
      <c r="S152" s="51"/>
      <c r="T152" s="51"/>
    </row>
    <row r="153">
      <c r="A153" s="51"/>
      <c r="B153" s="51"/>
      <c r="C153" s="56"/>
      <c r="D153" s="51"/>
      <c r="E153" s="51"/>
      <c r="F153" s="51"/>
      <c r="G153" s="51" t="str">
        <f>IFERROR(__xludf.DUMMYFUNCTION("""COMPUTED_VALUE"""),"#VALUE!")</f>
        <v>#VALUE!</v>
      </c>
      <c r="H153" s="51" t="str">
        <f>IFERROR(__xludf.DUMMYFUNCTION("""COMPUTED_VALUE"""),"")</f>
        <v/>
      </c>
      <c r="I153" s="51" t="str">
        <f>IFERROR(__xludf.DUMMYFUNCTION("""COMPUTED_VALUE"""),"#VALUE!")</f>
        <v>#VALUE!</v>
      </c>
      <c r="J153" s="51" t="str">
        <f>IFERROR(__xludf.DUMMYFUNCTION("""COMPUTED_VALUE"""),"")</f>
        <v/>
      </c>
      <c r="K153" s="51"/>
      <c r="L153" s="51" t="s">
        <v>257</v>
      </c>
      <c r="M153" s="51"/>
      <c r="N153" s="51"/>
      <c r="O153" s="51"/>
      <c r="P153" s="51"/>
      <c r="Q153" s="51"/>
      <c r="R153" s="51"/>
      <c r="S153" s="51"/>
      <c r="T153" s="51"/>
    </row>
    <row r="154">
      <c r="A154" s="51"/>
      <c r="B154" s="51"/>
      <c r="C154" s="56"/>
      <c r="D154" s="51"/>
      <c r="E154" s="51"/>
      <c r="F154" s="51"/>
      <c r="G154" s="51" t="str">
        <f>IFERROR(__xludf.DUMMYFUNCTION("""COMPUTED_VALUE"""),"#VALUE!")</f>
        <v>#VALUE!</v>
      </c>
      <c r="H154" s="51" t="str">
        <f>IFERROR(__xludf.DUMMYFUNCTION("""COMPUTED_VALUE"""),"")</f>
        <v/>
      </c>
      <c r="I154" s="51" t="str">
        <f>IFERROR(__xludf.DUMMYFUNCTION("""COMPUTED_VALUE"""),"#VALUE!")</f>
        <v>#VALUE!</v>
      </c>
      <c r="J154" s="51" t="str">
        <f>IFERROR(__xludf.DUMMYFUNCTION("""COMPUTED_VALUE"""),"")</f>
        <v/>
      </c>
      <c r="K154" s="51"/>
      <c r="L154" s="51" t="s">
        <v>257</v>
      </c>
      <c r="M154" s="51"/>
      <c r="N154" s="51"/>
      <c r="O154" s="51"/>
      <c r="P154" s="51"/>
      <c r="Q154" s="51"/>
      <c r="R154" s="51"/>
      <c r="S154" s="51"/>
      <c r="T154" s="51"/>
    </row>
    <row r="155">
      <c r="A155" s="51"/>
      <c r="B155" s="51"/>
      <c r="C155" s="56"/>
      <c r="D155" s="51"/>
      <c r="E155" s="51"/>
      <c r="F155" s="51"/>
      <c r="G155" s="51" t="str">
        <f>IFERROR(__xludf.DUMMYFUNCTION("""COMPUTED_VALUE"""),"#VALUE!")</f>
        <v>#VALUE!</v>
      </c>
      <c r="H155" s="51" t="str">
        <f>IFERROR(__xludf.DUMMYFUNCTION("""COMPUTED_VALUE"""),"")</f>
        <v/>
      </c>
      <c r="I155" s="51" t="str">
        <f>IFERROR(__xludf.DUMMYFUNCTION("""COMPUTED_VALUE"""),"#VALUE!")</f>
        <v>#VALUE!</v>
      </c>
      <c r="J155" s="51" t="str">
        <f>IFERROR(__xludf.DUMMYFUNCTION("""COMPUTED_VALUE"""),"")</f>
        <v/>
      </c>
      <c r="K155" s="51"/>
      <c r="L155" s="51" t="s">
        <v>257</v>
      </c>
      <c r="M155" s="51"/>
      <c r="N155" s="51"/>
      <c r="O155" s="51"/>
      <c r="P155" s="51"/>
      <c r="Q155" s="51"/>
      <c r="R155" s="51"/>
      <c r="S155" s="51"/>
      <c r="T155" s="51"/>
    </row>
    <row r="156">
      <c r="A156" s="51"/>
      <c r="B156" s="51"/>
      <c r="C156" s="56"/>
      <c r="D156" s="51"/>
      <c r="E156" s="51"/>
      <c r="F156" s="51"/>
      <c r="G156" s="51" t="str">
        <f>IFERROR(__xludf.DUMMYFUNCTION("""COMPUTED_VALUE"""),"#VALUE!")</f>
        <v>#VALUE!</v>
      </c>
      <c r="H156" s="51" t="str">
        <f>IFERROR(__xludf.DUMMYFUNCTION("""COMPUTED_VALUE"""),"")</f>
        <v/>
      </c>
      <c r="I156" s="51" t="str">
        <f>IFERROR(__xludf.DUMMYFUNCTION("""COMPUTED_VALUE"""),"#VALUE!")</f>
        <v>#VALUE!</v>
      </c>
      <c r="J156" s="51" t="str">
        <f>IFERROR(__xludf.DUMMYFUNCTION("""COMPUTED_VALUE"""),"")</f>
        <v/>
      </c>
      <c r="K156" s="51"/>
      <c r="L156" s="51" t="s">
        <v>257</v>
      </c>
      <c r="M156" s="51"/>
      <c r="N156" s="51"/>
      <c r="O156" s="51"/>
      <c r="P156" s="51"/>
      <c r="Q156" s="51"/>
      <c r="R156" s="51"/>
      <c r="S156" s="51"/>
      <c r="T156" s="51"/>
    </row>
    <row r="157">
      <c r="A157" s="51"/>
      <c r="B157" s="51"/>
      <c r="C157" s="56"/>
      <c r="D157" s="51"/>
      <c r="E157" s="51"/>
      <c r="F157" s="51"/>
      <c r="G157" s="51" t="str">
        <f>IFERROR(__xludf.DUMMYFUNCTION("""COMPUTED_VALUE"""),"#VALUE!")</f>
        <v>#VALUE!</v>
      </c>
      <c r="H157" s="51" t="str">
        <f>IFERROR(__xludf.DUMMYFUNCTION("""COMPUTED_VALUE"""),"")</f>
        <v/>
      </c>
      <c r="I157" s="51" t="str">
        <f>IFERROR(__xludf.DUMMYFUNCTION("""COMPUTED_VALUE"""),"#VALUE!")</f>
        <v>#VALUE!</v>
      </c>
      <c r="J157" s="51" t="str">
        <f>IFERROR(__xludf.DUMMYFUNCTION("""COMPUTED_VALUE"""),"")</f>
        <v/>
      </c>
      <c r="K157" s="51"/>
      <c r="L157" s="51" t="s">
        <v>257</v>
      </c>
      <c r="M157" s="51"/>
      <c r="N157" s="51"/>
      <c r="O157" s="51"/>
      <c r="P157" s="51"/>
      <c r="Q157" s="51"/>
      <c r="R157" s="51"/>
      <c r="S157" s="51"/>
      <c r="T157" s="51"/>
    </row>
    <row r="158">
      <c r="A158" s="51"/>
      <c r="B158" s="51"/>
      <c r="C158" s="56"/>
      <c r="D158" s="51"/>
      <c r="E158" s="51"/>
      <c r="F158" s="51"/>
      <c r="G158" s="51" t="str">
        <f>IFERROR(__xludf.DUMMYFUNCTION("""COMPUTED_VALUE"""),"#VALUE!")</f>
        <v>#VALUE!</v>
      </c>
      <c r="H158" s="51" t="str">
        <f>IFERROR(__xludf.DUMMYFUNCTION("""COMPUTED_VALUE"""),"")</f>
        <v/>
      </c>
      <c r="I158" s="51" t="str">
        <f>IFERROR(__xludf.DUMMYFUNCTION("""COMPUTED_VALUE"""),"#VALUE!")</f>
        <v>#VALUE!</v>
      </c>
      <c r="J158" s="51" t="str">
        <f>IFERROR(__xludf.DUMMYFUNCTION("""COMPUTED_VALUE"""),"")</f>
        <v/>
      </c>
      <c r="K158" s="51"/>
      <c r="L158" s="51" t="s">
        <v>257</v>
      </c>
      <c r="M158" s="51"/>
      <c r="N158" s="51"/>
      <c r="O158" s="51"/>
      <c r="P158" s="51"/>
      <c r="Q158" s="51"/>
      <c r="R158" s="51"/>
      <c r="S158" s="51"/>
      <c r="T158" s="51"/>
    </row>
    <row r="159">
      <c r="A159" s="51"/>
      <c r="B159" s="51"/>
      <c r="C159" s="56"/>
      <c r="D159" s="51"/>
      <c r="E159" s="51"/>
      <c r="F159" s="51"/>
      <c r="G159" s="51" t="str">
        <f>IFERROR(__xludf.DUMMYFUNCTION("""COMPUTED_VALUE"""),"#VALUE!")</f>
        <v>#VALUE!</v>
      </c>
      <c r="H159" s="51" t="str">
        <f>IFERROR(__xludf.DUMMYFUNCTION("""COMPUTED_VALUE"""),"")</f>
        <v/>
      </c>
      <c r="I159" s="51" t="str">
        <f>IFERROR(__xludf.DUMMYFUNCTION("""COMPUTED_VALUE"""),"#VALUE!")</f>
        <v>#VALUE!</v>
      </c>
      <c r="J159" s="51" t="str">
        <f>IFERROR(__xludf.DUMMYFUNCTION("""COMPUTED_VALUE"""),"")</f>
        <v/>
      </c>
      <c r="K159" s="51"/>
      <c r="L159" s="51" t="s">
        <v>257</v>
      </c>
      <c r="M159" s="51"/>
      <c r="N159" s="51"/>
      <c r="O159" s="51"/>
      <c r="P159" s="51"/>
      <c r="Q159" s="51"/>
      <c r="R159" s="51"/>
      <c r="S159" s="51"/>
      <c r="T159" s="51"/>
    </row>
    <row r="160">
      <c r="A160" s="51"/>
      <c r="B160" s="51"/>
      <c r="C160" s="56"/>
      <c r="D160" s="51"/>
      <c r="E160" s="51"/>
      <c r="F160" s="51"/>
      <c r="G160" s="51" t="str">
        <f>IFERROR(__xludf.DUMMYFUNCTION("""COMPUTED_VALUE"""),"#VALUE!")</f>
        <v>#VALUE!</v>
      </c>
      <c r="H160" s="51" t="str">
        <f>IFERROR(__xludf.DUMMYFUNCTION("""COMPUTED_VALUE"""),"")</f>
        <v/>
      </c>
      <c r="I160" s="51" t="str">
        <f>IFERROR(__xludf.DUMMYFUNCTION("""COMPUTED_VALUE"""),"#VALUE!")</f>
        <v>#VALUE!</v>
      </c>
      <c r="J160" s="51" t="str">
        <f>IFERROR(__xludf.DUMMYFUNCTION("""COMPUTED_VALUE"""),"")</f>
        <v/>
      </c>
      <c r="K160" s="51"/>
      <c r="L160" s="51" t="s">
        <v>257</v>
      </c>
      <c r="M160" s="51"/>
      <c r="N160" s="51"/>
      <c r="O160" s="51"/>
      <c r="P160" s="51"/>
      <c r="Q160" s="51"/>
      <c r="R160" s="51"/>
      <c r="S160" s="51"/>
      <c r="T160" s="51"/>
    </row>
    <row r="161">
      <c r="A161" s="51"/>
      <c r="B161" s="51"/>
      <c r="C161" s="56"/>
      <c r="D161" s="51"/>
      <c r="E161" s="51"/>
      <c r="F161" s="51"/>
      <c r="G161" s="51" t="str">
        <f>IFERROR(__xludf.DUMMYFUNCTION("""COMPUTED_VALUE"""),"#VALUE!")</f>
        <v>#VALUE!</v>
      </c>
      <c r="H161" s="51" t="str">
        <f>IFERROR(__xludf.DUMMYFUNCTION("""COMPUTED_VALUE"""),"")</f>
        <v/>
      </c>
      <c r="I161" s="51" t="str">
        <f>IFERROR(__xludf.DUMMYFUNCTION("""COMPUTED_VALUE"""),"#VALUE!")</f>
        <v>#VALUE!</v>
      </c>
      <c r="J161" s="51" t="str">
        <f>IFERROR(__xludf.DUMMYFUNCTION("""COMPUTED_VALUE"""),"")</f>
        <v/>
      </c>
      <c r="K161" s="51"/>
      <c r="L161" s="51" t="s">
        <v>257</v>
      </c>
      <c r="M161" s="51"/>
      <c r="N161" s="51"/>
      <c r="O161" s="51"/>
      <c r="P161" s="51"/>
      <c r="Q161" s="51"/>
      <c r="R161" s="51"/>
      <c r="S161" s="51"/>
      <c r="T161" s="51"/>
    </row>
    <row r="162">
      <c r="A162" s="51"/>
      <c r="B162" s="51"/>
      <c r="C162" s="56"/>
      <c r="D162" s="51"/>
      <c r="E162" s="51"/>
      <c r="F162" s="51"/>
      <c r="G162" s="51" t="str">
        <f>IFERROR(__xludf.DUMMYFUNCTION("""COMPUTED_VALUE"""),"#VALUE!")</f>
        <v>#VALUE!</v>
      </c>
      <c r="H162" s="51" t="str">
        <f>IFERROR(__xludf.DUMMYFUNCTION("""COMPUTED_VALUE"""),"")</f>
        <v/>
      </c>
      <c r="I162" s="51" t="str">
        <f>IFERROR(__xludf.DUMMYFUNCTION("""COMPUTED_VALUE"""),"#VALUE!")</f>
        <v>#VALUE!</v>
      </c>
      <c r="J162" s="51" t="str">
        <f>IFERROR(__xludf.DUMMYFUNCTION("""COMPUTED_VALUE"""),"")</f>
        <v/>
      </c>
      <c r="K162" s="51"/>
      <c r="L162" s="51" t="s">
        <v>257</v>
      </c>
      <c r="M162" s="51"/>
      <c r="N162" s="51"/>
      <c r="O162" s="51"/>
      <c r="P162" s="51"/>
      <c r="Q162" s="51"/>
      <c r="R162" s="51"/>
      <c r="S162" s="51"/>
      <c r="T162" s="51"/>
    </row>
    <row r="163">
      <c r="A163" s="51"/>
      <c r="B163" s="51"/>
      <c r="C163" s="56"/>
      <c r="D163" s="51"/>
      <c r="E163" s="51"/>
      <c r="F163" s="51"/>
      <c r="G163" s="51" t="str">
        <f>IFERROR(__xludf.DUMMYFUNCTION("""COMPUTED_VALUE"""),"#VALUE!")</f>
        <v>#VALUE!</v>
      </c>
      <c r="H163" s="51" t="str">
        <f>IFERROR(__xludf.DUMMYFUNCTION("""COMPUTED_VALUE"""),"")</f>
        <v/>
      </c>
      <c r="I163" s="51" t="str">
        <f>IFERROR(__xludf.DUMMYFUNCTION("""COMPUTED_VALUE"""),"#VALUE!")</f>
        <v>#VALUE!</v>
      </c>
      <c r="J163" s="51" t="str">
        <f>IFERROR(__xludf.DUMMYFUNCTION("""COMPUTED_VALUE"""),"")</f>
        <v/>
      </c>
      <c r="K163" s="51"/>
      <c r="L163" s="51" t="s">
        <v>257</v>
      </c>
      <c r="M163" s="51"/>
      <c r="N163" s="51"/>
      <c r="O163" s="51"/>
      <c r="P163" s="51"/>
      <c r="Q163" s="51"/>
      <c r="R163" s="51"/>
      <c r="S163" s="51"/>
      <c r="T163" s="51"/>
    </row>
    <row r="164">
      <c r="A164" s="51"/>
      <c r="B164" s="51"/>
      <c r="C164" s="56"/>
      <c r="D164" s="51"/>
      <c r="E164" s="51"/>
      <c r="F164" s="51"/>
      <c r="G164" s="51" t="str">
        <f>IFERROR(__xludf.DUMMYFUNCTION("""COMPUTED_VALUE"""),"#VALUE!")</f>
        <v>#VALUE!</v>
      </c>
      <c r="H164" s="51" t="str">
        <f>IFERROR(__xludf.DUMMYFUNCTION("""COMPUTED_VALUE"""),"")</f>
        <v/>
      </c>
      <c r="I164" s="51" t="str">
        <f>IFERROR(__xludf.DUMMYFUNCTION("""COMPUTED_VALUE"""),"#VALUE!")</f>
        <v>#VALUE!</v>
      </c>
      <c r="J164" s="51" t="str">
        <f>IFERROR(__xludf.DUMMYFUNCTION("""COMPUTED_VALUE"""),"")</f>
        <v/>
      </c>
      <c r="K164" s="51"/>
      <c r="L164" s="51" t="s">
        <v>257</v>
      </c>
      <c r="M164" s="51"/>
      <c r="N164" s="51"/>
      <c r="O164" s="51"/>
      <c r="P164" s="51"/>
      <c r="Q164" s="51"/>
      <c r="R164" s="51"/>
      <c r="S164" s="51"/>
      <c r="T164" s="51"/>
    </row>
    <row r="165">
      <c r="A165" s="51"/>
      <c r="B165" s="51"/>
      <c r="C165" s="56"/>
      <c r="D165" s="51"/>
      <c r="E165" s="51"/>
      <c r="F165" s="51"/>
      <c r="G165" s="51" t="str">
        <f>IFERROR(__xludf.DUMMYFUNCTION("""COMPUTED_VALUE"""),"#VALUE!")</f>
        <v>#VALUE!</v>
      </c>
      <c r="H165" s="51" t="str">
        <f>IFERROR(__xludf.DUMMYFUNCTION("""COMPUTED_VALUE"""),"")</f>
        <v/>
      </c>
      <c r="I165" s="51" t="str">
        <f>IFERROR(__xludf.DUMMYFUNCTION("""COMPUTED_VALUE"""),"#VALUE!")</f>
        <v>#VALUE!</v>
      </c>
      <c r="J165" s="51" t="str">
        <f>IFERROR(__xludf.DUMMYFUNCTION("""COMPUTED_VALUE"""),"")</f>
        <v/>
      </c>
      <c r="K165" s="51"/>
      <c r="L165" s="51" t="s">
        <v>257</v>
      </c>
      <c r="M165" s="51"/>
      <c r="N165" s="51"/>
      <c r="O165" s="51"/>
      <c r="P165" s="51"/>
      <c r="Q165" s="51"/>
      <c r="R165" s="51"/>
      <c r="S165" s="51"/>
      <c r="T165" s="51"/>
    </row>
    <row r="166">
      <c r="A166" s="51"/>
      <c r="B166" s="51"/>
      <c r="C166" s="56"/>
      <c r="D166" s="51"/>
      <c r="E166" s="51"/>
      <c r="F166" s="51"/>
      <c r="G166" s="51" t="str">
        <f>IFERROR(__xludf.DUMMYFUNCTION("""COMPUTED_VALUE"""),"#VALUE!")</f>
        <v>#VALUE!</v>
      </c>
      <c r="H166" s="51" t="str">
        <f>IFERROR(__xludf.DUMMYFUNCTION("""COMPUTED_VALUE"""),"")</f>
        <v/>
      </c>
      <c r="I166" s="51" t="str">
        <f>IFERROR(__xludf.DUMMYFUNCTION("""COMPUTED_VALUE"""),"#VALUE!")</f>
        <v>#VALUE!</v>
      </c>
      <c r="J166" s="51" t="str">
        <f>IFERROR(__xludf.DUMMYFUNCTION("""COMPUTED_VALUE"""),"")</f>
        <v/>
      </c>
      <c r="K166" s="51"/>
      <c r="L166" s="51" t="s">
        <v>257</v>
      </c>
      <c r="M166" s="51"/>
      <c r="N166" s="51"/>
      <c r="O166" s="51"/>
      <c r="P166" s="51"/>
      <c r="Q166" s="51"/>
      <c r="R166" s="51"/>
      <c r="S166" s="51"/>
      <c r="T166" s="51"/>
    </row>
    <row r="167">
      <c r="A167" s="51"/>
      <c r="B167" s="51"/>
      <c r="C167" s="56"/>
      <c r="D167" s="51"/>
      <c r="E167" s="51"/>
      <c r="F167" s="51"/>
      <c r="G167" s="51" t="str">
        <f>IFERROR(__xludf.DUMMYFUNCTION("""COMPUTED_VALUE"""),"#VALUE!")</f>
        <v>#VALUE!</v>
      </c>
      <c r="H167" s="51" t="str">
        <f>IFERROR(__xludf.DUMMYFUNCTION("""COMPUTED_VALUE"""),"")</f>
        <v/>
      </c>
      <c r="I167" s="51" t="str">
        <f>IFERROR(__xludf.DUMMYFUNCTION("""COMPUTED_VALUE"""),"#VALUE!")</f>
        <v>#VALUE!</v>
      </c>
      <c r="J167" s="51" t="str">
        <f>IFERROR(__xludf.DUMMYFUNCTION("""COMPUTED_VALUE"""),"")</f>
        <v/>
      </c>
      <c r="K167" s="51"/>
      <c r="L167" s="51" t="s">
        <v>257</v>
      </c>
      <c r="M167" s="51"/>
      <c r="N167" s="51"/>
      <c r="O167" s="51"/>
      <c r="P167" s="51"/>
      <c r="Q167" s="51"/>
      <c r="R167" s="51"/>
      <c r="S167" s="51"/>
      <c r="T167" s="51"/>
    </row>
    <row r="168">
      <c r="A168" s="51"/>
      <c r="B168" s="51"/>
      <c r="C168" s="56"/>
      <c r="D168" s="51"/>
      <c r="E168" s="51"/>
      <c r="F168" s="51"/>
      <c r="G168" s="51" t="str">
        <f>IFERROR(__xludf.DUMMYFUNCTION("""COMPUTED_VALUE"""),"#VALUE!")</f>
        <v>#VALUE!</v>
      </c>
      <c r="H168" s="51" t="str">
        <f>IFERROR(__xludf.DUMMYFUNCTION("""COMPUTED_VALUE"""),"")</f>
        <v/>
      </c>
      <c r="I168" s="51" t="str">
        <f>IFERROR(__xludf.DUMMYFUNCTION("""COMPUTED_VALUE"""),"#VALUE!")</f>
        <v>#VALUE!</v>
      </c>
      <c r="J168" s="51" t="str">
        <f>IFERROR(__xludf.DUMMYFUNCTION("""COMPUTED_VALUE"""),"")</f>
        <v/>
      </c>
      <c r="K168" s="51"/>
      <c r="L168" s="51" t="s">
        <v>257</v>
      </c>
      <c r="M168" s="51"/>
      <c r="N168" s="51"/>
      <c r="O168" s="51"/>
      <c r="P168" s="51"/>
      <c r="Q168" s="51"/>
      <c r="R168" s="51"/>
      <c r="S168" s="51"/>
      <c r="T168" s="51"/>
    </row>
    <row r="169">
      <c r="A169" s="51"/>
      <c r="B169" s="51"/>
      <c r="C169" s="56"/>
      <c r="D169" s="51"/>
      <c r="E169" s="51"/>
      <c r="F169" s="51"/>
      <c r="G169" s="51" t="str">
        <f>IFERROR(__xludf.DUMMYFUNCTION("""COMPUTED_VALUE"""),"#VALUE!")</f>
        <v>#VALUE!</v>
      </c>
      <c r="H169" s="51" t="str">
        <f>IFERROR(__xludf.DUMMYFUNCTION("""COMPUTED_VALUE"""),"")</f>
        <v/>
      </c>
      <c r="I169" s="51" t="str">
        <f>IFERROR(__xludf.DUMMYFUNCTION("""COMPUTED_VALUE"""),"#VALUE!")</f>
        <v>#VALUE!</v>
      </c>
      <c r="J169" s="51" t="str">
        <f>IFERROR(__xludf.DUMMYFUNCTION("""COMPUTED_VALUE"""),"")</f>
        <v/>
      </c>
      <c r="K169" s="51"/>
      <c r="L169" s="51" t="s">
        <v>257</v>
      </c>
      <c r="M169" s="51"/>
      <c r="N169" s="51"/>
      <c r="O169" s="51"/>
      <c r="P169" s="51"/>
      <c r="Q169" s="51"/>
      <c r="R169" s="51"/>
      <c r="S169" s="51"/>
      <c r="T169" s="51"/>
    </row>
    <row r="170">
      <c r="A170" s="51"/>
      <c r="B170" s="51"/>
      <c r="C170" s="56"/>
      <c r="D170" s="51"/>
      <c r="E170" s="51"/>
      <c r="F170" s="51"/>
      <c r="G170" s="51" t="str">
        <f>IFERROR(__xludf.DUMMYFUNCTION("""COMPUTED_VALUE"""),"#VALUE!")</f>
        <v>#VALUE!</v>
      </c>
      <c r="H170" s="51" t="str">
        <f>IFERROR(__xludf.DUMMYFUNCTION("""COMPUTED_VALUE"""),"")</f>
        <v/>
      </c>
      <c r="I170" s="51" t="str">
        <f>IFERROR(__xludf.DUMMYFUNCTION("""COMPUTED_VALUE"""),"#VALUE!")</f>
        <v>#VALUE!</v>
      </c>
      <c r="J170" s="51" t="str">
        <f>IFERROR(__xludf.DUMMYFUNCTION("""COMPUTED_VALUE"""),"")</f>
        <v/>
      </c>
      <c r="K170" s="51"/>
      <c r="L170" s="51" t="s">
        <v>257</v>
      </c>
      <c r="M170" s="51"/>
      <c r="N170" s="51"/>
      <c r="O170" s="51"/>
      <c r="P170" s="51"/>
      <c r="Q170" s="51"/>
      <c r="R170" s="51"/>
      <c r="S170" s="51"/>
      <c r="T170" s="51"/>
    </row>
    <row r="171">
      <c r="A171" s="51"/>
      <c r="B171" s="51"/>
      <c r="C171" s="56"/>
      <c r="D171" s="51"/>
      <c r="E171" s="51"/>
      <c r="F171" s="51"/>
      <c r="G171" s="51" t="str">
        <f>IFERROR(__xludf.DUMMYFUNCTION("""COMPUTED_VALUE"""),"#VALUE!")</f>
        <v>#VALUE!</v>
      </c>
      <c r="H171" s="51" t="str">
        <f>IFERROR(__xludf.DUMMYFUNCTION("""COMPUTED_VALUE"""),"")</f>
        <v/>
      </c>
      <c r="I171" s="51" t="str">
        <f>IFERROR(__xludf.DUMMYFUNCTION("""COMPUTED_VALUE"""),"#VALUE!")</f>
        <v>#VALUE!</v>
      </c>
      <c r="J171" s="51" t="str">
        <f>IFERROR(__xludf.DUMMYFUNCTION("""COMPUTED_VALUE"""),"")</f>
        <v/>
      </c>
      <c r="K171" s="51"/>
      <c r="L171" s="51" t="s">
        <v>257</v>
      </c>
      <c r="M171" s="51"/>
      <c r="N171" s="51"/>
      <c r="O171" s="51"/>
      <c r="P171" s="51"/>
      <c r="Q171" s="51"/>
      <c r="R171" s="51"/>
      <c r="S171" s="51"/>
      <c r="T171" s="51"/>
    </row>
    <row r="172">
      <c r="A172" s="51"/>
      <c r="B172" s="51"/>
      <c r="C172" s="56"/>
      <c r="D172" s="51"/>
      <c r="E172" s="51"/>
      <c r="F172" s="51"/>
      <c r="G172" s="51" t="str">
        <f>IFERROR(__xludf.DUMMYFUNCTION("""COMPUTED_VALUE"""),"#VALUE!")</f>
        <v>#VALUE!</v>
      </c>
      <c r="H172" s="51" t="str">
        <f>IFERROR(__xludf.DUMMYFUNCTION("""COMPUTED_VALUE"""),"")</f>
        <v/>
      </c>
      <c r="I172" s="51" t="str">
        <f>IFERROR(__xludf.DUMMYFUNCTION("""COMPUTED_VALUE"""),"#VALUE!")</f>
        <v>#VALUE!</v>
      </c>
      <c r="J172" s="51" t="str">
        <f>IFERROR(__xludf.DUMMYFUNCTION("""COMPUTED_VALUE"""),"")</f>
        <v/>
      </c>
      <c r="K172" s="51"/>
      <c r="L172" s="51" t="s">
        <v>257</v>
      </c>
      <c r="M172" s="51"/>
      <c r="N172" s="51"/>
      <c r="O172" s="51"/>
      <c r="P172" s="51"/>
      <c r="Q172" s="51"/>
      <c r="R172" s="51"/>
      <c r="S172" s="51"/>
      <c r="T172" s="51"/>
    </row>
    <row r="173">
      <c r="A173" s="51"/>
      <c r="B173" s="51"/>
      <c r="C173" s="56"/>
      <c r="D173" s="51"/>
      <c r="E173" s="51"/>
      <c r="F173" s="51"/>
      <c r="G173" s="51" t="str">
        <f>IFERROR(__xludf.DUMMYFUNCTION("""COMPUTED_VALUE"""),"#VALUE!")</f>
        <v>#VALUE!</v>
      </c>
      <c r="H173" s="51" t="str">
        <f>IFERROR(__xludf.DUMMYFUNCTION("""COMPUTED_VALUE"""),"")</f>
        <v/>
      </c>
      <c r="I173" s="51" t="str">
        <f>IFERROR(__xludf.DUMMYFUNCTION("""COMPUTED_VALUE"""),"#VALUE!")</f>
        <v>#VALUE!</v>
      </c>
      <c r="J173" s="51" t="str">
        <f>IFERROR(__xludf.DUMMYFUNCTION("""COMPUTED_VALUE"""),"")</f>
        <v/>
      </c>
      <c r="K173" s="51"/>
      <c r="L173" s="51" t="s">
        <v>257</v>
      </c>
      <c r="M173" s="51"/>
      <c r="N173" s="51"/>
      <c r="O173" s="51"/>
      <c r="P173" s="51"/>
      <c r="Q173" s="51"/>
      <c r="R173" s="51"/>
      <c r="S173" s="51"/>
      <c r="T173" s="51"/>
    </row>
    <row r="174">
      <c r="A174" s="51"/>
      <c r="B174" s="51"/>
      <c r="C174" s="56"/>
      <c r="D174" s="51"/>
      <c r="E174" s="51"/>
      <c r="F174" s="51"/>
      <c r="G174" s="51" t="str">
        <f>IFERROR(__xludf.DUMMYFUNCTION("""COMPUTED_VALUE"""),"#VALUE!")</f>
        <v>#VALUE!</v>
      </c>
      <c r="H174" s="51" t="str">
        <f>IFERROR(__xludf.DUMMYFUNCTION("""COMPUTED_VALUE"""),"")</f>
        <v/>
      </c>
      <c r="I174" s="51" t="str">
        <f>IFERROR(__xludf.DUMMYFUNCTION("""COMPUTED_VALUE"""),"#VALUE!")</f>
        <v>#VALUE!</v>
      </c>
      <c r="J174" s="51" t="str">
        <f>IFERROR(__xludf.DUMMYFUNCTION("""COMPUTED_VALUE"""),"")</f>
        <v/>
      </c>
      <c r="K174" s="51"/>
      <c r="L174" s="51" t="s">
        <v>257</v>
      </c>
      <c r="M174" s="51"/>
      <c r="N174" s="51"/>
      <c r="O174" s="51"/>
      <c r="P174" s="51"/>
      <c r="Q174" s="51"/>
      <c r="R174" s="51"/>
      <c r="S174" s="51"/>
      <c r="T174" s="51"/>
    </row>
    <row r="175">
      <c r="A175" s="51"/>
      <c r="B175" s="51"/>
      <c r="C175" s="56"/>
      <c r="D175" s="51"/>
      <c r="E175" s="51"/>
      <c r="F175" s="51"/>
      <c r="G175" s="51" t="str">
        <f>IFERROR(__xludf.DUMMYFUNCTION("""COMPUTED_VALUE"""),"#VALUE!")</f>
        <v>#VALUE!</v>
      </c>
      <c r="H175" s="51" t="str">
        <f>IFERROR(__xludf.DUMMYFUNCTION("""COMPUTED_VALUE"""),"")</f>
        <v/>
      </c>
      <c r="I175" s="51" t="str">
        <f>IFERROR(__xludf.DUMMYFUNCTION("""COMPUTED_VALUE"""),"#VALUE!")</f>
        <v>#VALUE!</v>
      </c>
      <c r="J175" s="51" t="str">
        <f>IFERROR(__xludf.DUMMYFUNCTION("""COMPUTED_VALUE"""),"")</f>
        <v/>
      </c>
      <c r="K175" s="51"/>
      <c r="L175" s="51" t="s">
        <v>257</v>
      </c>
      <c r="M175" s="51"/>
      <c r="N175" s="51"/>
      <c r="O175" s="51"/>
      <c r="P175" s="51"/>
      <c r="Q175" s="51"/>
      <c r="R175" s="51"/>
      <c r="S175" s="51"/>
      <c r="T175" s="51"/>
    </row>
    <row r="176">
      <c r="A176" s="51"/>
      <c r="B176" s="51"/>
      <c r="C176" s="56"/>
      <c r="D176" s="51"/>
      <c r="E176" s="51"/>
      <c r="F176" s="51"/>
      <c r="G176" s="51" t="str">
        <f>IFERROR(__xludf.DUMMYFUNCTION("""COMPUTED_VALUE"""),"#VALUE!")</f>
        <v>#VALUE!</v>
      </c>
      <c r="H176" s="51" t="str">
        <f>IFERROR(__xludf.DUMMYFUNCTION("""COMPUTED_VALUE"""),"")</f>
        <v/>
      </c>
      <c r="I176" s="51" t="str">
        <f>IFERROR(__xludf.DUMMYFUNCTION("""COMPUTED_VALUE"""),"#VALUE!")</f>
        <v>#VALUE!</v>
      </c>
      <c r="J176" s="51" t="str">
        <f>IFERROR(__xludf.DUMMYFUNCTION("""COMPUTED_VALUE"""),"")</f>
        <v/>
      </c>
      <c r="K176" s="51"/>
      <c r="L176" s="51" t="s">
        <v>257</v>
      </c>
      <c r="M176" s="51"/>
      <c r="N176" s="51"/>
      <c r="O176" s="51"/>
      <c r="P176" s="51"/>
      <c r="Q176" s="51"/>
      <c r="R176" s="51"/>
      <c r="S176" s="51"/>
      <c r="T176" s="51"/>
    </row>
    <row r="177">
      <c r="A177" s="51"/>
      <c r="B177" s="51"/>
      <c r="C177" s="56"/>
      <c r="D177" s="51"/>
      <c r="E177" s="51"/>
      <c r="F177" s="51"/>
      <c r="G177" s="51" t="str">
        <f>IFERROR(__xludf.DUMMYFUNCTION("""COMPUTED_VALUE"""),"#VALUE!")</f>
        <v>#VALUE!</v>
      </c>
      <c r="H177" s="51" t="str">
        <f>IFERROR(__xludf.DUMMYFUNCTION("""COMPUTED_VALUE"""),"")</f>
        <v/>
      </c>
      <c r="I177" s="51" t="str">
        <f>IFERROR(__xludf.DUMMYFUNCTION("""COMPUTED_VALUE"""),"#VALUE!")</f>
        <v>#VALUE!</v>
      </c>
      <c r="J177" s="51" t="str">
        <f>IFERROR(__xludf.DUMMYFUNCTION("""COMPUTED_VALUE"""),"")</f>
        <v/>
      </c>
      <c r="K177" s="51"/>
      <c r="L177" s="51" t="s">
        <v>257</v>
      </c>
      <c r="M177" s="51"/>
      <c r="N177" s="51"/>
      <c r="O177" s="51"/>
      <c r="P177" s="51"/>
      <c r="Q177" s="51"/>
      <c r="R177" s="51"/>
      <c r="S177" s="51"/>
      <c r="T177" s="51"/>
    </row>
    <row r="178">
      <c r="A178" s="51"/>
      <c r="B178" s="51"/>
      <c r="C178" s="56"/>
      <c r="D178" s="51"/>
      <c r="E178" s="51"/>
      <c r="F178" s="51"/>
      <c r="G178" s="51" t="str">
        <f>IFERROR(__xludf.DUMMYFUNCTION("""COMPUTED_VALUE"""),"#VALUE!")</f>
        <v>#VALUE!</v>
      </c>
      <c r="H178" s="51" t="str">
        <f>IFERROR(__xludf.DUMMYFUNCTION("""COMPUTED_VALUE"""),"")</f>
        <v/>
      </c>
      <c r="I178" s="51" t="str">
        <f>IFERROR(__xludf.DUMMYFUNCTION("""COMPUTED_VALUE"""),"#VALUE!")</f>
        <v>#VALUE!</v>
      </c>
      <c r="J178" s="51" t="str">
        <f>IFERROR(__xludf.DUMMYFUNCTION("""COMPUTED_VALUE"""),"")</f>
        <v/>
      </c>
      <c r="K178" s="51"/>
      <c r="L178" s="51" t="s">
        <v>257</v>
      </c>
      <c r="M178" s="51"/>
      <c r="N178" s="51"/>
      <c r="O178" s="51"/>
      <c r="P178" s="51"/>
      <c r="Q178" s="51"/>
      <c r="R178" s="51"/>
      <c r="S178" s="51"/>
      <c r="T178" s="51"/>
    </row>
    <row r="179">
      <c r="A179" s="51"/>
      <c r="B179" s="51"/>
      <c r="C179" s="56"/>
      <c r="D179" s="51"/>
      <c r="E179" s="51"/>
      <c r="F179" s="51"/>
      <c r="G179" s="51" t="str">
        <f>IFERROR(__xludf.DUMMYFUNCTION("""COMPUTED_VALUE"""),"#VALUE!")</f>
        <v>#VALUE!</v>
      </c>
      <c r="H179" s="51" t="str">
        <f>IFERROR(__xludf.DUMMYFUNCTION("""COMPUTED_VALUE"""),"")</f>
        <v/>
      </c>
      <c r="I179" s="51" t="str">
        <f>IFERROR(__xludf.DUMMYFUNCTION("""COMPUTED_VALUE"""),"#VALUE!")</f>
        <v>#VALUE!</v>
      </c>
      <c r="J179" s="51" t="str">
        <f>IFERROR(__xludf.DUMMYFUNCTION("""COMPUTED_VALUE"""),"")</f>
        <v/>
      </c>
      <c r="K179" s="51"/>
      <c r="L179" s="51" t="s">
        <v>257</v>
      </c>
      <c r="M179" s="51"/>
      <c r="N179" s="51"/>
      <c r="O179" s="51"/>
      <c r="P179" s="51"/>
      <c r="Q179" s="51"/>
      <c r="R179" s="51"/>
      <c r="S179" s="51"/>
      <c r="T179" s="51"/>
    </row>
    <row r="180">
      <c r="A180" s="51"/>
      <c r="B180" s="51"/>
      <c r="C180" s="56"/>
      <c r="D180" s="51"/>
      <c r="E180" s="51"/>
      <c r="F180" s="51"/>
      <c r="G180" s="51" t="str">
        <f>IFERROR(__xludf.DUMMYFUNCTION("""COMPUTED_VALUE"""),"#VALUE!")</f>
        <v>#VALUE!</v>
      </c>
      <c r="H180" s="51" t="str">
        <f>IFERROR(__xludf.DUMMYFUNCTION("""COMPUTED_VALUE"""),"")</f>
        <v/>
      </c>
      <c r="I180" s="51" t="str">
        <f>IFERROR(__xludf.DUMMYFUNCTION("""COMPUTED_VALUE"""),"#VALUE!")</f>
        <v>#VALUE!</v>
      </c>
      <c r="J180" s="51" t="str">
        <f>IFERROR(__xludf.DUMMYFUNCTION("""COMPUTED_VALUE"""),"")</f>
        <v/>
      </c>
      <c r="K180" s="51"/>
      <c r="L180" s="51" t="s">
        <v>257</v>
      </c>
      <c r="M180" s="51"/>
      <c r="N180" s="51"/>
      <c r="O180" s="51"/>
      <c r="P180" s="51"/>
      <c r="Q180" s="51"/>
      <c r="R180" s="51"/>
      <c r="S180" s="51"/>
      <c r="T180" s="51"/>
    </row>
    <row r="181">
      <c r="A181" s="51"/>
      <c r="B181" s="51"/>
      <c r="C181" s="56"/>
      <c r="D181" s="51"/>
      <c r="E181" s="51"/>
      <c r="F181" s="51"/>
      <c r="G181" s="51" t="str">
        <f>IFERROR(__xludf.DUMMYFUNCTION("""COMPUTED_VALUE"""),"#VALUE!")</f>
        <v>#VALUE!</v>
      </c>
      <c r="H181" s="51" t="str">
        <f>IFERROR(__xludf.DUMMYFUNCTION("""COMPUTED_VALUE"""),"")</f>
        <v/>
      </c>
      <c r="I181" s="51" t="str">
        <f>IFERROR(__xludf.DUMMYFUNCTION("""COMPUTED_VALUE"""),"#VALUE!")</f>
        <v>#VALUE!</v>
      </c>
      <c r="J181" s="51" t="str">
        <f>IFERROR(__xludf.DUMMYFUNCTION("""COMPUTED_VALUE"""),"")</f>
        <v/>
      </c>
      <c r="K181" s="51"/>
      <c r="L181" s="51" t="s">
        <v>257</v>
      </c>
      <c r="M181" s="51"/>
      <c r="N181" s="51"/>
      <c r="O181" s="51"/>
      <c r="P181" s="51"/>
      <c r="Q181" s="51"/>
      <c r="R181" s="51"/>
      <c r="S181" s="51"/>
      <c r="T181" s="51"/>
    </row>
    <row r="182">
      <c r="A182" s="51"/>
      <c r="B182" s="51"/>
      <c r="C182" s="56"/>
      <c r="D182" s="51"/>
      <c r="E182" s="51"/>
      <c r="F182" s="51"/>
      <c r="G182" s="51" t="str">
        <f>IFERROR(__xludf.DUMMYFUNCTION("""COMPUTED_VALUE"""),"#VALUE!")</f>
        <v>#VALUE!</v>
      </c>
      <c r="H182" s="51" t="str">
        <f>IFERROR(__xludf.DUMMYFUNCTION("""COMPUTED_VALUE"""),"")</f>
        <v/>
      </c>
      <c r="I182" s="51" t="str">
        <f>IFERROR(__xludf.DUMMYFUNCTION("""COMPUTED_VALUE"""),"#VALUE!")</f>
        <v>#VALUE!</v>
      </c>
      <c r="J182" s="51" t="str">
        <f>IFERROR(__xludf.DUMMYFUNCTION("""COMPUTED_VALUE"""),"")</f>
        <v/>
      </c>
      <c r="K182" s="51"/>
      <c r="L182" s="51" t="s">
        <v>257</v>
      </c>
      <c r="M182" s="51"/>
      <c r="N182" s="51"/>
      <c r="O182" s="51"/>
      <c r="P182" s="51"/>
      <c r="Q182" s="51"/>
      <c r="R182" s="51"/>
      <c r="S182" s="51"/>
      <c r="T182" s="51"/>
    </row>
    <row r="183">
      <c r="A183" s="51"/>
      <c r="B183" s="51"/>
      <c r="C183" s="56"/>
      <c r="D183" s="51"/>
      <c r="E183" s="51"/>
      <c r="F183" s="51"/>
      <c r="G183" s="51" t="str">
        <f>IFERROR(__xludf.DUMMYFUNCTION("""COMPUTED_VALUE"""),"#VALUE!")</f>
        <v>#VALUE!</v>
      </c>
      <c r="H183" s="51" t="str">
        <f>IFERROR(__xludf.DUMMYFUNCTION("""COMPUTED_VALUE"""),"")</f>
        <v/>
      </c>
      <c r="I183" s="51" t="str">
        <f>IFERROR(__xludf.DUMMYFUNCTION("""COMPUTED_VALUE"""),"#VALUE!")</f>
        <v>#VALUE!</v>
      </c>
      <c r="J183" s="51" t="str">
        <f>IFERROR(__xludf.DUMMYFUNCTION("""COMPUTED_VALUE"""),"")</f>
        <v/>
      </c>
      <c r="K183" s="51"/>
      <c r="L183" s="51" t="s">
        <v>257</v>
      </c>
      <c r="M183" s="51"/>
      <c r="N183" s="51"/>
      <c r="O183" s="51"/>
      <c r="P183" s="51"/>
      <c r="Q183" s="51"/>
      <c r="R183" s="51"/>
      <c r="S183" s="51"/>
      <c r="T183" s="51"/>
    </row>
    <row r="184">
      <c r="A184" s="51"/>
      <c r="B184" s="51"/>
      <c r="C184" s="56"/>
      <c r="D184" s="51"/>
      <c r="E184" s="51"/>
      <c r="F184" s="51"/>
      <c r="G184" s="51" t="str">
        <f>IFERROR(__xludf.DUMMYFUNCTION("""COMPUTED_VALUE"""),"#VALUE!")</f>
        <v>#VALUE!</v>
      </c>
      <c r="H184" s="51" t="str">
        <f>IFERROR(__xludf.DUMMYFUNCTION("""COMPUTED_VALUE"""),"")</f>
        <v/>
      </c>
      <c r="I184" s="51" t="str">
        <f>IFERROR(__xludf.DUMMYFUNCTION("""COMPUTED_VALUE"""),"#VALUE!")</f>
        <v>#VALUE!</v>
      </c>
      <c r="J184" s="51" t="str">
        <f>IFERROR(__xludf.DUMMYFUNCTION("""COMPUTED_VALUE"""),"")</f>
        <v/>
      </c>
      <c r="K184" s="51"/>
      <c r="L184" s="51" t="s">
        <v>257</v>
      </c>
      <c r="M184" s="51"/>
      <c r="N184" s="51"/>
      <c r="O184" s="51"/>
      <c r="P184" s="51"/>
      <c r="Q184" s="51"/>
      <c r="R184" s="51"/>
      <c r="S184" s="51"/>
      <c r="T184" s="51"/>
    </row>
    <row r="185">
      <c r="A185" s="51"/>
      <c r="B185" s="51"/>
      <c r="C185" s="56"/>
      <c r="D185" s="51"/>
      <c r="E185" s="51"/>
      <c r="F185" s="51"/>
      <c r="G185" s="51" t="str">
        <f>IFERROR(__xludf.DUMMYFUNCTION("""COMPUTED_VALUE"""),"#VALUE!")</f>
        <v>#VALUE!</v>
      </c>
      <c r="H185" s="51" t="str">
        <f>IFERROR(__xludf.DUMMYFUNCTION("""COMPUTED_VALUE"""),"")</f>
        <v/>
      </c>
      <c r="I185" s="51" t="str">
        <f>IFERROR(__xludf.DUMMYFUNCTION("""COMPUTED_VALUE"""),"#VALUE!")</f>
        <v>#VALUE!</v>
      </c>
      <c r="J185" s="51" t="str">
        <f>IFERROR(__xludf.DUMMYFUNCTION("""COMPUTED_VALUE"""),"")</f>
        <v/>
      </c>
      <c r="K185" s="51"/>
      <c r="L185" s="51" t="s">
        <v>257</v>
      </c>
      <c r="M185" s="51"/>
      <c r="N185" s="51"/>
      <c r="O185" s="51"/>
      <c r="P185" s="51"/>
      <c r="Q185" s="51"/>
      <c r="R185" s="51"/>
      <c r="S185" s="51"/>
      <c r="T185" s="51"/>
    </row>
    <row r="186">
      <c r="A186" s="51"/>
      <c r="B186" s="51"/>
      <c r="C186" s="56"/>
      <c r="D186" s="51"/>
      <c r="E186" s="51"/>
      <c r="F186" s="51"/>
      <c r="G186" s="51" t="str">
        <f>IFERROR(__xludf.DUMMYFUNCTION("""COMPUTED_VALUE"""),"#VALUE!")</f>
        <v>#VALUE!</v>
      </c>
      <c r="H186" s="51" t="str">
        <f>IFERROR(__xludf.DUMMYFUNCTION("""COMPUTED_VALUE"""),"")</f>
        <v/>
      </c>
      <c r="I186" s="51" t="str">
        <f>IFERROR(__xludf.DUMMYFUNCTION("""COMPUTED_VALUE"""),"#VALUE!")</f>
        <v>#VALUE!</v>
      </c>
      <c r="J186" s="51" t="str">
        <f>IFERROR(__xludf.DUMMYFUNCTION("""COMPUTED_VALUE"""),"")</f>
        <v/>
      </c>
      <c r="K186" s="51"/>
      <c r="L186" s="51" t="s">
        <v>257</v>
      </c>
      <c r="M186" s="51"/>
      <c r="N186" s="51"/>
      <c r="O186" s="51"/>
      <c r="P186" s="51"/>
      <c r="Q186" s="51"/>
      <c r="R186" s="51"/>
      <c r="S186" s="51"/>
      <c r="T186" s="51"/>
    </row>
    <row r="187">
      <c r="A187" s="51"/>
      <c r="B187" s="51"/>
      <c r="C187" s="56"/>
      <c r="D187" s="51"/>
      <c r="E187" s="51"/>
      <c r="F187" s="51"/>
      <c r="G187" s="51" t="str">
        <f>IFERROR(__xludf.DUMMYFUNCTION("""COMPUTED_VALUE"""),"#VALUE!")</f>
        <v>#VALUE!</v>
      </c>
      <c r="H187" s="51" t="str">
        <f>IFERROR(__xludf.DUMMYFUNCTION("""COMPUTED_VALUE"""),"")</f>
        <v/>
      </c>
      <c r="I187" s="51" t="str">
        <f>IFERROR(__xludf.DUMMYFUNCTION("""COMPUTED_VALUE"""),"#VALUE!")</f>
        <v>#VALUE!</v>
      </c>
      <c r="J187" s="51" t="str">
        <f>IFERROR(__xludf.DUMMYFUNCTION("""COMPUTED_VALUE"""),"")</f>
        <v/>
      </c>
      <c r="K187" s="51"/>
      <c r="L187" s="51" t="s">
        <v>257</v>
      </c>
      <c r="M187" s="51"/>
      <c r="N187" s="51"/>
      <c r="O187" s="51"/>
      <c r="P187" s="51"/>
      <c r="Q187" s="51"/>
      <c r="R187" s="51"/>
      <c r="S187" s="51"/>
      <c r="T187" s="51"/>
    </row>
    <row r="188">
      <c r="A188" s="51"/>
      <c r="B188" s="51"/>
      <c r="C188" s="56"/>
      <c r="D188" s="51"/>
      <c r="E188" s="51"/>
      <c r="F188" s="51"/>
      <c r="G188" s="51" t="str">
        <f>IFERROR(__xludf.DUMMYFUNCTION("""COMPUTED_VALUE"""),"#VALUE!")</f>
        <v>#VALUE!</v>
      </c>
      <c r="H188" s="51" t="str">
        <f>IFERROR(__xludf.DUMMYFUNCTION("""COMPUTED_VALUE"""),"")</f>
        <v/>
      </c>
      <c r="I188" s="51" t="str">
        <f>IFERROR(__xludf.DUMMYFUNCTION("""COMPUTED_VALUE"""),"#VALUE!")</f>
        <v>#VALUE!</v>
      </c>
      <c r="J188" s="51" t="str">
        <f>IFERROR(__xludf.DUMMYFUNCTION("""COMPUTED_VALUE"""),"")</f>
        <v/>
      </c>
      <c r="K188" s="51"/>
      <c r="L188" s="51" t="s">
        <v>257</v>
      </c>
      <c r="M188" s="51"/>
      <c r="N188" s="51"/>
      <c r="O188" s="51"/>
      <c r="P188" s="51"/>
      <c r="Q188" s="51"/>
      <c r="R188" s="51"/>
      <c r="S188" s="51"/>
      <c r="T188" s="51"/>
    </row>
    <row r="189">
      <c r="A189" s="51"/>
      <c r="B189" s="51"/>
      <c r="C189" s="56"/>
      <c r="D189" s="51"/>
      <c r="E189" s="51"/>
      <c r="F189" s="51"/>
      <c r="G189" s="51" t="str">
        <f>IFERROR(__xludf.DUMMYFUNCTION("""COMPUTED_VALUE"""),"#VALUE!")</f>
        <v>#VALUE!</v>
      </c>
      <c r="H189" s="51" t="str">
        <f>IFERROR(__xludf.DUMMYFUNCTION("""COMPUTED_VALUE"""),"")</f>
        <v/>
      </c>
      <c r="I189" s="51" t="str">
        <f>IFERROR(__xludf.DUMMYFUNCTION("""COMPUTED_VALUE"""),"#VALUE!")</f>
        <v>#VALUE!</v>
      </c>
      <c r="J189" s="51" t="str">
        <f>IFERROR(__xludf.DUMMYFUNCTION("""COMPUTED_VALUE"""),"")</f>
        <v/>
      </c>
      <c r="K189" s="51"/>
      <c r="L189" s="51" t="s">
        <v>257</v>
      </c>
      <c r="M189" s="51"/>
      <c r="N189" s="51"/>
      <c r="O189" s="51"/>
      <c r="P189" s="51"/>
      <c r="Q189" s="51"/>
      <c r="R189" s="51"/>
      <c r="S189" s="51"/>
      <c r="T189" s="51"/>
    </row>
    <row r="190">
      <c r="A190" s="51"/>
      <c r="B190" s="51"/>
      <c r="C190" s="56"/>
      <c r="D190" s="51"/>
      <c r="E190" s="51"/>
      <c r="F190" s="51"/>
      <c r="G190" s="51" t="str">
        <f>IFERROR(__xludf.DUMMYFUNCTION("""COMPUTED_VALUE"""),"#VALUE!")</f>
        <v>#VALUE!</v>
      </c>
      <c r="H190" s="51" t="str">
        <f>IFERROR(__xludf.DUMMYFUNCTION("""COMPUTED_VALUE"""),"")</f>
        <v/>
      </c>
      <c r="I190" s="51" t="str">
        <f>IFERROR(__xludf.DUMMYFUNCTION("""COMPUTED_VALUE"""),"#VALUE!")</f>
        <v>#VALUE!</v>
      </c>
      <c r="J190" s="51" t="str">
        <f>IFERROR(__xludf.DUMMYFUNCTION("""COMPUTED_VALUE"""),"")</f>
        <v/>
      </c>
      <c r="K190" s="51"/>
      <c r="L190" s="51" t="s">
        <v>257</v>
      </c>
      <c r="M190" s="51"/>
      <c r="N190" s="51"/>
      <c r="O190" s="51"/>
      <c r="P190" s="51"/>
      <c r="Q190" s="51"/>
      <c r="R190" s="51"/>
      <c r="S190" s="51"/>
      <c r="T190" s="51"/>
    </row>
    <row r="191">
      <c r="A191" s="51"/>
      <c r="B191" s="51"/>
      <c r="C191" s="56"/>
      <c r="D191" s="51"/>
      <c r="E191" s="51"/>
      <c r="F191" s="51"/>
      <c r="G191" s="51" t="str">
        <f>IFERROR(__xludf.DUMMYFUNCTION("""COMPUTED_VALUE"""),"#VALUE!")</f>
        <v>#VALUE!</v>
      </c>
      <c r="H191" s="51" t="str">
        <f>IFERROR(__xludf.DUMMYFUNCTION("""COMPUTED_VALUE"""),"")</f>
        <v/>
      </c>
      <c r="I191" s="51" t="str">
        <f>IFERROR(__xludf.DUMMYFUNCTION("""COMPUTED_VALUE"""),"#VALUE!")</f>
        <v>#VALUE!</v>
      </c>
      <c r="J191" s="51" t="str">
        <f>IFERROR(__xludf.DUMMYFUNCTION("""COMPUTED_VALUE"""),"")</f>
        <v/>
      </c>
      <c r="K191" s="51"/>
      <c r="L191" s="51" t="s">
        <v>257</v>
      </c>
      <c r="M191" s="51"/>
      <c r="N191" s="51"/>
      <c r="O191" s="51"/>
      <c r="P191" s="51"/>
      <c r="Q191" s="51"/>
      <c r="R191" s="51"/>
      <c r="S191" s="51"/>
      <c r="T191" s="51"/>
    </row>
    <row r="192">
      <c r="A192" s="51"/>
      <c r="B192" s="51"/>
      <c r="C192" s="56"/>
      <c r="D192" s="51"/>
      <c r="E192" s="51"/>
      <c r="F192" s="51"/>
      <c r="G192" s="51" t="str">
        <f>IFERROR(__xludf.DUMMYFUNCTION("""COMPUTED_VALUE"""),"#VALUE!")</f>
        <v>#VALUE!</v>
      </c>
      <c r="H192" s="51" t="str">
        <f>IFERROR(__xludf.DUMMYFUNCTION("""COMPUTED_VALUE"""),"")</f>
        <v/>
      </c>
      <c r="I192" s="51" t="str">
        <f>IFERROR(__xludf.DUMMYFUNCTION("""COMPUTED_VALUE"""),"#VALUE!")</f>
        <v>#VALUE!</v>
      </c>
      <c r="J192" s="51" t="str">
        <f>IFERROR(__xludf.DUMMYFUNCTION("""COMPUTED_VALUE"""),"")</f>
        <v/>
      </c>
      <c r="K192" s="51"/>
      <c r="L192" s="51" t="s">
        <v>257</v>
      </c>
      <c r="M192" s="51"/>
      <c r="N192" s="51"/>
      <c r="O192" s="51"/>
      <c r="P192" s="51"/>
      <c r="Q192" s="51"/>
      <c r="R192" s="51"/>
      <c r="S192" s="51"/>
      <c r="T192" s="51"/>
    </row>
    <row r="193">
      <c r="A193" s="51"/>
      <c r="B193" s="51"/>
      <c r="C193" s="56"/>
      <c r="D193" s="51"/>
      <c r="E193" s="51"/>
      <c r="F193" s="51"/>
      <c r="G193" s="51" t="str">
        <f>IFERROR(__xludf.DUMMYFUNCTION("""COMPUTED_VALUE"""),"#VALUE!")</f>
        <v>#VALUE!</v>
      </c>
      <c r="H193" s="51" t="str">
        <f>IFERROR(__xludf.DUMMYFUNCTION("""COMPUTED_VALUE"""),"")</f>
        <v/>
      </c>
      <c r="I193" s="51" t="str">
        <f>IFERROR(__xludf.DUMMYFUNCTION("""COMPUTED_VALUE"""),"#VALUE!")</f>
        <v>#VALUE!</v>
      </c>
      <c r="J193" s="51" t="str">
        <f>IFERROR(__xludf.DUMMYFUNCTION("""COMPUTED_VALUE"""),"")</f>
        <v/>
      </c>
      <c r="K193" s="51"/>
      <c r="L193" s="51" t="s">
        <v>257</v>
      </c>
      <c r="M193" s="51"/>
      <c r="N193" s="51"/>
      <c r="O193" s="51"/>
      <c r="P193" s="51"/>
      <c r="Q193" s="51"/>
      <c r="R193" s="51"/>
      <c r="S193" s="51"/>
      <c r="T193" s="51"/>
    </row>
    <row r="194">
      <c r="A194" s="51"/>
      <c r="B194" s="51"/>
      <c r="C194" s="56"/>
      <c r="D194" s="51"/>
      <c r="E194" s="51"/>
      <c r="F194" s="51"/>
      <c r="G194" s="51" t="str">
        <f>IFERROR(__xludf.DUMMYFUNCTION("""COMPUTED_VALUE"""),"#VALUE!")</f>
        <v>#VALUE!</v>
      </c>
      <c r="H194" s="51" t="str">
        <f>IFERROR(__xludf.DUMMYFUNCTION("""COMPUTED_VALUE"""),"")</f>
        <v/>
      </c>
      <c r="I194" s="51" t="str">
        <f>IFERROR(__xludf.DUMMYFUNCTION("""COMPUTED_VALUE"""),"#VALUE!")</f>
        <v>#VALUE!</v>
      </c>
      <c r="J194" s="51" t="str">
        <f>IFERROR(__xludf.DUMMYFUNCTION("""COMPUTED_VALUE"""),"")</f>
        <v/>
      </c>
      <c r="K194" s="51"/>
      <c r="L194" s="51" t="s">
        <v>257</v>
      </c>
      <c r="M194" s="51"/>
      <c r="N194" s="51"/>
      <c r="O194" s="51"/>
      <c r="P194" s="51"/>
      <c r="Q194" s="51"/>
      <c r="R194" s="51"/>
      <c r="S194" s="51"/>
      <c r="T194" s="51"/>
    </row>
    <row r="195">
      <c r="A195" s="51"/>
      <c r="B195" s="51"/>
      <c r="C195" s="56"/>
      <c r="D195" s="51"/>
      <c r="E195" s="51"/>
      <c r="F195" s="51"/>
      <c r="G195" s="51" t="str">
        <f>IFERROR(__xludf.DUMMYFUNCTION("""COMPUTED_VALUE"""),"#VALUE!")</f>
        <v>#VALUE!</v>
      </c>
      <c r="H195" s="51" t="str">
        <f>IFERROR(__xludf.DUMMYFUNCTION("""COMPUTED_VALUE"""),"")</f>
        <v/>
      </c>
      <c r="I195" s="51" t="str">
        <f>IFERROR(__xludf.DUMMYFUNCTION("""COMPUTED_VALUE"""),"#VALUE!")</f>
        <v>#VALUE!</v>
      </c>
      <c r="J195" s="51" t="str">
        <f>IFERROR(__xludf.DUMMYFUNCTION("""COMPUTED_VALUE"""),"")</f>
        <v/>
      </c>
      <c r="K195" s="51"/>
      <c r="L195" s="51" t="s">
        <v>257</v>
      </c>
      <c r="M195" s="51"/>
      <c r="N195" s="51"/>
      <c r="O195" s="51"/>
      <c r="P195" s="51"/>
      <c r="Q195" s="51"/>
      <c r="R195" s="51"/>
      <c r="S195" s="51"/>
      <c r="T195" s="51"/>
    </row>
    <row r="196">
      <c r="A196" s="51"/>
      <c r="B196" s="51"/>
      <c r="C196" s="56"/>
      <c r="D196" s="51"/>
      <c r="E196" s="51"/>
      <c r="F196" s="51"/>
      <c r="G196" s="51" t="str">
        <f>IFERROR(__xludf.DUMMYFUNCTION("""COMPUTED_VALUE"""),"#VALUE!")</f>
        <v>#VALUE!</v>
      </c>
      <c r="H196" s="51" t="str">
        <f>IFERROR(__xludf.DUMMYFUNCTION("""COMPUTED_VALUE"""),"")</f>
        <v/>
      </c>
      <c r="I196" s="51" t="str">
        <f>IFERROR(__xludf.DUMMYFUNCTION("""COMPUTED_VALUE"""),"#VALUE!")</f>
        <v>#VALUE!</v>
      </c>
      <c r="J196" s="51" t="str">
        <f>IFERROR(__xludf.DUMMYFUNCTION("""COMPUTED_VALUE"""),"")</f>
        <v/>
      </c>
      <c r="K196" s="51"/>
      <c r="L196" s="51" t="s">
        <v>257</v>
      </c>
      <c r="M196" s="51"/>
      <c r="N196" s="51"/>
      <c r="O196" s="51"/>
      <c r="P196" s="51"/>
      <c r="Q196" s="51"/>
      <c r="R196" s="51"/>
      <c r="S196" s="51"/>
      <c r="T196" s="51"/>
    </row>
    <row r="197">
      <c r="A197" s="51"/>
      <c r="B197" s="51"/>
      <c r="C197" s="56"/>
      <c r="D197" s="51"/>
      <c r="E197" s="51"/>
      <c r="F197" s="51"/>
      <c r="G197" s="51" t="str">
        <f>IFERROR(__xludf.DUMMYFUNCTION("""COMPUTED_VALUE"""),"#VALUE!")</f>
        <v>#VALUE!</v>
      </c>
      <c r="H197" s="51" t="str">
        <f>IFERROR(__xludf.DUMMYFUNCTION("""COMPUTED_VALUE"""),"")</f>
        <v/>
      </c>
      <c r="I197" s="51" t="str">
        <f>IFERROR(__xludf.DUMMYFUNCTION("""COMPUTED_VALUE"""),"#VALUE!")</f>
        <v>#VALUE!</v>
      </c>
      <c r="J197" s="51" t="str">
        <f>IFERROR(__xludf.DUMMYFUNCTION("""COMPUTED_VALUE"""),"")</f>
        <v/>
      </c>
      <c r="K197" s="51"/>
      <c r="L197" s="51" t="s">
        <v>257</v>
      </c>
      <c r="M197" s="51"/>
      <c r="N197" s="51"/>
      <c r="O197" s="51"/>
      <c r="P197" s="51"/>
      <c r="Q197" s="51"/>
      <c r="R197" s="51"/>
      <c r="S197" s="51"/>
      <c r="T197" s="51"/>
    </row>
    <row r="198">
      <c r="A198" s="51"/>
      <c r="B198" s="51"/>
      <c r="C198" s="56"/>
      <c r="D198" s="51"/>
      <c r="E198" s="51"/>
      <c r="F198" s="51"/>
      <c r="G198" s="51" t="str">
        <f>IFERROR(__xludf.DUMMYFUNCTION("""COMPUTED_VALUE"""),"#VALUE!")</f>
        <v>#VALUE!</v>
      </c>
      <c r="H198" s="51" t="str">
        <f>IFERROR(__xludf.DUMMYFUNCTION("""COMPUTED_VALUE"""),"")</f>
        <v/>
      </c>
      <c r="I198" s="51" t="str">
        <f>IFERROR(__xludf.DUMMYFUNCTION("""COMPUTED_VALUE"""),"#VALUE!")</f>
        <v>#VALUE!</v>
      </c>
      <c r="J198" s="51" t="str">
        <f>IFERROR(__xludf.DUMMYFUNCTION("""COMPUTED_VALUE"""),"")</f>
        <v/>
      </c>
      <c r="K198" s="51"/>
      <c r="L198" s="51" t="s">
        <v>257</v>
      </c>
      <c r="M198" s="51"/>
      <c r="N198" s="51"/>
      <c r="O198" s="51"/>
      <c r="P198" s="51"/>
      <c r="Q198" s="51"/>
      <c r="R198" s="51"/>
      <c r="S198" s="51"/>
      <c r="T198" s="51"/>
    </row>
    <row r="199">
      <c r="A199" s="51"/>
      <c r="B199" s="51"/>
      <c r="C199" s="56"/>
      <c r="D199" s="51"/>
      <c r="E199" s="51"/>
      <c r="F199" s="51"/>
      <c r="G199" s="51" t="str">
        <f>IFERROR(__xludf.DUMMYFUNCTION("""COMPUTED_VALUE"""),"#VALUE!")</f>
        <v>#VALUE!</v>
      </c>
      <c r="H199" s="51" t="str">
        <f>IFERROR(__xludf.DUMMYFUNCTION("""COMPUTED_VALUE"""),"")</f>
        <v/>
      </c>
      <c r="I199" s="51" t="str">
        <f>IFERROR(__xludf.DUMMYFUNCTION("""COMPUTED_VALUE"""),"#VALUE!")</f>
        <v>#VALUE!</v>
      </c>
      <c r="J199" s="51" t="str">
        <f>IFERROR(__xludf.DUMMYFUNCTION("""COMPUTED_VALUE"""),"")</f>
        <v/>
      </c>
      <c r="K199" s="51"/>
      <c r="L199" s="51" t="s">
        <v>257</v>
      </c>
      <c r="M199" s="51"/>
      <c r="N199" s="51"/>
      <c r="O199" s="51"/>
      <c r="P199" s="51"/>
      <c r="Q199" s="51"/>
      <c r="R199" s="51"/>
      <c r="S199" s="51"/>
      <c r="T199" s="51"/>
    </row>
    <row r="200">
      <c r="A200" s="51"/>
      <c r="B200" s="51"/>
      <c r="C200" s="56"/>
      <c r="D200" s="51"/>
      <c r="E200" s="51"/>
      <c r="F200" s="51"/>
      <c r="G200" s="51" t="str">
        <f>IFERROR(__xludf.DUMMYFUNCTION("""COMPUTED_VALUE"""),"#VALUE!")</f>
        <v>#VALUE!</v>
      </c>
      <c r="H200" s="51" t="str">
        <f>IFERROR(__xludf.DUMMYFUNCTION("""COMPUTED_VALUE"""),"")</f>
        <v/>
      </c>
      <c r="I200" s="51" t="str">
        <f>IFERROR(__xludf.DUMMYFUNCTION("""COMPUTED_VALUE"""),"#VALUE!")</f>
        <v>#VALUE!</v>
      </c>
      <c r="J200" s="51" t="str">
        <f>IFERROR(__xludf.DUMMYFUNCTION("""COMPUTED_VALUE"""),"")</f>
        <v/>
      </c>
      <c r="K200" s="51"/>
      <c r="L200" s="51" t="s">
        <v>257</v>
      </c>
      <c r="M200" s="51"/>
      <c r="N200" s="51"/>
      <c r="O200" s="51"/>
      <c r="P200" s="51"/>
      <c r="Q200" s="51"/>
      <c r="R200" s="51"/>
      <c r="S200" s="51"/>
      <c r="T200" s="51"/>
    </row>
    <row r="201">
      <c r="A201" s="51"/>
      <c r="B201" s="51"/>
      <c r="C201" s="56"/>
      <c r="D201" s="51"/>
      <c r="E201" s="51"/>
      <c r="F201" s="51"/>
      <c r="G201" s="51" t="str">
        <f>IFERROR(__xludf.DUMMYFUNCTION("""COMPUTED_VALUE"""),"#VALUE!")</f>
        <v>#VALUE!</v>
      </c>
      <c r="H201" s="51" t="str">
        <f>IFERROR(__xludf.DUMMYFUNCTION("""COMPUTED_VALUE"""),"")</f>
        <v/>
      </c>
      <c r="I201" s="51" t="str">
        <f>IFERROR(__xludf.DUMMYFUNCTION("""COMPUTED_VALUE"""),"#VALUE!")</f>
        <v>#VALUE!</v>
      </c>
      <c r="J201" s="51" t="str">
        <f>IFERROR(__xludf.DUMMYFUNCTION("""COMPUTED_VALUE"""),"")</f>
        <v/>
      </c>
      <c r="K201" s="51"/>
      <c r="L201" s="51" t="s">
        <v>257</v>
      </c>
      <c r="M201" s="51"/>
      <c r="N201" s="51"/>
      <c r="O201" s="51"/>
      <c r="P201" s="51"/>
      <c r="Q201" s="51"/>
      <c r="R201" s="51"/>
      <c r="S201" s="51"/>
      <c r="T201" s="51"/>
    </row>
    <row r="202">
      <c r="A202" s="51"/>
      <c r="B202" s="51"/>
      <c r="C202" s="56"/>
      <c r="D202" s="51"/>
      <c r="E202" s="51"/>
      <c r="F202" s="51"/>
      <c r="G202" s="51" t="str">
        <f>IFERROR(__xludf.DUMMYFUNCTION("""COMPUTED_VALUE"""),"#VALUE!")</f>
        <v>#VALUE!</v>
      </c>
      <c r="H202" s="51" t="str">
        <f>IFERROR(__xludf.DUMMYFUNCTION("""COMPUTED_VALUE"""),"")</f>
        <v/>
      </c>
      <c r="I202" s="51" t="str">
        <f>IFERROR(__xludf.DUMMYFUNCTION("""COMPUTED_VALUE"""),"#VALUE!")</f>
        <v>#VALUE!</v>
      </c>
      <c r="J202" s="51" t="str">
        <f>IFERROR(__xludf.DUMMYFUNCTION("""COMPUTED_VALUE"""),"")</f>
        <v/>
      </c>
      <c r="K202" s="51"/>
      <c r="L202" s="51" t="s">
        <v>257</v>
      </c>
      <c r="M202" s="51"/>
      <c r="N202" s="51"/>
      <c r="O202" s="51"/>
      <c r="P202" s="51"/>
      <c r="Q202" s="51"/>
      <c r="R202" s="51"/>
      <c r="S202" s="51"/>
      <c r="T202" s="51"/>
    </row>
    <row r="203">
      <c r="A203" s="51"/>
      <c r="B203" s="51"/>
      <c r="C203" s="56"/>
      <c r="D203" s="51"/>
      <c r="E203" s="51"/>
      <c r="F203" s="51"/>
      <c r="G203" s="51" t="str">
        <f>IFERROR(__xludf.DUMMYFUNCTION("""COMPUTED_VALUE"""),"#VALUE!")</f>
        <v>#VALUE!</v>
      </c>
      <c r="H203" s="51" t="str">
        <f>IFERROR(__xludf.DUMMYFUNCTION("""COMPUTED_VALUE"""),"")</f>
        <v/>
      </c>
      <c r="I203" s="51" t="str">
        <f>IFERROR(__xludf.DUMMYFUNCTION("""COMPUTED_VALUE"""),"#VALUE!")</f>
        <v>#VALUE!</v>
      </c>
      <c r="J203" s="51" t="str">
        <f>IFERROR(__xludf.DUMMYFUNCTION("""COMPUTED_VALUE"""),"")</f>
        <v/>
      </c>
      <c r="K203" s="51"/>
      <c r="L203" s="51" t="s">
        <v>257</v>
      </c>
      <c r="M203" s="51"/>
      <c r="N203" s="51"/>
      <c r="O203" s="51"/>
      <c r="P203" s="51"/>
      <c r="Q203" s="51"/>
      <c r="R203" s="51"/>
      <c r="S203" s="51"/>
      <c r="T203" s="51"/>
    </row>
    <row r="204">
      <c r="A204" s="51"/>
      <c r="B204" s="51"/>
      <c r="C204" s="56"/>
      <c r="D204" s="51"/>
      <c r="E204" s="51"/>
      <c r="F204" s="51"/>
      <c r="G204" s="51" t="str">
        <f>IFERROR(__xludf.DUMMYFUNCTION("""COMPUTED_VALUE"""),"#VALUE!")</f>
        <v>#VALUE!</v>
      </c>
      <c r="H204" s="51" t="str">
        <f>IFERROR(__xludf.DUMMYFUNCTION("""COMPUTED_VALUE"""),"")</f>
        <v/>
      </c>
      <c r="I204" s="51" t="str">
        <f>IFERROR(__xludf.DUMMYFUNCTION("""COMPUTED_VALUE"""),"#VALUE!")</f>
        <v>#VALUE!</v>
      </c>
      <c r="J204" s="51" t="str">
        <f>IFERROR(__xludf.DUMMYFUNCTION("""COMPUTED_VALUE"""),"")</f>
        <v/>
      </c>
      <c r="K204" s="51"/>
      <c r="L204" s="51" t="s">
        <v>257</v>
      </c>
      <c r="M204" s="51"/>
      <c r="N204" s="51"/>
      <c r="O204" s="51"/>
      <c r="P204" s="51"/>
      <c r="Q204" s="51"/>
      <c r="R204" s="51"/>
      <c r="S204" s="51"/>
      <c r="T204" s="51"/>
    </row>
    <row r="205">
      <c r="A205" s="51"/>
      <c r="B205" s="51"/>
      <c r="C205" s="56"/>
      <c r="D205" s="51"/>
      <c r="E205" s="51"/>
      <c r="F205" s="51"/>
      <c r="G205" s="51" t="str">
        <f>IFERROR(__xludf.DUMMYFUNCTION("""COMPUTED_VALUE"""),"#VALUE!")</f>
        <v>#VALUE!</v>
      </c>
      <c r="H205" s="51" t="str">
        <f>IFERROR(__xludf.DUMMYFUNCTION("""COMPUTED_VALUE"""),"")</f>
        <v/>
      </c>
      <c r="I205" s="51" t="str">
        <f>IFERROR(__xludf.DUMMYFUNCTION("""COMPUTED_VALUE"""),"#VALUE!")</f>
        <v>#VALUE!</v>
      </c>
      <c r="J205" s="51" t="str">
        <f>IFERROR(__xludf.DUMMYFUNCTION("""COMPUTED_VALUE"""),"")</f>
        <v/>
      </c>
      <c r="K205" s="51"/>
      <c r="L205" s="51" t="s">
        <v>257</v>
      </c>
      <c r="M205" s="51"/>
      <c r="N205" s="51"/>
      <c r="O205" s="51"/>
      <c r="P205" s="51"/>
      <c r="Q205" s="51"/>
      <c r="R205" s="51"/>
      <c r="S205" s="51"/>
      <c r="T205" s="51"/>
    </row>
    <row r="206">
      <c r="A206" s="51"/>
      <c r="B206" s="51"/>
      <c r="C206" s="56"/>
      <c r="D206" s="51"/>
      <c r="E206" s="51"/>
      <c r="F206" s="51"/>
      <c r="G206" s="51" t="str">
        <f>IFERROR(__xludf.DUMMYFUNCTION("""COMPUTED_VALUE"""),"#VALUE!")</f>
        <v>#VALUE!</v>
      </c>
      <c r="H206" s="51" t="str">
        <f>IFERROR(__xludf.DUMMYFUNCTION("""COMPUTED_VALUE"""),"")</f>
        <v/>
      </c>
      <c r="I206" s="51" t="str">
        <f>IFERROR(__xludf.DUMMYFUNCTION("""COMPUTED_VALUE"""),"#VALUE!")</f>
        <v>#VALUE!</v>
      </c>
      <c r="J206" s="51" t="str">
        <f>IFERROR(__xludf.DUMMYFUNCTION("""COMPUTED_VALUE"""),"")</f>
        <v/>
      </c>
      <c r="K206" s="51"/>
      <c r="L206" s="51" t="s">
        <v>257</v>
      </c>
      <c r="M206" s="51"/>
      <c r="N206" s="51"/>
      <c r="O206" s="51"/>
      <c r="P206" s="51"/>
      <c r="Q206" s="51"/>
      <c r="R206" s="51"/>
      <c r="S206" s="51"/>
      <c r="T206" s="51"/>
    </row>
    <row r="207">
      <c r="A207" s="51"/>
      <c r="B207" s="51"/>
      <c r="C207" s="56"/>
      <c r="D207" s="51"/>
      <c r="E207" s="51"/>
      <c r="F207" s="51"/>
      <c r="G207" s="51" t="str">
        <f>IFERROR(__xludf.DUMMYFUNCTION("""COMPUTED_VALUE"""),"#VALUE!")</f>
        <v>#VALUE!</v>
      </c>
      <c r="H207" s="51" t="str">
        <f>IFERROR(__xludf.DUMMYFUNCTION("""COMPUTED_VALUE"""),"")</f>
        <v/>
      </c>
      <c r="I207" s="51" t="str">
        <f>IFERROR(__xludf.DUMMYFUNCTION("""COMPUTED_VALUE"""),"#VALUE!")</f>
        <v>#VALUE!</v>
      </c>
      <c r="J207" s="51" t="str">
        <f>IFERROR(__xludf.DUMMYFUNCTION("""COMPUTED_VALUE"""),"")</f>
        <v/>
      </c>
      <c r="K207" s="51"/>
      <c r="L207" s="51" t="s">
        <v>257</v>
      </c>
      <c r="M207" s="51"/>
      <c r="N207" s="51"/>
      <c r="O207" s="51"/>
      <c r="P207" s="51"/>
      <c r="Q207" s="51"/>
      <c r="R207" s="51"/>
      <c r="S207" s="51"/>
      <c r="T207" s="51"/>
    </row>
    <row r="208">
      <c r="A208" s="51"/>
      <c r="B208" s="51"/>
      <c r="C208" s="56"/>
      <c r="D208" s="51"/>
      <c r="E208" s="51"/>
      <c r="F208" s="51"/>
      <c r="G208" s="51" t="str">
        <f>IFERROR(__xludf.DUMMYFUNCTION("""COMPUTED_VALUE"""),"#VALUE!")</f>
        <v>#VALUE!</v>
      </c>
      <c r="H208" s="51" t="str">
        <f>IFERROR(__xludf.DUMMYFUNCTION("""COMPUTED_VALUE"""),"")</f>
        <v/>
      </c>
      <c r="I208" s="51" t="str">
        <f>IFERROR(__xludf.DUMMYFUNCTION("""COMPUTED_VALUE"""),"#VALUE!")</f>
        <v>#VALUE!</v>
      </c>
      <c r="J208" s="51" t="str">
        <f>IFERROR(__xludf.DUMMYFUNCTION("""COMPUTED_VALUE"""),"")</f>
        <v/>
      </c>
      <c r="K208" s="51"/>
      <c r="L208" s="51" t="s">
        <v>257</v>
      </c>
      <c r="M208" s="51"/>
      <c r="N208" s="51"/>
      <c r="O208" s="51"/>
      <c r="P208" s="51"/>
      <c r="Q208" s="51"/>
      <c r="R208" s="51"/>
      <c r="S208" s="51"/>
      <c r="T208" s="51"/>
    </row>
    <row r="209">
      <c r="A209" s="51"/>
      <c r="B209" s="51"/>
      <c r="C209" s="56"/>
      <c r="D209" s="51"/>
      <c r="E209" s="51"/>
      <c r="F209" s="51"/>
      <c r="G209" s="51" t="str">
        <f>IFERROR(__xludf.DUMMYFUNCTION("""COMPUTED_VALUE"""),"#VALUE!")</f>
        <v>#VALUE!</v>
      </c>
      <c r="H209" s="51" t="str">
        <f>IFERROR(__xludf.DUMMYFUNCTION("""COMPUTED_VALUE"""),"")</f>
        <v/>
      </c>
      <c r="I209" s="51" t="str">
        <f>IFERROR(__xludf.DUMMYFUNCTION("""COMPUTED_VALUE"""),"#VALUE!")</f>
        <v>#VALUE!</v>
      </c>
      <c r="J209" s="51" t="str">
        <f>IFERROR(__xludf.DUMMYFUNCTION("""COMPUTED_VALUE"""),"")</f>
        <v/>
      </c>
      <c r="K209" s="51"/>
      <c r="L209" s="51" t="s">
        <v>257</v>
      </c>
      <c r="M209" s="51"/>
      <c r="N209" s="51"/>
      <c r="O209" s="51"/>
      <c r="P209" s="51"/>
      <c r="Q209" s="51"/>
      <c r="R209" s="51"/>
      <c r="S209" s="51"/>
      <c r="T209" s="51"/>
    </row>
    <row r="210">
      <c r="A210" s="51"/>
      <c r="B210" s="51"/>
      <c r="C210" s="56"/>
      <c r="D210" s="51"/>
      <c r="E210" s="51"/>
      <c r="F210" s="51"/>
      <c r="G210" s="51" t="str">
        <f>IFERROR(__xludf.DUMMYFUNCTION("""COMPUTED_VALUE"""),"#VALUE!")</f>
        <v>#VALUE!</v>
      </c>
      <c r="H210" s="51" t="str">
        <f>IFERROR(__xludf.DUMMYFUNCTION("""COMPUTED_VALUE"""),"")</f>
        <v/>
      </c>
      <c r="I210" s="51" t="str">
        <f>IFERROR(__xludf.DUMMYFUNCTION("""COMPUTED_VALUE"""),"#VALUE!")</f>
        <v>#VALUE!</v>
      </c>
      <c r="J210" s="51" t="str">
        <f>IFERROR(__xludf.DUMMYFUNCTION("""COMPUTED_VALUE"""),"")</f>
        <v/>
      </c>
      <c r="K210" s="51"/>
      <c r="L210" s="51" t="s">
        <v>257</v>
      </c>
      <c r="M210" s="51"/>
      <c r="N210" s="51"/>
      <c r="O210" s="51"/>
      <c r="P210" s="51"/>
      <c r="Q210" s="51"/>
      <c r="R210" s="51"/>
      <c r="S210" s="51"/>
      <c r="T210" s="51"/>
    </row>
    <row r="211">
      <c r="A211" s="51"/>
      <c r="B211" s="51"/>
      <c r="C211" s="56"/>
      <c r="D211" s="51"/>
      <c r="E211" s="51"/>
      <c r="F211" s="51"/>
      <c r="G211" s="51" t="str">
        <f>IFERROR(__xludf.DUMMYFUNCTION("""COMPUTED_VALUE"""),"#VALUE!")</f>
        <v>#VALUE!</v>
      </c>
      <c r="H211" s="51" t="str">
        <f>IFERROR(__xludf.DUMMYFUNCTION("""COMPUTED_VALUE"""),"")</f>
        <v/>
      </c>
      <c r="I211" s="51" t="str">
        <f>IFERROR(__xludf.DUMMYFUNCTION("""COMPUTED_VALUE"""),"#VALUE!")</f>
        <v>#VALUE!</v>
      </c>
      <c r="J211" s="51" t="str">
        <f>IFERROR(__xludf.DUMMYFUNCTION("""COMPUTED_VALUE"""),"")</f>
        <v/>
      </c>
      <c r="K211" s="51"/>
      <c r="L211" s="51" t="s">
        <v>257</v>
      </c>
      <c r="M211" s="51"/>
      <c r="N211" s="51"/>
      <c r="O211" s="51"/>
      <c r="P211" s="51"/>
      <c r="Q211" s="51"/>
      <c r="R211" s="51"/>
      <c r="S211" s="51"/>
      <c r="T211" s="51"/>
    </row>
    <row r="212">
      <c r="A212" s="51"/>
      <c r="B212" s="51"/>
      <c r="C212" s="56"/>
      <c r="D212" s="51"/>
      <c r="E212" s="51"/>
      <c r="F212" s="51"/>
      <c r="G212" s="51" t="str">
        <f>IFERROR(__xludf.DUMMYFUNCTION("""COMPUTED_VALUE"""),"#VALUE!")</f>
        <v>#VALUE!</v>
      </c>
      <c r="H212" s="51" t="str">
        <f>IFERROR(__xludf.DUMMYFUNCTION("""COMPUTED_VALUE"""),"")</f>
        <v/>
      </c>
      <c r="I212" s="51" t="str">
        <f>IFERROR(__xludf.DUMMYFUNCTION("""COMPUTED_VALUE"""),"#VALUE!")</f>
        <v>#VALUE!</v>
      </c>
      <c r="J212" s="51" t="str">
        <f>IFERROR(__xludf.DUMMYFUNCTION("""COMPUTED_VALUE"""),"")</f>
        <v/>
      </c>
      <c r="K212" s="51"/>
      <c r="L212" s="51" t="s">
        <v>257</v>
      </c>
      <c r="M212" s="51"/>
      <c r="N212" s="51"/>
      <c r="O212" s="51"/>
      <c r="P212" s="51"/>
      <c r="Q212" s="51"/>
      <c r="R212" s="51"/>
      <c r="S212" s="51"/>
      <c r="T212" s="51"/>
    </row>
    <row r="213">
      <c r="A213" s="51"/>
      <c r="B213" s="51"/>
      <c r="C213" s="56"/>
      <c r="D213" s="51"/>
      <c r="E213" s="51"/>
      <c r="F213" s="51"/>
      <c r="G213" s="51" t="str">
        <f>IFERROR(__xludf.DUMMYFUNCTION("""COMPUTED_VALUE"""),"#VALUE!")</f>
        <v>#VALUE!</v>
      </c>
      <c r="H213" s="51" t="str">
        <f>IFERROR(__xludf.DUMMYFUNCTION("""COMPUTED_VALUE"""),"")</f>
        <v/>
      </c>
      <c r="I213" s="51" t="str">
        <f>IFERROR(__xludf.DUMMYFUNCTION("""COMPUTED_VALUE"""),"#VALUE!")</f>
        <v>#VALUE!</v>
      </c>
      <c r="J213" s="51" t="str">
        <f>IFERROR(__xludf.DUMMYFUNCTION("""COMPUTED_VALUE"""),"")</f>
        <v/>
      </c>
      <c r="K213" s="51"/>
      <c r="L213" s="51" t="s">
        <v>257</v>
      </c>
      <c r="M213" s="51"/>
      <c r="N213" s="51"/>
      <c r="O213" s="51"/>
      <c r="P213" s="51"/>
      <c r="Q213" s="51"/>
      <c r="R213" s="51"/>
      <c r="S213" s="51"/>
      <c r="T213" s="51"/>
    </row>
    <row r="214">
      <c r="A214" s="51"/>
      <c r="B214" s="51"/>
      <c r="C214" s="56"/>
      <c r="D214" s="51"/>
      <c r="E214" s="51"/>
      <c r="F214" s="51"/>
      <c r="G214" s="51" t="str">
        <f>IFERROR(__xludf.DUMMYFUNCTION("""COMPUTED_VALUE"""),"#VALUE!")</f>
        <v>#VALUE!</v>
      </c>
      <c r="H214" s="51" t="str">
        <f>IFERROR(__xludf.DUMMYFUNCTION("""COMPUTED_VALUE"""),"")</f>
        <v/>
      </c>
      <c r="I214" s="51" t="str">
        <f>IFERROR(__xludf.DUMMYFUNCTION("""COMPUTED_VALUE"""),"#VALUE!")</f>
        <v>#VALUE!</v>
      </c>
      <c r="J214" s="51" t="str">
        <f>IFERROR(__xludf.DUMMYFUNCTION("""COMPUTED_VALUE"""),"")</f>
        <v/>
      </c>
      <c r="K214" s="51"/>
      <c r="L214" s="51" t="s">
        <v>257</v>
      </c>
      <c r="M214" s="51"/>
      <c r="N214" s="51"/>
      <c r="O214" s="51"/>
      <c r="P214" s="51"/>
      <c r="Q214" s="51"/>
      <c r="R214" s="51"/>
      <c r="S214" s="51"/>
      <c r="T214" s="51"/>
    </row>
    <row r="215">
      <c r="A215" s="51"/>
      <c r="B215" s="51"/>
      <c r="C215" s="56"/>
      <c r="D215" s="51"/>
      <c r="E215" s="51"/>
      <c r="F215" s="51"/>
      <c r="G215" s="51" t="str">
        <f>IFERROR(__xludf.DUMMYFUNCTION("""COMPUTED_VALUE"""),"#VALUE!")</f>
        <v>#VALUE!</v>
      </c>
      <c r="H215" s="51" t="str">
        <f>IFERROR(__xludf.DUMMYFUNCTION("""COMPUTED_VALUE"""),"")</f>
        <v/>
      </c>
      <c r="I215" s="51" t="str">
        <f>IFERROR(__xludf.DUMMYFUNCTION("""COMPUTED_VALUE"""),"#VALUE!")</f>
        <v>#VALUE!</v>
      </c>
      <c r="J215" s="51" t="str">
        <f>IFERROR(__xludf.DUMMYFUNCTION("""COMPUTED_VALUE"""),"")</f>
        <v/>
      </c>
      <c r="K215" s="51"/>
      <c r="L215" s="51" t="s">
        <v>257</v>
      </c>
      <c r="M215" s="51"/>
      <c r="N215" s="51"/>
      <c r="O215" s="51"/>
      <c r="P215" s="51"/>
      <c r="Q215" s="51"/>
      <c r="R215" s="51"/>
      <c r="S215" s="51"/>
      <c r="T215" s="51"/>
    </row>
    <row r="216">
      <c r="A216" s="51"/>
      <c r="B216" s="51"/>
      <c r="C216" s="56"/>
      <c r="D216" s="51"/>
      <c r="E216" s="51"/>
      <c r="F216" s="51"/>
      <c r="G216" s="51" t="str">
        <f>IFERROR(__xludf.DUMMYFUNCTION("""COMPUTED_VALUE"""),"#VALUE!")</f>
        <v>#VALUE!</v>
      </c>
      <c r="H216" s="51" t="str">
        <f>IFERROR(__xludf.DUMMYFUNCTION("""COMPUTED_VALUE"""),"")</f>
        <v/>
      </c>
      <c r="I216" s="51" t="str">
        <f>IFERROR(__xludf.DUMMYFUNCTION("""COMPUTED_VALUE"""),"#VALUE!")</f>
        <v>#VALUE!</v>
      </c>
      <c r="J216" s="51" t="str">
        <f>IFERROR(__xludf.DUMMYFUNCTION("""COMPUTED_VALUE"""),"")</f>
        <v/>
      </c>
      <c r="K216" s="51"/>
      <c r="L216" s="51" t="s">
        <v>257</v>
      </c>
      <c r="M216" s="51"/>
      <c r="N216" s="51"/>
      <c r="O216" s="51"/>
      <c r="P216" s="51"/>
      <c r="Q216" s="51"/>
      <c r="R216" s="51"/>
      <c r="S216" s="51"/>
      <c r="T216" s="51"/>
    </row>
    <row r="217">
      <c r="A217" s="51"/>
      <c r="B217" s="51"/>
      <c r="C217" s="56"/>
      <c r="D217" s="51"/>
      <c r="E217" s="51"/>
      <c r="F217" s="51"/>
      <c r="G217" s="51" t="str">
        <f>IFERROR(__xludf.DUMMYFUNCTION("""COMPUTED_VALUE"""),"#VALUE!")</f>
        <v>#VALUE!</v>
      </c>
      <c r="H217" s="51" t="str">
        <f>IFERROR(__xludf.DUMMYFUNCTION("""COMPUTED_VALUE"""),"")</f>
        <v/>
      </c>
      <c r="I217" s="51" t="str">
        <f>IFERROR(__xludf.DUMMYFUNCTION("""COMPUTED_VALUE"""),"#VALUE!")</f>
        <v>#VALUE!</v>
      </c>
      <c r="J217" s="51" t="str">
        <f>IFERROR(__xludf.DUMMYFUNCTION("""COMPUTED_VALUE"""),"")</f>
        <v/>
      </c>
      <c r="K217" s="51"/>
      <c r="L217" s="51" t="s">
        <v>257</v>
      </c>
      <c r="M217" s="51"/>
      <c r="N217" s="51"/>
      <c r="O217" s="51"/>
      <c r="P217" s="51"/>
      <c r="Q217" s="51"/>
      <c r="R217" s="51"/>
      <c r="S217" s="51"/>
      <c r="T217" s="51"/>
    </row>
    <row r="218">
      <c r="A218" s="51"/>
      <c r="B218" s="51"/>
      <c r="C218" s="56"/>
      <c r="D218" s="51"/>
      <c r="E218" s="51"/>
      <c r="F218" s="51"/>
      <c r="G218" s="51" t="str">
        <f>IFERROR(__xludf.DUMMYFUNCTION("""COMPUTED_VALUE"""),"#VALUE!")</f>
        <v>#VALUE!</v>
      </c>
      <c r="H218" s="51" t="str">
        <f>IFERROR(__xludf.DUMMYFUNCTION("""COMPUTED_VALUE"""),"")</f>
        <v/>
      </c>
      <c r="I218" s="51" t="str">
        <f>IFERROR(__xludf.DUMMYFUNCTION("""COMPUTED_VALUE"""),"#VALUE!")</f>
        <v>#VALUE!</v>
      </c>
      <c r="J218" s="51" t="str">
        <f>IFERROR(__xludf.DUMMYFUNCTION("""COMPUTED_VALUE"""),"")</f>
        <v/>
      </c>
      <c r="K218" s="51"/>
      <c r="L218" s="51" t="s">
        <v>257</v>
      </c>
      <c r="M218" s="51"/>
      <c r="N218" s="51"/>
      <c r="O218" s="51"/>
      <c r="P218" s="51"/>
      <c r="Q218" s="51"/>
      <c r="R218" s="51"/>
      <c r="S218" s="51"/>
      <c r="T218" s="51"/>
    </row>
    <row r="219">
      <c r="A219" s="51"/>
      <c r="B219" s="51"/>
      <c r="C219" s="56"/>
      <c r="D219" s="51"/>
      <c r="E219" s="51"/>
      <c r="F219" s="51"/>
      <c r="G219" s="51" t="str">
        <f>IFERROR(__xludf.DUMMYFUNCTION("""COMPUTED_VALUE"""),"#VALUE!")</f>
        <v>#VALUE!</v>
      </c>
      <c r="H219" s="51" t="str">
        <f>IFERROR(__xludf.DUMMYFUNCTION("""COMPUTED_VALUE"""),"")</f>
        <v/>
      </c>
      <c r="I219" s="51" t="str">
        <f>IFERROR(__xludf.DUMMYFUNCTION("""COMPUTED_VALUE"""),"#VALUE!")</f>
        <v>#VALUE!</v>
      </c>
      <c r="J219" s="51" t="str">
        <f>IFERROR(__xludf.DUMMYFUNCTION("""COMPUTED_VALUE"""),"")</f>
        <v/>
      </c>
      <c r="K219" s="51"/>
      <c r="L219" s="51" t="s">
        <v>257</v>
      </c>
      <c r="M219" s="51"/>
      <c r="N219" s="51"/>
      <c r="O219" s="51"/>
      <c r="P219" s="51"/>
      <c r="Q219" s="51"/>
      <c r="R219" s="51"/>
      <c r="S219" s="51"/>
      <c r="T219" s="51"/>
    </row>
    <row r="220">
      <c r="A220" s="51"/>
      <c r="B220" s="51"/>
      <c r="C220" s="56"/>
      <c r="D220" s="51"/>
      <c r="E220" s="51"/>
      <c r="F220" s="51"/>
      <c r="G220" s="51" t="str">
        <f>IFERROR(__xludf.DUMMYFUNCTION("""COMPUTED_VALUE"""),"#VALUE!")</f>
        <v>#VALUE!</v>
      </c>
      <c r="H220" s="51" t="str">
        <f>IFERROR(__xludf.DUMMYFUNCTION("""COMPUTED_VALUE"""),"")</f>
        <v/>
      </c>
      <c r="I220" s="51" t="str">
        <f>IFERROR(__xludf.DUMMYFUNCTION("""COMPUTED_VALUE"""),"#VALUE!")</f>
        <v>#VALUE!</v>
      </c>
      <c r="J220" s="51" t="str">
        <f>IFERROR(__xludf.DUMMYFUNCTION("""COMPUTED_VALUE"""),"")</f>
        <v/>
      </c>
      <c r="K220" s="51"/>
      <c r="L220" s="51" t="s">
        <v>257</v>
      </c>
      <c r="M220" s="51"/>
      <c r="N220" s="51"/>
      <c r="O220" s="51"/>
      <c r="P220" s="51"/>
      <c r="Q220" s="51"/>
      <c r="R220" s="51"/>
      <c r="S220" s="51"/>
      <c r="T220" s="51"/>
    </row>
    <row r="221">
      <c r="A221" s="51"/>
      <c r="B221" s="51"/>
      <c r="C221" s="56"/>
      <c r="D221" s="51"/>
      <c r="E221" s="51"/>
      <c r="F221" s="51"/>
      <c r="G221" s="51" t="str">
        <f>IFERROR(__xludf.DUMMYFUNCTION("""COMPUTED_VALUE"""),"#VALUE!")</f>
        <v>#VALUE!</v>
      </c>
      <c r="H221" s="51" t="str">
        <f>IFERROR(__xludf.DUMMYFUNCTION("""COMPUTED_VALUE"""),"")</f>
        <v/>
      </c>
      <c r="I221" s="51" t="str">
        <f>IFERROR(__xludf.DUMMYFUNCTION("""COMPUTED_VALUE"""),"#VALUE!")</f>
        <v>#VALUE!</v>
      </c>
      <c r="J221" s="51" t="str">
        <f>IFERROR(__xludf.DUMMYFUNCTION("""COMPUTED_VALUE"""),"")</f>
        <v/>
      </c>
      <c r="K221" s="51"/>
      <c r="L221" s="51" t="s">
        <v>257</v>
      </c>
      <c r="M221" s="51"/>
      <c r="N221" s="51"/>
      <c r="O221" s="51"/>
      <c r="P221" s="51"/>
      <c r="Q221" s="51"/>
      <c r="R221" s="51"/>
      <c r="S221" s="51"/>
      <c r="T221" s="51"/>
    </row>
    <row r="222">
      <c r="A222" s="51"/>
      <c r="B222" s="51"/>
      <c r="C222" s="56"/>
      <c r="D222" s="51"/>
      <c r="E222" s="51"/>
      <c r="F222" s="51"/>
      <c r="G222" s="51" t="str">
        <f>IFERROR(__xludf.DUMMYFUNCTION("""COMPUTED_VALUE"""),"#VALUE!")</f>
        <v>#VALUE!</v>
      </c>
      <c r="H222" s="51" t="str">
        <f>IFERROR(__xludf.DUMMYFUNCTION("""COMPUTED_VALUE"""),"")</f>
        <v/>
      </c>
      <c r="I222" s="51" t="str">
        <f>IFERROR(__xludf.DUMMYFUNCTION("""COMPUTED_VALUE"""),"#VALUE!")</f>
        <v>#VALUE!</v>
      </c>
      <c r="J222" s="51" t="str">
        <f>IFERROR(__xludf.DUMMYFUNCTION("""COMPUTED_VALUE"""),"")</f>
        <v/>
      </c>
      <c r="K222" s="51"/>
      <c r="L222" s="51" t="s">
        <v>257</v>
      </c>
      <c r="M222" s="51"/>
      <c r="N222" s="51"/>
      <c r="O222" s="51"/>
      <c r="P222" s="51"/>
      <c r="Q222" s="51"/>
      <c r="R222" s="51"/>
      <c r="S222" s="51"/>
      <c r="T222" s="51"/>
    </row>
    <row r="223">
      <c r="A223" s="51"/>
      <c r="B223" s="51"/>
      <c r="C223" s="56"/>
      <c r="D223" s="51"/>
      <c r="E223" s="51"/>
      <c r="F223" s="51"/>
      <c r="G223" s="51" t="str">
        <f>IFERROR(__xludf.DUMMYFUNCTION("""COMPUTED_VALUE"""),"#VALUE!")</f>
        <v>#VALUE!</v>
      </c>
      <c r="H223" s="51" t="str">
        <f>IFERROR(__xludf.DUMMYFUNCTION("""COMPUTED_VALUE"""),"")</f>
        <v/>
      </c>
      <c r="I223" s="51" t="str">
        <f>IFERROR(__xludf.DUMMYFUNCTION("""COMPUTED_VALUE"""),"#VALUE!")</f>
        <v>#VALUE!</v>
      </c>
      <c r="J223" s="51" t="str">
        <f>IFERROR(__xludf.DUMMYFUNCTION("""COMPUTED_VALUE"""),"")</f>
        <v/>
      </c>
      <c r="K223" s="51"/>
      <c r="L223" s="51" t="s">
        <v>257</v>
      </c>
      <c r="M223" s="51"/>
      <c r="N223" s="51"/>
      <c r="O223" s="51"/>
      <c r="P223" s="51"/>
      <c r="Q223" s="51"/>
      <c r="R223" s="51"/>
      <c r="S223" s="51"/>
      <c r="T223" s="51"/>
    </row>
    <row r="224">
      <c r="A224" s="51"/>
      <c r="B224" s="51"/>
      <c r="C224" s="56"/>
      <c r="D224" s="51"/>
      <c r="E224" s="51"/>
      <c r="F224" s="51"/>
      <c r="G224" s="51" t="str">
        <f>IFERROR(__xludf.DUMMYFUNCTION("""COMPUTED_VALUE"""),"#VALUE!")</f>
        <v>#VALUE!</v>
      </c>
      <c r="H224" s="51" t="str">
        <f>IFERROR(__xludf.DUMMYFUNCTION("""COMPUTED_VALUE"""),"")</f>
        <v/>
      </c>
      <c r="I224" s="51" t="str">
        <f>IFERROR(__xludf.DUMMYFUNCTION("""COMPUTED_VALUE"""),"#VALUE!")</f>
        <v>#VALUE!</v>
      </c>
      <c r="J224" s="51" t="str">
        <f>IFERROR(__xludf.DUMMYFUNCTION("""COMPUTED_VALUE"""),"")</f>
        <v/>
      </c>
      <c r="K224" s="51"/>
      <c r="L224" s="51" t="s">
        <v>257</v>
      </c>
      <c r="M224" s="51"/>
      <c r="N224" s="51"/>
      <c r="O224" s="51"/>
      <c r="P224" s="51"/>
      <c r="Q224" s="51"/>
      <c r="R224" s="51"/>
      <c r="S224" s="51"/>
      <c r="T224" s="51"/>
    </row>
    <row r="225">
      <c r="A225" s="51"/>
      <c r="B225" s="51"/>
      <c r="C225" s="56"/>
      <c r="D225" s="51"/>
      <c r="E225" s="51"/>
      <c r="F225" s="51"/>
      <c r="G225" s="51" t="str">
        <f>IFERROR(__xludf.DUMMYFUNCTION("""COMPUTED_VALUE"""),"#VALUE!")</f>
        <v>#VALUE!</v>
      </c>
      <c r="H225" s="51" t="str">
        <f>IFERROR(__xludf.DUMMYFUNCTION("""COMPUTED_VALUE"""),"")</f>
        <v/>
      </c>
      <c r="I225" s="51" t="str">
        <f>IFERROR(__xludf.DUMMYFUNCTION("""COMPUTED_VALUE"""),"#VALUE!")</f>
        <v>#VALUE!</v>
      </c>
      <c r="J225" s="51" t="str">
        <f>IFERROR(__xludf.DUMMYFUNCTION("""COMPUTED_VALUE"""),"")</f>
        <v/>
      </c>
      <c r="K225" s="51"/>
      <c r="L225" s="51" t="s">
        <v>257</v>
      </c>
      <c r="M225" s="51"/>
      <c r="N225" s="51"/>
      <c r="O225" s="51"/>
      <c r="P225" s="51"/>
      <c r="Q225" s="51"/>
      <c r="R225" s="51"/>
      <c r="S225" s="51"/>
      <c r="T225" s="51"/>
    </row>
    <row r="226">
      <c r="A226" s="51"/>
      <c r="B226" s="51"/>
      <c r="C226" s="56"/>
      <c r="D226" s="51"/>
      <c r="E226" s="51"/>
      <c r="F226" s="51"/>
      <c r="G226" s="51" t="str">
        <f>IFERROR(__xludf.DUMMYFUNCTION("""COMPUTED_VALUE"""),"#VALUE!")</f>
        <v>#VALUE!</v>
      </c>
      <c r="H226" s="51" t="str">
        <f>IFERROR(__xludf.DUMMYFUNCTION("""COMPUTED_VALUE"""),"")</f>
        <v/>
      </c>
      <c r="I226" s="51" t="str">
        <f>IFERROR(__xludf.DUMMYFUNCTION("""COMPUTED_VALUE"""),"#VALUE!")</f>
        <v>#VALUE!</v>
      </c>
      <c r="J226" s="51" t="str">
        <f>IFERROR(__xludf.DUMMYFUNCTION("""COMPUTED_VALUE"""),"")</f>
        <v/>
      </c>
      <c r="K226" s="51"/>
      <c r="L226" s="51" t="s">
        <v>257</v>
      </c>
      <c r="M226" s="51"/>
      <c r="N226" s="51"/>
      <c r="O226" s="51"/>
      <c r="P226" s="51"/>
      <c r="Q226" s="51"/>
      <c r="R226" s="51"/>
      <c r="S226" s="51"/>
      <c r="T226" s="51"/>
    </row>
    <row r="227">
      <c r="A227" s="51"/>
      <c r="B227" s="51"/>
      <c r="C227" s="56"/>
      <c r="D227" s="51"/>
      <c r="E227" s="51"/>
      <c r="F227" s="51"/>
      <c r="G227" s="51" t="str">
        <f>IFERROR(__xludf.DUMMYFUNCTION("""COMPUTED_VALUE"""),"#VALUE!")</f>
        <v>#VALUE!</v>
      </c>
      <c r="H227" s="51" t="str">
        <f>IFERROR(__xludf.DUMMYFUNCTION("""COMPUTED_VALUE"""),"")</f>
        <v/>
      </c>
      <c r="I227" s="51" t="str">
        <f>IFERROR(__xludf.DUMMYFUNCTION("""COMPUTED_VALUE"""),"#VALUE!")</f>
        <v>#VALUE!</v>
      </c>
      <c r="J227" s="51" t="str">
        <f>IFERROR(__xludf.DUMMYFUNCTION("""COMPUTED_VALUE"""),"")</f>
        <v/>
      </c>
      <c r="K227" s="51"/>
      <c r="L227" s="51" t="s">
        <v>257</v>
      </c>
      <c r="M227" s="51"/>
      <c r="N227" s="51"/>
      <c r="O227" s="51"/>
      <c r="P227" s="51"/>
      <c r="Q227" s="51"/>
      <c r="R227" s="51"/>
      <c r="S227" s="51"/>
      <c r="T227" s="51"/>
    </row>
    <row r="228">
      <c r="A228" s="51"/>
      <c r="B228" s="51"/>
      <c r="C228" s="56"/>
      <c r="D228" s="51"/>
      <c r="E228" s="51"/>
      <c r="F228" s="51"/>
      <c r="G228" s="51" t="str">
        <f>IFERROR(__xludf.DUMMYFUNCTION("""COMPUTED_VALUE"""),"#VALUE!")</f>
        <v>#VALUE!</v>
      </c>
      <c r="H228" s="51" t="str">
        <f>IFERROR(__xludf.DUMMYFUNCTION("""COMPUTED_VALUE"""),"")</f>
        <v/>
      </c>
      <c r="I228" s="51" t="str">
        <f>IFERROR(__xludf.DUMMYFUNCTION("""COMPUTED_VALUE"""),"#VALUE!")</f>
        <v>#VALUE!</v>
      </c>
      <c r="J228" s="51" t="str">
        <f>IFERROR(__xludf.DUMMYFUNCTION("""COMPUTED_VALUE"""),"")</f>
        <v/>
      </c>
      <c r="K228" s="51"/>
      <c r="L228" s="51" t="s">
        <v>257</v>
      </c>
      <c r="M228" s="51"/>
      <c r="N228" s="51"/>
      <c r="O228" s="51"/>
      <c r="P228" s="51"/>
      <c r="Q228" s="51"/>
      <c r="R228" s="51"/>
      <c r="S228" s="51"/>
      <c r="T228" s="51"/>
    </row>
    <row r="229">
      <c r="A229" s="51"/>
      <c r="B229" s="51"/>
      <c r="C229" s="56"/>
      <c r="D229" s="51"/>
      <c r="E229" s="51"/>
      <c r="F229" s="51"/>
      <c r="G229" s="51" t="str">
        <f>IFERROR(__xludf.DUMMYFUNCTION("""COMPUTED_VALUE"""),"#VALUE!")</f>
        <v>#VALUE!</v>
      </c>
      <c r="H229" s="51" t="str">
        <f>IFERROR(__xludf.DUMMYFUNCTION("""COMPUTED_VALUE"""),"")</f>
        <v/>
      </c>
      <c r="I229" s="51" t="str">
        <f>IFERROR(__xludf.DUMMYFUNCTION("""COMPUTED_VALUE"""),"#VALUE!")</f>
        <v>#VALUE!</v>
      </c>
      <c r="J229" s="51" t="str">
        <f>IFERROR(__xludf.DUMMYFUNCTION("""COMPUTED_VALUE"""),"")</f>
        <v/>
      </c>
      <c r="K229" s="51"/>
      <c r="L229" s="51" t="s">
        <v>257</v>
      </c>
      <c r="M229" s="51"/>
      <c r="N229" s="51"/>
      <c r="O229" s="51"/>
      <c r="P229" s="51"/>
      <c r="Q229" s="51"/>
      <c r="R229" s="51"/>
      <c r="S229" s="51"/>
      <c r="T229" s="51"/>
    </row>
    <row r="230">
      <c r="A230" s="51"/>
      <c r="B230" s="51"/>
      <c r="C230" s="56"/>
      <c r="D230" s="51"/>
      <c r="E230" s="51"/>
      <c r="F230" s="51"/>
      <c r="G230" s="51" t="str">
        <f>IFERROR(__xludf.DUMMYFUNCTION("""COMPUTED_VALUE"""),"#VALUE!")</f>
        <v>#VALUE!</v>
      </c>
      <c r="H230" s="51" t="str">
        <f>IFERROR(__xludf.DUMMYFUNCTION("""COMPUTED_VALUE"""),"")</f>
        <v/>
      </c>
      <c r="I230" s="51" t="str">
        <f>IFERROR(__xludf.DUMMYFUNCTION("""COMPUTED_VALUE"""),"#VALUE!")</f>
        <v>#VALUE!</v>
      </c>
      <c r="J230" s="51" t="str">
        <f>IFERROR(__xludf.DUMMYFUNCTION("""COMPUTED_VALUE"""),"")</f>
        <v/>
      </c>
      <c r="K230" s="51"/>
      <c r="L230" s="51" t="s">
        <v>257</v>
      </c>
      <c r="M230" s="51"/>
      <c r="N230" s="51"/>
      <c r="O230" s="51"/>
      <c r="P230" s="51"/>
      <c r="Q230" s="51"/>
      <c r="R230" s="51"/>
      <c r="S230" s="51"/>
      <c r="T230" s="51"/>
    </row>
    <row r="231">
      <c r="A231" s="51"/>
      <c r="B231" s="51"/>
      <c r="C231" s="56"/>
      <c r="D231" s="51"/>
      <c r="E231" s="51"/>
      <c r="F231" s="51"/>
      <c r="G231" s="51" t="str">
        <f>IFERROR(__xludf.DUMMYFUNCTION("""COMPUTED_VALUE"""),"#VALUE!")</f>
        <v>#VALUE!</v>
      </c>
      <c r="H231" s="51" t="str">
        <f>IFERROR(__xludf.DUMMYFUNCTION("""COMPUTED_VALUE"""),"")</f>
        <v/>
      </c>
      <c r="I231" s="51" t="str">
        <f>IFERROR(__xludf.DUMMYFUNCTION("""COMPUTED_VALUE"""),"#VALUE!")</f>
        <v>#VALUE!</v>
      </c>
      <c r="J231" s="51" t="str">
        <f>IFERROR(__xludf.DUMMYFUNCTION("""COMPUTED_VALUE"""),"")</f>
        <v/>
      </c>
      <c r="K231" s="51"/>
      <c r="L231" s="51" t="s">
        <v>257</v>
      </c>
      <c r="M231" s="51"/>
      <c r="N231" s="51"/>
      <c r="O231" s="51"/>
      <c r="P231" s="51"/>
      <c r="Q231" s="51"/>
      <c r="R231" s="51"/>
      <c r="S231" s="51"/>
      <c r="T231" s="51"/>
    </row>
    <row r="232">
      <c r="A232" s="51"/>
      <c r="B232" s="51"/>
      <c r="C232" s="56"/>
      <c r="D232" s="51"/>
      <c r="E232" s="51"/>
      <c r="F232" s="51"/>
      <c r="G232" s="51" t="str">
        <f>IFERROR(__xludf.DUMMYFUNCTION("""COMPUTED_VALUE"""),"#VALUE!")</f>
        <v>#VALUE!</v>
      </c>
      <c r="H232" s="51" t="str">
        <f>IFERROR(__xludf.DUMMYFUNCTION("""COMPUTED_VALUE"""),"")</f>
        <v/>
      </c>
      <c r="I232" s="51" t="str">
        <f>IFERROR(__xludf.DUMMYFUNCTION("""COMPUTED_VALUE"""),"#VALUE!")</f>
        <v>#VALUE!</v>
      </c>
      <c r="J232" s="51" t="str">
        <f>IFERROR(__xludf.DUMMYFUNCTION("""COMPUTED_VALUE"""),"")</f>
        <v/>
      </c>
      <c r="K232" s="51"/>
      <c r="L232" s="51" t="s">
        <v>257</v>
      </c>
      <c r="M232" s="51"/>
      <c r="N232" s="51"/>
      <c r="O232" s="51"/>
      <c r="P232" s="51"/>
      <c r="Q232" s="51"/>
      <c r="R232" s="51"/>
      <c r="S232" s="51"/>
      <c r="T232" s="51"/>
    </row>
    <row r="233">
      <c r="A233" s="51"/>
      <c r="B233" s="51"/>
      <c r="C233" s="56"/>
      <c r="D233" s="51"/>
      <c r="E233" s="51"/>
      <c r="F233" s="51"/>
      <c r="G233" s="51" t="str">
        <f>IFERROR(__xludf.DUMMYFUNCTION("""COMPUTED_VALUE"""),"#VALUE!")</f>
        <v>#VALUE!</v>
      </c>
      <c r="H233" s="51" t="str">
        <f>IFERROR(__xludf.DUMMYFUNCTION("""COMPUTED_VALUE"""),"")</f>
        <v/>
      </c>
      <c r="I233" s="51" t="str">
        <f>IFERROR(__xludf.DUMMYFUNCTION("""COMPUTED_VALUE"""),"#VALUE!")</f>
        <v>#VALUE!</v>
      </c>
      <c r="J233" s="51" t="str">
        <f>IFERROR(__xludf.DUMMYFUNCTION("""COMPUTED_VALUE"""),"")</f>
        <v/>
      </c>
      <c r="K233" s="51"/>
      <c r="L233" s="51" t="s">
        <v>257</v>
      </c>
      <c r="M233" s="51"/>
      <c r="N233" s="51"/>
      <c r="O233" s="51"/>
      <c r="P233" s="51"/>
      <c r="Q233" s="51"/>
      <c r="R233" s="51"/>
      <c r="S233" s="51"/>
      <c r="T233" s="51"/>
    </row>
    <row r="234">
      <c r="A234" s="51"/>
      <c r="B234" s="51"/>
      <c r="C234" s="56"/>
      <c r="D234" s="51"/>
      <c r="E234" s="51"/>
      <c r="F234" s="51"/>
      <c r="G234" s="51" t="str">
        <f>IFERROR(__xludf.DUMMYFUNCTION("""COMPUTED_VALUE"""),"#VALUE!")</f>
        <v>#VALUE!</v>
      </c>
      <c r="H234" s="51" t="str">
        <f>IFERROR(__xludf.DUMMYFUNCTION("""COMPUTED_VALUE"""),"")</f>
        <v/>
      </c>
      <c r="I234" s="51" t="str">
        <f>IFERROR(__xludf.DUMMYFUNCTION("""COMPUTED_VALUE"""),"#VALUE!")</f>
        <v>#VALUE!</v>
      </c>
      <c r="J234" s="51" t="str">
        <f>IFERROR(__xludf.DUMMYFUNCTION("""COMPUTED_VALUE"""),"")</f>
        <v/>
      </c>
      <c r="K234" s="51"/>
      <c r="L234" s="51" t="s">
        <v>257</v>
      </c>
      <c r="M234" s="51"/>
      <c r="N234" s="51"/>
      <c r="O234" s="51"/>
      <c r="P234" s="51"/>
      <c r="Q234" s="51"/>
      <c r="R234" s="51"/>
      <c r="S234" s="51"/>
      <c r="T234" s="51"/>
    </row>
    <row r="235">
      <c r="A235" s="51"/>
      <c r="B235" s="51"/>
      <c r="C235" s="56"/>
      <c r="D235" s="51"/>
      <c r="E235" s="51"/>
      <c r="F235" s="51"/>
      <c r="G235" s="51" t="str">
        <f>IFERROR(__xludf.DUMMYFUNCTION("""COMPUTED_VALUE"""),"#VALUE!")</f>
        <v>#VALUE!</v>
      </c>
      <c r="H235" s="51" t="str">
        <f>IFERROR(__xludf.DUMMYFUNCTION("""COMPUTED_VALUE"""),"")</f>
        <v/>
      </c>
      <c r="I235" s="51" t="str">
        <f>IFERROR(__xludf.DUMMYFUNCTION("""COMPUTED_VALUE"""),"#VALUE!")</f>
        <v>#VALUE!</v>
      </c>
      <c r="J235" s="51" t="str">
        <f>IFERROR(__xludf.DUMMYFUNCTION("""COMPUTED_VALUE"""),"")</f>
        <v/>
      </c>
      <c r="K235" s="51"/>
      <c r="L235" s="51" t="s">
        <v>257</v>
      </c>
      <c r="M235" s="51"/>
      <c r="N235" s="51"/>
      <c r="O235" s="51"/>
      <c r="P235" s="51"/>
      <c r="Q235" s="51"/>
      <c r="R235" s="51"/>
      <c r="S235" s="51"/>
      <c r="T235" s="51"/>
    </row>
    <row r="236">
      <c r="A236" s="51"/>
      <c r="B236" s="51"/>
      <c r="C236" s="56"/>
      <c r="D236" s="51"/>
      <c r="E236" s="51"/>
      <c r="F236" s="51"/>
      <c r="G236" s="51" t="str">
        <f>IFERROR(__xludf.DUMMYFUNCTION("""COMPUTED_VALUE"""),"#VALUE!")</f>
        <v>#VALUE!</v>
      </c>
      <c r="H236" s="51" t="str">
        <f>IFERROR(__xludf.DUMMYFUNCTION("""COMPUTED_VALUE"""),"")</f>
        <v/>
      </c>
      <c r="I236" s="51" t="str">
        <f>IFERROR(__xludf.DUMMYFUNCTION("""COMPUTED_VALUE"""),"#VALUE!")</f>
        <v>#VALUE!</v>
      </c>
      <c r="J236" s="51" t="str">
        <f>IFERROR(__xludf.DUMMYFUNCTION("""COMPUTED_VALUE"""),"")</f>
        <v/>
      </c>
      <c r="K236" s="51"/>
      <c r="L236" s="51" t="s">
        <v>257</v>
      </c>
      <c r="M236" s="51"/>
      <c r="N236" s="51"/>
      <c r="O236" s="51"/>
      <c r="P236" s="51"/>
      <c r="Q236" s="51"/>
      <c r="R236" s="51"/>
      <c r="S236" s="51"/>
      <c r="T236" s="51"/>
    </row>
    <row r="237">
      <c r="A237" s="51"/>
      <c r="B237" s="51"/>
      <c r="C237" s="56"/>
      <c r="D237" s="51"/>
      <c r="E237" s="51"/>
      <c r="F237" s="51"/>
      <c r="G237" s="51" t="str">
        <f>IFERROR(__xludf.DUMMYFUNCTION("""COMPUTED_VALUE"""),"#VALUE!")</f>
        <v>#VALUE!</v>
      </c>
      <c r="H237" s="51" t="str">
        <f>IFERROR(__xludf.DUMMYFUNCTION("""COMPUTED_VALUE"""),"")</f>
        <v/>
      </c>
      <c r="I237" s="51" t="str">
        <f>IFERROR(__xludf.DUMMYFUNCTION("""COMPUTED_VALUE"""),"#VALUE!")</f>
        <v>#VALUE!</v>
      </c>
      <c r="J237" s="51" t="str">
        <f>IFERROR(__xludf.DUMMYFUNCTION("""COMPUTED_VALUE"""),"")</f>
        <v/>
      </c>
      <c r="K237" s="51"/>
      <c r="L237" s="51" t="s">
        <v>257</v>
      </c>
      <c r="M237" s="51"/>
      <c r="N237" s="51"/>
      <c r="O237" s="51"/>
      <c r="P237" s="51"/>
      <c r="Q237" s="51"/>
      <c r="R237" s="51"/>
      <c r="S237" s="51"/>
      <c r="T237" s="51"/>
    </row>
    <row r="238">
      <c r="A238" s="51"/>
      <c r="B238" s="51"/>
      <c r="C238" s="56"/>
      <c r="D238" s="51"/>
      <c r="E238" s="51"/>
      <c r="F238" s="51"/>
      <c r="G238" s="51" t="str">
        <f>IFERROR(__xludf.DUMMYFUNCTION("""COMPUTED_VALUE"""),"#VALUE!")</f>
        <v>#VALUE!</v>
      </c>
      <c r="H238" s="51" t="str">
        <f>IFERROR(__xludf.DUMMYFUNCTION("""COMPUTED_VALUE"""),"")</f>
        <v/>
      </c>
      <c r="I238" s="51" t="str">
        <f>IFERROR(__xludf.DUMMYFUNCTION("""COMPUTED_VALUE"""),"#VALUE!")</f>
        <v>#VALUE!</v>
      </c>
      <c r="J238" s="51" t="str">
        <f>IFERROR(__xludf.DUMMYFUNCTION("""COMPUTED_VALUE"""),"")</f>
        <v/>
      </c>
      <c r="K238" s="51"/>
      <c r="L238" s="51" t="s">
        <v>257</v>
      </c>
      <c r="M238" s="51"/>
      <c r="N238" s="51"/>
      <c r="O238" s="51"/>
      <c r="P238" s="51"/>
      <c r="Q238" s="51"/>
      <c r="R238" s="51"/>
      <c r="S238" s="51"/>
      <c r="T238" s="51"/>
    </row>
    <row r="239">
      <c r="A239" s="51"/>
      <c r="B239" s="51"/>
      <c r="C239" s="56"/>
      <c r="D239" s="51"/>
      <c r="E239" s="51"/>
      <c r="F239" s="51"/>
      <c r="G239" s="51" t="str">
        <f>IFERROR(__xludf.DUMMYFUNCTION("""COMPUTED_VALUE"""),"#VALUE!")</f>
        <v>#VALUE!</v>
      </c>
      <c r="H239" s="51" t="str">
        <f>IFERROR(__xludf.DUMMYFUNCTION("""COMPUTED_VALUE"""),"")</f>
        <v/>
      </c>
      <c r="I239" s="51" t="str">
        <f>IFERROR(__xludf.DUMMYFUNCTION("""COMPUTED_VALUE"""),"#VALUE!")</f>
        <v>#VALUE!</v>
      </c>
      <c r="J239" s="51" t="str">
        <f>IFERROR(__xludf.DUMMYFUNCTION("""COMPUTED_VALUE"""),"")</f>
        <v/>
      </c>
      <c r="K239" s="51"/>
      <c r="L239" s="51" t="s">
        <v>257</v>
      </c>
      <c r="M239" s="51"/>
      <c r="N239" s="51"/>
      <c r="O239" s="51"/>
      <c r="P239" s="51"/>
      <c r="Q239" s="51"/>
      <c r="R239" s="51"/>
      <c r="S239" s="51"/>
      <c r="T239" s="51"/>
    </row>
    <row r="240">
      <c r="A240" s="51"/>
      <c r="B240" s="51"/>
      <c r="C240" s="56"/>
      <c r="D240" s="51"/>
      <c r="E240" s="51"/>
      <c r="F240" s="51"/>
      <c r="G240" s="51" t="str">
        <f>IFERROR(__xludf.DUMMYFUNCTION("""COMPUTED_VALUE"""),"#VALUE!")</f>
        <v>#VALUE!</v>
      </c>
      <c r="H240" s="51" t="str">
        <f>IFERROR(__xludf.DUMMYFUNCTION("""COMPUTED_VALUE"""),"")</f>
        <v/>
      </c>
      <c r="I240" s="51" t="str">
        <f>IFERROR(__xludf.DUMMYFUNCTION("""COMPUTED_VALUE"""),"#VALUE!")</f>
        <v>#VALUE!</v>
      </c>
      <c r="J240" s="51" t="str">
        <f>IFERROR(__xludf.DUMMYFUNCTION("""COMPUTED_VALUE"""),"")</f>
        <v/>
      </c>
      <c r="K240" s="51"/>
      <c r="L240" s="51" t="s">
        <v>257</v>
      </c>
      <c r="M240" s="51"/>
      <c r="N240" s="51"/>
      <c r="O240" s="51"/>
      <c r="P240" s="51"/>
      <c r="Q240" s="51"/>
      <c r="R240" s="51"/>
      <c r="S240" s="51"/>
      <c r="T240" s="51"/>
    </row>
    <row r="241">
      <c r="A241" s="51"/>
      <c r="B241" s="51"/>
      <c r="C241" s="56"/>
      <c r="D241" s="51"/>
      <c r="E241" s="51"/>
      <c r="F241" s="51"/>
      <c r="G241" s="51" t="str">
        <f>IFERROR(__xludf.DUMMYFUNCTION("""COMPUTED_VALUE"""),"#VALUE!")</f>
        <v>#VALUE!</v>
      </c>
      <c r="H241" s="51" t="str">
        <f>IFERROR(__xludf.DUMMYFUNCTION("""COMPUTED_VALUE"""),"")</f>
        <v/>
      </c>
      <c r="I241" s="51" t="str">
        <f>IFERROR(__xludf.DUMMYFUNCTION("""COMPUTED_VALUE"""),"#VALUE!")</f>
        <v>#VALUE!</v>
      </c>
      <c r="J241" s="51" t="str">
        <f>IFERROR(__xludf.DUMMYFUNCTION("""COMPUTED_VALUE"""),"")</f>
        <v/>
      </c>
      <c r="K241" s="51"/>
      <c r="L241" s="51" t="s">
        <v>257</v>
      </c>
      <c r="M241" s="51"/>
      <c r="N241" s="51"/>
      <c r="O241" s="51"/>
      <c r="P241" s="51"/>
      <c r="Q241" s="51"/>
      <c r="R241" s="51"/>
      <c r="S241" s="51"/>
      <c r="T241" s="51"/>
    </row>
    <row r="242">
      <c r="A242" s="51"/>
      <c r="B242" s="51"/>
      <c r="C242" s="56"/>
      <c r="D242" s="51"/>
      <c r="E242" s="51"/>
      <c r="F242" s="51"/>
      <c r="G242" s="51" t="str">
        <f>IFERROR(__xludf.DUMMYFUNCTION("""COMPUTED_VALUE"""),"#VALUE!")</f>
        <v>#VALUE!</v>
      </c>
      <c r="H242" s="51" t="str">
        <f>IFERROR(__xludf.DUMMYFUNCTION("""COMPUTED_VALUE"""),"")</f>
        <v/>
      </c>
      <c r="I242" s="51" t="str">
        <f>IFERROR(__xludf.DUMMYFUNCTION("""COMPUTED_VALUE"""),"#VALUE!")</f>
        <v>#VALUE!</v>
      </c>
      <c r="J242" s="51" t="str">
        <f>IFERROR(__xludf.DUMMYFUNCTION("""COMPUTED_VALUE"""),"")</f>
        <v/>
      </c>
      <c r="K242" s="51"/>
      <c r="L242" s="51" t="s">
        <v>257</v>
      </c>
      <c r="M242" s="51"/>
      <c r="N242" s="51"/>
      <c r="O242" s="51"/>
      <c r="P242" s="51"/>
      <c r="Q242" s="51"/>
      <c r="R242" s="51"/>
      <c r="S242" s="51"/>
      <c r="T242" s="51"/>
    </row>
    <row r="243">
      <c r="A243" s="51"/>
      <c r="B243" s="51"/>
      <c r="C243" s="56"/>
      <c r="D243" s="51"/>
      <c r="E243" s="51"/>
      <c r="F243" s="51"/>
      <c r="G243" s="51" t="str">
        <f>IFERROR(__xludf.DUMMYFUNCTION("""COMPUTED_VALUE"""),"#VALUE!")</f>
        <v>#VALUE!</v>
      </c>
      <c r="H243" s="51" t="str">
        <f>IFERROR(__xludf.DUMMYFUNCTION("""COMPUTED_VALUE"""),"")</f>
        <v/>
      </c>
      <c r="I243" s="51" t="str">
        <f>IFERROR(__xludf.DUMMYFUNCTION("""COMPUTED_VALUE"""),"#VALUE!")</f>
        <v>#VALUE!</v>
      </c>
      <c r="J243" s="51" t="str">
        <f>IFERROR(__xludf.DUMMYFUNCTION("""COMPUTED_VALUE"""),"")</f>
        <v/>
      </c>
      <c r="K243" s="51"/>
      <c r="L243" s="51" t="s">
        <v>257</v>
      </c>
      <c r="M243" s="51"/>
      <c r="N243" s="51"/>
      <c r="O243" s="51"/>
      <c r="P243" s="51"/>
      <c r="Q243" s="51"/>
      <c r="R243" s="51"/>
      <c r="S243" s="51"/>
      <c r="T243" s="51"/>
    </row>
    <row r="244">
      <c r="A244" s="51"/>
      <c r="B244" s="51"/>
      <c r="C244" s="56"/>
      <c r="D244" s="51"/>
      <c r="E244" s="51"/>
      <c r="F244" s="51"/>
      <c r="G244" s="51" t="str">
        <f>IFERROR(__xludf.DUMMYFUNCTION("""COMPUTED_VALUE"""),"#VALUE!")</f>
        <v>#VALUE!</v>
      </c>
      <c r="H244" s="51" t="str">
        <f>IFERROR(__xludf.DUMMYFUNCTION("""COMPUTED_VALUE"""),"")</f>
        <v/>
      </c>
      <c r="I244" s="51" t="str">
        <f>IFERROR(__xludf.DUMMYFUNCTION("""COMPUTED_VALUE"""),"#VALUE!")</f>
        <v>#VALUE!</v>
      </c>
      <c r="J244" s="51" t="str">
        <f>IFERROR(__xludf.DUMMYFUNCTION("""COMPUTED_VALUE"""),"")</f>
        <v/>
      </c>
      <c r="K244" s="51"/>
      <c r="L244" s="51" t="s">
        <v>257</v>
      </c>
      <c r="M244" s="51"/>
      <c r="N244" s="51"/>
      <c r="O244" s="51"/>
      <c r="P244" s="51"/>
      <c r="Q244" s="51"/>
      <c r="R244" s="51"/>
      <c r="S244" s="51"/>
      <c r="T244" s="51"/>
    </row>
    <row r="245">
      <c r="A245" s="51"/>
      <c r="B245" s="51"/>
      <c r="C245" s="56"/>
      <c r="D245" s="51"/>
      <c r="E245" s="51"/>
      <c r="F245" s="51"/>
      <c r="G245" s="51" t="str">
        <f>IFERROR(__xludf.DUMMYFUNCTION("""COMPUTED_VALUE"""),"#VALUE!")</f>
        <v>#VALUE!</v>
      </c>
      <c r="H245" s="51" t="str">
        <f>IFERROR(__xludf.DUMMYFUNCTION("""COMPUTED_VALUE"""),"")</f>
        <v/>
      </c>
      <c r="I245" s="51" t="str">
        <f>IFERROR(__xludf.DUMMYFUNCTION("""COMPUTED_VALUE"""),"#VALUE!")</f>
        <v>#VALUE!</v>
      </c>
      <c r="J245" s="51" t="str">
        <f>IFERROR(__xludf.DUMMYFUNCTION("""COMPUTED_VALUE"""),"")</f>
        <v/>
      </c>
      <c r="K245" s="51"/>
      <c r="L245" s="51" t="s">
        <v>257</v>
      </c>
      <c r="M245" s="51"/>
      <c r="N245" s="51"/>
      <c r="O245" s="51"/>
      <c r="P245" s="51"/>
      <c r="Q245" s="51"/>
      <c r="R245" s="51"/>
      <c r="S245" s="51"/>
      <c r="T245" s="51"/>
    </row>
    <row r="246">
      <c r="A246" s="51"/>
      <c r="B246" s="51"/>
      <c r="C246" s="56"/>
      <c r="D246" s="51"/>
      <c r="E246" s="51"/>
      <c r="F246" s="51"/>
      <c r="G246" s="51" t="str">
        <f>IFERROR(__xludf.DUMMYFUNCTION("""COMPUTED_VALUE"""),"#VALUE!")</f>
        <v>#VALUE!</v>
      </c>
      <c r="H246" s="51" t="str">
        <f>IFERROR(__xludf.DUMMYFUNCTION("""COMPUTED_VALUE"""),"")</f>
        <v/>
      </c>
      <c r="I246" s="51" t="str">
        <f>IFERROR(__xludf.DUMMYFUNCTION("""COMPUTED_VALUE"""),"#VALUE!")</f>
        <v>#VALUE!</v>
      </c>
      <c r="J246" s="51" t="str">
        <f>IFERROR(__xludf.DUMMYFUNCTION("""COMPUTED_VALUE"""),"")</f>
        <v/>
      </c>
      <c r="K246" s="51"/>
      <c r="L246" s="51" t="s">
        <v>257</v>
      </c>
      <c r="M246" s="51"/>
      <c r="N246" s="51"/>
      <c r="O246" s="51"/>
      <c r="P246" s="51"/>
      <c r="Q246" s="51"/>
      <c r="R246" s="51"/>
      <c r="S246" s="51"/>
      <c r="T246" s="51"/>
    </row>
    <row r="247">
      <c r="A247" s="51"/>
      <c r="B247" s="51"/>
      <c r="C247" s="56"/>
      <c r="D247" s="51"/>
      <c r="E247" s="51"/>
      <c r="F247" s="51"/>
      <c r="G247" s="51" t="str">
        <f>IFERROR(__xludf.DUMMYFUNCTION("""COMPUTED_VALUE"""),"#VALUE!")</f>
        <v>#VALUE!</v>
      </c>
      <c r="H247" s="51" t="str">
        <f>IFERROR(__xludf.DUMMYFUNCTION("""COMPUTED_VALUE"""),"")</f>
        <v/>
      </c>
      <c r="I247" s="51" t="str">
        <f>IFERROR(__xludf.DUMMYFUNCTION("""COMPUTED_VALUE"""),"#VALUE!")</f>
        <v>#VALUE!</v>
      </c>
      <c r="J247" s="51" t="str">
        <f>IFERROR(__xludf.DUMMYFUNCTION("""COMPUTED_VALUE"""),"")</f>
        <v/>
      </c>
      <c r="K247" s="51"/>
      <c r="L247" s="51" t="s">
        <v>257</v>
      </c>
      <c r="M247" s="51"/>
      <c r="N247" s="51"/>
      <c r="O247" s="51"/>
      <c r="P247" s="51"/>
      <c r="Q247" s="51"/>
      <c r="R247" s="51"/>
      <c r="S247" s="51"/>
      <c r="T247" s="51"/>
    </row>
    <row r="248">
      <c r="A248" s="51"/>
      <c r="B248" s="51"/>
      <c r="C248" s="56"/>
      <c r="D248" s="51"/>
      <c r="E248" s="51"/>
      <c r="F248" s="51"/>
      <c r="G248" s="51" t="str">
        <f>IFERROR(__xludf.DUMMYFUNCTION("""COMPUTED_VALUE"""),"#VALUE!")</f>
        <v>#VALUE!</v>
      </c>
      <c r="H248" s="51" t="str">
        <f>IFERROR(__xludf.DUMMYFUNCTION("""COMPUTED_VALUE"""),"")</f>
        <v/>
      </c>
      <c r="I248" s="51" t="str">
        <f>IFERROR(__xludf.DUMMYFUNCTION("""COMPUTED_VALUE"""),"#VALUE!")</f>
        <v>#VALUE!</v>
      </c>
      <c r="J248" s="51" t="str">
        <f>IFERROR(__xludf.DUMMYFUNCTION("""COMPUTED_VALUE"""),"")</f>
        <v/>
      </c>
      <c r="K248" s="51"/>
      <c r="L248" s="51" t="s">
        <v>257</v>
      </c>
      <c r="M248" s="51"/>
      <c r="N248" s="51"/>
      <c r="O248" s="51"/>
      <c r="P248" s="51"/>
      <c r="Q248" s="51"/>
      <c r="R248" s="51"/>
      <c r="S248" s="51"/>
      <c r="T248" s="51"/>
    </row>
    <row r="249">
      <c r="A249" s="51"/>
      <c r="B249" s="51"/>
      <c r="C249" s="56"/>
      <c r="D249" s="51"/>
      <c r="E249" s="51"/>
      <c r="F249" s="51"/>
      <c r="G249" s="51" t="str">
        <f>IFERROR(__xludf.DUMMYFUNCTION("""COMPUTED_VALUE"""),"#VALUE!")</f>
        <v>#VALUE!</v>
      </c>
      <c r="H249" s="51" t="str">
        <f>IFERROR(__xludf.DUMMYFUNCTION("""COMPUTED_VALUE"""),"")</f>
        <v/>
      </c>
      <c r="I249" s="51" t="str">
        <f>IFERROR(__xludf.DUMMYFUNCTION("""COMPUTED_VALUE"""),"#VALUE!")</f>
        <v>#VALUE!</v>
      </c>
      <c r="J249" s="51" t="str">
        <f>IFERROR(__xludf.DUMMYFUNCTION("""COMPUTED_VALUE"""),"")</f>
        <v/>
      </c>
      <c r="K249" s="51"/>
      <c r="L249" s="51" t="s">
        <v>257</v>
      </c>
      <c r="M249" s="51"/>
      <c r="N249" s="51"/>
      <c r="O249" s="51"/>
      <c r="P249" s="51"/>
      <c r="Q249" s="51"/>
      <c r="R249" s="51"/>
      <c r="S249" s="51"/>
      <c r="T249" s="51"/>
    </row>
    <row r="250">
      <c r="A250" s="51"/>
      <c r="B250" s="51"/>
      <c r="C250" s="56"/>
      <c r="D250" s="51"/>
      <c r="E250" s="51"/>
      <c r="F250" s="51"/>
      <c r="G250" s="51" t="str">
        <f>IFERROR(__xludf.DUMMYFUNCTION("""COMPUTED_VALUE"""),"#VALUE!")</f>
        <v>#VALUE!</v>
      </c>
      <c r="H250" s="51" t="str">
        <f>IFERROR(__xludf.DUMMYFUNCTION("""COMPUTED_VALUE"""),"")</f>
        <v/>
      </c>
      <c r="I250" s="51" t="str">
        <f>IFERROR(__xludf.DUMMYFUNCTION("""COMPUTED_VALUE"""),"#VALUE!")</f>
        <v>#VALUE!</v>
      </c>
      <c r="J250" s="51" t="str">
        <f>IFERROR(__xludf.DUMMYFUNCTION("""COMPUTED_VALUE"""),"")</f>
        <v/>
      </c>
      <c r="K250" s="51"/>
      <c r="L250" s="51" t="s">
        <v>257</v>
      </c>
      <c r="M250" s="51"/>
      <c r="N250" s="51"/>
      <c r="O250" s="51"/>
      <c r="P250" s="51"/>
      <c r="Q250" s="51"/>
      <c r="R250" s="51"/>
      <c r="S250" s="51"/>
      <c r="T250" s="51"/>
    </row>
    <row r="251">
      <c r="A251" s="51"/>
      <c r="B251" s="51"/>
      <c r="C251" s="56"/>
      <c r="D251" s="51"/>
      <c r="E251" s="51"/>
      <c r="F251" s="51"/>
      <c r="G251" s="51" t="str">
        <f>IFERROR(__xludf.DUMMYFUNCTION("""COMPUTED_VALUE"""),"#VALUE!")</f>
        <v>#VALUE!</v>
      </c>
      <c r="H251" s="51" t="str">
        <f>IFERROR(__xludf.DUMMYFUNCTION("""COMPUTED_VALUE"""),"")</f>
        <v/>
      </c>
      <c r="I251" s="51" t="str">
        <f>IFERROR(__xludf.DUMMYFUNCTION("""COMPUTED_VALUE"""),"#VALUE!")</f>
        <v>#VALUE!</v>
      </c>
      <c r="J251" s="51" t="str">
        <f>IFERROR(__xludf.DUMMYFUNCTION("""COMPUTED_VALUE"""),"")</f>
        <v/>
      </c>
      <c r="K251" s="51"/>
      <c r="L251" s="51" t="s">
        <v>257</v>
      </c>
      <c r="M251" s="51"/>
      <c r="N251" s="51"/>
      <c r="O251" s="51"/>
      <c r="P251" s="51"/>
      <c r="Q251" s="51"/>
      <c r="R251" s="51"/>
      <c r="S251" s="51"/>
      <c r="T251" s="51"/>
    </row>
    <row r="252">
      <c r="A252" s="51"/>
      <c r="B252" s="51"/>
      <c r="C252" s="56"/>
      <c r="D252" s="51"/>
      <c r="E252" s="51"/>
      <c r="F252" s="51"/>
      <c r="G252" s="51" t="str">
        <f>IFERROR(__xludf.DUMMYFUNCTION("""COMPUTED_VALUE"""),"#VALUE!")</f>
        <v>#VALUE!</v>
      </c>
      <c r="H252" s="51" t="str">
        <f>IFERROR(__xludf.DUMMYFUNCTION("""COMPUTED_VALUE"""),"")</f>
        <v/>
      </c>
      <c r="I252" s="51" t="str">
        <f>IFERROR(__xludf.DUMMYFUNCTION("""COMPUTED_VALUE"""),"#VALUE!")</f>
        <v>#VALUE!</v>
      </c>
      <c r="J252" s="51" t="str">
        <f>IFERROR(__xludf.DUMMYFUNCTION("""COMPUTED_VALUE"""),"")</f>
        <v/>
      </c>
      <c r="K252" s="51"/>
      <c r="L252" s="51" t="s">
        <v>257</v>
      </c>
      <c r="M252" s="51"/>
      <c r="N252" s="51"/>
      <c r="O252" s="51"/>
      <c r="P252" s="51"/>
      <c r="Q252" s="51"/>
      <c r="R252" s="51"/>
      <c r="S252" s="51"/>
      <c r="T252" s="51"/>
    </row>
    <row r="253">
      <c r="A253" s="51"/>
      <c r="B253" s="51"/>
      <c r="C253" s="56"/>
      <c r="D253" s="51"/>
      <c r="E253" s="51"/>
      <c r="F253" s="51"/>
      <c r="G253" s="51" t="str">
        <f>IFERROR(__xludf.DUMMYFUNCTION("""COMPUTED_VALUE"""),"#VALUE!")</f>
        <v>#VALUE!</v>
      </c>
      <c r="H253" s="51" t="str">
        <f>IFERROR(__xludf.DUMMYFUNCTION("""COMPUTED_VALUE"""),"")</f>
        <v/>
      </c>
      <c r="I253" s="51" t="str">
        <f>IFERROR(__xludf.DUMMYFUNCTION("""COMPUTED_VALUE"""),"#VALUE!")</f>
        <v>#VALUE!</v>
      </c>
      <c r="J253" s="51" t="str">
        <f>IFERROR(__xludf.DUMMYFUNCTION("""COMPUTED_VALUE"""),"")</f>
        <v/>
      </c>
      <c r="K253" s="51"/>
      <c r="L253" s="51" t="s">
        <v>257</v>
      </c>
      <c r="M253" s="51"/>
      <c r="N253" s="51"/>
      <c r="O253" s="51"/>
      <c r="P253" s="51"/>
      <c r="Q253" s="51"/>
      <c r="R253" s="51"/>
      <c r="S253" s="51"/>
      <c r="T253" s="51"/>
    </row>
    <row r="254">
      <c r="A254" s="51"/>
      <c r="B254" s="51"/>
      <c r="C254" s="56"/>
      <c r="D254" s="51"/>
      <c r="E254" s="51"/>
      <c r="F254" s="51"/>
      <c r="G254" s="51" t="str">
        <f>IFERROR(__xludf.DUMMYFUNCTION("""COMPUTED_VALUE"""),"#VALUE!")</f>
        <v>#VALUE!</v>
      </c>
      <c r="H254" s="51" t="str">
        <f>IFERROR(__xludf.DUMMYFUNCTION("""COMPUTED_VALUE"""),"")</f>
        <v/>
      </c>
      <c r="I254" s="51" t="str">
        <f>IFERROR(__xludf.DUMMYFUNCTION("""COMPUTED_VALUE"""),"#VALUE!")</f>
        <v>#VALUE!</v>
      </c>
      <c r="J254" s="51" t="str">
        <f>IFERROR(__xludf.DUMMYFUNCTION("""COMPUTED_VALUE"""),"")</f>
        <v/>
      </c>
      <c r="K254" s="51"/>
      <c r="L254" s="51" t="s">
        <v>257</v>
      </c>
      <c r="M254" s="51"/>
      <c r="N254" s="51"/>
      <c r="O254" s="51"/>
      <c r="P254" s="51"/>
      <c r="Q254" s="51"/>
      <c r="R254" s="51"/>
      <c r="S254" s="51"/>
      <c r="T254" s="51"/>
    </row>
    <row r="255">
      <c r="A255" s="51"/>
      <c r="B255" s="51"/>
      <c r="C255" s="56"/>
      <c r="D255" s="51"/>
      <c r="E255" s="51"/>
      <c r="F255" s="51"/>
      <c r="G255" s="51" t="str">
        <f>IFERROR(__xludf.DUMMYFUNCTION("""COMPUTED_VALUE"""),"#VALUE!")</f>
        <v>#VALUE!</v>
      </c>
      <c r="H255" s="51" t="str">
        <f>IFERROR(__xludf.DUMMYFUNCTION("""COMPUTED_VALUE"""),"")</f>
        <v/>
      </c>
      <c r="I255" s="51" t="str">
        <f>IFERROR(__xludf.DUMMYFUNCTION("""COMPUTED_VALUE"""),"#VALUE!")</f>
        <v>#VALUE!</v>
      </c>
      <c r="J255" s="51" t="str">
        <f>IFERROR(__xludf.DUMMYFUNCTION("""COMPUTED_VALUE"""),"")</f>
        <v/>
      </c>
      <c r="K255" s="51"/>
      <c r="L255" s="51" t="s">
        <v>257</v>
      </c>
      <c r="M255" s="51"/>
      <c r="N255" s="51"/>
      <c r="O255" s="51"/>
      <c r="P255" s="51"/>
      <c r="Q255" s="51"/>
      <c r="R255" s="51"/>
      <c r="S255" s="51"/>
      <c r="T255" s="51"/>
    </row>
    <row r="256">
      <c r="A256" s="51"/>
      <c r="B256" s="51"/>
      <c r="C256" s="56"/>
      <c r="D256" s="51"/>
      <c r="E256" s="51"/>
      <c r="F256" s="51"/>
      <c r="G256" s="51" t="str">
        <f>IFERROR(__xludf.DUMMYFUNCTION("""COMPUTED_VALUE"""),"#VALUE!")</f>
        <v>#VALUE!</v>
      </c>
      <c r="H256" s="51" t="str">
        <f>IFERROR(__xludf.DUMMYFUNCTION("""COMPUTED_VALUE"""),"")</f>
        <v/>
      </c>
      <c r="I256" s="51" t="str">
        <f>IFERROR(__xludf.DUMMYFUNCTION("""COMPUTED_VALUE"""),"#VALUE!")</f>
        <v>#VALUE!</v>
      </c>
      <c r="J256" s="51" t="str">
        <f>IFERROR(__xludf.DUMMYFUNCTION("""COMPUTED_VALUE"""),"")</f>
        <v/>
      </c>
      <c r="K256" s="51"/>
      <c r="L256" s="51" t="s">
        <v>257</v>
      </c>
      <c r="M256" s="51"/>
      <c r="N256" s="51"/>
      <c r="O256" s="51"/>
      <c r="P256" s="51"/>
      <c r="Q256" s="51"/>
      <c r="R256" s="51"/>
      <c r="S256" s="51"/>
      <c r="T256" s="51"/>
    </row>
    <row r="257">
      <c r="A257" s="51"/>
      <c r="B257" s="51"/>
      <c r="C257" s="56"/>
      <c r="D257" s="51"/>
      <c r="E257" s="51"/>
      <c r="F257" s="51"/>
      <c r="G257" s="51" t="str">
        <f>IFERROR(__xludf.DUMMYFUNCTION("""COMPUTED_VALUE"""),"#VALUE!")</f>
        <v>#VALUE!</v>
      </c>
      <c r="H257" s="51" t="str">
        <f>IFERROR(__xludf.DUMMYFUNCTION("""COMPUTED_VALUE"""),"")</f>
        <v/>
      </c>
      <c r="I257" s="51" t="str">
        <f>IFERROR(__xludf.DUMMYFUNCTION("""COMPUTED_VALUE"""),"#VALUE!")</f>
        <v>#VALUE!</v>
      </c>
      <c r="J257" s="51" t="str">
        <f>IFERROR(__xludf.DUMMYFUNCTION("""COMPUTED_VALUE"""),"")</f>
        <v/>
      </c>
      <c r="K257" s="51"/>
      <c r="L257" s="51" t="s">
        <v>257</v>
      </c>
      <c r="M257" s="51"/>
      <c r="N257" s="51"/>
      <c r="O257" s="51"/>
      <c r="P257" s="51"/>
      <c r="Q257" s="51"/>
      <c r="R257" s="51"/>
      <c r="S257" s="51"/>
      <c r="T257" s="51"/>
    </row>
    <row r="258">
      <c r="A258" s="51"/>
      <c r="B258" s="51"/>
      <c r="C258" s="56"/>
      <c r="D258" s="51"/>
      <c r="E258" s="51"/>
      <c r="F258" s="51"/>
      <c r="G258" s="51" t="str">
        <f>IFERROR(__xludf.DUMMYFUNCTION("""COMPUTED_VALUE"""),"#VALUE!")</f>
        <v>#VALUE!</v>
      </c>
      <c r="H258" s="51" t="str">
        <f>IFERROR(__xludf.DUMMYFUNCTION("""COMPUTED_VALUE"""),"")</f>
        <v/>
      </c>
      <c r="I258" s="51" t="str">
        <f>IFERROR(__xludf.DUMMYFUNCTION("""COMPUTED_VALUE"""),"#VALUE!")</f>
        <v>#VALUE!</v>
      </c>
      <c r="J258" s="51" t="str">
        <f>IFERROR(__xludf.DUMMYFUNCTION("""COMPUTED_VALUE"""),"")</f>
        <v/>
      </c>
      <c r="K258" s="51"/>
      <c r="L258" s="51" t="s">
        <v>257</v>
      </c>
      <c r="M258" s="51"/>
      <c r="N258" s="51"/>
      <c r="O258" s="51"/>
      <c r="P258" s="51"/>
      <c r="Q258" s="51"/>
      <c r="R258" s="51"/>
      <c r="S258" s="51"/>
      <c r="T258" s="51"/>
    </row>
    <row r="259">
      <c r="A259" s="51"/>
      <c r="B259" s="51"/>
      <c r="C259" s="56"/>
      <c r="D259" s="51"/>
      <c r="E259" s="51"/>
      <c r="F259" s="51"/>
      <c r="G259" s="51" t="str">
        <f>IFERROR(__xludf.DUMMYFUNCTION("""COMPUTED_VALUE"""),"#VALUE!")</f>
        <v>#VALUE!</v>
      </c>
      <c r="H259" s="51" t="str">
        <f>IFERROR(__xludf.DUMMYFUNCTION("""COMPUTED_VALUE"""),"")</f>
        <v/>
      </c>
      <c r="I259" s="51" t="str">
        <f>IFERROR(__xludf.DUMMYFUNCTION("""COMPUTED_VALUE"""),"#VALUE!")</f>
        <v>#VALUE!</v>
      </c>
      <c r="J259" s="51" t="str">
        <f>IFERROR(__xludf.DUMMYFUNCTION("""COMPUTED_VALUE"""),"")</f>
        <v/>
      </c>
      <c r="K259" s="51"/>
      <c r="L259" s="51" t="s">
        <v>257</v>
      </c>
      <c r="M259" s="51"/>
      <c r="N259" s="51"/>
      <c r="O259" s="51"/>
      <c r="P259" s="51"/>
      <c r="Q259" s="51"/>
      <c r="R259" s="51"/>
      <c r="S259" s="51"/>
      <c r="T259" s="51"/>
    </row>
    <row r="260">
      <c r="A260" s="51"/>
      <c r="B260" s="51"/>
      <c r="C260" s="56"/>
      <c r="D260" s="51"/>
      <c r="E260" s="51"/>
      <c r="F260" s="51"/>
      <c r="G260" s="51" t="str">
        <f>IFERROR(__xludf.DUMMYFUNCTION("""COMPUTED_VALUE"""),"#VALUE!")</f>
        <v>#VALUE!</v>
      </c>
      <c r="H260" s="51" t="str">
        <f>IFERROR(__xludf.DUMMYFUNCTION("""COMPUTED_VALUE"""),"")</f>
        <v/>
      </c>
      <c r="I260" s="51" t="str">
        <f>IFERROR(__xludf.DUMMYFUNCTION("""COMPUTED_VALUE"""),"#VALUE!")</f>
        <v>#VALUE!</v>
      </c>
      <c r="J260" s="51" t="str">
        <f>IFERROR(__xludf.DUMMYFUNCTION("""COMPUTED_VALUE"""),"")</f>
        <v/>
      </c>
      <c r="K260" s="51"/>
      <c r="L260" s="51" t="s">
        <v>257</v>
      </c>
      <c r="M260" s="51"/>
      <c r="N260" s="51"/>
      <c r="O260" s="51"/>
      <c r="P260" s="51"/>
      <c r="Q260" s="51"/>
      <c r="R260" s="51"/>
      <c r="S260" s="51"/>
      <c r="T260" s="51"/>
    </row>
    <row r="261">
      <c r="A261" s="51"/>
      <c r="B261" s="51"/>
      <c r="C261" s="56"/>
      <c r="D261" s="51"/>
      <c r="E261" s="51"/>
      <c r="F261" s="51"/>
      <c r="G261" s="51" t="str">
        <f>IFERROR(__xludf.DUMMYFUNCTION("""COMPUTED_VALUE"""),"#VALUE!")</f>
        <v>#VALUE!</v>
      </c>
      <c r="H261" s="51" t="str">
        <f>IFERROR(__xludf.DUMMYFUNCTION("""COMPUTED_VALUE"""),"")</f>
        <v/>
      </c>
      <c r="I261" s="51" t="str">
        <f>IFERROR(__xludf.DUMMYFUNCTION("""COMPUTED_VALUE"""),"#VALUE!")</f>
        <v>#VALUE!</v>
      </c>
      <c r="J261" s="51" t="str">
        <f>IFERROR(__xludf.DUMMYFUNCTION("""COMPUTED_VALUE"""),"")</f>
        <v/>
      </c>
      <c r="K261" s="51"/>
      <c r="L261" s="51" t="s">
        <v>257</v>
      </c>
      <c r="M261" s="51"/>
      <c r="N261" s="51"/>
      <c r="O261" s="51"/>
      <c r="P261" s="51"/>
      <c r="Q261" s="51"/>
      <c r="R261" s="51"/>
      <c r="S261" s="51"/>
      <c r="T261" s="51"/>
    </row>
    <row r="262">
      <c r="A262" s="51"/>
      <c r="B262" s="51"/>
      <c r="C262" s="56"/>
      <c r="D262" s="51"/>
      <c r="E262" s="51"/>
      <c r="F262" s="51"/>
      <c r="G262" s="51" t="str">
        <f>IFERROR(__xludf.DUMMYFUNCTION("""COMPUTED_VALUE"""),"#VALUE!")</f>
        <v>#VALUE!</v>
      </c>
      <c r="H262" s="51" t="str">
        <f>IFERROR(__xludf.DUMMYFUNCTION("""COMPUTED_VALUE"""),"")</f>
        <v/>
      </c>
      <c r="I262" s="51" t="str">
        <f>IFERROR(__xludf.DUMMYFUNCTION("""COMPUTED_VALUE"""),"#VALUE!")</f>
        <v>#VALUE!</v>
      </c>
      <c r="J262" s="51" t="str">
        <f>IFERROR(__xludf.DUMMYFUNCTION("""COMPUTED_VALUE"""),"")</f>
        <v/>
      </c>
      <c r="K262" s="51"/>
      <c r="L262" s="51" t="s">
        <v>257</v>
      </c>
      <c r="M262" s="51"/>
      <c r="N262" s="51"/>
      <c r="O262" s="51"/>
      <c r="P262" s="51"/>
      <c r="Q262" s="51"/>
      <c r="R262" s="51"/>
      <c r="S262" s="51"/>
      <c r="T262" s="51"/>
    </row>
    <row r="263">
      <c r="A263" s="51"/>
      <c r="B263" s="51"/>
      <c r="C263" s="56"/>
      <c r="D263" s="51"/>
      <c r="E263" s="51"/>
      <c r="F263" s="51"/>
      <c r="G263" s="51" t="str">
        <f>IFERROR(__xludf.DUMMYFUNCTION("""COMPUTED_VALUE"""),"#VALUE!")</f>
        <v>#VALUE!</v>
      </c>
      <c r="H263" s="51" t="str">
        <f>IFERROR(__xludf.DUMMYFUNCTION("""COMPUTED_VALUE"""),"")</f>
        <v/>
      </c>
      <c r="I263" s="51" t="str">
        <f>IFERROR(__xludf.DUMMYFUNCTION("""COMPUTED_VALUE"""),"#VALUE!")</f>
        <v>#VALUE!</v>
      </c>
      <c r="J263" s="51" t="str">
        <f>IFERROR(__xludf.DUMMYFUNCTION("""COMPUTED_VALUE"""),"")</f>
        <v/>
      </c>
      <c r="K263" s="51"/>
      <c r="L263" s="51" t="s">
        <v>257</v>
      </c>
      <c r="M263" s="51"/>
      <c r="N263" s="51"/>
      <c r="O263" s="51"/>
      <c r="P263" s="51"/>
      <c r="Q263" s="51"/>
      <c r="R263" s="51"/>
      <c r="S263" s="51"/>
      <c r="T263" s="51"/>
    </row>
    <row r="264">
      <c r="A264" s="51"/>
      <c r="B264" s="51"/>
      <c r="C264" s="56"/>
      <c r="D264" s="51"/>
      <c r="E264" s="51"/>
      <c r="F264" s="51"/>
      <c r="G264" s="51" t="str">
        <f>IFERROR(__xludf.DUMMYFUNCTION("""COMPUTED_VALUE"""),"#VALUE!")</f>
        <v>#VALUE!</v>
      </c>
      <c r="H264" s="51" t="str">
        <f>IFERROR(__xludf.DUMMYFUNCTION("""COMPUTED_VALUE"""),"")</f>
        <v/>
      </c>
      <c r="I264" s="51" t="str">
        <f>IFERROR(__xludf.DUMMYFUNCTION("""COMPUTED_VALUE"""),"#VALUE!")</f>
        <v>#VALUE!</v>
      </c>
      <c r="J264" s="51" t="str">
        <f>IFERROR(__xludf.DUMMYFUNCTION("""COMPUTED_VALUE"""),"")</f>
        <v/>
      </c>
      <c r="K264" s="51"/>
      <c r="L264" s="51" t="s">
        <v>257</v>
      </c>
      <c r="M264" s="51"/>
      <c r="N264" s="51"/>
      <c r="O264" s="51"/>
      <c r="P264" s="51"/>
      <c r="Q264" s="51"/>
      <c r="R264" s="51"/>
      <c r="S264" s="51"/>
      <c r="T264" s="51"/>
    </row>
    <row r="265">
      <c r="A265" s="51"/>
      <c r="B265" s="51"/>
      <c r="C265" s="56"/>
      <c r="D265" s="51"/>
      <c r="E265" s="51"/>
      <c r="F265" s="51"/>
      <c r="G265" s="51" t="str">
        <f>IFERROR(__xludf.DUMMYFUNCTION("""COMPUTED_VALUE"""),"#VALUE!")</f>
        <v>#VALUE!</v>
      </c>
      <c r="H265" s="51" t="str">
        <f>IFERROR(__xludf.DUMMYFUNCTION("""COMPUTED_VALUE"""),"")</f>
        <v/>
      </c>
      <c r="I265" s="51" t="str">
        <f>IFERROR(__xludf.DUMMYFUNCTION("""COMPUTED_VALUE"""),"#VALUE!")</f>
        <v>#VALUE!</v>
      </c>
      <c r="J265" s="51" t="str">
        <f>IFERROR(__xludf.DUMMYFUNCTION("""COMPUTED_VALUE"""),"")</f>
        <v/>
      </c>
      <c r="K265" s="51"/>
      <c r="L265" s="51" t="s">
        <v>257</v>
      </c>
      <c r="M265" s="51"/>
      <c r="N265" s="51"/>
      <c r="O265" s="51"/>
      <c r="P265" s="51"/>
      <c r="Q265" s="51"/>
      <c r="R265" s="51"/>
      <c r="S265" s="51"/>
      <c r="T265" s="51"/>
    </row>
    <row r="266">
      <c r="A266" s="51"/>
      <c r="B266" s="51"/>
      <c r="C266" s="56"/>
      <c r="D266" s="51"/>
      <c r="E266" s="51"/>
      <c r="F266" s="51"/>
      <c r="G266" s="51" t="str">
        <f>IFERROR(__xludf.DUMMYFUNCTION("""COMPUTED_VALUE"""),"#VALUE!")</f>
        <v>#VALUE!</v>
      </c>
      <c r="H266" s="51" t="str">
        <f>IFERROR(__xludf.DUMMYFUNCTION("""COMPUTED_VALUE"""),"")</f>
        <v/>
      </c>
      <c r="I266" s="51" t="str">
        <f>IFERROR(__xludf.DUMMYFUNCTION("""COMPUTED_VALUE"""),"#VALUE!")</f>
        <v>#VALUE!</v>
      </c>
      <c r="J266" s="51" t="str">
        <f>IFERROR(__xludf.DUMMYFUNCTION("""COMPUTED_VALUE"""),"")</f>
        <v/>
      </c>
      <c r="K266" s="51"/>
      <c r="L266" s="51" t="s">
        <v>257</v>
      </c>
      <c r="M266" s="51"/>
      <c r="N266" s="51"/>
      <c r="O266" s="51"/>
      <c r="P266" s="51"/>
      <c r="Q266" s="51"/>
      <c r="R266" s="51"/>
      <c r="S266" s="51"/>
      <c r="T266" s="51"/>
    </row>
    <row r="267">
      <c r="A267" s="51"/>
      <c r="B267" s="51"/>
      <c r="C267" s="56"/>
      <c r="D267" s="51"/>
      <c r="E267" s="51"/>
      <c r="F267" s="51"/>
      <c r="G267" s="51" t="str">
        <f>IFERROR(__xludf.DUMMYFUNCTION("""COMPUTED_VALUE"""),"#VALUE!")</f>
        <v>#VALUE!</v>
      </c>
      <c r="H267" s="51" t="str">
        <f>IFERROR(__xludf.DUMMYFUNCTION("""COMPUTED_VALUE"""),"")</f>
        <v/>
      </c>
      <c r="I267" s="51" t="str">
        <f>IFERROR(__xludf.DUMMYFUNCTION("""COMPUTED_VALUE"""),"#VALUE!")</f>
        <v>#VALUE!</v>
      </c>
      <c r="J267" s="51" t="str">
        <f>IFERROR(__xludf.DUMMYFUNCTION("""COMPUTED_VALUE"""),"")</f>
        <v/>
      </c>
      <c r="K267" s="51"/>
      <c r="L267" s="51" t="s">
        <v>257</v>
      </c>
      <c r="M267" s="51"/>
      <c r="N267" s="51"/>
      <c r="O267" s="51"/>
      <c r="P267" s="51"/>
      <c r="Q267" s="51"/>
      <c r="R267" s="51"/>
      <c r="S267" s="51"/>
      <c r="T267" s="51"/>
    </row>
    <row r="268">
      <c r="A268" s="51"/>
      <c r="B268" s="51"/>
      <c r="C268" s="56"/>
      <c r="D268" s="51"/>
      <c r="E268" s="51"/>
      <c r="F268" s="51"/>
      <c r="G268" s="51" t="str">
        <f>IFERROR(__xludf.DUMMYFUNCTION("""COMPUTED_VALUE"""),"#VALUE!")</f>
        <v>#VALUE!</v>
      </c>
      <c r="H268" s="51" t="str">
        <f>IFERROR(__xludf.DUMMYFUNCTION("""COMPUTED_VALUE"""),"")</f>
        <v/>
      </c>
      <c r="I268" s="51" t="str">
        <f>IFERROR(__xludf.DUMMYFUNCTION("""COMPUTED_VALUE"""),"#VALUE!")</f>
        <v>#VALUE!</v>
      </c>
      <c r="J268" s="51" t="str">
        <f>IFERROR(__xludf.DUMMYFUNCTION("""COMPUTED_VALUE"""),"")</f>
        <v/>
      </c>
      <c r="K268" s="51"/>
      <c r="L268" s="51" t="s">
        <v>257</v>
      </c>
      <c r="M268" s="51"/>
      <c r="N268" s="51"/>
      <c r="O268" s="51"/>
      <c r="P268" s="51"/>
      <c r="Q268" s="51"/>
      <c r="R268" s="51"/>
      <c r="S268" s="51"/>
      <c r="T268" s="51"/>
    </row>
    <row r="269">
      <c r="A269" s="51"/>
      <c r="B269" s="51"/>
      <c r="C269" s="56"/>
      <c r="D269" s="51"/>
      <c r="E269" s="51"/>
      <c r="F269" s="51"/>
      <c r="G269" s="51" t="str">
        <f>IFERROR(__xludf.DUMMYFUNCTION("""COMPUTED_VALUE"""),"#VALUE!")</f>
        <v>#VALUE!</v>
      </c>
      <c r="H269" s="51" t="str">
        <f>IFERROR(__xludf.DUMMYFUNCTION("""COMPUTED_VALUE"""),"")</f>
        <v/>
      </c>
      <c r="I269" s="51" t="str">
        <f>IFERROR(__xludf.DUMMYFUNCTION("""COMPUTED_VALUE"""),"#VALUE!")</f>
        <v>#VALUE!</v>
      </c>
      <c r="J269" s="51" t="str">
        <f>IFERROR(__xludf.DUMMYFUNCTION("""COMPUTED_VALUE"""),"")</f>
        <v/>
      </c>
      <c r="K269" s="51"/>
      <c r="L269" s="51" t="s">
        <v>257</v>
      </c>
      <c r="M269" s="51"/>
      <c r="N269" s="51"/>
      <c r="O269" s="51"/>
      <c r="P269" s="51"/>
      <c r="Q269" s="51"/>
      <c r="R269" s="51"/>
      <c r="S269" s="51"/>
      <c r="T269" s="51"/>
    </row>
    <row r="270">
      <c r="A270" s="51"/>
      <c r="B270" s="51"/>
      <c r="C270" s="56"/>
      <c r="D270" s="51"/>
      <c r="E270" s="51"/>
      <c r="F270" s="51"/>
      <c r="G270" s="51" t="str">
        <f>IFERROR(__xludf.DUMMYFUNCTION("""COMPUTED_VALUE"""),"#VALUE!")</f>
        <v>#VALUE!</v>
      </c>
      <c r="H270" s="51" t="str">
        <f>IFERROR(__xludf.DUMMYFUNCTION("""COMPUTED_VALUE"""),"")</f>
        <v/>
      </c>
      <c r="I270" s="51" t="str">
        <f>IFERROR(__xludf.DUMMYFUNCTION("""COMPUTED_VALUE"""),"#VALUE!")</f>
        <v>#VALUE!</v>
      </c>
      <c r="J270" s="51" t="str">
        <f>IFERROR(__xludf.DUMMYFUNCTION("""COMPUTED_VALUE"""),"")</f>
        <v/>
      </c>
      <c r="K270" s="51"/>
      <c r="L270" s="51" t="s">
        <v>257</v>
      </c>
      <c r="M270" s="51"/>
      <c r="N270" s="51"/>
      <c r="O270" s="51"/>
      <c r="P270" s="51"/>
      <c r="Q270" s="51"/>
      <c r="R270" s="51"/>
      <c r="S270" s="51"/>
      <c r="T270" s="51"/>
    </row>
    <row r="271">
      <c r="A271" s="51"/>
      <c r="B271" s="51"/>
      <c r="C271" s="56"/>
      <c r="D271" s="51"/>
      <c r="E271" s="51"/>
      <c r="F271" s="51"/>
      <c r="G271" s="51" t="str">
        <f>IFERROR(__xludf.DUMMYFUNCTION("""COMPUTED_VALUE"""),"#VALUE!")</f>
        <v>#VALUE!</v>
      </c>
      <c r="H271" s="51" t="str">
        <f>IFERROR(__xludf.DUMMYFUNCTION("""COMPUTED_VALUE"""),"")</f>
        <v/>
      </c>
      <c r="I271" s="51" t="str">
        <f>IFERROR(__xludf.DUMMYFUNCTION("""COMPUTED_VALUE"""),"#VALUE!")</f>
        <v>#VALUE!</v>
      </c>
      <c r="J271" s="51" t="str">
        <f>IFERROR(__xludf.DUMMYFUNCTION("""COMPUTED_VALUE"""),"")</f>
        <v/>
      </c>
      <c r="K271" s="51"/>
      <c r="L271" s="51" t="s">
        <v>257</v>
      </c>
      <c r="M271" s="51"/>
      <c r="N271" s="51"/>
      <c r="O271" s="51"/>
      <c r="P271" s="51"/>
      <c r="Q271" s="51"/>
      <c r="R271" s="51"/>
      <c r="S271" s="51"/>
      <c r="T271" s="51"/>
    </row>
    <row r="272">
      <c r="A272" s="51"/>
      <c r="B272" s="51"/>
      <c r="C272" s="56"/>
      <c r="D272" s="51"/>
      <c r="E272" s="51"/>
      <c r="F272" s="51"/>
      <c r="G272" s="51" t="str">
        <f>IFERROR(__xludf.DUMMYFUNCTION("""COMPUTED_VALUE"""),"#VALUE!")</f>
        <v>#VALUE!</v>
      </c>
      <c r="H272" s="51" t="str">
        <f>IFERROR(__xludf.DUMMYFUNCTION("""COMPUTED_VALUE"""),"")</f>
        <v/>
      </c>
      <c r="I272" s="51" t="str">
        <f>IFERROR(__xludf.DUMMYFUNCTION("""COMPUTED_VALUE"""),"#VALUE!")</f>
        <v>#VALUE!</v>
      </c>
      <c r="J272" s="51" t="str">
        <f>IFERROR(__xludf.DUMMYFUNCTION("""COMPUTED_VALUE"""),"")</f>
        <v/>
      </c>
      <c r="K272" s="51"/>
      <c r="L272" s="51" t="s">
        <v>257</v>
      </c>
      <c r="M272" s="51"/>
      <c r="N272" s="51"/>
      <c r="O272" s="51"/>
      <c r="P272" s="51"/>
      <c r="Q272" s="51"/>
      <c r="R272" s="51"/>
      <c r="S272" s="51"/>
      <c r="T272" s="51"/>
    </row>
    <row r="273">
      <c r="A273" s="51"/>
      <c r="B273" s="51"/>
      <c r="C273" s="56"/>
      <c r="D273" s="51"/>
      <c r="E273" s="51"/>
      <c r="F273" s="51"/>
      <c r="G273" s="51" t="str">
        <f>IFERROR(__xludf.DUMMYFUNCTION("""COMPUTED_VALUE"""),"#VALUE!")</f>
        <v>#VALUE!</v>
      </c>
      <c r="H273" s="51" t="str">
        <f>IFERROR(__xludf.DUMMYFUNCTION("""COMPUTED_VALUE"""),"")</f>
        <v/>
      </c>
      <c r="I273" s="51" t="str">
        <f>IFERROR(__xludf.DUMMYFUNCTION("""COMPUTED_VALUE"""),"#VALUE!")</f>
        <v>#VALUE!</v>
      </c>
      <c r="J273" s="51" t="str">
        <f>IFERROR(__xludf.DUMMYFUNCTION("""COMPUTED_VALUE"""),"")</f>
        <v/>
      </c>
      <c r="K273" s="51"/>
      <c r="L273" s="51" t="s">
        <v>257</v>
      </c>
      <c r="M273" s="51"/>
      <c r="N273" s="51"/>
      <c r="O273" s="51"/>
      <c r="P273" s="51"/>
      <c r="Q273" s="51"/>
      <c r="R273" s="51"/>
      <c r="S273" s="51"/>
      <c r="T273" s="51"/>
    </row>
    <row r="274">
      <c r="A274" s="51"/>
      <c r="B274" s="51"/>
      <c r="C274" s="56"/>
      <c r="D274" s="51"/>
      <c r="E274" s="51"/>
      <c r="F274" s="51"/>
      <c r="G274" s="51" t="str">
        <f>IFERROR(__xludf.DUMMYFUNCTION("""COMPUTED_VALUE"""),"#VALUE!")</f>
        <v>#VALUE!</v>
      </c>
      <c r="H274" s="51" t="str">
        <f>IFERROR(__xludf.DUMMYFUNCTION("""COMPUTED_VALUE"""),"")</f>
        <v/>
      </c>
      <c r="I274" s="51" t="str">
        <f>IFERROR(__xludf.DUMMYFUNCTION("""COMPUTED_VALUE"""),"#VALUE!")</f>
        <v>#VALUE!</v>
      </c>
      <c r="J274" s="51" t="str">
        <f>IFERROR(__xludf.DUMMYFUNCTION("""COMPUTED_VALUE"""),"")</f>
        <v/>
      </c>
      <c r="K274" s="51"/>
      <c r="L274" s="51" t="s">
        <v>257</v>
      </c>
      <c r="M274" s="51"/>
      <c r="N274" s="51"/>
      <c r="O274" s="51"/>
      <c r="P274" s="51"/>
      <c r="Q274" s="51"/>
      <c r="R274" s="51"/>
      <c r="S274" s="51"/>
      <c r="T274" s="51"/>
    </row>
    <row r="275">
      <c r="A275" s="51"/>
      <c r="B275" s="51"/>
      <c r="C275" s="56"/>
      <c r="D275" s="51"/>
      <c r="E275" s="51"/>
      <c r="F275" s="51"/>
      <c r="G275" s="51" t="str">
        <f>IFERROR(__xludf.DUMMYFUNCTION("""COMPUTED_VALUE"""),"#VALUE!")</f>
        <v>#VALUE!</v>
      </c>
      <c r="H275" s="51" t="str">
        <f>IFERROR(__xludf.DUMMYFUNCTION("""COMPUTED_VALUE"""),"")</f>
        <v/>
      </c>
      <c r="I275" s="51" t="str">
        <f>IFERROR(__xludf.DUMMYFUNCTION("""COMPUTED_VALUE"""),"#VALUE!")</f>
        <v>#VALUE!</v>
      </c>
      <c r="J275" s="51" t="str">
        <f>IFERROR(__xludf.DUMMYFUNCTION("""COMPUTED_VALUE"""),"")</f>
        <v/>
      </c>
      <c r="K275" s="51"/>
      <c r="L275" s="51" t="s">
        <v>257</v>
      </c>
      <c r="M275" s="51"/>
      <c r="N275" s="51"/>
      <c r="O275" s="51"/>
      <c r="P275" s="51"/>
      <c r="Q275" s="51"/>
      <c r="R275" s="51"/>
      <c r="S275" s="51"/>
      <c r="T275" s="51"/>
    </row>
    <row r="276">
      <c r="A276" s="51"/>
      <c r="B276" s="51"/>
      <c r="C276" s="56"/>
      <c r="D276" s="51"/>
      <c r="E276" s="51"/>
      <c r="F276" s="51"/>
      <c r="G276" s="51" t="str">
        <f>IFERROR(__xludf.DUMMYFUNCTION("""COMPUTED_VALUE"""),"#VALUE!")</f>
        <v>#VALUE!</v>
      </c>
      <c r="H276" s="51" t="str">
        <f>IFERROR(__xludf.DUMMYFUNCTION("""COMPUTED_VALUE"""),"")</f>
        <v/>
      </c>
      <c r="I276" s="51" t="str">
        <f>IFERROR(__xludf.DUMMYFUNCTION("""COMPUTED_VALUE"""),"#VALUE!")</f>
        <v>#VALUE!</v>
      </c>
      <c r="J276" s="51" t="str">
        <f>IFERROR(__xludf.DUMMYFUNCTION("""COMPUTED_VALUE"""),"")</f>
        <v/>
      </c>
      <c r="K276" s="51"/>
      <c r="L276" s="51" t="s">
        <v>257</v>
      </c>
      <c r="M276" s="51"/>
      <c r="N276" s="51"/>
      <c r="O276" s="51"/>
      <c r="P276" s="51"/>
      <c r="Q276" s="51"/>
      <c r="R276" s="51"/>
      <c r="S276" s="51"/>
      <c r="T276" s="51"/>
    </row>
    <row r="277">
      <c r="A277" s="51"/>
      <c r="B277" s="51"/>
      <c r="C277" s="56"/>
      <c r="D277" s="51"/>
      <c r="E277" s="51"/>
      <c r="F277" s="51"/>
      <c r="G277" s="51" t="str">
        <f>IFERROR(__xludf.DUMMYFUNCTION("""COMPUTED_VALUE"""),"#VALUE!")</f>
        <v>#VALUE!</v>
      </c>
      <c r="H277" s="51" t="str">
        <f>IFERROR(__xludf.DUMMYFUNCTION("""COMPUTED_VALUE"""),"")</f>
        <v/>
      </c>
      <c r="I277" s="51" t="str">
        <f>IFERROR(__xludf.DUMMYFUNCTION("""COMPUTED_VALUE"""),"#VALUE!")</f>
        <v>#VALUE!</v>
      </c>
      <c r="J277" s="51" t="str">
        <f>IFERROR(__xludf.DUMMYFUNCTION("""COMPUTED_VALUE"""),"")</f>
        <v/>
      </c>
      <c r="K277" s="51"/>
      <c r="L277" s="51" t="s">
        <v>257</v>
      </c>
      <c r="M277" s="51"/>
      <c r="N277" s="51"/>
      <c r="O277" s="51"/>
      <c r="P277" s="51"/>
      <c r="Q277" s="51"/>
      <c r="R277" s="51"/>
      <c r="S277" s="51"/>
      <c r="T277" s="51"/>
    </row>
    <row r="278">
      <c r="A278" s="51"/>
      <c r="B278" s="51"/>
      <c r="C278" s="56"/>
      <c r="D278" s="51"/>
      <c r="E278" s="51"/>
      <c r="F278" s="51"/>
      <c r="G278" s="51" t="str">
        <f>IFERROR(__xludf.DUMMYFUNCTION("""COMPUTED_VALUE"""),"#VALUE!")</f>
        <v>#VALUE!</v>
      </c>
      <c r="H278" s="51" t="str">
        <f>IFERROR(__xludf.DUMMYFUNCTION("""COMPUTED_VALUE"""),"")</f>
        <v/>
      </c>
      <c r="I278" s="51" t="str">
        <f>IFERROR(__xludf.DUMMYFUNCTION("""COMPUTED_VALUE"""),"#VALUE!")</f>
        <v>#VALUE!</v>
      </c>
      <c r="J278" s="51" t="str">
        <f>IFERROR(__xludf.DUMMYFUNCTION("""COMPUTED_VALUE"""),"")</f>
        <v/>
      </c>
      <c r="K278" s="51"/>
      <c r="L278" s="51" t="s">
        <v>257</v>
      </c>
      <c r="M278" s="51"/>
      <c r="N278" s="51"/>
      <c r="O278" s="51"/>
      <c r="P278" s="51"/>
      <c r="Q278" s="51"/>
      <c r="R278" s="51"/>
      <c r="S278" s="51"/>
      <c r="T278" s="51"/>
    </row>
    <row r="279">
      <c r="A279" s="51"/>
      <c r="B279" s="51"/>
      <c r="C279" s="56"/>
      <c r="D279" s="51"/>
      <c r="E279" s="51"/>
      <c r="F279" s="51"/>
      <c r="G279" s="51" t="str">
        <f>IFERROR(__xludf.DUMMYFUNCTION("""COMPUTED_VALUE"""),"#VALUE!")</f>
        <v>#VALUE!</v>
      </c>
      <c r="H279" s="51" t="str">
        <f>IFERROR(__xludf.DUMMYFUNCTION("""COMPUTED_VALUE"""),"")</f>
        <v/>
      </c>
      <c r="I279" s="51" t="str">
        <f>IFERROR(__xludf.DUMMYFUNCTION("""COMPUTED_VALUE"""),"#VALUE!")</f>
        <v>#VALUE!</v>
      </c>
      <c r="J279" s="51" t="str">
        <f>IFERROR(__xludf.DUMMYFUNCTION("""COMPUTED_VALUE"""),"")</f>
        <v/>
      </c>
      <c r="K279" s="51"/>
      <c r="L279" s="51" t="s">
        <v>257</v>
      </c>
      <c r="M279" s="51"/>
      <c r="N279" s="51"/>
      <c r="O279" s="51"/>
      <c r="P279" s="51"/>
      <c r="Q279" s="51"/>
      <c r="R279" s="51"/>
      <c r="S279" s="51"/>
      <c r="T279" s="51"/>
    </row>
    <row r="280">
      <c r="A280" s="51"/>
      <c r="B280" s="51"/>
      <c r="C280" s="56"/>
      <c r="D280" s="51"/>
      <c r="E280" s="51"/>
      <c r="F280" s="51"/>
      <c r="G280" s="51" t="str">
        <f>IFERROR(__xludf.DUMMYFUNCTION("""COMPUTED_VALUE"""),"#VALUE!")</f>
        <v>#VALUE!</v>
      </c>
      <c r="H280" s="51" t="str">
        <f>IFERROR(__xludf.DUMMYFUNCTION("""COMPUTED_VALUE"""),"")</f>
        <v/>
      </c>
      <c r="I280" s="51" t="str">
        <f>IFERROR(__xludf.DUMMYFUNCTION("""COMPUTED_VALUE"""),"#VALUE!")</f>
        <v>#VALUE!</v>
      </c>
      <c r="J280" s="51" t="str">
        <f>IFERROR(__xludf.DUMMYFUNCTION("""COMPUTED_VALUE"""),"")</f>
        <v/>
      </c>
      <c r="K280" s="51"/>
      <c r="L280" s="51" t="s">
        <v>257</v>
      </c>
      <c r="M280" s="51"/>
      <c r="N280" s="51"/>
      <c r="O280" s="51"/>
      <c r="P280" s="51"/>
      <c r="Q280" s="51"/>
      <c r="R280" s="51"/>
      <c r="S280" s="51"/>
      <c r="T280" s="51"/>
    </row>
    <row r="281">
      <c r="A281" s="51"/>
      <c r="B281" s="51"/>
      <c r="C281" s="56"/>
      <c r="D281" s="51"/>
      <c r="E281" s="51"/>
      <c r="F281" s="51"/>
      <c r="G281" s="51" t="str">
        <f>IFERROR(__xludf.DUMMYFUNCTION("""COMPUTED_VALUE"""),"#VALUE!")</f>
        <v>#VALUE!</v>
      </c>
      <c r="H281" s="51" t="str">
        <f>IFERROR(__xludf.DUMMYFUNCTION("""COMPUTED_VALUE"""),"")</f>
        <v/>
      </c>
      <c r="I281" s="51" t="str">
        <f>IFERROR(__xludf.DUMMYFUNCTION("""COMPUTED_VALUE"""),"#VALUE!")</f>
        <v>#VALUE!</v>
      </c>
      <c r="J281" s="51" t="str">
        <f>IFERROR(__xludf.DUMMYFUNCTION("""COMPUTED_VALUE"""),"")</f>
        <v/>
      </c>
      <c r="K281" s="51"/>
      <c r="L281" s="51" t="s">
        <v>257</v>
      </c>
      <c r="M281" s="51"/>
      <c r="N281" s="51"/>
      <c r="O281" s="51"/>
      <c r="P281" s="51"/>
      <c r="Q281" s="51"/>
      <c r="R281" s="51"/>
      <c r="S281" s="51"/>
      <c r="T281" s="51"/>
    </row>
    <row r="282">
      <c r="A282" s="51"/>
      <c r="B282" s="51"/>
      <c r="C282" s="56"/>
      <c r="D282" s="51"/>
      <c r="E282" s="51"/>
      <c r="F282" s="51"/>
      <c r="G282" s="51" t="str">
        <f>IFERROR(__xludf.DUMMYFUNCTION("""COMPUTED_VALUE"""),"#VALUE!")</f>
        <v>#VALUE!</v>
      </c>
      <c r="H282" s="51" t="str">
        <f>IFERROR(__xludf.DUMMYFUNCTION("""COMPUTED_VALUE"""),"")</f>
        <v/>
      </c>
      <c r="I282" s="51" t="str">
        <f>IFERROR(__xludf.DUMMYFUNCTION("""COMPUTED_VALUE"""),"#VALUE!")</f>
        <v>#VALUE!</v>
      </c>
      <c r="J282" s="51" t="str">
        <f>IFERROR(__xludf.DUMMYFUNCTION("""COMPUTED_VALUE"""),"")</f>
        <v/>
      </c>
      <c r="K282" s="51"/>
      <c r="L282" s="51" t="s">
        <v>257</v>
      </c>
      <c r="M282" s="51"/>
      <c r="N282" s="51"/>
      <c r="O282" s="51"/>
      <c r="P282" s="51"/>
      <c r="Q282" s="51"/>
      <c r="R282" s="51"/>
      <c r="S282" s="51"/>
      <c r="T282" s="51"/>
    </row>
    <row r="283">
      <c r="A283" s="51"/>
      <c r="B283" s="51"/>
      <c r="C283" s="56"/>
      <c r="D283" s="51"/>
      <c r="E283" s="51"/>
      <c r="F283" s="51"/>
      <c r="G283" s="51" t="str">
        <f>IFERROR(__xludf.DUMMYFUNCTION("""COMPUTED_VALUE"""),"#VALUE!")</f>
        <v>#VALUE!</v>
      </c>
      <c r="H283" s="51" t="str">
        <f>IFERROR(__xludf.DUMMYFUNCTION("""COMPUTED_VALUE"""),"")</f>
        <v/>
      </c>
      <c r="I283" s="51" t="str">
        <f>IFERROR(__xludf.DUMMYFUNCTION("""COMPUTED_VALUE"""),"#VALUE!")</f>
        <v>#VALUE!</v>
      </c>
      <c r="J283" s="51" t="str">
        <f>IFERROR(__xludf.DUMMYFUNCTION("""COMPUTED_VALUE"""),"")</f>
        <v/>
      </c>
      <c r="K283" s="51"/>
      <c r="L283" s="51" t="s">
        <v>257</v>
      </c>
      <c r="M283" s="51"/>
      <c r="N283" s="51"/>
      <c r="O283" s="51"/>
      <c r="P283" s="51"/>
      <c r="Q283" s="51"/>
      <c r="R283" s="51"/>
      <c r="S283" s="51"/>
      <c r="T283" s="51"/>
    </row>
    <row r="284">
      <c r="A284" s="51"/>
      <c r="B284" s="51"/>
      <c r="C284" s="56"/>
      <c r="D284" s="51"/>
      <c r="E284" s="51"/>
      <c r="F284" s="51"/>
      <c r="G284" s="51" t="str">
        <f>IFERROR(__xludf.DUMMYFUNCTION("""COMPUTED_VALUE"""),"#VALUE!")</f>
        <v>#VALUE!</v>
      </c>
      <c r="H284" s="51" t="str">
        <f>IFERROR(__xludf.DUMMYFUNCTION("""COMPUTED_VALUE"""),"")</f>
        <v/>
      </c>
      <c r="I284" s="51" t="str">
        <f>IFERROR(__xludf.DUMMYFUNCTION("""COMPUTED_VALUE"""),"#VALUE!")</f>
        <v>#VALUE!</v>
      </c>
      <c r="J284" s="51" t="str">
        <f>IFERROR(__xludf.DUMMYFUNCTION("""COMPUTED_VALUE"""),"")</f>
        <v/>
      </c>
      <c r="K284" s="51"/>
      <c r="L284" s="51" t="s">
        <v>257</v>
      </c>
      <c r="M284" s="51"/>
      <c r="N284" s="51"/>
      <c r="O284" s="51"/>
      <c r="P284" s="51"/>
      <c r="Q284" s="51"/>
      <c r="R284" s="51"/>
      <c r="S284" s="51"/>
      <c r="T284" s="51"/>
    </row>
    <row r="285">
      <c r="A285" s="51"/>
      <c r="B285" s="51"/>
      <c r="C285" s="56"/>
      <c r="D285" s="51"/>
      <c r="E285" s="51"/>
      <c r="F285" s="51"/>
      <c r="G285" s="51" t="str">
        <f>IFERROR(__xludf.DUMMYFUNCTION("""COMPUTED_VALUE"""),"#VALUE!")</f>
        <v>#VALUE!</v>
      </c>
      <c r="H285" s="51" t="str">
        <f>IFERROR(__xludf.DUMMYFUNCTION("""COMPUTED_VALUE"""),"")</f>
        <v/>
      </c>
      <c r="I285" s="51" t="str">
        <f>IFERROR(__xludf.DUMMYFUNCTION("""COMPUTED_VALUE"""),"#VALUE!")</f>
        <v>#VALUE!</v>
      </c>
      <c r="J285" s="51" t="str">
        <f>IFERROR(__xludf.DUMMYFUNCTION("""COMPUTED_VALUE"""),"")</f>
        <v/>
      </c>
      <c r="K285" s="51"/>
      <c r="L285" s="51" t="s">
        <v>257</v>
      </c>
      <c r="M285" s="51"/>
      <c r="N285" s="51"/>
      <c r="O285" s="51"/>
      <c r="P285" s="51"/>
      <c r="Q285" s="51"/>
      <c r="R285" s="51"/>
      <c r="S285" s="51"/>
      <c r="T285" s="51"/>
    </row>
    <row r="286">
      <c r="A286" s="51"/>
      <c r="B286" s="51"/>
      <c r="C286" s="56"/>
      <c r="D286" s="51"/>
      <c r="E286" s="51"/>
      <c r="F286" s="51"/>
      <c r="G286" s="51" t="str">
        <f>IFERROR(__xludf.DUMMYFUNCTION("""COMPUTED_VALUE"""),"#VALUE!")</f>
        <v>#VALUE!</v>
      </c>
      <c r="H286" s="51" t="str">
        <f>IFERROR(__xludf.DUMMYFUNCTION("""COMPUTED_VALUE"""),"")</f>
        <v/>
      </c>
      <c r="I286" s="51" t="str">
        <f>IFERROR(__xludf.DUMMYFUNCTION("""COMPUTED_VALUE"""),"#VALUE!")</f>
        <v>#VALUE!</v>
      </c>
      <c r="J286" s="51" t="str">
        <f>IFERROR(__xludf.DUMMYFUNCTION("""COMPUTED_VALUE"""),"")</f>
        <v/>
      </c>
      <c r="K286" s="51"/>
      <c r="L286" s="51" t="s">
        <v>257</v>
      </c>
      <c r="M286" s="51"/>
      <c r="N286" s="51"/>
      <c r="O286" s="51"/>
      <c r="P286" s="51"/>
      <c r="Q286" s="51"/>
      <c r="R286" s="51"/>
      <c r="S286" s="51"/>
      <c r="T286" s="51"/>
    </row>
    <row r="287">
      <c r="A287" s="51"/>
      <c r="B287" s="51"/>
      <c r="C287" s="56"/>
      <c r="D287" s="51"/>
      <c r="E287" s="51"/>
      <c r="F287" s="51"/>
      <c r="G287" s="51" t="str">
        <f>IFERROR(__xludf.DUMMYFUNCTION("""COMPUTED_VALUE"""),"#VALUE!")</f>
        <v>#VALUE!</v>
      </c>
      <c r="H287" s="51" t="str">
        <f>IFERROR(__xludf.DUMMYFUNCTION("""COMPUTED_VALUE"""),"")</f>
        <v/>
      </c>
      <c r="I287" s="51" t="str">
        <f>IFERROR(__xludf.DUMMYFUNCTION("""COMPUTED_VALUE"""),"#VALUE!")</f>
        <v>#VALUE!</v>
      </c>
      <c r="J287" s="51" t="str">
        <f>IFERROR(__xludf.DUMMYFUNCTION("""COMPUTED_VALUE"""),"")</f>
        <v/>
      </c>
      <c r="K287" s="51"/>
      <c r="L287" s="51" t="s">
        <v>257</v>
      </c>
      <c r="M287" s="51"/>
      <c r="N287" s="51"/>
      <c r="O287" s="51"/>
      <c r="P287" s="51"/>
      <c r="Q287" s="51"/>
      <c r="R287" s="51"/>
      <c r="S287" s="51"/>
      <c r="T287" s="51"/>
    </row>
    <row r="288">
      <c r="A288" s="51"/>
      <c r="B288" s="51"/>
      <c r="C288" s="56"/>
      <c r="D288" s="51"/>
      <c r="E288" s="51"/>
      <c r="F288" s="51"/>
      <c r="G288" s="51" t="str">
        <f>IFERROR(__xludf.DUMMYFUNCTION("""COMPUTED_VALUE"""),"#VALUE!")</f>
        <v>#VALUE!</v>
      </c>
      <c r="H288" s="51" t="str">
        <f>IFERROR(__xludf.DUMMYFUNCTION("""COMPUTED_VALUE"""),"")</f>
        <v/>
      </c>
      <c r="I288" s="51" t="str">
        <f>IFERROR(__xludf.DUMMYFUNCTION("""COMPUTED_VALUE"""),"#VALUE!")</f>
        <v>#VALUE!</v>
      </c>
      <c r="J288" s="51" t="str">
        <f>IFERROR(__xludf.DUMMYFUNCTION("""COMPUTED_VALUE"""),"")</f>
        <v/>
      </c>
      <c r="K288" s="51"/>
      <c r="L288" s="51" t="s">
        <v>257</v>
      </c>
      <c r="M288" s="51"/>
      <c r="N288" s="51"/>
      <c r="O288" s="51"/>
      <c r="P288" s="51"/>
      <c r="Q288" s="51"/>
      <c r="R288" s="51"/>
      <c r="S288" s="51"/>
      <c r="T288" s="51"/>
    </row>
    <row r="289">
      <c r="A289" s="51"/>
      <c r="B289" s="51"/>
      <c r="C289" s="56"/>
      <c r="D289" s="51"/>
      <c r="E289" s="51"/>
      <c r="F289" s="51"/>
      <c r="G289" s="51" t="str">
        <f>IFERROR(__xludf.DUMMYFUNCTION("""COMPUTED_VALUE"""),"#VALUE!")</f>
        <v>#VALUE!</v>
      </c>
      <c r="H289" s="51" t="str">
        <f>IFERROR(__xludf.DUMMYFUNCTION("""COMPUTED_VALUE"""),"")</f>
        <v/>
      </c>
      <c r="I289" s="51" t="str">
        <f>IFERROR(__xludf.DUMMYFUNCTION("""COMPUTED_VALUE"""),"#VALUE!")</f>
        <v>#VALUE!</v>
      </c>
      <c r="J289" s="51" t="str">
        <f>IFERROR(__xludf.DUMMYFUNCTION("""COMPUTED_VALUE"""),"")</f>
        <v/>
      </c>
      <c r="K289" s="51"/>
      <c r="L289" s="51" t="s">
        <v>257</v>
      </c>
      <c r="M289" s="51"/>
      <c r="N289" s="51"/>
      <c r="O289" s="51"/>
      <c r="P289" s="51"/>
      <c r="Q289" s="51"/>
      <c r="R289" s="51"/>
      <c r="S289" s="51"/>
      <c r="T289" s="51"/>
    </row>
    <row r="290">
      <c r="A290" s="51"/>
      <c r="B290" s="51"/>
      <c r="C290" s="56"/>
      <c r="D290" s="51"/>
      <c r="E290" s="51"/>
      <c r="F290" s="51"/>
      <c r="G290" s="51" t="str">
        <f>IFERROR(__xludf.DUMMYFUNCTION("""COMPUTED_VALUE"""),"#VALUE!")</f>
        <v>#VALUE!</v>
      </c>
      <c r="H290" s="51" t="str">
        <f>IFERROR(__xludf.DUMMYFUNCTION("""COMPUTED_VALUE"""),"")</f>
        <v/>
      </c>
      <c r="I290" s="51" t="str">
        <f>IFERROR(__xludf.DUMMYFUNCTION("""COMPUTED_VALUE"""),"#VALUE!")</f>
        <v>#VALUE!</v>
      </c>
      <c r="J290" s="51" t="str">
        <f>IFERROR(__xludf.DUMMYFUNCTION("""COMPUTED_VALUE"""),"")</f>
        <v/>
      </c>
      <c r="K290" s="51"/>
      <c r="L290" s="51" t="s">
        <v>257</v>
      </c>
      <c r="M290" s="51"/>
      <c r="N290" s="51"/>
      <c r="O290" s="51"/>
      <c r="P290" s="51"/>
      <c r="Q290" s="51"/>
      <c r="R290" s="51"/>
      <c r="S290" s="51"/>
      <c r="T290" s="51"/>
    </row>
    <row r="291">
      <c r="A291" s="51"/>
      <c r="B291" s="51"/>
      <c r="C291" s="56"/>
      <c r="D291" s="51"/>
      <c r="E291" s="51"/>
      <c r="F291" s="51"/>
      <c r="G291" s="51" t="str">
        <f>IFERROR(__xludf.DUMMYFUNCTION("""COMPUTED_VALUE"""),"#VALUE!")</f>
        <v>#VALUE!</v>
      </c>
      <c r="H291" s="51" t="str">
        <f>IFERROR(__xludf.DUMMYFUNCTION("""COMPUTED_VALUE"""),"")</f>
        <v/>
      </c>
      <c r="I291" s="51" t="str">
        <f>IFERROR(__xludf.DUMMYFUNCTION("""COMPUTED_VALUE"""),"#VALUE!")</f>
        <v>#VALUE!</v>
      </c>
      <c r="J291" s="51" t="str">
        <f>IFERROR(__xludf.DUMMYFUNCTION("""COMPUTED_VALUE"""),"")</f>
        <v/>
      </c>
      <c r="K291" s="51"/>
      <c r="L291" s="51" t="s">
        <v>257</v>
      </c>
      <c r="M291" s="51"/>
      <c r="N291" s="51"/>
      <c r="O291" s="51"/>
      <c r="P291" s="51"/>
      <c r="Q291" s="51"/>
      <c r="R291" s="51"/>
      <c r="S291" s="51"/>
      <c r="T291" s="51"/>
    </row>
    <row r="292">
      <c r="A292" s="51"/>
      <c r="B292" s="51"/>
      <c r="C292" s="56"/>
      <c r="D292" s="51"/>
      <c r="E292" s="51"/>
      <c r="F292" s="51"/>
      <c r="G292" s="51" t="str">
        <f>IFERROR(__xludf.DUMMYFUNCTION("""COMPUTED_VALUE"""),"#VALUE!")</f>
        <v>#VALUE!</v>
      </c>
      <c r="H292" s="51" t="str">
        <f>IFERROR(__xludf.DUMMYFUNCTION("""COMPUTED_VALUE"""),"")</f>
        <v/>
      </c>
      <c r="I292" s="51" t="str">
        <f>IFERROR(__xludf.DUMMYFUNCTION("""COMPUTED_VALUE"""),"#VALUE!")</f>
        <v>#VALUE!</v>
      </c>
      <c r="J292" s="51" t="str">
        <f>IFERROR(__xludf.DUMMYFUNCTION("""COMPUTED_VALUE"""),"")</f>
        <v/>
      </c>
      <c r="K292" s="51"/>
      <c r="L292" s="51" t="s">
        <v>257</v>
      </c>
      <c r="M292" s="51"/>
      <c r="N292" s="51"/>
      <c r="O292" s="51"/>
      <c r="P292" s="51"/>
      <c r="Q292" s="51"/>
      <c r="R292" s="51"/>
      <c r="S292" s="51"/>
      <c r="T292" s="51"/>
    </row>
    <row r="293">
      <c r="A293" s="51"/>
      <c r="B293" s="51"/>
      <c r="C293" s="56"/>
      <c r="D293" s="51"/>
      <c r="E293" s="51"/>
      <c r="F293" s="51"/>
      <c r="G293" s="51" t="str">
        <f>IFERROR(__xludf.DUMMYFUNCTION("""COMPUTED_VALUE"""),"#VALUE!")</f>
        <v>#VALUE!</v>
      </c>
      <c r="H293" s="51" t="str">
        <f>IFERROR(__xludf.DUMMYFUNCTION("""COMPUTED_VALUE"""),"")</f>
        <v/>
      </c>
      <c r="I293" s="51" t="str">
        <f>IFERROR(__xludf.DUMMYFUNCTION("""COMPUTED_VALUE"""),"#VALUE!")</f>
        <v>#VALUE!</v>
      </c>
      <c r="J293" s="51" t="str">
        <f>IFERROR(__xludf.DUMMYFUNCTION("""COMPUTED_VALUE"""),"")</f>
        <v/>
      </c>
      <c r="K293" s="51"/>
      <c r="L293" s="51" t="s">
        <v>257</v>
      </c>
      <c r="M293" s="51"/>
      <c r="N293" s="51"/>
      <c r="O293" s="51"/>
      <c r="P293" s="51"/>
      <c r="Q293" s="51"/>
      <c r="R293" s="51"/>
      <c r="S293" s="51"/>
      <c r="T293" s="51"/>
    </row>
    <row r="294">
      <c r="A294" s="51"/>
      <c r="B294" s="51"/>
      <c r="C294" s="56"/>
      <c r="D294" s="51"/>
      <c r="E294" s="51"/>
      <c r="F294" s="51"/>
      <c r="G294" s="51" t="str">
        <f>IFERROR(__xludf.DUMMYFUNCTION("""COMPUTED_VALUE"""),"#VALUE!")</f>
        <v>#VALUE!</v>
      </c>
      <c r="H294" s="51" t="str">
        <f>IFERROR(__xludf.DUMMYFUNCTION("""COMPUTED_VALUE"""),"")</f>
        <v/>
      </c>
      <c r="I294" s="51" t="str">
        <f>IFERROR(__xludf.DUMMYFUNCTION("""COMPUTED_VALUE"""),"#VALUE!")</f>
        <v>#VALUE!</v>
      </c>
      <c r="J294" s="51" t="str">
        <f>IFERROR(__xludf.DUMMYFUNCTION("""COMPUTED_VALUE"""),"")</f>
        <v/>
      </c>
      <c r="K294" s="51"/>
      <c r="L294" s="51" t="s">
        <v>257</v>
      </c>
      <c r="M294" s="51"/>
      <c r="N294" s="51"/>
      <c r="O294" s="51"/>
      <c r="P294" s="51"/>
      <c r="Q294" s="51"/>
      <c r="R294" s="51"/>
      <c r="S294" s="51"/>
      <c r="T294" s="51"/>
    </row>
    <row r="295">
      <c r="A295" s="51"/>
      <c r="B295" s="51"/>
      <c r="C295" s="56"/>
      <c r="D295" s="51"/>
      <c r="E295" s="51"/>
      <c r="F295" s="51"/>
      <c r="G295" s="51" t="str">
        <f>IFERROR(__xludf.DUMMYFUNCTION("""COMPUTED_VALUE"""),"#VALUE!")</f>
        <v>#VALUE!</v>
      </c>
      <c r="H295" s="51" t="str">
        <f>IFERROR(__xludf.DUMMYFUNCTION("""COMPUTED_VALUE"""),"")</f>
        <v/>
      </c>
      <c r="I295" s="51" t="str">
        <f>IFERROR(__xludf.DUMMYFUNCTION("""COMPUTED_VALUE"""),"#VALUE!")</f>
        <v>#VALUE!</v>
      </c>
      <c r="J295" s="51" t="str">
        <f>IFERROR(__xludf.DUMMYFUNCTION("""COMPUTED_VALUE"""),"")</f>
        <v/>
      </c>
      <c r="K295" s="51"/>
      <c r="L295" s="51" t="s">
        <v>257</v>
      </c>
      <c r="M295" s="51"/>
      <c r="N295" s="51"/>
      <c r="O295" s="51"/>
      <c r="P295" s="51"/>
      <c r="Q295" s="51"/>
      <c r="R295" s="51"/>
      <c r="S295" s="51"/>
      <c r="T295" s="51"/>
    </row>
    <row r="296">
      <c r="A296" s="51"/>
      <c r="B296" s="51"/>
      <c r="C296" s="56"/>
      <c r="D296" s="51"/>
      <c r="E296" s="51"/>
      <c r="F296" s="51"/>
      <c r="G296" s="51" t="str">
        <f>IFERROR(__xludf.DUMMYFUNCTION("""COMPUTED_VALUE"""),"#VALUE!")</f>
        <v>#VALUE!</v>
      </c>
      <c r="H296" s="51" t="str">
        <f>IFERROR(__xludf.DUMMYFUNCTION("""COMPUTED_VALUE"""),"")</f>
        <v/>
      </c>
      <c r="I296" s="51" t="str">
        <f>IFERROR(__xludf.DUMMYFUNCTION("""COMPUTED_VALUE"""),"#VALUE!")</f>
        <v>#VALUE!</v>
      </c>
      <c r="J296" s="51" t="str">
        <f>IFERROR(__xludf.DUMMYFUNCTION("""COMPUTED_VALUE"""),"")</f>
        <v/>
      </c>
      <c r="K296" s="51"/>
      <c r="L296" s="51" t="s">
        <v>257</v>
      </c>
      <c r="M296" s="51"/>
      <c r="N296" s="51"/>
      <c r="O296" s="51"/>
      <c r="P296" s="51"/>
      <c r="Q296" s="51"/>
      <c r="R296" s="51"/>
      <c r="S296" s="51"/>
      <c r="T296" s="51"/>
    </row>
    <row r="297">
      <c r="A297" s="51"/>
      <c r="B297" s="51"/>
      <c r="C297" s="56"/>
      <c r="D297" s="51"/>
      <c r="E297" s="51"/>
      <c r="F297" s="51"/>
      <c r="G297" s="51" t="str">
        <f>IFERROR(__xludf.DUMMYFUNCTION("""COMPUTED_VALUE"""),"#VALUE!")</f>
        <v>#VALUE!</v>
      </c>
      <c r="H297" s="51" t="str">
        <f>IFERROR(__xludf.DUMMYFUNCTION("""COMPUTED_VALUE"""),"")</f>
        <v/>
      </c>
      <c r="I297" s="51" t="str">
        <f>IFERROR(__xludf.DUMMYFUNCTION("""COMPUTED_VALUE"""),"#VALUE!")</f>
        <v>#VALUE!</v>
      </c>
      <c r="J297" s="51" t="str">
        <f>IFERROR(__xludf.DUMMYFUNCTION("""COMPUTED_VALUE"""),"")</f>
        <v/>
      </c>
      <c r="K297" s="51"/>
      <c r="L297" s="51" t="s">
        <v>257</v>
      </c>
      <c r="M297" s="51"/>
      <c r="N297" s="51"/>
      <c r="O297" s="51"/>
      <c r="P297" s="51"/>
      <c r="Q297" s="51"/>
      <c r="R297" s="51"/>
      <c r="S297" s="51"/>
      <c r="T297" s="51"/>
    </row>
    <row r="298">
      <c r="A298" s="51"/>
      <c r="B298" s="51"/>
      <c r="C298" s="56"/>
      <c r="D298" s="51"/>
      <c r="E298" s="51"/>
      <c r="F298" s="51"/>
      <c r="G298" s="51" t="str">
        <f>IFERROR(__xludf.DUMMYFUNCTION("""COMPUTED_VALUE"""),"#VALUE!")</f>
        <v>#VALUE!</v>
      </c>
      <c r="H298" s="51" t="str">
        <f>IFERROR(__xludf.DUMMYFUNCTION("""COMPUTED_VALUE"""),"")</f>
        <v/>
      </c>
      <c r="I298" s="51" t="str">
        <f>IFERROR(__xludf.DUMMYFUNCTION("""COMPUTED_VALUE"""),"#VALUE!")</f>
        <v>#VALUE!</v>
      </c>
      <c r="J298" s="51" t="str">
        <f>IFERROR(__xludf.DUMMYFUNCTION("""COMPUTED_VALUE"""),"")</f>
        <v/>
      </c>
      <c r="K298" s="51"/>
      <c r="L298" s="51" t="s">
        <v>257</v>
      </c>
      <c r="M298" s="51"/>
      <c r="N298" s="51"/>
      <c r="O298" s="51"/>
      <c r="P298" s="51"/>
      <c r="Q298" s="51"/>
      <c r="R298" s="51"/>
      <c r="S298" s="51"/>
      <c r="T298" s="51"/>
    </row>
    <row r="299">
      <c r="A299" s="51"/>
      <c r="B299" s="51"/>
      <c r="C299" s="56"/>
      <c r="D299" s="51"/>
      <c r="E299" s="51"/>
      <c r="F299" s="51"/>
      <c r="G299" s="51" t="str">
        <f>IFERROR(__xludf.DUMMYFUNCTION("""COMPUTED_VALUE"""),"#VALUE!")</f>
        <v>#VALUE!</v>
      </c>
      <c r="H299" s="51" t="str">
        <f>IFERROR(__xludf.DUMMYFUNCTION("""COMPUTED_VALUE"""),"")</f>
        <v/>
      </c>
      <c r="I299" s="51" t="str">
        <f>IFERROR(__xludf.DUMMYFUNCTION("""COMPUTED_VALUE"""),"#VALUE!")</f>
        <v>#VALUE!</v>
      </c>
      <c r="J299" s="51" t="str">
        <f>IFERROR(__xludf.DUMMYFUNCTION("""COMPUTED_VALUE"""),"")</f>
        <v/>
      </c>
      <c r="K299" s="51"/>
      <c r="L299" s="51" t="s">
        <v>257</v>
      </c>
      <c r="M299" s="51"/>
      <c r="N299" s="51"/>
      <c r="O299" s="51"/>
      <c r="P299" s="51"/>
      <c r="Q299" s="51"/>
      <c r="R299" s="51"/>
      <c r="S299" s="51"/>
      <c r="T299" s="51"/>
    </row>
    <row r="300">
      <c r="A300" s="51"/>
      <c r="B300" s="51"/>
      <c r="C300" s="56"/>
      <c r="D300" s="51"/>
      <c r="E300" s="51"/>
      <c r="F300" s="51"/>
      <c r="G300" s="51" t="str">
        <f>IFERROR(__xludf.DUMMYFUNCTION("""COMPUTED_VALUE"""),"#VALUE!")</f>
        <v>#VALUE!</v>
      </c>
      <c r="H300" s="51" t="str">
        <f>IFERROR(__xludf.DUMMYFUNCTION("""COMPUTED_VALUE"""),"")</f>
        <v/>
      </c>
      <c r="I300" s="51" t="str">
        <f>IFERROR(__xludf.DUMMYFUNCTION("""COMPUTED_VALUE"""),"#VALUE!")</f>
        <v>#VALUE!</v>
      </c>
      <c r="J300" s="51" t="str">
        <f>IFERROR(__xludf.DUMMYFUNCTION("""COMPUTED_VALUE"""),"")</f>
        <v/>
      </c>
      <c r="K300" s="51"/>
      <c r="L300" s="51" t="s">
        <v>257</v>
      </c>
      <c r="M300" s="51"/>
      <c r="N300" s="51"/>
      <c r="O300" s="51"/>
      <c r="P300" s="51"/>
      <c r="Q300" s="51"/>
      <c r="R300" s="51"/>
      <c r="S300" s="51"/>
      <c r="T300" s="51"/>
    </row>
    <row r="301">
      <c r="A301" s="51"/>
      <c r="B301" s="51"/>
      <c r="C301" s="56"/>
      <c r="D301" s="51"/>
      <c r="E301" s="51"/>
      <c r="F301" s="51"/>
      <c r="G301" s="51" t="str">
        <f>IFERROR(__xludf.DUMMYFUNCTION("""COMPUTED_VALUE"""),"#VALUE!")</f>
        <v>#VALUE!</v>
      </c>
      <c r="H301" s="51" t="str">
        <f>IFERROR(__xludf.DUMMYFUNCTION("""COMPUTED_VALUE"""),"")</f>
        <v/>
      </c>
      <c r="I301" s="51" t="str">
        <f>IFERROR(__xludf.DUMMYFUNCTION("""COMPUTED_VALUE"""),"#VALUE!")</f>
        <v>#VALUE!</v>
      </c>
      <c r="J301" s="51" t="str">
        <f>IFERROR(__xludf.DUMMYFUNCTION("""COMPUTED_VALUE"""),"")</f>
        <v/>
      </c>
      <c r="K301" s="51"/>
      <c r="L301" s="51" t="s">
        <v>257</v>
      </c>
      <c r="M301" s="51"/>
      <c r="N301" s="51"/>
      <c r="O301" s="51"/>
      <c r="P301" s="51"/>
      <c r="Q301" s="51"/>
      <c r="R301" s="51"/>
      <c r="S301" s="51"/>
      <c r="T301" s="51"/>
    </row>
    <row r="302">
      <c r="A302" s="51"/>
      <c r="B302" s="51"/>
      <c r="C302" s="56"/>
      <c r="D302" s="51"/>
      <c r="E302" s="51"/>
      <c r="F302" s="51"/>
      <c r="G302" s="51" t="str">
        <f>IFERROR(__xludf.DUMMYFUNCTION("""COMPUTED_VALUE"""),"#VALUE!")</f>
        <v>#VALUE!</v>
      </c>
      <c r="H302" s="51" t="str">
        <f>IFERROR(__xludf.DUMMYFUNCTION("""COMPUTED_VALUE"""),"")</f>
        <v/>
      </c>
      <c r="I302" s="51" t="str">
        <f>IFERROR(__xludf.DUMMYFUNCTION("""COMPUTED_VALUE"""),"#VALUE!")</f>
        <v>#VALUE!</v>
      </c>
      <c r="J302" s="51" t="str">
        <f>IFERROR(__xludf.DUMMYFUNCTION("""COMPUTED_VALUE"""),"")</f>
        <v/>
      </c>
      <c r="K302" s="51"/>
      <c r="L302" s="51" t="s">
        <v>257</v>
      </c>
      <c r="M302" s="51"/>
      <c r="N302" s="51"/>
      <c r="O302" s="51"/>
      <c r="P302" s="51"/>
      <c r="Q302" s="51"/>
      <c r="R302" s="51"/>
      <c r="S302" s="51"/>
      <c r="T302" s="51"/>
    </row>
    <row r="303">
      <c r="A303" s="51"/>
      <c r="B303" s="51"/>
      <c r="C303" s="56"/>
      <c r="D303" s="51"/>
      <c r="E303" s="51"/>
      <c r="F303" s="51"/>
      <c r="G303" s="51" t="str">
        <f>IFERROR(__xludf.DUMMYFUNCTION("""COMPUTED_VALUE"""),"#VALUE!")</f>
        <v>#VALUE!</v>
      </c>
      <c r="H303" s="51" t="str">
        <f>IFERROR(__xludf.DUMMYFUNCTION("""COMPUTED_VALUE"""),"")</f>
        <v/>
      </c>
      <c r="I303" s="51" t="str">
        <f>IFERROR(__xludf.DUMMYFUNCTION("""COMPUTED_VALUE"""),"#VALUE!")</f>
        <v>#VALUE!</v>
      </c>
      <c r="J303" s="51" t="str">
        <f>IFERROR(__xludf.DUMMYFUNCTION("""COMPUTED_VALUE"""),"")</f>
        <v/>
      </c>
      <c r="K303" s="51"/>
      <c r="L303" s="51" t="s">
        <v>257</v>
      </c>
      <c r="M303" s="51"/>
      <c r="N303" s="51"/>
      <c r="O303" s="51"/>
      <c r="P303" s="51"/>
      <c r="Q303" s="51"/>
      <c r="R303" s="51"/>
      <c r="S303" s="51"/>
      <c r="T303" s="51"/>
    </row>
    <row r="304">
      <c r="A304" s="51"/>
      <c r="B304" s="51"/>
      <c r="C304" s="56"/>
      <c r="D304" s="51"/>
      <c r="E304" s="51"/>
      <c r="F304" s="51"/>
      <c r="G304" s="51" t="str">
        <f>IFERROR(__xludf.DUMMYFUNCTION("""COMPUTED_VALUE"""),"#VALUE!")</f>
        <v>#VALUE!</v>
      </c>
      <c r="H304" s="51" t="str">
        <f>IFERROR(__xludf.DUMMYFUNCTION("""COMPUTED_VALUE"""),"")</f>
        <v/>
      </c>
      <c r="I304" s="51" t="str">
        <f>IFERROR(__xludf.DUMMYFUNCTION("""COMPUTED_VALUE"""),"#VALUE!")</f>
        <v>#VALUE!</v>
      </c>
      <c r="J304" s="51" t="str">
        <f>IFERROR(__xludf.DUMMYFUNCTION("""COMPUTED_VALUE"""),"")</f>
        <v/>
      </c>
      <c r="K304" s="51"/>
      <c r="L304" s="51" t="s">
        <v>257</v>
      </c>
      <c r="M304" s="51"/>
      <c r="N304" s="51"/>
      <c r="O304" s="51"/>
      <c r="P304" s="51"/>
      <c r="Q304" s="51"/>
      <c r="R304" s="51"/>
      <c r="S304" s="51"/>
      <c r="T304" s="51"/>
    </row>
    <row r="305">
      <c r="A305" s="51"/>
      <c r="B305" s="51"/>
      <c r="C305" s="56"/>
      <c r="D305" s="51"/>
      <c r="E305" s="51"/>
      <c r="F305" s="51"/>
      <c r="G305" s="51" t="str">
        <f>IFERROR(__xludf.DUMMYFUNCTION("""COMPUTED_VALUE"""),"#VALUE!")</f>
        <v>#VALUE!</v>
      </c>
      <c r="H305" s="51" t="str">
        <f>IFERROR(__xludf.DUMMYFUNCTION("""COMPUTED_VALUE"""),"")</f>
        <v/>
      </c>
      <c r="I305" s="51" t="str">
        <f>IFERROR(__xludf.DUMMYFUNCTION("""COMPUTED_VALUE"""),"#VALUE!")</f>
        <v>#VALUE!</v>
      </c>
      <c r="J305" s="51" t="str">
        <f>IFERROR(__xludf.DUMMYFUNCTION("""COMPUTED_VALUE"""),"")</f>
        <v/>
      </c>
      <c r="K305" s="51"/>
      <c r="L305" s="51" t="s">
        <v>257</v>
      </c>
      <c r="M305" s="51"/>
      <c r="N305" s="51"/>
      <c r="O305" s="51"/>
      <c r="P305" s="51"/>
      <c r="Q305" s="51"/>
      <c r="R305" s="51"/>
      <c r="S305" s="51"/>
      <c r="T305" s="51"/>
    </row>
    <row r="306">
      <c r="A306" s="51"/>
      <c r="B306" s="51"/>
      <c r="C306" s="56"/>
      <c r="D306" s="51"/>
      <c r="E306" s="51"/>
      <c r="F306" s="51"/>
      <c r="G306" s="51" t="str">
        <f>IFERROR(__xludf.DUMMYFUNCTION("""COMPUTED_VALUE"""),"#VALUE!")</f>
        <v>#VALUE!</v>
      </c>
      <c r="H306" s="51" t="str">
        <f>IFERROR(__xludf.DUMMYFUNCTION("""COMPUTED_VALUE"""),"")</f>
        <v/>
      </c>
      <c r="I306" s="51" t="str">
        <f>IFERROR(__xludf.DUMMYFUNCTION("""COMPUTED_VALUE"""),"#VALUE!")</f>
        <v>#VALUE!</v>
      </c>
      <c r="J306" s="51" t="str">
        <f>IFERROR(__xludf.DUMMYFUNCTION("""COMPUTED_VALUE"""),"")</f>
        <v/>
      </c>
      <c r="K306" s="51"/>
      <c r="L306" s="51" t="s">
        <v>257</v>
      </c>
      <c r="M306" s="51"/>
      <c r="N306" s="51"/>
      <c r="O306" s="51"/>
      <c r="P306" s="51"/>
      <c r="Q306" s="51"/>
      <c r="R306" s="51"/>
      <c r="S306" s="51"/>
      <c r="T306" s="51"/>
    </row>
    <row r="307">
      <c r="A307" s="51"/>
      <c r="B307" s="51"/>
      <c r="C307" s="56"/>
      <c r="D307" s="51"/>
      <c r="E307" s="51"/>
      <c r="F307" s="51"/>
      <c r="G307" s="51" t="str">
        <f>IFERROR(__xludf.DUMMYFUNCTION("""COMPUTED_VALUE"""),"#VALUE!")</f>
        <v>#VALUE!</v>
      </c>
      <c r="H307" s="51" t="str">
        <f>IFERROR(__xludf.DUMMYFUNCTION("""COMPUTED_VALUE"""),"")</f>
        <v/>
      </c>
      <c r="I307" s="51" t="str">
        <f>IFERROR(__xludf.DUMMYFUNCTION("""COMPUTED_VALUE"""),"#VALUE!")</f>
        <v>#VALUE!</v>
      </c>
      <c r="J307" s="51" t="str">
        <f>IFERROR(__xludf.DUMMYFUNCTION("""COMPUTED_VALUE"""),"")</f>
        <v/>
      </c>
      <c r="K307" s="51"/>
      <c r="L307" s="51" t="s">
        <v>257</v>
      </c>
      <c r="M307" s="51"/>
      <c r="N307" s="51"/>
      <c r="O307" s="51"/>
      <c r="P307" s="51"/>
      <c r="Q307" s="51"/>
      <c r="R307" s="51"/>
      <c r="S307" s="51"/>
      <c r="T307" s="51"/>
    </row>
    <row r="308">
      <c r="A308" s="51"/>
      <c r="B308" s="51"/>
      <c r="C308" s="56"/>
      <c r="D308" s="51"/>
      <c r="E308" s="51"/>
      <c r="F308" s="51"/>
      <c r="G308" s="51" t="str">
        <f>IFERROR(__xludf.DUMMYFUNCTION("""COMPUTED_VALUE"""),"#VALUE!")</f>
        <v>#VALUE!</v>
      </c>
      <c r="H308" s="51" t="str">
        <f>IFERROR(__xludf.DUMMYFUNCTION("""COMPUTED_VALUE"""),"")</f>
        <v/>
      </c>
      <c r="I308" s="51" t="str">
        <f>IFERROR(__xludf.DUMMYFUNCTION("""COMPUTED_VALUE"""),"#VALUE!")</f>
        <v>#VALUE!</v>
      </c>
      <c r="J308" s="51" t="str">
        <f>IFERROR(__xludf.DUMMYFUNCTION("""COMPUTED_VALUE"""),"")</f>
        <v/>
      </c>
      <c r="K308" s="51"/>
      <c r="L308" s="51" t="s">
        <v>257</v>
      </c>
      <c r="M308" s="51"/>
      <c r="N308" s="51"/>
      <c r="O308" s="51"/>
      <c r="P308" s="51"/>
      <c r="Q308" s="51"/>
      <c r="R308" s="51"/>
      <c r="S308" s="51"/>
      <c r="T308" s="51"/>
    </row>
    <row r="309">
      <c r="A309" s="51"/>
      <c r="B309" s="51"/>
      <c r="C309" s="56"/>
      <c r="D309" s="51"/>
      <c r="E309" s="51"/>
      <c r="F309" s="51"/>
      <c r="G309" s="51" t="str">
        <f>IFERROR(__xludf.DUMMYFUNCTION("""COMPUTED_VALUE"""),"#VALUE!")</f>
        <v>#VALUE!</v>
      </c>
      <c r="H309" s="51" t="str">
        <f>IFERROR(__xludf.DUMMYFUNCTION("""COMPUTED_VALUE"""),"")</f>
        <v/>
      </c>
      <c r="I309" s="51" t="str">
        <f>IFERROR(__xludf.DUMMYFUNCTION("""COMPUTED_VALUE"""),"#VALUE!")</f>
        <v>#VALUE!</v>
      </c>
      <c r="J309" s="51" t="str">
        <f>IFERROR(__xludf.DUMMYFUNCTION("""COMPUTED_VALUE"""),"")</f>
        <v/>
      </c>
      <c r="K309" s="51"/>
      <c r="L309" s="51" t="s">
        <v>257</v>
      </c>
      <c r="M309" s="51"/>
      <c r="N309" s="51"/>
      <c r="O309" s="51"/>
      <c r="P309" s="51"/>
      <c r="Q309" s="51"/>
      <c r="R309" s="51"/>
      <c r="S309" s="51"/>
      <c r="T309" s="51"/>
    </row>
    <row r="310">
      <c r="A310" s="51"/>
      <c r="B310" s="51"/>
      <c r="C310" s="56"/>
      <c r="D310" s="51"/>
      <c r="E310" s="51"/>
      <c r="F310" s="51"/>
      <c r="G310" s="51" t="str">
        <f>IFERROR(__xludf.DUMMYFUNCTION("""COMPUTED_VALUE"""),"#VALUE!")</f>
        <v>#VALUE!</v>
      </c>
      <c r="H310" s="51" t="str">
        <f>IFERROR(__xludf.DUMMYFUNCTION("""COMPUTED_VALUE"""),"")</f>
        <v/>
      </c>
      <c r="I310" s="51" t="str">
        <f>IFERROR(__xludf.DUMMYFUNCTION("""COMPUTED_VALUE"""),"#VALUE!")</f>
        <v>#VALUE!</v>
      </c>
      <c r="J310" s="51" t="str">
        <f>IFERROR(__xludf.DUMMYFUNCTION("""COMPUTED_VALUE"""),"")</f>
        <v/>
      </c>
      <c r="K310" s="51"/>
      <c r="L310" s="51" t="s">
        <v>257</v>
      </c>
      <c r="M310" s="51"/>
      <c r="N310" s="51"/>
      <c r="O310" s="51"/>
      <c r="P310" s="51"/>
      <c r="Q310" s="51"/>
      <c r="R310" s="51"/>
      <c r="S310" s="51"/>
      <c r="T310" s="51"/>
    </row>
    <row r="311">
      <c r="A311" s="51"/>
      <c r="B311" s="51"/>
      <c r="C311" s="56"/>
      <c r="D311" s="51"/>
      <c r="E311" s="51"/>
      <c r="F311" s="51"/>
      <c r="G311" s="51" t="str">
        <f>IFERROR(__xludf.DUMMYFUNCTION("""COMPUTED_VALUE"""),"#VALUE!")</f>
        <v>#VALUE!</v>
      </c>
      <c r="H311" s="51" t="str">
        <f>IFERROR(__xludf.DUMMYFUNCTION("""COMPUTED_VALUE"""),"")</f>
        <v/>
      </c>
      <c r="I311" s="51" t="str">
        <f>IFERROR(__xludf.DUMMYFUNCTION("""COMPUTED_VALUE"""),"#VALUE!")</f>
        <v>#VALUE!</v>
      </c>
      <c r="J311" s="51" t="str">
        <f>IFERROR(__xludf.DUMMYFUNCTION("""COMPUTED_VALUE"""),"")</f>
        <v/>
      </c>
      <c r="K311" s="51"/>
      <c r="L311" s="51" t="s">
        <v>257</v>
      </c>
      <c r="M311" s="51"/>
      <c r="N311" s="51"/>
      <c r="O311" s="51"/>
      <c r="P311" s="51"/>
      <c r="Q311" s="51"/>
      <c r="R311" s="51"/>
      <c r="S311" s="51"/>
      <c r="T311" s="51"/>
    </row>
    <row r="312">
      <c r="A312" s="51"/>
      <c r="B312" s="51"/>
      <c r="C312" s="56"/>
      <c r="D312" s="51"/>
      <c r="E312" s="51"/>
      <c r="F312" s="51"/>
      <c r="G312" s="51" t="str">
        <f>IFERROR(__xludf.DUMMYFUNCTION("""COMPUTED_VALUE"""),"#VALUE!")</f>
        <v>#VALUE!</v>
      </c>
      <c r="H312" s="51" t="str">
        <f>IFERROR(__xludf.DUMMYFUNCTION("""COMPUTED_VALUE"""),"")</f>
        <v/>
      </c>
      <c r="I312" s="51" t="str">
        <f>IFERROR(__xludf.DUMMYFUNCTION("""COMPUTED_VALUE"""),"#VALUE!")</f>
        <v>#VALUE!</v>
      </c>
      <c r="J312" s="51" t="str">
        <f>IFERROR(__xludf.DUMMYFUNCTION("""COMPUTED_VALUE"""),"")</f>
        <v/>
      </c>
      <c r="K312" s="51"/>
      <c r="L312" s="51" t="s">
        <v>257</v>
      </c>
      <c r="M312" s="51"/>
      <c r="N312" s="51"/>
      <c r="O312" s="51"/>
      <c r="P312" s="51"/>
      <c r="Q312" s="51"/>
      <c r="R312" s="51"/>
      <c r="S312" s="51"/>
      <c r="T312" s="51"/>
    </row>
    <row r="313">
      <c r="A313" s="51"/>
      <c r="B313" s="51"/>
      <c r="C313" s="56"/>
      <c r="D313" s="51"/>
      <c r="E313" s="51"/>
      <c r="F313" s="51"/>
      <c r="G313" s="51" t="str">
        <f>IFERROR(__xludf.DUMMYFUNCTION("""COMPUTED_VALUE"""),"#VALUE!")</f>
        <v>#VALUE!</v>
      </c>
      <c r="H313" s="51" t="str">
        <f>IFERROR(__xludf.DUMMYFUNCTION("""COMPUTED_VALUE"""),"")</f>
        <v/>
      </c>
      <c r="I313" s="51" t="str">
        <f>IFERROR(__xludf.DUMMYFUNCTION("""COMPUTED_VALUE"""),"#VALUE!")</f>
        <v>#VALUE!</v>
      </c>
      <c r="J313" s="51" t="str">
        <f>IFERROR(__xludf.DUMMYFUNCTION("""COMPUTED_VALUE"""),"")</f>
        <v/>
      </c>
      <c r="K313" s="51"/>
      <c r="L313" s="51" t="s">
        <v>257</v>
      </c>
      <c r="M313" s="51"/>
      <c r="N313" s="51"/>
      <c r="O313" s="51"/>
      <c r="P313" s="51"/>
      <c r="Q313" s="51"/>
      <c r="R313" s="51"/>
      <c r="S313" s="51"/>
      <c r="T313" s="51"/>
    </row>
    <row r="314">
      <c r="A314" s="51"/>
      <c r="B314" s="51"/>
      <c r="C314" s="56"/>
      <c r="D314" s="51"/>
      <c r="E314" s="51"/>
      <c r="F314" s="51"/>
      <c r="G314" s="51" t="str">
        <f>IFERROR(__xludf.DUMMYFUNCTION("""COMPUTED_VALUE"""),"#VALUE!")</f>
        <v>#VALUE!</v>
      </c>
      <c r="H314" s="51" t="str">
        <f>IFERROR(__xludf.DUMMYFUNCTION("""COMPUTED_VALUE"""),"")</f>
        <v/>
      </c>
      <c r="I314" s="51" t="str">
        <f>IFERROR(__xludf.DUMMYFUNCTION("""COMPUTED_VALUE"""),"#VALUE!")</f>
        <v>#VALUE!</v>
      </c>
      <c r="J314" s="51" t="str">
        <f>IFERROR(__xludf.DUMMYFUNCTION("""COMPUTED_VALUE"""),"")</f>
        <v/>
      </c>
      <c r="K314" s="51"/>
      <c r="L314" s="51" t="s">
        <v>257</v>
      </c>
      <c r="M314" s="51"/>
      <c r="N314" s="51"/>
      <c r="O314" s="51"/>
      <c r="P314" s="51"/>
      <c r="Q314" s="51"/>
      <c r="R314" s="51"/>
      <c r="S314" s="51"/>
      <c r="T314" s="51"/>
    </row>
    <row r="315">
      <c r="A315" s="51"/>
      <c r="B315" s="51"/>
      <c r="C315" s="56"/>
      <c r="D315" s="51"/>
      <c r="E315" s="51"/>
      <c r="F315" s="51"/>
      <c r="G315" s="51" t="str">
        <f>IFERROR(__xludf.DUMMYFUNCTION("""COMPUTED_VALUE"""),"#VALUE!")</f>
        <v>#VALUE!</v>
      </c>
      <c r="H315" s="51" t="str">
        <f>IFERROR(__xludf.DUMMYFUNCTION("""COMPUTED_VALUE"""),"")</f>
        <v/>
      </c>
      <c r="I315" s="51" t="str">
        <f>IFERROR(__xludf.DUMMYFUNCTION("""COMPUTED_VALUE"""),"#VALUE!")</f>
        <v>#VALUE!</v>
      </c>
      <c r="J315" s="51" t="str">
        <f>IFERROR(__xludf.DUMMYFUNCTION("""COMPUTED_VALUE"""),"")</f>
        <v/>
      </c>
      <c r="K315" s="51"/>
      <c r="L315" s="51" t="s">
        <v>257</v>
      </c>
      <c r="M315" s="51"/>
      <c r="N315" s="51"/>
      <c r="O315" s="51"/>
      <c r="P315" s="51"/>
      <c r="Q315" s="51"/>
      <c r="R315" s="51"/>
      <c r="S315" s="51"/>
      <c r="T315" s="51"/>
    </row>
    <row r="316">
      <c r="A316" s="51"/>
      <c r="B316" s="51"/>
      <c r="C316" s="56"/>
      <c r="D316" s="51"/>
      <c r="E316" s="51"/>
      <c r="F316" s="51"/>
      <c r="G316" s="51" t="str">
        <f>IFERROR(__xludf.DUMMYFUNCTION("""COMPUTED_VALUE"""),"#VALUE!")</f>
        <v>#VALUE!</v>
      </c>
      <c r="H316" s="51" t="str">
        <f>IFERROR(__xludf.DUMMYFUNCTION("""COMPUTED_VALUE"""),"")</f>
        <v/>
      </c>
      <c r="I316" s="51" t="str">
        <f>IFERROR(__xludf.DUMMYFUNCTION("""COMPUTED_VALUE"""),"#VALUE!")</f>
        <v>#VALUE!</v>
      </c>
      <c r="J316" s="51" t="str">
        <f>IFERROR(__xludf.DUMMYFUNCTION("""COMPUTED_VALUE"""),"")</f>
        <v/>
      </c>
      <c r="K316" s="51"/>
      <c r="L316" s="51" t="s">
        <v>257</v>
      </c>
      <c r="M316" s="51"/>
      <c r="N316" s="51"/>
      <c r="O316" s="51"/>
      <c r="P316" s="51"/>
      <c r="Q316" s="51"/>
      <c r="R316" s="51"/>
      <c r="S316" s="51"/>
      <c r="T316" s="51"/>
    </row>
    <row r="317">
      <c r="A317" s="51"/>
      <c r="B317" s="51"/>
      <c r="C317" s="56"/>
      <c r="D317" s="51"/>
      <c r="E317" s="51"/>
      <c r="F317" s="51"/>
      <c r="G317" s="51" t="str">
        <f>IFERROR(__xludf.DUMMYFUNCTION("""COMPUTED_VALUE"""),"#VALUE!")</f>
        <v>#VALUE!</v>
      </c>
      <c r="H317" s="51" t="str">
        <f>IFERROR(__xludf.DUMMYFUNCTION("""COMPUTED_VALUE"""),"")</f>
        <v/>
      </c>
      <c r="I317" s="51" t="str">
        <f>IFERROR(__xludf.DUMMYFUNCTION("""COMPUTED_VALUE"""),"#VALUE!")</f>
        <v>#VALUE!</v>
      </c>
      <c r="J317" s="51" t="str">
        <f>IFERROR(__xludf.DUMMYFUNCTION("""COMPUTED_VALUE"""),"")</f>
        <v/>
      </c>
      <c r="K317" s="51"/>
      <c r="L317" s="51" t="s">
        <v>257</v>
      </c>
      <c r="M317" s="51"/>
      <c r="N317" s="51"/>
      <c r="O317" s="51"/>
      <c r="P317" s="51"/>
      <c r="Q317" s="51"/>
      <c r="R317" s="51"/>
      <c r="S317" s="51"/>
      <c r="T317" s="51"/>
    </row>
    <row r="318">
      <c r="A318" s="51"/>
      <c r="B318" s="51"/>
      <c r="C318" s="56"/>
      <c r="D318" s="51"/>
      <c r="E318" s="51"/>
      <c r="F318" s="51"/>
      <c r="G318" s="51" t="str">
        <f>IFERROR(__xludf.DUMMYFUNCTION("""COMPUTED_VALUE"""),"#VALUE!")</f>
        <v>#VALUE!</v>
      </c>
      <c r="H318" s="51" t="str">
        <f>IFERROR(__xludf.DUMMYFUNCTION("""COMPUTED_VALUE"""),"")</f>
        <v/>
      </c>
      <c r="I318" s="51" t="str">
        <f>IFERROR(__xludf.DUMMYFUNCTION("""COMPUTED_VALUE"""),"#VALUE!")</f>
        <v>#VALUE!</v>
      </c>
      <c r="J318" s="51" t="str">
        <f>IFERROR(__xludf.DUMMYFUNCTION("""COMPUTED_VALUE"""),"")</f>
        <v/>
      </c>
      <c r="K318" s="51"/>
      <c r="L318" s="51" t="s">
        <v>257</v>
      </c>
      <c r="M318" s="51"/>
      <c r="N318" s="51"/>
      <c r="O318" s="51"/>
      <c r="P318" s="51"/>
      <c r="Q318" s="51"/>
      <c r="R318" s="51"/>
      <c r="S318" s="51"/>
      <c r="T318" s="51"/>
    </row>
    <row r="319">
      <c r="A319" s="51"/>
      <c r="B319" s="51"/>
      <c r="C319" s="56"/>
      <c r="D319" s="51"/>
      <c r="E319" s="51"/>
      <c r="F319" s="51"/>
      <c r="G319" s="51" t="str">
        <f>IFERROR(__xludf.DUMMYFUNCTION("""COMPUTED_VALUE"""),"#VALUE!")</f>
        <v>#VALUE!</v>
      </c>
      <c r="H319" s="51" t="str">
        <f>IFERROR(__xludf.DUMMYFUNCTION("""COMPUTED_VALUE"""),"")</f>
        <v/>
      </c>
      <c r="I319" s="51" t="str">
        <f>IFERROR(__xludf.DUMMYFUNCTION("""COMPUTED_VALUE"""),"#VALUE!")</f>
        <v>#VALUE!</v>
      </c>
      <c r="J319" s="51" t="str">
        <f>IFERROR(__xludf.DUMMYFUNCTION("""COMPUTED_VALUE"""),"")</f>
        <v/>
      </c>
      <c r="K319" s="51"/>
      <c r="L319" s="51" t="s">
        <v>257</v>
      </c>
      <c r="M319" s="51"/>
      <c r="N319" s="51"/>
      <c r="O319" s="51"/>
      <c r="P319" s="51"/>
      <c r="Q319" s="51"/>
      <c r="R319" s="51"/>
      <c r="S319" s="51"/>
      <c r="T319" s="51"/>
    </row>
    <row r="320">
      <c r="A320" s="51"/>
      <c r="B320" s="51"/>
      <c r="C320" s="56"/>
      <c r="D320" s="51"/>
      <c r="E320" s="51"/>
      <c r="F320" s="51"/>
      <c r="G320" s="51" t="str">
        <f>IFERROR(__xludf.DUMMYFUNCTION("""COMPUTED_VALUE"""),"#VALUE!")</f>
        <v>#VALUE!</v>
      </c>
      <c r="H320" s="51" t="str">
        <f>IFERROR(__xludf.DUMMYFUNCTION("""COMPUTED_VALUE"""),"")</f>
        <v/>
      </c>
      <c r="I320" s="51" t="str">
        <f>IFERROR(__xludf.DUMMYFUNCTION("""COMPUTED_VALUE"""),"#VALUE!")</f>
        <v>#VALUE!</v>
      </c>
      <c r="J320" s="51" t="str">
        <f>IFERROR(__xludf.DUMMYFUNCTION("""COMPUTED_VALUE"""),"")</f>
        <v/>
      </c>
      <c r="K320" s="51"/>
      <c r="L320" s="51" t="s">
        <v>257</v>
      </c>
      <c r="M320" s="51"/>
      <c r="N320" s="51"/>
      <c r="O320" s="51"/>
      <c r="P320" s="51"/>
      <c r="Q320" s="51"/>
      <c r="R320" s="51"/>
      <c r="S320" s="51"/>
      <c r="T320" s="51"/>
    </row>
    <row r="321">
      <c r="A321" s="51"/>
      <c r="B321" s="51"/>
      <c r="C321" s="56"/>
      <c r="D321" s="51"/>
      <c r="E321" s="51"/>
      <c r="F321" s="51"/>
      <c r="G321" s="51" t="str">
        <f>IFERROR(__xludf.DUMMYFUNCTION("""COMPUTED_VALUE"""),"#VALUE!")</f>
        <v>#VALUE!</v>
      </c>
      <c r="H321" s="51" t="str">
        <f>IFERROR(__xludf.DUMMYFUNCTION("""COMPUTED_VALUE"""),"")</f>
        <v/>
      </c>
      <c r="I321" s="51" t="str">
        <f>IFERROR(__xludf.DUMMYFUNCTION("""COMPUTED_VALUE"""),"#VALUE!")</f>
        <v>#VALUE!</v>
      </c>
      <c r="J321" s="51" t="str">
        <f>IFERROR(__xludf.DUMMYFUNCTION("""COMPUTED_VALUE"""),"")</f>
        <v/>
      </c>
      <c r="K321" s="51"/>
      <c r="L321" s="51" t="s">
        <v>257</v>
      </c>
      <c r="M321" s="51"/>
      <c r="N321" s="51"/>
      <c r="O321" s="51"/>
      <c r="P321" s="51"/>
      <c r="Q321" s="51"/>
      <c r="R321" s="51"/>
      <c r="S321" s="51"/>
      <c r="T321" s="51"/>
    </row>
    <row r="322">
      <c r="A322" s="51"/>
      <c r="B322" s="51"/>
      <c r="C322" s="56"/>
      <c r="D322" s="51"/>
      <c r="E322" s="51"/>
      <c r="F322" s="51"/>
      <c r="G322" s="51" t="str">
        <f>IFERROR(__xludf.DUMMYFUNCTION("""COMPUTED_VALUE"""),"#VALUE!")</f>
        <v>#VALUE!</v>
      </c>
      <c r="H322" s="51" t="str">
        <f>IFERROR(__xludf.DUMMYFUNCTION("""COMPUTED_VALUE"""),"")</f>
        <v/>
      </c>
      <c r="I322" s="51" t="str">
        <f>IFERROR(__xludf.DUMMYFUNCTION("""COMPUTED_VALUE"""),"#VALUE!")</f>
        <v>#VALUE!</v>
      </c>
      <c r="J322" s="51" t="str">
        <f>IFERROR(__xludf.DUMMYFUNCTION("""COMPUTED_VALUE"""),"")</f>
        <v/>
      </c>
      <c r="K322" s="51"/>
      <c r="L322" s="51" t="s">
        <v>257</v>
      </c>
      <c r="M322" s="51"/>
      <c r="N322" s="51"/>
      <c r="O322" s="51"/>
      <c r="P322" s="51"/>
      <c r="Q322" s="51"/>
      <c r="R322" s="51"/>
      <c r="S322" s="51"/>
      <c r="T322" s="51"/>
    </row>
    <row r="323">
      <c r="A323" s="51"/>
      <c r="B323" s="51"/>
      <c r="C323" s="56"/>
      <c r="D323" s="51"/>
      <c r="E323" s="51"/>
      <c r="F323" s="51"/>
      <c r="G323" s="51" t="str">
        <f>IFERROR(__xludf.DUMMYFUNCTION("""COMPUTED_VALUE"""),"#VALUE!")</f>
        <v>#VALUE!</v>
      </c>
      <c r="H323" s="51" t="str">
        <f>IFERROR(__xludf.DUMMYFUNCTION("""COMPUTED_VALUE"""),"")</f>
        <v/>
      </c>
      <c r="I323" s="51" t="str">
        <f>IFERROR(__xludf.DUMMYFUNCTION("""COMPUTED_VALUE"""),"#VALUE!")</f>
        <v>#VALUE!</v>
      </c>
      <c r="J323" s="51" t="str">
        <f>IFERROR(__xludf.DUMMYFUNCTION("""COMPUTED_VALUE"""),"")</f>
        <v/>
      </c>
      <c r="K323" s="51"/>
      <c r="L323" s="51" t="s">
        <v>257</v>
      </c>
      <c r="M323" s="51"/>
      <c r="N323" s="51"/>
      <c r="O323" s="51"/>
      <c r="P323" s="51"/>
      <c r="Q323" s="51"/>
      <c r="R323" s="51"/>
      <c r="S323" s="51"/>
      <c r="T323" s="51"/>
    </row>
    <row r="324">
      <c r="A324" s="51"/>
      <c r="B324" s="51"/>
      <c r="C324" s="56"/>
      <c r="D324" s="51"/>
      <c r="E324" s="51"/>
      <c r="F324" s="51"/>
      <c r="G324" s="51" t="str">
        <f>IFERROR(__xludf.DUMMYFUNCTION("""COMPUTED_VALUE"""),"#VALUE!")</f>
        <v>#VALUE!</v>
      </c>
      <c r="H324" s="51" t="str">
        <f>IFERROR(__xludf.DUMMYFUNCTION("""COMPUTED_VALUE"""),"")</f>
        <v/>
      </c>
      <c r="I324" s="51" t="str">
        <f>IFERROR(__xludf.DUMMYFUNCTION("""COMPUTED_VALUE"""),"#VALUE!")</f>
        <v>#VALUE!</v>
      </c>
      <c r="J324" s="51" t="str">
        <f>IFERROR(__xludf.DUMMYFUNCTION("""COMPUTED_VALUE"""),"")</f>
        <v/>
      </c>
      <c r="K324" s="51"/>
      <c r="L324" s="51" t="s">
        <v>257</v>
      </c>
      <c r="M324" s="51"/>
      <c r="N324" s="51"/>
      <c r="O324" s="51"/>
      <c r="P324" s="51"/>
      <c r="Q324" s="51"/>
      <c r="R324" s="51"/>
      <c r="S324" s="51"/>
      <c r="T324" s="51"/>
    </row>
    <row r="325">
      <c r="A325" s="51"/>
      <c r="B325" s="51"/>
      <c r="C325" s="56"/>
      <c r="D325" s="51"/>
      <c r="E325" s="51"/>
      <c r="F325" s="51"/>
      <c r="G325" s="51" t="str">
        <f>IFERROR(__xludf.DUMMYFUNCTION("""COMPUTED_VALUE"""),"#VALUE!")</f>
        <v>#VALUE!</v>
      </c>
      <c r="H325" s="51" t="str">
        <f>IFERROR(__xludf.DUMMYFUNCTION("""COMPUTED_VALUE"""),"")</f>
        <v/>
      </c>
      <c r="I325" s="51" t="str">
        <f>IFERROR(__xludf.DUMMYFUNCTION("""COMPUTED_VALUE"""),"#VALUE!")</f>
        <v>#VALUE!</v>
      </c>
      <c r="J325" s="51" t="str">
        <f>IFERROR(__xludf.DUMMYFUNCTION("""COMPUTED_VALUE"""),"")</f>
        <v/>
      </c>
      <c r="K325" s="51"/>
      <c r="L325" s="51" t="s">
        <v>257</v>
      </c>
      <c r="M325" s="51"/>
      <c r="N325" s="51"/>
      <c r="O325" s="51"/>
      <c r="P325" s="51"/>
      <c r="Q325" s="51"/>
      <c r="R325" s="51"/>
      <c r="S325" s="51"/>
      <c r="T325" s="51"/>
    </row>
    <row r="326">
      <c r="A326" s="51"/>
      <c r="B326" s="51"/>
      <c r="C326" s="56"/>
      <c r="D326" s="51"/>
      <c r="E326" s="51"/>
      <c r="F326" s="51"/>
      <c r="G326" s="51" t="str">
        <f>IFERROR(__xludf.DUMMYFUNCTION("""COMPUTED_VALUE"""),"#VALUE!")</f>
        <v>#VALUE!</v>
      </c>
      <c r="H326" s="51" t="str">
        <f>IFERROR(__xludf.DUMMYFUNCTION("""COMPUTED_VALUE"""),"")</f>
        <v/>
      </c>
      <c r="I326" s="51" t="str">
        <f>IFERROR(__xludf.DUMMYFUNCTION("""COMPUTED_VALUE"""),"#VALUE!")</f>
        <v>#VALUE!</v>
      </c>
      <c r="J326" s="51" t="str">
        <f>IFERROR(__xludf.DUMMYFUNCTION("""COMPUTED_VALUE"""),"")</f>
        <v/>
      </c>
      <c r="K326" s="51"/>
      <c r="L326" s="51" t="s">
        <v>257</v>
      </c>
      <c r="M326" s="51"/>
      <c r="N326" s="51"/>
      <c r="O326" s="51"/>
      <c r="P326" s="51"/>
      <c r="Q326" s="51"/>
      <c r="R326" s="51"/>
      <c r="S326" s="51"/>
      <c r="T326" s="51"/>
    </row>
    <row r="327">
      <c r="A327" s="51"/>
      <c r="B327" s="51"/>
      <c r="C327" s="56"/>
      <c r="D327" s="51"/>
      <c r="E327" s="51"/>
      <c r="F327" s="51"/>
      <c r="G327" s="51" t="str">
        <f>IFERROR(__xludf.DUMMYFUNCTION("""COMPUTED_VALUE"""),"#VALUE!")</f>
        <v>#VALUE!</v>
      </c>
      <c r="H327" s="51" t="str">
        <f>IFERROR(__xludf.DUMMYFUNCTION("""COMPUTED_VALUE"""),"")</f>
        <v/>
      </c>
      <c r="I327" s="51" t="str">
        <f>IFERROR(__xludf.DUMMYFUNCTION("""COMPUTED_VALUE"""),"#VALUE!")</f>
        <v>#VALUE!</v>
      </c>
      <c r="J327" s="51" t="str">
        <f>IFERROR(__xludf.DUMMYFUNCTION("""COMPUTED_VALUE"""),"")</f>
        <v/>
      </c>
      <c r="K327" s="51"/>
      <c r="L327" s="51" t="s">
        <v>257</v>
      </c>
      <c r="M327" s="51"/>
      <c r="N327" s="51"/>
      <c r="O327" s="51"/>
      <c r="P327" s="51"/>
      <c r="Q327" s="51"/>
      <c r="R327" s="51"/>
      <c r="S327" s="51"/>
      <c r="T327" s="51"/>
    </row>
    <row r="328">
      <c r="A328" s="51"/>
      <c r="B328" s="51"/>
      <c r="C328" s="56"/>
      <c r="D328" s="51"/>
      <c r="E328" s="51"/>
      <c r="F328" s="51"/>
      <c r="G328" s="51" t="str">
        <f>IFERROR(__xludf.DUMMYFUNCTION("""COMPUTED_VALUE"""),"#VALUE!")</f>
        <v>#VALUE!</v>
      </c>
      <c r="H328" s="51" t="str">
        <f>IFERROR(__xludf.DUMMYFUNCTION("""COMPUTED_VALUE"""),"")</f>
        <v/>
      </c>
      <c r="I328" s="51" t="str">
        <f>IFERROR(__xludf.DUMMYFUNCTION("""COMPUTED_VALUE"""),"#VALUE!")</f>
        <v>#VALUE!</v>
      </c>
      <c r="J328" s="51" t="str">
        <f>IFERROR(__xludf.DUMMYFUNCTION("""COMPUTED_VALUE"""),"")</f>
        <v/>
      </c>
      <c r="K328" s="51"/>
      <c r="L328" s="51" t="s">
        <v>257</v>
      </c>
      <c r="M328" s="51"/>
      <c r="N328" s="51"/>
      <c r="O328" s="51"/>
      <c r="P328" s="51"/>
      <c r="Q328" s="51"/>
      <c r="R328" s="51"/>
      <c r="S328" s="51"/>
      <c r="T328" s="51"/>
    </row>
    <row r="329">
      <c r="A329" s="51"/>
      <c r="B329" s="51"/>
      <c r="C329" s="56"/>
      <c r="D329" s="51"/>
      <c r="E329" s="51"/>
      <c r="F329" s="51"/>
      <c r="G329" s="51" t="str">
        <f>IFERROR(__xludf.DUMMYFUNCTION("""COMPUTED_VALUE"""),"#VALUE!")</f>
        <v>#VALUE!</v>
      </c>
      <c r="H329" s="51" t="str">
        <f>IFERROR(__xludf.DUMMYFUNCTION("""COMPUTED_VALUE"""),"")</f>
        <v/>
      </c>
      <c r="I329" s="51" t="str">
        <f>IFERROR(__xludf.DUMMYFUNCTION("""COMPUTED_VALUE"""),"#VALUE!")</f>
        <v>#VALUE!</v>
      </c>
      <c r="J329" s="51" t="str">
        <f>IFERROR(__xludf.DUMMYFUNCTION("""COMPUTED_VALUE"""),"")</f>
        <v/>
      </c>
      <c r="K329" s="51"/>
      <c r="L329" s="51" t="s">
        <v>257</v>
      </c>
      <c r="M329" s="51"/>
      <c r="N329" s="51"/>
      <c r="O329" s="51"/>
      <c r="P329" s="51"/>
      <c r="Q329" s="51"/>
      <c r="R329" s="51"/>
      <c r="S329" s="51"/>
      <c r="T329" s="51"/>
    </row>
    <row r="330">
      <c r="A330" s="51"/>
      <c r="B330" s="51"/>
      <c r="C330" s="56"/>
      <c r="D330" s="51"/>
      <c r="E330" s="51"/>
      <c r="F330" s="51"/>
      <c r="G330" s="51" t="str">
        <f>IFERROR(__xludf.DUMMYFUNCTION("""COMPUTED_VALUE"""),"#VALUE!")</f>
        <v>#VALUE!</v>
      </c>
      <c r="H330" s="51" t="str">
        <f>IFERROR(__xludf.DUMMYFUNCTION("""COMPUTED_VALUE"""),"")</f>
        <v/>
      </c>
      <c r="I330" s="51" t="str">
        <f>IFERROR(__xludf.DUMMYFUNCTION("""COMPUTED_VALUE"""),"#VALUE!")</f>
        <v>#VALUE!</v>
      </c>
      <c r="J330" s="51" t="str">
        <f>IFERROR(__xludf.DUMMYFUNCTION("""COMPUTED_VALUE"""),"")</f>
        <v/>
      </c>
      <c r="K330" s="51"/>
      <c r="L330" s="51" t="s">
        <v>257</v>
      </c>
      <c r="M330" s="51"/>
      <c r="N330" s="51"/>
      <c r="O330" s="51"/>
      <c r="P330" s="51"/>
      <c r="Q330" s="51"/>
      <c r="R330" s="51"/>
      <c r="S330" s="51"/>
      <c r="T330" s="51"/>
    </row>
    <row r="331">
      <c r="A331" s="51"/>
      <c r="B331" s="51"/>
      <c r="C331" s="56"/>
      <c r="D331" s="51"/>
      <c r="E331" s="51"/>
      <c r="F331" s="51"/>
      <c r="G331" s="51" t="str">
        <f>IFERROR(__xludf.DUMMYFUNCTION("""COMPUTED_VALUE"""),"#VALUE!")</f>
        <v>#VALUE!</v>
      </c>
      <c r="H331" s="51" t="str">
        <f>IFERROR(__xludf.DUMMYFUNCTION("""COMPUTED_VALUE"""),"")</f>
        <v/>
      </c>
      <c r="I331" s="51" t="str">
        <f>IFERROR(__xludf.DUMMYFUNCTION("""COMPUTED_VALUE"""),"#VALUE!")</f>
        <v>#VALUE!</v>
      </c>
      <c r="J331" s="51" t="str">
        <f>IFERROR(__xludf.DUMMYFUNCTION("""COMPUTED_VALUE"""),"")</f>
        <v/>
      </c>
      <c r="K331" s="51"/>
      <c r="L331" s="51" t="s">
        <v>257</v>
      </c>
      <c r="M331" s="51"/>
      <c r="N331" s="51"/>
      <c r="O331" s="51"/>
      <c r="P331" s="51"/>
      <c r="Q331" s="51"/>
      <c r="R331" s="51"/>
      <c r="S331" s="51"/>
      <c r="T331" s="51"/>
    </row>
    <row r="332">
      <c r="A332" s="51"/>
      <c r="B332" s="51"/>
      <c r="C332" s="56"/>
      <c r="D332" s="51"/>
      <c r="E332" s="51"/>
      <c r="F332" s="51"/>
      <c r="G332" s="51" t="str">
        <f>IFERROR(__xludf.DUMMYFUNCTION("""COMPUTED_VALUE"""),"#VALUE!")</f>
        <v>#VALUE!</v>
      </c>
      <c r="H332" s="51" t="str">
        <f>IFERROR(__xludf.DUMMYFUNCTION("""COMPUTED_VALUE"""),"")</f>
        <v/>
      </c>
      <c r="I332" s="51" t="str">
        <f>IFERROR(__xludf.DUMMYFUNCTION("""COMPUTED_VALUE"""),"#VALUE!")</f>
        <v>#VALUE!</v>
      </c>
      <c r="J332" s="51" t="str">
        <f>IFERROR(__xludf.DUMMYFUNCTION("""COMPUTED_VALUE"""),"")</f>
        <v/>
      </c>
      <c r="K332" s="51"/>
      <c r="L332" s="51" t="s">
        <v>257</v>
      </c>
      <c r="M332" s="51"/>
      <c r="N332" s="51"/>
      <c r="O332" s="51"/>
      <c r="P332" s="51"/>
      <c r="Q332" s="51"/>
      <c r="R332" s="51"/>
      <c r="S332" s="51"/>
      <c r="T332" s="51"/>
    </row>
    <row r="333">
      <c r="A333" s="51"/>
      <c r="B333" s="51"/>
      <c r="C333" s="56"/>
      <c r="D333" s="51"/>
      <c r="E333" s="51"/>
      <c r="F333" s="51"/>
      <c r="G333" s="51" t="str">
        <f>IFERROR(__xludf.DUMMYFUNCTION("""COMPUTED_VALUE"""),"#VALUE!")</f>
        <v>#VALUE!</v>
      </c>
      <c r="H333" s="51" t="str">
        <f>IFERROR(__xludf.DUMMYFUNCTION("""COMPUTED_VALUE"""),"")</f>
        <v/>
      </c>
      <c r="I333" s="51" t="str">
        <f>IFERROR(__xludf.DUMMYFUNCTION("""COMPUTED_VALUE"""),"#VALUE!")</f>
        <v>#VALUE!</v>
      </c>
      <c r="J333" s="51" t="str">
        <f>IFERROR(__xludf.DUMMYFUNCTION("""COMPUTED_VALUE"""),"")</f>
        <v/>
      </c>
      <c r="K333" s="51"/>
      <c r="L333" s="51" t="s">
        <v>257</v>
      </c>
      <c r="M333" s="51"/>
      <c r="N333" s="51"/>
      <c r="O333" s="51"/>
      <c r="P333" s="51"/>
      <c r="Q333" s="51"/>
      <c r="R333" s="51"/>
      <c r="S333" s="51"/>
      <c r="T333" s="51"/>
    </row>
    <row r="334">
      <c r="A334" s="51"/>
      <c r="B334" s="51"/>
      <c r="C334" s="56"/>
      <c r="D334" s="51"/>
      <c r="E334" s="51"/>
      <c r="F334" s="51"/>
      <c r="G334" s="51" t="str">
        <f>IFERROR(__xludf.DUMMYFUNCTION("""COMPUTED_VALUE"""),"#VALUE!")</f>
        <v>#VALUE!</v>
      </c>
      <c r="H334" s="51" t="str">
        <f>IFERROR(__xludf.DUMMYFUNCTION("""COMPUTED_VALUE"""),"")</f>
        <v/>
      </c>
      <c r="I334" s="51" t="str">
        <f>IFERROR(__xludf.DUMMYFUNCTION("""COMPUTED_VALUE"""),"#VALUE!")</f>
        <v>#VALUE!</v>
      </c>
      <c r="J334" s="51" t="str">
        <f>IFERROR(__xludf.DUMMYFUNCTION("""COMPUTED_VALUE"""),"")</f>
        <v/>
      </c>
      <c r="K334" s="51"/>
      <c r="L334" s="51" t="s">
        <v>257</v>
      </c>
      <c r="M334" s="51"/>
      <c r="N334" s="51"/>
      <c r="O334" s="51"/>
      <c r="P334" s="51"/>
      <c r="Q334" s="51"/>
      <c r="R334" s="51"/>
      <c r="S334" s="51"/>
      <c r="T334" s="51"/>
    </row>
    <row r="335">
      <c r="A335" s="51"/>
      <c r="B335" s="51"/>
      <c r="C335" s="56"/>
      <c r="D335" s="51"/>
      <c r="E335" s="51"/>
      <c r="F335" s="51"/>
      <c r="G335" s="51" t="str">
        <f>IFERROR(__xludf.DUMMYFUNCTION("""COMPUTED_VALUE"""),"#VALUE!")</f>
        <v>#VALUE!</v>
      </c>
      <c r="H335" s="51" t="str">
        <f>IFERROR(__xludf.DUMMYFUNCTION("""COMPUTED_VALUE"""),"")</f>
        <v/>
      </c>
      <c r="I335" s="51" t="str">
        <f>IFERROR(__xludf.DUMMYFUNCTION("""COMPUTED_VALUE"""),"#VALUE!")</f>
        <v>#VALUE!</v>
      </c>
      <c r="J335" s="51" t="str">
        <f>IFERROR(__xludf.DUMMYFUNCTION("""COMPUTED_VALUE"""),"")</f>
        <v/>
      </c>
      <c r="K335" s="51"/>
      <c r="L335" s="51" t="s">
        <v>257</v>
      </c>
      <c r="M335" s="51"/>
      <c r="N335" s="51"/>
      <c r="O335" s="51"/>
      <c r="P335" s="51"/>
      <c r="Q335" s="51"/>
      <c r="R335" s="51"/>
      <c r="S335" s="51"/>
      <c r="T335" s="51"/>
    </row>
    <row r="336">
      <c r="A336" s="51"/>
      <c r="B336" s="51"/>
      <c r="C336" s="56"/>
      <c r="D336" s="51"/>
      <c r="E336" s="51"/>
      <c r="F336" s="51"/>
      <c r="G336" s="51" t="str">
        <f>IFERROR(__xludf.DUMMYFUNCTION("""COMPUTED_VALUE"""),"#VALUE!")</f>
        <v>#VALUE!</v>
      </c>
      <c r="H336" s="51" t="str">
        <f>IFERROR(__xludf.DUMMYFUNCTION("""COMPUTED_VALUE"""),"")</f>
        <v/>
      </c>
      <c r="I336" s="51" t="str">
        <f>IFERROR(__xludf.DUMMYFUNCTION("""COMPUTED_VALUE"""),"#VALUE!")</f>
        <v>#VALUE!</v>
      </c>
      <c r="J336" s="51" t="str">
        <f>IFERROR(__xludf.DUMMYFUNCTION("""COMPUTED_VALUE"""),"")</f>
        <v/>
      </c>
      <c r="K336" s="51"/>
      <c r="L336" s="51" t="s">
        <v>257</v>
      </c>
      <c r="M336" s="51"/>
      <c r="N336" s="51"/>
      <c r="O336" s="51"/>
      <c r="P336" s="51"/>
      <c r="Q336" s="51"/>
      <c r="R336" s="51"/>
      <c r="S336" s="51"/>
      <c r="T336" s="51"/>
    </row>
    <row r="337">
      <c r="A337" s="51"/>
      <c r="B337" s="51"/>
      <c r="C337" s="56"/>
      <c r="D337" s="51"/>
      <c r="E337" s="51"/>
      <c r="F337" s="51"/>
      <c r="G337" s="51" t="str">
        <f>IFERROR(__xludf.DUMMYFUNCTION("""COMPUTED_VALUE"""),"#VALUE!")</f>
        <v>#VALUE!</v>
      </c>
      <c r="H337" s="51" t="str">
        <f>IFERROR(__xludf.DUMMYFUNCTION("""COMPUTED_VALUE"""),"")</f>
        <v/>
      </c>
      <c r="I337" s="51" t="str">
        <f>IFERROR(__xludf.DUMMYFUNCTION("""COMPUTED_VALUE"""),"#VALUE!")</f>
        <v>#VALUE!</v>
      </c>
      <c r="J337" s="51" t="str">
        <f>IFERROR(__xludf.DUMMYFUNCTION("""COMPUTED_VALUE"""),"")</f>
        <v/>
      </c>
      <c r="K337" s="51"/>
      <c r="L337" s="51" t="s">
        <v>257</v>
      </c>
      <c r="M337" s="51"/>
      <c r="N337" s="51"/>
      <c r="O337" s="51"/>
      <c r="P337" s="51"/>
      <c r="Q337" s="51"/>
      <c r="R337" s="51"/>
      <c r="S337" s="51"/>
      <c r="T337" s="51"/>
    </row>
    <row r="338">
      <c r="A338" s="51"/>
      <c r="B338" s="51"/>
      <c r="C338" s="56"/>
      <c r="D338" s="51"/>
      <c r="E338" s="51"/>
      <c r="F338" s="51"/>
      <c r="G338" s="51" t="str">
        <f>IFERROR(__xludf.DUMMYFUNCTION("""COMPUTED_VALUE"""),"#VALUE!")</f>
        <v>#VALUE!</v>
      </c>
      <c r="H338" s="51" t="str">
        <f>IFERROR(__xludf.DUMMYFUNCTION("""COMPUTED_VALUE"""),"")</f>
        <v/>
      </c>
      <c r="I338" s="51" t="str">
        <f>IFERROR(__xludf.DUMMYFUNCTION("""COMPUTED_VALUE"""),"#VALUE!")</f>
        <v>#VALUE!</v>
      </c>
      <c r="J338" s="51" t="str">
        <f>IFERROR(__xludf.DUMMYFUNCTION("""COMPUTED_VALUE"""),"")</f>
        <v/>
      </c>
      <c r="K338" s="51"/>
      <c r="L338" s="51" t="s">
        <v>257</v>
      </c>
      <c r="M338" s="51"/>
      <c r="N338" s="51"/>
      <c r="O338" s="51"/>
      <c r="P338" s="51"/>
      <c r="Q338" s="51"/>
      <c r="R338" s="51"/>
      <c r="S338" s="51"/>
      <c r="T338" s="51"/>
    </row>
    <row r="339">
      <c r="A339" s="51"/>
      <c r="B339" s="51"/>
      <c r="C339" s="56"/>
      <c r="D339" s="51"/>
      <c r="E339" s="51"/>
      <c r="F339" s="51"/>
      <c r="G339" s="51" t="str">
        <f>IFERROR(__xludf.DUMMYFUNCTION("""COMPUTED_VALUE"""),"#VALUE!")</f>
        <v>#VALUE!</v>
      </c>
      <c r="H339" s="51" t="str">
        <f>IFERROR(__xludf.DUMMYFUNCTION("""COMPUTED_VALUE"""),"")</f>
        <v/>
      </c>
      <c r="I339" s="51" t="str">
        <f>IFERROR(__xludf.DUMMYFUNCTION("""COMPUTED_VALUE"""),"#VALUE!")</f>
        <v>#VALUE!</v>
      </c>
      <c r="J339" s="51" t="str">
        <f>IFERROR(__xludf.DUMMYFUNCTION("""COMPUTED_VALUE"""),"")</f>
        <v/>
      </c>
      <c r="K339" s="51"/>
      <c r="L339" s="51" t="s">
        <v>257</v>
      </c>
      <c r="M339" s="51"/>
      <c r="N339" s="51"/>
      <c r="O339" s="51"/>
      <c r="P339" s="51"/>
      <c r="Q339" s="51"/>
      <c r="R339" s="51"/>
      <c r="S339" s="51"/>
      <c r="T339" s="51"/>
    </row>
    <row r="340">
      <c r="A340" s="51"/>
      <c r="B340" s="51"/>
      <c r="C340" s="56"/>
      <c r="D340" s="51"/>
      <c r="E340" s="51"/>
      <c r="F340" s="51"/>
      <c r="G340" s="51" t="str">
        <f>IFERROR(__xludf.DUMMYFUNCTION("""COMPUTED_VALUE"""),"#VALUE!")</f>
        <v>#VALUE!</v>
      </c>
      <c r="H340" s="51" t="str">
        <f>IFERROR(__xludf.DUMMYFUNCTION("""COMPUTED_VALUE"""),"")</f>
        <v/>
      </c>
      <c r="I340" s="51" t="str">
        <f>IFERROR(__xludf.DUMMYFUNCTION("""COMPUTED_VALUE"""),"#VALUE!")</f>
        <v>#VALUE!</v>
      </c>
      <c r="J340" s="51" t="str">
        <f>IFERROR(__xludf.DUMMYFUNCTION("""COMPUTED_VALUE"""),"")</f>
        <v/>
      </c>
      <c r="K340" s="51"/>
      <c r="L340" s="51" t="s">
        <v>257</v>
      </c>
      <c r="M340" s="51"/>
      <c r="N340" s="51"/>
      <c r="O340" s="51"/>
      <c r="P340" s="51"/>
      <c r="Q340" s="51"/>
      <c r="R340" s="51"/>
      <c r="S340" s="51"/>
      <c r="T340" s="51"/>
    </row>
    <row r="341">
      <c r="A341" s="51"/>
      <c r="B341" s="51"/>
      <c r="C341" s="56"/>
      <c r="D341" s="51"/>
      <c r="E341" s="51"/>
      <c r="F341" s="51"/>
      <c r="G341" s="51" t="str">
        <f>IFERROR(__xludf.DUMMYFUNCTION("""COMPUTED_VALUE"""),"#VALUE!")</f>
        <v>#VALUE!</v>
      </c>
      <c r="H341" s="51" t="str">
        <f>IFERROR(__xludf.DUMMYFUNCTION("""COMPUTED_VALUE"""),"")</f>
        <v/>
      </c>
      <c r="I341" s="51" t="str">
        <f>IFERROR(__xludf.DUMMYFUNCTION("""COMPUTED_VALUE"""),"#VALUE!")</f>
        <v>#VALUE!</v>
      </c>
      <c r="J341" s="51" t="str">
        <f>IFERROR(__xludf.DUMMYFUNCTION("""COMPUTED_VALUE"""),"")</f>
        <v/>
      </c>
      <c r="K341" s="51"/>
      <c r="L341" s="51" t="s">
        <v>257</v>
      </c>
      <c r="M341" s="51"/>
      <c r="N341" s="51"/>
      <c r="O341" s="51"/>
      <c r="P341" s="51"/>
      <c r="Q341" s="51"/>
      <c r="R341" s="51"/>
      <c r="S341" s="51"/>
      <c r="T341" s="51"/>
    </row>
    <row r="342">
      <c r="A342" s="51"/>
      <c r="B342" s="51"/>
      <c r="C342" s="56"/>
      <c r="D342" s="51"/>
      <c r="E342" s="51"/>
      <c r="F342" s="51"/>
      <c r="G342" s="51" t="str">
        <f>IFERROR(__xludf.DUMMYFUNCTION("""COMPUTED_VALUE"""),"#VALUE!")</f>
        <v>#VALUE!</v>
      </c>
      <c r="H342" s="51" t="str">
        <f>IFERROR(__xludf.DUMMYFUNCTION("""COMPUTED_VALUE"""),"")</f>
        <v/>
      </c>
      <c r="I342" s="51" t="str">
        <f>IFERROR(__xludf.DUMMYFUNCTION("""COMPUTED_VALUE"""),"#VALUE!")</f>
        <v>#VALUE!</v>
      </c>
      <c r="J342" s="51" t="str">
        <f>IFERROR(__xludf.DUMMYFUNCTION("""COMPUTED_VALUE"""),"")</f>
        <v/>
      </c>
      <c r="K342" s="51"/>
      <c r="L342" s="51" t="s">
        <v>257</v>
      </c>
      <c r="M342" s="51"/>
      <c r="N342" s="51"/>
      <c r="O342" s="51"/>
      <c r="P342" s="51"/>
      <c r="Q342" s="51"/>
      <c r="R342" s="51"/>
      <c r="S342" s="51"/>
      <c r="T342" s="51"/>
    </row>
    <row r="343">
      <c r="A343" s="51"/>
      <c r="B343" s="51"/>
      <c r="C343" s="56"/>
      <c r="D343" s="51"/>
      <c r="E343" s="51"/>
      <c r="F343" s="51"/>
      <c r="G343" s="51" t="str">
        <f>IFERROR(__xludf.DUMMYFUNCTION("""COMPUTED_VALUE"""),"#VALUE!")</f>
        <v>#VALUE!</v>
      </c>
      <c r="H343" s="51" t="str">
        <f>IFERROR(__xludf.DUMMYFUNCTION("""COMPUTED_VALUE"""),"")</f>
        <v/>
      </c>
      <c r="I343" s="51" t="str">
        <f>IFERROR(__xludf.DUMMYFUNCTION("""COMPUTED_VALUE"""),"#VALUE!")</f>
        <v>#VALUE!</v>
      </c>
      <c r="J343" s="51" t="str">
        <f>IFERROR(__xludf.DUMMYFUNCTION("""COMPUTED_VALUE"""),"")</f>
        <v/>
      </c>
      <c r="K343" s="51"/>
      <c r="L343" s="51" t="s">
        <v>257</v>
      </c>
      <c r="M343" s="51"/>
      <c r="N343" s="51"/>
      <c r="O343" s="51"/>
      <c r="P343" s="51"/>
      <c r="Q343" s="51"/>
      <c r="R343" s="51"/>
      <c r="S343" s="51"/>
      <c r="T343" s="51"/>
    </row>
    <row r="344">
      <c r="A344" s="51"/>
      <c r="B344" s="51"/>
      <c r="C344" s="56"/>
      <c r="D344" s="51"/>
      <c r="E344" s="51"/>
      <c r="F344" s="51"/>
      <c r="G344" s="51" t="str">
        <f>IFERROR(__xludf.DUMMYFUNCTION("""COMPUTED_VALUE"""),"#VALUE!")</f>
        <v>#VALUE!</v>
      </c>
      <c r="H344" s="51" t="str">
        <f>IFERROR(__xludf.DUMMYFUNCTION("""COMPUTED_VALUE"""),"")</f>
        <v/>
      </c>
      <c r="I344" s="51" t="str">
        <f>IFERROR(__xludf.DUMMYFUNCTION("""COMPUTED_VALUE"""),"#VALUE!")</f>
        <v>#VALUE!</v>
      </c>
      <c r="J344" s="51" t="str">
        <f>IFERROR(__xludf.DUMMYFUNCTION("""COMPUTED_VALUE"""),"")</f>
        <v/>
      </c>
      <c r="K344" s="51"/>
      <c r="L344" s="51" t="s">
        <v>257</v>
      </c>
      <c r="M344" s="51"/>
      <c r="N344" s="51"/>
      <c r="O344" s="51"/>
      <c r="P344" s="51"/>
      <c r="Q344" s="51"/>
      <c r="R344" s="51"/>
      <c r="S344" s="51"/>
      <c r="T344" s="51"/>
    </row>
    <row r="345">
      <c r="A345" s="51"/>
      <c r="B345" s="51"/>
      <c r="C345" s="56"/>
      <c r="D345" s="51"/>
      <c r="E345" s="51"/>
      <c r="F345" s="51"/>
      <c r="G345" s="51" t="str">
        <f>IFERROR(__xludf.DUMMYFUNCTION("""COMPUTED_VALUE"""),"#VALUE!")</f>
        <v>#VALUE!</v>
      </c>
      <c r="H345" s="51" t="str">
        <f>IFERROR(__xludf.DUMMYFUNCTION("""COMPUTED_VALUE"""),"")</f>
        <v/>
      </c>
      <c r="I345" s="51" t="str">
        <f>IFERROR(__xludf.DUMMYFUNCTION("""COMPUTED_VALUE"""),"#VALUE!")</f>
        <v>#VALUE!</v>
      </c>
      <c r="J345" s="51" t="str">
        <f>IFERROR(__xludf.DUMMYFUNCTION("""COMPUTED_VALUE"""),"")</f>
        <v/>
      </c>
      <c r="K345" s="51"/>
      <c r="L345" s="51" t="s">
        <v>257</v>
      </c>
      <c r="M345" s="51"/>
      <c r="N345" s="51"/>
      <c r="O345" s="51"/>
      <c r="P345" s="51"/>
      <c r="Q345" s="51"/>
      <c r="R345" s="51"/>
      <c r="S345" s="51"/>
      <c r="T345" s="51"/>
    </row>
    <row r="346">
      <c r="A346" s="51"/>
      <c r="B346" s="51"/>
      <c r="C346" s="56"/>
      <c r="D346" s="51"/>
      <c r="E346" s="51"/>
      <c r="F346" s="51"/>
      <c r="G346" s="51" t="str">
        <f>IFERROR(__xludf.DUMMYFUNCTION("""COMPUTED_VALUE"""),"#VALUE!")</f>
        <v>#VALUE!</v>
      </c>
      <c r="H346" s="51" t="str">
        <f>IFERROR(__xludf.DUMMYFUNCTION("""COMPUTED_VALUE"""),"")</f>
        <v/>
      </c>
      <c r="I346" s="51" t="str">
        <f>IFERROR(__xludf.DUMMYFUNCTION("""COMPUTED_VALUE"""),"#VALUE!")</f>
        <v>#VALUE!</v>
      </c>
      <c r="J346" s="51" t="str">
        <f>IFERROR(__xludf.DUMMYFUNCTION("""COMPUTED_VALUE"""),"")</f>
        <v/>
      </c>
      <c r="K346" s="51"/>
      <c r="L346" s="51" t="s">
        <v>257</v>
      </c>
      <c r="M346" s="51"/>
      <c r="N346" s="51"/>
      <c r="O346" s="51"/>
      <c r="P346" s="51"/>
      <c r="Q346" s="51"/>
      <c r="R346" s="51"/>
      <c r="S346" s="51"/>
      <c r="T346" s="51"/>
    </row>
    <row r="347">
      <c r="A347" s="51"/>
      <c r="B347" s="51"/>
      <c r="C347" s="56"/>
      <c r="D347" s="51"/>
      <c r="E347" s="51"/>
      <c r="F347" s="51"/>
      <c r="G347" s="51" t="str">
        <f>IFERROR(__xludf.DUMMYFUNCTION("""COMPUTED_VALUE"""),"#VALUE!")</f>
        <v>#VALUE!</v>
      </c>
      <c r="H347" s="51" t="str">
        <f>IFERROR(__xludf.DUMMYFUNCTION("""COMPUTED_VALUE"""),"")</f>
        <v/>
      </c>
      <c r="I347" s="51" t="str">
        <f>IFERROR(__xludf.DUMMYFUNCTION("""COMPUTED_VALUE"""),"#VALUE!")</f>
        <v>#VALUE!</v>
      </c>
      <c r="J347" s="51" t="str">
        <f>IFERROR(__xludf.DUMMYFUNCTION("""COMPUTED_VALUE"""),"")</f>
        <v/>
      </c>
      <c r="K347" s="51"/>
      <c r="L347" s="51" t="s">
        <v>257</v>
      </c>
      <c r="M347" s="51"/>
      <c r="N347" s="51"/>
      <c r="O347" s="51"/>
      <c r="P347" s="51"/>
      <c r="Q347" s="51"/>
      <c r="R347" s="51"/>
      <c r="S347" s="51"/>
      <c r="T347" s="51"/>
    </row>
    <row r="348">
      <c r="A348" s="51"/>
      <c r="B348" s="51"/>
      <c r="C348" s="56"/>
      <c r="D348" s="51"/>
      <c r="E348" s="51"/>
      <c r="F348" s="51"/>
      <c r="G348" s="51" t="str">
        <f>IFERROR(__xludf.DUMMYFUNCTION("""COMPUTED_VALUE"""),"#VALUE!")</f>
        <v>#VALUE!</v>
      </c>
      <c r="H348" s="51" t="str">
        <f>IFERROR(__xludf.DUMMYFUNCTION("""COMPUTED_VALUE"""),"")</f>
        <v/>
      </c>
      <c r="I348" s="51" t="str">
        <f>IFERROR(__xludf.DUMMYFUNCTION("""COMPUTED_VALUE"""),"#VALUE!")</f>
        <v>#VALUE!</v>
      </c>
      <c r="J348" s="51" t="str">
        <f>IFERROR(__xludf.DUMMYFUNCTION("""COMPUTED_VALUE"""),"")</f>
        <v/>
      </c>
      <c r="K348" s="51"/>
      <c r="L348" s="51" t="s">
        <v>257</v>
      </c>
      <c r="M348" s="51"/>
      <c r="N348" s="51"/>
      <c r="O348" s="51"/>
      <c r="P348" s="51"/>
      <c r="Q348" s="51"/>
      <c r="R348" s="51"/>
      <c r="S348" s="51"/>
      <c r="T348" s="51"/>
    </row>
    <row r="349">
      <c r="A349" s="51"/>
      <c r="B349" s="51"/>
      <c r="C349" s="56"/>
      <c r="D349" s="51"/>
      <c r="E349" s="51"/>
      <c r="F349" s="51"/>
      <c r="G349" s="51" t="str">
        <f>IFERROR(__xludf.DUMMYFUNCTION("""COMPUTED_VALUE"""),"#VALUE!")</f>
        <v>#VALUE!</v>
      </c>
      <c r="H349" s="51" t="str">
        <f>IFERROR(__xludf.DUMMYFUNCTION("""COMPUTED_VALUE"""),"")</f>
        <v/>
      </c>
      <c r="I349" s="51" t="str">
        <f>IFERROR(__xludf.DUMMYFUNCTION("""COMPUTED_VALUE"""),"#VALUE!")</f>
        <v>#VALUE!</v>
      </c>
      <c r="J349" s="51" t="str">
        <f>IFERROR(__xludf.DUMMYFUNCTION("""COMPUTED_VALUE"""),"")</f>
        <v/>
      </c>
      <c r="K349" s="51"/>
      <c r="L349" s="51" t="s">
        <v>257</v>
      </c>
      <c r="M349" s="51"/>
      <c r="N349" s="51"/>
      <c r="O349" s="51"/>
      <c r="P349" s="51"/>
      <c r="Q349" s="51"/>
      <c r="R349" s="51"/>
      <c r="S349" s="51"/>
      <c r="T349" s="51"/>
    </row>
    <row r="350">
      <c r="A350" s="51"/>
      <c r="B350" s="51"/>
      <c r="C350" s="56"/>
      <c r="D350" s="51"/>
      <c r="E350" s="51"/>
      <c r="F350" s="51"/>
      <c r="G350" s="51" t="str">
        <f>IFERROR(__xludf.DUMMYFUNCTION("""COMPUTED_VALUE"""),"#VALUE!")</f>
        <v>#VALUE!</v>
      </c>
      <c r="H350" s="51" t="str">
        <f>IFERROR(__xludf.DUMMYFUNCTION("""COMPUTED_VALUE"""),"")</f>
        <v/>
      </c>
      <c r="I350" s="51" t="str">
        <f>IFERROR(__xludf.DUMMYFUNCTION("""COMPUTED_VALUE"""),"#VALUE!")</f>
        <v>#VALUE!</v>
      </c>
      <c r="J350" s="51" t="str">
        <f>IFERROR(__xludf.DUMMYFUNCTION("""COMPUTED_VALUE"""),"")</f>
        <v/>
      </c>
      <c r="K350" s="51"/>
      <c r="L350" s="51" t="s">
        <v>257</v>
      </c>
      <c r="M350" s="51"/>
      <c r="N350" s="51"/>
      <c r="O350" s="51"/>
      <c r="P350" s="51"/>
      <c r="Q350" s="51"/>
      <c r="R350" s="51"/>
      <c r="S350" s="51"/>
      <c r="T350" s="51"/>
    </row>
    <row r="351">
      <c r="A351" s="51"/>
      <c r="B351" s="51"/>
      <c r="C351" s="56"/>
      <c r="D351" s="51"/>
      <c r="E351" s="51"/>
      <c r="F351" s="51"/>
      <c r="G351" s="51" t="str">
        <f>IFERROR(__xludf.DUMMYFUNCTION("""COMPUTED_VALUE"""),"#VALUE!")</f>
        <v>#VALUE!</v>
      </c>
      <c r="H351" s="51" t="str">
        <f>IFERROR(__xludf.DUMMYFUNCTION("""COMPUTED_VALUE"""),"")</f>
        <v/>
      </c>
      <c r="I351" s="51" t="str">
        <f>IFERROR(__xludf.DUMMYFUNCTION("""COMPUTED_VALUE"""),"#VALUE!")</f>
        <v>#VALUE!</v>
      </c>
      <c r="J351" s="51" t="str">
        <f>IFERROR(__xludf.DUMMYFUNCTION("""COMPUTED_VALUE"""),"")</f>
        <v/>
      </c>
      <c r="K351" s="51"/>
      <c r="L351" s="51" t="s">
        <v>257</v>
      </c>
      <c r="M351" s="51"/>
      <c r="N351" s="51"/>
      <c r="O351" s="51"/>
      <c r="P351" s="51"/>
      <c r="Q351" s="51"/>
      <c r="R351" s="51"/>
      <c r="S351" s="51"/>
      <c r="T351" s="51"/>
    </row>
    <row r="352">
      <c r="A352" s="51"/>
      <c r="B352" s="51"/>
      <c r="C352" s="56"/>
      <c r="D352" s="51"/>
      <c r="E352" s="51"/>
      <c r="F352" s="51"/>
      <c r="G352" s="51" t="str">
        <f>IFERROR(__xludf.DUMMYFUNCTION("""COMPUTED_VALUE"""),"#VALUE!")</f>
        <v>#VALUE!</v>
      </c>
      <c r="H352" s="51" t="str">
        <f>IFERROR(__xludf.DUMMYFUNCTION("""COMPUTED_VALUE"""),"")</f>
        <v/>
      </c>
      <c r="I352" s="51" t="str">
        <f>IFERROR(__xludf.DUMMYFUNCTION("""COMPUTED_VALUE"""),"#VALUE!")</f>
        <v>#VALUE!</v>
      </c>
      <c r="J352" s="51" t="str">
        <f>IFERROR(__xludf.DUMMYFUNCTION("""COMPUTED_VALUE"""),"")</f>
        <v/>
      </c>
      <c r="K352" s="51"/>
      <c r="L352" s="51" t="s">
        <v>257</v>
      </c>
      <c r="M352" s="51"/>
      <c r="N352" s="51"/>
      <c r="O352" s="51"/>
      <c r="P352" s="51"/>
      <c r="Q352" s="51"/>
      <c r="R352" s="51"/>
      <c r="S352" s="51"/>
      <c r="T352" s="51"/>
    </row>
    <row r="353">
      <c r="A353" s="51"/>
      <c r="B353" s="51"/>
      <c r="C353" s="56"/>
      <c r="D353" s="51"/>
      <c r="E353" s="51"/>
      <c r="F353" s="51"/>
      <c r="G353" s="51" t="str">
        <f>IFERROR(__xludf.DUMMYFUNCTION("""COMPUTED_VALUE"""),"#VALUE!")</f>
        <v>#VALUE!</v>
      </c>
      <c r="H353" s="51" t="str">
        <f>IFERROR(__xludf.DUMMYFUNCTION("""COMPUTED_VALUE"""),"")</f>
        <v/>
      </c>
      <c r="I353" s="51" t="str">
        <f>IFERROR(__xludf.DUMMYFUNCTION("""COMPUTED_VALUE"""),"#VALUE!")</f>
        <v>#VALUE!</v>
      </c>
      <c r="J353" s="51" t="str">
        <f>IFERROR(__xludf.DUMMYFUNCTION("""COMPUTED_VALUE"""),"")</f>
        <v/>
      </c>
      <c r="K353" s="51"/>
      <c r="L353" s="51" t="s">
        <v>257</v>
      </c>
      <c r="M353" s="51"/>
      <c r="N353" s="51"/>
      <c r="O353" s="51"/>
      <c r="P353" s="51"/>
      <c r="Q353" s="51"/>
      <c r="R353" s="51"/>
      <c r="S353" s="51"/>
      <c r="T353" s="51"/>
    </row>
    <row r="354">
      <c r="A354" s="51"/>
      <c r="B354" s="51"/>
      <c r="C354" s="56"/>
      <c r="D354" s="51"/>
      <c r="E354" s="51"/>
      <c r="F354" s="51"/>
      <c r="G354" s="51" t="str">
        <f>IFERROR(__xludf.DUMMYFUNCTION("""COMPUTED_VALUE"""),"#VALUE!")</f>
        <v>#VALUE!</v>
      </c>
      <c r="H354" s="51" t="str">
        <f>IFERROR(__xludf.DUMMYFUNCTION("""COMPUTED_VALUE"""),"")</f>
        <v/>
      </c>
      <c r="I354" s="51" t="str">
        <f>IFERROR(__xludf.DUMMYFUNCTION("""COMPUTED_VALUE"""),"#VALUE!")</f>
        <v>#VALUE!</v>
      </c>
      <c r="J354" s="51" t="str">
        <f>IFERROR(__xludf.DUMMYFUNCTION("""COMPUTED_VALUE"""),"")</f>
        <v/>
      </c>
      <c r="K354" s="51"/>
      <c r="L354" s="51" t="s">
        <v>257</v>
      </c>
      <c r="M354" s="51"/>
      <c r="N354" s="51"/>
      <c r="O354" s="51"/>
      <c r="P354" s="51"/>
      <c r="Q354" s="51"/>
      <c r="R354" s="51"/>
      <c r="S354" s="51"/>
      <c r="T354" s="51"/>
    </row>
    <row r="355">
      <c r="A355" s="51"/>
      <c r="B355" s="51"/>
      <c r="C355" s="56"/>
      <c r="D355" s="51"/>
      <c r="E355" s="51"/>
      <c r="F355" s="51"/>
      <c r="G355" s="51" t="str">
        <f>IFERROR(__xludf.DUMMYFUNCTION("""COMPUTED_VALUE"""),"#VALUE!")</f>
        <v>#VALUE!</v>
      </c>
      <c r="H355" s="51" t="str">
        <f>IFERROR(__xludf.DUMMYFUNCTION("""COMPUTED_VALUE"""),"")</f>
        <v/>
      </c>
      <c r="I355" s="51" t="str">
        <f>IFERROR(__xludf.DUMMYFUNCTION("""COMPUTED_VALUE"""),"#VALUE!")</f>
        <v>#VALUE!</v>
      </c>
      <c r="J355" s="51" t="str">
        <f>IFERROR(__xludf.DUMMYFUNCTION("""COMPUTED_VALUE"""),"")</f>
        <v/>
      </c>
      <c r="K355" s="51"/>
      <c r="L355" s="51" t="s">
        <v>257</v>
      </c>
      <c r="M355" s="51"/>
      <c r="N355" s="51"/>
      <c r="O355" s="51"/>
      <c r="P355" s="51"/>
      <c r="Q355" s="51"/>
      <c r="R355" s="51"/>
      <c r="S355" s="51"/>
      <c r="T355" s="51"/>
    </row>
    <row r="356">
      <c r="A356" s="51"/>
      <c r="B356" s="51"/>
      <c r="C356" s="56"/>
      <c r="D356" s="51"/>
      <c r="E356" s="51"/>
      <c r="F356" s="51"/>
      <c r="G356" s="51" t="str">
        <f>IFERROR(__xludf.DUMMYFUNCTION("""COMPUTED_VALUE"""),"#VALUE!")</f>
        <v>#VALUE!</v>
      </c>
      <c r="H356" s="51" t="str">
        <f>IFERROR(__xludf.DUMMYFUNCTION("""COMPUTED_VALUE"""),"")</f>
        <v/>
      </c>
      <c r="I356" s="51" t="str">
        <f>IFERROR(__xludf.DUMMYFUNCTION("""COMPUTED_VALUE"""),"#VALUE!")</f>
        <v>#VALUE!</v>
      </c>
      <c r="J356" s="51" t="str">
        <f>IFERROR(__xludf.DUMMYFUNCTION("""COMPUTED_VALUE"""),"")</f>
        <v/>
      </c>
      <c r="K356" s="51"/>
      <c r="L356" s="51" t="s">
        <v>257</v>
      </c>
      <c r="M356" s="51"/>
      <c r="N356" s="51"/>
      <c r="O356" s="51"/>
      <c r="P356" s="51"/>
      <c r="Q356" s="51"/>
      <c r="R356" s="51"/>
      <c r="S356" s="51"/>
      <c r="T356" s="51"/>
    </row>
    <row r="357">
      <c r="A357" s="51"/>
      <c r="B357" s="51"/>
      <c r="C357" s="56"/>
      <c r="D357" s="51"/>
      <c r="E357" s="51"/>
      <c r="F357" s="51"/>
      <c r="G357" s="51" t="str">
        <f>IFERROR(__xludf.DUMMYFUNCTION("""COMPUTED_VALUE"""),"#VALUE!")</f>
        <v>#VALUE!</v>
      </c>
      <c r="H357" s="51" t="str">
        <f>IFERROR(__xludf.DUMMYFUNCTION("""COMPUTED_VALUE"""),"")</f>
        <v/>
      </c>
      <c r="I357" s="51" t="str">
        <f>IFERROR(__xludf.DUMMYFUNCTION("""COMPUTED_VALUE"""),"#VALUE!")</f>
        <v>#VALUE!</v>
      </c>
      <c r="J357" s="51" t="str">
        <f>IFERROR(__xludf.DUMMYFUNCTION("""COMPUTED_VALUE"""),"")</f>
        <v/>
      </c>
      <c r="K357" s="51"/>
      <c r="L357" s="51" t="s">
        <v>257</v>
      </c>
      <c r="M357" s="51"/>
      <c r="N357" s="51"/>
      <c r="O357" s="51"/>
      <c r="P357" s="51"/>
      <c r="Q357" s="51"/>
      <c r="R357" s="51"/>
      <c r="S357" s="51"/>
      <c r="T357" s="51"/>
    </row>
    <row r="358">
      <c r="A358" s="51"/>
      <c r="B358" s="51"/>
      <c r="C358" s="56"/>
      <c r="D358" s="51"/>
      <c r="E358" s="51"/>
      <c r="F358" s="51"/>
      <c r="G358" s="51" t="str">
        <f>IFERROR(__xludf.DUMMYFUNCTION("""COMPUTED_VALUE"""),"#VALUE!")</f>
        <v>#VALUE!</v>
      </c>
      <c r="H358" s="51" t="str">
        <f>IFERROR(__xludf.DUMMYFUNCTION("""COMPUTED_VALUE"""),"")</f>
        <v/>
      </c>
      <c r="I358" s="51" t="str">
        <f>IFERROR(__xludf.DUMMYFUNCTION("""COMPUTED_VALUE"""),"#VALUE!")</f>
        <v>#VALUE!</v>
      </c>
      <c r="J358" s="51" t="str">
        <f>IFERROR(__xludf.DUMMYFUNCTION("""COMPUTED_VALUE"""),"")</f>
        <v/>
      </c>
      <c r="K358" s="51"/>
      <c r="L358" s="51" t="s">
        <v>257</v>
      </c>
      <c r="M358" s="51"/>
      <c r="N358" s="51"/>
      <c r="O358" s="51"/>
      <c r="P358" s="51"/>
      <c r="Q358" s="51"/>
      <c r="R358" s="51"/>
      <c r="S358" s="51"/>
      <c r="T358" s="51"/>
    </row>
    <row r="359">
      <c r="A359" s="51"/>
      <c r="B359" s="51"/>
      <c r="C359" s="56"/>
      <c r="D359" s="51"/>
      <c r="E359" s="51"/>
      <c r="F359" s="51"/>
      <c r="G359" s="51" t="str">
        <f>IFERROR(__xludf.DUMMYFUNCTION("""COMPUTED_VALUE"""),"#VALUE!")</f>
        <v>#VALUE!</v>
      </c>
      <c r="H359" s="51" t="str">
        <f>IFERROR(__xludf.DUMMYFUNCTION("""COMPUTED_VALUE"""),"")</f>
        <v/>
      </c>
      <c r="I359" s="51" t="str">
        <f>IFERROR(__xludf.DUMMYFUNCTION("""COMPUTED_VALUE"""),"#VALUE!")</f>
        <v>#VALUE!</v>
      </c>
      <c r="J359" s="51" t="str">
        <f>IFERROR(__xludf.DUMMYFUNCTION("""COMPUTED_VALUE"""),"")</f>
        <v/>
      </c>
      <c r="K359" s="51"/>
      <c r="L359" s="51" t="s">
        <v>257</v>
      </c>
      <c r="M359" s="51"/>
      <c r="N359" s="51"/>
      <c r="O359" s="51"/>
      <c r="P359" s="51"/>
      <c r="Q359" s="51"/>
      <c r="R359" s="51"/>
      <c r="S359" s="51"/>
      <c r="T359" s="51"/>
    </row>
    <row r="360">
      <c r="A360" s="51"/>
      <c r="B360" s="51"/>
      <c r="C360" s="56"/>
      <c r="D360" s="51"/>
      <c r="E360" s="51"/>
      <c r="F360" s="51"/>
      <c r="G360" s="51" t="str">
        <f>IFERROR(__xludf.DUMMYFUNCTION("""COMPUTED_VALUE"""),"#VALUE!")</f>
        <v>#VALUE!</v>
      </c>
      <c r="H360" s="51" t="str">
        <f>IFERROR(__xludf.DUMMYFUNCTION("""COMPUTED_VALUE"""),"")</f>
        <v/>
      </c>
      <c r="I360" s="51" t="str">
        <f>IFERROR(__xludf.DUMMYFUNCTION("""COMPUTED_VALUE"""),"#VALUE!")</f>
        <v>#VALUE!</v>
      </c>
      <c r="J360" s="51" t="str">
        <f>IFERROR(__xludf.DUMMYFUNCTION("""COMPUTED_VALUE"""),"")</f>
        <v/>
      </c>
      <c r="K360" s="51"/>
      <c r="L360" s="51" t="s">
        <v>257</v>
      </c>
      <c r="M360" s="51"/>
      <c r="N360" s="51"/>
      <c r="O360" s="51"/>
      <c r="P360" s="51"/>
      <c r="Q360" s="51"/>
      <c r="R360" s="51"/>
      <c r="S360" s="51"/>
      <c r="T360" s="51"/>
    </row>
    <row r="361">
      <c r="A361" s="51"/>
      <c r="B361" s="51"/>
      <c r="C361" s="56"/>
      <c r="D361" s="51"/>
      <c r="E361" s="51"/>
      <c r="F361" s="51"/>
      <c r="G361" s="51" t="str">
        <f>IFERROR(__xludf.DUMMYFUNCTION("""COMPUTED_VALUE"""),"#VALUE!")</f>
        <v>#VALUE!</v>
      </c>
      <c r="H361" s="51" t="str">
        <f>IFERROR(__xludf.DUMMYFUNCTION("""COMPUTED_VALUE"""),"")</f>
        <v/>
      </c>
      <c r="I361" s="51" t="str">
        <f>IFERROR(__xludf.DUMMYFUNCTION("""COMPUTED_VALUE"""),"#VALUE!")</f>
        <v>#VALUE!</v>
      </c>
      <c r="J361" s="51" t="str">
        <f>IFERROR(__xludf.DUMMYFUNCTION("""COMPUTED_VALUE"""),"")</f>
        <v/>
      </c>
      <c r="K361" s="51"/>
      <c r="L361" s="51" t="s">
        <v>257</v>
      </c>
      <c r="M361" s="51"/>
      <c r="N361" s="51"/>
      <c r="O361" s="51"/>
      <c r="P361" s="51"/>
      <c r="Q361" s="51"/>
      <c r="R361" s="51"/>
      <c r="S361" s="51"/>
      <c r="T361" s="51"/>
    </row>
    <row r="362">
      <c r="A362" s="51"/>
      <c r="B362" s="51"/>
      <c r="C362" s="56"/>
      <c r="D362" s="51"/>
      <c r="E362" s="51"/>
      <c r="F362" s="51"/>
      <c r="G362" s="51" t="str">
        <f>IFERROR(__xludf.DUMMYFUNCTION("""COMPUTED_VALUE"""),"#VALUE!")</f>
        <v>#VALUE!</v>
      </c>
      <c r="H362" s="51" t="str">
        <f>IFERROR(__xludf.DUMMYFUNCTION("""COMPUTED_VALUE"""),"")</f>
        <v/>
      </c>
      <c r="I362" s="51" t="str">
        <f>IFERROR(__xludf.DUMMYFUNCTION("""COMPUTED_VALUE"""),"#VALUE!")</f>
        <v>#VALUE!</v>
      </c>
      <c r="J362" s="51" t="str">
        <f>IFERROR(__xludf.DUMMYFUNCTION("""COMPUTED_VALUE"""),"")</f>
        <v/>
      </c>
      <c r="K362" s="51"/>
      <c r="L362" s="51" t="s">
        <v>257</v>
      </c>
      <c r="M362" s="51"/>
      <c r="N362" s="51"/>
      <c r="O362" s="51"/>
      <c r="P362" s="51"/>
      <c r="Q362" s="51"/>
      <c r="R362" s="51"/>
      <c r="S362" s="51"/>
      <c r="T362" s="51"/>
    </row>
    <row r="363">
      <c r="A363" s="51"/>
      <c r="B363" s="51"/>
      <c r="C363" s="56"/>
      <c r="D363" s="51"/>
      <c r="E363" s="51"/>
      <c r="F363" s="51"/>
      <c r="G363" s="51" t="str">
        <f>IFERROR(__xludf.DUMMYFUNCTION("""COMPUTED_VALUE"""),"#VALUE!")</f>
        <v>#VALUE!</v>
      </c>
      <c r="H363" s="51" t="str">
        <f>IFERROR(__xludf.DUMMYFUNCTION("""COMPUTED_VALUE"""),"")</f>
        <v/>
      </c>
      <c r="I363" s="51" t="str">
        <f>IFERROR(__xludf.DUMMYFUNCTION("""COMPUTED_VALUE"""),"#VALUE!")</f>
        <v>#VALUE!</v>
      </c>
      <c r="J363" s="51" t="str">
        <f>IFERROR(__xludf.DUMMYFUNCTION("""COMPUTED_VALUE"""),"")</f>
        <v/>
      </c>
      <c r="K363" s="51"/>
      <c r="L363" s="51" t="s">
        <v>257</v>
      </c>
      <c r="M363" s="51"/>
      <c r="N363" s="51"/>
      <c r="O363" s="51"/>
      <c r="P363" s="51"/>
      <c r="Q363" s="51"/>
      <c r="R363" s="51"/>
      <c r="S363" s="51"/>
      <c r="T363" s="51"/>
    </row>
    <row r="364">
      <c r="A364" s="51"/>
      <c r="B364" s="51"/>
      <c r="C364" s="56"/>
      <c r="D364" s="51"/>
      <c r="E364" s="51"/>
      <c r="F364" s="51"/>
      <c r="G364" s="51" t="str">
        <f>IFERROR(__xludf.DUMMYFUNCTION("""COMPUTED_VALUE"""),"#VALUE!")</f>
        <v>#VALUE!</v>
      </c>
      <c r="H364" s="51" t="str">
        <f>IFERROR(__xludf.DUMMYFUNCTION("""COMPUTED_VALUE"""),"")</f>
        <v/>
      </c>
      <c r="I364" s="51" t="str">
        <f>IFERROR(__xludf.DUMMYFUNCTION("""COMPUTED_VALUE"""),"#VALUE!")</f>
        <v>#VALUE!</v>
      </c>
      <c r="J364" s="51" t="str">
        <f>IFERROR(__xludf.DUMMYFUNCTION("""COMPUTED_VALUE"""),"")</f>
        <v/>
      </c>
      <c r="K364" s="51"/>
      <c r="L364" s="51" t="s">
        <v>257</v>
      </c>
      <c r="M364" s="51"/>
      <c r="N364" s="51"/>
      <c r="O364" s="51"/>
      <c r="P364" s="51"/>
      <c r="Q364" s="51"/>
      <c r="R364" s="51"/>
      <c r="S364" s="51"/>
      <c r="T364" s="51"/>
    </row>
    <row r="365">
      <c r="A365" s="51"/>
      <c r="B365" s="51"/>
      <c r="C365" s="56"/>
      <c r="D365" s="51"/>
      <c r="E365" s="51"/>
      <c r="F365" s="51"/>
      <c r="G365" s="51" t="str">
        <f>IFERROR(__xludf.DUMMYFUNCTION("""COMPUTED_VALUE"""),"#VALUE!")</f>
        <v>#VALUE!</v>
      </c>
      <c r="H365" s="51" t="str">
        <f>IFERROR(__xludf.DUMMYFUNCTION("""COMPUTED_VALUE"""),"")</f>
        <v/>
      </c>
      <c r="I365" s="51" t="str">
        <f>IFERROR(__xludf.DUMMYFUNCTION("""COMPUTED_VALUE"""),"#VALUE!")</f>
        <v>#VALUE!</v>
      </c>
      <c r="J365" s="51" t="str">
        <f>IFERROR(__xludf.DUMMYFUNCTION("""COMPUTED_VALUE"""),"")</f>
        <v/>
      </c>
      <c r="K365" s="51"/>
      <c r="L365" s="51" t="s">
        <v>257</v>
      </c>
      <c r="M365" s="51"/>
      <c r="N365" s="51"/>
      <c r="O365" s="51"/>
      <c r="P365" s="51"/>
      <c r="Q365" s="51"/>
      <c r="R365" s="51"/>
      <c r="S365" s="51"/>
      <c r="T365" s="51"/>
    </row>
    <row r="366">
      <c r="A366" s="51"/>
      <c r="B366" s="51"/>
      <c r="C366" s="56"/>
      <c r="D366" s="51"/>
      <c r="E366" s="51"/>
      <c r="F366" s="51"/>
      <c r="G366" s="51" t="str">
        <f>IFERROR(__xludf.DUMMYFUNCTION("""COMPUTED_VALUE"""),"#VALUE!")</f>
        <v>#VALUE!</v>
      </c>
      <c r="H366" s="51" t="str">
        <f>IFERROR(__xludf.DUMMYFUNCTION("""COMPUTED_VALUE"""),"")</f>
        <v/>
      </c>
      <c r="I366" s="51" t="str">
        <f>IFERROR(__xludf.DUMMYFUNCTION("""COMPUTED_VALUE"""),"#VALUE!")</f>
        <v>#VALUE!</v>
      </c>
      <c r="J366" s="51" t="str">
        <f>IFERROR(__xludf.DUMMYFUNCTION("""COMPUTED_VALUE"""),"")</f>
        <v/>
      </c>
      <c r="K366" s="51"/>
      <c r="L366" s="51" t="s">
        <v>257</v>
      </c>
      <c r="M366" s="51"/>
      <c r="N366" s="51"/>
      <c r="O366" s="51"/>
      <c r="P366" s="51"/>
      <c r="Q366" s="51"/>
      <c r="R366" s="51"/>
      <c r="S366" s="51"/>
      <c r="T366" s="51"/>
    </row>
    <row r="367">
      <c r="A367" s="51"/>
      <c r="B367" s="51"/>
      <c r="C367" s="56"/>
      <c r="D367" s="51"/>
      <c r="E367" s="51"/>
      <c r="F367" s="51"/>
      <c r="G367" s="51" t="str">
        <f>IFERROR(__xludf.DUMMYFUNCTION("""COMPUTED_VALUE"""),"#VALUE!")</f>
        <v>#VALUE!</v>
      </c>
      <c r="H367" s="51" t="str">
        <f>IFERROR(__xludf.DUMMYFUNCTION("""COMPUTED_VALUE"""),"")</f>
        <v/>
      </c>
      <c r="I367" s="51" t="str">
        <f>IFERROR(__xludf.DUMMYFUNCTION("""COMPUTED_VALUE"""),"#VALUE!")</f>
        <v>#VALUE!</v>
      </c>
      <c r="J367" s="51" t="str">
        <f>IFERROR(__xludf.DUMMYFUNCTION("""COMPUTED_VALUE"""),"")</f>
        <v/>
      </c>
      <c r="K367" s="51"/>
      <c r="L367" s="51" t="s">
        <v>257</v>
      </c>
      <c r="M367" s="51"/>
      <c r="N367" s="51"/>
      <c r="O367" s="51"/>
      <c r="P367" s="51"/>
      <c r="Q367" s="51"/>
      <c r="R367" s="51"/>
      <c r="S367" s="51"/>
      <c r="T367" s="51"/>
    </row>
    <row r="368">
      <c r="A368" s="51"/>
      <c r="B368" s="51"/>
      <c r="C368" s="56"/>
      <c r="D368" s="51"/>
      <c r="E368" s="51"/>
      <c r="F368" s="51"/>
      <c r="G368" s="51" t="str">
        <f>IFERROR(__xludf.DUMMYFUNCTION("""COMPUTED_VALUE"""),"#VALUE!")</f>
        <v>#VALUE!</v>
      </c>
      <c r="H368" s="51" t="str">
        <f>IFERROR(__xludf.DUMMYFUNCTION("""COMPUTED_VALUE"""),"")</f>
        <v/>
      </c>
      <c r="I368" s="51" t="str">
        <f>IFERROR(__xludf.DUMMYFUNCTION("""COMPUTED_VALUE"""),"#VALUE!")</f>
        <v>#VALUE!</v>
      </c>
      <c r="J368" s="51" t="str">
        <f>IFERROR(__xludf.DUMMYFUNCTION("""COMPUTED_VALUE"""),"")</f>
        <v/>
      </c>
      <c r="K368" s="51"/>
      <c r="L368" s="51" t="s">
        <v>257</v>
      </c>
      <c r="M368" s="51"/>
      <c r="N368" s="51"/>
      <c r="O368" s="51"/>
      <c r="P368" s="51"/>
      <c r="Q368" s="51"/>
      <c r="R368" s="51"/>
      <c r="S368" s="51"/>
      <c r="T368" s="51"/>
    </row>
    <row r="369">
      <c r="A369" s="51"/>
      <c r="B369" s="51"/>
      <c r="C369" s="56"/>
      <c r="D369" s="51"/>
      <c r="E369" s="51"/>
      <c r="F369" s="51"/>
      <c r="G369" s="51" t="str">
        <f>IFERROR(__xludf.DUMMYFUNCTION("""COMPUTED_VALUE"""),"#VALUE!")</f>
        <v>#VALUE!</v>
      </c>
      <c r="H369" s="51" t="str">
        <f>IFERROR(__xludf.DUMMYFUNCTION("""COMPUTED_VALUE"""),"")</f>
        <v/>
      </c>
      <c r="I369" s="51" t="str">
        <f>IFERROR(__xludf.DUMMYFUNCTION("""COMPUTED_VALUE"""),"#VALUE!")</f>
        <v>#VALUE!</v>
      </c>
      <c r="J369" s="51" t="str">
        <f>IFERROR(__xludf.DUMMYFUNCTION("""COMPUTED_VALUE"""),"")</f>
        <v/>
      </c>
      <c r="K369" s="51"/>
      <c r="L369" s="51" t="s">
        <v>257</v>
      </c>
      <c r="M369" s="51"/>
      <c r="N369" s="51"/>
      <c r="O369" s="51"/>
      <c r="P369" s="51"/>
      <c r="Q369" s="51"/>
      <c r="R369" s="51"/>
      <c r="S369" s="51"/>
      <c r="T369" s="51"/>
    </row>
    <row r="370">
      <c r="A370" s="51"/>
      <c r="B370" s="51"/>
      <c r="C370" s="56"/>
      <c r="D370" s="51"/>
      <c r="E370" s="51"/>
      <c r="F370" s="51"/>
      <c r="G370" s="51" t="str">
        <f>IFERROR(__xludf.DUMMYFUNCTION("""COMPUTED_VALUE"""),"#VALUE!")</f>
        <v>#VALUE!</v>
      </c>
      <c r="H370" s="51" t="str">
        <f>IFERROR(__xludf.DUMMYFUNCTION("""COMPUTED_VALUE"""),"")</f>
        <v/>
      </c>
      <c r="I370" s="51" t="str">
        <f>IFERROR(__xludf.DUMMYFUNCTION("""COMPUTED_VALUE"""),"#VALUE!")</f>
        <v>#VALUE!</v>
      </c>
      <c r="J370" s="51" t="str">
        <f>IFERROR(__xludf.DUMMYFUNCTION("""COMPUTED_VALUE"""),"")</f>
        <v/>
      </c>
      <c r="K370" s="51"/>
      <c r="L370" s="51" t="s">
        <v>257</v>
      </c>
      <c r="M370" s="51"/>
      <c r="N370" s="51"/>
      <c r="O370" s="51"/>
      <c r="P370" s="51"/>
      <c r="Q370" s="51"/>
      <c r="R370" s="51"/>
      <c r="S370" s="51"/>
      <c r="T370" s="51"/>
    </row>
    <row r="371">
      <c r="A371" s="51"/>
      <c r="B371" s="51"/>
      <c r="C371" s="56"/>
      <c r="D371" s="51"/>
      <c r="E371" s="51"/>
      <c r="F371" s="51"/>
      <c r="G371" s="51" t="str">
        <f>IFERROR(__xludf.DUMMYFUNCTION("""COMPUTED_VALUE"""),"#VALUE!")</f>
        <v>#VALUE!</v>
      </c>
      <c r="H371" s="51" t="str">
        <f>IFERROR(__xludf.DUMMYFUNCTION("""COMPUTED_VALUE"""),"")</f>
        <v/>
      </c>
      <c r="I371" s="51" t="str">
        <f>IFERROR(__xludf.DUMMYFUNCTION("""COMPUTED_VALUE"""),"#VALUE!")</f>
        <v>#VALUE!</v>
      </c>
      <c r="J371" s="51" t="str">
        <f>IFERROR(__xludf.DUMMYFUNCTION("""COMPUTED_VALUE"""),"")</f>
        <v/>
      </c>
      <c r="K371" s="51"/>
      <c r="L371" s="51" t="s">
        <v>257</v>
      </c>
      <c r="M371" s="51"/>
      <c r="N371" s="51"/>
      <c r="O371" s="51"/>
      <c r="P371" s="51"/>
      <c r="Q371" s="51"/>
      <c r="R371" s="51"/>
      <c r="S371" s="51"/>
      <c r="T371" s="51"/>
    </row>
    <row r="372">
      <c r="A372" s="51"/>
      <c r="B372" s="51"/>
      <c r="C372" s="56"/>
      <c r="D372" s="51"/>
      <c r="E372" s="51"/>
      <c r="F372" s="51"/>
      <c r="G372" s="51" t="str">
        <f>IFERROR(__xludf.DUMMYFUNCTION("""COMPUTED_VALUE"""),"#VALUE!")</f>
        <v>#VALUE!</v>
      </c>
      <c r="H372" s="51" t="str">
        <f>IFERROR(__xludf.DUMMYFUNCTION("""COMPUTED_VALUE"""),"")</f>
        <v/>
      </c>
      <c r="I372" s="51" t="str">
        <f>IFERROR(__xludf.DUMMYFUNCTION("""COMPUTED_VALUE"""),"#VALUE!")</f>
        <v>#VALUE!</v>
      </c>
      <c r="J372" s="51" t="str">
        <f>IFERROR(__xludf.DUMMYFUNCTION("""COMPUTED_VALUE"""),"")</f>
        <v/>
      </c>
      <c r="K372" s="51"/>
      <c r="L372" s="51" t="s">
        <v>257</v>
      </c>
      <c r="M372" s="51"/>
      <c r="N372" s="51"/>
      <c r="O372" s="51"/>
      <c r="P372" s="51"/>
      <c r="Q372" s="51"/>
      <c r="R372" s="51"/>
      <c r="S372" s="51"/>
      <c r="T372" s="51"/>
    </row>
    <row r="373">
      <c r="A373" s="51"/>
      <c r="B373" s="51"/>
      <c r="C373" s="56"/>
      <c r="D373" s="51"/>
      <c r="E373" s="51"/>
      <c r="F373" s="51"/>
      <c r="G373" s="51" t="str">
        <f>IFERROR(__xludf.DUMMYFUNCTION("""COMPUTED_VALUE"""),"#VALUE!")</f>
        <v>#VALUE!</v>
      </c>
      <c r="H373" s="51" t="str">
        <f>IFERROR(__xludf.DUMMYFUNCTION("""COMPUTED_VALUE"""),"")</f>
        <v/>
      </c>
      <c r="I373" s="51" t="str">
        <f>IFERROR(__xludf.DUMMYFUNCTION("""COMPUTED_VALUE"""),"#VALUE!")</f>
        <v>#VALUE!</v>
      </c>
      <c r="J373" s="51" t="str">
        <f>IFERROR(__xludf.DUMMYFUNCTION("""COMPUTED_VALUE"""),"")</f>
        <v/>
      </c>
      <c r="K373" s="51"/>
      <c r="L373" s="51" t="s">
        <v>257</v>
      </c>
      <c r="M373" s="51"/>
      <c r="N373" s="51"/>
      <c r="O373" s="51"/>
      <c r="P373" s="51"/>
      <c r="Q373" s="51"/>
      <c r="R373" s="51"/>
      <c r="S373" s="51"/>
      <c r="T373" s="51"/>
    </row>
    <row r="374">
      <c r="A374" s="51"/>
      <c r="B374" s="51"/>
      <c r="C374" s="56"/>
      <c r="D374" s="51"/>
      <c r="E374" s="51"/>
      <c r="F374" s="51"/>
      <c r="G374" s="51" t="str">
        <f>IFERROR(__xludf.DUMMYFUNCTION("""COMPUTED_VALUE"""),"#VALUE!")</f>
        <v>#VALUE!</v>
      </c>
      <c r="H374" s="51" t="str">
        <f>IFERROR(__xludf.DUMMYFUNCTION("""COMPUTED_VALUE"""),"")</f>
        <v/>
      </c>
      <c r="I374" s="51" t="str">
        <f>IFERROR(__xludf.DUMMYFUNCTION("""COMPUTED_VALUE"""),"#VALUE!")</f>
        <v>#VALUE!</v>
      </c>
      <c r="J374" s="51" t="str">
        <f>IFERROR(__xludf.DUMMYFUNCTION("""COMPUTED_VALUE"""),"")</f>
        <v/>
      </c>
      <c r="K374" s="51"/>
      <c r="L374" s="51" t="s">
        <v>257</v>
      </c>
      <c r="M374" s="51"/>
      <c r="N374" s="51"/>
      <c r="O374" s="51"/>
      <c r="P374" s="51"/>
      <c r="Q374" s="51"/>
      <c r="R374" s="51"/>
      <c r="S374" s="51"/>
      <c r="T374" s="51"/>
    </row>
    <row r="375">
      <c r="A375" s="51"/>
      <c r="B375" s="51"/>
      <c r="C375" s="56"/>
      <c r="D375" s="51"/>
      <c r="E375" s="51"/>
      <c r="F375" s="51"/>
      <c r="G375" s="51" t="str">
        <f>IFERROR(__xludf.DUMMYFUNCTION("""COMPUTED_VALUE"""),"#VALUE!")</f>
        <v>#VALUE!</v>
      </c>
      <c r="H375" s="51" t="str">
        <f>IFERROR(__xludf.DUMMYFUNCTION("""COMPUTED_VALUE"""),"")</f>
        <v/>
      </c>
      <c r="I375" s="51" t="str">
        <f>IFERROR(__xludf.DUMMYFUNCTION("""COMPUTED_VALUE"""),"#VALUE!")</f>
        <v>#VALUE!</v>
      </c>
      <c r="J375" s="51" t="str">
        <f>IFERROR(__xludf.DUMMYFUNCTION("""COMPUTED_VALUE"""),"")</f>
        <v/>
      </c>
      <c r="K375" s="51"/>
      <c r="L375" s="51" t="s">
        <v>257</v>
      </c>
      <c r="M375" s="51"/>
      <c r="N375" s="51"/>
      <c r="O375" s="51"/>
      <c r="P375" s="51"/>
      <c r="Q375" s="51"/>
      <c r="R375" s="51"/>
      <c r="S375" s="51"/>
      <c r="T375" s="51"/>
    </row>
    <row r="376">
      <c r="A376" s="51"/>
      <c r="B376" s="51"/>
      <c r="C376" s="56"/>
      <c r="D376" s="51"/>
      <c r="E376" s="51"/>
      <c r="F376" s="51"/>
      <c r="G376" s="51" t="str">
        <f>IFERROR(__xludf.DUMMYFUNCTION("""COMPUTED_VALUE"""),"#VALUE!")</f>
        <v>#VALUE!</v>
      </c>
      <c r="H376" s="51" t="str">
        <f>IFERROR(__xludf.DUMMYFUNCTION("""COMPUTED_VALUE"""),"")</f>
        <v/>
      </c>
      <c r="I376" s="51" t="str">
        <f>IFERROR(__xludf.DUMMYFUNCTION("""COMPUTED_VALUE"""),"#VALUE!")</f>
        <v>#VALUE!</v>
      </c>
      <c r="J376" s="51" t="str">
        <f>IFERROR(__xludf.DUMMYFUNCTION("""COMPUTED_VALUE"""),"")</f>
        <v/>
      </c>
      <c r="K376" s="51"/>
      <c r="L376" s="51" t="s">
        <v>257</v>
      </c>
      <c r="M376" s="51"/>
      <c r="N376" s="51"/>
      <c r="O376" s="51"/>
      <c r="P376" s="51"/>
      <c r="Q376" s="51"/>
      <c r="R376" s="51"/>
      <c r="S376" s="51"/>
      <c r="T376" s="51"/>
    </row>
    <row r="377">
      <c r="A377" s="51"/>
      <c r="B377" s="51"/>
      <c r="C377" s="56"/>
      <c r="D377" s="51"/>
      <c r="E377" s="51"/>
      <c r="F377" s="51"/>
      <c r="G377" s="51" t="str">
        <f>IFERROR(__xludf.DUMMYFUNCTION("""COMPUTED_VALUE"""),"#VALUE!")</f>
        <v>#VALUE!</v>
      </c>
      <c r="H377" s="51" t="str">
        <f>IFERROR(__xludf.DUMMYFUNCTION("""COMPUTED_VALUE"""),"")</f>
        <v/>
      </c>
      <c r="I377" s="51" t="str">
        <f>IFERROR(__xludf.DUMMYFUNCTION("""COMPUTED_VALUE"""),"#VALUE!")</f>
        <v>#VALUE!</v>
      </c>
      <c r="J377" s="51" t="str">
        <f>IFERROR(__xludf.DUMMYFUNCTION("""COMPUTED_VALUE"""),"")</f>
        <v/>
      </c>
      <c r="K377" s="51"/>
      <c r="L377" s="51" t="s">
        <v>257</v>
      </c>
      <c r="M377" s="51"/>
      <c r="N377" s="51"/>
      <c r="O377" s="51"/>
      <c r="P377" s="51"/>
      <c r="Q377" s="51"/>
      <c r="R377" s="51"/>
      <c r="S377" s="51"/>
      <c r="T377" s="51"/>
    </row>
    <row r="378">
      <c r="A378" s="51"/>
      <c r="B378" s="51"/>
      <c r="C378" s="56"/>
      <c r="D378" s="51"/>
      <c r="E378" s="51"/>
      <c r="F378" s="51"/>
      <c r="G378" s="51" t="str">
        <f>IFERROR(__xludf.DUMMYFUNCTION("""COMPUTED_VALUE"""),"#VALUE!")</f>
        <v>#VALUE!</v>
      </c>
      <c r="H378" s="51" t="str">
        <f>IFERROR(__xludf.DUMMYFUNCTION("""COMPUTED_VALUE"""),"")</f>
        <v/>
      </c>
      <c r="I378" s="51" t="str">
        <f>IFERROR(__xludf.DUMMYFUNCTION("""COMPUTED_VALUE"""),"#VALUE!")</f>
        <v>#VALUE!</v>
      </c>
      <c r="J378" s="51" t="str">
        <f>IFERROR(__xludf.DUMMYFUNCTION("""COMPUTED_VALUE"""),"")</f>
        <v/>
      </c>
      <c r="K378" s="51"/>
      <c r="L378" s="51" t="s">
        <v>257</v>
      </c>
      <c r="M378" s="51"/>
      <c r="N378" s="51"/>
      <c r="O378" s="51"/>
      <c r="P378" s="51"/>
      <c r="Q378" s="51"/>
      <c r="R378" s="51"/>
      <c r="S378" s="51"/>
      <c r="T378" s="51"/>
    </row>
    <row r="379">
      <c r="A379" s="51"/>
      <c r="B379" s="51"/>
      <c r="C379" s="56"/>
      <c r="D379" s="51"/>
      <c r="E379" s="51"/>
      <c r="F379" s="51"/>
      <c r="G379" s="51" t="str">
        <f>IFERROR(__xludf.DUMMYFUNCTION("""COMPUTED_VALUE"""),"#VALUE!")</f>
        <v>#VALUE!</v>
      </c>
      <c r="H379" s="51" t="str">
        <f>IFERROR(__xludf.DUMMYFUNCTION("""COMPUTED_VALUE"""),"")</f>
        <v/>
      </c>
      <c r="I379" s="51" t="str">
        <f>IFERROR(__xludf.DUMMYFUNCTION("""COMPUTED_VALUE"""),"#VALUE!")</f>
        <v>#VALUE!</v>
      </c>
      <c r="J379" s="51" t="str">
        <f>IFERROR(__xludf.DUMMYFUNCTION("""COMPUTED_VALUE"""),"")</f>
        <v/>
      </c>
      <c r="K379" s="51"/>
      <c r="L379" s="51" t="s">
        <v>257</v>
      </c>
      <c r="M379" s="51"/>
      <c r="N379" s="51"/>
      <c r="O379" s="51"/>
      <c r="P379" s="51"/>
      <c r="Q379" s="51"/>
      <c r="R379" s="51"/>
      <c r="S379" s="51"/>
      <c r="T379" s="51"/>
    </row>
    <row r="380">
      <c r="A380" s="51"/>
      <c r="B380" s="51"/>
      <c r="C380" s="56"/>
      <c r="D380" s="51"/>
      <c r="E380" s="51"/>
      <c r="F380" s="51"/>
      <c r="G380" s="51" t="str">
        <f>IFERROR(__xludf.DUMMYFUNCTION("""COMPUTED_VALUE"""),"#VALUE!")</f>
        <v>#VALUE!</v>
      </c>
      <c r="H380" s="51" t="str">
        <f>IFERROR(__xludf.DUMMYFUNCTION("""COMPUTED_VALUE"""),"")</f>
        <v/>
      </c>
      <c r="I380" s="51" t="str">
        <f>IFERROR(__xludf.DUMMYFUNCTION("""COMPUTED_VALUE"""),"#VALUE!")</f>
        <v>#VALUE!</v>
      </c>
      <c r="J380" s="51" t="str">
        <f>IFERROR(__xludf.DUMMYFUNCTION("""COMPUTED_VALUE"""),"")</f>
        <v/>
      </c>
      <c r="K380" s="51"/>
      <c r="L380" s="51" t="s">
        <v>257</v>
      </c>
      <c r="M380" s="51"/>
      <c r="N380" s="51"/>
      <c r="O380" s="51"/>
      <c r="P380" s="51"/>
      <c r="Q380" s="51"/>
      <c r="R380" s="51"/>
      <c r="S380" s="51"/>
      <c r="T380" s="51"/>
    </row>
    <row r="381">
      <c r="A381" s="51"/>
      <c r="B381" s="51"/>
      <c r="C381" s="56"/>
      <c r="D381" s="51"/>
      <c r="E381" s="51"/>
      <c r="F381" s="51"/>
      <c r="G381" s="51" t="str">
        <f>IFERROR(__xludf.DUMMYFUNCTION("""COMPUTED_VALUE"""),"#VALUE!")</f>
        <v>#VALUE!</v>
      </c>
      <c r="H381" s="51" t="str">
        <f>IFERROR(__xludf.DUMMYFUNCTION("""COMPUTED_VALUE"""),"")</f>
        <v/>
      </c>
      <c r="I381" s="51" t="str">
        <f>IFERROR(__xludf.DUMMYFUNCTION("""COMPUTED_VALUE"""),"#VALUE!")</f>
        <v>#VALUE!</v>
      </c>
      <c r="J381" s="51" t="str">
        <f>IFERROR(__xludf.DUMMYFUNCTION("""COMPUTED_VALUE"""),"")</f>
        <v/>
      </c>
      <c r="K381" s="51"/>
      <c r="L381" s="51" t="s">
        <v>257</v>
      </c>
      <c r="M381" s="51"/>
      <c r="N381" s="51"/>
      <c r="O381" s="51"/>
      <c r="P381" s="51"/>
      <c r="Q381" s="51"/>
      <c r="R381" s="51"/>
      <c r="S381" s="51"/>
      <c r="T381" s="51"/>
    </row>
    <row r="382">
      <c r="A382" s="51"/>
      <c r="B382" s="51"/>
      <c r="C382" s="56"/>
      <c r="D382" s="51"/>
      <c r="E382" s="51"/>
      <c r="F382" s="51"/>
      <c r="G382" s="51" t="str">
        <f>IFERROR(__xludf.DUMMYFUNCTION("""COMPUTED_VALUE"""),"#VALUE!")</f>
        <v>#VALUE!</v>
      </c>
      <c r="H382" s="51" t="str">
        <f>IFERROR(__xludf.DUMMYFUNCTION("""COMPUTED_VALUE"""),"")</f>
        <v/>
      </c>
      <c r="I382" s="51" t="str">
        <f>IFERROR(__xludf.DUMMYFUNCTION("""COMPUTED_VALUE"""),"#VALUE!")</f>
        <v>#VALUE!</v>
      </c>
      <c r="J382" s="51" t="str">
        <f>IFERROR(__xludf.DUMMYFUNCTION("""COMPUTED_VALUE"""),"")</f>
        <v/>
      </c>
      <c r="K382" s="51"/>
      <c r="L382" s="51" t="s">
        <v>257</v>
      </c>
      <c r="M382" s="51"/>
      <c r="N382" s="51"/>
      <c r="O382" s="51"/>
      <c r="P382" s="51"/>
      <c r="Q382" s="51"/>
      <c r="R382" s="51"/>
      <c r="S382" s="51"/>
      <c r="T382" s="51"/>
    </row>
    <row r="383">
      <c r="A383" s="51"/>
      <c r="B383" s="51"/>
      <c r="C383" s="56"/>
      <c r="D383" s="51"/>
      <c r="E383" s="51"/>
      <c r="F383" s="51"/>
      <c r="G383" s="51" t="str">
        <f>IFERROR(__xludf.DUMMYFUNCTION("""COMPUTED_VALUE"""),"#VALUE!")</f>
        <v>#VALUE!</v>
      </c>
      <c r="H383" s="51" t="str">
        <f>IFERROR(__xludf.DUMMYFUNCTION("""COMPUTED_VALUE"""),"")</f>
        <v/>
      </c>
      <c r="I383" s="51" t="str">
        <f>IFERROR(__xludf.DUMMYFUNCTION("""COMPUTED_VALUE"""),"#VALUE!")</f>
        <v>#VALUE!</v>
      </c>
      <c r="J383" s="51" t="str">
        <f>IFERROR(__xludf.DUMMYFUNCTION("""COMPUTED_VALUE"""),"")</f>
        <v/>
      </c>
      <c r="K383" s="51"/>
      <c r="L383" s="51" t="s">
        <v>257</v>
      </c>
      <c r="M383" s="51"/>
      <c r="N383" s="51"/>
      <c r="O383" s="51"/>
      <c r="P383" s="51"/>
      <c r="Q383" s="51"/>
      <c r="R383" s="51"/>
      <c r="S383" s="51"/>
      <c r="T383" s="51"/>
    </row>
    <row r="384">
      <c r="A384" s="51"/>
      <c r="B384" s="51"/>
      <c r="C384" s="56"/>
      <c r="D384" s="51"/>
      <c r="E384" s="51"/>
      <c r="F384" s="51"/>
      <c r="G384" s="51" t="str">
        <f>IFERROR(__xludf.DUMMYFUNCTION("""COMPUTED_VALUE"""),"#VALUE!")</f>
        <v>#VALUE!</v>
      </c>
      <c r="H384" s="51" t="str">
        <f>IFERROR(__xludf.DUMMYFUNCTION("""COMPUTED_VALUE"""),"")</f>
        <v/>
      </c>
      <c r="I384" s="51" t="str">
        <f>IFERROR(__xludf.DUMMYFUNCTION("""COMPUTED_VALUE"""),"#VALUE!")</f>
        <v>#VALUE!</v>
      </c>
      <c r="J384" s="51" t="str">
        <f>IFERROR(__xludf.DUMMYFUNCTION("""COMPUTED_VALUE"""),"")</f>
        <v/>
      </c>
      <c r="K384" s="51"/>
      <c r="L384" s="51" t="s">
        <v>257</v>
      </c>
      <c r="M384" s="51"/>
      <c r="N384" s="51"/>
      <c r="O384" s="51"/>
      <c r="P384" s="51"/>
      <c r="Q384" s="51"/>
      <c r="R384" s="51"/>
      <c r="S384" s="51"/>
      <c r="T384" s="51"/>
    </row>
    <row r="385">
      <c r="A385" s="51"/>
      <c r="B385" s="51"/>
      <c r="C385" s="56"/>
      <c r="D385" s="51"/>
      <c r="E385" s="51"/>
      <c r="F385" s="51"/>
      <c r="G385" s="51" t="str">
        <f>IFERROR(__xludf.DUMMYFUNCTION("""COMPUTED_VALUE"""),"#VALUE!")</f>
        <v>#VALUE!</v>
      </c>
      <c r="H385" s="51" t="str">
        <f>IFERROR(__xludf.DUMMYFUNCTION("""COMPUTED_VALUE"""),"")</f>
        <v/>
      </c>
      <c r="I385" s="51" t="str">
        <f>IFERROR(__xludf.DUMMYFUNCTION("""COMPUTED_VALUE"""),"#VALUE!")</f>
        <v>#VALUE!</v>
      </c>
      <c r="J385" s="51" t="str">
        <f>IFERROR(__xludf.DUMMYFUNCTION("""COMPUTED_VALUE"""),"")</f>
        <v/>
      </c>
      <c r="K385" s="51"/>
      <c r="L385" s="51" t="s">
        <v>257</v>
      </c>
      <c r="M385" s="51"/>
      <c r="N385" s="51"/>
      <c r="O385" s="51"/>
      <c r="P385" s="51"/>
      <c r="Q385" s="51"/>
      <c r="R385" s="51"/>
      <c r="S385" s="51"/>
      <c r="T385" s="51"/>
    </row>
    <row r="386">
      <c r="A386" s="51"/>
      <c r="B386" s="51"/>
      <c r="C386" s="56"/>
      <c r="D386" s="51"/>
      <c r="E386" s="51"/>
      <c r="F386" s="51"/>
      <c r="G386" s="51" t="str">
        <f>IFERROR(__xludf.DUMMYFUNCTION("""COMPUTED_VALUE"""),"#VALUE!")</f>
        <v>#VALUE!</v>
      </c>
      <c r="H386" s="51" t="str">
        <f>IFERROR(__xludf.DUMMYFUNCTION("""COMPUTED_VALUE"""),"")</f>
        <v/>
      </c>
      <c r="I386" s="51" t="str">
        <f>IFERROR(__xludf.DUMMYFUNCTION("""COMPUTED_VALUE"""),"#VALUE!")</f>
        <v>#VALUE!</v>
      </c>
      <c r="J386" s="51" t="str">
        <f>IFERROR(__xludf.DUMMYFUNCTION("""COMPUTED_VALUE"""),"")</f>
        <v/>
      </c>
      <c r="K386" s="51"/>
      <c r="L386" s="51" t="s">
        <v>257</v>
      </c>
      <c r="M386" s="51"/>
      <c r="N386" s="51"/>
      <c r="O386" s="51"/>
      <c r="P386" s="51"/>
      <c r="Q386" s="51"/>
      <c r="R386" s="51"/>
      <c r="S386" s="51"/>
      <c r="T386" s="51"/>
    </row>
    <row r="387">
      <c r="A387" s="51"/>
      <c r="B387" s="51"/>
      <c r="C387" s="56"/>
      <c r="D387" s="51"/>
      <c r="E387" s="51"/>
      <c r="F387" s="51"/>
      <c r="G387" s="51" t="str">
        <f>IFERROR(__xludf.DUMMYFUNCTION("""COMPUTED_VALUE"""),"#VALUE!")</f>
        <v>#VALUE!</v>
      </c>
      <c r="H387" s="51" t="str">
        <f>IFERROR(__xludf.DUMMYFUNCTION("""COMPUTED_VALUE"""),"")</f>
        <v/>
      </c>
      <c r="I387" s="51" t="str">
        <f>IFERROR(__xludf.DUMMYFUNCTION("""COMPUTED_VALUE"""),"#VALUE!")</f>
        <v>#VALUE!</v>
      </c>
      <c r="J387" s="51" t="str">
        <f>IFERROR(__xludf.DUMMYFUNCTION("""COMPUTED_VALUE"""),"")</f>
        <v/>
      </c>
      <c r="K387" s="51"/>
      <c r="L387" s="51" t="s">
        <v>257</v>
      </c>
      <c r="M387" s="51"/>
      <c r="N387" s="51"/>
      <c r="O387" s="51"/>
      <c r="P387" s="51"/>
      <c r="Q387" s="51"/>
      <c r="R387" s="51"/>
      <c r="S387" s="51"/>
      <c r="T387" s="51"/>
    </row>
    <row r="388">
      <c r="A388" s="51"/>
      <c r="B388" s="51"/>
      <c r="C388" s="56"/>
      <c r="D388" s="51"/>
      <c r="E388" s="51"/>
      <c r="F388" s="51"/>
      <c r="G388" s="51" t="str">
        <f>IFERROR(__xludf.DUMMYFUNCTION("""COMPUTED_VALUE"""),"#VALUE!")</f>
        <v>#VALUE!</v>
      </c>
      <c r="H388" s="51" t="str">
        <f>IFERROR(__xludf.DUMMYFUNCTION("""COMPUTED_VALUE"""),"")</f>
        <v/>
      </c>
      <c r="I388" s="51" t="str">
        <f>IFERROR(__xludf.DUMMYFUNCTION("""COMPUTED_VALUE"""),"#VALUE!")</f>
        <v>#VALUE!</v>
      </c>
      <c r="J388" s="51" t="str">
        <f>IFERROR(__xludf.DUMMYFUNCTION("""COMPUTED_VALUE"""),"")</f>
        <v/>
      </c>
      <c r="K388" s="51"/>
      <c r="L388" s="51" t="s">
        <v>257</v>
      </c>
      <c r="M388" s="51"/>
      <c r="N388" s="51"/>
      <c r="O388" s="51"/>
      <c r="P388" s="51"/>
      <c r="Q388" s="51"/>
      <c r="R388" s="51"/>
      <c r="S388" s="51"/>
      <c r="T388" s="51"/>
    </row>
    <row r="389">
      <c r="A389" s="51"/>
      <c r="B389" s="51"/>
      <c r="C389" s="56"/>
      <c r="D389" s="51"/>
      <c r="E389" s="51"/>
      <c r="F389" s="51"/>
      <c r="G389" s="51" t="str">
        <f>IFERROR(__xludf.DUMMYFUNCTION("""COMPUTED_VALUE"""),"#VALUE!")</f>
        <v>#VALUE!</v>
      </c>
      <c r="H389" s="51" t="str">
        <f>IFERROR(__xludf.DUMMYFUNCTION("""COMPUTED_VALUE"""),"")</f>
        <v/>
      </c>
      <c r="I389" s="51" t="str">
        <f>IFERROR(__xludf.DUMMYFUNCTION("""COMPUTED_VALUE"""),"#VALUE!")</f>
        <v>#VALUE!</v>
      </c>
      <c r="J389" s="51" t="str">
        <f>IFERROR(__xludf.DUMMYFUNCTION("""COMPUTED_VALUE"""),"")</f>
        <v/>
      </c>
      <c r="K389" s="51"/>
      <c r="L389" s="51" t="s">
        <v>257</v>
      </c>
      <c r="M389" s="51"/>
      <c r="N389" s="51"/>
      <c r="O389" s="51"/>
      <c r="P389" s="51"/>
      <c r="Q389" s="51"/>
      <c r="R389" s="51"/>
      <c r="S389" s="51"/>
      <c r="T389" s="51"/>
    </row>
    <row r="390">
      <c r="A390" s="51"/>
      <c r="B390" s="51"/>
      <c r="C390" s="56"/>
      <c r="D390" s="51"/>
      <c r="E390" s="51"/>
      <c r="F390" s="51"/>
      <c r="G390" s="51" t="str">
        <f>IFERROR(__xludf.DUMMYFUNCTION("""COMPUTED_VALUE"""),"#VALUE!")</f>
        <v>#VALUE!</v>
      </c>
      <c r="H390" s="51" t="str">
        <f>IFERROR(__xludf.DUMMYFUNCTION("""COMPUTED_VALUE"""),"")</f>
        <v/>
      </c>
      <c r="I390" s="51" t="str">
        <f>IFERROR(__xludf.DUMMYFUNCTION("""COMPUTED_VALUE"""),"#VALUE!")</f>
        <v>#VALUE!</v>
      </c>
      <c r="J390" s="51" t="str">
        <f>IFERROR(__xludf.DUMMYFUNCTION("""COMPUTED_VALUE"""),"")</f>
        <v/>
      </c>
      <c r="K390" s="51"/>
      <c r="L390" s="51" t="s">
        <v>257</v>
      </c>
      <c r="M390" s="51"/>
      <c r="N390" s="51"/>
      <c r="O390" s="51"/>
      <c r="P390" s="51"/>
      <c r="Q390" s="51"/>
      <c r="R390" s="51"/>
      <c r="S390" s="51"/>
      <c r="T390" s="51"/>
    </row>
    <row r="391">
      <c r="A391" s="51"/>
      <c r="B391" s="51"/>
      <c r="C391" s="56"/>
      <c r="D391" s="51"/>
      <c r="E391" s="51"/>
      <c r="F391" s="51"/>
      <c r="G391" s="51" t="str">
        <f>IFERROR(__xludf.DUMMYFUNCTION("""COMPUTED_VALUE"""),"#VALUE!")</f>
        <v>#VALUE!</v>
      </c>
      <c r="H391" s="51" t="str">
        <f>IFERROR(__xludf.DUMMYFUNCTION("""COMPUTED_VALUE"""),"")</f>
        <v/>
      </c>
      <c r="I391" s="51" t="str">
        <f>IFERROR(__xludf.DUMMYFUNCTION("""COMPUTED_VALUE"""),"#VALUE!")</f>
        <v>#VALUE!</v>
      </c>
      <c r="J391" s="51" t="str">
        <f>IFERROR(__xludf.DUMMYFUNCTION("""COMPUTED_VALUE"""),"")</f>
        <v/>
      </c>
      <c r="K391" s="51"/>
      <c r="L391" s="51" t="s">
        <v>257</v>
      </c>
      <c r="M391" s="51"/>
      <c r="N391" s="51"/>
      <c r="O391" s="51"/>
      <c r="P391" s="51"/>
      <c r="Q391" s="51"/>
      <c r="R391" s="51"/>
      <c r="S391" s="51"/>
      <c r="T391" s="51"/>
    </row>
    <row r="392">
      <c r="A392" s="51"/>
      <c r="B392" s="51"/>
      <c r="C392" s="56"/>
      <c r="D392" s="51"/>
      <c r="E392" s="51"/>
      <c r="F392" s="51"/>
      <c r="G392" s="51" t="str">
        <f>IFERROR(__xludf.DUMMYFUNCTION("""COMPUTED_VALUE"""),"#VALUE!")</f>
        <v>#VALUE!</v>
      </c>
      <c r="H392" s="51" t="str">
        <f>IFERROR(__xludf.DUMMYFUNCTION("""COMPUTED_VALUE"""),"")</f>
        <v/>
      </c>
      <c r="I392" s="51" t="str">
        <f>IFERROR(__xludf.DUMMYFUNCTION("""COMPUTED_VALUE"""),"#VALUE!")</f>
        <v>#VALUE!</v>
      </c>
      <c r="J392" s="51" t="str">
        <f>IFERROR(__xludf.DUMMYFUNCTION("""COMPUTED_VALUE"""),"")</f>
        <v/>
      </c>
      <c r="K392" s="51"/>
      <c r="L392" s="51" t="s">
        <v>257</v>
      </c>
      <c r="M392" s="51"/>
      <c r="N392" s="51"/>
      <c r="O392" s="51"/>
      <c r="P392" s="51"/>
      <c r="Q392" s="51"/>
      <c r="R392" s="51"/>
      <c r="S392" s="51"/>
      <c r="T392" s="51"/>
    </row>
    <row r="393">
      <c r="A393" s="51"/>
      <c r="B393" s="51"/>
      <c r="C393" s="56"/>
      <c r="D393" s="51"/>
      <c r="E393" s="51"/>
      <c r="F393" s="51"/>
      <c r="G393" s="51" t="str">
        <f>IFERROR(__xludf.DUMMYFUNCTION("""COMPUTED_VALUE"""),"#VALUE!")</f>
        <v>#VALUE!</v>
      </c>
      <c r="H393" s="51" t="str">
        <f>IFERROR(__xludf.DUMMYFUNCTION("""COMPUTED_VALUE"""),"")</f>
        <v/>
      </c>
      <c r="I393" s="51" t="str">
        <f>IFERROR(__xludf.DUMMYFUNCTION("""COMPUTED_VALUE"""),"#VALUE!")</f>
        <v>#VALUE!</v>
      </c>
      <c r="J393" s="51" t="str">
        <f>IFERROR(__xludf.DUMMYFUNCTION("""COMPUTED_VALUE"""),"")</f>
        <v/>
      </c>
      <c r="K393" s="51"/>
      <c r="L393" s="51" t="s">
        <v>257</v>
      </c>
      <c r="M393" s="51"/>
      <c r="N393" s="51"/>
      <c r="O393" s="51"/>
      <c r="P393" s="51"/>
      <c r="Q393" s="51"/>
      <c r="R393" s="51"/>
      <c r="S393" s="51"/>
      <c r="T393" s="51"/>
    </row>
    <row r="394">
      <c r="A394" s="51"/>
      <c r="B394" s="51"/>
      <c r="C394" s="56"/>
      <c r="D394" s="51"/>
      <c r="E394" s="51"/>
      <c r="F394" s="51"/>
      <c r="G394" s="51" t="str">
        <f>IFERROR(__xludf.DUMMYFUNCTION("""COMPUTED_VALUE"""),"#VALUE!")</f>
        <v>#VALUE!</v>
      </c>
      <c r="H394" s="51" t="str">
        <f>IFERROR(__xludf.DUMMYFUNCTION("""COMPUTED_VALUE"""),"")</f>
        <v/>
      </c>
      <c r="I394" s="51" t="str">
        <f>IFERROR(__xludf.DUMMYFUNCTION("""COMPUTED_VALUE"""),"#VALUE!")</f>
        <v>#VALUE!</v>
      </c>
      <c r="J394" s="51" t="str">
        <f>IFERROR(__xludf.DUMMYFUNCTION("""COMPUTED_VALUE"""),"")</f>
        <v/>
      </c>
      <c r="K394" s="51"/>
      <c r="L394" s="51" t="s">
        <v>257</v>
      </c>
      <c r="M394" s="51"/>
      <c r="N394" s="51"/>
      <c r="O394" s="51"/>
      <c r="P394" s="51"/>
      <c r="Q394" s="51"/>
      <c r="R394" s="51"/>
      <c r="S394" s="51"/>
      <c r="T394" s="51"/>
    </row>
    <row r="395">
      <c r="A395" s="51"/>
      <c r="B395" s="51"/>
      <c r="C395" s="56"/>
      <c r="D395" s="51"/>
      <c r="E395" s="51"/>
      <c r="F395" s="51"/>
      <c r="G395" s="51" t="str">
        <f>IFERROR(__xludf.DUMMYFUNCTION("""COMPUTED_VALUE"""),"#VALUE!")</f>
        <v>#VALUE!</v>
      </c>
      <c r="H395" s="51" t="str">
        <f>IFERROR(__xludf.DUMMYFUNCTION("""COMPUTED_VALUE"""),"")</f>
        <v/>
      </c>
      <c r="I395" s="51" t="str">
        <f>IFERROR(__xludf.DUMMYFUNCTION("""COMPUTED_VALUE"""),"#VALUE!")</f>
        <v>#VALUE!</v>
      </c>
      <c r="J395" s="51" t="str">
        <f>IFERROR(__xludf.DUMMYFUNCTION("""COMPUTED_VALUE"""),"")</f>
        <v/>
      </c>
      <c r="K395" s="51"/>
      <c r="L395" s="51" t="s">
        <v>257</v>
      </c>
      <c r="M395" s="51"/>
      <c r="N395" s="51"/>
      <c r="O395" s="51"/>
      <c r="P395" s="51"/>
      <c r="Q395" s="51"/>
      <c r="R395" s="51"/>
      <c r="S395" s="51"/>
      <c r="T395" s="51"/>
    </row>
    <row r="396">
      <c r="A396" s="51"/>
      <c r="B396" s="51"/>
      <c r="C396" s="56"/>
      <c r="D396" s="51"/>
      <c r="E396" s="51"/>
      <c r="F396" s="51"/>
      <c r="G396" s="51" t="str">
        <f>IFERROR(__xludf.DUMMYFUNCTION("""COMPUTED_VALUE"""),"#VALUE!")</f>
        <v>#VALUE!</v>
      </c>
      <c r="H396" s="51" t="str">
        <f>IFERROR(__xludf.DUMMYFUNCTION("""COMPUTED_VALUE"""),"")</f>
        <v/>
      </c>
      <c r="I396" s="51" t="str">
        <f>IFERROR(__xludf.DUMMYFUNCTION("""COMPUTED_VALUE"""),"#VALUE!")</f>
        <v>#VALUE!</v>
      </c>
      <c r="J396" s="51" t="str">
        <f>IFERROR(__xludf.DUMMYFUNCTION("""COMPUTED_VALUE"""),"")</f>
        <v/>
      </c>
      <c r="K396" s="51"/>
      <c r="L396" s="51" t="s">
        <v>257</v>
      </c>
      <c r="M396" s="51"/>
      <c r="N396" s="51"/>
      <c r="O396" s="51"/>
      <c r="P396" s="51"/>
      <c r="Q396" s="51"/>
      <c r="R396" s="51"/>
      <c r="S396" s="51"/>
      <c r="T396" s="51"/>
    </row>
    <row r="397">
      <c r="A397" s="51"/>
      <c r="B397" s="51"/>
      <c r="C397" s="56"/>
      <c r="D397" s="51"/>
      <c r="E397" s="51"/>
      <c r="F397" s="51"/>
      <c r="G397" s="51" t="str">
        <f>IFERROR(__xludf.DUMMYFUNCTION("""COMPUTED_VALUE"""),"#VALUE!")</f>
        <v>#VALUE!</v>
      </c>
      <c r="H397" s="51" t="str">
        <f>IFERROR(__xludf.DUMMYFUNCTION("""COMPUTED_VALUE"""),"")</f>
        <v/>
      </c>
      <c r="I397" s="51" t="str">
        <f>IFERROR(__xludf.DUMMYFUNCTION("""COMPUTED_VALUE"""),"#VALUE!")</f>
        <v>#VALUE!</v>
      </c>
      <c r="J397" s="51" t="str">
        <f>IFERROR(__xludf.DUMMYFUNCTION("""COMPUTED_VALUE"""),"")</f>
        <v/>
      </c>
      <c r="K397" s="51"/>
      <c r="L397" s="51" t="s">
        <v>257</v>
      </c>
      <c r="M397" s="51"/>
      <c r="N397" s="51"/>
      <c r="O397" s="51"/>
      <c r="P397" s="51"/>
      <c r="Q397" s="51"/>
      <c r="R397" s="51"/>
      <c r="S397" s="51"/>
      <c r="T397" s="51"/>
    </row>
    <row r="398">
      <c r="A398" s="51"/>
      <c r="B398" s="51"/>
      <c r="C398" s="56"/>
      <c r="D398" s="51"/>
      <c r="E398" s="51"/>
      <c r="F398" s="51"/>
      <c r="G398" s="51" t="str">
        <f>IFERROR(__xludf.DUMMYFUNCTION("""COMPUTED_VALUE"""),"#VALUE!")</f>
        <v>#VALUE!</v>
      </c>
      <c r="H398" s="51" t="str">
        <f>IFERROR(__xludf.DUMMYFUNCTION("""COMPUTED_VALUE"""),"")</f>
        <v/>
      </c>
      <c r="I398" s="51" t="str">
        <f>IFERROR(__xludf.DUMMYFUNCTION("""COMPUTED_VALUE"""),"#VALUE!")</f>
        <v>#VALUE!</v>
      </c>
      <c r="J398" s="51" t="str">
        <f>IFERROR(__xludf.DUMMYFUNCTION("""COMPUTED_VALUE"""),"")</f>
        <v/>
      </c>
      <c r="K398" s="51"/>
      <c r="L398" s="51" t="s">
        <v>257</v>
      </c>
      <c r="M398" s="51"/>
      <c r="N398" s="51"/>
      <c r="O398" s="51"/>
      <c r="P398" s="51"/>
      <c r="Q398" s="51"/>
      <c r="R398" s="51"/>
      <c r="S398" s="51"/>
      <c r="T398" s="51"/>
    </row>
    <row r="399">
      <c r="A399" s="51"/>
      <c r="B399" s="51"/>
      <c r="C399" s="56"/>
      <c r="D399" s="51"/>
      <c r="E399" s="51"/>
      <c r="F399" s="51"/>
      <c r="G399" s="51" t="str">
        <f>IFERROR(__xludf.DUMMYFUNCTION("""COMPUTED_VALUE"""),"#VALUE!")</f>
        <v>#VALUE!</v>
      </c>
      <c r="H399" s="51" t="str">
        <f>IFERROR(__xludf.DUMMYFUNCTION("""COMPUTED_VALUE"""),"")</f>
        <v/>
      </c>
      <c r="I399" s="51" t="str">
        <f>IFERROR(__xludf.DUMMYFUNCTION("""COMPUTED_VALUE"""),"#VALUE!")</f>
        <v>#VALUE!</v>
      </c>
      <c r="J399" s="51" t="str">
        <f>IFERROR(__xludf.DUMMYFUNCTION("""COMPUTED_VALUE"""),"")</f>
        <v/>
      </c>
      <c r="K399" s="51"/>
      <c r="L399" s="51" t="s">
        <v>257</v>
      </c>
      <c r="M399" s="51"/>
      <c r="N399" s="51"/>
      <c r="O399" s="51"/>
      <c r="P399" s="51"/>
      <c r="Q399" s="51"/>
      <c r="R399" s="51"/>
      <c r="S399" s="51"/>
      <c r="T399" s="51"/>
    </row>
    <row r="400">
      <c r="A400" s="51"/>
      <c r="B400" s="51"/>
      <c r="C400" s="56"/>
      <c r="D400" s="51"/>
      <c r="E400" s="51"/>
      <c r="F400" s="51"/>
      <c r="G400" s="51" t="str">
        <f>IFERROR(__xludf.DUMMYFUNCTION("""COMPUTED_VALUE"""),"#VALUE!")</f>
        <v>#VALUE!</v>
      </c>
      <c r="H400" s="51" t="str">
        <f>IFERROR(__xludf.DUMMYFUNCTION("""COMPUTED_VALUE"""),"")</f>
        <v/>
      </c>
      <c r="I400" s="51" t="str">
        <f>IFERROR(__xludf.DUMMYFUNCTION("""COMPUTED_VALUE"""),"#VALUE!")</f>
        <v>#VALUE!</v>
      </c>
      <c r="J400" s="51" t="str">
        <f>IFERROR(__xludf.DUMMYFUNCTION("""COMPUTED_VALUE"""),"")</f>
        <v/>
      </c>
      <c r="K400" s="51"/>
      <c r="L400" s="51" t="s">
        <v>257</v>
      </c>
      <c r="M400" s="51"/>
      <c r="N400" s="51"/>
      <c r="O400" s="51"/>
      <c r="P400" s="51"/>
      <c r="Q400" s="51"/>
      <c r="R400" s="51"/>
      <c r="S400" s="51"/>
      <c r="T400" s="51"/>
    </row>
    <row r="401">
      <c r="A401" s="51"/>
      <c r="B401" s="51"/>
      <c r="C401" s="56"/>
      <c r="D401" s="51"/>
      <c r="E401" s="51"/>
      <c r="F401" s="51"/>
      <c r="G401" s="51" t="str">
        <f>IFERROR(__xludf.DUMMYFUNCTION("""COMPUTED_VALUE"""),"#VALUE!")</f>
        <v>#VALUE!</v>
      </c>
      <c r="H401" s="51" t="str">
        <f>IFERROR(__xludf.DUMMYFUNCTION("""COMPUTED_VALUE"""),"")</f>
        <v/>
      </c>
      <c r="I401" s="51" t="str">
        <f>IFERROR(__xludf.DUMMYFUNCTION("""COMPUTED_VALUE"""),"#VALUE!")</f>
        <v>#VALUE!</v>
      </c>
      <c r="J401" s="51" t="str">
        <f>IFERROR(__xludf.DUMMYFUNCTION("""COMPUTED_VALUE"""),"")</f>
        <v/>
      </c>
      <c r="K401" s="51"/>
      <c r="L401" s="51" t="s">
        <v>257</v>
      </c>
      <c r="M401" s="51"/>
      <c r="N401" s="51"/>
      <c r="O401" s="51"/>
      <c r="P401" s="51"/>
      <c r="Q401" s="51"/>
      <c r="R401" s="51"/>
      <c r="S401" s="51"/>
      <c r="T401" s="51"/>
    </row>
    <row r="402">
      <c r="A402" s="51"/>
      <c r="B402" s="51"/>
      <c r="C402" s="56"/>
      <c r="D402" s="51"/>
      <c r="E402" s="51"/>
      <c r="F402" s="51"/>
      <c r="G402" s="51" t="str">
        <f>IFERROR(__xludf.DUMMYFUNCTION("""COMPUTED_VALUE"""),"#VALUE!")</f>
        <v>#VALUE!</v>
      </c>
      <c r="H402" s="51" t="str">
        <f>IFERROR(__xludf.DUMMYFUNCTION("""COMPUTED_VALUE"""),"")</f>
        <v/>
      </c>
      <c r="I402" s="51" t="str">
        <f>IFERROR(__xludf.DUMMYFUNCTION("""COMPUTED_VALUE"""),"#VALUE!")</f>
        <v>#VALUE!</v>
      </c>
      <c r="J402" s="51" t="str">
        <f>IFERROR(__xludf.DUMMYFUNCTION("""COMPUTED_VALUE"""),"")</f>
        <v/>
      </c>
      <c r="K402" s="51"/>
      <c r="L402" s="51" t="s">
        <v>257</v>
      </c>
      <c r="M402" s="51"/>
      <c r="N402" s="51"/>
      <c r="O402" s="51"/>
      <c r="P402" s="51"/>
      <c r="Q402" s="51"/>
      <c r="R402" s="51"/>
      <c r="S402" s="51"/>
      <c r="T402" s="51"/>
    </row>
    <row r="403">
      <c r="A403" s="51"/>
      <c r="B403" s="51"/>
      <c r="C403" s="56"/>
      <c r="D403" s="51"/>
      <c r="E403" s="51"/>
      <c r="F403" s="51"/>
      <c r="G403" s="51" t="str">
        <f>IFERROR(__xludf.DUMMYFUNCTION("""COMPUTED_VALUE"""),"#VALUE!")</f>
        <v>#VALUE!</v>
      </c>
      <c r="H403" s="51" t="str">
        <f>IFERROR(__xludf.DUMMYFUNCTION("""COMPUTED_VALUE"""),"")</f>
        <v/>
      </c>
      <c r="I403" s="51" t="str">
        <f>IFERROR(__xludf.DUMMYFUNCTION("""COMPUTED_VALUE"""),"#VALUE!")</f>
        <v>#VALUE!</v>
      </c>
      <c r="J403" s="51" t="str">
        <f>IFERROR(__xludf.DUMMYFUNCTION("""COMPUTED_VALUE"""),"")</f>
        <v/>
      </c>
      <c r="K403" s="51"/>
      <c r="L403" s="51" t="s">
        <v>257</v>
      </c>
      <c r="M403" s="51"/>
      <c r="N403" s="51"/>
      <c r="O403" s="51"/>
      <c r="P403" s="51"/>
      <c r="Q403" s="51"/>
      <c r="R403" s="51"/>
      <c r="S403" s="51"/>
      <c r="T403" s="51"/>
    </row>
    <row r="404">
      <c r="A404" s="51"/>
      <c r="B404" s="51"/>
      <c r="C404" s="56"/>
      <c r="D404" s="51"/>
      <c r="E404" s="51"/>
      <c r="F404" s="51"/>
      <c r="G404" s="51" t="str">
        <f>IFERROR(__xludf.DUMMYFUNCTION("""COMPUTED_VALUE"""),"#VALUE!")</f>
        <v>#VALUE!</v>
      </c>
      <c r="H404" s="51" t="str">
        <f>IFERROR(__xludf.DUMMYFUNCTION("""COMPUTED_VALUE"""),"")</f>
        <v/>
      </c>
      <c r="I404" s="51" t="str">
        <f>IFERROR(__xludf.DUMMYFUNCTION("""COMPUTED_VALUE"""),"#VALUE!")</f>
        <v>#VALUE!</v>
      </c>
      <c r="J404" s="51" t="str">
        <f>IFERROR(__xludf.DUMMYFUNCTION("""COMPUTED_VALUE"""),"")</f>
        <v/>
      </c>
      <c r="K404" s="51"/>
      <c r="L404" s="51" t="s">
        <v>257</v>
      </c>
      <c r="M404" s="51"/>
      <c r="N404" s="51"/>
      <c r="O404" s="51"/>
      <c r="P404" s="51"/>
      <c r="Q404" s="51"/>
      <c r="R404" s="51"/>
      <c r="S404" s="51"/>
      <c r="T404" s="51"/>
    </row>
    <row r="405">
      <c r="A405" s="51"/>
      <c r="B405" s="51"/>
      <c r="C405" s="56"/>
      <c r="D405" s="51"/>
      <c r="E405" s="51"/>
      <c r="F405" s="51"/>
      <c r="G405" s="51" t="str">
        <f>IFERROR(__xludf.DUMMYFUNCTION("""COMPUTED_VALUE"""),"#VALUE!")</f>
        <v>#VALUE!</v>
      </c>
      <c r="H405" s="51" t="str">
        <f>IFERROR(__xludf.DUMMYFUNCTION("""COMPUTED_VALUE"""),"")</f>
        <v/>
      </c>
      <c r="I405" s="51" t="str">
        <f>IFERROR(__xludf.DUMMYFUNCTION("""COMPUTED_VALUE"""),"#VALUE!")</f>
        <v>#VALUE!</v>
      </c>
      <c r="J405" s="51" t="str">
        <f>IFERROR(__xludf.DUMMYFUNCTION("""COMPUTED_VALUE"""),"")</f>
        <v/>
      </c>
      <c r="K405" s="51"/>
      <c r="L405" s="51" t="s">
        <v>257</v>
      </c>
      <c r="M405" s="51"/>
      <c r="N405" s="51"/>
      <c r="O405" s="51"/>
      <c r="P405" s="51"/>
      <c r="Q405" s="51"/>
      <c r="R405" s="51"/>
      <c r="S405" s="51"/>
      <c r="T405" s="51"/>
    </row>
    <row r="406">
      <c r="A406" s="51"/>
      <c r="B406" s="51"/>
      <c r="C406" s="56"/>
      <c r="D406" s="51"/>
      <c r="E406" s="51"/>
      <c r="F406" s="51"/>
      <c r="G406" s="51" t="str">
        <f>IFERROR(__xludf.DUMMYFUNCTION("""COMPUTED_VALUE"""),"#VALUE!")</f>
        <v>#VALUE!</v>
      </c>
      <c r="H406" s="51" t="str">
        <f>IFERROR(__xludf.DUMMYFUNCTION("""COMPUTED_VALUE"""),"")</f>
        <v/>
      </c>
      <c r="I406" s="51" t="str">
        <f>IFERROR(__xludf.DUMMYFUNCTION("""COMPUTED_VALUE"""),"#VALUE!")</f>
        <v>#VALUE!</v>
      </c>
      <c r="J406" s="51" t="str">
        <f>IFERROR(__xludf.DUMMYFUNCTION("""COMPUTED_VALUE"""),"")</f>
        <v/>
      </c>
      <c r="K406" s="51"/>
      <c r="L406" s="51" t="s">
        <v>257</v>
      </c>
      <c r="M406" s="51"/>
      <c r="N406" s="51"/>
      <c r="O406" s="51"/>
      <c r="P406" s="51"/>
      <c r="Q406" s="51"/>
      <c r="R406" s="51"/>
      <c r="S406" s="51"/>
      <c r="T406" s="51"/>
    </row>
    <row r="407">
      <c r="A407" s="51"/>
      <c r="B407" s="51"/>
      <c r="C407" s="56"/>
      <c r="D407" s="51"/>
      <c r="E407" s="51"/>
      <c r="F407" s="51"/>
      <c r="G407" s="51" t="str">
        <f>IFERROR(__xludf.DUMMYFUNCTION("""COMPUTED_VALUE"""),"#VALUE!")</f>
        <v>#VALUE!</v>
      </c>
      <c r="H407" s="51" t="str">
        <f>IFERROR(__xludf.DUMMYFUNCTION("""COMPUTED_VALUE"""),"")</f>
        <v/>
      </c>
      <c r="I407" s="51" t="str">
        <f>IFERROR(__xludf.DUMMYFUNCTION("""COMPUTED_VALUE"""),"#VALUE!")</f>
        <v>#VALUE!</v>
      </c>
      <c r="J407" s="51" t="str">
        <f>IFERROR(__xludf.DUMMYFUNCTION("""COMPUTED_VALUE"""),"")</f>
        <v/>
      </c>
      <c r="K407" s="51"/>
      <c r="L407" s="51" t="s">
        <v>257</v>
      </c>
      <c r="M407" s="51"/>
      <c r="N407" s="51"/>
      <c r="O407" s="51"/>
      <c r="P407" s="51"/>
      <c r="Q407" s="51"/>
      <c r="R407" s="51"/>
      <c r="S407" s="51"/>
      <c r="T407" s="51"/>
    </row>
    <row r="408">
      <c r="A408" s="51"/>
      <c r="B408" s="51"/>
      <c r="C408" s="56"/>
      <c r="D408" s="51"/>
      <c r="E408" s="51"/>
      <c r="F408" s="51"/>
      <c r="G408" s="51" t="str">
        <f>IFERROR(__xludf.DUMMYFUNCTION("""COMPUTED_VALUE"""),"#VALUE!")</f>
        <v>#VALUE!</v>
      </c>
      <c r="H408" s="51" t="str">
        <f>IFERROR(__xludf.DUMMYFUNCTION("""COMPUTED_VALUE"""),"")</f>
        <v/>
      </c>
      <c r="I408" s="51" t="str">
        <f>IFERROR(__xludf.DUMMYFUNCTION("""COMPUTED_VALUE"""),"#VALUE!")</f>
        <v>#VALUE!</v>
      </c>
      <c r="J408" s="51" t="str">
        <f>IFERROR(__xludf.DUMMYFUNCTION("""COMPUTED_VALUE"""),"")</f>
        <v/>
      </c>
      <c r="K408" s="51"/>
      <c r="L408" s="51" t="s">
        <v>257</v>
      </c>
      <c r="M408" s="51"/>
      <c r="N408" s="51"/>
      <c r="O408" s="51"/>
      <c r="P408" s="51"/>
      <c r="Q408" s="51"/>
      <c r="R408" s="51"/>
      <c r="S408" s="51"/>
      <c r="T408" s="51"/>
    </row>
    <row r="409">
      <c r="A409" s="51"/>
      <c r="B409" s="51"/>
      <c r="C409" s="56"/>
      <c r="D409" s="51"/>
      <c r="E409" s="51"/>
      <c r="F409" s="51"/>
      <c r="G409" s="51" t="str">
        <f>IFERROR(__xludf.DUMMYFUNCTION("""COMPUTED_VALUE"""),"#VALUE!")</f>
        <v>#VALUE!</v>
      </c>
      <c r="H409" s="51" t="str">
        <f>IFERROR(__xludf.DUMMYFUNCTION("""COMPUTED_VALUE"""),"")</f>
        <v/>
      </c>
      <c r="I409" s="51" t="str">
        <f>IFERROR(__xludf.DUMMYFUNCTION("""COMPUTED_VALUE"""),"#VALUE!")</f>
        <v>#VALUE!</v>
      </c>
      <c r="J409" s="51" t="str">
        <f>IFERROR(__xludf.DUMMYFUNCTION("""COMPUTED_VALUE"""),"")</f>
        <v/>
      </c>
      <c r="K409" s="51"/>
      <c r="L409" s="51" t="s">
        <v>257</v>
      </c>
      <c r="M409" s="51"/>
      <c r="N409" s="51"/>
      <c r="O409" s="51"/>
      <c r="P409" s="51"/>
      <c r="Q409" s="51"/>
      <c r="R409" s="51"/>
      <c r="S409" s="51"/>
      <c r="T409" s="51"/>
    </row>
    <row r="410">
      <c r="A410" s="51"/>
      <c r="B410" s="51"/>
      <c r="C410" s="56"/>
      <c r="D410" s="51"/>
      <c r="E410" s="51"/>
      <c r="F410" s="51"/>
      <c r="G410" s="51" t="str">
        <f>IFERROR(__xludf.DUMMYFUNCTION("""COMPUTED_VALUE"""),"#VALUE!")</f>
        <v>#VALUE!</v>
      </c>
      <c r="H410" s="51" t="str">
        <f>IFERROR(__xludf.DUMMYFUNCTION("""COMPUTED_VALUE"""),"")</f>
        <v/>
      </c>
      <c r="I410" s="51" t="str">
        <f>IFERROR(__xludf.DUMMYFUNCTION("""COMPUTED_VALUE"""),"#VALUE!")</f>
        <v>#VALUE!</v>
      </c>
      <c r="J410" s="51" t="str">
        <f>IFERROR(__xludf.DUMMYFUNCTION("""COMPUTED_VALUE"""),"")</f>
        <v/>
      </c>
      <c r="K410" s="51"/>
      <c r="L410" s="51" t="s">
        <v>257</v>
      </c>
      <c r="M410" s="51"/>
      <c r="N410" s="51"/>
      <c r="O410" s="51"/>
      <c r="P410" s="51"/>
      <c r="Q410" s="51"/>
      <c r="R410" s="51"/>
      <c r="S410" s="51"/>
      <c r="T410" s="51"/>
    </row>
    <row r="411">
      <c r="A411" s="51"/>
      <c r="B411" s="51"/>
      <c r="C411" s="56"/>
      <c r="D411" s="51"/>
      <c r="E411" s="51"/>
      <c r="F411" s="51"/>
      <c r="G411" s="51" t="str">
        <f>IFERROR(__xludf.DUMMYFUNCTION("""COMPUTED_VALUE"""),"#VALUE!")</f>
        <v>#VALUE!</v>
      </c>
      <c r="H411" s="51" t="str">
        <f>IFERROR(__xludf.DUMMYFUNCTION("""COMPUTED_VALUE"""),"")</f>
        <v/>
      </c>
      <c r="I411" s="51" t="str">
        <f>IFERROR(__xludf.DUMMYFUNCTION("""COMPUTED_VALUE"""),"#VALUE!")</f>
        <v>#VALUE!</v>
      </c>
      <c r="J411" s="51" t="str">
        <f>IFERROR(__xludf.DUMMYFUNCTION("""COMPUTED_VALUE"""),"")</f>
        <v/>
      </c>
      <c r="K411" s="51"/>
      <c r="L411" s="51" t="s">
        <v>257</v>
      </c>
      <c r="M411" s="51"/>
      <c r="N411" s="51"/>
      <c r="O411" s="51"/>
      <c r="P411" s="51"/>
      <c r="Q411" s="51"/>
      <c r="R411" s="51"/>
      <c r="S411" s="51"/>
      <c r="T411" s="51"/>
    </row>
    <row r="412">
      <c r="A412" s="51"/>
      <c r="B412" s="51"/>
      <c r="C412" s="56"/>
      <c r="D412" s="51"/>
      <c r="E412" s="51"/>
      <c r="F412" s="51"/>
      <c r="G412" s="51" t="str">
        <f>IFERROR(__xludf.DUMMYFUNCTION("""COMPUTED_VALUE"""),"#VALUE!")</f>
        <v>#VALUE!</v>
      </c>
      <c r="H412" s="51" t="str">
        <f>IFERROR(__xludf.DUMMYFUNCTION("""COMPUTED_VALUE"""),"")</f>
        <v/>
      </c>
      <c r="I412" s="51" t="str">
        <f>IFERROR(__xludf.DUMMYFUNCTION("""COMPUTED_VALUE"""),"#VALUE!")</f>
        <v>#VALUE!</v>
      </c>
      <c r="J412" s="51" t="str">
        <f>IFERROR(__xludf.DUMMYFUNCTION("""COMPUTED_VALUE"""),"")</f>
        <v/>
      </c>
      <c r="K412" s="51"/>
      <c r="L412" s="51" t="s">
        <v>257</v>
      </c>
      <c r="M412" s="51"/>
      <c r="N412" s="51"/>
      <c r="O412" s="51"/>
      <c r="P412" s="51"/>
      <c r="Q412" s="51"/>
      <c r="R412" s="51"/>
      <c r="S412" s="51"/>
      <c r="T412" s="51"/>
    </row>
    <row r="413">
      <c r="A413" s="51"/>
      <c r="B413" s="51"/>
      <c r="C413" s="56"/>
      <c r="D413" s="51"/>
      <c r="E413" s="51"/>
      <c r="F413" s="51"/>
      <c r="G413" s="51" t="str">
        <f>IFERROR(__xludf.DUMMYFUNCTION("""COMPUTED_VALUE"""),"#VALUE!")</f>
        <v>#VALUE!</v>
      </c>
      <c r="H413" s="51" t="str">
        <f>IFERROR(__xludf.DUMMYFUNCTION("""COMPUTED_VALUE"""),"")</f>
        <v/>
      </c>
      <c r="I413" s="51" t="str">
        <f>IFERROR(__xludf.DUMMYFUNCTION("""COMPUTED_VALUE"""),"#VALUE!")</f>
        <v>#VALUE!</v>
      </c>
      <c r="J413" s="51" t="str">
        <f>IFERROR(__xludf.DUMMYFUNCTION("""COMPUTED_VALUE"""),"")</f>
        <v/>
      </c>
      <c r="K413" s="51"/>
      <c r="L413" s="51" t="s">
        <v>257</v>
      </c>
      <c r="M413" s="51"/>
      <c r="N413" s="51"/>
      <c r="O413" s="51"/>
      <c r="P413" s="51"/>
      <c r="Q413" s="51"/>
      <c r="R413" s="51"/>
      <c r="S413" s="51"/>
      <c r="T413" s="51"/>
    </row>
    <row r="414">
      <c r="A414" s="51"/>
      <c r="B414" s="51"/>
      <c r="C414" s="56"/>
      <c r="D414" s="51"/>
      <c r="E414" s="51"/>
      <c r="F414" s="51"/>
      <c r="G414" s="51" t="str">
        <f>IFERROR(__xludf.DUMMYFUNCTION("""COMPUTED_VALUE"""),"#VALUE!")</f>
        <v>#VALUE!</v>
      </c>
      <c r="H414" s="51" t="str">
        <f>IFERROR(__xludf.DUMMYFUNCTION("""COMPUTED_VALUE"""),"")</f>
        <v/>
      </c>
      <c r="I414" s="51" t="str">
        <f>IFERROR(__xludf.DUMMYFUNCTION("""COMPUTED_VALUE"""),"#VALUE!")</f>
        <v>#VALUE!</v>
      </c>
      <c r="J414" s="51" t="str">
        <f>IFERROR(__xludf.DUMMYFUNCTION("""COMPUTED_VALUE"""),"")</f>
        <v/>
      </c>
      <c r="K414" s="51"/>
      <c r="L414" s="51" t="s">
        <v>257</v>
      </c>
      <c r="M414" s="51"/>
      <c r="N414" s="51"/>
      <c r="O414" s="51"/>
      <c r="P414" s="51"/>
      <c r="Q414" s="51"/>
      <c r="R414" s="51"/>
      <c r="S414" s="51"/>
      <c r="T414" s="51"/>
    </row>
    <row r="415">
      <c r="A415" s="51"/>
      <c r="B415" s="51"/>
      <c r="C415" s="56"/>
      <c r="D415" s="51"/>
      <c r="E415" s="51"/>
      <c r="F415" s="51"/>
      <c r="G415" s="51" t="str">
        <f>IFERROR(__xludf.DUMMYFUNCTION("""COMPUTED_VALUE"""),"#VALUE!")</f>
        <v>#VALUE!</v>
      </c>
      <c r="H415" s="51" t="str">
        <f>IFERROR(__xludf.DUMMYFUNCTION("""COMPUTED_VALUE"""),"")</f>
        <v/>
      </c>
      <c r="I415" s="51" t="str">
        <f>IFERROR(__xludf.DUMMYFUNCTION("""COMPUTED_VALUE"""),"#VALUE!")</f>
        <v>#VALUE!</v>
      </c>
      <c r="J415" s="51" t="str">
        <f>IFERROR(__xludf.DUMMYFUNCTION("""COMPUTED_VALUE"""),"")</f>
        <v/>
      </c>
      <c r="K415" s="51"/>
      <c r="L415" s="51" t="s">
        <v>257</v>
      </c>
      <c r="M415" s="51"/>
      <c r="N415" s="51"/>
      <c r="O415" s="51"/>
      <c r="P415" s="51"/>
      <c r="Q415" s="51"/>
      <c r="R415" s="51"/>
      <c r="S415" s="51"/>
      <c r="T415" s="51"/>
    </row>
    <row r="416">
      <c r="A416" s="51"/>
      <c r="B416" s="51"/>
      <c r="C416" s="56"/>
      <c r="D416" s="51"/>
      <c r="E416" s="51"/>
      <c r="F416" s="51"/>
      <c r="G416" s="51" t="str">
        <f>IFERROR(__xludf.DUMMYFUNCTION("""COMPUTED_VALUE"""),"#VALUE!")</f>
        <v>#VALUE!</v>
      </c>
      <c r="H416" s="51" t="str">
        <f>IFERROR(__xludf.DUMMYFUNCTION("""COMPUTED_VALUE"""),"")</f>
        <v/>
      </c>
      <c r="I416" s="51" t="str">
        <f>IFERROR(__xludf.DUMMYFUNCTION("""COMPUTED_VALUE"""),"#VALUE!")</f>
        <v>#VALUE!</v>
      </c>
      <c r="J416" s="51" t="str">
        <f>IFERROR(__xludf.DUMMYFUNCTION("""COMPUTED_VALUE"""),"")</f>
        <v/>
      </c>
      <c r="K416" s="51"/>
      <c r="L416" s="51" t="s">
        <v>257</v>
      </c>
      <c r="M416" s="51"/>
      <c r="N416" s="51"/>
      <c r="O416" s="51"/>
      <c r="P416" s="51"/>
      <c r="Q416" s="51"/>
      <c r="R416" s="51"/>
      <c r="S416" s="51"/>
      <c r="T416" s="51"/>
    </row>
    <row r="417">
      <c r="A417" s="51"/>
      <c r="B417" s="51"/>
      <c r="C417" s="56"/>
      <c r="D417" s="51"/>
      <c r="E417" s="51"/>
      <c r="F417" s="51"/>
      <c r="G417" s="51" t="str">
        <f>IFERROR(__xludf.DUMMYFUNCTION("""COMPUTED_VALUE"""),"#VALUE!")</f>
        <v>#VALUE!</v>
      </c>
      <c r="H417" s="51" t="str">
        <f>IFERROR(__xludf.DUMMYFUNCTION("""COMPUTED_VALUE"""),"")</f>
        <v/>
      </c>
      <c r="I417" s="51" t="str">
        <f>IFERROR(__xludf.DUMMYFUNCTION("""COMPUTED_VALUE"""),"#VALUE!")</f>
        <v>#VALUE!</v>
      </c>
      <c r="J417" s="51" t="str">
        <f>IFERROR(__xludf.DUMMYFUNCTION("""COMPUTED_VALUE"""),"")</f>
        <v/>
      </c>
      <c r="K417" s="51"/>
      <c r="L417" s="51" t="s">
        <v>257</v>
      </c>
      <c r="M417" s="51"/>
      <c r="N417" s="51"/>
      <c r="O417" s="51"/>
      <c r="P417" s="51"/>
      <c r="Q417" s="51"/>
      <c r="R417" s="51"/>
      <c r="S417" s="51"/>
      <c r="T417" s="51"/>
    </row>
    <row r="418">
      <c r="A418" s="51"/>
      <c r="B418" s="51"/>
      <c r="C418" s="56"/>
      <c r="D418" s="51"/>
      <c r="E418" s="51"/>
      <c r="F418" s="51"/>
      <c r="G418" s="51" t="str">
        <f>IFERROR(__xludf.DUMMYFUNCTION("""COMPUTED_VALUE"""),"#VALUE!")</f>
        <v>#VALUE!</v>
      </c>
      <c r="H418" s="51" t="str">
        <f>IFERROR(__xludf.DUMMYFUNCTION("""COMPUTED_VALUE"""),"")</f>
        <v/>
      </c>
      <c r="I418" s="51" t="str">
        <f>IFERROR(__xludf.DUMMYFUNCTION("""COMPUTED_VALUE"""),"#VALUE!")</f>
        <v>#VALUE!</v>
      </c>
      <c r="J418" s="51" t="str">
        <f>IFERROR(__xludf.DUMMYFUNCTION("""COMPUTED_VALUE"""),"")</f>
        <v/>
      </c>
      <c r="K418" s="51"/>
      <c r="L418" s="51" t="s">
        <v>257</v>
      </c>
      <c r="M418" s="51"/>
      <c r="N418" s="51"/>
      <c r="O418" s="51"/>
      <c r="P418" s="51"/>
      <c r="Q418" s="51"/>
      <c r="R418" s="51"/>
      <c r="S418" s="51"/>
      <c r="T418" s="51"/>
    </row>
    <row r="419">
      <c r="A419" s="51"/>
      <c r="B419" s="51"/>
      <c r="C419" s="56"/>
      <c r="D419" s="51"/>
      <c r="E419" s="51"/>
      <c r="F419" s="51"/>
      <c r="G419" s="51" t="str">
        <f>IFERROR(__xludf.DUMMYFUNCTION("""COMPUTED_VALUE"""),"#VALUE!")</f>
        <v>#VALUE!</v>
      </c>
      <c r="H419" s="51" t="str">
        <f>IFERROR(__xludf.DUMMYFUNCTION("""COMPUTED_VALUE"""),"")</f>
        <v/>
      </c>
      <c r="I419" s="51" t="str">
        <f>IFERROR(__xludf.DUMMYFUNCTION("""COMPUTED_VALUE"""),"#VALUE!")</f>
        <v>#VALUE!</v>
      </c>
      <c r="J419" s="51" t="str">
        <f>IFERROR(__xludf.DUMMYFUNCTION("""COMPUTED_VALUE"""),"")</f>
        <v/>
      </c>
      <c r="K419" s="51"/>
      <c r="L419" s="51" t="s">
        <v>257</v>
      </c>
      <c r="M419" s="51"/>
      <c r="N419" s="51"/>
      <c r="O419" s="51"/>
      <c r="P419" s="51"/>
      <c r="Q419" s="51"/>
      <c r="R419" s="51"/>
      <c r="S419" s="51"/>
      <c r="T419" s="51"/>
    </row>
    <row r="420">
      <c r="A420" s="51"/>
      <c r="B420" s="51"/>
      <c r="C420" s="56"/>
      <c r="D420" s="51"/>
      <c r="E420" s="51"/>
      <c r="F420" s="51"/>
      <c r="G420" s="51" t="str">
        <f>IFERROR(__xludf.DUMMYFUNCTION("""COMPUTED_VALUE"""),"#VALUE!")</f>
        <v>#VALUE!</v>
      </c>
      <c r="H420" s="51" t="str">
        <f>IFERROR(__xludf.DUMMYFUNCTION("""COMPUTED_VALUE"""),"")</f>
        <v/>
      </c>
      <c r="I420" s="51" t="str">
        <f>IFERROR(__xludf.DUMMYFUNCTION("""COMPUTED_VALUE"""),"#VALUE!")</f>
        <v>#VALUE!</v>
      </c>
      <c r="J420" s="51" t="str">
        <f>IFERROR(__xludf.DUMMYFUNCTION("""COMPUTED_VALUE"""),"")</f>
        <v/>
      </c>
      <c r="K420" s="51"/>
      <c r="L420" s="51" t="s">
        <v>257</v>
      </c>
      <c r="M420" s="51"/>
      <c r="N420" s="51"/>
      <c r="O420" s="51"/>
      <c r="P420" s="51"/>
      <c r="Q420" s="51"/>
      <c r="R420" s="51"/>
      <c r="S420" s="51"/>
      <c r="T420" s="51"/>
    </row>
    <row r="421">
      <c r="A421" s="51"/>
      <c r="B421" s="51"/>
      <c r="C421" s="56"/>
      <c r="D421" s="51"/>
      <c r="E421" s="51"/>
      <c r="F421" s="51"/>
      <c r="G421" s="51" t="str">
        <f>IFERROR(__xludf.DUMMYFUNCTION("""COMPUTED_VALUE"""),"#VALUE!")</f>
        <v>#VALUE!</v>
      </c>
      <c r="H421" s="51" t="str">
        <f>IFERROR(__xludf.DUMMYFUNCTION("""COMPUTED_VALUE"""),"")</f>
        <v/>
      </c>
      <c r="I421" s="51" t="str">
        <f>IFERROR(__xludf.DUMMYFUNCTION("""COMPUTED_VALUE"""),"#VALUE!")</f>
        <v>#VALUE!</v>
      </c>
      <c r="J421" s="51" t="str">
        <f>IFERROR(__xludf.DUMMYFUNCTION("""COMPUTED_VALUE"""),"")</f>
        <v/>
      </c>
      <c r="K421" s="51"/>
      <c r="L421" s="51" t="s">
        <v>257</v>
      </c>
      <c r="M421" s="51"/>
      <c r="N421" s="51"/>
      <c r="O421" s="51"/>
      <c r="P421" s="51"/>
      <c r="Q421" s="51"/>
      <c r="R421" s="51"/>
      <c r="S421" s="51"/>
      <c r="T421" s="51"/>
    </row>
    <row r="422">
      <c r="A422" s="51"/>
      <c r="B422" s="51"/>
      <c r="C422" s="56"/>
      <c r="D422" s="51"/>
      <c r="E422" s="51"/>
      <c r="F422" s="51"/>
      <c r="G422" s="51" t="str">
        <f>IFERROR(__xludf.DUMMYFUNCTION("""COMPUTED_VALUE"""),"#VALUE!")</f>
        <v>#VALUE!</v>
      </c>
      <c r="H422" s="51" t="str">
        <f>IFERROR(__xludf.DUMMYFUNCTION("""COMPUTED_VALUE"""),"")</f>
        <v/>
      </c>
      <c r="I422" s="51" t="str">
        <f>IFERROR(__xludf.DUMMYFUNCTION("""COMPUTED_VALUE"""),"#VALUE!")</f>
        <v>#VALUE!</v>
      </c>
      <c r="J422" s="51" t="str">
        <f>IFERROR(__xludf.DUMMYFUNCTION("""COMPUTED_VALUE"""),"")</f>
        <v/>
      </c>
      <c r="K422" s="51"/>
      <c r="L422" s="51" t="s">
        <v>257</v>
      </c>
      <c r="M422" s="51"/>
      <c r="N422" s="51"/>
      <c r="O422" s="51"/>
      <c r="P422" s="51"/>
      <c r="Q422" s="51"/>
      <c r="R422" s="51"/>
      <c r="S422" s="51"/>
      <c r="T422" s="51"/>
    </row>
    <row r="423">
      <c r="A423" s="51"/>
      <c r="B423" s="51"/>
      <c r="C423" s="56"/>
      <c r="D423" s="51"/>
      <c r="E423" s="51"/>
      <c r="F423" s="51"/>
      <c r="G423" s="51" t="str">
        <f>IFERROR(__xludf.DUMMYFUNCTION("""COMPUTED_VALUE"""),"#VALUE!")</f>
        <v>#VALUE!</v>
      </c>
      <c r="H423" s="51" t="str">
        <f>IFERROR(__xludf.DUMMYFUNCTION("""COMPUTED_VALUE"""),"")</f>
        <v/>
      </c>
      <c r="I423" s="51" t="str">
        <f>IFERROR(__xludf.DUMMYFUNCTION("""COMPUTED_VALUE"""),"#VALUE!")</f>
        <v>#VALUE!</v>
      </c>
      <c r="J423" s="51" t="str">
        <f>IFERROR(__xludf.DUMMYFUNCTION("""COMPUTED_VALUE"""),"")</f>
        <v/>
      </c>
      <c r="K423" s="51"/>
      <c r="L423" s="51" t="s">
        <v>257</v>
      </c>
      <c r="M423" s="51"/>
      <c r="N423" s="51"/>
      <c r="O423" s="51"/>
      <c r="P423" s="51"/>
      <c r="Q423" s="51"/>
      <c r="R423" s="51"/>
      <c r="S423" s="51"/>
      <c r="T423" s="51"/>
    </row>
    <row r="424">
      <c r="A424" s="51"/>
      <c r="B424" s="51"/>
      <c r="C424" s="56"/>
      <c r="D424" s="51"/>
      <c r="E424" s="51"/>
      <c r="F424" s="51"/>
      <c r="G424" s="51" t="str">
        <f>IFERROR(__xludf.DUMMYFUNCTION("""COMPUTED_VALUE"""),"#VALUE!")</f>
        <v>#VALUE!</v>
      </c>
      <c r="H424" s="51" t="str">
        <f>IFERROR(__xludf.DUMMYFUNCTION("""COMPUTED_VALUE"""),"")</f>
        <v/>
      </c>
      <c r="I424" s="51" t="str">
        <f>IFERROR(__xludf.DUMMYFUNCTION("""COMPUTED_VALUE"""),"#VALUE!")</f>
        <v>#VALUE!</v>
      </c>
      <c r="J424" s="51" t="str">
        <f>IFERROR(__xludf.DUMMYFUNCTION("""COMPUTED_VALUE"""),"")</f>
        <v/>
      </c>
      <c r="K424" s="51"/>
      <c r="L424" s="51" t="s">
        <v>257</v>
      </c>
      <c r="M424" s="51"/>
      <c r="N424" s="51"/>
      <c r="O424" s="51"/>
      <c r="P424" s="51"/>
      <c r="Q424" s="51"/>
      <c r="R424" s="51"/>
      <c r="S424" s="51"/>
      <c r="T424" s="51"/>
    </row>
    <row r="425">
      <c r="A425" s="51"/>
      <c r="B425" s="51"/>
      <c r="C425" s="56"/>
      <c r="D425" s="51"/>
      <c r="E425" s="51"/>
      <c r="F425" s="51"/>
      <c r="G425" s="51" t="str">
        <f>IFERROR(__xludf.DUMMYFUNCTION("""COMPUTED_VALUE"""),"#VALUE!")</f>
        <v>#VALUE!</v>
      </c>
      <c r="H425" s="51" t="str">
        <f>IFERROR(__xludf.DUMMYFUNCTION("""COMPUTED_VALUE"""),"")</f>
        <v/>
      </c>
      <c r="I425" s="51" t="str">
        <f>IFERROR(__xludf.DUMMYFUNCTION("""COMPUTED_VALUE"""),"#VALUE!")</f>
        <v>#VALUE!</v>
      </c>
      <c r="J425" s="51" t="str">
        <f>IFERROR(__xludf.DUMMYFUNCTION("""COMPUTED_VALUE"""),"")</f>
        <v/>
      </c>
      <c r="K425" s="51"/>
      <c r="L425" s="51" t="s">
        <v>257</v>
      </c>
      <c r="M425" s="51"/>
      <c r="N425" s="51"/>
      <c r="O425" s="51"/>
      <c r="P425" s="51"/>
      <c r="Q425" s="51"/>
      <c r="R425" s="51"/>
      <c r="S425" s="51"/>
      <c r="T425" s="51"/>
    </row>
    <row r="426">
      <c r="A426" s="51"/>
      <c r="B426" s="51"/>
      <c r="C426" s="56"/>
      <c r="D426" s="51"/>
      <c r="E426" s="51"/>
      <c r="F426" s="51"/>
      <c r="G426" s="51" t="str">
        <f>IFERROR(__xludf.DUMMYFUNCTION("""COMPUTED_VALUE"""),"#VALUE!")</f>
        <v>#VALUE!</v>
      </c>
      <c r="H426" s="51" t="str">
        <f>IFERROR(__xludf.DUMMYFUNCTION("""COMPUTED_VALUE"""),"")</f>
        <v/>
      </c>
      <c r="I426" s="51" t="str">
        <f>IFERROR(__xludf.DUMMYFUNCTION("""COMPUTED_VALUE"""),"#VALUE!")</f>
        <v>#VALUE!</v>
      </c>
      <c r="J426" s="51" t="str">
        <f>IFERROR(__xludf.DUMMYFUNCTION("""COMPUTED_VALUE"""),"")</f>
        <v/>
      </c>
      <c r="K426" s="51"/>
      <c r="L426" s="51" t="s">
        <v>257</v>
      </c>
      <c r="M426" s="51"/>
      <c r="N426" s="51"/>
      <c r="O426" s="51"/>
      <c r="P426" s="51"/>
      <c r="Q426" s="51"/>
      <c r="R426" s="51"/>
      <c r="S426" s="51"/>
      <c r="T426" s="51"/>
    </row>
    <row r="427">
      <c r="A427" s="51"/>
      <c r="B427" s="51"/>
      <c r="C427" s="56"/>
      <c r="D427" s="51"/>
      <c r="E427" s="51"/>
      <c r="F427" s="51"/>
      <c r="G427" s="51" t="str">
        <f>IFERROR(__xludf.DUMMYFUNCTION("""COMPUTED_VALUE"""),"#VALUE!")</f>
        <v>#VALUE!</v>
      </c>
      <c r="H427" s="51" t="str">
        <f>IFERROR(__xludf.DUMMYFUNCTION("""COMPUTED_VALUE"""),"")</f>
        <v/>
      </c>
      <c r="I427" s="51" t="str">
        <f>IFERROR(__xludf.DUMMYFUNCTION("""COMPUTED_VALUE"""),"#VALUE!")</f>
        <v>#VALUE!</v>
      </c>
      <c r="J427" s="51" t="str">
        <f>IFERROR(__xludf.DUMMYFUNCTION("""COMPUTED_VALUE"""),"")</f>
        <v/>
      </c>
      <c r="K427" s="51"/>
      <c r="L427" s="51" t="s">
        <v>257</v>
      </c>
      <c r="M427" s="51"/>
      <c r="N427" s="51"/>
      <c r="O427" s="51"/>
      <c r="P427" s="51"/>
      <c r="Q427" s="51"/>
      <c r="R427" s="51"/>
      <c r="S427" s="51"/>
      <c r="T427" s="51"/>
    </row>
    <row r="428">
      <c r="A428" s="51"/>
      <c r="B428" s="51"/>
      <c r="C428" s="56"/>
      <c r="D428" s="51"/>
      <c r="E428" s="51"/>
      <c r="F428" s="51"/>
      <c r="G428" s="51" t="str">
        <f>IFERROR(__xludf.DUMMYFUNCTION("""COMPUTED_VALUE"""),"#VALUE!")</f>
        <v>#VALUE!</v>
      </c>
      <c r="H428" s="51" t="str">
        <f>IFERROR(__xludf.DUMMYFUNCTION("""COMPUTED_VALUE"""),"")</f>
        <v/>
      </c>
      <c r="I428" s="51" t="str">
        <f>IFERROR(__xludf.DUMMYFUNCTION("""COMPUTED_VALUE"""),"#VALUE!")</f>
        <v>#VALUE!</v>
      </c>
      <c r="J428" s="51" t="str">
        <f>IFERROR(__xludf.DUMMYFUNCTION("""COMPUTED_VALUE"""),"")</f>
        <v/>
      </c>
      <c r="K428" s="51"/>
      <c r="L428" s="51" t="s">
        <v>257</v>
      </c>
      <c r="M428" s="51"/>
      <c r="N428" s="51"/>
      <c r="O428" s="51"/>
      <c r="P428" s="51"/>
      <c r="Q428" s="51"/>
      <c r="R428" s="51"/>
      <c r="S428" s="51"/>
      <c r="T428" s="51"/>
    </row>
    <row r="429">
      <c r="A429" s="51"/>
      <c r="B429" s="51"/>
      <c r="C429" s="56"/>
      <c r="D429" s="51"/>
      <c r="E429" s="51"/>
      <c r="F429" s="51"/>
      <c r="G429" s="51" t="str">
        <f>IFERROR(__xludf.DUMMYFUNCTION("""COMPUTED_VALUE"""),"#VALUE!")</f>
        <v>#VALUE!</v>
      </c>
      <c r="H429" s="51" t="str">
        <f>IFERROR(__xludf.DUMMYFUNCTION("""COMPUTED_VALUE"""),"")</f>
        <v/>
      </c>
      <c r="I429" s="51" t="str">
        <f>IFERROR(__xludf.DUMMYFUNCTION("""COMPUTED_VALUE"""),"#VALUE!")</f>
        <v>#VALUE!</v>
      </c>
      <c r="J429" s="51" t="str">
        <f>IFERROR(__xludf.DUMMYFUNCTION("""COMPUTED_VALUE"""),"")</f>
        <v/>
      </c>
      <c r="K429" s="51"/>
      <c r="L429" s="51" t="s">
        <v>257</v>
      </c>
      <c r="M429" s="51"/>
      <c r="N429" s="51"/>
      <c r="O429" s="51"/>
      <c r="P429" s="51"/>
      <c r="Q429" s="51"/>
      <c r="R429" s="51"/>
      <c r="S429" s="51"/>
      <c r="T429" s="51"/>
    </row>
    <row r="430">
      <c r="A430" s="51"/>
      <c r="B430" s="51"/>
      <c r="C430" s="56"/>
      <c r="D430" s="51"/>
      <c r="E430" s="51"/>
      <c r="F430" s="51"/>
      <c r="G430" s="51" t="str">
        <f>IFERROR(__xludf.DUMMYFUNCTION("""COMPUTED_VALUE"""),"#VALUE!")</f>
        <v>#VALUE!</v>
      </c>
      <c r="H430" s="51" t="str">
        <f>IFERROR(__xludf.DUMMYFUNCTION("""COMPUTED_VALUE"""),"")</f>
        <v/>
      </c>
      <c r="I430" s="51" t="str">
        <f>IFERROR(__xludf.DUMMYFUNCTION("""COMPUTED_VALUE"""),"#VALUE!")</f>
        <v>#VALUE!</v>
      </c>
      <c r="J430" s="51" t="str">
        <f>IFERROR(__xludf.DUMMYFUNCTION("""COMPUTED_VALUE"""),"")</f>
        <v/>
      </c>
      <c r="K430" s="51"/>
      <c r="L430" s="51" t="s">
        <v>257</v>
      </c>
      <c r="M430" s="51"/>
      <c r="N430" s="51"/>
      <c r="O430" s="51"/>
      <c r="P430" s="51"/>
      <c r="Q430" s="51"/>
      <c r="R430" s="51"/>
      <c r="S430" s="51"/>
      <c r="T430" s="51"/>
    </row>
    <row r="431">
      <c r="A431" s="51"/>
      <c r="B431" s="51"/>
      <c r="C431" s="56"/>
      <c r="D431" s="51"/>
      <c r="E431" s="51"/>
      <c r="F431" s="51"/>
      <c r="G431" s="51" t="str">
        <f>IFERROR(__xludf.DUMMYFUNCTION("""COMPUTED_VALUE"""),"#VALUE!")</f>
        <v>#VALUE!</v>
      </c>
      <c r="H431" s="51" t="str">
        <f>IFERROR(__xludf.DUMMYFUNCTION("""COMPUTED_VALUE"""),"")</f>
        <v/>
      </c>
      <c r="I431" s="51" t="str">
        <f>IFERROR(__xludf.DUMMYFUNCTION("""COMPUTED_VALUE"""),"#VALUE!")</f>
        <v>#VALUE!</v>
      </c>
      <c r="J431" s="51" t="str">
        <f>IFERROR(__xludf.DUMMYFUNCTION("""COMPUTED_VALUE"""),"")</f>
        <v/>
      </c>
      <c r="K431" s="51"/>
      <c r="L431" s="51" t="s">
        <v>257</v>
      </c>
      <c r="M431" s="51"/>
      <c r="N431" s="51"/>
      <c r="O431" s="51"/>
      <c r="P431" s="51"/>
      <c r="Q431" s="51"/>
      <c r="R431" s="51"/>
      <c r="S431" s="51"/>
      <c r="T431" s="51"/>
    </row>
    <row r="432">
      <c r="A432" s="51"/>
      <c r="B432" s="51"/>
      <c r="C432" s="56"/>
      <c r="D432" s="51"/>
      <c r="E432" s="51"/>
      <c r="F432" s="51"/>
      <c r="G432" s="51" t="str">
        <f>IFERROR(__xludf.DUMMYFUNCTION("""COMPUTED_VALUE"""),"#VALUE!")</f>
        <v>#VALUE!</v>
      </c>
      <c r="H432" s="51" t="str">
        <f>IFERROR(__xludf.DUMMYFUNCTION("""COMPUTED_VALUE"""),"")</f>
        <v/>
      </c>
      <c r="I432" s="51" t="str">
        <f>IFERROR(__xludf.DUMMYFUNCTION("""COMPUTED_VALUE"""),"#VALUE!")</f>
        <v>#VALUE!</v>
      </c>
      <c r="J432" s="51" t="str">
        <f>IFERROR(__xludf.DUMMYFUNCTION("""COMPUTED_VALUE"""),"")</f>
        <v/>
      </c>
      <c r="K432" s="51"/>
      <c r="L432" s="51" t="s">
        <v>257</v>
      </c>
      <c r="M432" s="51"/>
      <c r="N432" s="51"/>
      <c r="O432" s="51"/>
      <c r="P432" s="51"/>
      <c r="Q432" s="51"/>
      <c r="R432" s="51"/>
      <c r="S432" s="51"/>
      <c r="T432" s="51"/>
    </row>
    <row r="433">
      <c r="A433" s="51"/>
      <c r="B433" s="51"/>
      <c r="C433" s="56"/>
      <c r="D433" s="51"/>
      <c r="E433" s="51"/>
      <c r="F433" s="51"/>
      <c r="G433" s="51" t="str">
        <f>IFERROR(__xludf.DUMMYFUNCTION("""COMPUTED_VALUE"""),"#VALUE!")</f>
        <v>#VALUE!</v>
      </c>
      <c r="H433" s="51" t="str">
        <f>IFERROR(__xludf.DUMMYFUNCTION("""COMPUTED_VALUE"""),"")</f>
        <v/>
      </c>
      <c r="I433" s="51" t="str">
        <f>IFERROR(__xludf.DUMMYFUNCTION("""COMPUTED_VALUE"""),"#VALUE!")</f>
        <v>#VALUE!</v>
      </c>
      <c r="J433" s="51" t="str">
        <f>IFERROR(__xludf.DUMMYFUNCTION("""COMPUTED_VALUE"""),"")</f>
        <v/>
      </c>
      <c r="K433" s="51"/>
      <c r="L433" s="51" t="s">
        <v>257</v>
      </c>
      <c r="M433" s="51"/>
      <c r="N433" s="51"/>
      <c r="O433" s="51"/>
      <c r="P433" s="51"/>
      <c r="Q433" s="51"/>
      <c r="R433" s="51"/>
      <c r="S433" s="51"/>
      <c r="T433" s="51"/>
    </row>
    <row r="434">
      <c r="A434" s="51"/>
      <c r="B434" s="51"/>
      <c r="C434" s="56"/>
      <c r="D434" s="51"/>
      <c r="E434" s="51"/>
      <c r="F434" s="51"/>
      <c r="G434" s="51" t="str">
        <f>IFERROR(__xludf.DUMMYFUNCTION("""COMPUTED_VALUE"""),"#VALUE!")</f>
        <v>#VALUE!</v>
      </c>
      <c r="H434" s="51" t="str">
        <f>IFERROR(__xludf.DUMMYFUNCTION("""COMPUTED_VALUE"""),"")</f>
        <v/>
      </c>
      <c r="I434" s="51" t="str">
        <f>IFERROR(__xludf.DUMMYFUNCTION("""COMPUTED_VALUE"""),"#VALUE!")</f>
        <v>#VALUE!</v>
      </c>
      <c r="J434" s="51" t="str">
        <f>IFERROR(__xludf.DUMMYFUNCTION("""COMPUTED_VALUE"""),"")</f>
        <v/>
      </c>
      <c r="K434" s="51"/>
      <c r="L434" s="51" t="s">
        <v>257</v>
      </c>
      <c r="M434" s="51"/>
      <c r="N434" s="51"/>
      <c r="O434" s="51"/>
      <c r="P434" s="51"/>
      <c r="Q434" s="51"/>
      <c r="R434" s="51"/>
      <c r="S434" s="51"/>
      <c r="T434" s="51"/>
    </row>
    <row r="435">
      <c r="A435" s="51"/>
      <c r="B435" s="51"/>
      <c r="C435" s="56"/>
      <c r="D435" s="51"/>
      <c r="E435" s="51"/>
      <c r="F435" s="51"/>
      <c r="G435" s="51" t="str">
        <f>IFERROR(__xludf.DUMMYFUNCTION("""COMPUTED_VALUE"""),"#VALUE!")</f>
        <v>#VALUE!</v>
      </c>
      <c r="H435" s="51" t="str">
        <f>IFERROR(__xludf.DUMMYFUNCTION("""COMPUTED_VALUE"""),"")</f>
        <v/>
      </c>
      <c r="I435" s="51" t="str">
        <f>IFERROR(__xludf.DUMMYFUNCTION("""COMPUTED_VALUE"""),"#VALUE!")</f>
        <v>#VALUE!</v>
      </c>
      <c r="J435" s="51" t="str">
        <f>IFERROR(__xludf.DUMMYFUNCTION("""COMPUTED_VALUE"""),"")</f>
        <v/>
      </c>
      <c r="K435" s="51"/>
      <c r="L435" s="51" t="s">
        <v>257</v>
      </c>
      <c r="M435" s="51"/>
      <c r="N435" s="51"/>
      <c r="O435" s="51"/>
      <c r="P435" s="51"/>
      <c r="Q435" s="51"/>
      <c r="R435" s="51"/>
      <c r="S435" s="51"/>
      <c r="T435" s="51"/>
    </row>
    <row r="436">
      <c r="A436" s="51"/>
      <c r="B436" s="51"/>
      <c r="C436" s="56"/>
      <c r="D436" s="51"/>
      <c r="E436" s="51"/>
      <c r="F436" s="51"/>
      <c r="G436" s="51" t="str">
        <f>IFERROR(__xludf.DUMMYFUNCTION("""COMPUTED_VALUE"""),"#VALUE!")</f>
        <v>#VALUE!</v>
      </c>
      <c r="H436" s="51" t="str">
        <f>IFERROR(__xludf.DUMMYFUNCTION("""COMPUTED_VALUE"""),"")</f>
        <v/>
      </c>
      <c r="I436" s="51" t="str">
        <f>IFERROR(__xludf.DUMMYFUNCTION("""COMPUTED_VALUE"""),"#VALUE!")</f>
        <v>#VALUE!</v>
      </c>
      <c r="J436" s="51" t="str">
        <f>IFERROR(__xludf.DUMMYFUNCTION("""COMPUTED_VALUE"""),"")</f>
        <v/>
      </c>
      <c r="K436" s="51"/>
      <c r="L436" s="51" t="s">
        <v>257</v>
      </c>
      <c r="M436" s="51"/>
      <c r="N436" s="51"/>
      <c r="O436" s="51"/>
      <c r="P436" s="51"/>
      <c r="Q436" s="51"/>
      <c r="R436" s="51"/>
      <c r="S436" s="51"/>
      <c r="T436" s="51"/>
    </row>
    <row r="437">
      <c r="A437" s="51"/>
      <c r="B437" s="51"/>
      <c r="C437" s="56"/>
      <c r="D437" s="51"/>
      <c r="E437" s="51"/>
      <c r="F437" s="51"/>
      <c r="G437" s="51" t="str">
        <f>IFERROR(__xludf.DUMMYFUNCTION("""COMPUTED_VALUE"""),"#VALUE!")</f>
        <v>#VALUE!</v>
      </c>
      <c r="H437" s="51" t="str">
        <f>IFERROR(__xludf.DUMMYFUNCTION("""COMPUTED_VALUE"""),"")</f>
        <v/>
      </c>
      <c r="I437" s="51" t="str">
        <f>IFERROR(__xludf.DUMMYFUNCTION("""COMPUTED_VALUE"""),"#VALUE!")</f>
        <v>#VALUE!</v>
      </c>
      <c r="J437" s="51" t="str">
        <f>IFERROR(__xludf.DUMMYFUNCTION("""COMPUTED_VALUE"""),"")</f>
        <v/>
      </c>
      <c r="K437" s="51"/>
      <c r="L437" s="51" t="s">
        <v>257</v>
      </c>
      <c r="M437" s="51"/>
      <c r="N437" s="51"/>
      <c r="O437" s="51"/>
      <c r="P437" s="51"/>
      <c r="Q437" s="51"/>
      <c r="R437" s="51"/>
      <c r="S437" s="51"/>
      <c r="T437" s="51"/>
    </row>
    <row r="438">
      <c r="A438" s="51"/>
      <c r="B438" s="51"/>
      <c r="C438" s="56"/>
      <c r="D438" s="51"/>
      <c r="E438" s="51"/>
      <c r="F438" s="51"/>
      <c r="G438" s="51" t="str">
        <f>IFERROR(__xludf.DUMMYFUNCTION("""COMPUTED_VALUE"""),"#VALUE!")</f>
        <v>#VALUE!</v>
      </c>
      <c r="H438" s="51" t="str">
        <f>IFERROR(__xludf.DUMMYFUNCTION("""COMPUTED_VALUE"""),"")</f>
        <v/>
      </c>
      <c r="I438" s="51" t="str">
        <f>IFERROR(__xludf.DUMMYFUNCTION("""COMPUTED_VALUE"""),"#VALUE!")</f>
        <v>#VALUE!</v>
      </c>
      <c r="J438" s="51" t="str">
        <f>IFERROR(__xludf.DUMMYFUNCTION("""COMPUTED_VALUE"""),"")</f>
        <v/>
      </c>
      <c r="K438" s="51"/>
      <c r="L438" s="51" t="s">
        <v>257</v>
      </c>
      <c r="M438" s="51"/>
      <c r="N438" s="51"/>
      <c r="O438" s="51"/>
      <c r="P438" s="51"/>
      <c r="Q438" s="51"/>
      <c r="R438" s="51"/>
      <c r="S438" s="51"/>
      <c r="T438" s="51"/>
    </row>
    <row r="439">
      <c r="A439" s="51"/>
      <c r="B439" s="51"/>
      <c r="C439" s="56"/>
      <c r="D439" s="51"/>
      <c r="E439" s="51"/>
      <c r="F439" s="51"/>
      <c r="G439" s="51" t="str">
        <f>IFERROR(__xludf.DUMMYFUNCTION("""COMPUTED_VALUE"""),"#VALUE!")</f>
        <v>#VALUE!</v>
      </c>
      <c r="H439" s="51" t="str">
        <f>IFERROR(__xludf.DUMMYFUNCTION("""COMPUTED_VALUE"""),"")</f>
        <v/>
      </c>
      <c r="I439" s="51" t="str">
        <f>IFERROR(__xludf.DUMMYFUNCTION("""COMPUTED_VALUE"""),"#VALUE!")</f>
        <v>#VALUE!</v>
      </c>
      <c r="J439" s="51" t="str">
        <f>IFERROR(__xludf.DUMMYFUNCTION("""COMPUTED_VALUE"""),"")</f>
        <v/>
      </c>
      <c r="K439" s="51"/>
      <c r="L439" s="51" t="s">
        <v>257</v>
      </c>
      <c r="M439" s="51"/>
      <c r="N439" s="51"/>
      <c r="O439" s="51"/>
      <c r="P439" s="51"/>
      <c r="Q439" s="51"/>
      <c r="R439" s="51"/>
      <c r="S439" s="51"/>
      <c r="T439" s="51"/>
    </row>
    <row r="440">
      <c r="A440" s="51"/>
      <c r="B440" s="51"/>
      <c r="C440" s="56"/>
      <c r="D440" s="51"/>
      <c r="E440" s="51"/>
      <c r="F440" s="51"/>
      <c r="G440" s="51" t="str">
        <f>IFERROR(__xludf.DUMMYFUNCTION("""COMPUTED_VALUE"""),"#VALUE!")</f>
        <v>#VALUE!</v>
      </c>
      <c r="H440" s="51" t="str">
        <f>IFERROR(__xludf.DUMMYFUNCTION("""COMPUTED_VALUE"""),"")</f>
        <v/>
      </c>
      <c r="I440" s="51" t="str">
        <f>IFERROR(__xludf.DUMMYFUNCTION("""COMPUTED_VALUE"""),"#VALUE!")</f>
        <v>#VALUE!</v>
      </c>
      <c r="J440" s="51" t="str">
        <f>IFERROR(__xludf.DUMMYFUNCTION("""COMPUTED_VALUE"""),"")</f>
        <v/>
      </c>
      <c r="K440" s="51"/>
      <c r="L440" s="51" t="s">
        <v>257</v>
      </c>
      <c r="M440" s="51"/>
      <c r="N440" s="51"/>
      <c r="O440" s="51"/>
      <c r="P440" s="51"/>
      <c r="Q440" s="51"/>
      <c r="R440" s="51"/>
      <c r="S440" s="51"/>
      <c r="T440" s="51"/>
    </row>
    <row r="441">
      <c r="A441" s="51"/>
      <c r="B441" s="51"/>
      <c r="C441" s="56"/>
      <c r="D441" s="51"/>
      <c r="E441" s="51"/>
      <c r="F441" s="51"/>
      <c r="G441" s="51" t="str">
        <f>IFERROR(__xludf.DUMMYFUNCTION("""COMPUTED_VALUE"""),"#VALUE!")</f>
        <v>#VALUE!</v>
      </c>
      <c r="H441" s="51" t="str">
        <f>IFERROR(__xludf.DUMMYFUNCTION("""COMPUTED_VALUE"""),"")</f>
        <v/>
      </c>
      <c r="I441" s="51" t="str">
        <f>IFERROR(__xludf.DUMMYFUNCTION("""COMPUTED_VALUE"""),"#VALUE!")</f>
        <v>#VALUE!</v>
      </c>
      <c r="J441" s="51" t="str">
        <f>IFERROR(__xludf.DUMMYFUNCTION("""COMPUTED_VALUE"""),"")</f>
        <v/>
      </c>
      <c r="K441" s="51"/>
      <c r="L441" s="51" t="s">
        <v>257</v>
      </c>
      <c r="M441" s="51"/>
      <c r="N441" s="51"/>
      <c r="O441" s="51"/>
      <c r="P441" s="51"/>
      <c r="Q441" s="51"/>
      <c r="R441" s="51"/>
      <c r="S441" s="51"/>
      <c r="T441" s="51"/>
    </row>
    <row r="442">
      <c r="A442" s="51"/>
      <c r="B442" s="51"/>
      <c r="C442" s="56"/>
      <c r="D442" s="51"/>
      <c r="E442" s="51"/>
      <c r="F442" s="51"/>
      <c r="G442" s="51" t="str">
        <f>IFERROR(__xludf.DUMMYFUNCTION("""COMPUTED_VALUE"""),"#VALUE!")</f>
        <v>#VALUE!</v>
      </c>
      <c r="H442" s="51" t="str">
        <f>IFERROR(__xludf.DUMMYFUNCTION("""COMPUTED_VALUE"""),"")</f>
        <v/>
      </c>
      <c r="I442" s="51" t="str">
        <f>IFERROR(__xludf.DUMMYFUNCTION("""COMPUTED_VALUE"""),"#VALUE!")</f>
        <v>#VALUE!</v>
      </c>
      <c r="J442" s="51" t="str">
        <f>IFERROR(__xludf.DUMMYFUNCTION("""COMPUTED_VALUE"""),"")</f>
        <v/>
      </c>
      <c r="K442" s="51"/>
      <c r="L442" s="51" t="s">
        <v>257</v>
      </c>
      <c r="M442" s="51"/>
      <c r="N442" s="51"/>
      <c r="O442" s="51"/>
      <c r="P442" s="51"/>
      <c r="Q442" s="51"/>
      <c r="R442" s="51"/>
      <c r="S442" s="51"/>
      <c r="T442" s="51"/>
    </row>
    <row r="443">
      <c r="A443" s="51"/>
      <c r="B443" s="51"/>
      <c r="C443" s="56"/>
      <c r="D443" s="51"/>
      <c r="E443" s="51"/>
      <c r="F443" s="51"/>
      <c r="G443" s="51" t="str">
        <f>IFERROR(__xludf.DUMMYFUNCTION("""COMPUTED_VALUE"""),"#VALUE!")</f>
        <v>#VALUE!</v>
      </c>
      <c r="H443" s="51" t="str">
        <f>IFERROR(__xludf.DUMMYFUNCTION("""COMPUTED_VALUE"""),"")</f>
        <v/>
      </c>
      <c r="I443" s="51" t="str">
        <f>IFERROR(__xludf.DUMMYFUNCTION("""COMPUTED_VALUE"""),"#VALUE!")</f>
        <v>#VALUE!</v>
      </c>
      <c r="J443" s="51" t="str">
        <f>IFERROR(__xludf.DUMMYFUNCTION("""COMPUTED_VALUE"""),"")</f>
        <v/>
      </c>
      <c r="K443" s="51"/>
      <c r="L443" s="51" t="s">
        <v>257</v>
      </c>
      <c r="M443" s="51"/>
      <c r="N443" s="51"/>
      <c r="O443" s="51"/>
      <c r="P443" s="51"/>
      <c r="Q443" s="51"/>
      <c r="R443" s="51"/>
      <c r="S443" s="51"/>
      <c r="T443" s="51"/>
    </row>
    <row r="444">
      <c r="A444" s="51"/>
      <c r="B444" s="51"/>
      <c r="C444" s="56"/>
      <c r="D444" s="51"/>
      <c r="E444" s="51"/>
      <c r="F444" s="51"/>
      <c r="G444" s="51" t="str">
        <f>IFERROR(__xludf.DUMMYFUNCTION("""COMPUTED_VALUE"""),"#VALUE!")</f>
        <v>#VALUE!</v>
      </c>
      <c r="H444" s="51" t="str">
        <f>IFERROR(__xludf.DUMMYFUNCTION("""COMPUTED_VALUE"""),"")</f>
        <v/>
      </c>
      <c r="I444" s="51" t="str">
        <f>IFERROR(__xludf.DUMMYFUNCTION("""COMPUTED_VALUE"""),"#VALUE!")</f>
        <v>#VALUE!</v>
      </c>
      <c r="J444" s="51" t="str">
        <f>IFERROR(__xludf.DUMMYFUNCTION("""COMPUTED_VALUE"""),"")</f>
        <v/>
      </c>
      <c r="K444" s="51"/>
      <c r="L444" s="51" t="s">
        <v>257</v>
      </c>
      <c r="M444" s="51"/>
      <c r="N444" s="51"/>
      <c r="O444" s="51"/>
      <c r="P444" s="51"/>
      <c r="Q444" s="51"/>
      <c r="R444" s="51"/>
      <c r="S444" s="51"/>
      <c r="T444" s="51"/>
    </row>
    <row r="445">
      <c r="A445" s="51"/>
      <c r="B445" s="51"/>
      <c r="C445" s="56"/>
      <c r="D445" s="51"/>
      <c r="E445" s="51"/>
      <c r="F445" s="51"/>
      <c r="G445" s="51" t="str">
        <f>IFERROR(__xludf.DUMMYFUNCTION("""COMPUTED_VALUE"""),"#VALUE!")</f>
        <v>#VALUE!</v>
      </c>
      <c r="H445" s="51" t="str">
        <f>IFERROR(__xludf.DUMMYFUNCTION("""COMPUTED_VALUE"""),"")</f>
        <v/>
      </c>
      <c r="I445" s="51" t="str">
        <f>IFERROR(__xludf.DUMMYFUNCTION("""COMPUTED_VALUE"""),"#VALUE!")</f>
        <v>#VALUE!</v>
      </c>
      <c r="J445" s="51" t="str">
        <f>IFERROR(__xludf.DUMMYFUNCTION("""COMPUTED_VALUE"""),"")</f>
        <v/>
      </c>
      <c r="K445" s="51"/>
      <c r="L445" s="51" t="s">
        <v>257</v>
      </c>
      <c r="M445" s="51"/>
      <c r="N445" s="51"/>
      <c r="O445" s="51"/>
      <c r="P445" s="51"/>
      <c r="Q445" s="51"/>
      <c r="R445" s="51"/>
      <c r="S445" s="51"/>
      <c r="T445" s="51"/>
    </row>
    <row r="446">
      <c r="A446" s="51"/>
      <c r="B446" s="51"/>
      <c r="C446" s="56"/>
      <c r="D446" s="51"/>
      <c r="E446" s="51"/>
      <c r="F446" s="51"/>
      <c r="G446" s="51" t="str">
        <f>IFERROR(__xludf.DUMMYFUNCTION("""COMPUTED_VALUE"""),"#VALUE!")</f>
        <v>#VALUE!</v>
      </c>
      <c r="H446" s="51" t="str">
        <f>IFERROR(__xludf.DUMMYFUNCTION("""COMPUTED_VALUE"""),"")</f>
        <v/>
      </c>
      <c r="I446" s="51" t="str">
        <f>IFERROR(__xludf.DUMMYFUNCTION("""COMPUTED_VALUE"""),"#VALUE!")</f>
        <v>#VALUE!</v>
      </c>
      <c r="J446" s="51" t="str">
        <f>IFERROR(__xludf.DUMMYFUNCTION("""COMPUTED_VALUE"""),"")</f>
        <v/>
      </c>
      <c r="K446" s="51"/>
      <c r="L446" s="51" t="s">
        <v>257</v>
      </c>
      <c r="M446" s="51"/>
      <c r="N446" s="51"/>
      <c r="O446" s="51"/>
      <c r="P446" s="51"/>
      <c r="Q446" s="51"/>
      <c r="R446" s="51"/>
      <c r="S446" s="51"/>
      <c r="T446" s="51"/>
    </row>
    <row r="447">
      <c r="A447" s="51"/>
      <c r="B447" s="51"/>
      <c r="C447" s="56"/>
      <c r="D447" s="51"/>
      <c r="E447" s="51"/>
      <c r="F447" s="51"/>
      <c r="G447" s="51" t="str">
        <f>IFERROR(__xludf.DUMMYFUNCTION("""COMPUTED_VALUE"""),"#VALUE!")</f>
        <v>#VALUE!</v>
      </c>
      <c r="H447" s="51" t="str">
        <f>IFERROR(__xludf.DUMMYFUNCTION("""COMPUTED_VALUE"""),"")</f>
        <v/>
      </c>
      <c r="I447" s="51" t="str">
        <f>IFERROR(__xludf.DUMMYFUNCTION("""COMPUTED_VALUE"""),"#VALUE!")</f>
        <v>#VALUE!</v>
      </c>
      <c r="J447" s="51" t="str">
        <f>IFERROR(__xludf.DUMMYFUNCTION("""COMPUTED_VALUE"""),"")</f>
        <v/>
      </c>
      <c r="K447" s="51"/>
      <c r="L447" s="51" t="s">
        <v>257</v>
      </c>
      <c r="M447" s="51"/>
      <c r="N447" s="51"/>
      <c r="O447" s="51"/>
      <c r="P447" s="51"/>
      <c r="Q447" s="51"/>
      <c r="R447" s="51"/>
      <c r="S447" s="51"/>
      <c r="T447" s="51"/>
    </row>
    <row r="448">
      <c r="A448" s="51"/>
      <c r="B448" s="51"/>
      <c r="C448" s="56"/>
      <c r="D448" s="51"/>
      <c r="E448" s="51"/>
      <c r="F448" s="51"/>
      <c r="G448" s="51" t="str">
        <f>IFERROR(__xludf.DUMMYFUNCTION("""COMPUTED_VALUE"""),"#VALUE!")</f>
        <v>#VALUE!</v>
      </c>
      <c r="H448" s="51" t="str">
        <f>IFERROR(__xludf.DUMMYFUNCTION("""COMPUTED_VALUE"""),"")</f>
        <v/>
      </c>
      <c r="I448" s="51" t="str">
        <f>IFERROR(__xludf.DUMMYFUNCTION("""COMPUTED_VALUE"""),"#VALUE!")</f>
        <v>#VALUE!</v>
      </c>
      <c r="J448" s="51" t="str">
        <f>IFERROR(__xludf.DUMMYFUNCTION("""COMPUTED_VALUE"""),"")</f>
        <v/>
      </c>
      <c r="K448" s="51"/>
      <c r="L448" s="51" t="s">
        <v>257</v>
      </c>
      <c r="M448" s="51"/>
      <c r="N448" s="51"/>
      <c r="O448" s="51"/>
      <c r="P448" s="51"/>
      <c r="Q448" s="51"/>
      <c r="R448" s="51"/>
      <c r="S448" s="51"/>
      <c r="T448" s="51"/>
    </row>
    <row r="449">
      <c r="A449" s="51"/>
      <c r="B449" s="51"/>
      <c r="C449" s="56"/>
      <c r="D449" s="51"/>
      <c r="E449" s="51"/>
      <c r="F449" s="51"/>
      <c r="G449" s="51" t="str">
        <f>IFERROR(__xludf.DUMMYFUNCTION("""COMPUTED_VALUE"""),"#VALUE!")</f>
        <v>#VALUE!</v>
      </c>
      <c r="H449" s="51" t="str">
        <f>IFERROR(__xludf.DUMMYFUNCTION("""COMPUTED_VALUE"""),"")</f>
        <v/>
      </c>
      <c r="I449" s="51" t="str">
        <f>IFERROR(__xludf.DUMMYFUNCTION("""COMPUTED_VALUE"""),"#VALUE!")</f>
        <v>#VALUE!</v>
      </c>
      <c r="J449" s="51" t="str">
        <f>IFERROR(__xludf.DUMMYFUNCTION("""COMPUTED_VALUE"""),"")</f>
        <v/>
      </c>
      <c r="K449" s="51"/>
      <c r="L449" s="51" t="s">
        <v>257</v>
      </c>
      <c r="M449" s="51"/>
      <c r="N449" s="51"/>
      <c r="O449" s="51"/>
      <c r="P449" s="51"/>
      <c r="Q449" s="51"/>
      <c r="R449" s="51"/>
      <c r="S449" s="51"/>
      <c r="T449" s="51"/>
    </row>
    <row r="450">
      <c r="A450" s="51"/>
      <c r="B450" s="51"/>
      <c r="C450" s="56"/>
      <c r="D450" s="51"/>
      <c r="E450" s="51"/>
      <c r="F450" s="51"/>
      <c r="G450" s="51" t="str">
        <f>IFERROR(__xludf.DUMMYFUNCTION("""COMPUTED_VALUE"""),"#VALUE!")</f>
        <v>#VALUE!</v>
      </c>
      <c r="H450" s="51" t="str">
        <f>IFERROR(__xludf.DUMMYFUNCTION("""COMPUTED_VALUE"""),"")</f>
        <v/>
      </c>
      <c r="I450" s="51" t="str">
        <f>IFERROR(__xludf.DUMMYFUNCTION("""COMPUTED_VALUE"""),"#VALUE!")</f>
        <v>#VALUE!</v>
      </c>
      <c r="J450" s="51" t="str">
        <f>IFERROR(__xludf.DUMMYFUNCTION("""COMPUTED_VALUE"""),"")</f>
        <v/>
      </c>
      <c r="K450" s="51"/>
      <c r="L450" s="51" t="s">
        <v>257</v>
      </c>
      <c r="M450" s="51"/>
      <c r="N450" s="51"/>
      <c r="O450" s="51"/>
      <c r="P450" s="51"/>
      <c r="Q450" s="51"/>
      <c r="R450" s="51"/>
      <c r="S450" s="51"/>
      <c r="T450" s="51"/>
    </row>
    <row r="451">
      <c r="A451" s="51"/>
      <c r="B451" s="51"/>
      <c r="C451" s="56"/>
      <c r="D451" s="51"/>
      <c r="E451" s="51"/>
      <c r="F451" s="51"/>
      <c r="G451" s="51" t="str">
        <f>IFERROR(__xludf.DUMMYFUNCTION("""COMPUTED_VALUE"""),"#VALUE!")</f>
        <v>#VALUE!</v>
      </c>
      <c r="H451" s="51" t="str">
        <f>IFERROR(__xludf.DUMMYFUNCTION("""COMPUTED_VALUE"""),"")</f>
        <v/>
      </c>
      <c r="I451" s="51" t="str">
        <f>IFERROR(__xludf.DUMMYFUNCTION("""COMPUTED_VALUE"""),"#VALUE!")</f>
        <v>#VALUE!</v>
      </c>
      <c r="J451" s="51" t="str">
        <f>IFERROR(__xludf.DUMMYFUNCTION("""COMPUTED_VALUE"""),"")</f>
        <v/>
      </c>
      <c r="K451" s="51"/>
      <c r="L451" s="51" t="s">
        <v>257</v>
      </c>
      <c r="M451" s="51"/>
      <c r="N451" s="51"/>
      <c r="O451" s="51"/>
      <c r="P451" s="51"/>
      <c r="Q451" s="51"/>
      <c r="R451" s="51"/>
      <c r="S451" s="51"/>
      <c r="T451" s="51"/>
    </row>
    <row r="452">
      <c r="A452" s="51"/>
      <c r="B452" s="51"/>
      <c r="C452" s="56"/>
      <c r="D452" s="51"/>
      <c r="E452" s="51"/>
      <c r="F452" s="51"/>
      <c r="G452" s="51" t="str">
        <f>IFERROR(__xludf.DUMMYFUNCTION("""COMPUTED_VALUE"""),"#VALUE!")</f>
        <v>#VALUE!</v>
      </c>
      <c r="H452" s="51" t="str">
        <f>IFERROR(__xludf.DUMMYFUNCTION("""COMPUTED_VALUE"""),"")</f>
        <v/>
      </c>
      <c r="I452" s="51" t="str">
        <f>IFERROR(__xludf.DUMMYFUNCTION("""COMPUTED_VALUE"""),"#VALUE!")</f>
        <v>#VALUE!</v>
      </c>
      <c r="J452" s="51" t="str">
        <f>IFERROR(__xludf.DUMMYFUNCTION("""COMPUTED_VALUE"""),"")</f>
        <v/>
      </c>
      <c r="K452" s="51"/>
      <c r="L452" s="51" t="s">
        <v>257</v>
      </c>
      <c r="M452" s="51"/>
      <c r="N452" s="51"/>
      <c r="O452" s="51"/>
      <c r="P452" s="51"/>
      <c r="Q452" s="51"/>
      <c r="R452" s="51"/>
      <c r="S452" s="51"/>
      <c r="T452" s="51"/>
    </row>
    <row r="453">
      <c r="A453" s="51"/>
      <c r="B453" s="51"/>
      <c r="C453" s="56"/>
      <c r="D453" s="51"/>
      <c r="E453" s="51"/>
      <c r="F453" s="51"/>
      <c r="G453" s="51" t="str">
        <f>IFERROR(__xludf.DUMMYFUNCTION("""COMPUTED_VALUE"""),"#VALUE!")</f>
        <v>#VALUE!</v>
      </c>
      <c r="H453" s="51" t="str">
        <f>IFERROR(__xludf.DUMMYFUNCTION("""COMPUTED_VALUE"""),"")</f>
        <v/>
      </c>
      <c r="I453" s="51" t="str">
        <f>IFERROR(__xludf.DUMMYFUNCTION("""COMPUTED_VALUE"""),"#VALUE!")</f>
        <v>#VALUE!</v>
      </c>
      <c r="J453" s="51" t="str">
        <f>IFERROR(__xludf.DUMMYFUNCTION("""COMPUTED_VALUE"""),"")</f>
        <v/>
      </c>
      <c r="K453" s="51"/>
      <c r="L453" s="51" t="s">
        <v>257</v>
      </c>
      <c r="M453" s="51"/>
      <c r="N453" s="51"/>
      <c r="O453" s="51"/>
      <c r="P453" s="51"/>
      <c r="Q453" s="51"/>
      <c r="R453" s="51"/>
      <c r="S453" s="51"/>
      <c r="T453" s="51"/>
    </row>
    <row r="454">
      <c r="A454" s="51"/>
      <c r="B454" s="51"/>
      <c r="C454" s="56"/>
      <c r="D454" s="51"/>
      <c r="E454" s="51"/>
      <c r="F454" s="51"/>
      <c r="G454" s="51" t="str">
        <f>IFERROR(__xludf.DUMMYFUNCTION("""COMPUTED_VALUE"""),"#VALUE!")</f>
        <v>#VALUE!</v>
      </c>
      <c r="H454" s="51" t="str">
        <f>IFERROR(__xludf.DUMMYFUNCTION("""COMPUTED_VALUE"""),"")</f>
        <v/>
      </c>
      <c r="I454" s="51" t="str">
        <f>IFERROR(__xludf.DUMMYFUNCTION("""COMPUTED_VALUE"""),"#VALUE!")</f>
        <v>#VALUE!</v>
      </c>
      <c r="J454" s="51" t="str">
        <f>IFERROR(__xludf.DUMMYFUNCTION("""COMPUTED_VALUE"""),"")</f>
        <v/>
      </c>
      <c r="K454" s="51"/>
      <c r="L454" s="51" t="s">
        <v>257</v>
      </c>
      <c r="M454" s="51"/>
      <c r="N454" s="51"/>
      <c r="O454" s="51"/>
      <c r="P454" s="51"/>
      <c r="Q454" s="51"/>
      <c r="R454" s="51"/>
      <c r="S454" s="51"/>
      <c r="T454" s="51"/>
    </row>
    <row r="455">
      <c r="A455" s="51"/>
      <c r="B455" s="51"/>
      <c r="C455" s="56"/>
      <c r="D455" s="51"/>
      <c r="E455" s="51"/>
      <c r="F455" s="51"/>
      <c r="G455" s="51" t="str">
        <f>IFERROR(__xludf.DUMMYFUNCTION("""COMPUTED_VALUE"""),"#VALUE!")</f>
        <v>#VALUE!</v>
      </c>
      <c r="H455" s="51" t="str">
        <f>IFERROR(__xludf.DUMMYFUNCTION("""COMPUTED_VALUE"""),"")</f>
        <v/>
      </c>
      <c r="I455" s="51" t="str">
        <f>IFERROR(__xludf.DUMMYFUNCTION("""COMPUTED_VALUE"""),"#VALUE!")</f>
        <v>#VALUE!</v>
      </c>
      <c r="J455" s="51" t="str">
        <f>IFERROR(__xludf.DUMMYFUNCTION("""COMPUTED_VALUE"""),"")</f>
        <v/>
      </c>
      <c r="K455" s="51"/>
      <c r="L455" s="51" t="s">
        <v>257</v>
      </c>
      <c r="M455" s="51"/>
      <c r="N455" s="51"/>
      <c r="O455" s="51"/>
      <c r="P455" s="51"/>
      <c r="Q455" s="51"/>
      <c r="R455" s="51"/>
      <c r="S455" s="51"/>
      <c r="T455" s="51"/>
    </row>
    <row r="456">
      <c r="A456" s="51"/>
      <c r="B456" s="51"/>
      <c r="C456" s="56"/>
      <c r="D456" s="51"/>
      <c r="E456" s="51"/>
      <c r="F456" s="51"/>
      <c r="G456" s="51" t="str">
        <f>IFERROR(__xludf.DUMMYFUNCTION("""COMPUTED_VALUE"""),"#VALUE!")</f>
        <v>#VALUE!</v>
      </c>
      <c r="H456" s="51" t="str">
        <f>IFERROR(__xludf.DUMMYFUNCTION("""COMPUTED_VALUE"""),"")</f>
        <v/>
      </c>
      <c r="I456" s="51" t="str">
        <f>IFERROR(__xludf.DUMMYFUNCTION("""COMPUTED_VALUE"""),"#VALUE!")</f>
        <v>#VALUE!</v>
      </c>
      <c r="J456" s="51" t="str">
        <f>IFERROR(__xludf.DUMMYFUNCTION("""COMPUTED_VALUE"""),"")</f>
        <v/>
      </c>
      <c r="K456" s="51"/>
      <c r="L456" s="51" t="s">
        <v>257</v>
      </c>
      <c r="M456" s="51"/>
      <c r="N456" s="51"/>
      <c r="O456" s="51"/>
      <c r="P456" s="51"/>
      <c r="Q456" s="51"/>
      <c r="R456" s="51"/>
      <c r="S456" s="51"/>
      <c r="T456" s="51"/>
    </row>
    <row r="457">
      <c r="A457" s="51"/>
      <c r="B457" s="51"/>
      <c r="C457" s="56"/>
      <c r="D457" s="51"/>
      <c r="E457" s="51"/>
      <c r="F457" s="51"/>
      <c r="G457" s="51" t="str">
        <f>IFERROR(__xludf.DUMMYFUNCTION("""COMPUTED_VALUE"""),"#VALUE!")</f>
        <v>#VALUE!</v>
      </c>
      <c r="H457" s="51" t="str">
        <f>IFERROR(__xludf.DUMMYFUNCTION("""COMPUTED_VALUE"""),"")</f>
        <v/>
      </c>
      <c r="I457" s="51" t="str">
        <f>IFERROR(__xludf.DUMMYFUNCTION("""COMPUTED_VALUE"""),"#VALUE!")</f>
        <v>#VALUE!</v>
      </c>
      <c r="J457" s="51" t="str">
        <f>IFERROR(__xludf.DUMMYFUNCTION("""COMPUTED_VALUE"""),"")</f>
        <v/>
      </c>
      <c r="K457" s="51"/>
      <c r="L457" s="51" t="s">
        <v>257</v>
      </c>
      <c r="M457" s="51"/>
      <c r="N457" s="51"/>
      <c r="O457" s="51"/>
      <c r="P457" s="51"/>
      <c r="Q457" s="51"/>
      <c r="R457" s="51"/>
      <c r="S457" s="51"/>
      <c r="T457" s="51"/>
    </row>
    <row r="458">
      <c r="A458" s="51"/>
      <c r="B458" s="51"/>
      <c r="C458" s="56"/>
      <c r="D458" s="51"/>
      <c r="E458" s="51"/>
      <c r="F458" s="51"/>
      <c r="G458" s="51" t="str">
        <f>IFERROR(__xludf.DUMMYFUNCTION("""COMPUTED_VALUE"""),"#VALUE!")</f>
        <v>#VALUE!</v>
      </c>
      <c r="H458" s="51" t="str">
        <f>IFERROR(__xludf.DUMMYFUNCTION("""COMPUTED_VALUE"""),"")</f>
        <v/>
      </c>
      <c r="I458" s="51" t="str">
        <f>IFERROR(__xludf.DUMMYFUNCTION("""COMPUTED_VALUE"""),"#VALUE!")</f>
        <v>#VALUE!</v>
      </c>
      <c r="J458" s="51" t="str">
        <f>IFERROR(__xludf.DUMMYFUNCTION("""COMPUTED_VALUE"""),"")</f>
        <v/>
      </c>
      <c r="K458" s="51"/>
      <c r="L458" s="51" t="s">
        <v>257</v>
      </c>
      <c r="M458" s="51"/>
      <c r="N458" s="51"/>
      <c r="O458" s="51"/>
      <c r="P458" s="51"/>
      <c r="Q458" s="51"/>
      <c r="R458" s="51"/>
      <c r="S458" s="51"/>
      <c r="T458" s="51"/>
    </row>
    <row r="459">
      <c r="A459" s="51"/>
      <c r="B459" s="51"/>
      <c r="C459" s="56"/>
      <c r="D459" s="51"/>
      <c r="E459" s="51"/>
      <c r="F459" s="51"/>
      <c r="G459" s="51" t="str">
        <f>IFERROR(__xludf.DUMMYFUNCTION("""COMPUTED_VALUE"""),"#VALUE!")</f>
        <v>#VALUE!</v>
      </c>
      <c r="H459" s="51" t="str">
        <f>IFERROR(__xludf.DUMMYFUNCTION("""COMPUTED_VALUE"""),"")</f>
        <v/>
      </c>
      <c r="I459" s="51" t="str">
        <f>IFERROR(__xludf.DUMMYFUNCTION("""COMPUTED_VALUE"""),"#VALUE!")</f>
        <v>#VALUE!</v>
      </c>
      <c r="J459" s="51" t="str">
        <f>IFERROR(__xludf.DUMMYFUNCTION("""COMPUTED_VALUE"""),"")</f>
        <v/>
      </c>
      <c r="K459" s="51"/>
      <c r="L459" s="51" t="s">
        <v>257</v>
      </c>
      <c r="M459" s="51"/>
      <c r="N459" s="51"/>
      <c r="O459" s="51"/>
      <c r="P459" s="51"/>
      <c r="Q459" s="51"/>
      <c r="R459" s="51"/>
      <c r="S459" s="51"/>
      <c r="T459" s="51"/>
    </row>
    <row r="460">
      <c r="A460" s="51"/>
      <c r="B460" s="51"/>
      <c r="C460" s="56"/>
      <c r="D460" s="51"/>
      <c r="E460" s="51"/>
      <c r="F460" s="51"/>
      <c r="G460" s="51" t="str">
        <f>IFERROR(__xludf.DUMMYFUNCTION("""COMPUTED_VALUE"""),"#VALUE!")</f>
        <v>#VALUE!</v>
      </c>
      <c r="H460" s="51" t="str">
        <f>IFERROR(__xludf.DUMMYFUNCTION("""COMPUTED_VALUE"""),"")</f>
        <v/>
      </c>
      <c r="I460" s="51" t="str">
        <f>IFERROR(__xludf.DUMMYFUNCTION("""COMPUTED_VALUE"""),"#VALUE!")</f>
        <v>#VALUE!</v>
      </c>
      <c r="J460" s="51" t="str">
        <f>IFERROR(__xludf.DUMMYFUNCTION("""COMPUTED_VALUE"""),"")</f>
        <v/>
      </c>
      <c r="K460" s="51"/>
      <c r="L460" s="51" t="s">
        <v>257</v>
      </c>
      <c r="M460" s="51"/>
      <c r="N460" s="51"/>
      <c r="O460" s="51"/>
      <c r="P460" s="51"/>
      <c r="Q460" s="51"/>
      <c r="R460" s="51"/>
      <c r="S460" s="51"/>
      <c r="T460" s="51"/>
    </row>
    <row r="461">
      <c r="A461" s="51"/>
      <c r="B461" s="51"/>
      <c r="C461" s="56"/>
      <c r="D461" s="51"/>
      <c r="E461" s="51"/>
      <c r="F461" s="51"/>
      <c r="G461" s="51" t="str">
        <f>IFERROR(__xludf.DUMMYFUNCTION("""COMPUTED_VALUE"""),"#VALUE!")</f>
        <v>#VALUE!</v>
      </c>
      <c r="H461" s="51" t="str">
        <f>IFERROR(__xludf.DUMMYFUNCTION("""COMPUTED_VALUE"""),"")</f>
        <v/>
      </c>
      <c r="I461" s="51" t="str">
        <f>IFERROR(__xludf.DUMMYFUNCTION("""COMPUTED_VALUE"""),"#VALUE!")</f>
        <v>#VALUE!</v>
      </c>
      <c r="J461" s="51" t="str">
        <f>IFERROR(__xludf.DUMMYFUNCTION("""COMPUTED_VALUE"""),"")</f>
        <v/>
      </c>
      <c r="K461" s="51"/>
      <c r="L461" s="51" t="s">
        <v>257</v>
      </c>
      <c r="M461" s="51"/>
      <c r="N461" s="51"/>
      <c r="O461" s="51"/>
      <c r="P461" s="51"/>
      <c r="Q461" s="51"/>
      <c r="R461" s="51"/>
      <c r="S461" s="51"/>
      <c r="T461" s="51"/>
    </row>
    <row r="462">
      <c r="A462" s="51"/>
      <c r="B462" s="51"/>
      <c r="C462" s="56"/>
      <c r="D462" s="51"/>
      <c r="E462" s="51"/>
      <c r="F462" s="51"/>
      <c r="G462" s="51" t="str">
        <f>IFERROR(__xludf.DUMMYFUNCTION("""COMPUTED_VALUE"""),"#VALUE!")</f>
        <v>#VALUE!</v>
      </c>
      <c r="H462" s="51" t="str">
        <f>IFERROR(__xludf.DUMMYFUNCTION("""COMPUTED_VALUE"""),"")</f>
        <v/>
      </c>
      <c r="I462" s="51" t="str">
        <f>IFERROR(__xludf.DUMMYFUNCTION("""COMPUTED_VALUE"""),"#VALUE!")</f>
        <v>#VALUE!</v>
      </c>
      <c r="J462" s="51" t="str">
        <f>IFERROR(__xludf.DUMMYFUNCTION("""COMPUTED_VALUE"""),"")</f>
        <v/>
      </c>
      <c r="K462" s="51"/>
      <c r="L462" s="51" t="s">
        <v>257</v>
      </c>
      <c r="M462" s="51"/>
      <c r="N462" s="51"/>
      <c r="O462" s="51"/>
      <c r="P462" s="51"/>
      <c r="Q462" s="51"/>
      <c r="R462" s="51"/>
      <c r="S462" s="51"/>
      <c r="T462" s="51"/>
    </row>
    <row r="463">
      <c r="A463" s="51"/>
      <c r="B463" s="51"/>
      <c r="C463" s="56"/>
      <c r="D463" s="51"/>
      <c r="E463" s="51"/>
      <c r="F463" s="51"/>
      <c r="G463" s="51" t="str">
        <f>IFERROR(__xludf.DUMMYFUNCTION("""COMPUTED_VALUE"""),"#VALUE!")</f>
        <v>#VALUE!</v>
      </c>
      <c r="H463" s="51" t="str">
        <f>IFERROR(__xludf.DUMMYFUNCTION("""COMPUTED_VALUE"""),"")</f>
        <v/>
      </c>
      <c r="I463" s="51" t="str">
        <f>IFERROR(__xludf.DUMMYFUNCTION("""COMPUTED_VALUE"""),"#VALUE!")</f>
        <v>#VALUE!</v>
      </c>
      <c r="J463" s="51" t="str">
        <f>IFERROR(__xludf.DUMMYFUNCTION("""COMPUTED_VALUE"""),"")</f>
        <v/>
      </c>
      <c r="K463" s="51"/>
      <c r="L463" s="51" t="s">
        <v>257</v>
      </c>
      <c r="M463" s="51"/>
      <c r="N463" s="51"/>
      <c r="O463" s="51"/>
      <c r="P463" s="51"/>
      <c r="Q463" s="51"/>
      <c r="R463" s="51"/>
      <c r="S463" s="51"/>
      <c r="T463" s="51"/>
    </row>
    <row r="464">
      <c r="A464" s="51"/>
      <c r="B464" s="51"/>
      <c r="C464" s="56"/>
      <c r="D464" s="51"/>
      <c r="E464" s="51"/>
      <c r="F464" s="51"/>
      <c r="G464" s="51" t="str">
        <f>IFERROR(__xludf.DUMMYFUNCTION("""COMPUTED_VALUE"""),"#VALUE!")</f>
        <v>#VALUE!</v>
      </c>
      <c r="H464" s="51" t="str">
        <f>IFERROR(__xludf.DUMMYFUNCTION("""COMPUTED_VALUE"""),"")</f>
        <v/>
      </c>
      <c r="I464" s="51" t="str">
        <f>IFERROR(__xludf.DUMMYFUNCTION("""COMPUTED_VALUE"""),"#VALUE!")</f>
        <v>#VALUE!</v>
      </c>
      <c r="J464" s="51" t="str">
        <f>IFERROR(__xludf.DUMMYFUNCTION("""COMPUTED_VALUE"""),"")</f>
        <v/>
      </c>
      <c r="K464" s="51"/>
      <c r="L464" s="51" t="s">
        <v>257</v>
      </c>
      <c r="M464" s="51"/>
      <c r="N464" s="51"/>
      <c r="O464" s="51"/>
      <c r="P464" s="51"/>
      <c r="Q464" s="51"/>
      <c r="R464" s="51"/>
      <c r="S464" s="51"/>
      <c r="T464" s="51"/>
    </row>
    <row r="465">
      <c r="A465" s="51"/>
      <c r="B465" s="51"/>
      <c r="C465" s="56"/>
      <c r="D465" s="51"/>
      <c r="E465" s="51"/>
      <c r="F465" s="51"/>
      <c r="G465" s="51" t="str">
        <f>IFERROR(__xludf.DUMMYFUNCTION("""COMPUTED_VALUE"""),"#VALUE!")</f>
        <v>#VALUE!</v>
      </c>
      <c r="H465" s="51" t="str">
        <f>IFERROR(__xludf.DUMMYFUNCTION("""COMPUTED_VALUE"""),"")</f>
        <v/>
      </c>
      <c r="I465" s="51" t="str">
        <f>IFERROR(__xludf.DUMMYFUNCTION("""COMPUTED_VALUE"""),"#VALUE!")</f>
        <v>#VALUE!</v>
      </c>
      <c r="J465" s="51" t="str">
        <f>IFERROR(__xludf.DUMMYFUNCTION("""COMPUTED_VALUE"""),"")</f>
        <v/>
      </c>
      <c r="K465" s="51"/>
      <c r="L465" s="51" t="s">
        <v>257</v>
      </c>
      <c r="M465" s="51"/>
      <c r="N465" s="51"/>
      <c r="O465" s="51"/>
      <c r="P465" s="51"/>
      <c r="Q465" s="51"/>
      <c r="R465" s="51"/>
      <c r="S465" s="51"/>
      <c r="T465" s="51"/>
    </row>
    <row r="466">
      <c r="A466" s="51"/>
      <c r="B466" s="51"/>
      <c r="C466" s="56"/>
      <c r="D466" s="51"/>
      <c r="E466" s="51"/>
      <c r="F466" s="51"/>
      <c r="G466" s="51" t="str">
        <f>IFERROR(__xludf.DUMMYFUNCTION("""COMPUTED_VALUE"""),"#VALUE!")</f>
        <v>#VALUE!</v>
      </c>
      <c r="H466" s="51" t="str">
        <f>IFERROR(__xludf.DUMMYFUNCTION("""COMPUTED_VALUE"""),"")</f>
        <v/>
      </c>
      <c r="I466" s="51" t="str">
        <f>IFERROR(__xludf.DUMMYFUNCTION("""COMPUTED_VALUE"""),"#VALUE!")</f>
        <v>#VALUE!</v>
      </c>
      <c r="J466" s="51" t="str">
        <f>IFERROR(__xludf.DUMMYFUNCTION("""COMPUTED_VALUE"""),"")</f>
        <v/>
      </c>
      <c r="K466" s="51"/>
      <c r="L466" s="51" t="s">
        <v>257</v>
      </c>
      <c r="M466" s="51"/>
      <c r="N466" s="51"/>
      <c r="O466" s="51"/>
      <c r="P466" s="51"/>
      <c r="Q466" s="51"/>
      <c r="R466" s="51"/>
      <c r="S466" s="51"/>
      <c r="T466" s="51"/>
    </row>
    <row r="467">
      <c r="A467" s="51"/>
      <c r="B467" s="51"/>
      <c r="C467" s="56"/>
      <c r="D467" s="51"/>
      <c r="E467" s="51"/>
      <c r="F467" s="51"/>
      <c r="G467" s="51" t="str">
        <f>IFERROR(__xludf.DUMMYFUNCTION("""COMPUTED_VALUE"""),"#VALUE!")</f>
        <v>#VALUE!</v>
      </c>
      <c r="H467" s="51" t="str">
        <f>IFERROR(__xludf.DUMMYFUNCTION("""COMPUTED_VALUE"""),"")</f>
        <v/>
      </c>
      <c r="I467" s="51" t="str">
        <f>IFERROR(__xludf.DUMMYFUNCTION("""COMPUTED_VALUE"""),"#VALUE!")</f>
        <v>#VALUE!</v>
      </c>
      <c r="J467" s="51" t="str">
        <f>IFERROR(__xludf.DUMMYFUNCTION("""COMPUTED_VALUE"""),"")</f>
        <v/>
      </c>
      <c r="K467" s="51"/>
      <c r="L467" s="51" t="s">
        <v>257</v>
      </c>
      <c r="M467" s="51"/>
      <c r="N467" s="51"/>
      <c r="O467" s="51"/>
      <c r="P467" s="51"/>
      <c r="Q467" s="51"/>
      <c r="R467" s="51"/>
      <c r="S467" s="51"/>
      <c r="T467" s="51"/>
    </row>
    <row r="468">
      <c r="A468" s="51"/>
      <c r="B468" s="51"/>
      <c r="C468" s="56"/>
      <c r="D468" s="51"/>
      <c r="E468" s="51"/>
      <c r="F468" s="51"/>
      <c r="G468" s="51" t="str">
        <f>IFERROR(__xludf.DUMMYFUNCTION("""COMPUTED_VALUE"""),"#VALUE!")</f>
        <v>#VALUE!</v>
      </c>
      <c r="H468" s="51" t="str">
        <f>IFERROR(__xludf.DUMMYFUNCTION("""COMPUTED_VALUE"""),"")</f>
        <v/>
      </c>
      <c r="I468" s="51" t="str">
        <f>IFERROR(__xludf.DUMMYFUNCTION("""COMPUTED_VALUE"""),"#VALUE!")</f>
        <v>#VALUE!</v>
      </c>
      <c r="J468" s="51" t="str">
        <f>IFERROR(__xludf.DUMMYFUNCTION("""COMPUTED_VALUE"""),"")</f>
        <v/>
      </c>
      <c r="K468" s="51"/>
      <c r="L468" s="51" t="s">
        <v>257</v>
      </c>
      <c r="M468" s="51"/>
      <c r="N468" s="51"/>
      <c r="O468" s="51"/>
      <c r="P468" s="51"/>
      <c r="Q468" s="51"/>
      <c r="R468" s="51"/>
      <c r="S468" s="51"/>
      <c r="T468" s="51"/>
    </row>
    <row r="469">
      <c r="A469" s="51"/>
      <c r="B469" s="51"/>
      <c r="C469" s="56"/>
      <c r="D469" s="51"/>
      <c r="E469" s="51"/>
      <c r="F469" s="51"/>
      <c r="G469" s="51" t="str">
        <f>IFERROR(__xludf.DUMMYFUNCTION("""COMPUTED_VALUE"""),"#VALUE!")</f>
        <v>#VALUE!</v>
      </c>
      <c r="H469" s="51" t="str">
        <f>IFERROR(__xludf.DUMMYFUNCTION("""COMPUTED_VALUE"""),"")</f>
        <v/>
      </c>
      <c r="I469" s="51" t="str">
        <f>IFERROR(__xludf.DUMMYFUNCTION("""COMPUTED_VALUE"""),"#VALUE!")</f>
        <v>#VALUE!</v>
      </c>
      <c r="J469" s="51" t="str">
        <f>IFERROR(__xludf.DUMMYFUNCTION("""COMPUTED_VALUE"""),"")</f>
        <v/>
      </c>
      <c r="K469" s="51"/>
      <c r="L469" s="51" t="s">
        <v>257</v>
      </c>
      <c r="M469" s="51"/>
      <c r="N469" s="51"/>
      <c r="O469" s="51"/>
      <c r="P469" s="51"/>
      <c r="Q469" s="51"/>
      <c r="R469" s="51"/>
      <c r="S469" s="51"/>
      <c r="T469" s="51"/>
    </row>
    <row r="470">
      <c r="A470" s="51"/>
      <c r="B470" s="51"/>
      <c r="C470" s="56"/>
      <c r="D470" s="51"/>
      <c r="E470" s="51"/>
      <c r="F470" s="51"/>
      <c r="G470" s="51" t="str">
        <f>IFERROR(__xludf.DUMMYFUNCTION("""COMPUTED_VALUE"""),"#VALUE!")</f>
        <v>#VALUE!</v>
      </c>
      <c r="H470" s="51" t="str">
        <f>IFERROR(__xludf.DUMMYFUNCTION("""COMPUTED_VALUE"""),"")</f>
        <v/>
      </c>
      <c r="I470" s="51" t="str">
        <f>IFERROR(__xludf.DUMMYFUNCTION("""COMPUTED_VALUE"""),"#VALUE!")</f>
        <v>#VALUE!</v>
      </c>
      <c r="J470" s="51" t="str">
        <f>IFERROR(__xludf.DUMMYFUNCTION("""COMPUTED_VALUE"""),"")</f>
        <v/>
      </c>
      <c r="K470" s="51"/>
      <c r="L470" s="51" t="s">
        <v>257</v>
      </c>
      <c r="M470" s="51"/>
      <c r="N470" s="51"/>
      <c r="O470" s="51"/>
      <c r="P470" s="51"/>
      <c r="Q470" s="51"/>
      <c r="R470" s="51"/>
      <c r="S470" s="51"/>
      <c r="T470" s="51"/>
    </row>
    <row r="471">
      <c r="A471" s="51"/>
      <c r="B471" s="51"/>
      <c r="C471" s="56"/>
      <c r="D471" s="51"/>
      <c r="E471" s="51"/>
      <c r="F471" s="51"/>
      <c r="G471" s="51" t="str">
        <f>IFERROR(__xludf.DUMMYFUNCTION("""COMPUTED_VALUE"""),"#VALUE!")</f>
        <v>#VALUE!</v>
      </c>
      <c r="H471" s="51" t="str">
        <f>IFERROR(__xludf.DUMMYFUNCTION("""COMPUTED_VALUE"""),"")</f>
        <v/>
      </c>
      <c r="I471" s="51" t="str">
        <f>IFERROR(__xludf.DUMMYFUNCTION("""COMPUTED_VALUE"""),"#VALUE!")</f>
        <v>#VALUE!</v>
      </c>
      <c r="J471" s="51" t="str">
        <f>IFERROR(__xludf.DUMMYFUNCTION("""COMPUTED_VALUE"""),"")</f>
        <v/>
      </c>
      <c r="K471" s="51"/>
      <c r="L471" s="51" t="s">
        <v>257</v>
      </c>
      <c r="M471" s="51"/>
      <c r="N471" s="51"/>
      <c r="O471" s="51"/>
      <c r="P471" s="51"/>
      <c r="Q471" s="51"/>
      <c r="R471" s="51"/>
      <c r="S471" s="51"/>
      <c r="T471" s="51"/>
    </row>
    <row r="472">
      <c r="A472" s="51"/>
      <c r="B472" s="51"/>
      <c r="C472" s="56"/>
      <c r="D472" s="51"/>
      <c r="E472" s="51"/>
      <c r="F472" s="51"/>
      <c r="G472" s="51" t="str">
        <f>IFERROR(__xludf.DUMMYFUNCTION("""COMPUTED_VALUE"""),"#VALUE!")</f>
        <v>#VALUE!</v>
      </c>
      <c r="H472" s="51" t="str">
        <f>IFERROR(__xludf.DUMMYFUNCTION("""COMPUTED_VALUE"""),"")</f>
        <v/>
      </c>
      <c r="I472" s="51" t="str">
        <f>IFERROR(__xludf.DUMMYFUNCTION("""COMPUTED_VALUE"""),"#VALUE!")</f>
        <v>#VALUE!</v>
      </c>
      <c r="J472" s="51" t="str">
        <f>IFERROR(__xludf.DUMMYFUNCTION("""COMPUTED_VALUE"""),"")</f>
        <v/>
      </c>
      <c r="K472" s="51"/>
      <c r="L472" s="51" t="s">
        <v>257</v>
      </c>
      <c r="M472" s="51"/>
      <c r="N472" s="51"/>
      <c r="O472" s="51"/>
      <c r="P472" s="51"/>
      <c r="Q472" s="51"/>
      <c r="R472" s="51"/>
      <c r="S472" s="51"/>
      <c r="T472" s="51"/>
    </row>
    <row r="473">
      <c r="A473" s="51"/>
      <c r="B473" s="51"/>
      <c r="C473" s="56"/>
      <c r="D473" s="51"/>
      <c r="E473" s="51"/>
      <c r="F473" s="51"/>
      <c r="G473" s="51" t="str">
        <f>IFERROR(__xludf.DUMMYFUNCTION("""COMPUTED_VALUE"""),"#VALUE!")</f>
        <v>#VALUE!</v>
      </c>
      <c r="H473" s="51" t="str">
        <f>IFERROR(__xludf.DUMMYFUNCTION("""COMPUTED_VALUE"""),"")</f>
        <v/>
      </c>
      <c r="I473" s="51" t="str">
        <f>IFERROR(__xludf.DUMMYFUNCTION("""COMPUTED_VALUE"""),"#VALUE!")</f>
        <v>#VALUE!</v>
      </c>
      <c r="J473" s="51" t="str">
        <f>IFERROR(__xludf.DUMMYFUNCTION("""COMPUTED_VALUE"""),"")</f>
        <v/>
      </c>
      <c r="K473" s="51"/>
      <c r="L473" s="51" t="s">
        <v>257</v>
      </c>
      <c r="M473" s="51"/>
      <c r="N473" s="51"/>
      <c r="O473" s="51"/>
      <c r="P473" s="51"/>
      <c r="Q473" s="51"/>
      <c r="R473" s="51"/>
      <c r="S473" s="51"/>
      <c r="T473" s="51"/>
    </row>
    <row r="474">
      <c r="A474" s="51"/>
      <c r="B474" s="51"/>
      <c r="C474" s="56"/>
      <c r="D474" s="51"/>
      <c r="E474" s="51"/>
      <c r="F474" s="51"/>
      <c r="G474" s="51" t="str">
        <f>IFERROR(__xludf.DUMMYFUNCTION("""COMPUTED_VALUE"""),"#VALUE!")</f>
        <v>#VALUE!</v>
      </c>
      <c r="H474" s="51" t="str">
        <f>IFERROR(__xludf.DUMMYFUNCTION("""COMPUTED_VALUE"""),"")</f>
        <v/>
      </c>
      <c r="I474" s="51" t="str">
        <f>IFERROR(__xludf.DUMMYFUNCTION("""COMPUTED_VALUE"""),"#VALUE!")</f>
        <v>#VALUE!</v>
      </c>
      <c r="J474" s="51" t="str">
        <f>IFERROR(__xludf.DUMMYFUNCTION("""COMPUTED_VALUE"""),"")</f>
        <v/>
      </c>
      <c r="K474" s="51"/>
      <c r="L474" s="51" t="s">
        <v>257</v>
      </c>
      <c r="M474" s="51"/>
      <c r="N474" s="51"/>
      <c r="O474" s="51"/>
      <c r="P474" s="51"/>
      <c r="Q474" s="51"/>
      <c r="R474" s="51"/>
      <c r="S474" s="51"/>
      <c r="T474" s="51"/>
    </row>
    <row r="475">
      <c r="A475" s="51"/>
      <c r="B475" s="51"/>
      <c r="C475" s="56"/>
      <c r="D475" s="51"/>
      <c r="E475" s="51"/>
      <c r="F475" s="51"/>
      <c r="G475" s="51" t="str">
        <f>IFERROR(__xludf.DUMMYFUNCTION("""COMPUTED_VALUE"""),"#VALUE!")</f>
        <v>#VALUE!</v>
      </c>
      <c r="H475" s="51" t="str">
        <f>IFERROR(__xludf.DUMMYFUNCTION("""COMPUTED_VALUE"""),"")</f>
        <v/>
      </c>
      <c r="I475" s="51" t="str">
        <f>IFERROR(__xludf.DUMMYFUNCTION("""COMPUTED_VALUE"""),"#VALUE!")</f>
        <v>#VALUE!</v>
      </c>
      <c r="J475" s="51" t="str">
        <f>IFERROR(__xludf.DUMMYFUNCTION("""COMPUTED_VALUE"""),"")</f>
        <v/>
      </c>
      <c r="K475" s="51"/>
      <c r="L475" s="51" t="s">
        <v>257</v>
      </c>
      <c r="M475" s="51"/>
      <c r="N475" s="51"/>
      <c r="O475" s="51"/>
      <c r="P475" s="51"/>
      <c r="Q475" s="51"/>
      <c r="R475" s="51"/>
      <c r="S475" s="51"/>
      <c r="T475" s="51"/>
    </row>
    <row r="476">
      <c r="A476" s="51"/>
      <c r="B476" s="51"/>
      <c r="C476" s="56"/>
      <c r="D476" s="51"/>
      <c r="E476" s="51"/>
      <c r="F476" s="51"/>
      <c r="G476" s="51" t="str">
        <f>IFERROR(__xludf.DUMMYFUNCTION("""COMPUTED_VALUE"""),"#VALUE!")</f>
        <v>#VALUE!</v>
      </c>
      <c r="H476" s="51" t="str">
        <f>IFERROR(__xludf.DUMMYFUNCTION("""COMPUTED_VALUE"""),"")</f>
        <v/>
      </c>
      <c r="I476" s="51" t="str">
        <f>IFERROR(__xludf.DUMMYFUNCTION("""COMPUTED_VALUE"""),"#VALUE!")</f>
        <v>#VALUE!</v>
      </c>
      <c r="J476" s="51" t="str">
        <f>IFERROR(__xludf.DUMMYFUNCTION("""COMPUTED_VALUE"""),"")</f>
        <v/>
      </c>
      <c r="K476" s="51"/>
      <c r="L476" s="51" t="s">
        <v>257</v>
      </c>
      <c r="M476" s="51"/>
      <c r="N476" s="51"/>
      <c r="O476" s="51"/>
      <c r="P476" s="51"/>
      <c r="Q476" s="51"/>
      <c r="R476" s="51"/>
      <c r="S476" s="51"/>
      <c r="T476" s="51"/>
    </row>
    <row r="477">
      <c r="A477" s="51"/>
      <c r="B477" s="51"/>
      <c r="C477" s="56"/>
      <c r="D477" s="51"/>
      <c r="E477" s="51"/>
      <c r="F477" s="51"/>
      <c r="G477" s="51" t="str">
        <f>IFERROR(__xludf.DUMMYFUNCTION("""COMPUTED_VALUE"""),"#VALUE!")</f>
        <v>#VALUE!</v>
      </c>
      <c r="H477" s="51" t="str">
        <f>IFERROR(__xludf.DUMMYFUNCTION("""COMPUTED_VALUE"""),"")</f>
        <v/>
      </c>
      <c r="I477" s="51" t="str">
        <f>IFERROR(__xludf.DUMMYFUNCTION("""COMPUTED_VALUE"""),"#VALUE!")</f>
        <v>#VALUE!</v>
      </c>
      <c r="J477" s="51" t="str">
        <f>IFERROR(__xludf.DUMMYFUNCTION("""COMPUTED_VALUE"""),"")</f>
        <v/>
      </c>
      <c r="K477" s="51"/>
      <c r="L477" s="51" t="s">
        <v>257</v>
      </c>
      <c r="M477" s="51"/>
      <c r="N477" s="51"/>
      <c r="O477" s="51"/>
      <c r="P477" s="51"/>
      <c r="Q477" s="51"/>
      <c r="R477" s="51"/>
      <c r="S477" s="51"/>
      <c r="T477" s="51"/>
    </row>
    <row r="478">
      <c r="A478" s="51"/>
      <c r="B478" s="51"/>
      <c r="C478" s="56"/>
      <c r="D478" s="51"/>
      <c r="E478" s="51"/>
      <c r="F478" s="51"/>
      <c r="G478" s="51" t="str">
        <f>IFERROR(__xludf.DUMMYFUNCTION("""COMPUTED_VALUE"""),"#VALUE!")</f>
        <v>#VALUE!</v>
      </c>
      <c r="H478" s="51" t="str">
        <f>IFERROR(__xludf.DUMMYFUNCTION("""COMPUTED_VALUE"""),"")</f>
        <v/>
      </c>
      <c r="I478" s="51" t="str">
        <f>IFERROR(__xludf.DUMMYFUNCTION("""COMPUTED_VALUE"""),"#VALUE!")</f>
        <v>#VALUE!</v>
      </c>
      <c r="J478" s="51" t="str">
        <f>IFERROR(__xludf.DUMMYFUNCTION("""COMPUTED_VALUE"""),"")</f>
        <v/>
      </c>
      <c r="K478" s="51"/>
      <c r="L478" s="51" t="s">
        <v>257</v>
      </c>
      <c r="M478" s="51"/>
      <c r="N478" s="51"/>
      <c r="O478" s="51"/>
      <c r="P478" s="51"/>
      <c r="Q478" s="51"/>
      <c r="R478" s="51"/>
      <c r="S478" s="51"/>
      <c r="T478" s="51"/>
    </row>
    <row r="479">
      <c r="A479" s="51"/>
      <c r="B479" s="51"/>
      <c r="C479" s="56"/>
      <c r="D479" s="51"/>
      <c r="E479" s="51"/>
      <c r="F479" s="51"/>
      <c r="G479" s="51" t="str">
        <f>IFERROR(__xludf.DUMMYFUNCTION("""COMPUTED_VALUE"""),"#VALUE!")</f>
        <v>#VALUE!</v>
      </c>
      <c r="H479" s="51" t="str">
        <f>IFERROR(__xludf.DUMMYFUNCTION("""COMPUTED_VALUE"""),"")</f>
        <v/>
      </c>
      <c r="I479" s="51" t="str">
        <f>IFERROR(__xludf.DUMMYFUNCTION("""COMPUTED_VALUE"""),"#VALUE!")</f>
        <v>#VALUE!</v>
      </c>
      <c r="J479" s="51" t="str">
        <f>IFERROR(__xludf.DUMMYFUNCTION("""COMPUTED_VALUE"""),"")</f>
        <v/>
      </c>
      <c r="K479" s="51"/>
      <c r="L479" s="51" t="s">
        <v>257</v>
      </c>
      <c r="M479" s="51"/>
      <c r="N479" s="51"/>
      <c r="O479" s="51"/>
      <c r="P479" s="51"/>
      <c r="Q479" s="51"/>
      <c r="R479" s="51"/>
      <c r="S479" s="51"/>
      <c r="T479" s="51"/>
    </row>
    <row r="480">
      <c r="A480" s="51"/>
      <c r="B480" s="51"/>
      <c r="C480" s="56"/>
      <c r="D480" s="51"/>
      <c r="E480" s="51"/>
      <c r="F480" s="51"/>
      <c r="G480" s="51" t="str">
        <f>IFERROR(__xludf.DUMMYFUNCTION("""COMPUTED_VALUE"""),"#VALUE!")</f>
        <v>#VALUE!</v>
      </c>
      <c r="H480" s="51" t="str">
        <f>IFERROR(__xludf.DUMMYFUNCTION("""COMPUTED_VALUE"""),"")</f>
        <v/>
      </c>
      <c r="I480" s="51" t="str">
        <f>IFERROR(__xludf.DUMMYFUNCTION("""COMPUTED_VALUE"""),"#VALUE!")</f>
        <v>#VALUE!</v>
      </c>
      <c r="J480" s="51" t="str">
        <f>IFERROR(__xludf.DUMMYFUNCTION("""COMPUTED_VALUE"""),"")</f>
        <v/>
      </c>
      <c r="K480" s="51"/>
      <c r="L480" s="51" t="s">
        <v>257</v>
      </c>
      <c r="M480" s="51"/>
      <c r="N480" s="51"/>
      <c r="O480" s="51"/>
      <c r="P480" s="51"/>
      <c r="Q480" s="51"/>
      <c r="R480" s="51"/>
      <c r="S480" s="51"/>
      <c r="T480" s="51"/>
    </row>
    <row r="481">
      <c r="A481" s="51"/>
      <c r="B481" s="51"/>
      <c r="C481" s="56"/>
      <c r="D481" s="51"/>
      <c r="E481" s="51"/>
      <c r="F481" s="51"/>
      <c r="G481" s="51" t="str">
        <f>IFERROR(__xludf.DUMMYFUNCTION("""COMPUTED_VALUE"""),"#VALUE!")</f>
        <v>#VALUE!</v>
      </c>
      <c r="H481" s="51" t="str">
        <f>IFERROR(__xludf.DUMMYFUNCTION("""COMPUTED_VALUE"""),"")</f>
        <v/>
      </c>
      <c r="I481" s="51" t="str">
        <f>IFERROR(__xludf.DUMMYFUNCTION("""COMPUTED_VALUE"""),"#VALUE!")</f>
        <v>#VALUE!</v>
      </c>
      <c r="J481" s="51" t="str">
        <f>IFERROR(__xludf.DUMMYFUNCTION("""COMPUTED_VALUE"""),"")</f>
        <v/>
      </c>
      <c r="K481" s="51"/>
      <c r="L481" s="51" t="s">
        <v>257</v>
      </c>
      <c r="M481" s="51"/>
      <c r="N481" s="51"/>
      <c r="O481" s="51"/>
      <c r="P481" s="51"/>
      <c r="Q481" s="51"/>
      <c r="R481" s="51"/>
      <c r="S481" s="51"/>
      <c r="T481" s="51"/>
    </row>
    <row r="482">
      <c r="A482" s="51"/>
      <c r="B482" s="51"/>
      <c r="C482" s="56"/>
      <c r="D482" s="51"/>
      <c r="E482" s="51"/>
      <c r="F482" s="51"/>
      <c r="G482" s="51" t="str">
        <f>IFERROR(__xludf.DUMMYFUNCTION("""COMPUTED_VALUE"""),"#VALUE!")</f>
        <v>#VALUE!</v>
      </c>
      <c r="H482" s="51" t="str">
        <f>IFERROR(__xludf.DUMMYFUNCTION("""COMPUTED_VALUE"""),"")</f>
        <v/>
      </c>
      <c r="I482" s="51" t="str">
        <f>IFERROR(__xludf.DUMMYFUNCTION("""COMPUTED_VALUE"""),"#VALUE!")</f>
        <v>#VALUE!</v>
      </c>
      <c r="J482" s="51" t="str">
        <f>IFERROR(__xludf.DUMMYFUNCTION("""COMPUTED_VALUE"""),"")</f>
        <v/>
      </c>
      <c r="K482" s="51"/>
      <c r="L482" s="51" t="s">
        <v>257</v>
      </c>
      <c r="M482" s="51"/>
      <c r="N482" s="51"/>
      <c r="O482" s="51"/>
      <c r="P482" s="51"/>
      <c r="Q482" s="51"/>
      <c r="R482" s="51"/>
      <c r="S482" s="51"/>
      <c r="T482" s="51"/>
    </row>
    <row r="483">
      <c r="A483" s="51"/>
      <c r="B483" s="51"/>
      <c r="C483" s="56"/>
      <c r="D483" s="51"/>
      <c r="E483" s="51"/>
      <c r="F483" s="51"/>
      <c r="G483" s="51" t="str">
        <f>IFERROR(__xludf.DUMMYFUNCTION("""COMPUTED_VALUE"""),"#VALUE!")</f>
        <v>#VALUE!</v>
      </c>
      <c r="H483" s="51" t="str">
        <f>IFERROR(__xludf.DUMMYFUNCTION("""COMPUTED_VALUE"""),"")</f>
        <v/>
      </c>
      <c r="I483" s="51" t="str">
        <f>IFERROR(__xludf.DUMMYFUNCTION("""COMPUTED_VALUE"""),"#VALUE!")</f>
        <v>#VALUE!</v>
      </c>
      <c r="J483" s="51" t="str">
        <f>IFERROR(__xludf.DUMMYFUNCTION("""COMPUTED_VALUE"""),"")</f>
        <v/>
      </c>
      <c r="K483" s="51"/>
      <c r="L483" s="51" t="s">
        <v>257</v>
      </c>
      <c r="M483" s="51"/>
      <c r="N483" s="51"/>
      <c r="O483" s="51"/>
      <c r="P483" s="51"/>
      <c r="Q483" s="51"/>
      <c r="R483" s="51"/>
      <c r="S483" s="51"/>
      <c r="T483" s="51"/>
    </row>
    <row r="484">
      <c r="A484" s="51"/>
      <c r="B484" s="51"/>
      <c r="C484" s="56"/>
      <c r="D484" s="51"/>
      <c r="E484" s="51"/>
      <c r="F484" s="51"/>
      <c r="G484" s="51" t="str">
        <f>IFERROR(__xludf.DUMMYFUNCTION("""COMPUTED_VALUE"""),"#VALUE!")</f>
        <v>#VALUE!</v>
      </c>
      <c r="H484" s="51" t="str">
        <f>IFERROR(__xludf.DUMMYFUNCTION("""COMPUTED_VALUE"""),"")</f>
        <v/>
      </c>
      <c r="I484" s="51" t="str">
        <f>IFERROR(__xludf.DUMMYFUNCTION("""COMPUTED_VALUE"""),"#VALUE!")</f>
        <v>#VALUE!</v>
      </c>
      <c r="J484" s="51" t="str">
        <f>IFERROR(__xludf.DUMMYFUNCTION("""COMPUTED_VALUE"""),"")</f>
        <v/>
      </c>
      <c r="K484" s="51"/>
      <c r="L484" s="51" t="s">
        <v>257</v>
      </c>
      <c r="M484" s="51"/>
      <c r="N484" s="51"/>
      <c r="O484" s="51"/>
      <c r="P484" s="51"/>
      <c r="Q484" s="51"/>
      <c r="R484" s="51"/>
      <c r="S484" s="51"/>
      <c r="T484" s="51"/>
    </row>
    <row r="485">
      <c r="A485" s="51"/>
      <c r="B485" s="51"/>
      <c r="C485" s="56"/>
      <c r="D485" s="51"/>
      <c r="E485" s="51"/>
      <c r="F485" s="51"/>
      <c r="G485" s="51" t="str">
        <f>IFERROR(__xludf.DUMMYFUNCTION("""COMPUTED_VALUE"""),"#VALUE!")</f>
        <v>#VALUE!</v>
      </c>
      <c r="H485" s="51" t="str">
        <f>IFERROR(__xludf.DUMMYFUNCTION("""COMPUTED_VALUE"""),"")</f>
        <v/>
      </c>
      <c r="I485" s="51" t="str">
        <f>IFERROR(__xludf.DUMMYFUNCTION("""COMPUTED_VALUE"""),"#VALUE!")</f>
        <v>#VALUE!</v>
      </c>
      <c r="J485" s="51" t="str">
        <f>IFERROR(__xludf.DUMMYFUNCTION("""COMPUTED_VALUE"""),"")</f>
        <v/>
      </c>
      <c r="K485" s="51"/>
      <c r="L485" s="51" t="s">
        <v>257</v>
      </c>
      <c r="M485" s="51"/>
      <c r="N485" s="51"/>
      <c r="O485" s="51"/>
      <c r="P485" s="51"/>
      <c r="Q485" s="51"/>
      <c r="R485" s="51"/>
      <c r="S485" s="51"/>
      <c r="T485" s="51"/>
    </row>
    <row r="486">
      <c r="A486" s="51"/>
      <c r="B486" s="51"/>
      <c r="C486" s="56"/>
      <c r="D486" s="51"/>
      <c r="E486" s="51"/>
      <c r="F486" s="51"/>
      <c r="G486" s="51" t="str">
        <f>IFERROR(__xludf.DUMMYFUNCTION("""COMPUTED_VALUE"""),"#VALUE!")</f>
        <v>#VALUE!</v>
      </c>
      <c r="H486" s="51" t="str">
        <f>IFERROR(__xludf.DUMMYFUNCTION("""COMPUTED_VALUE"""),"")</f>
        <v/>
      </c>
      <c r="I486" s="51" t="str">
        <f>IFERROR(__xludf.DUMMYFUNCTION("""COMPUTED_VALUE"""),"#VALUE!")</f>
        <v>#VALUE!</v>
      </c>
      <c r="J486" s="51" t="str">
        <f>IFERROR(__xludf.DUMMYFUNCTION("""COMPUTED_VALUE"""),"")</f>
        <v/>
      </c>
      <c r="K486" s="51"/>
      <c r="L486" s="51" t="s">
        <v>257</v>
      </c>
      <c r="M486" s="51"/>
      <c r="N486" s="51"/>
      <c r="O486" s="51"/>
      <c r="P486" s="51"/>
      <c r="Q486" s="51"/>
      <c r="R486" s="51"/>
      <c r="S486" s="51"/>
      <c r="T486" s="51"/>
    </row>
    <row r="487">
      <c r="A487" s="51"/>
      <c r="B487" s="51"/>
      <c r="C487" s="56"/>
      <c r="D487" s="51"/>
      <c r="E487" s="51"/>
      <c r="F487" s="51"/>
      <c r="G487" s="51" t="str">
        <f>IFERROR(__xludf.DUMMYFUNCTION("""COMPUTED_VALUE"""),"#VALUE!")</f>
        <v>#VALUE!</v>
      </c>
      <c r="H487" s="51" t="str">
        <f>IFERROR(__xludf.DUMMYFUNCTION("""COMPUTED_VALUE"""),"")</f>
        <v/>
      </c>
      <c r="I487" s="51" t="str">
        <f>IFERROR(__xludf.DUMMYFUNCTION("""COMPUTED_VALUE"""),"#VALUE!")</f>
        <v>#VALUE!</v>
      </c>
      <c r="J487" s="51" t="str">
        <f>IFERROR(__xludf.DUMMYFUNCTION("""COMPUTED_VALUE"""),"")</f>
        <v/>
      </c>
      <c r="K487" s="51"/>
      <c r="L487" s="51" t="s">
        <v>257</v>
      </c>
      <c r="M487" s="51"/>
      <c r="N487" s="51"/>
      <c r="O487" s="51"/>
      <c r="P487" s="51"/>
      <c r="Q487" s="51"/>
      <c r="R487" s="51"/>
      <c r="S487" s="51"/>
      <c r="T487" s="51"/>
    </row>
    <row r="488">
      <c r="A488" s="51"/>
      <c r="B488" s="51"/>
      <c r="C488" s="56"/>
      <c r="D488" s="51"/>
      <c r="E488" s="51"/>
      <c r="F488" s="51"/>
      <c r="G488" s="51" t="str">
        <f>IFERROR(__xludf.DUMMYFUNCTION("""COMPUTED_VALUE"""),"#VALUE!")</f>
        <v>#VALUE!</v>
      </c>
      <c r="H488" s="51" t="str">
        <f>IFERROR(__xludf.DUMMYFUNCTION("""COMPUTED_VALUE"""),"")</f>
        <v/>
      </c>
      <c r="I488" s="51" t="str">
        <f>IFERROR(__xludf.DUMMYFUNCTION("""COMPUTED_VALUE"""),"#VALUE!")</f>
        <v>#VALUE!</v>
      </c>
      <c r="J488" s="51" t="str">
        <f>IFERROR(__xludf.DUMMYFUNCTION("""COMPUTED_VALUE"""),"")</f>
        <v/>
      </c>
      <c r="K488" s="51"/>
      <c r="L488" s="51" t="s">
        <v>257</v>
      </c>
      <c r="M488" s="51"/>
      <c r="N488" s="51"/>
      <c r="O488" s="51"/>
      <c r="P488" s="51"/>
      <c r="Q488" s="51"/>
      <c r="R488" s="51"/>
      <c r="S488" s="51"/>
      <c r="T488" s="51"/>
    </row>
    <row r="489">
      <c r="A489" s="51"/>
      <c r="B489" s="51"/>
      <c r="C489" s="56"/>
      <c r="D489" s="51"/>
      <c r="E489" s="51"/>
      <c r="F489" s="51"/>
      <c r="G489" s="51" t="str">
        <f>IFERROR(__xludf.DUMMYFUNCTION("""COMPUTED_VALUE"""),"#VALUE!")</f>
        <v>#VALUE!</v>
      </c>
      <c r="H489" s="51" t="str">
        <f>IFERROR(__xludf.DUMMYFUNCTION("""COMPUTED_VALUE"""),"")</f>
        <v/>
      </c>
      <c r="I489" s="51" t="str">
        <f>IFERROR(__xludf.DUMMYFUNCTION("""COMPUTED_VALUE"""),"#VALUE!")</f>
        <v>#VALUE!</v>
      </c>
      <c r="J489" s="51" t="str">
        <f>IFERROR(__xludf.DUMMYFUNCTION("""COMPUTED_VALUE"""),"")</f>
        <v/>
      </c>
      <c r="K489" s="51"/>
      <c r="L489" s="51" t="s">
        <v>257</v>
      </c>
      <c r="M489" s="51"/>
      <c r="N489" s="51"/>
      <c r="O489" s="51"/>
      <c r="P489" s="51"/>
      <c r="Q489" s="51"/>
      <c r="R489" s="51"/>
      <c r="S489" s="51"/>
      <c r="T489" s="51"/>
    </row>
    <row r="490">
      <c r="A490" s="51"/>
      <c r="B490" s="51"/>
      <c r="C490" s="56"/>
      <c r="D490" s="51"/>
      <c r="E490" s="51"/>
      <c r="F490" s="51"/>
      <c r="G490" s="51" t="str">
        <f>IFERROR(__xludf.DUMMYFUNCTION("""COMPUTED_VALUE"""),"#VALUE!")</f>
        <v>#VALUE!</v>
      </c>
      <c r="H490" s="51" t="str">
        <f>IFERROR(__xludf.DUMMYFUNCTION("""COMPUTED_VALUE"""),"")</f>
        <v/>
      </c>
      <c r="I490" s="51" t="str">
        <f>IFERROR(__xludf.DUMMYFUNCTION("""COMPUTED_VALUE"""),"#VALUE!")</f>
        <v>#VALUE!</v>
      </c>
      <c r="J490" s="51" t="str">
        <f>IFERROR(__xludf.DUMMYFUNCTION("""COMPUTED_VALUE"""),"")</f>
        <v/>
      </c>
      <c r="K490" s="51"/>
      <c r="L490" s="51" t="s">
        <v>257</v>
      </c>
      <c r="M490" s="51"/>
      <c r="N490" s="51"/>
      <c r="O490" s="51"/>
      <c r="P490" s="51"/>
      <c r="Q490" s="51"/>
      <c r="R490" s="51"/>
      <c r="S490" s="51"/>
      <c r="T490" s="51"/>
    </row>
    <row r="491">
      <c r="A491" s="51"/>
      <c r="B491" s="51"/>
      <c r="C491" s="56"/>
      <c r="D491" s="51"/>
      <c r="E491" s="51"/>
      <c r="F491" s="51"/>
      <c r="G491" s="51" t="str">
        <f>IFERROR(__xludf.DUMMYFUNCTION("""COMPUTED_VALUE"""),"#VALUE!")</f>
        <v>#VALUE!</v>
      </c>
      <c r="H491" s="51" t="str">
        <f>IFERROR(__xludf.DUMMYFUNCTION("""COMPUTED_VALUE"""),"")</f>
        <v/>
      </c>
      <c r="I491" s="51" t="str">
        <f>IFERROR(__xludf.DUMMYFUNCTION("""COMPUTED_VALUE"""),"#VALUE!")</f>
        <v>#VALUE!</v>
      </c>
      <c r="J491" s="51" t="str">
        <f>IFERROR(__xludf.DUMMYFUNCTION("""COMPUTED_VALUE"""),"")</f>
        <v/>
      </c>
      <c r="K491" s="51"/>
      <c r="L491" s="51" t="s">
        <v>257</v>
      </c>
      <c r="M491" s="51"/>
      <c r="N491" s="51"/>
      <c r="O491" s="51"/>
      <c r="P491" s="51"/>
      <c r="Q491" s="51"/>
      <c r="R491" s="51"/>
      <c r="S491" s="51"/>
      <c r="T491" s="51"/>
    </row>
    <row r="492">
      <c r="A492" s="51"/>
      <c r="B492" s="51"/>
      <c r="C492" s="56"/>
      <c r="D492" s="51"/>
      <c r="E492" s="51"/>
      <c r="F492" s="51"/>
      <c r="G492" s="51" t="str">
        <f>IFERROR(__xludf.DUMMYFUNCTION("""COMPUTED_VALUE"""),"#VALUE!")</f>
        <v>#VALUE!</v>
      </c>
      <c r="H492" s="51" t="str">
        <f>IFERROR(__xludf.DUMMYFUNCTION("""COMPUTED_VALUE"""),"")</f>
        <v/>
      </c>
      <c r="I492" s="51" t="str">
        <f>IFERROR(__xludf.DUMMYFUNCTION("""COMPUTED_VALUE"""),"#VALUE!")</f>
        <v>#VALUE!</v>
      </c>
      <c r="J492" s="51" t="str">
        <f>IFERROR(__xludf.DUMMYFUNCTION("""COMPUTED_VALUE"""),"")</f>
        <v/>
      </c>
      <c r="K492" s="51"/>
      <c r="L492" s="51" t="s">
        <v>257</v>
      </c>
      <c r="M492" s="51"/>
      <c r="N492" s="51"/>
      <c r="O492" s="51"/>
      <c r="P492" s="51"/>
      <c r="Q492" s="51"/>
      <c r="R492" s="51"/>
      <c r="S492" s="51"/>
      <c r="T492" s="51"/>
    </row>
    <row r="493">
      <c r="A493" s="51"/>
      <c r="B493" s="51"/>
      <c r="C493" s="56"/>
      <c r="D493" s="51"/>
      <c r="E493" s="51"/>
      <c r="F493" s="51"/>
      <c r="G493" s="51" t="str">
        <f>IFERROR(__xludf.DUMMYFUNCTION("""COMPUTED_VALUE"""),"#VALUE!")</f>
        <v>#VALUE!</v>
      </c>
      <c r="H493" s="51" t="str">
        <f>IFERROR(__xludf.DUMMYFUNCTION("""COMPUTED_VALUE"""),"")</f>
        <v/>
      </c>
      <c r="I493" s="51" t="str">
        <f>IFERROR(__xludf.DUMMYFUNCTION("""COMPUTED_VALUE"""),"#VALUE!")</f>
        <v>#VALUE!</v>
      </c>
      <c r="J493" s="51" t="str">
        <f>IFERROR(__xludf.DUMMYFUNCTION("""COMPUTED_VALUE"""),"")</f>
        <v/>
      </c>
      <c r="K493" s="51"/>
      <c r="L493" s="51" t="s">
        <v>257</v>
      </c>
      <c r="M493" s="51"/>
      <c r="N493" s="51"/>
      <c r="O493" s="51"/>
      <c r="P493" s="51"/>
      <c r="Q493" s="51"/>
      <c r="R493" s="51"/>
      <c r="S493" s="51"/>
      <c r="T493" s="51"/>
    </row>
    <row r="494">
      <c r="A494" s="51"/>
      <c r="B494" s="51"/>
      <c r="C494" s="56"/>
      <c r="D494" s="51"/>
      <c r="E494" s="51"/>
      <c r="F494" s="51"/>
      <c r="G494" s="51" t="str">
        <f>IFERROR(__xludf.DUMMYFUNCTION("""COMPUTED_VALUE"""),"#VALUE!")</f>
        <v>#VALUE!</v>
      </c>
      <c r="H494" s="51" t="str">
        <f>IFERROR(__xludf.DUMMYFUNCTION("""COMPUTED_VALUE"""),"")</f>
        <v/>
      </c>
      <c r="I494" s="51" t="str">
        <f>IFERROR(__xludf.DUMMYFUNCTION("""COMPUTED_VALUE"""),"#VALUE!")</f>
        <v>#VALUE!</v>
      </c>
      <c r="J494" s="51" t="str">
        <f>IFERROR(__xludf.DUMMYFUNCTION("""COMPUTED_VALUE"""),"")</f>
        <v/>
      </c>
      <c r="K494" s="51"/>
      <c r="L494" s="51" t="s">
        <v>257</v>
      </c>
      <c r="M494" s="51"/>
      <c r="N494" s="51"/>
      <c r="O494" s="51"/>
      <c r="P494" s="51"/>
      <c r="Q494" s="51"/>
      <c r="R494" s="51"/>
      <c r="S494" s="51"/>
      <c r="T494" s="51"/>
    </row>
    <row r="495">
      <c r="A495" s="51"/>
      <c r="B495" s="51"/>
      <c r="C495" s="56"/>
      <c r="D495" s="51"/>
      <c r="E495" s="51"/>
      <c r="F495" s="51"/>
      <c r="G495" s="51" t="str">
        <f>IFERROR(__xludf.DUMMYFUNCTION("""COMPUTED_VALUE"""),"#VALUE!")</f>
        <v>#VALUE!</v>
      </c>
      <c r="H495" s="51" t="str">
        <f>IFERROR(__xludf.DUMMYFUNCTION("""COMPUTED_VALUE"""),"")</f>
        <v/>
      </c>
      <c r="I495" s="51" t="str">
        <f>IFERROR(__xludf.DUMMYFUNCTION("""COMPUTED_VALUE"""),"#VALUE!")</f>
        <v>#VALUE!</v>
      </c>
      <c r="J495" s="51" t="str">
        <f>IFERROR(__xludf.DUMMYFUNCTION("""COMPUTED_VALUE"""),"")</f>
        <v/>
      </c>
      <c r="K495" s="51"/>
      <c r="L495" s="51" t="s">
        <v>257</v>
      </c>
      <c r="M495" s="51"/>
      <c r="N495" s="51"/>
      <c r="O495" s="51"/>
      <c r="P495" s="51"/>
      <c r="Q495" s="51"/>
      <c r="R495" s="51"/>
      <c r="S495" s="51"/>
      <c r="T495" s="51"/>
    </row>
    <row r="496">
      <c r="A496" s="51"/>
      <c r="B496" s="51"/>
      <c r="C496" s="56"/>
      <c r="D496" s="51"/>
      <c r="E496" s="51"/>
      <c r="F496" s="51"/>
      <c r="G496" s="51" t="str">
        <f>IFERROR(__xludf.DUMMYFUNCTION("""COMPUTED_VALUE"""),"#VALUE!")</f>
        <v>#VALUE!</v>
      </c>
      <c r="H496" s="51" t="str">
        <f>IFERROR(__xludf.DUMMYFUNCTION("""COMPUTED_VALUE"""),"")</f>
        <v/>
      </c>
      <c r="I496" s="51" t="str">
        <f>IFERROR(__xludf.DUMMYFUNCTION("""COMPUTED_VALUE"""),"#VALUE!")</f>
        <v>#VALUE!</v>
      </c>
      <c r="J496" s="51" t="str">
        <f>IFERROR(__xludf.DUMMYFUNCTION("""COMPUTED_VALUE"""),"")</f>
        <v/>
      </c>
      <c r="K496" s="51"/>
      <c r="L496" s="51" t="s">
        <v>257</v>
      </c>
      <c r="M496" s="51"/>
      <c r="N496" s="51"/>
      <c r="O496" s="51"/>
      <c r="P496" s="51"/>
      <c r="Q496" s="51"/>
      <c r="R496" s="51"/>
      <c r="S496" s="51"/>
      <c r="T496" s="51"/>
    </row>
    <row r="497">
      <c r="A497" s="51"/>
      <c r="B497" s="51"/>
      <c r="C497" s="56"/>
      <c r="D497" s="51"/>
      <c r="E497" s="51"/>
      <c r="F497" s="51"/>
      <c r="G497" s="51" t="str">
        <f>IFERROR(__xludf.DUMMYFUNCTION("""COMPUTED_VALUE"""),"#VALUE!")</f>
        <v>#VALUE!</v>
      </c>
      <c r="H497" s="51" t="str">
        <f>IFERROR(__xludf.DUMMYFUNCTION("""COMPUTED_VALUE"""),"")</f>
        <v/>
      </c>
      <c r="I497" s="51" t="str">
        <f>IFERROR(__xludf.DUMMYFUNCTION("""COMPUTED_VALUE"""),"#VALUE!")</f>
        <v>#VALUE!</v>
      </c>
      <c r="J497" s="51" t="str">
        <f>IFERROR(__xludf.DUMMYFUNCTION("""COMPUTED_VALUE"""),"")</f>
        <v/>
      </c>
      <c r="K497" s="51"/>
      <c r="L497" s="51" t="s">
        <v>257</v>
      </c>
      <c r="M497" s="51"/>
      <c r="N497" s="51"/>
      <c r="O497" s="51"/>
      <c r="P497" s="51"/>
      <c r="Q497" s="51"/>
      <c r="R497" s="51"/>
      <c r="S497" s="51"/>
      <c r="T497" s="51"/>
    </row>
    <row r="498">
      <c r="A498" s="51"/>
      <c r="B498" s="51"/>
      <c r="C498" s="56"/>
      <c r="D498" s="51"/>
      <c r="E498" s="51"/>
      <c r="F498" s="51"/>
      <c r="G498" s="51" t="str">
        <f>IFERROR(__xludf.DUMMYFUNCTION("""COMPUTED_VALUE"""),"#VALUE!")</f>
        <v>#VALUE!</v>
      </c>
      <c r="H498" s="51" t="str">
        <f>IFERROR(__xludf.DUMMYFUNCTION("""COMPUTED_VALUE"""),"")</f>
        <v/>
      </c>
      <c r="I498" s="51" t="str">
        <f>IFERROR(__xludf.DUMMYFUNCTION("""COMPUTED_VALUE"""),"#VALUE!")</f>
        <v>#VALUE!</v>
      </c>
      <c r="J498" s="51" t="str">
        <f>IFERROR(__xludf.DUMMYFUNCTION("""COMPUTED_VALUE"""),"")</f>
        <v/>
      </c>
      <c r="K498" s="51"/>
      <c r="L498" s="51" t="s">
        <v>257</v>
      </c>
      <c r="M498" s="51"/>
      <c r="N498" s="51"/>
      <c r="O498" s="51"/>
      <c r="P498" s="51"/>
      <c r="Q498" s="51"/>
      <c r="R498" s="51"/>
      <c r="S498" s="51"/>
      <c r="T498" s="51"/>
    </row>
    <row r="499">
      <c r="A499" s="51"/>
      <c r="B499" s="51"/>
      <c r="C499" s="56"/>
      <c r="D499" s="51"/>
      <c r="E499" s="51"/>
      <c r="F499" s="51"/>
      <c r="G499" s="51" t="str">
        <f>IFERROR(__xludf.DUMMYFUNCTION("""COMPUTED_VALUE"""),"#VALUE!")</f>
        <v>#VALUE!</v>
      </c>
      <c r="H499" s="51" t="str">
        <f>IFERROR(__xludf.DUMMYFUNCTION("""COMPUTED_VALUE"""),"")</f>
        <v/>
      </c>
      <c r="I499" s="51" t="str">
        <f>IFERROR(__xludf.DUMMYFUNCTION("""COMPUTED_VALUE"""),"#VALUE!")</f>
        <v>#VALUE!</v>
      </c>
      <c r="J499" s="51" t="str">
        <f>IFERROR(__xludf.DUMMYFUNCTION("""COMPUTED_VALUE"""),"")</f>
        <v/>
      </c>
      <c r="K499" s="51"/>
      <c r="L499" s="51" t="s">
        <v>257</v>
      </c>
      <c r="M499" s="51"/>
      <c r="N499" s="51"/>
      <c r="O499" s="51"/>
      <c r="P499" s="51"/>
      <c r="Q499" s="51"/>
      <c r="R499" s="51"/>
      <c r="S499" s="51"/>
      <c r="T499" s="51"/>
    </row>
    <row r="500">
      <c r="A500" s="51"/>
      <c r="B500" s="51"/>
      <c r="C500" s="56"/>
      <c r="D500" s="51"/>
      <c r="E500" s="51"/>
      <c r="F500" s="51"/>
      <c r="G500" s="51" t="str">
        <f>IFERROR(__xludf.DUMMYFUNCTION("""COMPUTED_VALUE"""),"#VALUE!")</f>
        <v>#VALUE!</v>
      </c>
      <c r="H500" s="51" t="str">
        <f>IFERROR(__xludf.DUMMYFUNCTION("""COMPUTED_VALUE"""),"")</f>
        <v/>
      </c>
      <c r="I500" s="51" t="str">
        <f>IFERROR(__xludf.DUMMYFUNCTION("""COMPUTED_VALUE"""),"#VALUE!")</f>
        <v>#VALUE!</v>
      </c>
      <c r="J500" s="51" t="str">
        <f>IFERROR(__xludf.DUMMYFUNCTION("""COMPUTED_VALUE"""),"")</f>
        <v/>
      </c>
      <c r="K500" s="51"/>
      <c r="L500" s="51" t="s">
        <v>257</v>
      </c>
      <c r="M500" s="51"/>
      <c r="N500" s="51"/>
      <c r="O500" s="51"/>
      <c r="P500" s="51"/>
      <c r="Q500" s="51"/>
      <c r="R500" s="51"/>
      <c r="S500" s="51"/>
      <c r="T500" s="51"/>
    </row>
    <row r="501">
      <c r="A501" s="51"/>
      <c r="B501" s="51"/>
      <c r="C501" s="56"/>
      <c r="D501" s="51"/>
      <c r="E501" s="51"/>
      <c r="F501" s="51"/>
      <c r="G501" s="51" t="str">
        <f>IFERROR(__xludf.DUMMYFUNCTION("""COMPUTED_VALUE"""),"#VALUE!")</f>
        <v>#VALUE!</v>
      </c>
      <c r="H501" s="51" t="str">
        <f>IFERROR(__xludf.DUMMYFUNCTION("""COMPUTED_VALUE"""),"")</f>
        <v/>
      </c>
      <c r="I501" s="51" t="str">
        <f>IFERROR(__xludf.DUMMYFUNCTION("""COMPUTED_VALUE"""),"#VALUE!")</f>
        <v>#VALUE!</v>
      </c>
      <c r="J501" s="51" t="str">
        <f>IFERROR(__xludf.DUMMYFUNCTION("""COMPUTED_VALUE"""),"")</f>
        <v/>
      </c>
      <c r="K501" s="51"/>
      <c r="L501" s="51" t="s">
        <v>257</v>
      </c>
      <c r="M501" s="51"/>
      <c r="N501" s="51"/>
      <c r="O501" s="51"/>
      <c r="P501" s="51"/>
      <c r="Q501" s="51"/>
      <c r="R501" s="51"/>
      <c r="S501" s="51"/>
      <c r="T501" s="51"/>
    </row>
    <row r="502">
      <c r="A502" s="51"/>
      <c r="B502" s="51"/>
      <c r="C502" s="56"/>
      <c r="D502" s="51"/>
      <c r="E502" s="51"/>
      <c r="F502" s="51"/>
      <c r="G502" s="51" t="str">
        <f>IFERROR(__xludf.DUMMYFUNCTION("""COMPUTED_VALUE"""),"#VALUE!")</f>
        <v>#VALUE!</v>
      </c>
      <c r="H502" s="51" t="str">
        <f>IFERROR(__xludf.DUMMYFUNCTION("""COMPUTED_VALUE"""),"")</f>
        <v/>
      </c>
      <c r="I502" s="51" t="str">
        <f>IFERROR(__xludf.DUMMYFUNCTION("""COMPUTED_VALUE"""),"#VALUE!")</f>
        <v>#VALUE!</v>
      </c>
      <c r="J502" s="51" t="str">
        <f>IFERROR(__xludf.DUMMYFUNCTION("""COMPUTED_VALUE"""),"")</f>
        <v/>
      </c>
      <c r="K502" s="51"/>
      <c r="L502" s="51" t="s">
        <v>257</v>
      </c>
      <c r="M502" s="51"/>
      <c r="N502" s="51"/>
      <c r="O502" s="51"/>
      <c r="P502" s="51"/>
      <c r="Q502" s="51"/>
      <c r="R502" s="51"/>
      <c r="S502" s="51"/>
      <c r="T502" s="51"/>
    </row>
    <row r="503">
      <c r="A503" s="51"/>
      <c r="B503" s="51"/>
      <c r="C503" s="56"/>
      <c r="D503" s="51"/>
      <c r="E503" s="51"/>
      <c r="F503" s="51"/>
      <c r="G503" s="51" t="str">
        <f>IFERROR(__xludf.DUMMYFUNCTION("""COMPUTED_VALUE"""),"#VALUE!")</f>
        <v>#VALUE!</v>
      </c>
      <c r="H503" s="51" t="str">
        <f>IFERROR(__xludf.DUMMYFUNCTION("""COMPUTED_VALUE"""),"")</f>
        <v/>
      </c>
      <c r="I503" s="51" t="str">
        <f>IFERROR(__xludf.DUMMYFUNCTION("""COMPUTED_VALUE"""),"#VALUE!")</f>
        <v>#VALUE!</v>
      </c>
      <c r="J503" s="51" t="str">
        <f>IFERROR(__xludf.DUMMYFUNCTION("""COMPUTED_VALUE"""),"")</f>
        <v/>
      </c>
      <c r="K503" s="51"/>
      <c r="L503" s="51" t="s">
        <v>257</v>
      </c>
      <c r="M503" s="51"/>
      <c r="N503" s="51"/>
      <c r="O503" s="51"/>
      <c r="P503" s="51"/>
      <c r="Q503" s="51"/>
      <c r="R503" s="51"/>
      <c r="S503" s="51"/>
      <c r="T503" s="51"/>
    </row>
    <row r="504">
      <c r="A504" s="51"/>
      <c r="B504" s="51"/>
      <c r="C504" s="56"/>
      <c r="D504" s="51"/>
      <c r="E504" s="51"/>
      <c r="F504" s="51"/>
      <c r="G504" s="51" t="str">
        <f>IFERROR(__xludf.DUMMYFUNCTION("""COMPUTED_VALUE"""),"#VALUE!")</f>
        <v>#VALUE!</v>
      </c>
      <c r="H504" s="51" t="str">
        <f>IFERROR(__xludf.DUMMYFUNCTION("""COMPUTED_VALUE"""),"")</f>
        <v/>
      </c>
      <c r="I504" s="51" t="str">
        <f>IFERROR(__xludf.DUMMYFUNCTION("""COMPUTED_VALUE"""),"#VALUE!")</f>
        <v>#VALUE!</v>
      </c>
      <c r="J504" s="51" t="str">
        <f>IFERROR(__xludf.DUMMYFUNCTION("""COMPUTED_VALUE"""),"")</f>
        <v/>
      </c>
      <c r="K504" s="51"/>
      <c r="L504" s="51" t="s">
        <v>257</v>
      </c>
      <c r="M504" s="51"/>
      <c r="N504" s="51"/>
      <c r="O504" s="51"/>
      <c r="P504" s="51"/>
      <c r="Q504" s="51"/>
      <c r="R504" s="51"/>
      <c r="S504" s="51"/>
      <c r="T504" s="51"/>
    </row>
    <row r="505">
      <c r="A505" s="51"/>
      <c r="B505" s="51"/>
      <c r="C505" s="56"/>
      <c r="D505" s="51"/>
      <c r="E505" s="51"/>
      <c r="F505" s="51"/>
      <c r="G505" s="51" t="str">
        <f>IFERROR(__xludf.DUMMYFUNCTION("""COMPUTED_VALUE"""),"#VALUE!")</f>
        <v>#VALUE!</v>
      </c>
      <c r="H505" s="51" t="str">
        <f>IFERROR(__xludf.DUMMYFUNCTION("""COMPUTED_VALUE"""),"")</f>
        <v/>
      </c>
      <c r="I505" s="51" t="str">
        <f>IFERROR(__xludf.DUMMYFUNCTION("""COMPUTED_VALUE"""),"#VALUE!")</f>
        <v>#VALUE!</v>
      </c>
      <c r="J505" s="51" t="str">
        <f>IFERROR(__xludf.DUMMYFUNCTION("""COMPUTED_VALUE"""),"")</f>
        <v/>
      </c>
      <c r="K505" s="51"/>
      <c r="L505" s="51" t="s">
        <v>257</v>
      </c>
      <c r="M505" s="51"/>
      <c r="N505" s="51"/>
      <c r="O505" s="51"/>
      <c r="P505" s="51"/>
      <c r="Q505" s="51"/>
      <c r="R505" s="51"/>
      <c r="S505" s="51"/>
      <c r="T505" s="51"/>
    </row>
    <row r="506">
      <c r="A506" s="51"/>
      <c r="B506" s="51"/>
      <c r="C506" s="56"/>
      <c r="D506" s="51"/>
      <c r="E506" s="51"/>
      <c r="F506" s="51"/>
      <c r="G506" s="51" t="str">
        <f>IFERROR(__xludf.DUMMYFUNCTION("""COMPUTED_VALUE"""),"#VALUE!")</f>
        <v>#VALUE!</v>
      </c>
      <c r="H506" s="51" t="str">
        <f>IFERROR(__xludf.DUMMYFUNCTION("""COMPUTED_VALUE"""),"")</f>
        <v/>
      </c>
      <c r="I506" s="51" t="str">
        <f>IFERROR(__xludf.DUMMYFUNCTION("""COMPUTED_VALUE"""),"#VALUE!")</f>
        <v>#VALUE!</v>
      </c>
      <c r="J506" s="51" t="str">
        <f>IFERROR(__xludf.DUMMYFUNCTION("""COMPUTED_VALUE"""),"")</f>
        <v/>
      </c>
      <c r="K506" s="51"/>
      <c r="L506" s="51" t="s">
        <v>257</v>
      </c>
      <c r="M506" s="51"/>
      <c r="N506" s="51"/>
      <c r="O506" s="51"/>
      <c r="P506" s="51"/>
      <c r="Q506" s="51"/>
      <c r="R506" s="51"/>
      <c r="S506" s="51"/>
      <c r="T506" s="51"/>
    </row>
    <row r="507">
      <c r="A507" s="51"/>
      <c r="B507" s="51"/>
      <c r="C507" s="56"/>
      <c r="D507" s="51"/>
      <c r="E507" s="51"/>
      <c r="F507" s="51"/>
      <c r="G507" s="51" t="str">
        <f>IFERROR(__xludf.DUMMYFUNCTION("""COMPUTED_VALUE"""),"#VALUE!")</f>
        <v>#VALUE!</v>
      </c>
      <c r="H507" s="51" t="str">
        <f>IFERROR(__xludf.DUMMYFUNCTION("""COMPUTED_VALUE"""),"")</f>
        <v/>
      </c>
      <c r="I507" s="51" t="str">
        <f>IFERROR(__xludf.DUMMYFUNCTION("""COMPUTED_VALUE"""),"#VALUE!")</f>
        <v>#VALUE!</v>
      </c>
      <c r="J507" s="51" t="str">
        <f>IFERROR(__xludf.DUMMYFUNCTION("""COMPUTED_VALUE"""),"")</f>
        <v/>
      </c>
      <c r="K507" s="51"/>
      <c r="L507" s="51" t="s">
        <v>257</v>
      </c>
      <c r="M507" s="51"/>
      <c r="N507" s="51"/>
      <c r="O507" s="51"/>
      <c r="P507" s="51"/>
      <c r="Q507" s="51"/>
      <c r="R507" s="51"/>
      <c r="S507" s="51"/>
      <c r="T507" s="51"/>
    </row>
    <row r="508">
      <c r="A508" s="51"/>
      <c r="B508" s="51"/>
      <c r="C508" s="56"/>
      <c r="D508" s="51"/>
      <c r="E508" s="51"/>
      <c r="F508" s="51"/>
      <c r="G508" s="51" t="str">
        <f>IFERROR(__xludf.DUMMYFUNCTION("""COMPUTED_VALUE"""),"#VALUE!")</f>
        <v>#VALUE!</v>
      </c>
      <c r="H508" s="51" t="str">
        <f>IFERROR(__xludf.DUMMYFUNCTION("""COMPUTED_VALUE"""),"")</f>
        <v/>
      </c>
      <c r="I508" s="51" t="str">
        <f>IFERROR(__xludf.DUMMYFUNCTION("""COMPUTED_VALUE"""),"#VALUE!")</f>
        <v>#VALUE!</v>
      </c>
      <c r="J508" s="51" t="str">
        <f>IFERROR(__xludf.DUMMYFUNCTION("""COMPUTED_VALUE"""),"")</f>
        <v/>
      </c>
      <c r="K508" s="51"/>
      <c r="L508" s="51" t="s">
        <v>257</v>
      </c>
      <c r="M508" s="51"/>
      <c r="N508" s="51"/>
      <c r="O508" s="51"/>
      <c r="P508" s="51"/>
      <c r="Q508" s="51"/>
      <c r="R508" s="51"/>
      <c r="S508" s="51"/>
      <c r="T508" s="51"/>
    </row>
    <row r="509">
      <c r="A509" s="51"/>
      <c r="B509" s="51"/>
      <c r="C509" s="56"/>
      <c r="D509" s="51"/>
      <c r="E509" s="51"/>
      <c r="F509" s="51"/>
      <c r="G509" s="51" t="str">
        <f>IFERROR(__xludf.DUMMYFUNCTION("""COMPUTED_VALUE"""),"#VALUE!")</f>
        <v>#VALUE!</v>
      </c>
      <c r="H509" s="51" t="str">
        <f>IFERROR(__xludf.DUMMYFUNCTION("""COMPUTED_VALUE"""),"")</f>
        <v/>
      </c>
      <c r="I509" s="51" t="str">
        <f>IFERROR(__xludf.DUMMYFUNCTION("""COMPUTED_VALUE"""),"#VALUE!")</f>
        <v>#VALUE!</v>
      </c>
      <c r="J509" s="51" t="str">
        <f>IFERROR(__xludf.DUMMYFUNCTION("""COMPUTED_VALUE"""),"")</f>
        <v/>
      </c>
      <c r="K509" s="51"/>
      <c r="L509" s="51" t="s">
        <v>257</v>
      </c>
      <c r="M509" s="51"/>
      <c r="N509" s="51"/>
      <c r="O509" s="51"/>
      <c r="P509" s="51"/>
      <c r="Q509" s="51"/>
      <c r="R509" s="51"/>
      <c r="S509" s="51"/>
      <c r="T509" s="51"/>
    </row>
    <row r="510">
      <c r="A510" s="51"/>
      <c r="B510" s="51"/>
      <c r="C510" s="56"/>
      <c r="D510" s="51"/>
      <c r="E510" s="51"/>
      <c r="F510" s="51"/>
      <c r="G510" s="51" t="str">
        <f>IFERROR(__xludf.DUMMYFUNCTION("""COMPUTED_VALUE"""),"#VALUE!")</f>
        <v>#VALUE!</v>
      </c>
      <c r="H510" s="51" t="str">
        <f>IFERROR(__xludf.DUMMYFUNCTION("""COMPUTED_VALUE"""),"")</f>
        <v/>
      </c>
      <c r="I510" s="51" t="str">
        <f>IFERROR(__xludf.DUMMYFUNCTION("""COMPUTED_VALUE"""),"#VALUE!")</f>
        <v>#VALUE!</v>
      </c>
      <c r="J510" s="51" t="str">
        <f>IFERROR(__xludf.DUMMYFUNCTION("""COMPUTED_VALUE"""),"")</f>
        <v/>
      </c>
      <c r="K510" s="51"/>
      <c r="L510" s="51" t="s">
        <v>257</v>
      </c>
      <c r="M510" s="51"/>
      <c r="N510" s="51"/>
      <c r="O510" s="51"/>
      <c r="P510" s="51"/>
      <c r="Q510" s="51"/>
      <c r="R510" s="51"/>
      <c r="S510" s="51"/>
      <c r="T510" s="51"/>
    </row>
    <row r="511">
      <c r="A511" s="51"/>
      <c r="B511" s="51"/>
      <c r="C511" s="56"/>
      <c r="D511" s="51"/>
      <c r="E511" s="51"/>
      <c r="F511" s="51"/>
      <c r="G511" s="51" t="str">
        <f>IFERROR(__xludf.DUMMYFUNCTION("""COMPUTED_VALUE"""),"#VALUE!")</f>
        <v>#VALUE!</v>
      </c>
      <c r="H511" s="51" t="str">
        <f>IFERROR(__xludf.DUMMYFUNCTION("""COMPUTED_VALUE"""),"")</f>
        <v/>
      </c>
      <c r="I511" s="51" t="str">
        <f>IFERROR(__xludf.DUMMYFUNCTION("""COMPUTED_VALUE"""),"#VALUE!")</f>
        <v>#VALUE!</v>
      </c>
      <c r="J511" s="51" t="str">
        <f>IFERROR(__xludf.DUMMYFUNCTION("""COMPUTED_VALUE"""),"")</f>
        <v/>
      </c>
      <c r="K511" s="51"/>
      <c r="L511" s="51" t="s">
        <v>257</v>
      </c>
      <c r="M511" s="51"/>
      <c r="N511" s="51"/>
      <c r="O511" s="51"/>
      <c r="P511" s="51"/>
      <c r="Q511" s="51"/>
      <c r="R511" s="51"/>
      <c r="S511" s="51"/>
      <c r="T511" s="51"/>
    </row>
    <row r="512">
      <c r="A512" s="51"/>
      <c r="B512" s="51"/>
      <c r="C512" s="56"/>
      <c r="D512" s="51"/>
      <c r="E512" s="51"/>
      <c r="F512" s="51"/>
      <c r="G512" s="51" t="str">
        <f>IFERROR(__xludf.DUMMYFUNCTION("""COMPUTED_VALUE"""),"#VALUE!")</f>
        <v>#VALUE!</v>
      </c>
      <c r="H512" s="51" t="str">
        <f>IFERROR(__xludf.DUMMYFUNCTION("""COMPUTED_VALUE"""),"")</f>
        <v/>
      </c>
      <c r="I512" s="51" t="str">
        <f>IFERROR(__xludf.DUMMYFUNCTION("""COMPUTED_VALUE"""),"#VALUE!")</f>
        <v>#VALUE!</v>
      </c>
      <c r="J512" s="51" t="str">
        <f>IFERROR(__xludf.DUMMYFUNCTION("""COMPUTED_VALUE"""),"")</f>
        <v/>
      </c>
      <c r="K512" s="51"/>
      <c r="L512" s="51" t="s">
        <v>257</v>
      </c>
      <c r="M512" s="51"/>
      <c r="N512" s="51"/>
      <c r="O512" s="51"/>
      <c r="P512" s="51"/>
      <c r="Q512" s="51"/>
      <c r="R512" s="51"/>
      <c r="S512" s="51"/>
      <c r="T512" s="51"/>
    </row>
    <row r="513">
      <c r="A513" s="51"/>
      <c r="B513" s="51"/>
      <c r="C513" s="56"/>
      <c r="D513" s="51"/>
      <c r="E513" s="51"/>
      <c r="F513" s="51"/>
      <c r="G513" s="51" t="str">
        <f>IFERROR(__xludf.DUMMYFUNCTION("""COMPUTED_VALUE"""),"#VALUE!")</f>
        <v>#VALUE!</v>
      </c>
      <c r="H513" s="51" t="str">
        <f>IFERROR(__xludf.DUMMYFUNCTION("""COMPUTED_VALUE"""),"")</f>
        <v/>
      </c>
      <c r="I513" s="51" t="str">
        <f>IFERROR(__xludf.DUMMYFUNCTION("""COMPUTED_VALUE"""),"#VALUE!")</f>
        <v>#VALUE!</v>
      </c>
      <c r="J513" s="51" t="str">
        <f>IFERROR(__xludf.DUMMYFUNCTION("""COMPUTED_VALUE"""),"")</f>
        <v/>
      </c>
      <c r="K513" s="51"/>
      <c r="L513" s="51" t="s">
        <v>257</v>
      </c>
      <c r="M513" s="51"/>
      <c r="N513" s="51"/>
      <c r="O513" s="51"/>
      <c r="P513" s="51"/>
      <c r="Q513" s="51"/>
      <c r="R513" s="51"/>
      <c r="S513" s="51"/>
      <c r="T513" s="51"/>
    </row>
    <row r="514">
      <c r="A514" s="51"/>
      <c r="B514" s="51"/>
      <c r="C514" s="56"/>
      <c r="D514" s="51"/>
      <c r="E514" s="51"/>
      <c r="F514" s="51"/>
      <c r="G514" s="51" t="str">
        <f>IFERROR(__xludf.DUMMYFUNCTION("""COMPUTED_VALUE"""),"#VALUE!")</f>
        <v>#VALUE!</v>
      </c>
      <c r="H514" s="51" t="str">
        <f>IFERROR(__xludf.DUMMYFUNCTION("""COMPUTED_VALUE"""),"")</f>
        <v/>
      </c>
      <c r="I514" s="51" t="str">
        <f>IFERROR(__xludf.DUMMYFUNCTION("""COMPUTED_VALUE"""),"#VALUE!")</f>
        <v>#VALUE!</v>
      </c>
      <c r="J514" s="51" t="str">
        <f>IFERROR(__xludf.DUMMYFUNCTION("""COMPUTED_VALUE"""),"")</f>
        <v/>
      </c>
      <c r="K514" s="51"/>
      <c r="L514" s="51" t="s">
        <v>257</v>
      </c>
      <c r="M514" s="51"/>
      <c r="N514" s="51"/>
      <c r="O514" s="51"/>
      <c r="P514" s="51"/>
      <c r="Q514" s="51"/>
      <c r="R514" s="51"/>
      <c r="S514" s="51"/>
      <c r="T514" s="51"/>
    </row>
    <row r="515">
      <c r="A515" s="51"/>
      <c r="B515" s="51"/>
      <c r="C515" s="56"/>
      <c r="D515" s="51"/>
      <c r="E515" s="51"/>
      <c r="F515" s="51"/>
      <c r="G515" s="51" t="str">
        <f>IFERROR(__xludf.DUMMYFUNCTION("""COMPUTED_VALUE"""),"#VALUE!")</f>
        <v>#VALUE!</v>
      </c>
      <c r="H515" s="51" t="str">
        <f>IFERROR(__xludf.DUMMYFUNCTION("""COMPUTED_VALUE"""),"")</f>
        <v/>
      </c>
      <c r="I515" s="51" t="str">
        <f>IFERROR(__xludf.DUMMYFUNCTION("""COMPUTED_VALUE"""),"#VALUE!")</f>
        <v>#VALUE!</v>
      </c>
      <c r="J515" s="51" t="str">
        <f>IFERROR(__xludf.DUMMYFUNCTION("""COMPUTED_VALUE"""),"")</f>
        <v/>
      </c>
      <c r="K515" s="51"/>
      <c r="L515" s="51" t="s">
        <v>257</v>
      </c>
      <c r="M515" s="51"/>
      <c r="N515" s="51"/>
      <c r="O515" s="51"/>
      <c r="P515" s="51"/>
      <c r="Q515" s="51"/>
      <c r="R515" s="51"/>
      <c r="S515" s="51"/>
      <c r="T515" s="51"/>
    </row>
    <row r="516">
      <c r="A516" s="51"/>
      <c r="B516" s="51"/>
      <c r="C516" s="56"/>
      <c r="D516" s="51"/>
      <c r="E516" s="51"/>
      <c r="F516" s="51"/>
      <c r="G516" s="51" t="str">
        <f>IFERROR(__xludf.DUMMYFUNCTION("""COMPUTED_VALUE"""),"#VALUE!")</f>
        <v>#VALUE!</v>
      </c>
      <c r="H516" s="51" t="str">
        <f>IFERROR(__xludf.DUMMYFUNCTION("""COMPUTED_VALUE"""),"")</f>
        <v/>
      </c>
      <c r="I516" s="51" t="str">
        <f>IFERROR(__xludf.DUMMYFUNCTION("""COMPUTED_VALUE"""),"#VALUE!")</f>
        <v>#VALUE!</v>
      </c>
      <c r="J516" s="51" t="str">
        <f>IFERROR(__xludf.DUMMYFUNCTION("""COMPUTED_VALUE"""),"")</f>
        <v/>
      </c>
      <c r="K516" s="51"/>
      <c r="L516" s="51" t="s">
        <v>257</v>
      </c>
      <c r="M516" s="51"/>
      <c r="N516" s="51"/>
      <c r="O516" s="51"/>
      <c r="P516" s="51"/>
      <c r="Q516" s="51"/>
      <c r="R516" s="51"/>
      <c r="S516" s="51"/>
      <c r="T516" s="51"/>
    </row>
    <row r="517">
      <c r="A517" s="51"/>
      <c r="B517" s="51"/>
      <c r="C517" s="56"/>
      <c r="D517" s="51"/>
      <c r="E517" s="51"/>
      <c r="F517" s="51"/>
      <c r="G517" s="51" t="str">
        <f>IFERROR(__xludf.DUMMYFUNCTION("""COMPUTED_VALUE"""),"#VALUE!")</f>
        <v>#VALUE!</v>
      </c>
      <c r="H517" s="51" t="str">
        <f>IFERROR(__xludf.DUMMYFUNCTION("""COMPUTED_VALUE"""),"")</f>
        <v/>
      </c>
      <c r="I517" s="51" t="str">
        <f>IFERROR(__xludf.DUMMYFUNCTION("""COMPUTED_VALUE"""),"#VALUE!")</f>
        <v>#VALUE!</v>
      </c>
      <c r="J517" s="51" t="str">
        <f>IFERROR(__xludf.DUMMYFUNCTION("""COMPUTED_VALUE"""),"")</f>
        <v/>
      </c>
      <c r="K517" s="51"/>
      <c r="L517" s="51" t="s">
        <v>257</v>
      </c>
      <c r="M517" s="51"/>
      <c r="N517" s="51"/>
      <c r="O517" s="51"/>
      <c r="P517" s="51"/>
      <c r="Q517" s="51"/>
      <c r="R517" s="51"/>
      <c r="S517" s="51"/>
      <c r="T517" s="51"/>
    </row>
    <row r="518">
      <c r="A518" s="51"/>
      <c r="B518" s="51"/>
      <c r="C518" s="56"/>
      <c r="D518" s="51"/>
      <c r="E518" s="51"/>
      <c r="F518" s="51"/>
      <c r="G518" s="51" t="str">
        <f>IFERROR(__xludf.DUMMYFUNCTION("""COMPUTED_VALUE"""),"#VALUE!")</f>
        <v>#VALUE!</v>
      </c>
      <c r="H518" s="51" t="str">
        <f>IFERROR(__xludf.DUMMYFUNCTION("""COMPUTED_VALUE"""),"")</f>
        <v/>
      </c>
      <c r="I518" s="51" t="str">
        <f>IFERROR(__xludf.DUMMYFUNCTION("""COMPUTED_VALUE"""),"#VALUE!")</f>
        <v>#VALUE!</v>
      </c>
      <c r="J518" s="51" t="str">
        <f>IFERROR(__xludf.DUMMYFUNCTION("""COMPUTED_VALUE"""),"")</f>
        <v/>
      </c>
      <c r="K518" s="51"/>
      <c r="L518" s="51" t="s">
        <v>257</v>
      </c>
      <c r="M518" s="51"/>
      <c r="N518" s="51"/>
      <c r="O518" s="51"/>
      <c r="P518" s="51"/>
      <c r="Q518" s="51"/>
      <c r="R518" s="51"/>
      <c r="S518" s="51"/>
      <c r="T518" s="51"/>
    </row>
    <row r="519">
      <c r="A519" s="51"/>
      <c r="B519" s="51"/>
      <c r="C519" s="56"/>
      <c r="D519" s="51"/>
      <c r="E519" s="51"/>
      <c r="F519" s="51"/>
      <c r="G519" s="51" t="str">
        <f>IFERROR(__xludf.DUMMYFUNCTION("""COMPUTED_VALUE"""),"#VALUE!")</f>
        <v>#VALUE!</v>
      </c>
      <c r="H519" s="51" t="str">
        <f>IFERROR(__xludf.DUMMYFUNCTION("""COMPUTED_VALUE"""),"")</f>
        <v/>
      </c>
      <c r="I519" s="51" t="str">
        <f>IFERROR(__xludf.DUMMYFUNCTION("""COMPUTED_VALUE"""),"#VALUE!")</f>
        <v>#VALUE!</v>
      </c>
      <c r="J519" s="51" t="str">
        <f>IFERROR(__xludf.DUMMYFUNCTION("""COMPUTED_VALUE"""),"")</f>
        <v/>
      </c>
      <c r="K519" s="51"/>
      <c r="L519" s="51" t="s">
        <v>257</v>
      </c>
      <c r="M519" s="51"/>
      <c r="N519" s="51"/>
      <c r="O519" s="51"/>
      <c r="P519" s="51"/>
      <c r="Q519" s="51"/>
      <c r="R519" s="51"/>
      <c r="S519" s="51"/>
      <c r="T519" s="51"/>
    </row>
    <row r="520">
      <c r="A520" s="51"/>
      <c r="B520" s="51"/>
      <c r="C520" s="56"/>
      <c r="D520" s="51"/>
      <c r="E520" s="51"/>
      <c r="F520" s="51"/>
      <c r="G520" s="51" t="str">
        <f>IFERROR(__xludf.DUMMYFUNCTION("""COMPUTED_VALUE"""),"#VALUE!")</f>
        <v>#VALUE!</v>
      </c>
      <c r="H520" s="51" t="str">
        <f>IFERROR(__xludf.DUMMYFUNCTION("""COMPUTED_VALUE"""),"")</f>
        <v/>
      </c>
      <c r="I520" s="51" t="str">
        <f>IFERROR(__xludf.DUMMYFUNCTION("""COMPUTED_VALUE"""),"#VALUE!")</f>
        <v>#VALUE!</v>
      </c>
      <c r="J520" s="51" t="str">
        <f>IFERROR(__xludf.DUMMYFUNCTION("""COMPUTED_VALUE"""),"")</f>
        <v/>
      </c>
      <c r="K520" s="51"/>
      <c r="L520" s="51" t="s">
        <v>257</v>
      </c>
      <c r="M520" s="51"/>
      <c r="N520" s="51"/>
      <c r="O520" s="51"/>
      <c r="P520" s="51"/>
      <c r="Q520" s="51"/>
      <c r="R520" s="51"/>
      <c r="S520" s="51"/>
      <c r="T520" s="51"/>
    </row>
    <row r="521">
      <c r="A521" s="51"/>
      <c r="B521" s="51"/>
      <c r="C521" s="56"/>
      <c r="D521" s="51"/>
      <c r="E521" s="51"/>
      <c r="F521" s="51"/>
      <c r="G521" s="51" t="str">
        <f>IFERROR(__xludf.DUMMYFUNCTION("""COMPUTED_VALUE"""),"#VALUE!")</f>
        <v>#VALUE!</v>
      </c>
      <c r="H521" s="51" t="str">
        <f>IFERROR(__xludf.DUMMYFUNCTION("""COMPUTED_VALUE"""),"")</f>
        <v/>
      </c>
      <c r="I521" s="51" t="str">
        <f>IFERROR(__xludf.DUMMYFUNCTION("""COMPUTED_VALUE"""),"#VALUE!")</f>
        <v>#VALUE!</v>
      </c>
      <c r="J521" s="51" t="str">
        <f>IFERROR(__xludf.DUMMYFUNCTION("""COMPUTED_VALUE"""),"")</f>
        <v/>
      </c>
      <c r="K521" s="51"/>
      <c r="L521" s="51" t="s">
        <v>257</v>
      </c>
      <c r="M521" s="51"/>
      <c r="N521" s="51"/>
      <c r="O521" s="51"/>
      <c r="P521" s="51"/>
      <c r="Q521" s="51"/>
      <c r="R521" s="51"/>
      <c r="S521" s="51"/>
      <c r="T521" s="51"/>
    </row>
    <row r="522">
      <c r="A522" s="51"/>
      <c r="B522" s="51"/>
      <c r="C522" s="56"/>
      <c r="D522" s="51"/>
      <c r="E522" s="51"/>
      <c r="F522" s="51"/>
      <c r="G522" s="51" t="str">
        <f>IFERROR(__xludf.DUMMYFUNCTION("""COMPUTED_VALUE"""),"#VALUE!")</f>
        <v>#VALUE!</v>
      </c>
      <c r="H522" s="51" t="str">
        <f>IFERROR(__xludf.DUMMYFUNCTION("""COMPUTED_VALUE"""),"")</f>
        <v/>
      </c>
      <c r="I522" s="51" t="str">
        <f>IFERROR(__xludf.DUMMYFUNCTION("""COMPUTED_VALUE"""),"#VALUE!")</f>
        <v>#VALUE!</v>
      </c>
      <c r="J522" s="51" t="str">
        <f>IFERROR(__xludf.DUMMYFUNCTION("""COMPUTED_VALUE"""),"")</f>
        <v/>
      </c>
      <c r="K522" s="51"/>
      <c r="L522" s="51" t="s">
        <v>257</v>
      </c>
      <c r="M522" s="51"/>
      <c r="N522" s="51"/>
      <c r="O522" s="51"/>
      <c r="P522" s="51"/>
      <c r="Q522" s="51"/>
      <c r="R522" s="51"/>
      <c r="S522" s="51"/>
      <c r="T522" s="51"/>
    </row>
    <row r="523">
      <c r="A523" s="51"/>
      <c r="B523" s="51"/>
      <c r="C523" s="56"/>
      <c r="D523" s="51"/>
      <c r="E523" s="51"/>
      <c r="F523" s="51"/>
      <c r="G523" s="51" t="str">
        <f>IFERROR(__xludf.DUMMYFUNCTION("""COMPUTED_VALUE"""),"#VALUE!")</f>
        <v>#VALUE!</v>
      </c>
      <c r="H523" s="51" t="str">
        <f>IFERROR(__xludf.DUMMYFUNCTION("""COMPUTED_VALUE"""),"")</f>
        <v/>
      </c>
      <c r="I523" s="51" t="str">
        <f>IFERROR(__xludf.DUMMYFUNCTION("""COMPUTED_VALUE"""),"#VALUE!")</f>
        <v>#VALUE!</v>
      </c>
      <c r="J523" s="51" t="str">
        <f>IFERROR(__xludf.DUMMYFUNCTION("""COMPUTED_VALUE"""),"")</f>
        <v/>
      </c>
      <c r="K523" s="51"/>
      <c r="L523" s="51" t="s">
        <v>257</v>
      </c>
      <c r="M523" s="51"/>
      <c r="N523" s="51"/>
      <c r="O523" s="51"/>
      <c r="P523" s="51"/>
      <c r="Q523" s="51"/>
      <c r="R523" s="51"/>
      <c r="S523" s="51"/>
      <c r="T523" s="51"/>
    </row>
    <row r="524">
      <c r="A524" s="51"/>
      <c r="B524" s="51"/>
      <c r="C524" s="56"/>
      <c r="D524" s="51"/>
      <c r="E524" s="51"/>
      <c r="F524" s="51"/>
      <c r="G524" s="51" t="str">
        <f>IFERROR(__xludf.DUMMYFUNCTION("""COMPUTED_VALUE"""),"#VALUE!")</f>
        <v>#VALUE!</v>
      </c>
      <c r="H524" s="51" t="str">
        <f>IFERROR(__xludf.DUMMYFUNCTION("""COMPUTED_VALUE"""),"")</f>
        <v/>
      </c>
      <c r="I524" s="51" t="str">
        <f>IFERROR(__xludf.DUMMYFUNCTION("""COMPUTED_VALUE"""),"#VALUE!")</f>
        <v>#VALUE!</v>
      </c>
      <c r="J524" s="51" t="str">
        <f>IFERROR(__xludf.DUMMYFUNCTION("""COMPUTED_VALUE"""),"")</f>
        <v/>
      </c>
      <c r="K524" s="51"/>
      <c r="L524" s="51" t="s">
        <v>257</v>
      </c>
      <c r="M524" s="51"/>
      <c r="N524" s="51"/>
      <c r="O524" s="51"/>
      <c r="P524" s="51"/>
      <c r="Q524" s="51"/>
      <c r="R524" s="51"/>
      <c r="S524" s="51"/>
      <c r="T524" s="51"/>
    </row>
    <row r="525">
      <c r="A525" s="51"/>
      <c r="B525" s="51"/>
      <c r="C525" s="56"/>
      <c r="D525" s="51"/>
      <c r="E525" s="51"/>
      <c r="F525" s="51"/>
      <c r="G525" s="51" t="str">
        <f>IFERROR(__xludf.DUMMYFUNCTION("""COMPUTED_VALUE"""),"#VALUE!")</f>
        <v>#VALUE!</v>
      </c>
      <c r="H525" s="51" t="str">
        <f>IFERROR(__xludf.DUMMYFUNCTION("""COMPUTED_VALUE"""),"")</f>
        <v/>
      </c>
      <c r="I525" s="51" t="str">
        <f>IFERROR(__xludf.DUMMYFUNCTION("""COMPUTED_VALUE"""),"#VALUE!")</f>
        <v>#VALUE!</v>
      </c>
      <c r="J525" s="51" t="str">
        <f>IFERROR(__xludf.DUMMYFUNCTION("""COMPUTED_VALUE"""),"")</f>
        <v/>
      </c>
      <c r="K525" s="51"/>
      <c r="L525" s="51" t="s">
        <v>257</v>
      </c>
      <c r="M525" s="51"/>
      <c r="N525" s="51"/>
      <c r="O525" s="51"/>
      <c r="P525" s="51"/>
      <c r="Q525" s="51"/>
      <c r="R525" s="51"/>
      <c r="S525" s="51"/>
      <c r="T525" s="51"/>
    </row>
    <row r="526">
      <c r="A526" s="51"/>
      <c r="B526" s="51"/>
      <c r="C526" s="56"/>
      <c r="D526" s="51"/>
      <c r="E526" s="51"/>
      <c r="F526" s="51"/>
      <c r="G526" s="51" t="str">
        <f>IFERROR(__xludf.DUMMYFUNCTION("""COMPUTED_VALUE"""),"#VALUE!")</f>
        <v>#VALUE!</v>
      </c>
      <c r="H526" s="51" t="str">
        <f>IFERROR(__xludf.DUMMYFUNCTION("""COMPUTED_VALUE"""),"")</f>
        <v/>
      </c>
      <c r="I526" s="51" t="str">
        <f>IFERROR(__xludf.DUMMYFUNCTION("""COMPUTED_VALUE"""),"#VALUE!")</f>
        <v>#VALUE!</v>
      </c>
      <c r="J526" s="51" t="str">
        <f>IFERROR(__xludf.DUMMYFUNCTION("""COMPUTED_VALUE"""),"")</f>
        <v/>
      </c>
      <c r="K526" s="51"/>
      <c r="L526" s="51" t="s">
        <v>257</v>
      </c>
      <c r="M526" s="51"/>
      <c r="N526" s="51"/>
      <c r="O526" s="51"/>
      <c r="P526" s="51"/>
      <c r="Q526" s="51"/>
      <c r="R526" s="51"/>
      <c r="S526" s="51"/>
      <c r="T526" s="51"/>
    </row>
    <row r="527">
      <c r="A527" s="51"/>
      <c r="B527" s="51"/>
      <c r="C527" s="56"/>
      <c r="D527" s="51"/>
      <c r="E527" s="51"/>
      <c r="F527" s="51"/>
      <c r="G527" s="51" t="str">
        <f>IFERROR(__xludf.DUMMYFUNCTION("""COMPUTED_VALUE"""),"#VALUE!")</f>
        <v>#VALUE!</v>
      </c>
      <c r="H527" s="51" t="str">
        <f>IFERROR(__xludf.DUMMYFUNCTION("""COMPUTED_VALUE"""),"")</f>
        <v/>
      </c>
      <c r="I527" s="51" t="str">
        <f>IFERROR(__xludf.DUMMYFUNCTION("""COMPUTED_VALUE"""),"#VALUE!")</f>
        <v>#VALUE!</v>
      </c>
      <c r="J527" s="51" t="str">
        <f>IFERROR(__xludf.DUMMYFUNCTION("""COMPUTED_VALUE"""),"")</f>
        <v/>
      </c>
      <c r="K527" s="51"/>
      <c r="L527" s="51" t="s">
        <v>257</v>
      </c>
      <c r="M527" s="51"/>
      <c r="N527" s="51"/>
      <c r="O527" s="51"/>
      <c r="P527" s="51"/>
      <c r="Q527" s="51"/>
      <c r="R527" s="51"/>
      <c r="S527" s="51"/>
      <c r="T527" s="51"/>
    </row>
    <row r="528">
      <c r="A528" s="51"/>
      <c r="B528" s="51"/>
      <c r="C528" s="56"/>
      <c r="D528" s="51"/>
      <c r="E528" s="51"/>
      <c r="F528" s="51"/>
      <c r="G528" s="51" t="str">
        <f>IFERROR(__xludf.DUMMYFUNCTION("""COMPUTED_VALUE"""),"#VALUE!")</f>
        <v>#VALUE!</v>
      </c>
      <c r="H528" s="51" t="str">
        <f>IFERROR(__xludf.DUMMYFUNCTION("""COMPUTED_VALUE"""),"")</f>
        <v/>
      </c>
      <c r="I528" s="51" t="str">
        <f>IFERROR(__xludf.DUMMYFUNCTION("""COMPUTED_VALUE"""),"#VALUE!")</f>
        <v>#VALUE!</v>
      </c>
      <c r="J528" s="51" t="str">
        <f>IFERROR(__xludf.DUMMYFUNCTION("""COMPUTED_VALUE"""),"")</f>
        <v/>
      </c>
      <c r="K528" s="51"/>
      <c r="L528" s="51" t="s">
        <v>257</v>
      </c>
      <c r="M528" s="51"/>
      <c r="N528" s="51"/>
      <c r="O528" s="51"/>
      <c r="P528" s="51"/>
      <c r="Q528" s="51"/>
      <c r="R528" s="51"/>
      <c r="S528" s="51"/>
      <c r="T528" s="51"/>
    </row>
    <row r="529">
      <c r="A529" s="51"/>
      <c r="B529" s="51"/>
      <c r="C529" s="56"/>
      <c r="D529" s="51"/>
      <c r="E529" s="51"/>
      <c r="F529" s="51"/>
      <c r="G529" s="51" t="str">
        <f>IFERROR(__xludf.DUMMYFUNCTION("""COMPUTED_VALUE"""),"#VALUE!")</f>
        <v>#VALUE!</v>
      </c>
      <c r="H529" s="51" t="str">
        <f>IFERROR(__xludf.DUMMYFUNCTION("""COMPUTED_VALUE"""),"")</f>
        <v/>
      </c>
      <c r="I529" s="51" t="str">
        <f>IFERROR(__xludf.DUMMYFUNCTION("""COMPUTED_VALUE"""),"#VALUE!")</f>
        <v>#VALUE!</v>
      </c>
      <c r="J529" s="51" t="str">
        <f>IFERROR(__xludf.DUMMYFUNCTION("""COMPUTED_VALUE"""),"")</f>
        <v/>
      </c>
      <c r="K529" s="51"/>
      <c r="L529" s="51" t="s">
        <v>257</v>
      </c>
      <c r="M529" s="51"/>
      <c r="N529" s="51"/>
      <c r="O529" s="51"/>
      <c r="P529" s="51"/>
      <c r="Q529" s="51"/>
      <c r="R529" s="51"/>
      <c r="S529" s="51"/>
      <c r="T529" s="51"/>
    </row>
    <row r="530">
      <c r="A530" s="51"/>
      <c r="B530" s="51"/>
      <c r="C530" s="56"/>
      <c r="D530" s="51"/>
      <c r="E530" s="51"/>
      <c r="F530" s="51"/>
      <c r="G530" s="51" t="str">
        <f>IFERROR(__xludf.DUMMYFUNCTION("""COMPUTED_VALUE"""),"#VALUE!")</f>
        <v>#VALUE!</v>
      </c>
      <c r="H530" s="51" t="str">
        <f>IFERROR(__xludf.DUMMYFUNCTION("""COMPUTED_VALUE"""),"")</f>
        <v/>
      </c>
      <c r="I530" s="51" t="str">
        <f>IFERROR(__xludf.DUMMYFUNCTION("""COMPUTED_VALUE"""),"#VALUE!")</f>
        <v>#VALUE!</v>
      </c>
      <c r="J530" s="51" t="str">
        <f>IFERROR(__xludf.DUMMYFUNCTION("""COMPUTED_VALUE"""),"")</f>
        <v/>
      </c>
      <c r="K530" s="51"/>
      <c r="L530" s="51" t="s">
        <v>257</v>
      </c>
      <c r="M530" s="51"/>
      <c r="N530" s="51"/>
      <c r="O530" s="51"/>
      <c r="P530" s="51"/>
      <c r="Q530" s="51"/>
      <c r="R530" s="51"/>
      <c r="S530" s="51"/>
      <c r="T530" s="51"/>
    </row>
    <row r="531">
      <c r="A531" s="51"/>
      <c r="B531" s="51"/>
      <c r="C531" s="56"/>
      <c r="D531" s="51"/>
      <c r="E531" s="51"/>
      <c r="F531" s="51"/>
      <c r="G531" s="51" t="str">
        <f>IFERROR(__xludf.DUMMYFUNCTION("""COMPUTED_VALUE"""),"#VALUE!")</f>
        <v>#VALUE!</v>
      </c>
      <c r="H531" s="51" t="str">
        <f>IFERROR(__xludf.DUMMYFUNCTION("""COMPUTED_VALUE"""),"")</f>
        <v/>
      </c>
      <c r="I531" s="51" t="str">
        <f>IFERROR(__xludf.DUMMYFUNCTION("""COMPUTED_VALUE"""),"#VALUE!")</f>
        <v>#VALUE!</v>
      </c>
      <c r="J531" s="51" t="str">
        <f>IFERROR(__xludf.DUMMYFUNCTION("""COMPUTED_VALUE"""),"")</f>
        <v/>
      </c>
      <c r="K531" s="51"/>
      <c r="L531" s="51" t="s">
        <v>257</v>
      </c>
      <c r="M531" s="51"/>
      <c r="N531" s="51"/>
      <c r="O531" s="51"/>
      <c r="P531" s="51"/>
      <c r="Q531" s="51"/>
      <c r="R531" s="51"/>
      <c r="S531" s="51"/>
      <c r="T531" s="51"/>
    </row>
    <row r="532">
      <c r="A532" s="51"/>
      <c r="B532" s="51"/>
      <c r="C532" s="56"/>
      <c r="D532" s="51"/>
      <c r="E532" s="51"/>
      <c r="F532" s="51"/>
      <c r="G532" s="51" t="str">
        <f>IFERROR(__xludf.DUMMYFUNCTION("""COMPUTED_VALUE"""),"#VALUE!")</f>
        <v>#VALUE!</v>
      </c>
      <c r="H532" s="51" t="str">
        <f>IFERROR(__xludf.DUMMYFUNCTION("""COMPUTED_VALUE"""),"")</f>
        <v/>
      </c>
      <c r="I532" s="51" t="str">
        <f>IFERROR(__xludf.DUMMYFUNCTION("""COMPUTED_VALUE"""),"#VALUE!")</f>
        <v>#VALUE!</v>
      </c>
      <c r="J532" s="51" t="str">
        <f>IFERROR(__xludf.DUMMYFUNCTION("""COMPUTED_VALUE"""),"")</f>
        <v/>
      </c>
      <c r="K532" s="51"/>
      <c r="L532" s="51" t="s">
        <v>257</v>
      </c>
      <c r="M532" s="51"/>
      <c r="N532" s="51"/>
      <c r="O532" s="51"/>
      <c r="P532" s="51"/>
      <c r="Q532" s="51"/>
      <c r="R532" s="51"/>
      <c r="S532" s="51"/>
      <c r="T532" s="51"/>
    </row>
    <row r="533">
      <c r="A533" s="51"/>
      <c r="B533" s="51"/>
      <c r="C533" s="56"/>
      <c r="D533" s="51"/>
      <c r="E533" s="51"/>
      <c r="F533" s="51"/>
      <c r="G533" s="51" t="str">
        <f>IFERROR(__xludf.DUMMYFUNCTION("""COMPUTED_VALUE"""),"#VALUE!")</f>
        <v>#VALUE!</v>
      </c>
      <c r="H533" s="51" t="str">
        <f>IFERROR(__xludf.DUMMYFUNCTION("""COMPUTED_VALUE"""),"")</f>
        <v/>
      </c>
      <c r="I533" s="51" t="str">
        <f>IFERROR(__xludf.DUMMYFUNCTION("""COMPUTED_VALUE"""),"#VALUE!")</f>
        <v>#VALUE!</v>
      </c>
      <c r="J533" s="51" t="str">
        <f>IFERROR(__xludf.DUMMYFUNCTION("""COMPUTED_VALUE"""),"")</f>
        <v/>
      </c>
      <c r="K533" s="51"/>
      <c r="L533" s="51" t="s">
        <v>257</v>
      </c>
      <c r="M533" s="51"/>
      <c r="N533" s="51"/>
      <c r="O533" s="51"/>
      <c r="P533" s="51"/>
      <c r="Q533" s="51"/>
      <c r="R533" s="51"/>
      <c r="S533" s="51"/>
      <c r="T533" s="51"/>
    </row>
    <row r="534">
      <c r="A534" s="51"/>
      <c r="B534" s="51"/>
      <c r="C534" s="56"/>
      <c r="D534" s="51"/>
      <c r="E534" s="51"/>
      <c r="F534" s="51"/>
      <c r="G534" s="51" t="str">
        <f>IFERROR(__xludf.DUMMYFUNCTION("""COMPUTED_VALUE"""),"#VALUE!")</f>
        <v>#VALUE!</v>
      </c>
      <c r="H534" s="51" t="str">
        <f>IFERROR(__xludf.DUMMYFUNCTION("""COMPUTED_VALUE"""),"")</f>
        <v/>
      </c>
      <c r="I534" s="51" t="str">
        <f>IFERROR(__xludf.DUMMYFUNCTION("""COMPUTED_VALUE"""),"#VALUE!")</f>
        <v>#VALUE!</v>
      </c>
      <c r="J534" s="51" t="str">
        <f>IFERROR(__xludf.DUMMYFUNCTION("""COMPUTED_VALUE"""),"")</f>
        <v/>
      </c>
      <c r="K534" s="51"/>
      <c r="L534" s="51" t="s">
        <v>257</v>
      </c>
      <c r="M534" s="51"/>
      <c r="N534" s="51"/>
      <c r="O534" s="51"/>
      <c r="P534" s="51"/>
      <c r="Q534" s="51"/>
      <c r="R534" s="51"/>
      <c r="S534" s="51"/>
      <c r="T534" s="51"/>
    </row>
    <row r="535">
      <c r="A535" s="51"/>
      <c r="B535" s="51"/>
      <c r="C535" s="56"/>
      <c r="D535" s="51"/>
      <c r="E535" s="51"/>
      <c r="F535" s="51"/>
      <c r="G535" s="51" t="str">
        <f>IFERROR(__xludf.DUMMYFUNCTION("""COMPUTED_VALUE"""),"#VALUE!")</f>
        <v>#VALUE!</v>
      </c>
      <c r="H535" s="51" t="str">
        <f>IFERROR(__xludf.DUMMYFUNCTION("""COMPUTED_VALUE"""),"")</f>
        <v/>
      </c>
      <c r="I535" s="51" t="str">
        <f>IFERROR(__xludf.DUMMYFUNCTION("""COMPUTED_VALUE"""),"#VALUE!")</f>
        <v>#VALUE!</v>
      </c>
      <c r="J535" s="51" t="str">
        <f>IFERROR(__xludf.DUMMYFUNCTION("""COMPUTED_VALUE"""),"")</f>
        <v/>
      </c>
      <c r="K535" s="51"/>
      <c r="L535" s="51" t="s">
        <v>257</v>
      </c>
      <c r="M535" s="51"/>
      <c r="N535" s="51"/>
      <c r="O535" s="51"/>
      <c r="P535" s="51"/>
      <c r="Q535" s="51"/>
      <c r="R535" s="51"/>
      <c r="S535" s="51"/>
      <c r="T535" s="51"/>
    </row>
    <row r="536">
      <c r="A536" s="51"/>
      <c r="B536" s="51"/>
      <c r="C536" s="56"/>
      <c r="D536" s="51"/>
      <c r="E536" s="51"/>
      <c r="F536" s="51"/>
      <c r="G536" s="51" t="str">
        <f>IFERROR(__xludf.DUMMYFUNCTION("""COMPUTED_VALUE"""),"#VALUE!")</f>
        <v>#VALUE!</v>
      </c>
      <c r="H536" s="51" t="str">
        <f>IFERROR(__xludf.DUMMYFUNCTION("""COMPUTED_VALUE"""),"")</f>
        <v/>
      </c>
      <c r="I536" s="51" t="str">
        <f>IFERROR(__xludf.DUMMYFUNCTION("""COMPUTED_VALUE"""),"#VALUE!")</f>
        <v>#VALUE!</v>
      </c>
      <c r="J536" s="51" t="str">
        <f>IFERROR(__xludf.DUMMYFUNCTION("""COMPUTED_VALUE"""),"")</f>
        <v/>
      </c>
      <c r="K536" s="51"/>
      <c r="L536" s="51" t="s">
        <v>257</v>
      </c>
      <c r="M536" s="51"/>
      <c r="N536" s="51"/>
      <c r="O536" s="51"/>
      <c r="P536" s="51"/>
      <c r="Q536" s="51"/>
      <c r="R536" s="51"/>
      <c r="S536" s="51"/>
      <c r="T536" s="51"/>
    </row>
    <row r="537">
      <c r="A537" s="51"/>
      <c r="B537" s="51"/>
      <c r="C537" s="56"/>
      <c r="D537" s="51"/>
      <c r="E537" s="51"/>
      <c r="F537" s="51"/>
      <c r="G537" s="51" t="str">
        <f>IFERROR(__xludf.DUMMYFUNCTION("""COMPUTED_VALUE"""),"#VALUE!")</f>
        <v>#VALUE!</v>
      </c>
      <c r="H537" s="51" t="str">
        <f>IFERROR(__xludf.DUMMYFUNCTION("""COMPUTED_VALUE"""),"")</f>
        <v/>
      </c>
      <c r="I537" s="51" t="str">
        <f>IFERROR(__xludf.DUMMYFUNCTION("""COMPUTED_VALUE"""),"#VALUE!")</f>
        <v>#VALUE!</v>
      </c>
      <c r="J537" s="51" t="str">
        <f>IFERROR(__xludf.DUMMYFUNCTION("""COMPUTED_VALUE"""),"")</f>
        <v/>
      </c>
      <c r="K537" s="51"/>
      <c r="L537" s="51" t="s">
        <v>257</v>
      </c>
      <c r="M537" s="51"/>
      <c r="N537" s="51"/>
      <c r="O537" s="51"/>
      <c r="P537" s="51"/>
      <c r="Q537" s="51"/>
      <c r="R537" s="51"/>
      <c r="S537" s="51"/>
      <c r="T537" s="51"/>
    </row>
    <row r="538">
      <c r="A538" s="51"/>
      <c r="B538" s="51"/>
      <c r="C538" s="56"/>
      <c r="D538" s="51"/>
      <c r="E538" s="51"/>
      <c r="F538" s="51"/>
      <c r="G538" s="51" t="str">
        <f>IFERROR(__xludf.DUMMYFUNCTION("""COMPUTED_VALUE"""),"#VALUE!")</f>
        <v>#VALUE!</v>
      </c>
      <c r="H538" s="51" t="str">
        <f>IFERROR(__xludf.DUMMYFUNCTION("""COMPUTED_VALUE"""),"")</f>
        <v/>
      </c>
      <c r="I538" s="51" t="str">
        <f>IFERROR(__xludf.DUMMYFUNCTION("""COMPUTED_VALUE"""),"#VALUE!")</f>
        <v>#VALUE!</v>
      </c>
      <c r="J538" s="51" t="str">
        <f>IFERROR(__xludf.DUMMYFUNCTION("""COMPUTED_VALUE"""),"")</f>
        <v/>
      </c>
      <c r="K538" s="51"/>
      <c r="L538" s="51" t="s">
        <v>257</v>
      </c>
      <c r="M538" s="51"/>
      <c r="N538" s="51"/>
      <c r="O538" s="51"/>
      <c r="P538" s="51"/>
      <c r="Q538" s="51"/>
      <c r="R538" s="51"/>
      <c r="S538" s="51"/>
      <c r="T538" s="51"/>
    </row>
    <row r="539">
      <c r="A539" s="51"/>
      <c r="B539" s="51"/>
      <c r="C539" s="56"/>
      <c r="D539" s="51"/>
      <c r="E539" s="51"/>
      <c r="F539" s="51"/>
      <c r="G539" s="51" t="str">
        <f>IFERROR(__xludf.DUMMYFUNCTION("""COMPUTED_VALUE"""),"#VALUE!")</f>
        <v>#VALUE!</v>
      </c>
      <c r="H539" s="51" t="str">
        <f>IFERROR(__xludf.DUMMYFUNCTION("""COMPUTED_VALUE"""),"")</f>
        <v/>
      </c>
      <c r="I539" s="51" t="str">
        <f>IFERROR(__xludf.DUMMYFUNCTION("""COMPUTED_VALUE"""),"#VALUE!")</f>
        <v>#VALUE!</v>
      </c>
      <c r="J539" s="51" t="str">
        <f>IFERROR(__xludf.DUMMYFUNCTION("""COMPUTED_VALUE"""),"")</f>
        <v/>
      </c>
      <c r="K539" s="51"/>
      <c r="L539" s="51" t="s">
        <v>257</v>
      </c>
      <c r="M539" s="51"/>
      <c r="N539" s="51"/>
      <c r="O539" s="51"/>
      <c r="P539" s="51"/>
      <c r="Q539" s="51"/>
      <c r="R539" s="51"/>
      <c r="S539" s="51"/>
      <c r="T539" s="51"/>
    </row>
    <row r="540">
      <c r="A540" s="51"/>
      <c r="B540" s="51"/>
      <c r="C540" s="56"/>
      <c r="D540" s="51"/>
      <c r="E540" s="51"/>
      <c r="F540" s="51"/>
      <c r="G540" s="51" t="str">
        <f>IFERROR(__xludf.DUMMYFUNCTION("""COMPUTED_VALUE"""),"#VALUE!")</f>
        <v>#VALUE!</v>
      </c>
      <c r="H540" s="51" t="str">
        <f>IFERROR(__xludf.DUMMYFUNCTION("""COMPUTED_VALUE"""),"")</f>
        <v/>
      </c>
      <c r="I540" s="51" t="str">
        <f>IFERROR(__xludf.DUMMYFUNCTION("""COMPUTED_VALUE"""),"#VALUE!")</f>
        <v>#VALUE!</v>
      </c>
      <c r="J540" s="51" t="str">
        <f>IFERROR(__xludf.DUMMYFUNCTION("""COMPUTED_VALUE"""),"")</f>
        <v/>
      </c>
      <c r="K540" s="51"/>
      <c r="L540" s="51" t="s">
        <v>257</v>
      </c>
      <c r="M540" s="51"/>
      <c r="N540" s="51"/>
      <c r="O540" s="51"/>
      <c r="P540" s="51"/>
      <c r="Q540" s="51"/>
      <c r="R540" s="51"/>
      <c r="S540" s="51"/>
      <c r="T540" s="51"/>
    </row>
    <row r="541">
      <c r="A541" s="51"/>
      <c r="B541" s="51"/>
      <c r="C541" s="56"/>
      <c r="D541" s="51"/>
      <c r="E541" s="51"/>
      <c r="F541" s="51"/>
      <c r="G541" s="51" t="str">
        <f>IFERROR(__xludf.DUMMYFUNCTION("""COMPUTED_VALUE"""),"#VALUE!")</f>
        <v>#VALUE!</v>
      </c>
      <c r="H541" s="51" t="str">
        <f>IFERROR(__xludf.DUMMYFUNCTION("""COMPUTED_VALUE"""),"")</f>
        <v/>
      </c>
      <c r="I541" s="51" t="str">
        <f>IFERROR(__xludf.DUMMYFUNCTION("""COMPUTED_VALUE"""),"#VALUE!")</f>
        <v>#VALUE!</v>
      </c>
      <c r="J541" s="51" t="str">
        <f>IFERROR(__xludf.DUMMYFUNCTION("""COMPUTED_VALUE"""),"")</f>
        <v/>
      </c>
      <c r="K541" s="51"/>
      <c r="L541" s="51" t="s">
        <v>257</v>
      </c>
      <c r="M541" s="51"/>
      <c r="N541" s="51"/>
      <c r="O541" s="51"/>
      <c r="P541" s="51"/>
      <c r="Q541" s="51"/>
      <c r="R541" s="51"/>
      <c r="S541" s="51"/>
      <c r="T541" s="51"/>
    </row>
    <row r="542">
      <c r="A542" s="51"/>
      <c r="B542" s="51"/>
      <c r="C542" s="56"/>
      <c r="D542" s="51"/>
      <c r="E542" s="51"/>
      <c r="F542" s="51"/>
      <c r="G542" s="51" t="str">
        <f>IFERROR(__xludf.DUMMYFUNCTION("""COMPUTED_VALUE"""),"#VALUE!")</f>
        <v>#VALUE!</v>
      </c>
      <c r="H542" s="51" t="str">
        <f>IFERROR(__xludf.DUMMYFUNCTION("""COMPUTED_VALUE"""),"")</f>
        <v/>
      </c>
      <c r="I542" s="51" t="str">
        <f>IFERROR(__xludf.DUMMYFUNCTION("""COMPUTED_VALUE"""),"#VALUE!")</f>
        <v>#VALUE!</v>
      </c>
      <c r="J542" s="51" t="str">
        <f>IFERROR(__xludf.DUMMYFUNCTION("""COMPUTED_VALUE"""),"")</f>
        <v/>
      </c>
      <c r="K542" s="51"/>
      <c r="L542" s="51" t="s">
        <v>257</v>
      </c>
      <c r="M542" s="51"/>
      <c r="N542" s="51"/>
      <c r="O542" s="51"/>
      <c r="P542" s="51"/>
      <c r="Q542" s="51"/>
      <c r="R542" s="51"/>
      <c r="S542" s="51"/>
      <c r="T542" s="51"/>
    </row>
    <row r="543">
      <c r="A543" s="51"/>
      <c r="B543" s="51"/>
      <c r="C543" s="56"/>
      <c r="D543" s="51"/>
      <c r="E543" s="51"/>
      <c r="F543" s="51"/>
      <c r="G543" s="51" t="str">
        <f>IFERROR(__xludf.DUMMYFUNCTION("""COMPUTED_VALUE"""),"#VALUE!")</f>
        <v>#VALUE!</v>
      </c>
      <c r="H543" s="51" t="str">
        <f>IFERROR(__xludf.DUMMYFUNCTION("""COMPUTED_VALUE"""),"")</f>
        <v/>
      </c>
      <c r="I543" s="51" t="str">
        <f>IFERROR(__xludf.DUMMYFUNCTION("""COMPUTED_VALUE"""),"#VALUE!")</f>
        <v>#VALUE!</v>
      </c>
      <c r="J543" s="51" t="str">
        <f>IFERROR(__xludf.DUMMYFUNCTION("""COMPUTED_VALUE"""),"")</f>
        <v/>
      </c>
      <c r="K543" s="51"/>
      <c r="L543" s="51" t="s">
        <v>257</v>
      </c>
      <c r="M543" s="51"/>
      <c r="N543" s="51"/>
      <c r="O543" s="51"/>
      <c r="P543" s="51"/>
      <c r="Q543" s="51"/>
      <c r="R543" s="51"/>
      <c r="S543" s="51"/>
      <c r="T543" s="51"/>
    </row>
    <row r="544">
      <c r="A544" s="51"/>
      <c r="B544" s="51"/>
      <c r="C544" s="56"/>
      <c r="D544" s="51"/>
      <c r="E544" s="51"/>
      <c r="F544" s="51"/>
      <c r="G544" s="51" t="str">
        <f>IFERROR(__xludf.DUMMYFUNCTION("""COMPUTED_VALUE"""),"#VALUE!")</f>
        <v>#VALUE!</v>
      </c>
      <c r="H544" s="51" t="str">
        <f>IFERROR(__xludf.DUMMYFUNCTION("""COMPUTED_VALUE"""),"")</f>
        <v/>
      </c>
      <c r="I544" s="51" t="str">
        <f>IFERROR(__xludf.DUMMYFUNCTION("""COMPUTED_VALUE"""),"#VALUE!")</f>
        <v>#VALUE!</v>
      </c>
      <c r="J544" s="51" t="str">
        <f>IFERROR(__xludf.DUMMYFUNCTION("""COMPUTED_VALUE"""),"")</f>
        <v/>
      </c>
      <c r="K544" s="51"/>
      <c r="L544" s="51" t="s">
        <v>257</v>
      </c>
      <c r="M544" s="51"/>
      <c r="N544" s="51"/>
      <c r="O544" s="51"/>
      <c r="P544" s="51"/>
      <c r="Q544" s="51"/>
      <c r="R544" s="51"/>
      <c r="S544" s="51"/>
      <c r="T544" s="51"/>
    </row>
    <row r="545">
      <c r="A545" s="51"/>
      <c r="B545" s="51"/>
      <c r="C545" s="56"/>
      <c r="D545" s="51"/>
      <c r="E545" s="51"/>
      <c r="F545" s="51"/>
      <c r="G545" s="51" t="str">
        <f>IFERROR(__xludf.DUMMYFUNCTION("""COMPUTED_VALUE"""),"#VALUE!")</f>
        <v>#VALUE!</v>
      </c>
      <c r="H545" s="51" t="str">
        <f>IFERROR(__xludf.DUMMYFUNCTION("""COMPUTED_VALUE"""),"")</f>
        <v/>
      </c>
      <c r="I545" s="51" t="str">
        <f>IFERROR(__xludf.DUMMYFUNCTION("""COMPUTED_VALUE"""),"#VALUE!")</f>
        <v>#VALUE!</v>
      </c>
      <c r="J545" s="51" t="str">
        <f>IFERROR(__xludf.DUMMYFUNCTION("""COMPUTED_VALUE"""),"")</f>
        <v/>
      </c>
      <c r="K545" s="51"/>
      <c r="L545" s="51" t="s">
        <v>257</v>
      </c>
      <c r="M545" s="51"/>
      <c r="N545" s="51"/>
      <c r="O545" s="51"/>
      <c r="P545" s="51"/>
      <c r="Q545" s="51"/>
      <c r="R545" s="51"/>
      <c r="S545" s="51"/>
      <c r="T545" s="51"/>
    </row>
  </sheetData>
  <conditionalFormatting sqref="O2:O33">
    <cfRule type="containsText" dxfId="4" priority="1" operator="containsText" text="YES">
      <formula>NOT(ISERROR(SEARCH(("YES"),(O2))))</formula>
    </cfRule>
  </conditionalFormatting>
  <conditionalFormatting sqref="O2:O33">
    <cfRule type="cellIs" dxfId="5" priority="2" operator="equal">
      <formula>"NO"</formula>
    </cfRule>
  </conditionalFormatting>
  <conditionalFormatting sqref="P2:P33">
    <cfRule type="cellIs" dxfId="4" priority="3" operator="equal">
      <formula>"AVAILABLE"</formula>
    </cfRule>
  </conditionalFormatting>
  <conditionalFormatting sqref="P2:P33">
    <cfRule type="cellIs" dxfId="5" priority="4" operator="equal">
      <formula>"NOT AVAILABLE"</formula>
    </cfRule>
  </conditionalFormatting>
  <conditionalFormatting sqref="Q2:Q33">
    <cfRule type="cellIs" dxfId="4" priority="5" operator="equal">
      <formula>"AVAILABLE"</formula>
    </cfRule>
  </conditionalFormatting>
  <conditionalFormatting sqref="Q2:Q33">
    <cfRule type="cellIs" dxfId="6" priority="6" operator="equal">
      <formula>"UPLOADING"</formula>
    </cfRule>
  </conditionalFormatting>
  <conditionalFormatting sqref="Q2:Q33">
    <cfRule type="cellIs" dxfId="5" priority="7" operator="equal">
      <formula>"NOT AVAILABLE"</formula>
    </cfRule>
  </conditionalFormatting>
  <dataValidations>
    <dataValidation type="list" allowBlank="1" sqref="O2:O33">
      <formula1>"YES,NO"</formula1>
    </dataValidation>
    <dataValidation type="list" allowBlank="1" sqref="P2:P33">
      <formula1>"AVAILABLE,NOT AVAILABLE"</formula1>
    </dataValidation>
    <dataValidation type="list" allowBlank="1" sqref="Q2:Q33">
      <formula1>"AVAILABLE,UPLOADING,NOT AVAILABLE"</formula1>
    </dataValidation>
  </dataValidations>
  <drawing r:id="rId1"/>
  <tableParts count="1">
    <tablePart r:id="rId3"/>
  </tableParts>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3.71"/>
    <col customWidth="1" min="3" max="3" width="26.86"/>
    <col hidden="1" min="4" max="5" width="14.43"/>
    <col customWidth="1" min="6" max="6" width="36.0"/>
    <col hidden="1" min="9" max="9" width="14.43"/>
  </cols>
  <sheetData>
    <row r="1">
      <c r="A1" s="46" t="s">
        <v>79</v>
      </c>
      <c r="B1" s="46" t="s">
        <v>80</v>
      </c>
      <c r="C1" s="48" t="s">
        <v>81</v>
      </c>
      <c r="D1" s="46" t="s">
        <v>82</v>
      </c>
      <c r="E1" s="46" t="s">
        <v>83</v>
      </c>
      <c r="F1" s="46" t="s">
        <v>84</v>
      </c>
      <c r="G1" s="46" t="s">
        <v>85</v>
      </c>
      <c r="H1" s="46" t="s">
        <v>86</v>
      </c>
      <c r="I1" s="46" t="s">
        <v>87</v>
      </c>
      <c r="J1" s="46" t="s">
        <v>88</v>
      </c>
      <c r="K1" s="46" t="s">
        <v>89</v>
      </c>
      <c r="L1" s="46" t="s">
        <v>90</v>
      </c>
      <c r="M1" s="46" t="s">
        <v>91</v>
      </c>
      <c r="N1" s="46" t="s">
        <v>92</v>
      </c>
      <c r="O1" s="50" t="s">
        <v>93</v>
      </c>
      <c r="P1" s="50" t="s">
        <v>94</v>
      </c>
      <c r="Q1" s="50" t="s">
        <v>95</v>
      </c>
      <c r="R1" s="51"/>
      <c r="S1" s="51"/>
      <c r="T1" s="51"/>
    </row>
    <row r="2">
      <c r="A2" s="54" t="str">
        <f>IFERROR(__xludf.DUMMYFUNCTION("QUERY(Master!A:H,""SELECT A,C,D,F,G,H where C = 'HealthConf' ORDER BY F"")"),"Opening remarks")</f>
        <v>Opening remarks</v>
      </c>
      <c r="B2" s="51" t="str">
        <f>IFERROR(__xludf.DUMMYFUNCTION("""COMPUTED_VALUE"""),"HealthConf")</f>
        <v>HealthConf</v>
      </c>
      <c r="C2" s="56" t="str">
        <f>IFERROR(__xludf.DUMMYFUNCTION("""COMPUTED_VALUE"""),"Ariel Garten")</f>
        <v>Ariel Garten</v>
      </c>
      <c r="D2" s="51" t="str">
        <f>IFERROR(__xludf.DUMMYFUNCTION("""COMPUTED_VALUE"""),"2019/11/07 10:30:00")</f>
        <v>2019/11/07 10:30:00</v>
      </c>
      <c r="E2" s="51" t="str">
        <f>IFERROR(__xludf.DUMMYFUNCTION("""COMPUTED_VALUE"""),"2019/11/07 10:45:00")</f>
        <v>2019/11/07 10:45:00</v>
      </c>
      <c r="F2" s="51" t="str">
        <f>IFERROR(__xludf.DUMMYFUNCTION("""COMPUTED_VALUE"""),"d9d9963d-8d9d-42dc-8973-a5f8ee4fb095")</f>
        <v>d9d9963d-8d9d-42dc-8973-a5f8ee4fb095</v>
      </c>
      <c r="G2" s="61">
        <f>IFERROR(__xludf.DUMMYFUNCTION("ARRAYFORMULA(SPLIT(D2:D524,"" ""))"),43776.0)</f>
        <v>43776</v>
      </c>
      <c r="H2" s="60">
        <f>IFERROR(__xludf.DUMMYFUNCTION("""COMPUTED_VALUE"""),0.4375)</f>
        <v>0.4375</v>
      </c>
      <c r="I2" s="61">
        <f>IFERROR(__xludf.DUMMYFUNCTION("ARRAYFORMULA(SPLIT(E2:E524,"" ""))"),43776.0)</f>
        <v>43776</v>
      </c>
      <c r="J2" s="60">
        <f>IFERROR(__xludf.DUMMYFUNCTION("""COMPUTED_VALUE"""),0.4479166666666667)</f>
        <v>0.4479166667</v>
      </c>
      <c r="K2" s="60">
        <f t="shared" ref="K2:K23" si="1">J2-H2</f>
        <v>0.01041666667</v>
      </c>
      <c r="L2" s="54" t="str">
        <f t="array" ref="L2:L524">TEXT(K2:K524,"hhmmss")</f>
        <v>001500</v>
      </c>
      <c r="M2" s="62" t="s">
        <v>581</v>
      </c>
      <c r="N2" s="62" t="str">
        <f>CONCATENATE(M2,"_",F2,"_","000000_000000.mp4")</f>
        <v>HC_4_1_d9d9963d-8d9d-42dc-8973-a5f8ee4fb095_000000_000000.mp4</v>
      </c>
      <c r="O2" s="50"/>
      <c r="P2" s="50"/>
      <c r="Q2" s="63"/>
      <c r="R2" s="51"/>
      <c r="S2" s="51"/>
      <c r="T2" s="51"/>
    </row>
    <row r="3">
      <c r="A3" s="51" t="str">
        <f>IFERROR(__xludf.DUMMYFUNCTION("""COMPUTED_VALUE"""),"AI = Easier access to healthcare?")</f>
        <v>AI = Easier access to healthcare?</v>
      </c>
      <c r="B3" s="51" t="str">
        <f>IFERROR(__xludf.DUMMYFUNCTION("""COMPUTED_VALUE"""),"HealthConf")</f>
        <v>HealthConf</v>
      </c>
      <c r="C3" s="56" t="str">
        <f>IFERROR(__xludf.DUMMYFUNCTION("""COMPUTED_VALUE"""),"Constance Lehman, Dr Marco Huesch and Paul Nuki")</f>
        <v>Constance Lehman, Dr Marco Huesch and Paul Nuki</v>
      </c>
      <c r="D3" s="51" t="str">
        <f>IFERROR(__xludf.DUMMYFUNCTION("""COMPUTED_VALUE"""),"2019/11/07 10:45:00")</f>
        <v>2019/11/07 10:45:00</v>
      </c>
      <c r="E3" s="51" t="str">
        <f>IFERROR(__xludf.DUMMYFUNCTION("""COMPUTED_VALUE"""),"2019/11/07 11:05:00")</f>
        <v>2019/11/07 11:05:00</v>
      </c>
      <c r="F3" s="51" t="str">
        <f>IFERROR(__xludf.DUMMYFUNCTION("""COMPUTED_VALUE"""),"c4905bad-4447-4470-98a1-e275fbf55507")</f>
        <v>c4905bad-4447-4470-98a1-e275fbf55507</v>
      </c>
      <c r="G3" s="58">
        <f>IFERROR(__xludf.DUMMYFUNCTION("""COMPUTED_VALUE"""),43776.0)</f>
        <v>43776</v>
      </c>
      <c r="H3" s="60">
        <f>IFERROR(__xludf.DUMMYFUNCTION("""COMPUTED_VALUE"""),0.4479166666666667)</f>
        <v>0.4479166667</v>
      </c>
      <c r="I3" s="58">
        <f>IFERROR(__xludf.DUMMYFUNCTION("""COMPUTED_VALUE"""),43776.0)</f>
        <v>43776</v>
      </c>
      <c r="J3" s="60">
        <f>IFERROR(__xludf.DUMMYFUNCTION("""COMPUTED_VALUE"""),0.4618055555555556)</f>
        <v>0.4618055556</v>
      </c>
      <c r="K3" s="60">
        <f t="shared" si="1"/>
        <v>0.01388888889</v>
      </c>
      <c r="L3" s="51" t="s">
        <v>111</v>
      </c>
      <c r="M3" s="51"/>
      <c r="N3" s="51"/>
      <c r="O3" s="50"/>
      <c r="P3" s="50"/>
      <c r="Q3" s="63"/>
      <c r="R3" s="51"/>
      <c r="S3" s="51"/>
      <c r="T3" s="51"/>
    </row>
    <row r="4">
      <c r="A4" s="51" t="str">
        <f>IFERROR(__xludf.DUMMYFUNCTION("""COMPUTED_VALUE"""),"How your home affects your health")</f>
        <v>How your home affects your health</v>
      </c>
      <c r="B4" s="51" t="str">
        <f>IFERROR(__xludf.DUMMYFUNCTION("""COMPUTED_VALUE"""),"HealthConf")</f>
        <v>HealthConf</v>
      </c>
      <c r="C4" s="56" t="str">
        <f>IFERROR(__xludf.DUMMYFUNCTION("""COMPUTED_VALUE"""),"Paul Scialla")</f>
        <v>Paul Scialla</v>
      </c>
      <c r="D4" s="51" t="str">
        <f>IFERROR(__xludf.DUMMYFUNCTION("""COMPUTED_VALUE"""),"2019/11/07 11:05:00")</f>
        <v>2019/11/07 11:05:00</v>
      </c>
      <c r="E4" s="51" t="str">
        <f>IFERROR(__xludf.DUMMYFUNCTION("""COMPUTED_VALUE"""),"2019/11/07 11:20:00")</f>
        <v>2019/11/07 11:20:00</v>
      </c>
      <c r="F4" s="51" t="str">
        <f>IFERROR(__xludf.DUMMYFUNCTION("""COMPUTED_VALUE"""),"697c2c27-066d-4e4c-ac57-87f831829d51")</f>
        <v>697c2c27-066d-4e4c-ac57-87f831829d51</v>
      </c>
      <c r="G4" s="58">
        <f>IFERROR(__xludf.DUMMYFUNCTION("""COMPUTED_VALUE"""),43776.0)</f>
        <v>43776</v>
      </c>
      <c r="H4" s="60">
        <f>IFERROR(__xludf.DUMMYFUNCTION("""COMPUTED_VALUE"""),0.4618055555555556)</f>
        <v>0.4618055556</v>
      </c>
      <c r="I4" s="58">
        <f>IFERROR(__xludf.DUMMYFUNCTION("""COMPUTED_VALUE"""),43776.0)</f>
        <v>43776</v>
      </c>
      <c r="J4" s="60">
        <f>IFERROR(__xludf.DUMMYFUNCTION("""COMPUTED_VALUE"""),0.4722222222222222)</f>
        <v>0.4722222222</v>
      </c>
      <c r="K4" s="60">
        <f t="shared" si="1"/>
        <v>0.01041666667</v>
      </c>
      <c r="L4" s="51" t="s">
        <v>116</v>
      </c>
      <c r="M4" s="51"/>
      <c r="N4" s="51"/>
      <c r="O4" s="50"/>
      <c r="P4" s="50"/>
      <c r="Q4" s="63"/>
      <c r="R4" s="51"/>
      <c r="S4" s="51"/>
      <c r="T4" s="51"/>
    </row>
    <row r="5">
      <c r="A5" s="51" t="str">
        <f>IFERROR(__xludf.DUMMYFUNCTION("""COMPUTED_VALUE"""),"Health in space: The final frontier")</f>
        <v>Health in space: The final frontier</v>
      </c>
      <c r="B5" s="51" t="str">
        <f>IFERROR(__xludf.DUMMYFUNCTION("""COMPUTED_VALUE"""),"HealthConf")</f>
        <v>HealthConf</v>
      </c>
      <c r="C5" s="56" t="str">
        <f>IFERROR(__xludf.DUMMYFUNCTION("""COMPUTED_VALUE"""),"Scott Solomon, Marianne Brandon, Ian Robertson and Paul Nuki")</f>
        <v>Scott Solomon, Marianne Brandon, Ian Robertson and Paul Nuki</v>
      </c>
      <c r="D5" s="51" t="str">
        <f>IFERROR(__xludf.DUMMYFUNCTION("""COMPUTED_VALUE"""),"2019/11/07 11:20:00")</f>
        <v>2019/11/07 11:20:00</v>
      </c>
      <c r="E5" s="51" t="str">
        <f>IFERROR(__xludf.DUMMYFUNCTION("""COMPUTED_VALUE"""),"2019/11/07 11:45:00")</f>
        <v>2019/11/07 11:45:00</v>
      </c>
      <c r="F5" s="51" t="str">
        <f>IFERROR(__xludf.DUMMYFUNCTION("""COMPUTED_VALUE"""),"24a08ef0-0e20-4310-8911-e39a31e74ba7")</f>
        <v>24a08ef0-0e20-4310-8911-e39a31e74ba7</v>
      </c>
      <c r="G5" s="58">
        <f>IFERROR(__xludf.DUMMYFUNCTION("""COMPUTED_VALUE"""),43776.0)</f>
        <v>43776</v>
      </c>
      <c r="H5" s="60">
        <f>IFERROR(__xludf.DUMMYFUNCTION("""COMPUTED_VALUE"""),0.4722222222222222)</f>
        <v>0.4722222222</v>
      </c>
      <c r="I5" s="58">
        <f>IFERROR(__xludf.DUMMYFUNCTION("""COMPUTED_VALUE"""),43776.0)</f>
        <v>43776</v>
      </c>
      <c r="J5" s="60">
        <f>IFERROR(__xludf.DUMMYFUNCTION("""COMPUTED_VALUE"""),0.4895833333333333)</f>
        <v>0.4895833333</v>
      </c>
      <c r="K5" s="60">
        <f t="shared" si="1"/>
        <v>0.01736111111</v>
      </c>
      <c r="L5" s="51" t="s">
        <v>107</v>
      </c>
      <c r="M5" s="51"/>
      <c r="N5" s="51"/>
      <c r="O5" s="50"/>
      <c r="P5" s="50"/>
      <c r="Q5" s="63"/>
      <c r="R5" s="51"/>
      <c r="S5" s="51"/>
      <c r="T5" s="51"/>
    </row>
    <row r="6">
      <c r="A6" s="51" t="str">
        <f>IFERROR(__xludf.DUMMYFUNCTION("""COMPUTED_VALUE"""),"All meat, no meat, are we really what we eat?")</f>
        <v>All meat, no meat, are we really what we eat?</v>
      </c>
      <c r="B6" s="51" t="str">
        <f>IFERROR(__xludf.DUMMYFUNCTION("""COMPUTED_VALUE"""),"HealthConf")</f>
        <v>HealthConf</v>
      </c>
      <c r="C6" s="56" t="str">
        <f>IFERROR(__xludf.DUMMYFUNCTION("""COMPUTED_VALUE"""),"Steven Gundry, Mikhaila Peterson, Saeju Jeong and Alyssa Newcomb")</f>
        <v>Steven Gundry, Mikhaila Peterson, Saeju Jeong and Alyssa Newcomb</v>
      </c>
      <c r="D6" s="51" t="str">
        <f>IFERROR(__xludf.DUMMYFUNCTION("""COMPUTED_VALUE"""),"2019/11/07 11:45:00")</f>
        <v>2019/11/07 11:45:00</v>
      </c>
      <c r="E6" s="51" t="str">
        <f>IFERROR(__xludf.DUMMYFUNCTION("""COMPUTED_VALUE"""),"2019/11/07 12:10:00")</f>
        <v>2019/11/07 12:10:00</v>
      </c>
      <c r="F6" s="51" t="str">
        <f>IFERROR(__xludf.DUMMYFUNCTION("""COMPUTED_VALUE"""),"86d3528d-d6a0-44eb-99f7-a15c8b847302")</f>
        <v>86d3528d-d6a0-44eb-99f7-a15c8b847302</v>
      </c>
      <c r="G6" s="58">
        <f>IFERROR(__xludf.DUMMYFUNCTION("""COMPUTED_VALUE"""),43776.0)</f>
        <v>43776</v>
      </c>
      <c r="H6" s="60">
        <f>IFERROR(__xludf.DUMMYFUNCTION("""COMPUTED_VALUE"""),0.4895833333333333)</f>
        <v>0.4895833333</v>
      </c>
      <c r="I6" s="58">
        <f>IFERROR(__xludf.DUMMYFUNCTION("""COMPUTED_VALUE"""),43776.0)</f>
        <v>43776</v>
      </c>
      <c r="J6" s="60">
        <f>IFERROR(__xludf.DUMMYFUNCTION("""COMPUTED_VALUE"""),0.5069444444444444)</f>
        <v>0.5069444444</v>
      </c>
      <c r="K6" s="60">
        <f t="shared" si="1"/>
        <v>0.01736111111</v>
      </c>
      <c r="L6" s="51" t="s">
        <v>107</v>
      </c>
      <c r="M6" s="51"/>
      <c r="N6" s="51"/>
      <c r="O6" s="50"/>
      <c r="P6" s="50"/>
      <c r="Q6" s="63"/>
      <c r="R6" s="51"/>
      <c r="S6" s="51"/>
      <c r="T6" s="51"/>
    </row>
    <row r="7">
      <c r="A7" s="51" t="str">
        <f>IFERROR(__xludf.DUMMYFUNCTION("""COMPUTED_VALUE"""),"Pocket power: The device revolution")</f>
        <v>Pocket power: The device revolution</v>
      </c>
      <c r="B7" s="51" t="str">
        <f>IFERROR(__xludf.DUMMYFUNCTION("""COMPUTED_VALUE"""),"HealthConf")</f>
        <v>HealthConf</v>
      </c>
      <c r="C7" s="56" t="str">
        <f>IFERROR(__xludf.DUMMYFUNCTION("""COMPUTED_VALUE"""),"Nevada Sanchez")</f>
        <v>Nevada Sanchez</v>
      </c>
      <c r="D7" s="51" t="str">
        <f>IFERROR(__xludf.DUMMYFUNCTION("""COMPUTED_VALUE"""),"2019/11/07 12:10:00")</f>
        <v>2019/11/07 12:10:00</v>
      </c>
      <c r="E7" s="51" t="str">
        <f>IFERROR(__xludf.DUMMYFUNCTION("""COMPUTED_VALUE"""),"2019/11/07 12:25:00")</f>
        <v>2019/11/07 12:25:00</v>
      </c>
      <c r="F7" s="51" t="str">
        <f>IFERROR(__xludf.DUMMYFUNCTION("""COMPUTED_VALUE"""),"cddce273-89db-4f2b-b3b2-de42d45f64f0")</f>
        <v>cddce273-89db-4f2b-b3b2-de42d45f64f0</v>
      </c>
      <c r="G7" s="58">
        <f>IFERROR(__xludf.DUMMYFUNCTION("""COMPUTED_VALUE"""),43776.0)</f>
        <v>43776</v>
      </c>
      <c r="H7" s="60">
        <f>IFERROR(__xludf.DUMMYFUNCTION("""COMPUTED_VALUE"""),0.5069444444444444)</f>
        <v>0.5069444444</v>
      </c>
      <c r="I7" s="58">
        <f>IFERROR(__xludf.DUMMYFUNCTION("""COMPUTED_VALUE"""),43776.0)</f>
        <v>43776</v>
      </c>
      <c r="J7" s="60">
        <f>IFERROR(__xludf.DUMMYFUNCTION("""COMPUTED_VALUE"""),0.5173611111111112)</f>
        <v>0.5173611111</v>
      </c>
      <c r="K7" s="60">
        <f t="shared" si="1"/>
        <v>0.01041666667</v>
      </c>
      <c r="L7" s="51" t="s">
        <v>116</v>
      </c>
      <c r="M7" s="51"/>
      <c r="N7" s="51"/>
      <c r="O7" s="50"/>
      <c r="P7" s="50"/>
      <c r="Q7" s="63"/>
      <c r="R7" s="51"/>
      <c r="S7" s="51"/>
      <c r="T7" s="51"/>
    </row>
    <row r="8">
      <c r="A8" s="51" t="str">
        <f>IFERROR(__xludf.DUMMYFUNCTION("""COMPUTED_VALUE"""),"Lunch break")</f>
        <v>Lunch break</v>
      </c>
      <c r="B8" s="51" t="str">
        <f>IFERROR(__xludf.DUMMYFUNCTION("""COMPUTED_VALUE"""),"HealthConf")</f>
        <v>HealthConf</v>
      </c>
      <c r="C8" s="56" t="str">
        <f>IFERROR(__xludf.DUMMYFUNCTION("""COMPUTED_VALUE"""),"")</f>
        <v/>
      </c>
      <c r="D8" s="51" t="str">
        <f>IFERROR(__xludf.DUMMYFUNCTION("""COMPUTED_VALUE"""),"2019/11/07 12:25:00")</f>
        <v>2019/11/07 12:25:00</v>
      </c>
      <c r="E8" s="51" t="str">
        <f>IFERROR(__xludf.DUMMYFUNCTION("""COMPUTED_VALUE"""),"2019/11/07 13:10:00")</f>
        <v>2019/11/07 13:10:00</v>
      </c>
      <c r="F8" s="51" t="str">
        <f>IFERROR(__xludf.DUMMYFUNCTION("""COMPUTED_VALUE"""),"fa71558e-8005-4c69-9d8c-0a55da301552")</f>
        <v>fa71558e-8005-4c69-9d8c-0a55da301552</v>
      </c>
      <c r="G8" s="58">
        <f>IFERROR(__xludf.DUMMYFUNCTION("""COMPUTED_VALUE"""),43776.0)</f>
        <v>43776</v>
      </c>
      <c r="H8" s="60">
        <f>IFERROR(__xludf.DUMMYFUNCTION("""COMPUTED_VALUE"""),0.5173611111111112)</f>
        <v>0.5173611111</v>
      </c>
      <c r="I8" s="58">
        <f>IFERROR(__xludf.DUMMYFUNCTION("""COMPUTED_VALUE"""),43776.0)</f>
        <v>43776</v>
      </c>
      <c r="J8" s="60">
        <f>IFERROR(__xludf.DUMMYFUNCTION("""COMPUTED_VALUE"""),0.5486111111111112)</f>
        <v>0.5486111111</v>
      </c>
      <c r="K8" s="60">
        <f t="shared" si="1"/>
        <v>0.03125</v>
      </c>
      <c r="L8" s="51" t="s">
        <v>131</v>
      </c>
      <c r="M8" s="51"/>
      <c r="N8" s="51"/>
      <c r="O8" s="50"/>
      <c r="P8" s="50"/>
      <c r="Q8" s="63"/>
      <c r="R8" s="51"/>
      <c r="S8" s="51"/>
      <c r="T8" s="51"/>
    </row>
    <row r="9">
      <c r="A9" s="51" t="str">
        <f>IFERROR(__xludf.DUMMYFUNCTION("""COMPUTED_VALUE"""),"Opening remarks")</f>
        <v>Opening remarks</v>
      </c>
      <c r="B9" s="51" t="str">
        <f>IFERROR(__xludf.DUMMYFUNCTION("""COMPUTED_VALUE"""),"HealthConf")</f>
        <v>HealthConf</v>
      </c>
      <c r="C9" s="56" t="str">
        <f>IFERROR(__xludf.DUMMYFUNCTION("""COMPUTED_VALUE"""),"Jim Hunter")</f>
        <v>Jim Hunter</v>
      </c>
      <c r="D9" s="51" t="str">
        <f>IFERROR(__xludf.DUMMYFUNCTION("""COMPUTED_VALUE"""),"2019/11/07 13:10:00")</f>
        <v>2019/11/07 13:10:00</v>
      </c>
      <c r="E9" s="51" t="str">
        <f>IFERROR(__xludf.DUMMYFUNCTION("""COMPUTED_VALUE"""),"2019/11/07 13:25:00")</f>
        <v>2019/11/07 13:25:00</v>
      </c>
      <c r="F9" s="51" t="str">
        <f>IFERROR(__xludf.DUMMYFUNCTION("""COMPUTED_VALUE"""),"1c918723-c009-4dd6-a0a6-d2dbf456a755")</f>
        <v>1c918723-c009-4dd6-a0a6-d2dbf456a755</v>
      </c>
      <c r="G9" s="58">
        <f>IFERROR(__xludf.DUMMYFUNCTION("""COMPUTED_VALUE"""),43776.0)</f>
        <v>43776</v>
      </c>
      <c r="H9" s="60">
        <f>IFERROR(__xludf.DUMMYFUNCTION("""COMPUTED_VALUE"""),0.5486111111111112)</f>
        <v>0.5486111111</v>
      </c>
      <c r="I9" s="58">
        <f>IFERROR(__xludf.DUMMYFUNCTION("""COMPUTED_VALUE"""),43776.0)</f>
        <v>43776</v>
      </c>
      <c r="J9" s="60">
        <f>IFERROR(__xludf.DUMMYFUNCTION("""COMPUTED_VALUE"""),0.5590277777777778)</f>
        <v>0.5590277778</v>
      </c>
      <c r="K9" s="60">
        <f t="shared" si="1"/>
        <v>0.01041666667</v>
      </c>
      <c r="L9" s="51" t="s">
        <v>116</v>
      </c>
      <c r="M9" s="51"/>
      <c r="N9" s="51"/>
      <c r="O9" s="50"/>
      <c r="P9" s="50"/>
      <c r="Q9" s="63"/>
      <c r="R9" s="51"/>
      <c r="S9" s="51"/>
      <c r="T9" s="51"/>
    </row>
    <row r="10">
      <c r="A10" s="51" t="str">
        <f>IFERROR(__xludf.DUMMYFUNCTION("""COMPUTED_VALUE"""),"Class A potential: The case for psychedelics")</f>
        <v>Class A potential: The case for psychedelics</v>
      </c>
      <c r="B10" s="51" t="str">
        <f>IFERROR(__xludf.DUMMYFUNCTION("""COMPUTED_VALUE"""),"HealthConf")</f>
        <v>HealthConf</v>
      </c>
      <c r="C10" s="56" t="str">
        <f>IFERROR(__xludf.DUMMYFUNCTION("""COMPUTED_VALUE"""),"Kenneth Jønck")</f>
        <v>Kenneth Jønck</v>
      </c>
      <c r="D10" s="51" t="str">
        <f>IFERROR(__xludf.DUMMYFUNCTION("""COMPUTED_VALUE"""),"2019/11/07 13:25:00")</f>
        <v>2019/11/07 13:25:00</v>
      </c>
      <c r="E10" s="51" t="str">
        <f>IFERROR(__xludf.DUMMYFUNCTION("""COMPUTED_VALUE"""),"2019/11/07 13:40:00")</f>
        <v>2019/11/07 13:40:00</v>
      </c>
      <c r="F10" s="51" t="str">
        <f>IFERROR(__xludf.DUMMYFUNCTION("""COMPUTED_VALUE"""),"99d35c7c-c70b-4f34-8c5f-153b161ad39d")</f>
        <v>99d35c7c-c70b-4f34-8c5f-153b161ad39d</v>
      </c>
      <c r="G10" s="58">
        <f>IFERROR(__xludf.DUMMYFUNCTION("""COMPUTED_VALUE"""),43776.0)</f>
        <v>43776</v>
      </c>
      <c r="H10" s="60">
        <f>IFERROR(__xludf.DUMMYFUNCTION("""COMPUTED_VALUE"""),0.5590277777777778)</f>
        <v>0.5590277778</v>
      </c>
      <c r="I10" s="58">
        <f>IFERROR(__xludf.DUMMYFUNCTION("""COMPUTED_VALUE"""),43776.0)</f>
        <v>43776</v>
      </c>
      <c r="J10" s="60">
        <f>IFERROR(__xludf.DUMMYFUNCTION("""COMPUTED_VALUE"""),0.5694444444444444)</f>
        <v>0.5694444444</v>
      </c>
      <c r="K10" s="60">
        <f t="shared" si="1"/>
        <v>0.01041666667</v>
      </c>
      <c r="L10" s="51" t="s">
        <v>116</v>
      </c>
      <c r="M10" s="51"/>
      <c r="N10" s="51"/>
      <c r="O10" s="50"/>
      <c r="P10" s="50"/>
      <c r="Q10" s="63"/>
      <c r="R10" s="51"/>
      <c r="S10" s="51"/>
      <c r="T10" s="51"/>
    </row>
    <row r="11">
      <c r="A11" s="51" t="str">
        <f>IFERROR(__xludf.DUMMYFUNCTION("""COMPUTED_VALUE"""),"Health, home and happiness")</f>
        <v>Health, home and happiness</v>
      </c>
      <c r="B11" s="51" t="str">
        <f>IFERROR(__xludf.DUMMYFUNCTION("""COMPUTED_VALUE"""),"HealthConf")</f>
        <v>HealthConf</v>
      </c>
      <c r="C11" s="56" t="str">
        <f>IFERROR(__xludf.DUMMYFUNCTION("""COMPUTED_VALUE"""),"Dame Til Wykes, Daniel Sobhani, Alexandra Zatarain and Alyssa Newcomb")</f>
        <v>Dame Til Wykes, Daniel Sobhani, Alexandra Zatarain and Alyssa Newcomb</v>
      </c>
      <c r="D11" s="51" t="str">
        <f>IFERROR(__xludf.DUMMYFUNCTION("""COMPUTED_VALUE"""),"2019/11/07 13:40:00")</f>
        <v>2019/11/07 13:40:00</v>
      </c>
      <c r="E11" s="51" t="str">
        <f>IFERROR(__xludf.DUMMYFUNCTION("""COMPUTED_VALUE"""),"2019/11/07 14:05:00")</f>
        <v>2019/11/07 14:05:00</v>
      </c>
      <c r="F11" s="51" t="str">
        <f>IFERROR(__xludf.DUMMYFUNCTION("""COMPUTED_VALUE"""),"143137ca-e514-4797-bd61-753f1a693c08")</f>
        <v>143137ca-e514-4797-bd61-753f1a693c08</v>
      </c>
      <c r="G11" s="58">
        <f>IFERROR(__xludf.DUMMYFUNCTION("""COMPUTED_VALUE"""),43776.0)</f>
        <v>43776</v>
      </c>
      <c r="H11" s="60">
        <f>IFERROR(__xludf.DUMMYFUNCTION("""COMPUTED_VALUE"""),0.5694444444444444)</f>
        <v>0.5694444444</v>
      </c>
      <c r="I11" s="58">
        <f>IFERROR(__xludf.DUMMYFUNCTION("""COMPUTED_VALUE"""),43776.0)</f>
        <v>43776</v>
      </c>
      <c r="J11" s="60">
        <f>IFERROR(__xludf.DUMMYFUNCTION("""COMPUTED_VALUE"""),0.5868055555555556)</f>
        <v>0.5868055556</v>
      </c>
      <c r="K11" s="60">
        <f t="shared" si="1"/>
        <v>0.01736111111</v>
      </c>
      <c r="L11" s="51" t="s">
        <v>107</v>
      </c>
      <c r="M11" s="51"/>
      <c r="N11" s="51"/>
      <c r="O11" s="50"/>
      <c r="P11" s="50"/>
      <c r="Q11" s="63"/>
      <c r="R11" s="51"/>
      <c r="S11" s="51"/>
      <c r="T11" s="51"/>
    </row>
    <row r="12">
      <c r="A12" s="51" t="str">
        <f>IFERROR(__xludf.DUMMYFUNCTION("""COMPUTED_VALUE"""),"With great AI comes great responsibility")</f>
        <v>With great AI comes great responsibility</v>
      </c>
      <c r="B12" s="51" t="str">
        <f>IFERROR(__xludf.DUMMYFUNCTION("""COMPUTED_VALUE"""),"HealthConf")</f>
        <v>HealthConf</v>
      </c>
      <c r="C12" s="56" t="str">
        <f>IFERROR(__xludf.DUMMYFUNCTION("""COMPUTED_VALUE"""),"Chris Gibson, Saskia Steinacker and Paul Nuki")</f>
        <v>Chris Gibson, Saskia Steinacker and Paul Nuki</v>
      </c>
      <c r="D12" s="51" t="str">
        <f>IFERROR(__xludf.DUMMYFUNCTION("""COMPUTED_VALUE"""),"2019/11/07 14:05:00")</f>
        <v>2019/11/07 14:05:00</v>
      </c>
      <c r="E12" s="51" t="str">
        <f>IFERROR(__xludf.DUMMYFUNCTION("""COMPUTED_VALUE"""),"2019/11/07 14:25:00")</f>
        <v>2019/11/07 14:25:00</v>
      </c>
      <c r="F12" s="51" t="str">
        <f>IFERROR(__xludf.DUMMYFUNCTION("""COMPUTED_VALUE"""),"d75ea3ca-707c-4021-b743-42b14c6071e2")</f>
        <v>d75ea3ca-707c-4021-b743-42b14c6071e2</v>
      </c>
      <c r="G12" s="58">
        <f>IFERROR(__xludf.DUMMYFUNCTION("""COMPUTED_VALUE"""),43776.0)</f>
        <v>43776</v>
      </c>
      <c r="H12" s="60">
        <f>IFERROR(__xludf.DUMMYFUNCTION("""COMPUTED_VALUE"""),0.5868055555555556)</f>
        <v>0.5868055556</v>
      </c>
      <c r="I12" s="58">
        <f>IFERROR(__xludf.DUMMYFUNCTION("""COMPUTED_VALUE"""),43776.0)</f>
        <v>43776</v>
      </c>
      <c r="J12" s="60">
        <f>IFERROR(__xludf.DUMMYFUNCTION("""COMPUTED_VALUE"""),0.6006944444444444)</f>
        <v>0.6006944444</v>
      </c>
      <c r="K12" s="60">
        <f t="shared" si="1"/>
        <v>0.01388888889</v>
      </c>
      <c r="L12" s="51" t="s">
        <v>111</v>
      </c>
      <c r="M12" s="51"/>
      <c r="N12" s="51"/>
      <c r="O12" s="50"/>
      <c r="P12" s="50"/>
      <c r="Q12" s="63"/>
      <c r="R12" s="51"/>
      <c r="S12" s="51"/>
      <c r="T12" s="51"/>
    </row>
    <row r="13">
      <c r="A13" s="51" t="str">
        <f>IFERROR(__xludf.DUMMYFUNCTION("""COMPUTED_VALUE"""),"Neurealms of brain tech")</f>
        <v>Neurealms of brain tech</v>
      </c>
      <c r="B13" s="51" t="str">
        <f>IFERROR(__xludf.DUMMYFUNCTION("""COMPUTED_VALUE"""),"HealthConf")</f>
        <v>HealthConf</v>
      </c>
      <c r="C13" s="56" t="str">
        <f>IFERROR(__xludf.DUMMYFUNCTION("""COMPUTED_VALUE"""),"Ali Rezai, Thomas Reardon and Katie Collins")</f>
        <v>Ali Rezai, Thomas Reardon and Katie Collins</v>
      </c>
      <c r="D13" s="51" t="str">
        <f>IFERROR(__xludf.DUMMYFUNCTION("""COMPUTED_VALUE"""),"2019/11/07 14:25:00")</f>
        <v>2019/11/07 14:25:00</v>
      </c>
      <c r="E13" s="51" t="str">
        <f>IFERROR(__xludf.DUMMYFUNCTION("""COMPUTED_VALUE"""),"2019/11/07 14:45:00")</f>
        <v>2019/11/07 14:45:00</v>
      </c>
      <c r="F13" s="51" t="str">
        <f>IFERROR(__xludf.DUMMYFUNCTION("""COMPUTED_VALUE"""),"35fe50f5-b99d-4ca6-9d83-b32171501f9a")</f>
        <v>35fe50f5-b99d-4ca6-9d83-b32171501f9a</v>
      </c>
      <c r="G13" s="58">
        <f>IFERROR(__xludf.DUMMYFUNCTION("""COMPUTED_VALUE"""),43776.0)</f>
        <v>43776</v>
      </c>
      <c r="H13" s="60">
        <f>IFERROR(__xludf.DUMMYFUNCTION("""COMPUTED_VALUE"""),0.6006944444444444)</f>
        <v>0.6006944444</v>
      </c>
      <c r="I13" s="58">
        <f>IFERROR(__xludf.DUMMYFUNCTION("""COMPUTED_VALUE"""),43776.0)</f>
        <v>43776</v>
      </c>
      <c r="J13" s="60">
        <f>IFERROR(__xludf.DUMMYFUNCTION("""COMPUTED_VALUE"""),0.6145833333333334)</f>
        <v>0.6145833333</v>
      </c>
      <c r="K13" s="60">
        <f t="shared" si="1"/>
        <v>0.01388888889</v>
      </c>
      <c r="L13" s="51" t="s">
        <v>111</v>
      </c>
      <c r="M13" s="51"/>
      <c r="N13" s="51"/>
      <c r="O13" s="50"/>
      <c r="P13" s="50"/>
      <c r="Q13" s="63"/>
      <c r="R13" s="51"/>
      <c r="S13" s="51"/>
      <c r="T13" s="51"/>
    </row>
    <row r="14">
      <c r="A14" s="51" t="str">
        <f>IFERROR(__xludf.DUMMYFUNCTION("""COMPUTED_VALUE"""),"24/7 healthcare is here")</f>
        <v>24/7 healthcare is here</v>
      </c>
      <c r="B14" s="51" t="str">
        <f>IFERROR(__xludf.DUMMYFUNCTION("""COMPUTED_VALUE"""),"HealthConf")</f>
        <v>HealthConf</v>
      </c>
      <c r="C14" s="56" t="str">
        <f>IFERROR(__xludf.DUMMYFUNCTION("""COMPUTED_VALUE"""),"Gary Mudie and Joao Tome")</f>
        <v>Gary Mudie and Joao Tome</v>
      </c>
      <c r="D14" s="51" t="str">
        <f>IFERROR(__xludf.DUMMYFUNCTION("""COMPUTED_VALUE"""),"2019/11/07 14:45:00")</f>
        <v>2019/11/07 14:45:00</v>
      </c>
      <c r="E14" s="51" t="str">
        <f>IFERROR(__xludf.DUMMYFUNCTION("""COMPUTED_VALUE"""),"2019/11/07 15:05:00")</f>
        <v>2019/11/07 15:05:00</v>
      </c>
      <c r="F14" s="51" t="str">
        <f>IFERROR(__xludf.DUMMYFUNCTION("""COMPUTED_VALUE"""),"42f6d75d-4df5-4091-bf57-d55466938fb7")</f>
        <v>42f6d75d-4df5-4091-bf57-d55466938fb7</v>
      </c>
      <c r="G14" s="58">
        <f>IFERROR(__xludf.DUMMYFUNCTION("""COMPUTED_VALUE"""),43776.0)</f>
        <v>43776</v>
      </c>
      <c r="H14" s="60">
        <f>IFERROR(__xludf.DUMMYFUNCTION("""COMPUTED_VALUE"""),0.6145833333333334)</f>
        <v>0.6145833333</v>
      </c>
      <c r="I14" s="58">
        <f>IFERROR(__xludf.DUMMYFUNCTION("""COMPUTED_VALUE"""),43776.0)</f>
        <v>43776</v>
      </c>
      <c r="J14" s="60">
        <f>IFERROR(__xludf.DUMMYFUNCTION("""COMPUTED_VALUE"""),0.6284722222222222)</f>
        <v>0.6284722222</v>
      </c>
      <c r="K14" s="60">
        <f t="shared" si="1"/>
        <v>0.01388888889</v>
      </c>
      <c r="L14" s="51" t="s">
        <v>111</v>
      </c>
      <c r="M14" s="51"/>
      <c r="N14" s="51"/>
      <c r="O14" s="50"/>
      <c r="P14" s="50"/>
      <c r="Q14" s="63"/>
      <c r="R14" s="51"/>
      <c r="S14" s="51"/>
      <c r="T14" s="51"/>
    </row>
    <row r="15">
      <c r="A15" s="51" t="str">
        <f>IFERROR(__xludf.DUMMYFUNCTION("""COMPUTED_VALUE"""),"Where I'm putting my money in med-tech")</f>
        <v>Where I'm putting my money in med-tech</v>
      </c>
      <c r="B15" s="51" t="str">
        <f>IFERROR(__xludf.DUMMYFUNCTION("""COMPUTED_VALUE"""),"HealthConf")</f>
        <v>HealthConf</v>
      </c>
      <c r="C15" s="56" t="str">
        <f>IFERROR(__xludf.DUMMYFUNCTION("""COMPUTED_VALUE"""),"Lu Zhang, Min Hu, Dr Marco Huesch and Alex Deane")</f>
        <v>Lu Zhang, Min Hu, Dr Marco Huesch and Alex Deane</v>
      </c>
      <c r="D15" s="51" t="str">
        <f>IFERROR(__xludf.DUMMYFUNCTION("""COMPUTED_VALUE"""),"2019/11/07 15:05:00")</f>
        <v>2019/11/07 15:05:00</v>
      </c>
      <c r="E15" s="51" t="str">
        <f>IFERROR(__xludf.DUMMYFUNCTION("""COMPUTED_VALUE"""),"2019/11/07 15:30:00")</f>
        <v>2019/11/07 15:30:00</v>
      </c>
      <c r="F15" s="51" t="str">
        <f>IFERROR(__xludf.DUMMYFUNCTION("""COMPUTED_VALUE"""),"da1f512d-7f42-4d9d-b61d-6fb0127bb842")</f>
        <v>da1f512d-7f42-4d9d-b61d-6fb0127bb842</v>
      </c>
      <c r="G15" s="58">
        <f>IFERROR(__xludf.DUMMYFUNCTION("""COMPUTED_VALUE"""),43776.0)</f>
        <v>43776</v>
      </c>
      <c r="H15" s="60">
        <f>IFERROR(__xludf.DUMMYFUNCTION("""COMPUTED_VALUE"""),0.6284722222222222)</f>
        <v>0.6284722222</v>
      </c>
      <c r="I15" s="58">
        <f>IFERROR(__xludf.DUMMYFUNCTION("""COMPUTED_VALUE"""),43776.0)</f>
        <v>43776</v>
      </c>
      <c r="J15" s="60">
        <f>IFERROR(__xludf.DUMMYFUNCTION("""COMPUTED_VALUE"""),0.6458333333333334)</f>
        <v>0.6458333333</v>
      </c>
      <c r="K15" s="60">
        <f t="shared" si="1"/>
        <v>0.01736111111</v>
      </c>
      <c r="L15" s="51" t="s">
        <v>107</v>
      </c>
      <c r="M15" s="51"/>
      <c r="N15" s="51"/>
      <c r="O15" s="50"/>
      <c r="P15" s="50"/>
      <c r="Q15" s="63"/>
      <c r="R15" s="51"/>
      <c r="S15" s="51"/>
      <c r="T15" s="51"/>
    </row>
    <row r="16">
      <c r="A16" s="51" t="str">
        <f>IFERROR(__xludf.DUMMYFUNCTION("""COMPUTED_VALUE"""),"Are we over wearables?")</f>
        <v>Are we over wearables?</v>
      </c>
      <c r="B16" s="51" t="str">
        <f>IFERROR(__xludf.DUMMYFUNCTION("""COMPUTED_VALUE"""),"HealthConf")</f>
        <v>HealthConf</v>
      </c>
      <c r="C16" s="56" t="str">
        <f>IFERROR(__xludf.DUMMYFUNCTION("""COMPUTED_VALUE"""),"Wai Lee, Kate Rosenbluth and Kieran Yates")</f>
        <v>Wai Lee, Kate Rosenbluth and Kieran Yates</v>
      </c>
      <c r="D16" s="51" t="str">
        <f>IFERROR(__xludf.DUMMYFUNCTION("""COMPUTED_VALUE"""),"2019/11/07 15:30:00")</f>
        <v>2019/11/07 15:30:00</v>
      </c>
      <c r="E16" s="51" t="str">
        <f>IFERROR(__xludf.DUMMYFUNCTION("""COMPUTED_VALUE"""),"2019/11/07 15:50:00")</f>
        <v>2019/11/07 15:50:00</v>
      </c>
      <c r="F16" s="51" t="str">
        <f>IFERROR(__xludf.DUMMYFUNCTION("""COMPUTED_VALUE"""),"9183f1ec-6e86-44e3-b40f-11a1140f1f36")</f>
        <v>9183f1ec-6e86-44e3-b40f-11a1140f1f36</v>
      </c>
      <c r="G16" s="58">
        <f>IFERROR(__xludf.DUMMYFUNCTION("""COMPUTED_VALUE"""),43776.0)</f>
        <v>43776</v>
      </c>
      <c r="H16" s="60">
        <f>IFERROR(__xludf.DUMMYFUNCTION("""COMPUTED_VALUE"""),0.6458333333333334)</f>
        <v>0.6458333333</v>
      </c>
      <c r="I16" s="58">
        <f>IFERROR(__xludf.DUMMYFUNCTION("""COMPUTED_VALUE"""),43776.0)</f>
        <v>43776</v>
      </c>
      <c r="J16" s="60">
        <f>IFERROR(__xludf.DUMMYFUNCTION("""COMPUTED_VALUE"""),0.6597222222222222)</f>
        <v>0.6597222222</v>
      </c>
      <c r="K16" s="60">
        <f t="shared" si="1"/>
        <v>0.01388888889</v>
      </c>
      <c r="L16" s="51" t="s">
        <v>111</v>
      </c>
      <c r="M16" s="51"/>
      <c r="N16" s="51"/>
      <c r="O16" s="50"/>
      <c r="P16" s="50"/>
      <c r="Q16" s="63"/>
      <c r="R16" s="51"/>
      <c r="S16" s="51"/>
      <c r="T16" s="51"/>
    </row>
    <row r="17">
      <c r="A17" s="51"/>
      <c r="B17" s="51"/>
      <c r="C17" s="56"/>
      <c r="D17" s="51"/>
      <c r="E17" s="51"/>
      <c r="F17" s="51"/>
      <c r="G17" s="51" t="str">
        <f>IFERROR(__xludf.DUMMYFUNCTION("""COMPUTED_VALUE"""),"#VALUE!")</f>
        <v>#VALUE!</v>
      </c>
      <c r="H17" s="51" t="str">
        <f>IFERROR(__xludf.DUMMYFUNCTION("""COMPUTED_VALUE"""),"")</f>
        <v/>
      </c>
      <c r="I17" s="51" t="str">
        <f>IFERROR(__xludf.DUMMYFUNCTION("""COMPUTED_VALUE"""),"#VALUE!")</f>
        <v>#VALUE!</v>
      </c>
      <c r="J17" s="51" t="str">
        <f>IFERROR(__xludf.DUMMYFUNCTION("""COMPUTED_VALUE"""),"")</f>
        <v/>
      </c>
      <c r="K17" s="51">
        <f t="shared" si="1"/>
        <v>0</v>
      </c>
      <c r="L17" s="51" t="s">
        <v>257</v>
      </c>
      <c r="M17" s="51"/>
      <c r="N17" s="51"/>
      <c r="O17" s="51"/>
      <c r="P17" s="51"/>
      <c r="Q17" s="51"/>
      <c r="R17" s="51"/>
      <c r="S17" s="51"/>
      <c r="T17" s="51"/>
    </row>
    <row r="18">
      <c r="A18" s="51"/>
      <c r="B18" s="51"/>
      <c r="C18" s="56"/>
      <c r="D18" s="51"/>
      <c r="E18" s="51"/>
      <c r="F18" s="51"/>
      <c r="G18" s="51" t="str">
        <f>IFERROR(__xludf.DUMMYFUNCTION("""COMPUTED_VALUE"""),"#VALUE!")</f>
        <v>#VALUE!</v>
      </c>
      <c r="H18" s="51" t="str">
        <f>IFERROR(__xludf.DUMMYFUNCTION("""COMPUTED_VALUE"""),"")</f>
        <v/>
      </c>
      <c r="I18" s="51" t="str">
        <f>IFERROR(__xludf.DUMMYFUNCTION("""COMPUTED_VALUE"""),"#VALUE!")</f>
        <v>#VALUE!</v>
      </c>
      <c r="J18" s="51" t="str">
        <f>IFERROR(__xludf.DUMMYFUNCTION("""COMPUTED_VALUE"""),"")</f>
        <v/>
      </c>
      <c r="K18" s="51">
        <f t="shared" si="1"/>
        <v>0</v>
      </c>
      <c r="L18" s="51" t="s">
        <v>257</v>
      </c>
      <c r="M18" s="51"/>
      <c r="N18" s="51"/>
      <c r="O18" s="51"/>
      <c r="P18" s="51"/>
      <c r="Q18" s="51"/>
      <c r="R18" s="51"/>
      <c r="S18" s="51"/>
      <c r="T18" s="51"/>
    </row>
    <row r="19">
      <c r="A19" s="51"/>
      <c r="B19" s="51"/>
      <c r="C19" s="56"/>
      <c r="D19" s="51"/>
      <c r="E19" s="51"/>
      <c r="F19" s="51"/>
      <c r="G19" s="51" t="str">
        <f>IFERROR(__xludf.DUMMYFUNCTION("""COMPUTED_VALUE"""),"#VALUE!")</f>
        <v>#VALUE!</v>
      </c>
      <c r="H19" s="51" t="str">
        <f>IFERROR(__xludf.DUMMYFUNCTION("""COMPUTED_VALUE"""),"")</f>
        <v/>
      </c>
      <c r="I19" s="51" t="str">
        <f>IFERROR(__xludf.DUMMYFUNCTION("""COMPUTED_VALUE"""),"#VALUE!")</f>
        <v>#VALUE!</v>
      </c>
      <c r="J19" s="51" t="str">
        <f>IFERROR(__xludf.DUMMYFUNCTION("""COMPUTED_VALUE"""),"")</f>
        <v/>
      </c>
      <c r="K19" s="51">
        <f t="shared" si="1"/>
        <v>0</v>
      </c>
      <c r="L19" s="51" t="s">
        <v>257</v>
      </c>
      <c r="M19" s="51"/>
      <c r="N19" s="51"/>
      <c r="O19" s="51"/>
      <c r="P19" s="51"/>
      <c r="Q19" s="51"/>
      <c r="R19" s="51"/>
      <c r="S19" s="51"/>
      <c r="T19" s="51"/>
    </row>
    <row r="20">
      <c r="A20" s="51"/>
      <c r="B20" s="51"/>
      <c r="C20" s="56"/>
      <c r="D20" s="51"/>
      <c r="E20" s="51"/>
      <c r="F20" s="51"/>
      <c r="G20" s="51" t="str">
        <f>IFERROR(__xludf.DUMMYFUNCTION("""COMPUTED_VALUE"""),"#VALUE!")</f>
        <v>#VALUE!</v>
      </c>
      <c r="H20" s="51" t="str">
        <f>IFERROR(__xludf.DUMMYFUNCTION("""COMPUTED_VALUE"""),"")</f>
        <v/>
      </c>
      <c r="I20" s="51" t="str">
        <f>IFERROR(__xludf.DUMMYFUNCTION("""COMPUTED_VALUE"""),"#VALUE!")</f>
        <v>#VALUE!</v>
      </c>
      <c r="J20" s="51" t="str">
        <f>IFERROR(__xludf.DUMMYFUNCTION("""COMPUTED_VALUE"""),"")</f>
        <v/>
      </c>
      <c r="K20" s="51">
        <f t="shared" si="1"/>
        <v>0</v>
      </c>
      <c r="L20" s="51" t="s">
        <v>257</v>
      </c>
      <c r="M20" s="51"/>
      <c r="N20" s="51"/>
      <c r="O20" s="51"/>
      <c r="P20" s="51"/>
      <c r="Q20" s="51"/>
      <c r="R20" s="51"/>
      <c r="S20" s="51"/>
      <c r="T20" s="51"/>
    </row>
    <row r="21">
      <c r="A21" s="51"/>
      <c r="B21" s="51"/>
      <c r="C21" s="56"/>
      <c r="D21" s="51"/>
      <c r="E21" s="51"/>
      <c r="F21" s="51"/>
      <c r="G21" s="51" t="str">
        <f>IFERROR(__xludf.DUMMYFUNCTION("""COMPUTED_VALUE"""),"#VALUE!")</f>
        <v>#VALUE!</v>
      </c>
      <c r="H21" s="51" t="str">
        <f>IFERROR(__xludf.DUMMYFUNCTION("""COMPUTED_VALUE"""),"")</f>
        <v/>
      </c>
      <c r="I21" s="51" t="str">
        <f>IFERROR(__xludf.DUMMYFUNCTION("""COMPUTED_VALUE"""),"#VALUE!")</f>
        <v>#VALUE!</v>
      </c>
      <c r="J21" s="51" t="str">
        <f>IFERROR(__xludf.DUMMYFUNCTION("""COMPUTED_VALUE"""),"")</f>
        <v/>
      </c>
      <c r="K21" s="51">
        <f t="shared" si="1"/>
        <v>0</v>
      </c>
      <c r="L21" s="51" t="s">
        <v>257</v>
      </c>
      <c r="M21" s="51"/>
      <c r="N21" s="51"/>
      <c r="O21" s="51"/>
      <c r="P21" s="51"/>
      <c r="Q21" s="51"/>
      <c r="R21" s="51"/>
      <c r="S21" s="51"/>
      <c r="T21" s="51"/>
    </row>
    <row r="22">
      <c r="A22" s="51"/>
      <c r="B22" s="51"/>
      <c r="C22" s="56"/>
      <c r="D22" s="51"/>
      <c r="E22" s="51"/>
      <c r="F22" s="51"/>
      <c r="G22" s="51" t="str">
        <f>IFERROR(__xludf.DUMMYFUNCTION("""COMPUTED_VALUE"""),"#VALUE!")</f>
        <v>#VALUE!</v>
      </c>
      <c r="H22" s="51" t="str">
        <f>IFERROR(__xludf.DUMMYFUNCTION("""COMPUTED_VALUE"""),"")</f>
        <v/>
      </c>
      <c r="I22" s="51" t="str">
        <f>IFERROR(__xludf.DUMMYFUNCTION("""COMPUTED_VALUE"""),"#VALUE!")</f>
        <v>#VALUE!</v>
      </c>
      <c r="J22" s="51" t="str">
        <f>IFERROR(__xludf.DUMMYFUNCTION("""COMPUTED_VALUE"""),"")</f>
        <v/>
      </c>
      <c r="K22" s="51">
        <f t="shared" si="1"/>
        <v>0</v>
      </c>
      <c r="L22" s="51" t="s">
        <v>257</v>
      </c>
      <c r="M22" s="51"/>
      <c r="N22" s="51"/>
      <c r="O22" s="51"/>
      <c r="P22" s="51"/>
      <c r="Q22" s="51"/>
      <c r="R22" s="51"/>
      <c r="S22" s="51"/>
      <c r="T22" s="51"/>
    </row>
    <row r="23">
      <c r="A23" s="51"/>
      <c r="B23" s="51"/>
      <c r="C23" s="56"/>
      <c r="D23" s="51"/>
      <c r="E23" s="51"/>
      <c r="F23" s="51"/>
      <c r="G23" s="51" t="str">
        <f>IFERROR(__xludf.DUMMYFUNCTION("""COMPUTED_VALUE"""),"#VALUE!")</f>
        <v>#VALUE!</v>
      </c>
      <c r="H23" s="51" t="str">
        <f>IFERROR(__xludf.DUMMYFUNCTION("""COMPUTED_VALUE"""),"")</f>
        <v/>
      </c>
      <c r="I23" s="51" t="str">
        <f>IFERROR(__xludf.DUMMYFUNCTION("""COMPUTED_VALUE"""),"#VALUE!")</f>
        <v>#VALUE!</v>
      </c>
      <c r="J23" s="51" t="str">
        <f>IFERROR(__xludf.DUMMYFUNCTION("""COMPUTED_VALUE"""),"")</f>
        <v/>
      </c>
      <c r="K23" s="51">
        <f t="shared" si="1"/>
        <v>0</v>
      </c>
      <c r="L23" s="51" t="s">
        <v>257</v>
      </c>
      <c r="M23" s="51"/>
      <c r="N23" s="51"/>
      <c r="O23" s="51"/>
      <c r="P23" s="51"/>
      <c r="Q23" s="51"/>
      <c r="R23" s="51"/>
      <c r="S23" s="51"/>
      <c r="T23" s="51"/>
    </row>
    <row r="24">
      <c r="A24" s="51"/>
      <c r="B24" s="51"/>
      <c r="C24" s="56"/>
      <c r="D24" s="51"/>
      <c r="E24" s="51"/>
      <c r="F24" s="51"/>
      <c r="G24" s="51" t="str">
        <f>IFERROR(__xludf.DUMMYFUNCTION("""COMPUTED_VALUE"""),"#VALUE!")</f>
        <v>#VALUE!</v>
      </c>
      <c r="H24" s="51" t="str">
        <f>IFERROR(__xludf.DUMMYFUNCTION("""COMPUTED_VALUE"""),"")</f>
        <v/>
      </c>
      <c r="I24" s="51" t="str">
        <f>IFERROR(__xludf.DUMMYFUNCTION("""COMPUTED_VALUE"""),"#VALUE!")</f>
        <v>#VALUE!</v>
      </c>
      <c r="J24" s="51" t="str">
        <f>IFERROR(__xludf.DUMMYFUNCTION("""COMPUTED_VALUE"""),"")</f>
        <v/>
      </c>
      <c r="K24" s="51"/>
      <c r="L24" s="51" t="s">
        <v>257</v>
      </c>
      <c r="M24" s="51"/>
      <c r="N24" s="51"/>
      <c r="O24" s="51"/>
      <c r="P24" s="51"/>
      <c r="Q24" s="51"/>
      <c r="R24" s="51"/>
      <c r="S24" s="51"/>
      <c r="T24" s="51"/>
    </row>
    <row r="25">
      <c r="A25" s="51"/>
      <c r="B25" s="51"/>
      <c r="C25" s="56"/>
      <c r="D25" s="51"/>
      <c r="E25" s="51"/>
      <c r="F25" s="51"/>
      <c r="G25" s="51" t="str">
        <f>IFERROR(__xludf.DUMMYFUNCTION("""COMPUTED_VALUE"""),"#VALUE!")</f>
        <v>#VALUE!</v>
      </c>
      <c r="H25" s="51" t="str">
        <f>IFERROR(__xludf.DUMMYFUNCTION("""COMPUTED_VALUE"""),"")</f>
        <v/>
      </c>
      <c r="I25" s="51" t="str">
        <f>IFERROR(__xludf.DUMMYFUNCTION("""COMPUTED_VALUE"""),"#VALUE!")</f>
        <v>#VALUE!</v>
      </c>
      <c r="J25" s="51" t="str">
        <f>IFERROR(__xludf.DUMMYFUNCTION("""COMPUTED_VALUE"""),"")</f>
        <v/>
      </c>
      <c r="K25" s="51"/>
      <c r="L25" s="51" t="s">
        <v>257</v>
      </c>
      <c r="M25" s="51"/>
      <c r="N25" s="51"/>
      <c r="O25" s="51"/>
      <c r="P25" s="51"/>
      <c r="Q25" s="51"/>
      <c r="R25" s="51"/>
      <c r="S25" s="51"/>
      <c r="T25" s="51"/>
    </row>
    <row r="26">
      <c r="A26" s="51"/>
      <c r="B26" s="51"/>
      <c r="C26" s="56"/>
      <c r="D26" s="51"/>
      <c r="E26" s="51"/>
      <c r="F26" s="51"/>
      <c r="G26" s="51" t="str">
        <f>IFERROR(__xludf.DUMMYFUNCTION("""COMPUTED_VALUE"""),"#VALUE!")</f>
        <v>#VALUE!</v>
      </c>
      <c r="H26" s="51" t="str">
        <f>IFERROR(__xludf.DUMMYFUNCTION("""COMPUTED_VALUE"""),"")</f>
        <v/>
      </c>
      <c r="I26" s="51" t="str">
        <f>IFERROR(__xludf.DUMMYFUNCTION("""COMPUTED_VALUE"""),"#VALUE!")</f>
        <v>#VALUE!</v>
      </c>
      <c r="J26" s="51" t="str">
        <f>IFERROR(__xludf.DUMMYFUNCTION("""COMPUTED_VALUE"""),"")</f>
        <v/>
      </c>
      <c r="K26" s="51"/>
      <c r="L26" s="51" t="s">
        <v>257</v>
      </c>
      <c r="M26" s="51"/>
      <c r="N26" s="51"/>
      <c r="O26" s="51"/>
      <c r="P26" s="51"/>
      <c r="Q26" s="51"/>
      <c r="R26" s="51"/>
      <c r="S26" s="51"/>
      <c r="T26" s="51"/>
    </row>
    <row r="27">
      <c r="A27" s="51"/>
      <c r="B27" s="51"/>
      <c r="C27" s="56"/>
      <c r="D27" s="51"/>
      <c r="E27" s="51"/>
      <c r="F27" s="51"/>
      <c r="G27" s="51" t="str">
        <f>IFERROR(__xludf.DUMMYFUNCTION("""COMPUTED_VALUE"""),"#VALUE!")</f>
        <v>#VALUE!</v>
      </c>
      <c r="H27" s="51" t="str">
        <f>IFERROR(__xludf.DUMMYFUNCTION("""COMPUTED_VALUE"""),"")</f>
        <v/>
      </c>
      <c r="I27" s="51" t="str">
        <f>IFERROR(__xludf.DUMMYFUNCTION("""COMPUTED_VALUE"""),"#VALUE!")</f>
        <v>#VALUE!</v>
      </c>
      <c r="J27" s="51" t="str">
        <f>IFERROR(__xludf.DUMMYFUNCTION("""COMPUTED_VALUE"""),"")</f>
        <v/>
      </c>
      <c r="K27" s="51"/>
      <c r="L27" s="51" t="s">
        <v>257</v>
      </c>
      <c r="M27" s="51"/>
      <c r="N27" s="51"/>
      <c r="O27" s="51"/>
      <c r="P27" s="51"/>
      <c r="Q27" s="51"/>
      <c r="R27" s="51"/>
      <c r="S27" s="51"/>
      <c r="T27" s="51"/>
    </row>
    <row r="28">
      <c r="A28" s="51"/>
      <c r="B28" s="51"/>
      <c r="C28" s="56"/>
      <c r="D28" s="51"/>
      <c r="E28" s="51"/>
      <c r="F28" s="51"/>
      <c r="G28" s="51" t="str">
        <f>IFERROR(__xludf.DUMMYFUNCTION("""COMPUTED_VALUE"""),"#VALUE!")</f>
        <v>#VALUE!</v>
      </c>
      <c r="H28" s="51" t="str">
        <f>IFERROR(__xludf.DUMMYFUNCTION("""COMPUTED_VALUE"""),"")</f>
        <v/>
      </c>
      <c r="I28" s="51" t="str">
        <f>IFERROR(__xludf.DUMMYFUNCTION("""COMPUTED_VALUE"""),"#VALUE!")</f>
        <v>#VALUE!</v>
      </c>
      <c r="J28" s="51" t="str">
        <f>IFERROR(__xludf.DUMMYFUNCTION("""COMPUTED_VALUE"""),"")</f>
        <v/>
      </c>
      <c r="K28" s="51"/>
      <c r="L28" s="51" t="s">
        <v>257</v>
      </c>
      <c r="M28" s="51"/>
      <c r="N28" s="51"/>
      <c r="O28" s="51"/>
      <c r="P28" s="51"/>
      <c r="Q28" s="51"/>
      <c r="R28" s="51"/>
      <c r="S28" s="51"/>
      <c r="T28" s="51"/>
    </row>
    <row r="29">
      <c r="A29" s="51"/>
      <c r="B29" s="51"/>
      <c r="C29" s="56"/>
      <c r="D29" s="51"/>
      <c r="E29" s="51"/>
      <c r="F29" s="51"/>
      <c r="G29" s="51" t="str">
        <f>IFERROR(__xludf.DUMMYFUNCTION("""COMPUTED_VALUE"""),"#VALUE!")</f>
        <v>#VALUE!</v>
      </c>
      <c r="H29" s="51" t="str">
        <f>IFERROR(__xludf.DUMMYFUNCTION("""COMPUTED_VALUE"""),"")</f>
        <v/>
      </c>
      <c r="I29" s="51" t="str">
        <f>IFERROR(__xludf.DUMMYFUNCTION("""COMPUTED_VALUE"""),"#VALUE!")</f>
        <v>#VALUE!</v>
      </c>
      <c r="J29" s="51" t="str">
        <f>IFERROR(__xludf.DUMMYFUNCTION("""COMPUTED_VALUE"""),"")</f>
        <v/>
      </c>
      <c r="K29" s="51"/>
      <c r="L29" s="51" t="s">
        <v>257</v>
      </c>
      <c r="M29" s="51"/>
      <c r="N29" s="51"/>
      <c r="O29" s="51"/>
      <c r="P29" s="51"/>
      <c r="Q29" s="51"/>
      <c r="R29" s="51"/>
      <c r="S29" s="51"/>
      <c r="T29" s="51"/>
    </row>
    <row r="30">
      <c r="A30" s="51"/>
      <c r="B30" s="51"/>
      <c r="C30" s="56"/>
      <c r="D30" s="51"/>
      <c r="E30" s="51"/>
      <c r="F30" s="51"/>
      <c r="G30" s="51" t="str">
        <f>IFERROR(__xludf.DUMMYFUNCTION("""COMPUTED_VALUE"""),"#VALUE!")</f>
        <v>#VALUE!</v>
      </c>
      <c r="H30" s="51" t="str">
        <f>IFERROR(__xludf.DUMMYFUNCTION("""COMPUTED_VALUE"""),"")</f>
        <v/>
      </c>
      <c r="I30" s="51" t="str">
        <f>IFERROR(__xludf.DUMMYFUNCTION("""COMPUTED_VALUE"""),"#VALUE!")</f>
        <v>#VALUE!</v>
      </c>
      <c r="J30" s="51" t="str">
        <f>IFERROR(__xludf.DUMMYFUNCTION("""COMPUTED_VALUE"""),"")</f>
        <v/>
      </c>
      <c r="K30" s="51"/>
      <c r="L30" s="51" t="s">
        <v>257</v>
      </c>
      <c r="M30" s="51"/>
      <c r="N30" s="51"/>
      <c r="O30" s="51"/>
      <c r="P30" s="51"/>
      <c r="Q30" s="51"/>
      <c r="R30" s="51"/>
      <c r="S30" s="51"/>
      <c r="T30" s="51"/>
    </row>
    <row r="31">
      <c r="A31" s="51"/>
      <c r="B31" s="51"/>
      <c r="C31" s="56"/>
      <c r="D31" s="51"/>
      <c r="E31" s="51"/>
      <c r="F31" s="51"/>
      <c r="G31" s="51" t="str">
        <f>IFERROR(__xludf.DUMMYFUNCTION("""COMPUTED_VALUE"""),"#VALUE!")</f>
        <v>#VALUE!</v>
      </c>
      <c r="H31" s="51" t="str">
        <f>IFERROR(__xludf.DUMMYFUNCTION("""COMPUTED_VALUE"""),"")</f>
        <v/>
      </c>
      <c r="I31" s="51" t="str">
        <f>IFERROR(__xludf.DUMMYFUNCTION("""COMPUTED_VALUE"""),"#VALUE!")</f>
        <v>#VALUE!</v>
      </c>
      <c r="J31" s="51" t="str">
        <f>IFERROR(__xludf.DUMMYFUNCTION("""COMPUTED_VALUE"""),"")</f>
        <v/>
      </c>
      <c r="K31" s="51"/>
      <c r="L31" s="51" t="s">
        <v>257</v>
      </c>
      <c r="M31" s="51"/>
      <c r="N31" s="51"/>
      <c r="O31" s="51"/>
      <c r="P31" s="51"/>
      <c r="Q31" s="51"/>
      <c r="R31" s="51"/>
      <c r="S31" s="51"/>
      <c r="T31" s="51"/>
    </row>
    <row r="32">
      <c r="A32" s="51"/>
      <c r="B32" s="51"/>
      <c r="C32" s="56"/>
      <c r="D32" s="51"/>
      <c r="E32" s="51"/>
      <c r="F32" s="51"/>
      <c r="G32" s="51" t="str">
        <f>IFERROR(__xludf.DUMMYFUNCTION("""COMPUTED_VALUE"""),"#VALUE!")</f>
        <v>#VALUE!</v>
      </c>
      <c r="H32" s="51" t="str">
        <f>IFERROR(__xludf.DUMMYFUNCTION("""COMPUTED_VALUE"""),"")</f>
        <v/>
      </c>
      <c r="I32" s="51" t="str">
        <f>IFERROR(__xludf.DUMMYFUNCTION("""COMPUTED_VALUE"""),"#VALUE!")</f>
        <v>#VALUE!</v>
      </c>
      <c r="J32" s="51" t="str">
        <f>IFERROR(__xludf.DUMMYFUNCTION("""COMPUTED_VALUE"""),"")</f>
        <v/>
      </c>
      <c r="K32" s="51"/>
      <c r="L32" s="51" t="s">
        <v>257</v>
      </c>
      <c r="M32" s="51"/>
      <c r="N32" s="51"/>
      <c r="O32" s="51"/>
      <c r="P32" s="51"/>
      <c r="Q32" s="51"/>
      <c r="R32" s="51"/>
      <c r="S32" s="51"/>
      <c r="T32" s="51"/>
    </row>
    <row r="33">
      <c r="A33" s="51"/>
      <c r="B33" s="51"/>
      <c r="C33" s="56"/>
      <c r="D33" s="51"/>
      <c r="E33" s="51"/>
      <c r="F33" s="51"/>
      <c r="G33" s="51" t="str">
        <f>IFERROR(__xludf.DUMMYFUNCTION("""COMPUTED_VALUE"""),"#VALUE!")</f>
        <v>#VALUE!</v>
      </c>
      <c r="H33" s="51" t="str">
        <f>IFERROR(__xludf.DUMMYFUNCTION("""COMPUTED_VALUE"""),"")</f>
        <v/>
      </c>
      <c r="I33" s="51" t="str">
        <f>IFERROR(__xludf.DUMMYFUNCTION("""COMPUTED_VALUE"""),"#VALUE!")</f>
        <v>#VALUE!</v>
      </c>
      <c r="J33" s="51" t="str">
        <f>IFERROR(__xludf.DUMMYFUNCTION("""COMPUTED_VALUE"""),"")</f>
        <v/>
      </c>
      <c r="K33" s="51"/>
      <c r="L33" s="51" t="s">
        <v>257</v>
      </c>
      <c r="M33" s="51"/>
      <c r="N33" s="51"/>
      <c r="O33" s="51"/>
      <c r="P33" s="51"/>
      <c r="Q33" s="51"/>
      <c r="R33" s="51"/>
      <c r="S33" s="51"/>
      <c r="T33" s="51"/>
    </row>
    <row r="34">
      <c r="A34" s="51"/>
      <c r="B34" s="51"/>
      <c r="C34" s="56"/>
      <c r="D34" s="51"/>
      <c r="E34" s="51"/>
      <c r="F34" s="51"/>
      <c r="G34" s="51" t="str">
        <f>IFERROR(__xludf.DUMMYFUNCTION("""COMPUTED_VALUE"""),"#VALUE!")</f>
        <v>#VALUE!</v>
      </c>
      <c r="H34" s="51" t="str">
        <f>IFERROR(__xludf.DUMMYFUNCTION("""COMPUTED_VALUE"""),"")</f>
        <v/>
      </c>
      <c r="I34" s="51" t="str">
        <f>IFERROR(__xludf.DUMMYFUNCTION("""COMPUTED_VALUE"""),"#VALUE!")</f>
        <v>#VALUE!</v>
      </c>
      <c r="J34" s="51" t="str">
        <f>IFERROR(__xludf.DUMMYFUNCTION("""COMPUTED_VALUE"""),"")</f>
        <v/>
      </c>
      <c r="K34" s="51"/>
      <c r="L34" s="51" t="s">
        <v>257</v>
      </c>
      <c r="M34" s="51"/>
      <c r="N34" s="51"/>
      <c r="O34" s="51"/>
      <c r="P34" s="51"/>
      <c r="Q34" s="51"/>
      <c r="R34" s="51"/>
      <c r="S34" s="51"/>
      <c r="T34" s="51"/>
    </row>
    <row r="35">
      <c r="A35" s="51"/>
      <c r="B35" s="51"/>
      <c r="C35" s="56"/>
      <c r="D35" s="51"/>
      <c r="E35" s="51"/>
      <c r="F35" s="51"/>
      <c r="G35" s="51" t="str">
        <f>IFERROR(__xludf.DUMMYFUNCTION("""COMPUTED_VALUE"""),"#VALUE!")</f>
        <v>#VALUE!</v>
      </c>
      <c r="H35" s="51" t="str">
        <f>IFERROR(__xludf.DUMMYFUNCTION("""COMPUTED_VALUE"""),"")</f>
        <v/>
      </c>
      <c r="I35" s="51" t="str">
        <f>IFERROR(__xludf.DUMMYFUNCTION("""COMPUTED_VALUE"""),"#VALUE!")</f>
        <v>#VALUE!</v>
      </c>
      <c r="J35" s="51" t="str">
        <f>IFERROR(__xludf.DUMMYFUNCTION("""COMPUTED_VALUE"""),"")</f>
        <v/>
      </c>
      <c r="K35" s="51"/>
      <c r="L35" s="51" t="s">
        <v>257</v>
      </c>
      <c r="M35" s="51"/>
      <c r="N35" s="51"/>
      <c r="O35" s="51"/>
      <c r="P35" s="51"/>
      <c r="Q35" s="51"/>
      <c r="R35" s="51"/>
      <c r="S35" s="51"/>
      <c r="T35" s="51"/>
    </row>
    <row r="36">
      <c r="A36" s="51"/>
      <c r="B36" s="51"/>
      <c r="C36" s="56"/>
      <c r="D36" s="51"/>
      <c r="E36" s="51"/>
      <c r="F36" s="51"/>
      <c r="G36" s="51" t="str">
        <f>IFERROR(__xludf.DUMMYFUNCTION("""COMPUTED_VALUE"""),"#VALUE!")</f>
        <v>#VALUE!</v>
      </c>
      <c r="H36" s="51" t="str">
        <f>IFERROR(__xludf.DUMMYFUNCTION("""COMPUTED_VALUE"""),"")</f>
        <v/>
      </c>
      <c r="I36" s="51" t="str">
        <f>IFERROR(__xludf.DUMMYFUNCTION("""COMPUTED_VALUE"""),"#VALUE!")</f>
        <v>#VALUE!</v>
      </c>
      <c r="J36" s="51" t="str">
        <f>IFERROR(__xludf.DUMMYFUNCTION("""COMPUTED_VALUE"""),"")</f>
        <v/>
      </c>
      <c r="K36" s="51"/>
      <c r="L36" s="51" t="s">
        <v>257</v>
      </c>
      <c r="M36" s="51"/>
      <c r="N36" s="51"/>
      <c r="O36" s="51"/>
      <c r="P36" s="51"/>
      <c r="Q36" s="51"/>
      <c r="R36" s="51"/>
      <c r="S36" s="51"/>
      <c r="T36" s="51"/>
    </row>
    <row r="37">
      <c r="A37" s="51"/>
      <c r="B37" s="51"/>
      <c r="C37" s="56"/>
      <c r="D37" s="51"/>
      <c r="E37" s="51"/>
      <c r="F37" s="51"/>
      <c r="G37" s="51" t="str">
        <f>IFERROR(__xludf.DUMMYFUNCTION("""COMPUTED_VALUE"""),"#VALUE!")</f>
        <v>#VALUE!</v>
      </c>
      <c r="H37" s="51" t="str">
        <f>IFERROR(__xludf.DUMMYFUNCTION("""COMPUTED_VALUE"""),"")</f>
        <v/>
      </c>
      <c r="I37" s="51" t="str">
        <f>IFERROR(__xludf.DUMMYFUNCTION("""COMPUTED_VALUE"""),"#VALUE!")</f>
        <v>#VALUE!</v>
      </c>
      <c r="J37" s="51" t="str">
        <f>IFERROR(__xludf.DUMMYFUNCTION("""COMPUTED_VALUE"""),"")</f>
        <v/>
      </c>
      <c r="K37" s="51"/>
      <c r="L37" s="51" t="s">
        <v>257</v>
      </c>
      <c r="M37" s="51"/>
      <c r="N37" s="51"/>
      <c r="O37" s="51"/>
      <c r="P37" s="51"/>
      <c r="Q37" s="51"/>
      <c r="R37" s="51"/>
      <c r="S37" s="51"/>
      <c r="T37" s="51"/>
    </row>
    <row r="38">
      <c r="A38" s="51"/>
      <c r="B38" s="51"/>
      <c r="C38" s="56"/>
      <c r="D38" s="51"/>
      <c r="E38" s="51"/>
      <c r="F38" s="51"/>
      <c r="G38" s="51" t="str">
        <f>IFERROR(__xludf.DUMMYFUNCTION("""COMPUTED_VALUE"""),"#VALUE!")</f>
        <v>#VALUE!</v>
      </c>
      <c r="H38" s="51" t="str">
        <f>IFERROR(__xludf.DUMMYFUNCTION("""COMPUTED_VALUE"""),"")</f>
        <v/>
      </c>
      <c r="I38" s="51" t="str">
        <f>IFERROR(__xludf.DUMMYFUNCTION("""COMPUTED_VALUE"""),"#VALUE!")</f>
        <v>#VALUE!</v>
      </c>
      <c r="J38" s="51" t="str">
        <f>IFERROR(__xludf.DUMMYFUNCTION("""COMPUTED_VALUE"""),"")</f>
        <v/>
      </c>
      <c r="K38" s="51"/>
      <c r="L38" s="51" t="s">
        <v>257</v>
      </c>
      <c r="M38" s="51"/>
      <c r="N38" s="51"/>
      <c r="O38" s="51"/>
      <c r="P38" s="51"/>
      <c r="Q38" s="51"/>
      <c r="R38" s="51"/>
      <c r="S38" s="51"/>
      <c r="T38" s="51"/>
    </row>
    <row r="39">
      <c r="A39" s="51"/>
      <c r="B39" s="51"/>
      <c r="C39" s="56"/>
      <c r="D39" s="51"/>
      <c r="E39" s="51"/>
      <c r="F39" s="51"/>
      <c r="G39" s="51" t="str">
        <f>IFERROR(__xludf.DUMMYFUNCTION("""COMPUTED_VALUE"""),"#VALUE!")</f>
        <v>#VALUE!</v>
      </c>
      <c r="H39" s="51" t="str">
        <f>IFERROR(__xludf.DUMMYFUNCTION("""COMPUTED_VALUE"""),"")</f>
        <v/>
      </c>
      <c r="I39" s="51" t="str">
        <f>IFERROR(__xludf.DUMMYFUNCTION("""COMPUTED_VALUE"""),"#VALUE!")</f>
        <v>#VALUE!</v>
      </c>
      <c r="J39" s="51" t="str">
        <f>IFERROR(__xludf.DUMMYFUNCTION("""COMPUTED_VALUE"""),"")</f>
        <v/>
      </c>
      <c r="K39" s="51"/>
      <c r="L39" s="51" t="s">
        <v>257</v>
      </c>
      <c r="M39" s="51"/>
      <c r="N39" s="51"/>
      <c r="O39" s="51"/>
      <c r="P39" s="51"/>
      <c r="Q39" s="51"/>
      <c r="R39" s="51"/>
      <c r="S39" s="51"/>
      <c r="T39" s="51"/>
    </row>
    <row r="40">
      <c r="A40" s="51"/>
      <c r="B40" s="51"/>
      <c r="C40" s="56"/>
      <c r="D40" s="51"/>
      <c r="E40" s="51"/>
      <c r="F40" s="51"/>
      <c r="G40" s="51" t="str">
        <f>IFERROR(__xludf.DUMMYFUNCTION("""COMPUTED_VALUE"""),"#VALUE!")</f>
        <v>#VALUE!</v>
      </c>
      <c r="H40" s="51" t="str">
        <f>IFERROR(__xludf.DUMMYFUNCTION("""COMPUTED_VALUE"""),"")</f>
        <v/>
      </c>
      <c r="I40" s="51" t="str">
        <f>IFERROR(__xludf.DUMMYFUNCTION("""COMPUTED_VALUE"""),"#VALUE!")</f>
        <v>#VALUE!</v>
      </c>
      <c r="J40" s="51" t="str">
        <f>IFERROR(__xludf.DUMMYFUNCTION("""COMPUTED_VALUE"""),"")</f>
        <v/>
      </c>
      <c r="K40" s="51"/>
      <c r="L40" s="51" t="s">
        <v>257</v>
      </c>
      <c r="M40" s="51"/>
      <c r="N40" s="51"/>
      <c r="O40" s="51"/>
      <c r="P40" s="51"/>
      <c r="Q40" s="51"/>
      <c r="R40" s="51"/>
      <c r="S40" s="51"/>
      <c r="T40" s="51"/>
    </row>
    <row r="41">
      <c r="A41" s="51"/>
      <c r="B41" s="51"/>
      <c r="C41" s="56"/>
      <c r="D41" s="51"/>
      <c r="E41" s="51"/>
      <c r="F41" s="51"/>
      <c r="G41" s="51" t="str">
        <f>IFERROR(__xludf.DUMMYFUNCTION("""COMPUTED_VALUE"""),"#VALUE!")</f>
        <v>#VALUE!</v>
      </c>
      <c r="H41" s="51" t="str">
        <f>IFERROR(__xludf.DUMMYFUNCTION("""COMPUTED_VALUE"""),"")</f>
        <v/>
      </c>
      <c r="I41" s="51" t="str">
        <f>IFERROR(__xludf.DUMMYFUNCTION("""COMPUTED_VALUE"""),"#VALUE!")</f>
        <v>#VALUE!</v>
      </c>
      <c r="J41" s="51" t="str">
        <f>IFERROR(__xludf.DUMMYFUNCTION("""COMPUTED_VALUE"""),"")</f>
        <v/>
      </c>
      <c r="K41" s="51"/>
      <c r="L41" s="51" t="s">
        <v>257</v>
      </c>
      <c r="M41" s="51"/>
      <c r="N41" s="51"/>
      <c r="O41" s="51"/>
      <c r="P41" s="51"/>
      <c r="Q41" s="51"/>
      <c r="R41" s="51"/>
      <c r="S41" s="51"/>
      <c r="T41" s="51"/>
    </row>
    <row r="42">
      <c r="A42" s="51"/>
      <c r="B42" s="51"/>
      <c r="C42" s="56"/>
      <c r="D42" s="51"/>
      <c r="E42" s="51"/>
      <c r="F42" s="51"/>
      <c r="G42" s="51" t="str">
        <f>IFERROR(__xludf.DUMMYFUNCTION("""COMPUTED_VALUE"""),"#VALUE!")</f>
        <v>#VALUE!</v>
      </c>
      <c r="H42" s="51" t="str">
        <f>IFERROR(__xludf.DUMMYFUNCTION("""COMPUTED_VALUE"""),"")</f>
        <v/>
      </c>
      <c r="I42" s="51" t="str">
        <f>IFERROR(__xludf.DUMMYFUNCTION("""COMPUTED_VALUE"""),"#VALUE!")</f>
        <v>#VALUE!</v>
      </c>
      <c r="J42" s="51" t="str">
        <f>IFERROR(__xludf.DUMMYFUNCTION("""COMPUTED_VALUE"""),"")</f>
        <v/>
      </c>
      <c r="K42" s="51"/>
      <c r="L42" s="51" t="s">
        <v>257</v>
      </c>
      <c r="M42" s="51"/>
      <c r="N42" s="51"/>
      <c r="O42" s="51"/>
      <c r="P42" s="51"/>
      <c r="Q42" s="51"/>
      <c r="R42" s="51"/>
      <c r="S42" s="51"/>
      <c r="T42" s="51"/>
    </row>
    <row r="43">
      <c r="A43" s="51"/>
      <c r="B43" s="51"/>
      <c r="C43" s="56"/>
      <c r="D43" s="51"/>
      <c r="E43" s="51"/>
      <c r="F43" s="51"/>
      <c r="G43" s="51" t="str">
        <f>IFERROR(__xludf.DUMMYFUNCTION("""COMPUTED_VALUE"""),"#VALUE!")</f>
        <v>#VALUE!</v>
      </c>
      <c r="H43" s="51" t="str">
        <f>IFERROR(__xludf.DUMMYFUNCTION("""COMPUTED_VALUE"""),"")</f>
        <v/>
      </c>
      <c r="I43" s="51" t="str">
        <f>IFERROR(__xludf.DUMMYFUNCTION("""COMPUTED_VALUE"""),"#VALUE!")</f>
        <v>#VALUE!</v>
      </c>
      <c r="J43" s="51" t="str">
        <f>IFERROR(__xludf.DUMMYFUNCTION("""COMPUTED_VALUE"""),"")</f>
        <v/>
      </c>
      <c r="K43" s="51"/>
      <c r="L43" s="51" t="s">
        <v>257</v>
      </c>
      <c r="M43" s="51"/>
      <c r="N43" s="51"/>
      <c r="O43" s="51"/>
      <c r="P43" s="51"/>
      <c r="Q43" s="51"/>
      <c r="R43" s="51"/>
      <c r="S43" s="51"/>
      <c r="T43" s="51"/>
    </row>
    <row r="44">
      <c r="A44" s="51"/>
      <c r="B44" s="51"/>
      <c r="C44" s="56"/>
      <c r="D44" s="51"/>
      <c r="E44" s="51"/>
      <c r="F44" s="51"/>
      <c r="G44" s="51" t="str">
        <f>IFERROR(__xludf.DUMMYFUNCTION("""COMPUTED_VALUE"""),"#VALUE!")</f>
        <v>#VALUE!</v>
      </c>
      <c r="H44" s="51" t="str">
        <f>IFERROR(__xludf.DUMMYFUNCTION("""COMPUTED_VALUE"""),"")</f>
        <v/>
      </c>
      <c r="I44" s="51" t="str">
        <f>IFERROR(__xludf.DUMMYFUNCTION("""COMPUTED_VALUE"""),"#VALUE!")</f>
        <v>#VALUE!</v>
      </c>
      <c r="J44" s="51" t="str">
        <f>IFERROR(__xludf.DUMMYFUNCTION("""COMPUTED_VALUE"""),"")</f>
        <v/>
      </c>
      <c r="K44" s="51"/>
      <c r="L44" s="51" t="s">
        <v>257</v>
      </c>
      <c r="M44" s="51"/>
      <c r="N44" s="51"/>
      <c r="O44" s="51"/>
      <c r="P44" s="51"/>
      <c r="Q44" s="51"/>
      <c r="R44" s="51"/>
      <c r="S44" s="51"/>
      <c r="T44" s="51"/>
    </row>
    <row r="45">
      <c r="A45" s="51"/>
      <c r="B45" s="51"/>
      <c r="C45" s="56"/>
      <c r="D45" s="51"/>
      <c r="E45" s="51"/>
      <c r="F45" s="51"/>
      <c r="G45" s="51" t="str">
        <f>IFERROR(__xludf.DUMMYFUNCTION("""COMPUTED_VALUE"""),"#VALUE!")</f>
        <v>#VALUE!</v>
      </c>
      <c r="H45" s="51" t="str">
        <f>IFERROR(__xludf.DUMMYFUNCTION("""COMPUTED_VALUE"""),"")</f>
        <v/>
      </c>
      <c r="I45" s="51" t="str">
        <f>IFERROR(__xludf.DUMMYFUNCTION("""COMPUTED_VALUE"""),"#VALUE!")</f>
        <v>#VALUE!</v>
      </c>
      <c r="J45" s="51" t="str">
        <f>IFERROR(__xludf.DUMMYFUNCTION("""COMPUTED_VALUE"""),"")</f>
        <v/>
      </c>
      <c r="K45" s="51"/>
      <c r="L45" s="51" t="s">
        <v>257</v>
      </c>
      <c r="M45" s="51"/>
      <c r="N45" s="51"/>
      <c r="O45" s="51"/>
      <c r="P45" s="51"/>
      <c r="Q45" s="51"/>
      <c r="R45" s="51"/>
      <c r="S45" s="51"/>
      <c r="T45" s="51"/>
    </row>
    <row r="46">
      <c r="A46" s="51"/>
      <c r="B46" s="51"/>
      <c r="C46" s="56"/>
      <c r="D46" s="51"/>
      <c r="E46" s="51"/>
      <c r="F46" s="51"/>
      <c r="G46" s="51" t="str">
        <f>IFERROR(__xludf.DUMMYFUNCTION("""COMPUTED_VALUE"""),"#VALUE!")</f>
        <v>#VALUE!</v>
      </c>
      <c r="H46" s="51" t="str">
        <f>IFERROR(__xludf.DUMMYFUNCTION("""COMPUTED_VALUE"""),"")</f>
        <v/>
      </c>
      <c r="I46" s="51" t="str">
        <f>IFERROR(__xludf.DUMMYFUNCTION("""COMPUTED_VALUE"""),"#VALUE!")</f>
        <v>#VALUE!</v>
      </c>
      <c r="J46" s="51" t="str">
        <f>IFERROR(__xludf.DUMMYFUNCTION("""COMPUTED_VALUE"""),"")</f>
        <v/>
      </c>
      <c r="K46" s="51"/>
      <c r="L46" s="51" t="s">
        <v>257</v>
      </c>
      <c r="M46" s="51"/>
      <c r="N46" s="51"/>
      <c r="O46" s="51"/>
      <c r="P46" s="51"/>
      <c r="Q46" s="51"/>
      <c r="R46" s="51"/>
      <c r="S46" s="51"/>
      <c r="T46" s="51"/>
    </row>
    <row r="47">
      <c r="A47" s="51"/>
      <c r="B47" s="51"/>
      <c r="C47" s="56"/>
      <c r="D47" s="51"/>
      <c r="E47" s="51"/>
      <c r="F47" s="51"/>
      <c r="G47" s="51" t="str">
        <f>IFERROR(__xludf.DUMMYFUNCTION("""COMPUTED_VALUE"""),"#VALUE!")</f>
        <v>#VALUE!</v>
      </c>
      <c r="H47" s="51" t="str">
        <f>IFERROR(__xludf.DUMMYFUNCTION("""COMPUTED_VALUE"""),"")</f>
        <v/>
      </c>
      <c r="I47" s="51" t="str">
        <f>IFERROR(__xludf.DUMMYFUNCTION("""COMPUTED_VALUE"""),"#VALUE!")</f>
        <v>#VALUE!</v>
      </c>
      <c r="J47" s="51" t="str">
        <f>IFERROR(__xludf.DUMMYFUNCTION("""COMPUTED_VALUE"""),"")</f>
        <v/>
      </c>
      <c r="K47" s="51"/>
      <c r="L47" s="51" t="s">
        <v>257</v>
      </c>
      <c r="M47" s="51"/>
      <c r="N47" s="51"/>
      <c r="O47" s="51"/>
      <c r="P47" s="51"/>
      <c r="Q47" s="51"/>
      <c r="R47" s="51"/>
      <c r="S47" s="51"/>
      <c r="T47" s="51"/>
    </row>
    <row r="48">
      <c r="A48" s="51"/>
      <c r="B48" s="51"/>
      <c r="C48" s="56"/>
      <c r="D48" s="51"/>
      <c r="E48" s="51"/>
      <c r="F48" s="51"/>
      <c r="G48" s="51" t="str">
        <f>IFERROR(__xludf.DUMMYFUNCTION("""COMPUTED_VALUE"""),"#VALUE!")</f>
        <v>#VALUE!</v>
      </c>
      <c r="H48" s="51" t="str">
        <f>IFERROR(__xludf.DUMMYFUNCTION("""COMPUTED_VALUE"""),"")</f>
        <v/>
      </c>
      <c r="I48" s="51" t="str">
        <f>IFERROR(__xludf.DUMMYFUNCTION("""COMPUTED_VALUE"""),"#VALUE!")</f>
        <v>#VALUE!</v>
      </c>
      <c r="J48" s="51" t="str">
        <f>IFERROR(__xludf.DUMMYFUNCTION("""COMPUTED_VALUE"""),"")</f>
        <v/>
      </c>
      <c r="K48" s="51"/>
      <c r="L48" s="51" t="s">
        <v>257</v>
      </c>
      <c r="M48" s="51"/>
      <c r="N48" s="51"/>
      <c r="O48" s="51"/>
      <c r="P48" s="51"/>
      <c r="Q48" s="51"/>
      <c r="R48" s="51"/>
      <c r="S48" s="51"/>
      <c r="T48" s="51"/>
    </row>
    <row r="49">
      <c r="A49" s="51"/>
      <c r="B49" s="51"/>
      <c r="C49" s="56"/>
      <c r="D49" s="51"/>
      <c r="E49" s="51"/>
      <c r="F49" s="51"/>
      <c r="G49" s="51" t="str">
        <f>IFERROR(__xludf.DUMMYFUNCTION("""COMPUTED_VALUE"""),"#VALUE!")</f>
        <v>#VALUE!</v>
      </c>
      <c r="H49" s="51" t="str">
        <f>IFERROR(__xludf.DUMMYFUNCTION("""COMPUTED_VALUE"""),"")</f>
        <v/>
      </c>
      <c r="I49" s="51" t="str">
        <f>IFERROR(__xludf.DUMMYFUNCTION("""COMPUTED_VALUE"""),"#VALUE!")</f>
        <v>#VALUE!</v>
      </c>
      <c r="J49" s="51" t="str">
        <f>IFERROR(__xludf.DUMMYFUNCTION("""COMPUTED_VALUE"""),"")</f>
        <v/>
      </c>
      <c r="K49" s="51"/>
      <c r="L49" s="51" t="s">
        <v>257</v>
      </c>
      <c r="M49" s="51"/>
      <c r="N49" s="51"/>
      <c r="O49" s="51"/>
      <c r="P49" s="51"/>
      <c r="Q49" s="51"/>
      <c r="R49" s="51"/>
      <c r="S49" s="51"/>
      <c r="T49" s="51"/>
    </row>
    <row r="50">
      <c r="A50" s="51"/>
      <c r="B50" s="51"/>
      <c r="C50" s="56"/>
      <c r="D50" s="51"/>
      <c r="E50" s="51"/>
      <c r="F50" s="51"/>
      <c r="G50" s="51" t="str">
        <f>IFERROR(__xludf.DUMMYFUNCTION("""COMPUTED_VALUE"""),"#VALUE!")</f>
        <v>#VALUE!</v>
      </c>
      <c r="H50" s="51" t="str">
        <f>IFERROR(__xludf.DUMMYFUNCTION("""COMPUTED_VALUE"""),"")</f>
        <v/>
      </c>
      <c r="I50" s="51" t="str">
        <f>IFERROR(__xludf.DUMMYFUNCTION("""COMPUTED_VALUE"""),"#VALUE!")</f>
        <v>#VALUE!</v>
      </c>
      <c r="J50" s="51" t="str">
        <f>IFERROR(__xludf.DUMMYFUNCTION("""COMPUTED_VALUE"""),"")</f>
        <v/>
      </c>
      <c r="K50" s="51"/>
      <c r="L50" s="51" t="s">
        <v>257</v>
      </c>
      <c r="M50" s="51"/>
      <c r="N50" s="51"/>
      <c r="O50" s="51"/>
      <c r="P50" s="51"/>
      <c r="Q50" s="51"/>
      <c r="R50" s="51"/>
      <c r="S50" s="51"/>
      <c r="T50" s="51"/>
    </row>
    <row r="51">
      <c r="A51" s="51"/>
      <c r="B51" s="51"/>
      <c r="C51" s="56"/>
      <c r="D51" s="51"/>
      <c r="E51" s="51"/>
      <c r="F51" s="51"/>
      <c r="G51" s="51" t="str">
        <f>IFERROR(__xludf.DUMMYFUNCTION("""COMPUTED_VALUE"""),"#VALUE!")</f>
        <v>#VALUE!</v>
      </c>
      <c r="H51" s="51" t="str">
        <f>IFERROR(__xludf.DUMMYFUNCTION("""COMPUTED_VALUE"""),"")</f>
        <v/>
      </c>
      <c r="I51" s="51" t="str">
        <f>IFERROR(__xludf.DUMMYFUNCTION("""COMPUTED_VALUE"""),"#VALUE!")</f>
        <v>#VALUE!</v>
      </c>
      <c r="J51" s="51" t="str">
        <f>IFERROR(__xludf.DUMMYFUNCTION("""COMPUTED_VALUE"""),"")</f>
        <v/>
      </c>
      <c r="K51" s="51"/>
      <c r="L51" s="51" t="s">
        <v>257</v>
      </c>
      <c r="M51" s="51"/>
      <c r="N51" s="51"/>
      <c r="O51" s="51"/>
      <c r="P51" s="51"/>
      <c r="Q51" s="51"/>
      <c r="R51" s="51"/>
      <c r="S51" s="51"/>
      <c r="T51" s="51"/>
    </row>
    <row r="52">
      <c r="A52" s="51"/>
      <c r="B52" s="51"/>
      <c r="C52" s="56"/>
      <c r="D52" s="51"/>
      <c r="E52" s="51"/>
      <c r="F52" s="51"/>
      <c r="G52" s="51" t="str">
        <f>IFERROR(__xludf.DUMMYFUNCTION("""COMPUTED_VALUE"""),"#VALUE!")</f>
        <v>#VALUE!</v>
      </c>
      <c r="H52" s="51" t="str">
        <f>IFERROR(__xludf.DUMMYFUNCTION("""COMPUTED_VALUE"""),"")</f>
        <v/>
      </c>
      <c r="I52" s="51" t="str">
        <f>IFERROR(__xludf.DUMMYFUNCTION("""COMPUTED_VALUE"""),"#VALUE!")</f>
        <v>#VALUE!</v>
      </c>
      <c r="J52" s="51" t="str">
        <f>IFERROR(__xludf.DUMMYFUNCTION("""COMPUTED_VALUE"""),"")</f>
        <v/>
      </c>
      <c r="K52" s="51"/>
      <c r="L52" s="51" t="s">
        <v>257</v>
      </c>
      <c r="M52" s="51"/>
      <c r="N52" s="51"/>
      <c r="O52" s="51"/>
      <c r="P52" s="51"/>
      <c r="Q52" s="51"/>
      <c r="R52" s="51"/>
      <c r="S52" s="51"/>
      <c r="T52" s="51"/>
    </row>
    <row r="53">
      <c r="A53" s="51"/>
      <c r="B53" s="51"/>
      <c r="C53" s="56"/>
      <c r="D53" s="51"/>
      <c r="E53" s="51"/>
      <c r="F53" s="51"/>
      <c r="G53" s="51" t="str">
        <f>IFERROR(__xludf.DUMMYFUNCTION("""COMPUTED_VALUE"""),"#VALUE!")</f>
        <v>#VALUE!</v>
      </c>
      <c r="H53" s="51" t="str">
        <f>IFERROR(__xludf.DUMMYFUNCTION("""COMPUTED_VALUE"""),"")</f>
        <v/>
      </c>
      <c r="I53" s="51" t="str">
        <f>IFERROR(__xludf.DUMMYFUNCTION("""COMPUTED_VALUE"""),"#VALUE!")</f>
        <v>#VALUE!</v>
      </c>
      <c r="J53" s="51" t="str">
        <f>IFERROR(__xludf.DUMMYFUNCTION("""COMPUTED_VALUE"""),"")</f>
        <v/>
      </c>
      <c r="K53" s="51"/>
      <c r="L53" s="51" t="s">
        <v>257</v>
      </c>
      <c r="M53" s="51"/>
      <c r="N53" s="51"/>
      <c r="O53" s="51"/>
      <c r="P53" s="51"/>
      <c r="Q53" s="51"/>
      <c r="R53" s="51"/>
      <c r="S53" s="51"/>
      <c r="T53" s="51"/>
    </row>
    <row r="54">
      <c r="A54" s="51"/>
      <c r="B54" s="51"/>
      <c r="C54" s="56"/>
      <c r="D54" s="51"/>
      <c r="E54" s="51"/>
      <c r="F54" s="51"/>
      <c r="G54" s="51" t="str">
        <f>IFERROR(__xludf.DUMMYFUNCTION("""COMPUTED_VALUE"""),"#VALUE!")</f>
        <v>#VALUE!</v>
      </c>
      <c r="H54" s="51" t="str">
        <f>IFERROR(__xludf.DUMMYFUNCTION("""COMPUTED_VALUE"""),"")</f>
        <v/>
      </c>
      <c r="I54" s="51" t="str">
        <f>IFERROR(__xludf.DUMMYFUNCTION("""COMPUTED_VALUE"""),"#VALUE!")</f>
        <v>#VALUE!</v>
      </c>
      <c r="J54" s="51" t="str">
        <f>IFERROR(__xludf.DUMMYFUNCTION("""COMPUTED_VALUE"""),"")</f>
        <v/>
      </c>
      <c r="K54" s="51"/>
      <c r="L54" s="51" t="s">
        <v>257</v>
      </c>
      <c r="M54" s="51"/>
      <c r="N54" s="51"/>
      <c r="O54" s="51"/>
      <c r="P54" s="51"/>
      <c r="Q54" s="51"/>
      <c r="R54" s="51"/>
      <c r="S54" s="51"/>
      <c r="T54" s="51"/>
    </row>
    <row r="55">
      <c r="A55" s="51"/>
      <c r="B55" s="51"/>
      <c r="C55" s="56"/>
      <c r="D55" s="51"/>
      <c r="E55" s="51"/>
      <c r="F55" s="51"/>
      <c r="G55" s="51" t="str">
        <f>IFERROR(__xludf.DUMMYFUNCTION("""COMPUTED_VALUE"""),"#VALUE!")</f>
        <v>#VALUE!</v>
      </c>
      <c r="H55" s="51" t="str">
        <f>IFERROR(__xludf.DUMMYFUNCTION("""COMPUTED_VALUE"""),"")</f>
        <v/>
      </c>
      <c r="I55" s="51" t="str">
        <f>IFERROR(__xludf.DUMMYFUNCTION("""COMPUTED_VALUE"""),"#VALUE!")</f>
        <v>#VALUE!</v>
      </c>
      <c r="J55" s="51" t="str">
        <f>IFERROR(__xludf.DUMMYFUNCTION("""COMPUTED_VALUE"""),"")</f>
        <v/>
      </c>
      <c r="K55" s="51"/>
      <c r="L55" s="51" t="s">
        <v>257</v>
      </c>
      <c r="M55" s="51"/>
      <c r="N55" s="51"/>
      <c r="O55" s="51"/>
      <c r="P55" s="51"/>
      <c r="Q55" s="51"/>
      <c r="R55" s="51"/>
      <c r="S55" s="51"/>
      <c r="T55" s="51"/>
    </row>
    <row r="56">
      <c r="A56" s="51"/>
      <c r="B56" s="51"/>
      <c r="C56" s="56"/>
      <c r="D56" s="51"/>
      <c r="E56" s="51"/>
      <c r="F56" s="51"/>
      <c r="G56" s="51" t="str">
        <f>IFERROR(__xludf.DUMMYFUNCTION("""COMPUTED_VALUE"""),"#VALUE!")</f>
        <v>#VALUE!</v>
      </c>
      <c r="H56" s="51" t="str">
        <f>IFERROR(__xludf.DUMMYFUNCTION("""COMPUTED_VALUE"""),"")</f>
        <v/>
      </c>
      <c r="I56" s="51" t="str">
        <f>IFERROR(__xludf.DUMMYFUNCTION("""COMPUTED_VALUE"""),"#VALUE!")</f>
        <v>#VALUE!</v>
      </c>
      <c r="J56" s="51" t="str">
        <f>IFERROR(__xludf.DUMMYFUNCTION("""COMPUTED_VALUE"""),"")</f>
        <v/>
      </c>
      <c r="K56" s="51"/>
      <c r="L56" s="51" t="s">
        <v>257</v>
      </c>
      <c r="M56" s="51"/>
      <c r="N56" s="51"/>
      <c r="O56" s="51"/>
      <c r="P56" s="51"/>
      <c r="Q56" s="51"/>
      <c r="R56" s="51"/>
      <c r="S56" s="51"/>
      <c r="T56" s="51"/>
    </row>
    <row r="57">
      <c r="A57" s="51"/>
      <c r="B57" s="51"/>
      <c r="C57" s="56"/>
      <c r="D57" s="51"/>
      <c r="E57" s="51"/>
      <c r="F57" s="51"/>
      <c r="G57" s="51" t="str">
        <f>IFERROR(__xludf.DUMMYFUNCTION("""COMPUTED_VALUE"""),"#VALUE!")</f>
        <v>#VALUE!</v>
      </c>
      <c r="H57" s="51" t="str">
        <f>IFERROR(__xludf.DUMMYFUNCTION("""COMPUTED_VALUE"""),"")</f>
        <v/>
      </c>
      <c r="I57" s="51" t="str">
        <f>IFERROR(__xludf.DUMMYFUNCTION("""COMPUTED_VALUE"""),"#VALUE!")</f>
        <v>#VALUE!</v>
      </c>
      <c r="J57" s="51" t="str">
        <f>IFERROR(__xludf.DUMMYFUNCTION("""COMPUTED_VALUE"""),"")</f>
        <v/>
      </c>
      <c r="K57" s="51"/>
      <c r="L57" s="51" t="s">
        <v>257</v>
      </c>
      <c r="M57" s="51"/>
      <c r="N57" s="51"/>
      <c r="O57" s="51"/>
      <c r="P57" s="51"/>
      <c r="Q57" s="51"/>
      <c r="R57" s="51"/>
      <c r="S57" s="51"/>
      <c r="T57" s="51"/>
    </row>
    <row r="58">
      <c r="A58" s="51"/>
      <c r="B58" s="51"/>
      <c r="C58" s="56"/>
      <c r="D58" s="51"/>
      <c r="E58" s="51"/>
      <c r="F58" s="51"/>
      <c r="G58" s="51" t="str">
        <f>IFERROR(__xludf.DUMMYFUNCTION("""COMPUTED_VALUE"""),"#VALUE!")</f>
        <v>#VALUE!</v>
      </c>
      <c r="H58" s="51" t="str">
        <f>IFERROR(__xludf.DUMMYFUNCTION("""COMPUTED_VALUE"""),"")</f>
        <v/>
      </c>
      <c r="I58" s="51" t="str">
        <f>IFERROR(__xludf.DUMMYFUNCTION("""COMPUTED_VALUE"""),"#VALUE!")</f>
        <v>#VALUE!</v>
      </c>
      <c r="J58" s="51" t="str">
        <f>IFERROR(__xludf.DUMMYFUNCTION("""COMPUTED_VALUE"""),"")</f>
        <v/>
      </c>
      <c r="K58" s="51"/>
      <c r="L58" s="51" t="s">
        <v>257</v>
      </c>
      <c r="M58" s="51"/>
      <c r="N58" s="51"/>
      <c r="O58" s="51"/>
      <c r="P58" s="51"/>
      <c r="Q58" s="51"/>
      <c r="R58" s="51"/>
      <c r="S58" s="51"/>
      <c r="T58" s="51"/>
    </row>
    <row r="59">
      <c r="A59" s="51"/>
      <c r="B59" s="51"/>
      <c r="C59" s="56"/>
      <c r="D59" s="51"/>
      <c r="E59" s="51"/>
      <c r="F59" s="51"/>
      <c r="G59" s="51" t="str">
        <f>IFERROR(__xludf.DUMMYFUNCTION("""COMPUTED_VALUE"""),"#VALUE!")</f>
        <v>#VALUE!</v>
      </c>
      <c r="H59" s="51" t="str">
        <f>IFERROR(__xludf.DUMMYFUNCTION("""COMPUTED_VALUE"""),"")</f>
        <v/>
      </c>
      <c r="I59" s="51" t="str">
        <f>IFERROR(__xludf.DUMMYFUNCTION("""COMPUTED_VALUE"""),"#VALUE!")</f>
        <v>#VALUE!</v>
      </c>
      <c r="J59" s="51" t="str">
        <f>IFERROR(__xludf.DUMMYFUNCTION("""COMPUTED_VALUE"""),"")</f>
        <v/>
      </c>
      <c r="K59" s="51"/>
      <c r="L59" s="51" t="s">
        <v>257</v>
      </c>
      <c r="M59" s="51"/>
      <c r="N59" s="51"/>
      <c r="O59" s="51"/>
      <c r="P59" s="51"/>
      <c r="Q59" s="51"/>
      <c r="R59" s="51"/>
      <c r="S59" s="51"/>
      <c r="T59" s="51"/>
    </row>
    <row r="60">
      <c r="A60" s="51"/>
      <c r="B60" s="51"/>
      <c r="C60" s="56"/>
      <c r="D60" s="51"/>
      <c r="E60" s="51"/>
      <c r="F60" s="51"/>
      <c r="G60" s="51" t="str">
        <f>IFERROR(__xludf.DUMMYFUNCTION("""COMPUTED_VALUE"""),"#VALUE!")</f>
        <v>#VALUE!</v>
      </c>
      <c r="H60" s="51" t="str">
        <f>IFERROR(__xludf.DUMMYFUNCTION("""COMPUTED_VALUE"""),"")</f>
        <v/>
      </c>
      <c r="I60" s="51" t="str">
        <f>IFERROR(__xludf.DUMMYFUNCTION("""COMPUTED_VALUE"""),"#VALUE!")</f>
        <v>#VALUE!</v>
      </c>
      <c r="J60" s="51" t="str">
        <f>IFERROR(__xludf.DUMMYFUNCTION("""COMPUTED_VALUE"""),"")</f>
        <v/>
      </c>
      <c r="K60" s="51"/>
      <c r="L60" s="51" t="s">
        <v>257</v>
      </c>
      <c r="M60" s="51"/>
      <c r="N60" s="51"/>
      <c r="O60" s="51"/>
      <c r="P60" s="51"/>
      <c r="Q60" s="51"/>
      <c r="R60" s="51"/>
      <c r="S60" s="51"/>
      <c r="T60" s="51"/>
    </row>
    <row r="61">
      <c r="A61" s="51"/>
      <c r="B61" s="51"/>
      <c r="C61" s="56"/>
      <c r="D61" s="51"/>
      <c r="E61" s="51"/>
      <c r="F61" s="51"/>
      <c r="G61" s="51" t="str">
        <f>IFERROR(__xludf.DUMMYFUNCTION("""COMPUTED_VALUE"""),"#VALUE!")</f>
        <v>#VALUE!</v>
      </c>
      <c r="H61" s="51" t="str">
        <f>IFERROR(__xludf.DUMMYFUNCTION("""COMPUTED_VALUE"""),"")</f>
        <v/>
      </c>
      <c r="I61" s="51" t="str">
        <f>IFERROR(__xludf.DUMMYFUNCTION("""COMPUTED_VALUE"""),"#VALUE!")</f>
        <v>#VALUE!</v>
      </c>
      <c r="J61" s="51" t="str">
        <f>IFERROR(__xludf.DUMMYFUNCTION("""COMPUTED_VALUE"""),"")</f>
        <v/>
      </c>
      <c r="K61" s="51"/>
      <c r="L61" s="51" t="s">
        <v>257</v>
      </c>
      <c r="M61" s="51"/>
      <c r="N61" s="51"/>
      <c r="O61" s="51"/>
      <c r="P61" s="51"/>
      <c r="Q61" s="51"/>
      <c r="R61" s="51"/>
      <c r="S61" s="51"/>
      <c r="T61" s="51"/>
    </row>
    <row r="62">
      <c r="A62" s="51"/>
      <c r="B62" s="51"/>
      <c r="C62" s="56"/>
      <c r="D62" s="51"/>
      <c r="E62" s="51"/>
      <c r="F62" s="51"/>
      <c r="G62" s="51" t="str">
        <f>IFERROR(__xludf.DUMMYFUNCTION("""COMPUTED_VALUE"""),"#VALUE!")</f>
        <v>#VALUE!</v>
      </c>
      <c r="H62" s="51" t="str">
        <f>IFERROR(__xludf.DUMMYFUNCTION("""COMPUTED_VALUE"""),"")</f>
        <v/>
      </c>
      <c r="I62" s="51" t="str">
        <f>IFERROR(__xludf.DUMMYFUNCTION("""COMPUTED_VALUE"""),"#VALUE!")</f>
        <v>#VALUE!</v>
      </c>
      <c r="J62" s="51" t="str">
        <f>IFERROR(__xludf.DUMMYFUNCTION("""COMPUTED_VALUE"""),"")</f>
        <v/>
      </c>
      <c r="K62" s="51"/>
      <c r="L62" s="51" t="s">
        <v>257</v>
      </c>
      <c r="M62" s="51"/>
      <c r="N62" s="51"/>
      <c r="O62" s="51"/>
      <c r="P62" s="51"/>
      <c r="Q62" s="51"/>
      <c r="R62" s="51"/>
      <c r="S62" s="51"/>
      <c r="T62" s="51"/>
    </row>
    <row r="63">
      <c r="A63" s="51"/>
      <c r="B63" s="51"/>
      <c r="C63" s="56"/>
      <c r="D63" s="51"/>
      <c r="E63" s="51"/>
      <c r="F63" s="51"/>
      <c r="G63" s="51" t="str">
        <f>IFERROR(__xludf.DUMMYFUNCTION("""COMPUTED_VALUE"""),"#VALUE!")</f>
        <v>#VALUE!</v>
      </c>
      <c r="H63" s="51" t="str">
        <f>IFERROR(__xludf.DUMMYFUNCTION("""COMPUTED_VALUE"""),"")</f>
        <v/>
      </c>
      <c r="I63" s="51" t="str">
        <f>IFERROR(__xludf.DUMMYFUNCTION("""COMPUTED_VALUE"""),"#VALUE!")</f>
        <v>#VALUE!</v>
      </c>
      <c r="J63" s="51" t="str">
        <f>IFERROR(__xludf.DUMMYFUNCTION("""COMPUTED_VALUE"""),"")</f>
        <v/>
      </c>
      <c r="K63" s="51"/>
      <c r="L63" s="51" t="s">
        <v>257</v>
      </c>
      <c r="M63" s="51"/>
      <c r="N63" s="51"/>
      <c r="O63" s="51"/>
      <c r="P63" s="51"/>
      <c r="Q63" s="51"/>
      <c r="R63" s="51"/>
      <c r="S63" s="51"/>
      <c r="T63" s="51"/>
    </row>
    <row r="64">
      <c r="A64" s="51"/>
      <c r="B64" s="51"/>
      <c r="C64" s="56"/>
      <c r="D64" s="51"/>
      <c r="E64" s="51"/>
      <c r="F64" s="51"/>
      <c r="G64" s="51" t="str">
        <f>IFERROR(__xludf.DUMMYFUNCTION("""COMPUTED_VALUE"""),"#VALUE!")</f>
        <v>#VALUE!</v>
      </c>
      <c r="H64" s="51" t="str">
        <f>IFERROR(__xludf.DUMMYFUNCTION("""COMPUTED_VALUE"""),"")</f>
        <v/>
      </c>
      <c r="I64" s="51" t="str">
        <f>IFERROR(__xludf.DUMMYFUNCTION("""COMPUTED_VALUE"""),"#VALUE!")</f>
        <v>#VALUE!</v>
      </c>
      <c r="J64" s="51" t="str">
        <f>IFERROR(__xludf.DUMMYFUNCTION("""COMPUTED_VALUE"""),"")</f>
        <v/>
      </c>
      <c r="K64" s="51"/>
      <c r="L64" s="51" t="s">
        <v>257</v>
      </c>
      <c r="M64" s="51"/>
      <c r="N64" s="51"/>
      <c r="O64" s="51"/>
      <c r="P64" s="51"/>
      <c r="Q64" s="51"/>
      <c r="R64" s="51"/>
      <c r="S64" s="51"/>
      <c r="T64" s="51"/>
    </row>
    <row r="65">
      <c r="A65" s="51"/>
      <c r="B65" s="51"/>
      <c r="C65" s="56"/>
      <c r="D65" s="51"/>
      <c r="E65" s="51"/>
      <c r="F65" s="51"/>
      <c r="G65" s="51" t="str">
        <f>IFERROR(__xludf.DUMMYFUNCTION("""COMPUTED_VALUE"""),"#VALUE!")</f>
        <v>#VALUE!</v>
      </c>
      <c r="H65" s="51" t="str">
        <f>IFERROR(__xludf.DUMMYFUNCTION("""COMPUTED_VALUE"""),"")</f>
        <v/>
      </c>
      <c r="I65" s="51" t="str">
        <f>IFERROR(__xludf.DUMMYFUNCTION("""COMPUTED_VALUE"""),"#VALUE!")</f>
        <v>#VALUE!</v>
      </c>
      <c r="J65" s="51" t="str">
        <f>IFERROR(__xludf.DUMMYFUNCTION("""COMPUTED_VALUE"""),"")</f>
        <v/>
      </c>
      <c r="K65" s="51"/>
      <c r="L65" s="51" t="s">
        <v>257</v>
      </c>
      <c r="M65" s="51"/>
      <c r="N65" s="51"/>
      <c r="O65" s="51"/>
      <c r="P65" s="51"/>
      <c r="Q65" s="51"/>
      <c r="R65" s="51"/>
      <c r="S65" s="51"/>
      <c r="T65" s="51"/>
    </row>
    <row r="66">
      <c r="A66" s="51"/>
      <c r="B66" s="51"/>
      <c r="C66" s="56"/>
      <c r="D66" s="51"/>
      <c r="E66" s="51"/>
      <c r="F66" s="51"/>
      <c r="G66" s="51" t="str">
        <f>IFERROR(__xludf.DUMMYFUNCTION("""COMPUTED_VALUE"""),"#VALUE!")</f>
        <v>#VALUE!</v>
      </c>
      <c r="H66" s="51" t="str">
        <f>IFERROR(__xludf.DUMMYFUNCTION("""COMPUTED_VALUE"""),"")</f>
        <v/>
      </c>
      <c r="I66" s="51" t="str">
        <f>IFERROR(__xludf.DUMMYFUNCTION("""COMPUTED_VALUE"""),"#VALUE!")</f>
        <v>#VALUE!</v>
      </c>
      <c r="J66" s="51" t="str">
        <f>IFERROR(__xludf.DUMMYFUNCTION("""COMPUTED_VALUE"""),"")</f>
        <v/>
      </c>
      <c r="K66" s="51"/>
      <c r="L66" s="51" t="s">
        <v>257</v>
      </c>
      <c r="M66" s="51"/>
      <c r="N66" s="51"/>
      <c r="O66" s="51"/>
      <c r="P66" s="51"/>
      <c r="Q66" s="51"/>
      <c r="R66" s="51"/>
      <c r="S66" s="51"/>
      <c r="T66" s="51"/>
    </row>
    <row r="67">
      <c r="A67" s="51"/>
      <c r="B67" s="51"/>
      <c r="C67" s="56"/>
      <c r="D67" s="51"/>
      <c r="E67" s="51"/>
      <c r="F67" s="51"/>
      <c r="G67" s="51" t="str">
        <f>IFERROR(__xludf.DUMMYFUNCTION("""COMPUTED_VALUE"""),"#VALUE!")</f>
        <v>#VALUE!</v>
      </c>
      <c r="H67" s="51" t="str">
        <f>IFERROR(__xludf.DUMMYFUNCTION("""COMPUTED_VALUE"""),"")</f>
        <v/>
      </c>
      <c r="I67" s="51" t="str">
        <f>IFERROR(__xludf.DUMMYFUNCTION("""COMPUTED_VALUE"""),"#VALUE!")</f>
        <v>#VALUE!</v>
      </c>
      <c r="J67" s="51" t="str">
        <f>IFERROR(__xludf.DUMMYFUNCTION("""COMPUTED_VALUE"""),"")</f>
        <v/>
      </c>
      <c r="K67" s="51"/>
      <c r="L67" s="51" t="s">
        <v>257</v>
      </c>
      <c r="M67" s="51"/>
      <c r="N67" s="51"/>
      <c r="O67" s="51"/>
      <c r="P67" s="51"/>
      <c r="Q67" s="51"/>
      <c r="R67" s="51"/>
      <c r="S67" s="51"/>
      <c r="T67" s="51"/>
    </row>
    <row r="68">
      <c r="A68" s="51"/>
      <c r="B68" s="51"/>
      <c r="C68" s="56"/>
      <c r="D68" s="51"/>
      <c r="E68" s="51"/>
      <c r="F68" s="51"/>
      <c r="G68" s="51" t="str">
        <f>IFERROR(__xludf.DUMMYFUNCTION("""COMPUTED_VALUE"""),"#VALUE!")</f>
        <v>#VALUE!</v>
      </c>
      <c r="H68" s="51" t="str">
        <f>IFERROR(__xludf.DUMMYFUNCTION("""COMPUTED_VALUE"""),"")</f>
        <v/>
      </c>
      <c r="I68" s="51" t="str">
        <f>IFERROR(__xludf.DUMMYFUNCTION("""COMPUTED_VALUE"""),"#VALUE!")</f>
        <v>#VALUE!</v>
      </c>
      <c r="J68" s="51" t="str">
        <f>IFERROR(__xludf.DUMMYFUNCTION("""COMPUTED_VALUE"""),"")</f>
        <v/>
      </c>
      <c r="K68" s="51"/>
      <c r="L68" s="51" t="s">
        <v>257</v>
      </c>
      <c r="M68" s="51"/>
      <c r="N68" s="51"/>
      <c r="O68" s="51"/>
      <c r="P68" s="51"/>
      <c r="Q68" s="51"/>
      <c r="R68" s="51"/>
      <c r="S68" s="51"/>
      <c r="T68" s="51"/>
    </row>
    <row r="69">
      <c r="A69" s="51"/>
      <c r="B69" s="51"/>
      <c r="C69" s="56"/>
      <c r="D69" s="51"/>
      <c r="E69" s="51"/>
      <c r="F69" s="51"/>
      <c r="G69" s="51" t="str">
        <f>IFERROR(__xludf.DUMMYFUNCTION("""COMPUTED_VALUE"""),"#VALUE!")</f>
        <v>#VALUE!</v>
      </c>
      <c r="H69" s="51" t="str">
        <f>IFERROR(__xludf.DUMMYFUNCTION("""COMPUTED_VALUE"""),"")</f>
        <v/>
      </c>
      <c r="I69" s="51" t="str">
        <f>IFERROR(__xludf.DUMMYFUNCTION("""COMPUTED_VALUE"""),"#VALUE!")</f>
        <v>#VALUE!</v>
      </c>
      <c r="J69" s="51" t="str">
        <f>IFERROR(__xludf.DUMMYFUNCTION("""COMPUTED_VALUE"""),"")</f>
        <v/>
      </c>
      <c r="K69" s="51"/>
      <c r="L69" s="51" t="s">
        <v>257</v>
      </c>
      <c r="M69" s="51"/>
      <c r="N69" s="51"/>
      <c r="O69" s="51"/>
      <c r="P69" s="51"/>
      <c r="Q69" s="51"/>
      <c r="R69" s="51"/>
      <c r="S69" s="51"/>
      <c r="T69" s="51"/>
    </row>
    <row r="70">
      <c r="A70" s="51"/>
      <c r="B70" s="51"/>
      <c r="C70" s="56"/>
      <c r="D70" s="51"/>
      <c r="E70" s="51"/>
      <c r="F70" s="51"/>
      <c r="G70" s="51" t="str">
        <f>IFERROR(__xludf.DUMMYFUNCTION("""COMPUTED_VALUE"""),"#VALUE!")</f>
        <v>#VALUE!</v>
      </c>
      <c r="H70" s="51" t="str">
        <f>IFERROR(__xludf.DUMMYFUNCTION("""COMPUTED_VALUE"""),"")</f>
        <v/>
      </c>
      <c r="I70" s="51" t="str">
        <f>IFERROR(__xludf.DUMMYFUNCTION("""COMPUTED_VALUE"""),"#VALUE!")</f>
        <v>#VALUE!</v>
      </c>
      <c r="J70" s="51" t="str">
        <f>IFERROR(__xludf.DUMMYFUNCTION("""COMPUTED_VALUE"""),"")</f>
        <v/>
      </c>
      <c r="K70" s="51"/>
      <c r="L70" s="51" t="s">
        <v>257</v>
      </c>
      <c r="M70" s="51"/>
      <c r="N70" s="51"/>
      <c r="O70" s="51"/>
      <c r="P70" s="51"/>
      <c r="Q70" s="51"/>
      <c r="R70" s="51"/>
      <c r="S70" s="51"/>
      <c r="T70" s="51"/>
    </row>
    <row r="71">
      <c r="A71" s="51"/>
      <c r="B71" s="51"/>
      <c r="C71" s="56"/>
      <c r="D71" s="51"/>
      <c r="E71" s="51"/>
      <c r="F71" s="51"/>
      <c r="G71" s="51" t="str">
        <f>IFERROR(__xludf.DUMMYFUNCTION("""COMPUTED_VALUE"""),"#VALUE!")</f>
        <v>#VALUE!</v>
      </c>
      <c r="H71" s="51" t="str">
        <f>IFERROR(__xludf.DUMMYFUNCTION("""COMPUTED_VALUE"""),"")</f>
        <v/>
      </c>
      <c r="I71" s="51" t="str">
        <f>IFERROR(__xludf.DUMMYFUNCTION("""COMPUTED_VALUE"""),"#VALUE!")</f>
        <v>#VALUE!</v>
      </c>
      <c r="J71" s="51" t="str">
        <f>IFERROR(__xludf.DUMMYFUNCTION("""COMPUTED_VALUE"""),"")</f>
        <v/>
      </c>
      <c r="K71" s="51"/>
      <c r="L71" s="51" t="s">
        <v>257</v>
      </c>
      <c r="M71" s="51"/>
      <c r="N71" s="51"/>
      <c r="O71" s="51"/>
      <c r="P71" s="51"/>
      <c r="Q71" s="51"/>
      <c r="R71" s="51"/>
      <c r="S71" s="51"/>
      <c r="T71" s="51"/>
    </row>
    <row r="72">
      <c r="A72" s="51"/>
      <c r="B72" s="51"/>
      <c r="C72" s="56"/>
      <c r="D72" s="51"/>
      <c r="E72" s="51"/>
      <c r="F72" s="51"/>
      <c r="G72" s="51" t="str">
        <f>IFERROR(__xludf.DUMMYFUNCTION("""COMPUTED_VALUE"""),"#VALUE!")</f>
        <v>#VALUE!</v>
      </c>
      <c r="H72" s="51" t="str">
        <f>IFERROR(__xludf.DUMMYFUNCTION("""COMPUTED_VALUE"""),"")</f>
        <v/>
      </c>
      <c r="I72" s="51" t="str">
        <f>IFERROR(__xludf.DUMMYFUNCTION("""COMPUTED_VALUE"""),"#VALUE!")</f>
        <v>#VALUE!</v>
      </c>
      <c r="J72" s="51" t="str">
        <f>IFERROR(__xludf.DUMMYFUNCTION("""COMPUTED_VALUE"""),"")</f>
        <v/>
      </c>
      <c r="K72" s="51"/>
      <c r="L72" s="51" t="s">
        <v>257</v>
      </c>
      <c r="M72" s="51"/>
      <c r="N72" s="51"/>
      <c r="O72" s="51"/>
      <c r="P72" s="51"/>
      <c r="Q72" s="51"/>
      <c r="R72" s="51"/>
      <c r="S72" s="51"/>
      <c r="T72" s="51"/>
    </row>
    <row r="73">
      <c r="A73" s="51"/>
      <c r="B73" s="51"/>
      <c r="C73" s="56"/>
      <c r="D73" s="51"/>
      <c r="E73" s="51"/>
      <c r="F73" s="51"/>
      <c r="G73" s="51" t="str">
        <f>IFERROR(__xludf.DUMMYFUNCTION("""COMPUTED_VALUE"""),"#VALUE!")</f>
        <v>#VALUE!</v>
      </c>
      <c r="H73" s="51" t="str">
        <f>IFERROR(__xludf.DUMMYFUNCTION("""COMPUTED_VALUE"""),"")</f>
        <v/>
      </c>
      <c r="I73" s="51" t="str">
        <f>IFERROR(__xludf.DUMMYFUNCTION("""COMPUTED_VALUE"""),"#VALUE!")</f>
        <v>#VALUE!</v>
      </c>
      <c r="J73" s="51" t="str">
        <f>IFERROR(__xludf.DUMMYFUNCTION("""COMPUTED_VALUE"""),"")</f>
        <v/>
      </c>
      <c r="K73" s="51"/>
      <c r="L73" s="51" t="s">
        <v>257</v>
      </c>
      <c r="M73" s="51"/>
      <c r="N73" s="51"/>
      <c r="O73" s="51"/>
      <c r="P73" s="51"/>
      <c r="Q73" s="51"/>
      <c r="R73" s="51"/>
      <c r="S73" s="51"/>
      <c r="T73" s="51"/>
    </row>
    <row r="74">
      <c r="A74" s="51"/>
      <c r="B74" s="51"/>
      <c r="C74" s="56"/>
      <c r="D74" s="51"/>
      <c r="E74" s="51"/>
      <c r="F74" s="51"/>
      <c r="G74" s="51" t="str">
        <f>IFERROR(__xludf.DUMMYFUNCTION("""COMPUTED_VALUE"""),"#VALUE!")</f>
        <v>#VALUE!</v>
      </c>
      <c r="H74" s="51" t="str">
        <f>IFERROR(__xludf.DUMMYFUNCTION("""COMPUTED_VALUE"""),"")</f>
        <v/>
      </c>
      <c r="I74" s="51" t="str">
        <f>IFERROR(__xludf.DUMMYFUNCTION("""COMPUTED_VALUE"""),"#VALUE!")</f>
        <v>#VALUE!</v>
      </c>
      <c r="J74" s="51" t="str">
        <f>IFERROR(__xludf.DUMMYFUNCTION("""COMPUTED_VALUE"""),"")</f>
        <v/>
      </c>
      <c r="K74" s="51"/>
      <c r="L74" s="51" t="s">
        <v>257</v>
      </c>
      <c r="M74" s="51"/>
      <c r="N74" s="51"/>
      <c r="O74" s="51"/>
      <c r="P74" s="51"/>
      <c r="Q74" s="51"/>
      <c r="R74" s="51"/>
      <c r="S74" s="51"/>
      <c r="T74" s="51"/>
    </row>
    <row r="75">
      <c r="A75" s="51"/>
      <c r="B75" s="51"/>
      <c r="C75" s="56"/>
      <c r="D75" s="51"/>
      <c r="E75" s="51"/>
      <c r="F75" s="51"/>
      <c r="G75" s="51" t="str">
        <f>IFERROR(__xludf.DUMMYFUNCTION("""COMPUTED_VALUE"""),"#VALUE!")</f>
        <v>#VALUE!</v>
      </c>
      <c r="H75" s="51" t="str">
        <f>IFERROR(__xludf.DUMMYFUNCTION("""COMPUTED_VALUE"""),"")</f>
        <v/>
      </c>
      <c r="I75" s="51" t="str">
        <f>IFERROR(__xludf.DUMMYFUNCTION("""COMPUTED_VALUE"""),"#VALUE!")</f>
        <v>#VALUE!</v>
      </c>
      <c r="J75" s="51" t="str">
        <f>IFERROR(__xludf.DUMMYFUNCTION("""COMPUTED_VALUE"""),"")</f>
        <v/>
      </c>
      <c r="K75" s="51"/>
      <c r="L75" s="51" t="s">
        <v>257</v>
      </c>
      <c r="M75" s="51"/>
      <c r="N75" s="51"/>
      <c r="O75" s="51"/>
      <c r="P75" s="51"/>
      <c r="Q75" s="51"/>
      <c r="R75" s="51"/>
      <c r="S75" s="51"/>
      <c r="T75" s="51"/>
    </row>
    <row r="76">
      <c r="A76" s="51"/>
      <c r="B76" s="51"/>
      <c r="C76" s="56"/>
      <c r="D76" s="51"/>
      <c r="E76" s="51"/>
      <c r="F76" s="51"/>
      <c r="G76" s="51" t="str">
        <f>IFERROR(__xludf.DUMMYFUNCTION("""COMPUTED_VALUE"""),"#VALUE!")</f>
        <v>#VALUE!</v>
      </c>
      <c r="H76" s="51" t="str">
        <f>IFERROR(__xludf.DUMMYFUNCTION("""COMPUTED_VALUE"""),"")</f>
        <v/>
      </c>
      <c r="I76" s="51" t="str">
        <f>IFERROR(__xludf.DUMMYFUNCTION("""COMPUTED_VALUE"""),"#VALUE!")</f>
        <v>#VALUE!</v>
      </c>
      <c r="J76" s="51" t="str">
        <f>IFERROR(__xludf.DUMMYFUNCTION("""COMPUTED_VALUE"""),"")</f>
        <v/>
      </c>
      <c r="K76" s="51"/>
      <c r="L76" s="51" t="s">
        <v>257</v>
      </c>
      <c r="M76" s="51"/>
      <c r="N76" s="51"/>
      <c r="O76" s="51"/>
      <c r="P76" s="51"/>
      <c r="Q76" s="51"/>
      <c r="R76" s="51"/>
      <c r="S76" s="51"/>
      <c r="T76" s="51"/>
    </row>
    <row r="77">
      <c r="A77" s="51"/>
      <c r="B77" s="51"/>
      <c r="C77" s="56"/>
      <c r="D77" s="51"/>
      <c r="E77" s="51"/>
      <c r="F77" s="51"/>
      <c r="G77" s="51" t="str">
        <f>IFERROR(__xludf.DUMMYFUNCTION("""COMPUTED_VALUE"""),"#VALUE!")</f>
        <v>#VALUE!</v>
      </c>
      <c r="H77" s="51" t="str">
        <f>IFERROR(__xludf.DUMMYFUNCTION("""COMPUTED_VALUE"""),"")</f>
        <v/>
      </c>
      <c r="I77" s="51" t="str">
        <f>IFERROR(__xludf.DUMMYFUNCTION("""COMPUTED_VALUE"""),"#VALUE!")</f>
        <v>#VALUE!</v>
      </c>
      <c r="J77" s="51" t="str">
        <f>IFERROR(__xludf.DUMMYFUNCTION("""COMPUTED_VALUE"""),"")</f>
        <v/>
      </c>
      <c r="K77" s="51"/>
      <c r="L77" s="51" t="s">
        <v>257</v>
      </c>
      <c r="M77" s="51"/>
      <c r="N77" s="51"/>
      <c r="O77" s="51"/>
      <c r="P77" s="51"/>
      <c r="Q77" s="51"/>
      <c r="R77" s="51"/>
      <c r="S77" s="51"/>
      <c r="T77" s="51"/>
    </row>
    <row r="78">
      <c r="A78" s="51"/>
      <c r="B78" s="51"/>
      <c r="C78" s="56"/>
      <c r="D78" s="51"/>
      <c r="E78" s="51"/>
      <c r="F78" s="51"/>
      <c r="G78" s="51" t="str">
        <f>IFERROR(__xludf.DUMMYFUNCTION("""COMPUTED_VALUE"""),"#VALUE!")</f>
        <v>#VALUE!</v>
      </c>
      <c r="H78" s="51" t="str">
        <f>IFERROR(__xludf.DUMMYFUNCTION("""COMPUTED_VALUE"""),"")</f>
        <v/>
      </c>
      <c r="I78" s="51" t="str">
        <f>IFERROR(__xludf.DUMMYFUNCTION("""COMPUTED_VALUE"""),"#VALUE!")</f>
        <v>#VALUE!</v>
      </c>
      <c r="J78" s="51" t="str">
        <f>IFERROR(__xludf.DUMMYFUNCTION("""COMPUTED_VALUE"""),"")</f>
        <v/>
      </c>
      <c r="K78" s="51"/>
      <c r="L78" s="51" t="s">
        <v>257</v>
      </c>
      <c r="M78" s="51"/>
      <c r="N78" s="51"/>
      <c r="O78" s="51"/>
      <c r="P78" s="51"/>
      <c r="Q78" s="51"/>
      <c r="R78" s="51"/>
      <c r="S78" s="51"/>
      <c r="T78" s="51"/>
    </row>
    <row r="79">
      <c r="A79" s="51"/>
      <c r="B79" s="51"/>
      <c r="C79" s="56"/>
      <c r="D79" s="51"/>
      <c r="E79" s="51"/>
      <c r="F79" s="51"/>
      <c r="G79" s="51" t="str">
        <f>IFERROR(__xludf.DUMMYFUNCTION("""COMPUTED_VALUE"""),"#VALUE!")</f>
        <v>#VALUE!</v>
      </c>
      <c r="H79" s="51" t="str">
        <f>IFERROR(__xludf.DUMMYFUNCTION("""COMPUTED_VALUE"""),"")</f>
        <v/>
      </c>
      <c r="I79" s="51" t="str">
        <f>IFERROR(__xludf.DUMMYFUNCTION("""COMPUTED_VALUE"""),"#VALUE!")</f>
        <v>#VALUE!</v>
      </c>
      <c r="J79" s="51" t="str">
        <f>IFERROR(__xludf.DUMMYFUNCTION("""COMPUTED_VALUE"""),"")</f>
        <v/>
      </c>
      <c r="K79" s="51"/>
      <c r="L79" s="51" t="s">
        <v>257</v>
      </c>
      <c r="M79" s="51"/>
      <c r="N79" s="51"/>
      <c r="O79" s="51"/>
      <c r="P79" s="51"/>
      <c r="Q79" s="51"/>
      <c r="R79" s="51"/>
      <c r="S79" s="51"/>
      <c r="T79" s="51"/>
    </row>
    <row r="80">
      <c r="A80" s="51"/>
      <c r="B80" s="51"/>
      <c r="C80" s="56"/>
      <c r="D80" s="51"/>
      <c r="E80" s="51"/>
      <c r="F80" s="51"/>
      <c r="G80" s="51" t="str">
        <f>IFERROR(__xludf.DUMMYFUNCTION("""COMPUTED_VALUE"""),"#VALUE!")</f>
        <v>#VALUE!</v>
      </c>
      <c r="H80" s="51" t="str">
        <f>IFERROR(__xludf.DUMMYFUNCTION("""COMPUTED_VALUE"""),"")</f>
        <v/>
      </c>
      <c r="I80" s="51" t="str">
        <f>IFERROR(__xludf.DUMMYFUNCTION("""COMPUTED_VALUE"""),"#VALUE!")</f>
        <v>#VALUE!</v>
      </c>
      <c r="J80" s="51" t="str">
        <f>IFERROR(__xludf.DUMMYFUNCTION("""COMPUTED_VALUE"""),"")</f>
        <v/>
      </c>
      <c r="K80" s="51"/>
      <c r="L80" s="51" t="s">
        <v>257</v>
      </c>
      <c r="M80" s="51"/>
      <c r="N80" s="51"/>
      <c r="O80" s="51"/>
      <c r="P80" s="51"/>
      <c r="Q80" s="51"/>
      <c r="R80" s="51"/>
      <c r="S80" s="51"/>
      <c r="T80" s="51"/>
    </row>
    <row r="81">
      <c r="A81" s="51"/>
      <c r="B81" s="51"/>
      <c r="C81" s="56"/>
      <c r="D81" s="51"/>
      <c r="E81" s="51"/>
      <c r="F81" s="51"/>
      <c r="G81" s="51" t="str">
        <f>IFERROR(__xludf.DUMMYFUNCTION("""COMPUTED_VALUE"""),"#VALUE!")</f>
        <v>#VALUE!</v>
      </c>
      <c r="H81" s="51" t="str">
        <f>IFERROR(__xludf.DUMMYFUNCTION("""COMPUTED_VALUE"""),"")</f>
        <v/>
      </c>
      <c r="I81" s="51" t="str">
        <f>IFERROR(__xludf.DUMMYFUNCTION("""COMPUTED_VALUE"""),"#VALUE!")</f>
        <v>#VALUE!</v>
      </c>
      <c r="J81" s="51" t="str">
        <f>IFERROR(__xludf.DUMMYFUNCTION("""COMPUTED_VALUE"""),"")</f>
        <v/>
      </c>
      <c r="K81" s="51"/>
      <c r="L81" s="51" t="s">
        <v>257</v>
      </c>
      <c r="M81" s="51"/>
      <c r="N81" s="51"/>
      <c r="O81" s="51"/>
      <c r="P81" s="51"/>
      <c r="Q81" s="51"/>
      <c r="R81" s="51"/>
      <c r="S81" s="51"/>
      <c r="T81" s="51"/>
    </row>
    <row r="82">
      <c r="A82" s="51"/>
      <c r="B82" s="51"/>
      <c r="C82" s="56"/>
      <c r="D82" s="51"/>
      <c r="E82" s="51"/>
      <c r="F82" s="51"/>
      <c r="G82" s="51" t="str">
        <f>IFERROR(__xludf.DUMMYFUNCTION("""COMPUTED_VALUE"""),"#VALUE!")</f>
        <v>#VALUE!</v>
      </c>
      <c r="H82" s="51" t="str">
        <f>IFERROR(__xludf.DUMMYFUNCTION("""COMPUTED_VALUE"""),"")</f>
        <v/>
      </c>
      <c r="I82" s="51" t="str">
        <f>IFERROR(__xludf.DUMMYFUNCTION("""COMPUTED_VALUE"""),"#VALUE!")</f>
        <v>#VALUE!</v>
      </c>
      <c r="J82" s="51" t="str">
        <f>IFERROR(__xludf.DUMMYFUNCTION("""COMPUTED_VALUE"""),"")</f>
        <v/>
      </c>
      <c r="K82" s="51"/>
      <c r="L82" s="51" t="s">
        <v>257</v>
      </c>
      <c r="M82" s="51"/>
      <c r="N82" s="51"/>
      <c r="O82" s="51"/>
      <c r="P82" s="51"/>
      <c r="Q82" s="51"/>
      <c r="R82" s="51"/>
      <c r="S82" s="51"/>
      <c r="T82" s="51"/>
    </row>
    <row r="83">
      <c r="A83" s="51"/>
      <c r="B83" s="51"/>
      <c r="C83" s="56"/>
      <c r="D83" s="51"/>
      <c r="E83" s="51"/>
      <c r="F83" s="51"/>
      <c r="G83" s="51" t="str">
        <f>IFERROR(__xludf.DUMMYFUNCTION("""COMPUTED_VALUE"""),"#VALUE!")</f>
        <v>#VALUE!</v>
      </c>
      <c r="H83" s="51" t="str">
        <f>IFERROR(__xludf.DUMMYFUNCTION("""COMPUTED_VALUE"""),"")</f>
        <v/>
      </c>
      <c r="I83" s="51" t="str">
        <f>IFERROR(__xludf.DUMMYFUNCTION("""COMPUTED_VALUE"""),"#VALUE!")</f>
        <v>#VALUE!</v>
      </c>
      <c r="J83" s="51" t="str">
        <f>IFERROR(__xludf.DUMMYFUNCTION("""COMPUTED_VALUE"""),"")</f>
        <v/>
      </c>
      <c r="K83" s="51"/>
      <c r="L83" s="51" t="s">
        <v>257</v>
      </c>
      <c r="M83" s="51"/>
      <c r="N83" s="51"/>
      <c r="O83" s="51"/>
      <c r="P83" s="51"/>
      <c r="Q83" s="51"/>
      <c r="R83" s="51"/>
      <c r="S83" s="51"/>
      <c r="T83" s="51"/>
    </row>
    <row r="84">
      <c r="A84" s="51"/>
      <c r="B84" s="51"/>
      <c r="C84" s="56"/>
      <c r="D84" s="51"/>
      <c r="E84" s="51"/>
      <c r="F84" s="51"/>
      <c r="G84" s="51" t="str">
        <f>IFERROR(__xludf.DUMMYFUNCTION("""COMPUTED_VALUE"""),"#VALUE!")</f>
        <v>#VALUE!</v>
      </c>
      <c r="H84" s="51" t="str">
        <f>IFERROR(__xludf.DUMMYFUNCTION("""COMPUTED_VALUE"""),"")</f>
        <v/>
      </c>
      <c r="I84" s="51" t="str">
        <f>IFERROR(__xludf.DUMMYFUNCTION("""COMPUTED_VALUE"""),"#VALUE!")</f>
        <v>#VALUE!</v>
      </c>
      <c r="J84" s="51" t="str">
        <f>IFERROR(__xludf.DUMMYFUNCTION("""COMPUTED_VALUE"""),"")</f>
        <v/>
      </c>
      <c r="K84" s="51"/>
      <c r="L84" s="51" t="s">
        <v>257</v>
      </c>
      <c r="M84" s="51"/>
      <c r="N84" s="51"/>
      <c r="O84" s="51"/>
      <c r="P84" s="51"/>
      <c r="Q84" s="51"/>
      <c r="R84" s="51"/>
      <c r="S84" s="51"/>
      <c r="T84" s="51"/>
    </row>
    <row r="85">
      <c r="A85" s="51"/>
      <c r="B85" s="51"/>
      <c r="C85" s="56"/>
      <c r="D85" s="51"/>
      <c r="E85" s="51"/>
      <c r="F85" s="51"/>
      <c r="G85" s="51" t="str">
        <f>IFERROR(__xludf.DUMMYFUNCTION("""COMPUTED_VALUE"""),"#VALUE!")</f>
        <v>#VALUE!</v>
      </c>
      <c r="H85" s="51" t="str">
        <f>IFERROR(__xludf.DUMMYFUNCTION("""COMPUTED_VALUE"""),"")</f>
        <v/>
      </c>
      <c r="I85" s="51" t="str">
        <f>IFERROR(__xludf.DUMMYFUNCTION("""COMPUTED_VALUE"""),"#VALUE!")</f>
        <v>#VALUE!</v>
      </c>
      <c r="J85" s="51" t="str">
        <f>IFERROR(__xludf.DUMMYFUNCTION("""COMPUTED_VALUE"""),"")</f>
        <v/>
      </c>
      <c r="K85" s="51"/>
      <c r="L85" s="51" t="s">
        <v>257</v>
      </c>
      <c r="M85" s="51"/>
      <c r="N85" s="51"/>
      <c r="O85" s="51"/>
      <c r="P85" s="51"/>
      <c r="Q85" s="51"/>
      <c r="R85" s="51"/>
      <c r="S85" s="51"/>
      <c r="T85" s="51"/>
    </row>
    <row r="86">
      <c r="A86" s="51"/>
      <c r="B86" s="51"/>
      <c r="C86" s="56"/>
      <c r="D86" s="51"/>
      <c r="E86" s="51"/>
      <c r="F86" s="51"/>
      <c r="G86" s="51" t="str">
        <f>IFERROR(__xludf.DUMMYFUNCTION("""COMPUTED_VALUE"""),"#VALUE!")</f>
        <v>#VALUE!</v>
      </c>
      <c r="H86" s="51" t="str">
        <f>IFERROR(__xludf.DUMMYFUNCTION("""COMPUTED_VALUE"""),"")</f>
        <v/>
      </c>
      <c r="I86" s="51" t="str">
        <f>IFERROR(__xludf.DUMMYFUNCTION("""COMPUTED_VALUE"""),"#VALUE!")</f>
        <v>#VALUE!</v>
      </c>
      <c r="J86" s="51" t="str">
        <f>IFERROR(__xludf.DUMMYFUNCTION("""COMPUTED_VALUE"""),"")</f>
        <v/>
      </c>
      <c r="K86" s="51"/>
      <c r="L86" s="51" t="s">
        <v>257</v>
      </c>
      <c r="M86" s="51"/>
      <c r="N86" s="51"/>
      <c r="O86" s="51"/>
      <c r="P86" s="51"/>
      <c r="Q86" s="51"/>
      <c r="R86" s="51"/>
      <c r="S86" s="51"/>
      <c r="T86" s="51"/>
    </row>
    <row r="87">
      <c r="A87" s="51"/>
      <c r="B87" s="51"/>
      <c r="C87" s="56"/>
      <c r="D87" s="51"/>
      <c r="E87" s="51"/>
      <c r="F87" s="51"/>
      <c r="G87" s="51" t="str">
        <f>IFERROR(__xludf.DUMMYFUNCTION("""COMPUTED_VALUE"""),"#VALUE!")</f>
        <v>#VALUE!</v>
      </c>
      <c r="H87" s="51" t="str">
        <f>IFERROR(__xludf.DUMMYFUNCTION("""COMPUTED_VALUE"""),"")</f>
        <v/>
      </c>
      <c r="I87" s="51" t="str">
        <f>IFERROR(__xludf.DUMMYFUNCTION("""COMPUTED_VALUE"""),"#VALUE!")</f>
        <v>#VALUE!</v>
      </c>
      <c r="J87" s="51" t="str">
        <f>IFERROR(__xludf.DUMMYFUNCTION("""COMPUTED_VALUE"""),"")</f>
        <v/>
      </c>
      <c r="K87" s="51"/>
      <c r="L87" s="51" t="s">
        <v>257</v>
      </c>
      <c r="M87" s="51"/>
      <c r="N87" s="51"/>
      <c r="O87" s="51"/>
      <c r="P87" s="51"/>
      <c r="Q87" s="51"/>
      <c r="R87" s="51"/>
      <c r="S87" s="51"/>
      <c r="T87" s="51"/>
    </row>
    <row r="88">
      <c r="A88" s="51"/>
      <c r="B88" s="51"/>
      <c r="C88" s="56"/>
      <c r="D88" s="51"/>
      <c r="E88" s="51"/>
      <c r="F88" s="51"/>
      <c r="G88" s="51" t="str">
        <f>IFERROR(__xludf.DUMMYFUNCTION("""COMPUTED_VALUE"""),"#VALUE!")</f>
        <v>#VALUE!</v>
      </c>
      <c r="H88" s="51" t="str">
        <f>IFERROR(__xludf.DUMMYFUNCTION("""COMPUTED_VALUE"""),"")</f>
        <v/>
      </c>
      <c r="I88" s="51" t="str">
        <f>IFERROR(__xludf.DUMMYFUNCTION("""COMPUTED_VALUE"""),"#VALUE!")</f>
        <v>#VALUE!</v>
      </c>
      <c r="J88" s="51" t="str">
        <f>IFERROR(__xludf.DUMMYFUNCTION("""COMPUTED_VALUE"""),"")</f>
        <v/>
      </c>
      <c r="K88" s="51"/>
      <c r="L88" s="51" t="s">
        <v>257</v>
      </c>
      <c r="M88" s="51"/>
      <c r="N88" s="51"/>
      <c r="O88" s="51"/>
      <c r="P88" s="51"/>
      <c r="Q88" s="51"/>
      <c r="R88" s="51"/>
      <c r="S88" s="51"/>
      <c r="T88" s="51"/>
    </row>
    <row r="89">
      <c r="A89" s="51"/>
      <c r="B89" s="51"/>
      <c r="C89" s="56"/>
      <c r="D89" s="51"/>
      <c r="E89" s="51"/>
      <c r="F89" s="51"/>
      <c r="G89" s="51" t="str">
        <f>IFERROR(__xludf.DUMMYFUNCTION("""COMPUTED_VALUE"""),"#VALUE!")</f>
        <v>#VALUE!</v>
      </c>
      <c r="H89" s="51" t="str">
        <f>IFERROR(__xludf.DUMMYFUNCTION("""COMPUTED_VALUE"""),"")</f>
        <v/>
      </c>
      <c r="I89" s="51" t="str">
        <f>IFERROR(__xludf.DUMMYFUNCTION("""COMPUTED_VALUE"""),"#VALUE!")</f>
        <v>#VALUE!</v>
      </c>
      <c r="J89" s="51" t="str">
        <f>IFERROR(__xludf.DUMMYFUNCTION("""COMPUTED_VALUE"""),"")</f>
        <v/>
      </c>
      <c r="K89" s="51"/>
      <c r="L89" s="51" t="s">
        <v>257</v>
      </c>
      <c r="M89" s="51"/>
      <c r="N89" s="51"/>
      <c r="O89" s="51"/>
      <c r="P89" s="51"/>
      <c r="Q89" s="51"/>
      <c r="R89" s="51"/>
      <c r="S89" s="51"/>
      <c r="T89" s="51"/>
    </row>
    <row r="90">
      <c r="A90" s="51"/>
      <c r="B90" s="51"/>
      <c r="C90" s="56"/>
      <c r="D90" s="51"/>
      <c r="E90" s="51"/>
      <c r="F90" s="51"/>
      <c r="G90" s="51" t="str">
        <f>IFERROR(__xludf.DUMMYFUNCTION("""COMPUTED_VALUE"""),"#VALUE!")</f>
        <v>#VALUE!</v>
      </c>
      <c r="H90" s="51" t="str">
        <f>IFERROR(__xludf.DUMMYFUNCTION("""COMPUTED_VALUE"""),"")</f>
        <v/>
      </c>
      <c r="I90" s="51" t="str">
        <f>IFERROR(__xludf.DUMMYFUNCTION("""COMPUTED_VALUE"""),"#VALUE!")</f>
        <v>#VALUE!</v>
      </c>
      <c r="J90" s="51" t="str">
        <f>IFERROR(__xludf.DUMMYFUNCTION("""COMPUTED_VALUE"""),"")</f>
        <v/>
      </c>
      <c r="K90" s="51"/>
      <c r="L90" s="51" t="s">
        <v>257</v>
      </c>
      <c r="M90" s="51"/>
      <c r="N90" s="51"/>
      <c r="O90" s="51"/>
      <c r="P90" s="51"/>
      <c r="Q90" s="51"/>
      <c r="R90" s="51"/>
      <c r="S90" s="51"/>
      <c r="T90" s="51"/>
    </row>
    <row r="91">
      <c r="A91" s="51"/>
      <c r="B91" s="51"/>
      <c r="C91" s="56"/>
      <c r="D91" s="51"/>
      <c r="E91" s="51"/>
      <c r="F91" s="51"/>
      <c r="G91" s="51" t="str">
        <f>IFERROR(__xludf.DUMMYFUNCTION("""COMPUTED_VALUE"""),"#VALUE!")</f>
        <v>#VALUE!</v>
      </c>
      <c r="H91" s="51" t="str">
        <f>IFERROR(__xludf.DUMMYFUNCTION("""COMPUTED_VALUE"""),"")</f>
        <v/>
      </c>
      <c r="I91" s="51" t="str">
        <f>IFERROR(__xludf.DUMMYFUNCTION("""COMPUTED_VALUE"""),"#VALUE!")</f>
        <v>#VALUE!</v>
      </c>
      <c r="J91" s="51" t="str">
        <f>IFERROR(__xludf.DUMMYFUNCTION("""COMPUTED_VALUE"""),"")</f>
        <v/>
      </c>
      <c r="K91" s="51"/>
      <c r="L91" s="51" t="s">
        <v>257</v>
      </c>
      <c r="M91" s="51"/>
      <c r="N91" s="51"/>
      <c r="O91" s="51"/>
      <c r="P91" s="51"/>
      <c r="Q91" s="51"/>
      <c r="R91" s="51"/>
      <c r="S91" s="51"/>
      <c r="T91" s="51"/>
    </row>
    <row r="92">
      <c r="A92" s="51"/>
      <c r="B92" s="51"/>
      <c r="C92" s="56"/>
      <c r="D92" s="51"/>
      <c r="E92" s="51"/>
      <c r="F92" s="51"/>
      <c r="G92" s="51" t="str">
        <f>IFERROR(__xludf.DUMMYFUNCTION("""COMPUTED_VALUE"""),"#VALUE!")</f>
        <v>#VALUE!</v>
      </c>
      <c r="H92" s="51" t="str">
        <f>IFERROR(__xludf.DUMMYFUNCTION("""COMPUTED_VALUE"""),"")</f>
        <v/>
      </c>
      <c r="I92" s="51" t="str">
        <f>IFERROR(__xludf.DUMMYFUNCTION("""COMPUTED_VALUE"""),"#VALUE!")</f>
        <v>#VALUE!</v>
      </c>
      <c r="J92" s="51" t="str">
        <f>IFERROR(__xludf.DUMMYFUNCTION("""COMPUTED_VALUE"""),"")</f>
        <v/>
      </c>
      <c r="K92" s="51"/>
      <c r="L92" s="51" t="s">
        <v>257</v>
      </c>
      <c r="M92" s="51"/>
      <c r="N92" s="51"/>
      <c r="O92" s="51"/>
      <c r="P92" s="51"/>
      <c r="Q92" s="51"/>
      <c r="R92" s="51"/>
      <c r="S92" s="51"/>
      <c r="T92" s="51"/>
    </row>
    <row r="93">
      <c r="A93" s="51"/>
      <c r="B93" s="51"/>
      <c r="C93" s="56"/>
      <c r="D93" s="51"/>
      <c r="E93" s="51"/>
      <c r="F93" s="51"/>
      <c r="G93" s="51" t="str">
        <f>IFERROR(__xludf.DUMMYFUNCTION("""COMPUTED_VALUE"""),"#VALUE!")</f>
        <v>#VALUE!</v>
      </c>
      <c r="H93" s="51" t="str">
        <f>IFERROR(__xludf.DUMMYFUNCTION("""COMPUTED_VALUE"""),"")</f>
        <v/>
      </c>
      <c r="I93" s="51" t="str">
        <f>IFERROR(__xludf.DUMMYFUNCTION("""COMPUTED_VALUE"""),"#VALUE!")</f>
        <v>#VALUE!</v>
      </c>
      <c r="J93" s="51" t="str">
        <f>IFERROR(__xludf.DUMMYFUNCTION("""COMPUTED_VALUE"""),"")</f>
        <v/>
      </c>
      <c r="K93" s="51"/>
      <c r="L93" s="51" t="s">
        <v>257</v>
      </c>
      <c r="M93" s="51"/>
      <c r="N93" s="51"/>
      <c r="O93" s="51"/>
      <c r="P93" s="51"/>
      <c r="Q93" s="51"/>
      <c r="R93" s="51"/>
      <c r="S93" s="51"/>
      <c r="T93" s="51"/>
    </row>
    <row r="94">
      <c r="A94" s="51"/>
      <c r="B94" s="51"/>
      <c r="C94" s="56"/>
      <c r="D94" s="51"/>
      <c r="E94" s="51"/>
      <c r="F94" s="51"/>
      <c r="G94" s="51" t="str">
        <f>IFERROR(__xludf.DUMMYFUNCTION("""COMPUTED_VALUE"""),"#VALUE!")</f>
        <v>#VALUE!</v>
      </c>
      <c r="H94" s="51" t="str">
        <f>IFERROR(__xludf.DUMMYFUNCTION("""COMPUTED_VALUE"""),"")</f>
        <v/>
      </c>
      <c r="I94" s="51" t="str">
        <f>IFERROR(__xludf.DUMMYFUNCTION("""COMPUTED_VALUE"""),"#VALUE!")</f>
        <v>#VALUE!</v>
      </c>
      <c r="J94" s="51" t="str">
        <f>IFERROR(__xludf.DUMMYFUNCTION("""COMPUTED_VALUE"""),"")</f>
        <v/>
      </c>
      <c r="K94" s="51"/>
      <c r="L94" s="51" t="s">
        <v>257</v>
      </c>
      <c r="M94" s="51"/>
      <c r="N94" s="51"/>
      <c r="O94" s="51"/>
      <c r="P94" s="51"/>
      <c r="Q94" s="51"/>
      <c r="R94" s="51"/>
      <c r="S94" s="51"/>
      <c r="T94" s="51"/>
    </row>
    <row r="95">
      <c r="A95" s="51"/>
      <c r="B95" s="51"/>
      <c r="C95" s="56"/>
      <c r="D95" s="51"/>
      <c r="E95" s="51"/>
      <c r="F95" s="51"/>
      <c r="G95" s="51" t="str">
        <f>IFERROR(__xludf.DUMMYFUNCTION("""COMPUTED_VALUE"""),"#VALUE!")</f>
        <v>#VALUE!</v>
      </c>
      <c r="H95" s="51" t="str">
        <f>IFERROR(__xludf.DUMMYFUNCTION("""COMPUTED_VALUE"""),"")</f>
        <v/>
      </c>
      <c r="I95" s="51" t="str">
        <f>IFERROR(__xludf.DUMMYFUNCTION("""COMPUTED_VALUE"""),"#VALUE!")</f>
        <v>#VALUE!</v>
      </c>
      <c r="J95" s="51" t="str">
        <f>IFERROR(__xludf.DUMMYFUNCTION("""COMPUTED_VALUE"""),"")</f>
        <v/>
      </c>
      <c r="K95" s="51"/>
      <c r="L95" s="51" t="s">
        <v>257</v>
      </c>
      <c r="M95" s="51"/>
      <c r="N95" s="51"/>
      <c r="O95" s="51"/>
      <c r="P95" s="51"/>
      <c r="Q95" s="51"/>
      <c r="R95" s="51"/>
      <c r="S95" s="51"/>
      <c r="T95" s="51"/>
    </row>
    <row r="96">
      <c r="A96" s="51"/>
      <c r="B96" s="51"/>
      <c r="C96" s="56"/>
      <c r="D96" s="51"/>
      <c r="E96" s="51"/>
      <c r="F96" s="51"/>
      <c r="G96" s="51" t="str">
        <f>IFERROR(__xludf.DUMMYFUNCTION("""COMPUTED_VALUE"""),"#VALUE!")</f>
        <v>#VALUE!</v>
      </c>
      <c r="H96" s="51" t="str">
        <f>IFERROR(__xludf.DUMMYFUNCTION("""COMPUTED_VALUE"""),"")</f>
        <v/>
      </c>
      <c r="I96" s="51" t="str">
        <f>IFERROR(__xludf.DUMMYFUNCTION("""COMPUTED_VALUE"""),"#VALUE!")</f>
        <v>#VALUE!</v>
      </c>
      <c r="J96" s="51" t="str">
        <f>IFERROR(__xludf.DUMMYFUNCTION("""COMPUTED_VALUE"""),"")</f>
        <v/>
      </c>
      <c r="K96" s="51"/>
      <c r="L96" s="51" t="s">
        <v>257</v>
      </c>
      <c r="M96" s="51"/>
      <c r="N96" s="51"/>
      <c r="O96" s="51"/>
      <c r="P96" s="51"/>
      <c r="Q96" s="51"/>
      <c r="R96" s="51"/>
      <c r="S96" s="51"/>
      <c r="T96" s="51"/>
    </row>
    <row r="97">
      <c r="A97" s="51"/>
      <c r="B97" s="51"/>
      <c r="C97" s="56"/>
      <c r="D97" s="51"/>
      <c r="E97" s="51"/>
      <c r="F97" s="51"/>
      <c r="G97" s="51" t="str">
        <f>IFERROR(__xludf.DUMMYFUNCTION("""COMPUTED_VALUE"""),"#VALUE!")</f>
        <v>#VALUE!</v>
      </c>
      <c r="H97" s="51" t="str">
        <f>IFERROR(__xludf.DUMMYFUNCTION("""COMPUTED_VALUE"""),"")</f>
        <v/>
      </c>
      <c r="I97" s="51" t="str">
        <f>IFERROR(__xludf.DUMMYFUNCTION("""COMPUTED_VALUE"""),"#VALUE!")</f>
        <v>#VALUE!</v>
      </c>
      <c r="J97" s="51" t="str">
        <f>IFERROR(__xludf.DUMMYFUNCTION("""COMPUTED_VALUE"""),"")</f>
        <v/>
      </c>
      <c r="K97" s="51"/>
      <c r="L97" s="51" t="s">
        <v>257</v>
      </c>
      <c r="M97" s="51"/>
      <c r="N97" s="51"/>
      <c r="O97" s="51"/>
      <c r="P97" s="51"/>
      <c r="Q97" s="51"/>
      <c r="R97" s="51"/>
      <c r="S97" s="51"/>
      <c r="T97" s="51"/>
    </row>
    <row r="98">
      <c r="A98" s="51"/>
      <c r="B98" s="51"/>
      <c r="C98" s="56"/>
      <c r="D98" s="51"/>
      <c r="E98" s="51"/>
      <c r="F98" s="51"/>
      <c r="G98" s="51" t="str">
        <f>IFERROR(__xludf.DUMMYFUNCTION("""COMPUTED_VALUE"""),"#VALUE!")</f>
        <v>#VALUE!</v>
      </c>
      <c r="H98" s="51" t="str">
        <f>IFERROR(__xludf.DUMMYFUNCTION("""COMPUTED_VALUE"""),"")</f>
        <v/>
      </c>
      <c r="I98" s="51" t="str">
        <f>IFERROR(__xludf.DUMMYFUNCTION("""COMPUTED_VALUE"""),"#VALUE!")</f>
        <v>#VALUE!</v>
      </c>
      <c r="J98" s="51" t="str">
        <f>IFERROR(__xludf.DUMMYFUNCTION("""COMPUTED_VALUE"""),"")</f>
        <v/>
      </c>
      <c r="K98" s="51"/>
      <c r="L98" s="51" t="s">
        <v>257</v>
      </c>
      <c r="M98" s="51"/>
      <c r="N98" s="51"/>
      <c r="O98" s="51"/>
      <c r="P98" s="51"/>
      <c r="Q98" s="51"/>
      <c r="R98" s="51"/>
      <c r="S98" s="51"/>
      <c r="T98" s="51"/>
    </row>
    <row r="99">
      <c r="A99" s="51"/>
      <c r="B99" s="51"/>
      <c r="C99" s="56"/>
      <c r="D99" s="51"/>
      <c r="E99" s="51"/>
      <c r="F99" s="51"/>
      <c r="G99" s="51" t="str">
        <f>IFERROR(__xludf.DUMMYFUNCTION("""COMPUTED_VALUE"""),"#VALUE!")</f>
        <v>#VALUE!</v>
      </c>
      <c r="H99" s="51" t="str">
        <f>IFERROR(__xludf.DUMMYFUNCTION("""COMPUTED_VALUE"""),"")</f>
        <v/>
      </c>
      <c r="I99" s="51" t="str">
        <f>IFERROR(__xludf.DUMMYFUNCTION("""COMPUTED_VALUE"""),"#VALUE!")</f>
        <v>#VALUE!</v>
      </c>
      <c r="J99" s="51" t="str">
        <f>IFERROR(__xludf.DUMMYFUNCTION("""COMPUTED_VALUE"""),"")</f>
        <v/>
      </c>
      <c r="K99" s="51"/>
      <c r="L99" s="51" t="s">
        <v>257</v>
      </c>
      <c r="M99" s="51"/>
      <c r="N99" s="51"/>
      <c r="O99" s="51"/>
      <c r="P99" s="51"/>
      <c r="Q99" s="51"/>
      <c r="R99" s="51"/>
      <c r="S99" s="51"/>
      <c r="T99" s="51"/>
    </row>
    <row r="100">
      <c r="A100" s="51"/>
      <c r="B100" s="51"/>
      <c r="C100" s="56"/>
      <c r="D100" s="51"/>
      <c r="E100" s="51"/>
      <c r="F100" s="51"/>
      <c r="G100" s="51" t="str">
        <f>IFERROR(__xludf.DUMMYFUNCTION("""COMPUTED_VALUE"""),"#VALUE!")</f>
        <v>#VALUE!</v>
      </c>
      <c r="H100" s="51" t="str">
        <f>IFERROR(__xludf.DUMMYFUNCTION("""COMPUTED_VALUE"""),"")</f>
        <v/>
      </c>
      <c r="I100" s="51" t="str">
        <f>IFERROR(__xludf.DUMMYFUNCTION("""COMPUTED_VALUE"""),"#VALUE!")</f>
        <v>#VALUE!</v>
      </c>
      <c r="J100" s="51" t="str">
        <f>IFERROR(__xludf.DUMMYFUNCTION("""COMPUTED_VALUE"""),"")</f>
        <v/>
      </c>
      <c r="K100" s="51"/>
      <c r="L100" s="51" t="s">
        <v>257</v>
      </c>
      <c r="M100" s="51"/>
      <c r="N100" s="51"/>
      <c r="O100" s="51"/>
      <c r="P100" s="51"/>
      <c r="Q100" s="51"/>
      <c r="R100" s="51"/>
      <c r="S100" s="51"/>
      <c r="T100" s="51"/>
    </row>
    <row r="101">
      <c r="A101" s="51"/>
      <c r="B101" s="51"/>
      <c r="C101" s="56"/>
      <c r="D101" s="51"/>
      <c r="E101" s="51"/>
      <c r="F101" s="51"/>
      <c r="G101" s="51" t="str">
        <f>IFERROR(__xludf.DUMMYFUNCTION("""COMPUTED_VALUE"""),"#VALUE!")</f>
        <v>#VALUE!</v>
      </c>
      <c r="H101" s="51" t="str">
        <f>IFERROR(__xludf.DUMMYFUNCTION("""COMPUTED_VALUE"""),"")</f>
        <v/>
      </c>
      <c r="I101" s="51" t="str">
        <f>IFERROR(__xludf.DUMMYFUNCTION("""COMPUTED_VALUE"""),"#VALUE!")</f>
        <v>#VALUE!</v>
      </c>
      <c r="J101" s="51" t="str">
        <f>IFERROR(__xludf.DUMMYFUNCTION("""COMPUTED_VALUE"""),"")</f>
        <v/>
      </c>
      <c r="K101" s="51"/>
      <c r="L101" s="51" t="s">
        <v>257</v>
      </c>
      <c r="M101" s="51"/>
      <c r="N101" s="51"/>
      <c r="O101" s="51"/>
      <c r="P101" s="51"/>
      <c r="Q101" s="51"/>
      <c r="R101" s="51"/>
      <c r="S101" s="51"/>
      <c r="T101" s="51"/>
    </row>
    <row r="102">
      <c r="A102" s="51"/>
      <c r="B102" s="51"/>
      <c r="C102" s="56"/>
      <c r="D102" s="51"/>
      <c r="E102" s="51"/>
      <c r="F102" s="51"/>
      <c r="G102" s="51" t="str">
        <f>IFERROR(__xludf.DUMMYFUNCTION("""COMPUTED_VALUE"""),"#VALUE!")</f>
        <v>#VALUE!</v>
      </c>
      <c r="H102" s="51" t="str">
        <f>IFERROR(__xludf.DUMMYFUNCTION("""COMPUTED_VALUE"""),"")</f>
        <v/>
      </c>
      <c r="I102" s="51" t="str">
        <f>IFERROR(__xludf.DUMMYFUNCTION("""COMPUTED_VALUE"""),"#VALUE!")</f>
        <v>#VALUE!</v>
      </c>
      <c r="J102" s="51" t="str">
        <f>IFERROR(__xludf.DUMMYFUNCTION("""COMPUTED_VALUE"""),"")</f>
        <v/>
      </c>
      <c r="K102" s="51"/>
      <c r="L102" s="51" t="s">
        <v>257</v>
      </c>
      <c r="M102" s="51"/>
      <c r="N102" s="51"/>
      <c r="O102" s="51"/>
      <c r="P102" s="51"/>
      <c r="Q102" s="51"/>
      <c r="R102" s="51"/>
      <c r="S102" s="51"/>
      <c r="T102" s="51"/>
    </row>
    <row r="103">
      <c r="A103" s="51"/>
      <c r="B103" s="51"/>
      <c r="C103" s="56"/>
      <c r="D103" s="51"/>
      <c r="E103" s="51"/>
      <c r="F103" s="51"/>
      <c r="G103" s="51" t="str">
        <f>IFERROR(__xludf.DUMMYFUNCTION("""COMPUTED_VALUE"""),"#VALUE!")</f>
        <v>#VALUE!</v>
      </c>
      <c r="H103" s="51" t="str">
        <f>IFERROR(__xludf.DUMMYFUNCTION("""COMPUTED_VALUE"""),"")</f>
        <v/>
      </c>
      <c r="I103" s="51" t="str">
        <f>IFERROR(__xludf.DUMMYFUNCTION("""COMPUTED_VALUE"""),"#VALUE!")</f>
        <v>#VALUE!</v>
      </c>
      <c r="J103" s="51" t="str">
        <f>IFERROR(__xludf.DUMMYFUNCTION("""COMPUTED_VALUE"""),"")</f>
        <v/>
      </c>
      <c r="K103" s="51"/>
      <c r="L103" s="51" t="s">
        <v>257</v>
      </c>
      <c r="M103" s="51"/>
      <c r="N103" s="51"/>
      <c r="O103" s="51"/>
      <c r="P103" s="51"/>
      <c r="Q103" s="51"/>
      <c r="R103" s="51"/>
      <c r="S103" s="51"/>
      <c r="T103" s="51"/>
    </row>
    <row r="104">
      <c r="A104" s="51"/>
      <c r="B104" s="51"/>
      <c r="C104" s="56"/>
      <c r="D104" s="51"/>
      <c r="E104" s="51"/>
      <c r="F104" s="51"/>
      <c r="G104" s="51" t="str">
        <f>IFERROR(__xludf.DUMMYFUNCTION("""COMPUTED_VALUE"""),"#VALUE!")</f>
        <v>#VALUE!</v>
      </c>
      <c r="H104" s="51" t="str">
        <f>IFERROR(__xludf.DUMMYFUNCTION("""COMPUTED_VALUE"""),"")</f>
        <v/>
      </c>
      <c r="I104" s="51" t="str">
        <f>IFERROR(__xludf.DUMMYFUNCTION("""COMPUTED_VALUE"""),"#VALUE!")</f>
        <v>#VALUE!</v>
      </c>
      <c r="J104" s="51" t="str">
        <f>IFERROR(__xludf.DUMMYFUNCTION("""COMPUTED_VALUE"""),"")</f>
        <v/>
      </c>
      <c r="K104" s="51"/>
      <c r="L104" s="51" t="s">
        <v>257</v>
      </c>
      <c r="M104" s="51"/>
      <c r="N104" s="51"/>
      <c r="O104" s="51"/>
      <c r="P104" s="51"/>
      <c r="Q104" s="51"/>
      <c r="R104" s="51"/>
      <c r="S104" s="51"/>
      <c r="T104" s="51"/>
    </row>
    <row r="105">
      <c r="A105" s="51"/>
      <c r="B105" s="51"/>
      <c r="C105" s="56"/>
      <c r="D105" s="51"/>
      <c r="E105" s="51"/>
      <c r="F105" s="51"/>
      <c r="G105" s="51" t="str">
        <f>IFERROR(__xludf.DUMMYFUNCTION("""COMPUTED_VALUE"""),"#VALUE!")</f>
        <v>#VALUE!</v>
      </c>
      <c r="H105" s="51" t="str">
        <f>IFERROR(__xludf.DUMMYFUNCTION("""COMPUTED_VALUE"""),"")</f>
        <v/>
      </c>
      <c r="I105" s="51" t="str">
        <f>IFERROR(__xludf.DUMMYFUNCTION("""COMPUTED_VALUE"""),"#VALUE!")</f>
        <v>#VALUE!</v>
      </c>
      <c r="J105" s="51" t="str">
        <f>IFERROR(__xludf.DUMMYFUNCTION("""COMPUTED_VALUE"""),"")</f>
        <v/>
      </c>
      <c r="K105" s="51"/>
      <c r="L105" s="51" t="s">
        <v>257</v>
      </c>
      <c r="M105" s="51"/>
      <c r="N105" s="51"/>
      <c r="O105" s="51"/>
      <c r="P105" s="51"/>
      <c r="Q105" s="51"/>
      <c r="R105" s="51"/>
      <c r="S105" s="51"/>
      <c r="T105" s="51"/>
    </row>
    <row r="106">
      <c r="A106" s="51"/>
      <c r="B106" s="51"/>
      <c r="C106" s="56"/>
      <c r="D106" s="51"/>
      <c r="E106" s="51"/>
      <c r="F106" s="51"/>
      <c r="G106" s="51" t="str">
        <f>IFERROR(__xludf.DUMMYFUNCTION("""COMPUTED_VALUE"""),"#VALUE!")</f>
        <v>#VALUE!</v>
      </c>
      <c r="H106" s="51" t="str">
        <f>IFERROR(__xludf.DUMMYFUNCTION("""COMPUTED_VALUE"""),"")</f>
        <v/>
      </c>
      <c r="I106" s="51" t="str">
        <f>IFERROR(__xludf.DUMMYFUNCTION("""COMPUTED_VALUE"""),"#VALUE!")</f>
        <v>#VALUE!</v>
      </c>
      <c r="J106" s="51" t="str">
        <f>IFERROR(__xludf.DUMMYFUNCTION("""COMPUTED_VALUE"""),"")</f>
        <v/>
      </c>
      <c r="K106" s="51"/>
      <c r="L106" s="51" t="s">
        <v>257</v>
      </c>
      <c r="M106" s="51"/>
      <c r="N106" s="51"/>
      <c r="O106" s="51"/>
      <c r="P106" s="51"/>
      <c r="Q106" s="51"/>
      <c r="R106" s="51"/>
      <c r="S106" s="51"/>
      <c r="T106" s="51"/>
    </row>
    <row r="107">
      <c r="A107" s="51"/>
      <c r="B107" s="51"/>
      <c r="C107" s="56"/>
      <c r="D107" s="51"/>
      <c r="E107" s="51"/>
      <c r="F107" s="51"/>
      <c r="G107" s="51" t="str">
        <f>IFERROR(__xludf.DUMMYFUNCTION("""COMPUTED_VALUE"""),"#VALUE!")</f>
        <v>#VALUE!</v>
      </c>
      <c r="H107" s="51" t="str">
        <f>IFERROR(__xludf.DUMMYFUNCTION("""COMPUTED_VALUE"""),"")</f>
        <v/>
      </c>
      <c r="I107" s="51" t="str">
        <f>IFERROR(__xludf.DUMMYFUNCTION("""COMPUTED_VALUE"""),"#VALUE!")</f>
        <v>#VALUE!</v>
      </c>
      <c r="J107" s="51" t="str">
        <f>IFERROR(__xludf.DUMMYFUNCTION("""COMPUTED_VALUE"""),"")</f>
        <v/>
      </c>
      <c r="K107" s="51"/>
      <c r="L107" s="51" t="s">
        <v>257</v>
      </c>
      <c r="M107" s="51"/>
      <c r="N107" s="51"/>
      <c r="O107" s="51"/>
      <c r="P107" s="51"/>
      <c r="Q107" s="51"/>
      <c r="R107" s="51"/>
      <c r="S107" s="51"/>
      <c r="T107" s="51"/>
    </row>
    <row r="108">
      <c r="A108" s="51"/>
      <c r="B108" s="51"/>
      <c r="C108" s="56"/>
      <c r="D108" s="51"/>
      <c r="E108" s="51"/>
      <c r="F108" s="51"/>
      <c r="G108" s="51" t="str">
        <f>IFERROR(__xludf.DUMMYFUNCTION("""COMPUTED_VALUE"""),"#VALUE!")</f>
        <v>#VALUE!</v>
      </c>
      <c r="H108" s="51" t="str">
        <f>IFERROR(__xludf.DUMMYFUNCTION("""COMPUTED_VALUE"""),"")</f>
        <v/>
      </c>
      <c r="I108" s="51" t="str">
        <f>IFERROR(__xludf.DUMMYFUNCTION("""COMPUTED_VALUE"""),"#VALUE!")</f>
        <v>#VALUE!</v>
      </c>
      <c r="J108" s="51" t="str">
        <f>IFERROR(__xludf.DUMMYFUNCTION("""COMPUTED_VALUE"""),"")</f>
        <v/>
      </c>
      <c r="K108" s="51"/>
      <c r="L108" s="51" t="s">
        <v>257</v>
      </c>
      <c r="M108" s="51"/>
      <c r="N108" s="51"/>
      <c r="O108" s="51"/>
      <c r="P108" s="51"/>
      <c r="Q108" s="51"/>
      <c r="R108" s="51"/>
      <c r="S108" s="51"/>
      <c r="T108" s="51"/>
    </row>
    <row r="109">
      <c r="A109" s="51"/>
      <c r="B109" s="51"/>
      <c r="C109" s="56"/>
      <c r="D109" s="51"/>
      <c r="E109" s="51"/>
      <c r="F109" s="51"/>
      <c r="G109" s="51" t="str">
        <f>IFERROR(__xludf.DUMMYFUNCTION("""COMPUTED_VALUE"""),"#VALUE!")</f>
        <v>#VALUE!</v>
      </c>
      <c r="H109" s="51" t="str">
        <f>IFERROR(__xludf.DUMMYFUNCTION("""COMPUTED_VALUE"""),"")</f>
        <v/>
      </c>
      <c r="I109" s="51" t="str">
        <f>IFERROR(__xludf.DUMMYFUNCTION("""COMPUTED_VALUE"""),"#VALUE!")</f>
        <v>#VALUE!</v>
      </c>
      <c r="J109" s="51" t="str">
        <f>IFERROR(__xludf.DUMMYFUNCTION("""COMPUTED_VALUE"""),"")</f>
        <v/>
      </c>
      <c r="K109" s="51"/>
      <c r="L109" s="51" t="s">
        <v>257</v>
      </c>
      <c r="M109" s="51"/>
      <c r="N109" s="51"/>
      <c r="O109" s="51"/>
      <c r="P109" s="51"/>
      <c r="Q109" s="51"/>
      <c r="R109" s="51"/>
      <c r="S109" s="51"/>
      <c r="T109" s="51"/>
    </row>
    <row r="110">
      <c r="A110" s="51"/>
      <c r="B110" s="51"/>
      <c r="C110" s="56"/>
      <c r="D110" s="51"/>
      <c r="E110" s="51"/>
      <c r="F110" s="51"/>
      <c r="G110" s="51" t="str">
        <f>IFERROR(__xludf.DUMMYFUNCTION("""COMPUTED_VALUE"""),"#VALUE!")</f>
        <v>#VALUE!</v>
      </c>
      <c r="H110" s="51" t="str">
        <f>IFERROR(__xludf.DUMMYFUNCTION("""COMPUTED_VALUE"""),"")</f>
        <v/>
      </c>
      <c r="I110" s="51" t="str">
        <f>IFERROR(__xludf.DUMMYFUNCTION("""COMPUTED_VALUE"""),"#VALUE!")</f>
        <v>#VALUE!</v>
      </c>
      <c r="J110" s="51" t="str">
        <f>IFERROR(__xludf.DUMMYFUNCTION("""COMPUTED_VALUE"""),"")</f>
        <v/>
      </c>
      <c r="K110" s="51"/>
      <c r="L110" s="51" t="s">
        <v>257</v>
      </c>
      <c r="M110" s="51"/>
      <c r="N110" s="51"/>
      <c r="O110" s="51"/>
      <c r="P110" s="51"/>
      <c r="Q110" s="51"/>
      <c r="R110" s="51"/>
      <c r="S110" s="51"/>
      <c r="T110" s="51"/>
    </row>
    <row r="111">
      <c r="A111" s="51"/>
      <c r="B111" s="51"/>
      <c r="C111" s="56"/>
      <c r="D111" s="51"/>
      <c r="E111" s="51"/>
      <c r="F111" s="51"/>
      <c r="G111" s="51" t="str">
        <f>IFERROR(__xludf.DUMMYFUNCTION("""COMPUTED_VALUE"""),"#VALUE!")</f>
        <v>#VALUE!</v>
      </c>
      <c r="H111" s="51" t="str">
        <f>IFERROR(__xludf.DUMMYFUNCTION("""COMPUTED_VALUE"""),"")</f>
        <v/>
      </c>
      <c r="I111" s="51" t="str">
        <f>IFERROR(__xludf.DUMMYFUNCTION("""COMPUTED_VALUE"""),"#VALUE!")</f>
        <v>#VALUE!</v>
      </c>
      <c r="J111" s="51" t="str">
        <f>IFERROR(__xludf.DUMMYFUNCTION("""COMPUTED_VALUE"""),"")</f>
        <v/>
      </c>
      <c r="K111" s="51"/>
      <c r="L111" s="51" t="s">
        <v>257</v>
      </c>
      <c r="M111" s="51"/>
      <c r="N111" s="51"/>
      <c r="O111" s="51"/>
      <c r="P111" s="51"/>
      <c r="Q111" s="51"/>
      <c r="R111" s="51"/>
      <c r="S111" s="51"/>
      <c r="T111" s="51"/>
    </row>
    <row r="112">
      <c r="A112" s="51"/>
      <c r="B112" s="51"/>
      <c r="C112" s="56"/>
      <c r="D112" s="51"/>
      <c r="E112" s="51"/>
      <c r="F112" s="51"/>
      <c r="G112" s="51" t="str">
        <f>IFERROR(__xludf.DUMMYFUNCTION("""COMPUTED_VALUE"""),"#VALUE!")</f>
        <v>#VALUE!</v>
      </c>
      <c r="H112" s="51" t="str">
        <f>IFERROR(__xludf.DUMMYFUNCTION("""COMPUTED_VALUE"""),"")</f>
        <v/>
      </c>
      <c r="I112" s="51" t="str">
        <f>IFERROR(__xludf.DUMMYFUNCTION("""COMPUTED_VALUE"""),"#VALUE!")</f>
        <v>#VALUE!</v>
      </c>
      <c r="J112" s="51" t="str">
        <f>IFERROR(__xludf.DUMMYFUNCTION("""COMPUTED_VALUE"""),"")</f>
        <v/>
      </c>
      <c r="K112" s="51"/>
      <c r="L112" s="51" t="s">
        <v>257</v>
      </c>
      <c r="M112" s="51"/>
      <c r="N112" s="51"/>
      <c r="O112" s="51"/>
      <c r="P112" s="51"/>
      <c r="Q112" s="51"/>
      <c r="R112" s="51"/>
      <c r="S112" s="51"/>
      <c r="T112" s="51"/>
    </row>
    <row r="113">
      <c r="A113" s="51"/>
      <c r="B113" s="51"/>
      <c r="C113" s="56"/>
      <c r="D113" s="51"/>
      <c r="E113" s="51"/>
      <c r="F113" s="51"/>
      <c r="G113" s="51" t="str">
        <f>IFERROR(__xludf.DUMMYFUNCTION("""COMPUTED_VALUE"""),"#VALUE!")</f>
        <v>#VALUE!</v>
      </c>
      <c r="H113" s="51" t="str">
        <f>IFERROR(__xludf.DUMMYFUNCTION("""COMPUTED_VALUE"""),"")</f>
        <v/>
      </c>
      <c r="I113" s="51" t="str">
        <f>IFERROR(__xludf.DUMMYFUNCTION("""COMPUTED_VALUE"""),"#VALUE!")</f>
        <v>#VALUE!</v>
      </c>
      <c r="J113" s="51" t="str">
        <f>IFERROR(__xludf.DUMMYFUNCTION("""COMPUTED_VALUE"""),"")</f>
        <v/>
      </c>
      <c r="K113" s="51"/>
      <c r="L113" s="51" t="s">
        <v>257</v>
      </c>
      <c r="M113" s="51"/>
      <c r="N113" s="51"/>
      <c r="O113" s="51"/>
      <c r="P113" s="51"/>
      <c r="Q113" s="51"/>
      <c r="R113" s="51"/>
      <c r="S113" s="51"/>
      <c r="T113" s="51"/>
    </row>
    <row r="114">
      <c r="A114" s="51"/>
      <c r="B114" s="51"/>
      <c r="C114" s="56"/>
      <c r="D114" s="51"/>
      <c r="E114" s="51"/>
      <c r="F114" s="51"/>
      <c r="G114" s="51" t="str">
        <f>IFERROR(__xludf.DUMMYFUNCTION("""COMPUTED_VALUE"""),"#VALUE!")</f>
        <v>#VALUE!</v>
      </c>
      <c r="H114" s="51" t="str">
        <f>IFERROR(__xludf.DUMMYFUNCTION("""COMPUTED_VALUE"""),"")</f>
        <v/>
      </c>
      <c r="I114" s="51" t="str">
        <f>IFERROR(__xludf.DUMMYFUNCTION("""COMPUTED_VALUE"""),"#VALUE!")</f>
        <v>#VALUE!</v>
      </c>
      <c r="J114" s="51" t="str">
        <f>IFERROR(__xludf.DUMMYFUNCTION("""COMPUTED_VALUE"""),"")</f>
        <v/>
      </c>
      <c r="K114" s="51"/>
      <c r="L114" s="51" t="s">
        <v>257</v>
      </c>
      <c r="M114" s="51"/>
      <c r="N114" s="51"/>
      <c r="O114" s="51"/>
      <c r="P114" s="51"/>
      <c r="Q114" s="51"/>
      <c r="R114" s="51"/>
      <c r="S114" s="51"/>
      <c r="T114" s="51"/>
    </row>
    <row r="115">
      <c r="A115" s="51"/>
      <c r="B115" s="51"/>
      <c r="C115" s="56"/>
      <c r="D115" s="51"/>
      <c r="E115" s="51"/>
      <c r="F115" s="51"/>
      <c r="G115" s="51" t="str">
        <f>IFERROR(__xludf.DUMMYFUNCTION("""COMPUTED_VALUE"""),"#VALUE!")</f>
        <v>#VALUE!</v>
      </c>
      <c r="H115" s="51" t="str">
        <f>IFERROR(__xludf.DUMMYFUNCTION("""COMPUTED_VALUE"""),"")</f>
        <v/>
      </c>
      <c r="I115" s="51" t="str">
        <f>IFERROR(__xludf.DUMMYFUNCTION("""COMPUTED_VALUE"""),"#VALUE!")</f>
        <v>#VALUE!</v>
      </c>
      <c r="J115" s="51" t="str">
        <f>IFERROR(__xludf.DUMMYFUNCTION("""COMPUTED_VALUE"""),"")</f>
        <v/>
      </c>
      <c r="K115" s="51"/>
      <c r="L115" s="51" t="s">
        <v>257</v>
      </c>
      <c r="M115" s="51"/>
      <c r="N115" s="51"/>
      <c r="O115" s="51"/>
      <c r="P115" s="51"/>
      <c r="Q115" s="51"/>
      <c r="R115" s="51"/>
      <c r="S115" s="51"/>
      <c r="T115" s="51"/>
    </row>
    <row r="116">
      <c r="A116" s="51"/>
      <c r="B116" s="51"/>
      <c r="C116" s="56"/>
      <c r="D116" s="51"/>
      <c r="E116" s="51"/>
      <c r="F116" s="51"/>
      <c r="G116" s="51" t="str">
        <f>IFERROR(__xludf.DUMMYFUNCTION("""COMPUTED_VALUE"""),"#VALUE!")</f>
        <v>#VALUE!</v>
      </c>
      <c r="H116" s="51" t="str">
        <f>IFERROR(__xludf.DUMMYFUNCTION("""COMPUTED_VALUE"""),"")</f>
        <v/>
      </c>
      <c r="I116" s="51" t="str">
        <f>IFERROR(__xludf.DUMMYFUNCTION("""COMPUTED_VALUE"""),"#VALUE!")</f>
        <v>#VALUE!</v>
      </c>
      <c r="J116" s="51" t="str">
        <f>IFERROR(__xludf.DUMMYFUNCTION("""COMPUTED_VALUE"""),"")</f>
        <v/>
      </c>
      <c r="K116" s="51"/>
      <c r="L116" s="51" t="s">
        <v>257</v>
      </c>
      <c r="M116" s="51"/>
      <c r="N116" s="51"/>
      <c r="O116" s="51"/>
      <c r="P116" s="51"/>
      <c r="Q116" s="51"/>
      <c r="R116" s="51"/>
      <c r="S116" s="51"/>
      <c r="T116" s="51"/>
    </row>
    <row r="117">
      <c r="A117" s="51"/>
      <c r="B117" s="51"/>
      <c r="C117" s="56"/>
      <c r="D117" s="51"/>
      <c r="E117" s="51"/>
      <c r="F117" s="51"/>
      <c r="G117" s="51" t="str">
        <f>IFERROR(__xludf.DUMMYFUNCTION("""COMPUTED_VALUE"""),"#VALUE!")</f>
        <v>#VALUE!</v>
      </c>
      <c r="H117" s="51" t="str">
        <f>IFERROR(__xludf.DUMMYFUNCTION("""COMPUTED_VALUE"""),"")</f>
        <v/>
      </c>
      <c r="I117" s="51" t="str">
        <f>IFERROR(__xludf.DUMMYFUNCTION("""COMPUTED_VALUE"""),"#VALUE!")</f>
        <v>#VALUE!</v>
      </c>
      <c r="J117" s="51" t="str">
        <f>IFERROR(__xludf.DUMMYFUNCTION("""COMPUTED_VALUE"""),"")</f>
        <v/>
      </c>
      <c r="K117" s="51"/>
      <c r="L117" s="51" t="s">
        <v>257</v>
      </c>
      <c r="M117" s="51"/>
      <c r="N117" s="51"/>
      <c r="O117" s="51"/>
      <c r="P117" s="51"/>
      <c r="Q117" s="51"/>
      <c r="R117" s="51"/>
      <c r="S117" s="51"/>
      <c r="T117" s="51"/>
    </row>
    <row r="118">
      <c r="A118" s="51"/>
      <c r="B118" s="51"/>
      <c r="C118" s="56"/>
      <c r="D118" s="51"/>
      <c r="E118" s="51"/>
      <c r="F118" s="51"/>
      <c r="G118" s="51" t="str">
        <f>IFERROR(__xludf.DUMMYFUNCTION("""COMPUTED_VALUE"""),"#VALUE!")</f>
        <v>#VALUE!</v>
      </c>
      <c r="H118" s="51" t="str">
        <f>IFERROR(__xludf.DUMMYFUNCTION("""COMPUTED_VALUE"""),"")</f>
        <v/>
      </c>
      <c r="I118" s="51" t="str">
        <f>IFERROR(__xludf.DUMMYFUNCTION("""COMPUTED_VALUE"""),"#VALUE!")</f>
        <v>#VALUE!</v>
      </c>
      <c r="J118" s="51" t="str">
        <f>IFERROR(__xludf.DUMMYFUNCTION("""COMPUTED_VALUE"""),"")</f>
        <v/>
      </c>
      <c r="K118" s="51"/>
      <c r="L118" s="51" t="s">
        <v>257</v>
      </c>
      <c r="M118" s="51"/>
      <c r="N118" s="51"/>
      <c r="O118" s="51"/>
      <c r="P118" s="51"/>
      <c r="Q118" s="51"/>
      <c r="R118" s="51"/>
      <c r="S118" s="51"/>
      <c r="T118" s="51"/>
    </row>
    <row r="119">
      <c r="A119" s="51"/>
      <c r="B119" s="51"/>
      <c r="C119" s="56"/>
      <c r="D119" s="51"/>
      <c r="E119" s="51"/>
      <c r="F119" s="51"/>
      <c r="G119" s="51" t="str">
        <f>IFERROR(__xludf.DUMMYFUNCTION("""COMPUTED_VALUE"""),"#VALUE!")</f>
        <v>#VALUE!</v>
      </c>
      <c r="H119" s="51" t="str">
        <f>IFERROR(__xludf.DUMMYFUNCTION("""COMPUTED_VALUE"""),"")</f>
        <v/>
      </c>
      <c r="I119" s="51" t="str">
        <f>IFERROR(__xludf.DUMMYFUNCTION("""COMPUTED_VALUE"""),"#VALUE!")</f>
        <v>#VALUE!</v>
      </c>
      <c r="J119" s="51" t="str">
        <f>IFERROR(__xludf.DUMMYFUNCTION("""COMPUTED_VALUE"""),"")</f>
        <v/>
      </c>
      <c r="K119" s="51"/>
      <c r="L119" s="51" t="s">
        <v>257</v>
      </c>
      <c r="M119" s="51"/>
      <c r="N119" s="51"/>
      <c r="O119" s="51"/>
      <c r="P119" s="51"/>
      <c r="Q119" s="51"/>
      <c r="R119" s="51"/>
      <c r="S119" s="51"/>
      <c r="T119" s="51"/>
    </row>
    <row r="120">
      <c r="A120" s="51"/>
      <c r="B120" s="51"/>
      <c r="C120" s="56"/>
      <c r="D120" s="51"/>
      <c r="E120" s="51"/>
      <c r="F120" s="51"/>
      <c r="G120" s="51" t="str">
        <f>IFERROR(__xludf.DUMMYFUNCTION("""COMPUTED_VALUE"""),"#VALUE!")</f>
        <v>#VALUE!</v>
      </c>
      <c r="H120" s="51" t="str">
        <f>IFERROR(__xludf.DUMMYFUNCTION("""COMPUTED_VALUE"""),"")</f>
        <v/>
      </c>
      <c r="I120" s="51" t="str">
        <f>IFERROR(__xludf.DUMMYFUNCTION("""COMPUTED_VALUE"""),"#VALUE!")</f>
        <v>#VALUE!</v>
      </c>
      <c r="J120" s="51" t="str">
        <f>IFERROR(__xludf.DUMMYFUNCTION("""COMPUTED_VALUE"""),"")</f>
        <v/>
      </c>
      <c r="K120" s="51"/>
      <c r="L120" s="51" t="s">
        <v>257</v>
      </c>
      <c r="M120" s="51"/>
      <c r="N120" s="51"/>
      <c r="O120" s="51"/>
      <c r="P120" s="51"/>
      <c r="Q120" s="51"/>
      <c r="R120" s="51"/>
      <c r="S120" s="51"/>
      <c r="T120" s="51"/>
    </row>
    <row r="121">
      <c r="A121" s="51"/>
      <c r="B121" s="51"/>
      <c r="C121" s="56"/>
      <c r="D121" s="51"/>
      <c r="E121" s="51"/>
      <c r="F121" s="51"/>
      <c r="G121" s="51" t="str">
        <f>IFERROR(__xludf.DUMMYFUNCTION("""COMPUTED_VALUE"""),"#VALUE!")</f>
        <v>#VALUE!</v>
      </c>
      <c r="H121" s="51" t="str">
        <f>IFERROR(__xludf.DUMMYFUNCTION("""COMPUTED_VALUE"""),"")</f>
        <v/>
      </c>
      <c r="I121" s="51" t="str">
        <f>IFERROR(__xludf.DUMMYFUNCTION("""COMPUTED_VALUE"""),"#VALUE!")</f>
        <v>#VALUE!</v>
      </c>
      <c r="J121" s="51" t="str">
        <f>IFERROR(__xludf.DUMMYFUNCTION("""COMPUTED_VALUE"""),"")</f>
        <v/>
      </c>
      <c r="K121" s="51"/>
      <c r="L121" s="51" t="s">
        <v>257</v>
      </c>
      <c r="M121" s="51"/>
      <c r="N121" s="51"/>
      <c r="O121" s="51"/>
      <c r="P121" s="51"/>
      <c r="Q121" s="51"/>
      <c r="R121" s="51"/>
      <c r="S121" s="51"/>
      <c r="T121" s="51"/>
    </row>
    <row r="122">
      <c r="A122" s="51"/>
      <c r="B122" s="51"/>
      <c r="C122" s="56"/>
      <c r="D122" s="51"/>
      <c r="E122" s="51"/>
      <c r="F122" s="51"/>
      <c r="G122" s="51" t="str">
        <f>IFERROR(__xludf.DUMMYFUNCTION("""COMPUTED_VALUE"""),"#VALUE!")</f>
        <v>#VALUE!</v>
      </c>
      <c r="H122" s="51" t="str">
        <f>IFERROR(__xludf.DUMMYFUNCTION("""COMPUTED_VALUE"""),"")</f>
        <v/>
      </c>
      <c r="I122" s="51" t="str">
        <f>IFERROR(__xludf.DUMMYFUNCTION("""COMPUTED_VALUE"""),"#VALUE!")</f>
        <v>#VALUE!</v>
      </c>
      <c r="J122" s="51" t="str">
        <f>IFERROR(__xludf.DUMMYFUNCTION("""COMPUTED_VALUE"""),"")</f>
        <v/>
      </c>
      <c r="K122" s="51"/>
      <c r="L122" s="51" t="s">
        <v>257</v>
      </c>
      <c r="M122" s="51"/>
      <c r="N122" s="51"/>
      <c r="O122" s="51"/>
      <c r="P122" s="51"/>
      <c r="Q122" s="51"/>
      <c r="R122" s="51"/>
      <c r="S122" s="51"/>
      <c r="T122" s="51"/>
    </row>
    <row r="123">
      <c r="A123" s="51"/>
      <c r="B123" s="51"/>
      <c r="C123" s="56"/>
      <c r="D123" s="51"/>
      <c r="E123" s="51"/>
      <c r="F123" s="51"/>
      <c r="G123" s="51" t="str">
        <f>IFERROR(__xludf.DUMMYFUNCTION("""COMPUTED_VALUE"""),"#VALUE!")</f>
        <v>#VALUE!</v>
      </c>
      <c r="H123" s="51" t="str">
        <f>IFERROR(__xludf.DUMMYFUNCTION("""COMPUTED_VALUE"""),"")</f>
        <v/>
      </c>
      <c r="I123" s="51" t="str">
        <f>IFERROR(__xludf.DUMMYFUNCTION("""COMPUTED_VALUE"""),"#VALUE!")</f>
        <v>#VALUE!</v>
      </c>
      <c r="J123" s="51" t="str">
        <f>IFERROR(__xludf.DUMMYFUNCTION("""COMPUTED_VALUE"""),"")</f>
        <v/>
      </c>
      <c r="K123" s="51"/>
      <c r="L123" s="51" t="s">
        <v>257</v>
      </c>
      <c r="M123" s="51"/>
      <c r="N123" s="51"/>
      <c r="O123" s="51"/>
      <c r="P123" s="51"/>
      <c r="Q123" s="51"/>
      <c r="R123" s="51"/>
      <c r="S123" s="51"/>
      <c r="T123" s="51"/>
    </row>
    <row r="124">
      <c r="A124" s="51"/>
      <c r="B124" s="51"/>
      <c r="C124" s="56"/>
      <c r="D124" s="51"/>
      <c r="E124" s="51"/>
      <c r="F124" s="51"/>
      <c r="G124" s="51" t="str">
        <f>IFERROR(__xludf.DUMMYFUNCTION("""COMPUTED_VALUE"""),"#VALUE!")</f>
        <v>#VALUE!</v>
      </c>
      <c r="H124" s="51" t="str">
        <f>IFERROR(__xludf.DUMMYFUNCTION("""COMPUTED_VALUE"""),"")</f>
        <v/>
      </c>
      <c r="I124" s="51" t="str">
        <f>IFERROR(__xludf.DUMMYFUNCTION("""COMPUTED_VALUE"""),"#VALUE!")</f>
        <v>#VALUE!</v>
      </c>
      <c r="J124" s="51" t="str">
        <f>IFERROR(__xludf.DUMMYFUNCTION("""COMPUTED_VALUE"""),"")</f>
        <v/>
      </c>
      <c r="K124" s="51"/>
      <c r="L124" s="51" t="s">
        <v>257</v>
      </c>
      <c r="M124" s="51"/>
      <c r="N124" s="51"/>
      <c r="O124" s="51"/>
      <c r="P124" s="51"/>
      <c r="Q124" s="51"/>
      <c r="R124" s="51"/>
      <c r="S124" s="51"/>
      <c r="T124" s="51"/>
    </row>
    <row r="125">
      <c r="A125" s="51"/>
      <c r="B125" s="51"/>
      <c r="C125" s="56"/>
      <c r="D125" s="51"/>
      <c r="E125" s="51"/>
      <c r="F125" s="51"/>
      <c r="G125" s="51" t="str">
        <f>IFERROR(__xludf.DUMMYFUNCTION("""COMPUTED_VALUE"""),"#VALUE!")</f>
        <v>#VALUE!</v>
      </c>
      <c r="H125" s="51" t="str">
        <f>IFERROR(__xludf.DUMMYFUNCTION("""COMPUTED_VALUE"""),"")</f>
        <v/>
      </c>
      <c r="I125" s="51" t="str">
        <f>IFERROR(__xludf.DUMMYFUNCTION("""COMPUTED_VALUE"""),"#VALUE!")</f>
        <v>#VALUE!</v>
      </c>
      <c r="J125" s="51" t="str">
        <f>IFERROR(__xludf.DUMMYFUNCTION("""COMPUTED_VALUE"""),"")</f>
        <v/>
      </c>
      <c r="K125" s="51"/>
      <c r="L125" s="51" t="s">
        <v>257</v>
      </c>
      <c r="M125" s="51"/>
      <c r="N125" s="51"/>
      <c r="O125" s="51"/>
      <c r="P125" s="51"/>
      <c r="Q125" s="51"/>
      <c r="R125" s="51"/>
      <c r="S125" s="51"/>
      <c r="T125" s="51"/>
    </row>
    <row r="126">
      <c r="A126" s="51"/>
      <c r="B126" s="51"/>
      <c r="C126" s="56"/>
      <c r="D126" s="51"/>
      <c r="E126" s="51"/>
      <c r="F126" s="51"/>
      <c r="G126" s="51" t="str">
        <f>IFERROR(__xludf.DUMMYFUNCTION("""COMPUTED_VALUE"""),"#VALUE!")</f>
        <v>#VALUE!</v>
      </c>
      <c r="H126" s="51" t="str">
        <f>IFERROR(__xludf.DUMMYFUNCTION("""COMPUTED_VALUE"""),"")</f>
        <v/>
      </c>
      <c r="I126" s="51" t="str">
        <f>IFERROR(__xludf.DUMMYFUNCTION("""COMPUTED_VALUE"""),"#VALUE!")</f>
        <v>#VALUE!</v>
      </c>
      <c r="J126" s="51" t="str">
        <f>IFERROR(__xludf.DUMMYFUNCTION("""COMPUTED_VALUE"""),"")</f>
        <v/>
      </c>
      <c r="K126" s="51"/>
      <c r="L126" s="51" t="s">
        <v>257</v>
      </c>
      <c r="M126" s="51"/>
      <c r="N126" s="51"/>
      <c r="O126" s="51"/>
      <c r="P126" s="51"/>
      <c r="Q126" s="51"/>
      <c r="R126" s="51"/>
      <c r="S126" s="51"/>
      <c r="T126" s="51"/>
    </row>
    <row r="127">
      <c r="A127" s="51"/>
      <c r="B127" s="51"/>
      <c r="C127" s="56"/>
      <c r="D127" s="51"/>
      <c r="E127" s="51"/>
      <c r="F127" s="51"/>
      <c r="G127" s="51" t="str">
        <f>IFERROR(__xludf.DUMMYFUNCTION("""COMPUTED_VALUE"""),"#VALUE!")</f>
        <v>#VALUE!</v>
      </c>
      <c r="H127" s="51" t="str">
        <f>IFERROR(__xludf.DUMMYFUNCTION("""COMPUTED_VALUE"""),"")</f>
        <v/>
      </c>
      <c r="I127" s="51" t="str">
        <f>IFERROR(__xludf.DUMMYFUNCTION("""COMPUTED_VALUE"""),"#VALUE!")</f>
        <v>#VALUE!</v>
      </c>
      <c r="J127" s="51" t="str">
        <f>IFERROR(__xludf.DUMMYFUNCTION("""COMPUTED_VALUE"""),"")</f>
        <v/>
      </c>
      <c r="K127" s="51"/>
      <c r="L127" s="51" t="s">
        <v>257</v>
      </c>
      <c r="M127" s="51"/>
      <c r="N127" s="51"/>
      <c r="O127" s="51"/>
      <c r="P127" s="51"/>
      <c r="Q127" s="51"/>
      <c r="R127" s="51"/>
      <c r="S127" s="51"/>
      <c r="T127" s="51"/>
    </row>
    <row r="128">
      <c r="A128" s="51"/>
      <c r="B128" s="51"/>
      <c r="C128" s="56"/>
      <c r="D128" s="51"/>
      <c r="E128" s="51"/>
      <c r="F128" s="51"/>
      <c r="G128" s="51" t="str">
        <f>IFERROR(__xludf.DUMMYFUNCTION("""COMPUTED_VALUE"""),"#VALUE!")</f>
        <v>#VALUE!</v>
      </c>
      <c r="H128" s="51" t="str">
        <f>IFERROR(__xludf.DUMMYFUNCTION("""COMPUTED_VALUE"""),"")</f>
        <v/>
      </c>
      <c r="I128" s="51" t="str">
        <f>IFERROR(__xludf.DUMMYFUNCTION("""COMPUTED_VALUE"""),"#VALUE!")</f>
        <v>#VALUE!</v>
      </c>
      <c r="J128" s="51" t="str">
        <f>IFERROR(__xludf.DUMMYFUNCTION("""COMPUTED_VALUE"""),"")</f>
        <v/>
      </c>
      <c r="K128" s="51"/>
      <c r="L128" s="51" t="s">
        <v>257</v>
      </c>
      <c r="M128" s="51"/>
      <c r="N128" s="51"/>
      <c r="O128" s="51"/>
      <c r="P128" s="51"/>
      <c r="Q128" s="51"/>
      <c r="R128" s="51"/>
      <c r="S128" s="51"/>
      <c r="T128" s="51"/>
    </row>
    <row r="129">
      <c r="A129" s="51"/>
      <c r="B129" s="51"/>
      <c r="C129" s="56"/>
      <c r="D129" s="51"/>
      <c r="E129" s="51"/>
      <c r="F129" s="51"/>
      <c r="G129" s="51" t="str">
        <f>IFERROR(__xludf.DUMMYFUNCTION("""COMPUTED_VALUE"""),"#VALUE!")</f>
        <v>#VALUE!</v>
      </c>
      <c r="H129" s="51" t="str">
        <f>IFERROR(__xludf.DUMMYFUNCTION("""COMPUTED_VALUE"""),"")</f>
        <v/>
      </c>
      <c r="I129" s="51" t="str">
        <f>IFERROR(__xludf.DUMMYFUNCTION("""COMPUTED_VALUE"""),"#VALUE!")</f>
        <v>#VALUE!</v>
      </c>
      <c r="J129" s="51" t="str">
        <f>IFERROR(__xludf.DUMMYFUNCTION("""COMPUTED_VALUE"""),"")</f>
        <v/>
      </c>
      <c r="K129" s="51"/>
      <c r="L129" s="51" t="s">
        <v>257</v>
      </c>
      <c r="M129" s="51"/>
      <c r="N129" s="51"/>
      <c r="O129" s="51"/>
      <c r="P129" s="51"/>
      <c r="Q129" s="51"/>
      <c r="R129" s="51"/>
      <c r="S129" s="51"/>
      <c r="T129" s="51"/>
    </row>
    <row r="130">
      <c r="A130" s="51"/>
      <c r="B130" s="51"/>
      <c r="C130" s="56"/>
      <c r="D130" s="51"/>
      <c r="E130" s="51"/>
      <c r="F130" s="51"/>
      <c r="G130" s="51" t="str">
        <f>IFERROR(__xludf.DUMMYFUNCTION("""COMPUTED_VALUE"""),"#VALUE!")</f>
        <v>#VALUE!</v>
      </c>
      <c r="H130" s="51" t="str">
        <f>IFERROR(__xludf.DUMMYFUNCTION("""COMPUTED_VALUE"""),"")</f>
        <v/>
      </c>
      <c r="I130" s="51" t="str">
        <f>IFERROR(__xludf.DUMMYFUNCTION("""COMPUTED_VALUE"""),"#VALUE!")</f>
        <v>#VALUE!</v>
      </c>
      <c r="J130" s="51" t="str">
        <f>IFERROR(__xludf.DUMMYFUNCTION("""COMPUTED_VALUE"""),"")</f>
        <v/>
      </c>
      <c r="K130" s="51"/>
      <c r="L130" s="51" t="s">
        <v>257</v>
      </c>
      <c r="M130" s="51"/>
      <c r="N130" s="51"/>
      <c r="O130" s="51"/>
      <c r="P130" s="51"/>
      <c r="Q130" s="51"/>
      <c r="R130" s="51"/>
      <c r="S130" s="51"/>
      <c r="T130" s="51"/>
    </row>
    <row r="131">
      <c r="A131" s="51"/>
      <c r="B131" s="51"/>
      <c r="C131" s="56"/>
      <c r="D131" s="51"/>
      <c r="E131" s="51"/>
      <c r="F131" s="51"/>
      <c r="G131" s="51" t="str">
        <f>IFERROR(__xludf.DUMMYFUNCTION("""COMPUTED_VALUE"""),"#VALUE!")</f>
        <v>#VALUE!</v>
      </c>
      <c r="H131" s="51" t="str">
        <f>IFERROR(__xludf.DUMMYFUNCTION("""COMPUTED_VALUE"""),"")</f>
        <v/>
      </c>
      <c r="I131" s="51" t="str">
        <f>IFERROR(__xludf.DUMMYFUNCTION("""COMPUTED_VALUE"""),"#VALUE!")</f>
        <v>#VALUE!</v>
      </c>
      <c r="J131" s="51" t="str">
        <f>IFERROR(__xludf.DUMMYFUNCTION("""COMPUTED_VALUE"""),"")</f>
        <v/>
      </c>
      <c r="K131" s="51"/>
      <c r="L131" s="51" t="s">
        <v>257</v>
      </c>
      <c r="M131" s="51"/>
      <c r="N131" s="51"/>
      <c r="O131" s="51"/>
      <c r="P131" s="51"/>
      <c r="Q131" s="51"/>
      <c r="R131" s="51"/>
      <c r="S131" s="51"/>
      <c r="T131" s="51"/>
    </row>
    <row r="132">
      <c r="A132" s="51"/>
      <c r="B132" s="51"/>
      <c r="C132" s="56"/>
      <c r="D132" s="51"/>
      <c r="E132" s="51"/>
      <c r="F132" s="51"/>
      <c r="G132" s="51" t="str">
        <f>IFERROR(__xludf.DUMMYFUNCTION("""COMPUTED_VALUE"""),"#VALUE!")</f>
        <v>#VALUE!</v>
      </c>
      <c r="H132" s="51" t="str">
        <f>IFERROR(__xludf.DUMMYFUNCTION("""COMPUTED_VALUE"""),"")</f>
        <v/>
      </c>
      <c r="I132" s="51" t="str">
        <f>IFERROR(__xludf.DUMMYFUNCTION("""COMPUTED_VALUE"""),"#VALUE!")</f>
        <v>#VALUE!</v>
      </c>
      <c r="J132" s="51" t="str">
        <f>IFERROR(__xludf.DUMMYFUNCTION("""COMPUTED_VALUE"""),"")</f>
        <v/>
      </c>
      <c r="K132" s="51"/>
      <c r="L132" s="51" t="s">
        <v>257</v>
      </c>
      <c r="M132" s="51"/>
      <c r="N132" s="51"/>
      <c r="O132" s="51"/>
      <c r="P132" s="51"/>
      <c r="Q132" s="51"/>
      <c r="R132" s="51"/>
      <c r="S132" s="51"/>
      <c r="T132" s="51"/>
    </row>
    <row r="133">
      <c r="A133" s="51"/>
      <c r="B133" s="51"/>
      <c r="C133" s="56"/>
      <c r="D133" s="51"/>
      <c r="E133" s="51"/>
      <c r="F133" s="51"/>
      <c r="G133" s="51" t="str">
        <f>IFERROR(__xludf.DUMMYFUNCTION("""COMPUTED_VALUE"""),"#VALUE!")</f>
        <v>#VALUE!</v>
      </c>
      <c r="H133" s="51" t="str">
        <f>IFERROR(__xludf.DUMMYFUNCTION("""COMPUTED_VALUE"""),"")</f>
        <v/>
      </c>
      <c r="I133" s="51" t="str">
        <f>IFERROR(__xludf.DUMMYFUNCTION("""COMPUTED_VALUE"""),"#VALUE!")</f>
        <v>#VALUE!</v>
      </c>
      <c r="J133" s="51" t="str">
        <f>IFERROR(__xludf.DUMMYFUNCTION("""COMPUTED_VALUE"""),"")</f>
        <v/>
      </c>
      <c r="K133" s="51"/>
      <c r="L133" s="51" t="s">
        <v>257</v>
      </c>
      <c r="M133" s="51"/>
      <c r="N133" s="51"/>
      <c r="O133" s="51"/>
      <c r="P133" s="51"/>
      <c r="Q133" s="51"/>
      <c r="R133" s="51"/>
      <c r="S133" s="51"/>
      <c r="T133" s="51"/>
    </row>
    <row r="134">
      <c r="A134" s="51"/>
      <c r="B134" s="51"/>
      <c r="C134" s="56"/>
      <c r="D134" s="51"/>
      <c r="E134" s="51"/>
      <c r="F134" s="51"/>
      <c r="G134" s="51" t="str">
        <f>IFERROR(__xludf.DUMMYFUNCTION("""COMPUTED_VALUE"""),"#VALUE!")</f>
        <v>#VALUE!</v>
      </c>
      <c r="H134" s="51" t="str">
        <f>IFERROR(__xludf.DUMMYFUNCTION("""COMPUTED_VALUE"""),"")</f>
        <v/>
      </c>
      <c r="I134" s="51" t="str">
        <f>IFERROR(__xludf.DUMMYFUNCTION("""COMPUTED_VALUE"""),"#VALUE!")</f>
        <v>#VALUE!</v>
      </c>
      <c r="J134" s="51" t="str">
        <f>IFERROR(__xludf.DUMMYFUNCTION("""COMPUTED_VALUE"""),"")</f>
        <v/>
      </c>
      <c r="K134" s="51"/>
      <c r="L134" s="51" t="s">
        <v>257</v>
      </c>
      <c r="M134" s="51"/>
      <c r="N134" s="51"/>
      <c r="O134" s="51"/>
      <c r="P134" s="51"/>
      <c r="Q134" s="51"/>
      <c r="R134" s="51"/>
      <c r="S134" s="51"/>
      <c r="T134" s="51"/>
    </row>
    <row r="135">
      <c r="A135" s="51"/>
      <c r="B135" s="51"/>
      <c r="C135" s="56"/>
      <c r="D135" s="51"/>
      <c r="E135" s="51"/>
      <c r="F135" s="51"/>
      <c r="G135" s="51" t="str">
        <f>IFERROR(__xludf.DUMMYFUNCTION("""COMPUTED_VALUE"""),"#VALUE!")</f>
        <v>#VALUE!</v>
      </c>
      <c r="H135" s="51" t="str">
        <f>IFERROR(__xludf.DUMMYFUNCTION("""COMPUTED_VALUE"""),"")</f>
        <v/>
      </c>
      <c r="I135" s="51" t="str">
        <f>IFERROR(__xludf.DUMMYFUNCTION("""COMPUTED_VALUE"""),"#VALUE!")</f>
        <v>#VALUE!</v>
      </c>
      <c r="J135" s="51" t="str">
        <f>IFERROR(__xludf.DUMMYFUNCTION("""COMPUTED_VALUE"""),"")</f>
        <v/>
      </c>
      <c r="K135" s="51"/>
      <c r="L135" s="51" t="s">
        <v>257</v>
      </c>
      <c r="M135" s="51"/>
      <c r="N135" s="51"/>
      <c r="O135" s="51"/>
      <c r="P135" s="51"/>
      <c r="Q135" s="51"/>
      <c r="R135" s="51"/>
      <c r="S135" s="51"/>
      <c r="T135" s="51"/>
    </row>
    <row r="136">
      <c r="A136" s="51"/>
      <c r="B136" s="51"/>
      <c r="C136" s="56"/>
      <c r="D136" s="51"/>
      <c r="E136" s="51"/>
      <c r="F136" s="51"/>
      <c r="G136" s="51" t="str">
        <f>IFERROR(__xludf.DUMMYFUNCTION("""COMPUTED_VALUE"""),"#VALUE!")</f>
        <v>#VALUE!</v>
      </c>
      <c r="H136" s="51" t="str">
        <f>IFERROR(__xludf.DUMMYFUNCTION("""COMPUTED_VALUE"""),"")</f>
        <v/>
      </c>
      <c r="I136" s="51" t="str">
        <f>IFERROR(__xludf.DUMMYFUNCTION("""COMPUTED_VALUE"""),"#VALUE!")</f>
        <v>#VALUE!</v>
      </c>
      <c r="J136" s="51" t="str">
        <f>IFERROR(__xludf.DUMMYFUNCTION("""COMPUTED_VALUE"""),"")</f>
        <v/>
      </c>
      <c r="K136" s="51"/>
      <c r="L136" s="51" t="s">
        <v>257</v>
      </c>
      <c r="M136" s="51"/>
      <c r="N136" s="51"/>
      <c r="O136" s="51"/>
      <c r="P136" s="51"/>
      <c r="Q136" s="51"/>
      <c r="R136" s="51"/>
      <c r="S136" s="51"/>
      <c r="T136" s="51"/>
    </row>
    <row r="137">
      <c r="A137" s="51"/>
      <c r="B137" s="51"/>
      <c r="C137" s="56"/>
      <c r="D137" s="51"/>
      <c r="E137" s="51"/>
      <c r="F137" s="51"/>
      <c r="G137" s="51" t="str">
        <f>IFERROR(__xludf.DUMMYFUNCTION("""COMPUTED_VALUE"""),"#VALUE!")</f>
        <v>#VALUE!</v>
      </c>
      <c r="H137" s="51" t="str">
        <f>IFERROR(__xludf.DUMMYFUNCTION("""COMPUTED_VALUE"""),"")</f>
        <v/>
      </c>
      <c r="I137" s="51" t="str">
        <f>IFERROR(__xludf.DUMMYFUNCTION("""COMPUTED_VALUE"""),"#VALUE!")</f>
        <v>#VALUE!</v>
      </c>
      <c r="J137" s="51" t="str">
        <f>IFERROR(__xludf.DUMMYFUNCTION("""COMPUTED_VALUE"""),"")</f>
        <v/>
      </c>
      <c r="K137" s="51"/>
      <c r="L137" s="51" t="s">
        <v>257</v>
      </c>
      <c r="M137" s="51"/>
      <c r="N137" s="51"/>
      <c r="O137" s="51"/>
      <c r="P137" s="51"/>
      <c r="Q137" s="51"/>
      <c r="R137" s="51"/>
      <c r="S137" s="51"/>
      <c r="T137" s="51"/>
    </row>
    <row r="138">
      <c r="A138" s="51"/>
      <c r="B138" s="51"/>
      <c r="C138" s="56"/>
      <c r="D138" s="51"/>
      <c r="E138" s="51"/>
      <c r="F138" s="51"/>
      <c r="G138" s="51" t="str">
        <f>IFERROR(__xludf.DUMMYFUNCTION("""COMPUTED_VALUE"""),"#VALUE!")</f>
        <v>#VALUE!</v>
      </c>
      <c r="H138" s="51" t="str">
        <f>IFERROR(__xludf.DUMMYFUNCTION("""COMPUTED_VALUE"""),"")</f>
        <v/>
      </c>
      <c r="I138" s="51" t="str">
        <f>IFERROR(__xludf.DUMMYFUNCTION("""COMPUTED_VALUE"""),"#VALUE!")</f>
        <v>#VALUE!</v>
      </c>
      <c r="J138" s="51" t="str">
        <f>IFERROR(__xludf.DUMMYFUNCTION("""COMPUTED_VALUE"""),"")</f>
        <v/>
      </c>
      <c r="K138" s="51"/>
      <c r="L138" s="51" t="s">
        <v>257</v>
      </c>
      <c r="M138" s="51"/>
      <c r="N138" s="51"/>
      <c r="O138" s="51"/>
      <c r="P138" s="51"/>
      <c r="Q138" s="51"/>
      <c r="R138" s="51"/>
      <c r="S138" s="51"/>
      <c r="T138" s="51"/>
    </row>
    <row r="139">
      <c r="A139" s="51"/>
      <c r="B139" s="51"/>
      <c r="C139" s="56"/>
      <c r="D139" s="51"/>
      <c r="E139" s="51"/>
      <c r="F139" s="51"/>
      <c r="G139" s="51" t="str">
        <f>IFERROR(__xludf.DUMMYFUNCTION("""COMPUTED_VALUE"""),"#VALUE!")</f>
        <v>#VALUE!</v>
      </c>
      <c r="H139" s="51" t="str">
        <f>IFERROR(__xludf.DUMMYFUNCTION("""COMPUTED_VALUE"""),"")</f>
        <v/>
      </c>
      <c r="I139" s="51" t="str">
        <f>IFERROR(__xludf.DUMMYFUNCTION("""COMPUTED_VALUE"""),"#VALUE!")</f>
        <v>#VALUE!</v>
      </c>
      <c r="J139" s="51" t="str">
        <f>IFERROR(__xludf.DUMMYFUNCTION("""COMPUTED_VALUE"""),"")</f>
        <v/>
      </c>
      <c r="K139" s="51"/>
      <c r="L139" s="51" t="s">
        <v>257</v>
      </c>
      <c r="M139" s="51"/>
      <c r="N139" s="51"/>
      <c r="O139" s="51"/>
      <c r="P139" s="51"/>
      <c r="Q139" s="51"/>
      <c r="R139" s="51"/>
      <c r="S139" s="51"/>
      <c r="T139" s="51"/>
    </row>
    <row r="140">
      <c r="A140" s="51"/>
      <c r="B140" s="51"/>
      <c r="C140" s="56"/>
      <c r="D140" s="51"/>
      <c r="E140" s="51"/>
      <c r="F140" s="51"/>
      <c r="G140" s="51" t="str">
        <f>IFERROR(__xludf.DUMMYFUNCTION("""COMPUTED_VALUE"""),"#VALUE!")</f>
        <v>#VALUE!</v>
      </c>
      <c r="H140" s="51" t="str">
        <f>IFERROR(__xludf.DUMMYFUNCTION("""COMPUTED_VALUE"""),"")</f>
        <v/>
      </c>
      <c r="I140" s="51" t="str">
        <f>IFERROR(__xludf.DUMMYFUNCTION("""COMPUTED_VALUE"""),"#VALUE!")</f>
        <v>#VALUE!</v>
      </c>
      <c r="J140" s="51" t="str">
        <f>IFERROR(__xludf.DUMMYFUNCTION("""COMPUTED_VALUE"""),"")</f>
        <v/>
      </c>
      <c r="K140" s="51"/>
      <c r="L140" s="51" t="s">
        <v>257</v>
      </c>
      <c r="M140" s="51"/>
      <c r="N140" s="51"/>
      <c r="O140" s="51"/>
      <c r="P140" s="51"/>
      <c r="Q140" s="51"/>
      <c r="R140" s="51"/>
      <c r="S140" s="51"/>
      <c r="T140" s="51"/>
    </row>
    <row r="141">
      <c r="A141" s="51"/>
      <c r="B141" s="51"/>
      <c r="C141" s="56"/>
      <c r="D141" s="51"/>
      <c r="E141" s="51"/>
      <c r="F141" s="51"/>
      <c r="G141" s="51" t="str">
        <f>IFERROR(__xludf.DUMMYFUNCTION("""COMPUTED_VALUE"""),"#VALUE!")</f>
        <v>#VALUE!</v>
      </c>
      <c r="H141" s="51" t="str">
        <f>IFERROR(__xludf.DUMMYFUNCTION("""COMPUTED_VALUE"""),"")</f>
        <v/>
      </c>
      <c r="I141" s="51" t="str">
        <f>IFERROR(__xludf.DUMMYFUNCTION("""COMPUTED_VALUE"""),"#VALUE!")</f>
        <v>#VALUE!</v>
      </c>
      <c r="J141" s="51" t="str">
        <f>IFERROR(__xludf.DUMMYFUNCTION("""COMPUTED_VALUE"""),"")</f>
        <v/>
      </c>
      <c r="K141" s="51"/>
      <c r="L141" s="51" t="s">
        <v>257</v>
      </c>
      <c r="M141" s="51"/>
      <c r="N141" s="51"/>
      <c r="O141" s="51"/>
      <c r="P141" s="51"/>
      <c r="Q141" s="51"/>
      <c r="R141" s="51"/>
      <c r="S141" s="51"/>
      <c r="T141" s="51"/>
    </row>
    <row r="142">
      <c r="A142" s="51"/>
      <c r="B142" s="51"/>
      <c r="C142" s="56"/>
      <c r="D142" s="51"/>
      <c r="E142" s="51"/>
      <c r="F142" s="51"/>
      <c r="G142" s="51" t="str">
        <f>IFERROR(__xludf.DUMMYFUNCTION("""COMPUTED_VALUE"""),"#VALUE!")</f>
        <v>#VALUE!</v>
      </c>
      <c r="H142" s="51" t="str">
        <f>IFERROR(__xludf.DUMMYFUNCTION("""COMPUTED_VALUE"""),"")</f>
        <v/>
      </c>
      <c r="I142" s="51" t="str">
        <f>IFERROR(__xludf.DUMMYFUNCTION("""COMPUTED_VALUE"""),"#VALUE!")</f>
        <v>#VALUE!</v>
      </c>
      <c r="J142" s="51" t="str">
        <f>IFERROR(__xludf.DUMMYFUNCTION("""COMPUTED_VALUE"""),"")</f>
        <v/>
      </c>
      <c r="K142" s="51"/>
      <c r="L142" s="51" t="s">
        <v>257</v>
      </c>
      <c r="M142" s="51"/>
      <c r="N142" s="51"/>
      <c r="O142" s="51"/>
      <c r="P142" s="51"/>
      <c r="Q142" s="51"/>
      <c r="R142" s="51"/>
      <c r="S142" s="51"/>
      <c r="T142" s="51"/>
    </row>
    <row r="143">
      <c r="A143" s="51"/>
      <c r="B143" s="51"/>
      <c r="C143" s="56"/>
      <c r="D143" s="51"/>
      <c r="E143" s="51"/>
      <c r="F143" s="51"/>
      <c r="G143" s="51" t="str">
        <f>IFERROR(__xludf.DUMMYFUNCTION("""COMPUTED_VALUE"""),"#VALUE!")</f>
        <v>#VALUE!</v>
      </c>
      <c r="H143" s="51" t="str">
        <f>IFERROR(__xludf.DUMMYFUNCTION("""COMPUTED_VALUE"""),"")</f>
        <v/>
      </c>
      <c r="I143" s="51" t="str">
        <f>IFERROR(__xludf.DUMMYFUNCTION("""COMPUTED_VALUE"""),"#VALUE!")</f>
        <v>#VALUE!</v>
      </c>
      <c r="J143" s="51" t="str">
        <f>IFERROR(__xludf.DUMMYFUNCTION("""COMPUTED_VALUE"""),"")</f>
        <v/>
      </c>
      <c r="K143" s="51"/>
      <c r="L143" s="51" t="s">
        <v>257</v>
      </c>
      <c r="M143" s="51"/>
      <c r="N143" s="51"/>
      <c r="O143" s="51"/>
      <c r="P143" s="51"/>
      <c r="Q143" s="51"/>
      <c r="R143" s="51"/>
      <c r="S143" s="51"/>
      <c r="T143" s="51"/>
    </row>
    <row r="144">
      <c r="A144" s="51"/>
      <c r="B144" s="51"/>
      <c r="C144" s="56"/>
      <c r="D144" s="51"/>
      <c r="E144" s="51"/>
      <c r="F144" s="51"/>
      <c r="G144" s="51" t="str">
        <f>IFERROR(__xludf.DUMMYFUNCTION("""COMPUTED_VALUE"""),"#VALUE!")</f>
        <v>#VALUE!</v>
      </c>
      <c r="H144" s="51" t="str">
        <f>IFERROR(__xludf.DUMMYFUNCTION("""COMPUTED_VALUE"""),"")</f>
        <v/>
      </c>
      <c r="I144" s="51" t="str">
        <f>IFERROR(__xludf.DUMMYFUNCTION("""COMPUTED_VALUE"""),"#VALUE!")</f>
        <v>#VALUE!</v>
      </c>
      <c r="J144" s="51" t="str">
        <f>IFERROR(__xludf.DUMMYFUNCTION("""COMPUTED_VALUE"""),"")</f>
        <v/>
      </c>
      <c r="K144" s="51"/>
      <c r="L144" s="51" t="s">
        <v>257</v>
      </c>
      <c r="M144" s="51"/>
      <c r="N144" s="51"/>
      <c r="O144" s="51"/>
      <c r="P144" s="51"/>
      <c r="Q144" s="51"/>
      <c r="R144" s="51"/>
      <c r="S144" s="51"/>
      <c r="T144" s="51"/>
    </row>
    <row r="145">
      <c r="A145" s="51"/>
      <c r="B145" s="51"/>
      <c r="C145" s="56"/>
      <c r="D145" s="51"/>
      <c r="E145" s="51"/>
      <c r="F145" s="51"/>
      <c r="G145" s="51" t="str">
        <f>IFERROR(__xludf.DUMMYFUNCTION("""COMPUTED_VALUE"""),"#VALUE!")</f>
        <v>#VALUE!</v>
      </c>
      <c r="H145" s="51" t="str">
        <f>IFERROR(__xludf.DUMMYFUNCTION("""COMPUTED_VALUE"""),"")</f>
        <v/>
      </c>
      <c r="I145" s="51" t="str">
        <f>IFERROR(__xludf.DUMMYFUNCTION("""COMPUTED_VALUE"""),"#VALUE!")</f>
        <v>#VALUE!</v>
      </c>
      <c r="J145" s="51" t="str">
        <f>IFERROR(__xludf.DUMMYFUNCTION("""COMPUTED_VALUE"""),"")</f>
        <v/>
      </c>
      <c r="K145" s="51"/>
      <c r="L145" s="51" t="s">
        <v>257</v>
      </c>
      <c r="M145" s="51"/>
      <c r="N145" s="51"/>
      <c r="O145" s="51"/>
      <c r="P145" s="51"/>
      <c r="Q145" s="51"/>
      <c r="R145" s="51"/>
      <c r="S145" s="51"/>
      <c r="T145" s="51"/>
    </row>
    <row r="146">
      <c r="A146" s="51"/>
      <c r="B146" s="51"/>
      <c r="C146" s="56"/>
      <c r="D146" s="51"/>
      <c r="E146" s="51"/>
      <c r="F146" s="51"/>
      <c r="G146" s="51" t="str">
        <f>IFERROR(__xludf.DUMMYFUNCTION("""COMPUTED_VALUE"""),"#VALUE!")</f>
        <v>#VALUE!</v>
      </c>
      <c r="H146" s="51" t="str">
        <f>IFERROR(__xludf.DUMMYFUNCTION("""COMPUTED_VALUE"""),"")</f>
        <v/>
      </c>
      <c r="I146" s="51" t="str">
        <f>IFERROR(__xludf.DUMMYFUNCTION("""COMPUTED_VALUE"""),"#VALUE!")</f>
        <v>#VALUE!</v>
      </c>
      <c r="J146" s="51" t="str">
        <f>IFERROR(__xludf.DUMMYFUNCTION("""COMPUTED_VALUE"""),"")</f>
        <v/>
      </c>
      <c r="K146" s="51"/>
      <c r="L146" s="51" t="s">
        <v>257</v>
      </c>
      <c r="M146" s="51"/>
      <c r="N146" s="51"/>
      <c r="O146" s="51"/>
      <c r="P146" s="51"/>
      <c r="Q146" s="51"/>
      <c r="R146" s="51"/>
      <c r="S146" s="51"/>
      <c r="T146" s="51"/>
    </row>
    <row r="147">
      <c r="A147" s="51"/>
      <c r="B147" s="51"/>
      <c r="C147" s="56"/>
      <c r="D147" s="51"/>
      <c r="E147" s="51"/>
      <c r="F147" s="51"/>
      <c r="G147" s="51" t="str">
        <f>IFERROR(__xludf.DUMMYFUNCTION("""COMPUTED_VALUE"""),"#VALUE!")</f>
        <v>#VALUE!</v>
      </c>
      <c r="H147" s="51" t="str">
        <f>IFERROR(__xludf.DUMMYFUNCTION("""COMPUTED_VALUE"""),"")</f>
        <v/>
      </c>
      <c r="I147" s="51" t="str">
        <f>IFERROR(__xludf.DUMMYFUNCTION("""COMPUTED_VALUE"""),"#VALUE!")</f>
        <v>#VALUE!</v>
      </c>
      <c r="J147" s="51" t="str">
        <f>IFERROR(__xludf.DUMMYFUNCTION("""COMPUTED_VALUE"""),"")</f>
        <v/>
      </c>
      <c r="K147" s="51"/>
      <c r="L147" s="51" t="s">
        <v>257</v>
      </c>
      <c r="M147" s="51"/>
      <c r="N147" s="51"/>
      <c r="O147" s="51"/>
      <c r="P147" s="51"/>
      <c r="Q147" s="51"/>
      <c r="R147" s="51"/>
      <c r="S147" s="51"/>
      <c r="T147" s="51"/>
    </row>
    <row r="148">
      <c r="A148" s="51"/>
      <c r="B148" s="51"/>
      <c r="C148" s="56"/>
      <c r="D148" s="51"/>
      <c r="E148" s="51"/>
      <c r="F148" s="51"/>
      <c r="G148" s="51" t="str">
        <f>IFERROR(__xludf.DUMMYFUNCTION("""COMPUTED_VALUE"""),"#VALUE!")</f>
        <v>#VALUE!</v>
      </c>
      <c r="H148" s="51" t="str">
        <f>IFERROR(__xludf.DUMMYFUNCTION("""COMPUTED_VALUE"""),"")</f>
        <v/>
      </c>
      <c r="I148" s="51" t="str">
        <f>IFERROR(__xludf.DUMMYFUNCTION("""COMPUTED_VALUE"""),"#VALUE!")</f>
        <v>#VALUE!</v>
      </c>
      <c r="J148" s="51" t="str">
        <f>IFERROR(__xludf.DUMMYFUNCTION("""COMPUTED_VALUE"""),"")</f>
        <v/>
      </c>
      <c r="K148" s="51"/>
      <c r="L148" s="51" t="s">
        <v>257</v>
      </c>
      <c r="M148" s="51"/>
      <c r="N148" s="51"/>
      <c r="O148" s="51"/>
      <c r="P148" s="51"/>
      <c r="Q148" s="51"/>
      <c r="R148" s="51"/>
      <c r="S148" s="51"/>
      <c r="T148" s="51"/>
    </row>
    <row r="149">
      <c r="A149" s="51"/>
      <c r="B149" s="51"/>
      <c r="C149" s="56"/>
      <c r="D149" s="51"/>
      <c r="E149" s="51"/>
      <c r="F149" s="51"/>
      <c r="G149" s="51" t="str">
        <f>IFERROR(__xludf.DUMMYFUNCTION("""COMPUTED_VALUE"""),"#VALUE!")</f>
        <v>#VALUE!</v>
      </c>
      <c r="H149" s="51" t="str">
        <f>IFERROR(__xludf.DUMMYFUNCTION("""COMPUTED_VALUE"""),"")</f>
        <v/>
      </c>
      <c r="I149" s="51" t="str">
        <f>IFERROR(__xludf.DUMMYFUNCTION("""COMPUTED_VALUE"""),"#VALUE!")</f>
        <v>#VALUE!</v>
      </c>
      <c r="J149" s="51" t="str">
        <f>IFERROR(__xludf.DUMMYFUNCTION("""COMPUTED_VALUE"""),"")</f>
        <v/>
      </c>
      <c r="K149" s="51"/>
      <c r="L149" s="51" t="s">
        <v>257</v>
      </c>
      <c r="M149" s="51"/>
      <c r="N149" s="51"/>
      <c r="O149" s="51"/>
      <c r="P149" s="51"/>
      <c r="Q149" s="51"/>
      <c r="R149" s="51"/>
      <c r="S149" s="51"/>
      <c r="T149" s="51"/>
    </row>
    <row r="150">
      <c r="A150" s="51"/>
      <c r="B150" s="51"/>
      <c r="C150" s="56"/>
      <c r="D150" s="51"/>
      <c r="E150" s="51"/>
      <c r="F150" s="51"/>
      <c r="G150" s="51" t="str">
        <f>IFERROR(__xludf.DUMMYFUNCTION("""COMPUTED_VALUE"""),"#VALUE!")</f>
        <v>#VALUE!</v>
      </c>
      <c r="H150" s="51" t="str">
        <f>IFERROR(__xludf.DUMMYFUNCTION("""COMPUTED_VALUE"""),"")</f>
        <v/>
      </c>
      <c r="I150" s="51" t="str">
        <f>IFERROR(__xludf.DUMMYFUNCTION("""COMPUTED_VALUE"""),"#VALUE!")</f>
        <v>#VALUE!</v>
      </c>
      <c r="J150" s="51" t="str">
        <f>IFERROR(__xludf.DUMMYFUNCTION("""COMPUTED_VALUE"""),"")</f>
        <v/>
      </c>
      <c r="K150" s="51"/>
      <c r="L150" s="51" t="s">
        <v>257</v>
      </c>
      <c r="M150" s="51"/>
      <c r="N150" s="51"/>
      <c r="O150" s="51"/>
      <c r="P150" s="51"/>
      <c r="Q150" s="51"/>
      <c r="R150" s="51"/>
      <c r="S150" s="51"/>
      <c r="T150" s="51"/>
    </row>
    <row r="151">
      <c r="A151" s="51"/>
      <c r="B151" s="51"/>
      <c r="C151" s="56"/>
      <c r="D151" s="51"/>
      <c r="E151" s="51"/>
      <c r="F151" s="51"/>
      <c r="G151" s="51" t="str">
        <f>IFERROR(__xludf.DUMMYFUNCTION("""COMPUTED_VALUE"""),"#VALUE!")</f>
        <v>#VALUE!</v>
      </c>
      <c r="H151" s="51" t="str">
        <f>IFERROR(__xludf.DUMMYFUNCTION("""COMPUTED_VALUE"""),"")</f>
        <v/>
      </c>
      <c r="I151" s="51" t="str">
        <f>IFERROR(__xludf.DUMMYFUNCTION("""COMPUTED_VALUE"""),"#VALUE!")</f>
        <v>#VALUE!</v>
      </c>
      <c r="J151" s="51" t="str">
        <f>IFERROR(__xludf.DUMMYFUNCTION("""COMPUTED_VALUE"""),"")</f>
        <v/>
      </c>
      <c r="K151" s="51"/>
      <c r="L151" s="51" t="s">
        <v>257</v>
      </c>
      <c r="M151" s="51"/>
      <c r="N151" s="51"/>
      <c r="O151" s="51"/>
      <c r="P151" s="51"/>
      <c r="Q151" s="51"/>
      <c r="R151" s="51"/>
      <c r="S151" s="51"/>
      <c r="T151" s="51"/>
    </row>
    <row r="152">
      <c r="A152" s="51"/>
      <c r="B152" s="51"/>
      <c r="C152" s="56"/>
      <c r="D152" s="51"/>
      <c r="E152" s="51"/>
      <c r="F152" s="51"/>
      <c r="G152" s="51" t="str">
        <f>IFERROR(__xludf.DUMMYFUNCTION("""COMPUTED_VALUE"""),"#VALUE!")</f>
        <v>#VALUE!</v>
      </c>
      <c r="H152" s="51" t="str">
        <f>IFERROR(__xludf.DUMMYFUNCTION("""COMPUTED_VALUE"""),"")</f>
        <v/>
      </c>
      <c r="I152" s="51" t="str">
        <f>IFERROR(__xludf.DUMMYFUNCTION("""COMPUTED_VALUE"""),"#VALUE!")</f>
        <v>#VALUE!</v>
      </c>
      <c r="J152" s="51" t="str">
        <f>IFERROR(__xludf.DUMMYFUNCTION("""COMPUTED_VALUE"""),"")</f>
        <v/>
      </c>
      <c r="K152" s="51"/>
      <c r="L152" s="51" t="s">
        <v>257</v>
      </c>
      <c r="M152" s="51"/>
      <c r="N152" s="51"/>
      <c r="O152" s="51"/>
      <c r="P152" s="51"/>
      <c r="Q152" s="51"/>
      <c r="R152" s="51"/>
      <c r="S152" s="51"/>
      <c r="T152" s="51"/>
    </row>
    <row r="153">
      <c r="A153" s="51"/>
      <c r="B153" s="51"/>
      <c r="C153" s="56"/>
      <c r="D153" s="51"/>
      <c r="E153" s="51"/>
      <c r="F153" s="51"/>
      <c r="G153" s="51" t="str">
        <f>IFERROR(__xludf.DUMMYFUNCTION("""COMPUTED_VALUE"""),"#VALUE!")</f>
        <v>#VALUE!</v>
      </c>
      <c r="H153" s="51" t="str">
        <f>IFERROR(__xludf.DUMMYFUNCTION("""COMPUTED_VALUE"""),"")</f>
        <v/>
      </c>
      <c r="I153" s="51" t="str">
        <f>IFERROR(__xludf.DUMMYFUNCTION("""COMPUTED_VALUE"""),"#VALUE!")</f>
        <v>#VALUE!</v>
      </c>
      <c r="J153" s="51" t="str">
        <f>IFERROR(__xludf.DUMMYFUNCTION("""COMPUTED_VALUE"""),"")</f>
        <v/>
      </c>
      <c r="K153" s="51"/>
      <c r="L153" s="51" t="s">
        <v>257</v>
      </c>
      <c r="M153" s="51"/>
      <c r="N153" s="51"/>
      <c r="O153" s="51"/>
      <c r="P153" s="51"/>
      <c r="Q153" s="51"/>
      <c r="R153" s="51"/>
      <c r="S153" s="51"/>
      <c r="T153" s="51"/>
    </row>
    <row r="154">
      <c r="A154" s="51"/>
      <c r="B154" s="51"/>
      <c r="C154" s="56"/>
      <c r="D154" s="51"/>
      <c r="E154" s="51"/>
      <c r="F154" s="51"/>
      <c r="G154" s="51" t="str">
        <f>IFERROR(__xludf.DUMMYFUNCTION("""COMPUTED_VALUE"""),"#VALUE!")</f>
        <v>#VALUE!</v>
      </c>
      <c r="H154" s="51" t="str">
        <f>IFERROR(__xludf.DUMMYFUNCTION("""COMPUTED_VALUE"""),"")</f>
        <v/>
      </c>
      <c r="I154" s="51" t="str">
        <f>IFERROR(__xludf.DUMMYFUNCTION("""COMPUTED_VALUE"""),"#VALUE!")</f>
        <v>#VALUE!</v>
      </c>
      <c r="J154" s="51" t="str">
        <f>IFERROR(__xludf.DUMMYFUNCTION("""COMPUTED_VALUE"""),"")</f>
        <v/>
      </c>
      <c r="K154" s="51"/>
      <c r="L154" s="51" t="s">
        <v>257</v>
      </c>
      <c r="M154" s="51"/>
      <c r="N154" s="51"/>
      <c r="O154" s="51"/>
      <c r="P154" s="51"/>
      <c r="Q154" s="51"/>
      <c r="R154" s="51"/>
      <c r="S154" s="51"/>
      <c r="T154" s="51"/>
    </row>
    <row r="155">
      <c r="A155" s="51"/>
      <c r="B155" s="51"/>
      <c r="C155" s="56"/>
      <c r="D155" s="51"/>
      <c r="E155" s="51"/>
      <c r="F155" s="51"/>
      <c r="G155" s="51" t="str">
        <f>IFERROR(__xludf.DUMMYFUNCTION("""COMPUTED_VALUE"""),"#VALUE!")</f>
        <v>#VALUE!</v>
      </c>
      <c r="H155" s="51" t="str">
        <f>IFERROR(__xludf.DUMMYFUNCTION("""COMPUTED_VALUE"""),"")</f>
        <v/>
      </c>
      <c r="I155" s="51" t="str">
        <f>IFERROR(__xludf.DUMMYFUNCTION("""COMPUTED_VALUE"""),"#VALUE!")</f>
        <v>#VALUE!</v>
      </c>
      <c r="J155" s="51" t="str">
        <f>IFERROR(__xludf.DUMMYFUNCTION("""COMPUTED_VALUE"""),"")</f>
        <v/>
      </c>
      <c r="K155" s="51"/>
      <c r="L155" s="51" t="s">
        <v>257</v>
      </c>
      <c r="M155" s="51"/>
      <c r="N155" s="51"/>
      <c r="O155" s="51"/>
      <c r="P155" s="51"/>
      <c r="Q155" s="51"/>
      <c r="R155" s="51"/>
      <c r="S155" s="51"/>
      <c r="T155" s="51"/>
    </row>
    <row r="156">
      <c r="A156" s="51"/>
      <c r="B156" s="51"/>
      <c r="C156" s="56"/>
      <c r="D156" s="51"/>
      <c r="E156" s="51"/>
      <c r="F156" s="51"/>
      <c r="G156" s="51" t="str">
        <f>IFERROR(__xludf.DUMMYFUNCTION("""COMPUTED_VALUE"""),"#VALUE!")</f>
        <v>#VALUE!</v>
      </c>
      <c r="H156" s="51" t="str">
        <f>IFERROR(__xludf.DUMMYFUNCTION("""COMPUTED_VALUE"""),"")</f>
        <v/>
      </c>
      <c r="I156" s="51" t="str">
        <f>IFERROR(__xludf.DUMMYFUNCTION("""COMPUTED_VALUE"""),"#VALUE!")</f>
        <v>#VALUE!</v>
      </c>
      <c r="J156" s="51" t="str">
        <f>IFERROR(__xludf.DUMMYFUNCTION("""COMPUTED_VALUE"""),"")</f>
        <v/>
      </c>
      <c r="K156" s="51"/>
      <c r="L156" s="51" t="s">
        <v>257</v>
      </c>
      <c r="M156" s="51"/>
      <c r="N156" s="51"/>
      <c r="O156" s="51"/>
      <c r="P156" s="51"/>
      <c r="Q156" s="51"/>
      <c r="R156" s="51"/>
      <c r="S156" s="51"/>
      <c r="T156" s="51"/>
    </row>
    <row r="157">
      <c r="A157" s="51"/>
      <c r="B157" s="51"/>
      <c r="C157" s="56"/>
      <c r="D157" s="51"/>
      <c r="E157" s="51"/>
      <c r="F157" s="51"/>
      <c r="G157" s="51" t="str">
        <f>IFERROR(__xludf.DUMMYFUNCTION("""COMPUTED_VALUE"""),"#VALUE!")</f>
        <v>#VALUE!</v>
      </c>
      <c r="H157" s="51" t="str">
        <f>IFERROR(__xludf.DUMMYFUNCTION("""COMPUTED_VALUE"""),"")</f>
        <v/>
      </c>
      <c r="I157" s="51" t="str">
        <f>IFERROR(__xludf.DUMMYFUNCTION("""COMPUTED_VALUE"""),"#VALUE!")</f>
        <v>#VALUE!</v>
      </c>
      <c r="J157" s="51" t="str">
        <f>IFERROR(__xludf.DUMMYFUNCTION("""COMPUTED_VALUE"""),"")</f>
        <v/>
      </c>
      <c r="K157" s="51"/>
      <c r="L157" s="51" t="s">
        <v>257</v>
      </c>
      <c r="M157" s="51"/>
      <c r="N157" s="51"/>
      <c r="O157" s="51"/>
      <c r="P157" s="51"/>
      <c r="Q157" s="51"/>
      <c r="R157" s="51"/>
      <c r="S157" s="51"/>
      <c r="T157" s="51"/>
    </row>
    <row r="158">
      <c r="A158" s="51"/>
      <c r="B158" s="51"/>
      <c r="C158" s="56"/>
      <c r="D158" s="51"/>
      <c r="E158" s="51"/>
      <c r="F158" s="51"/>
      <c r="G158" s="51" t="str">
        <f>IFERROR(__xludf.DUMMYFUNCTION("""COMPUTED_VALUE"""),"#VALUE!")</f>
        <v>#VALUE!</v>
      </c>
      <c r="H158" s="51" t="str">
        <f>IFERROR(__xludf.DUMMYFUNCTION("""COMPUTED_VALUE"""),"")</f>
        <v/>
      </c>
      <c r="I158" s="51" t="str">
        <f>IFERROR(__xludf.DUMMYFUNCTION("""COMPUTED_VALUE"""),"#VALUE!")</f>
        <v>#VALUE!</v>
      </c>
      <c r="J158" s="51" t="str">
        <f>IFERROR(__xludf.DUMMYFUNCTION("""COMPUTED_VALUE"""),"")</f>
        <v/>
      </c>
      <c r="K158" s="51"/>
      <c r="L158" s="51" t="s">
        <v>257</v>
      </c>
      <c r="M158" s="51"/>
      <c r="N158" s="51"/>
      <c r="O158" s="51"/>
      <c r="P158" s="51"/>
      <c r="Q158" s="51"/>
      <c r="R158" s="51"/>
      <c r="S158" s="51"/>
      <c r="T158" s="51"/>
    </row>
    <row r="159">
      <c r="A159" s="51"/>
      <c r="B159" s="51"/>
      <c r="C159" s="56"/>
      <c r="D159" s="51"/>
      <c r="E159" s="51"/>
      <c r="F159" s="51"/>
      <c r="G159" s="51" t="str">
        <f>IFERROR(__xludf.DUMMYFUNCTION("""COMPUTED_VALUE"""),"#VALUE!")</f>
        <v>#VALUE!</v>
      </c>
      <c r="H159" s="51" t="str">
        <f>IFERROR(__xludf.DUMMYFUNCTION("""COMPUTED_VALUE"""),"")</f>
        <v/>
      </c>
      <c r="I159" s="51" t="str">
        <f>IFERROR(__xludf.DUMMYFUNCTION("""COMPUTED_VALUE"""),"#VALUE!")</f>
        <v>#VALUE!</v>
      </c>
      <c r="J159" s="51" t="str">
        <f>IFERROR(__xludf.DUMMYFUNCTION("""COMPUTED_VALUE"""),"")</f>
        <v/>
      </c>
      <c r="K159" s="51"/>
      <c r="L159" s="51" t="s">
        <v>257</v>
      </c>
      <c r="M159" s="51"/>
      <c r="N159" s="51"/>
      <c r="O159" s="51"/>
      <c r="P159" s="51"/>
      <c r="Q159" s="51"/>
      <c r="R159" s="51"/>
      <c r="S159" s="51"/>
      <c r="T159" s="51"/>
    </row>
    <row r="160">
      <c r="A160" s="51"/>
      <c r="B160" s="51"/>
      <c r="C160" s="56"/>
      <c r="D160" s="51"/>
      <c r="E160" s="51"/>
      <c r="F160" s="51"/>
      <c r="G160" s="51" t="str">
        <f>IFERROR(__xludf.DUMMYFUNCTION("""COMPUTED_VALUE"""),"#VALUE!")</f>
        <v>#VALUE!</v>
      </c>
      <c r="H160" s="51" t="str">
        <f>IFERROR(__xludf.DUMMYFUNCTION("""COMPUTED_VALUE"""),"")</f>
        <v/>
      </c>
      <c r="I160" s="51" t="str">
        <f>IFERROR(__xludf.DUMMYFUNCTION("""COMPUTED_VALUE"""),"#VALUE!")</f>
        <v>#VALUE!</v>
      </c>
      <c r="J160" s="51" t="str">
        <f>IFERROR(__xludf.DUMMYFUNCTION("""COMPUTED_VALUE"""),"")</f>
        <v/>
      </c>
      <c r="K160" s="51"/>
      <c r="L160" s="51" t="s">
        <v>257</v>
      </c>
      <c r="M160" s="51"/>
      <c r="N160" s="51"/>
      <c r="O160" s="51"/>
      <c r="P160" s="51"/>
      <c r="Q160" s="51"/>
      <c r="R160" s="51"/>
      <c r="S160" s="51"/>
      <c r="T160" s="51"/>
    </row>
    <row r="161">
      <c r="A161" s="51"/>
      <c r="B161" s="51"/>
      <c r="C161" s="56"/>
      <c r="D161" s="51"/>
      <c r="E161" s="51"/>
      <c r="F161" s="51"/>
      <c r="G161" s="51" t="str">
        <f>IFERROR(__xludf.DUMMYFUNCTION("""COMPUTED_VALUE"""),"#VALUE!")</f>
        <v>#VALUE!</v>
      </c>
      <c r="H161" s="51" t="str">
        <f>IFERROR(__xludf.DUMMYFUNCTION("""COMPUTED_VALUE"""),"")</f>
        <v/>
      </c>
      <c r="I161" s="51" t="str">
        <f>IFERROR(__xludf.DUMMYFUNCTION("""COMPUTED_VALUE"""),"#VALUE!")</f>
        <v>#VALUE!</v>
      </c>
      <c r="J161" s="51" t="str">
        <f>IFERROR(__xludf.DUMMYFUNCTION("""COMPUTED_VALUE"""),"")</f>
        <v/>
      </c>
      <c r="K161" s="51"/>
      <c r="L161" s="51" t="s">
        <v>257</v>
      </c>
      <c r="M161" s="51"/>
      <c r="N161" s="51"/>
      <c r="O161" s="51"/>
      <c r="P161" s="51"/>
      <c r="Q161" s="51"/>
      <c r="R161" s="51"/>
      <c r="S161" s="51"/>
      <c r="T161" s="51"/>
    </row>
    <row r="162">
      <c r="A162" s="51"/>
      <c r="B162" s="51"/>
      <c r="C162" s="56"/>
      <c r="D162" s="51"/>
      <c r="E162" s="51"/>
      <c r="F162" s="51"/>
      <c r="G162" s="51" t="str">
        <f>IFERROR(__xludf.DUMMYFUNCTION("""COMPUTED_VALUE"""),"#VALUE!")</f>
        <v>#VALUE!</v>
      </c>
      <c r="H162" s="51" t="str">
        <f>IFERROR(__xludf.DUMMYFUNCTION("""COMPUTED_VALUE"""),"")</f>
        <v/>
      </c>
      <c r="I162" s="51" t="str">
        <f>IFERROR(__xludf.DUMMYFUNCTION("""COMPUTED_VALUE"""),"#VALUE!")</f>
        <v>#VALUE!</v>
      </c>
      <c r="J162" s="51" t="str">
        <f>IFERROR(__xludf.DUMMYFUNCTION("""COMPUTED_VALUE"""),"")</f>
        <v/>
      </c>
      <c r="K162" s="51"/>
      <c r="L162" s="51" t="s">
        <v>257</v>
      </c>
      <c r="M162" s="51"/>
      <c r="N162" s="51"/>
      <c r="O162" s="51"/>
      <c r="P162" s="51"/>
      <c r="Q162" s="51"/>
      <c r="R162" s="51"/>
      <c r="S162" s="51"/>
      <c r="T162" s="51"/>
    </row>
    <row r="163">
      <c r="A163" s="51"/>
      <c r="B163" s="51"/>
      <c r="C163" s="56"/>
      <c r="D163" s="51"/>
      <c r="E163" s="51"/>
      <c r="F163" s="51"/>
      <c r="G163" s="51" t="str">
        <f>IFERROR(__xludf.DUMMYFUNCTION("""COMPUTED_VALUE"""),"#VALUE!")</f>
        <v>#VALUE!</v>
      </c>
      <c r="H163" s="51" t="str">
        <f>IFERROR(__xludf.DUMMYFUNCTION("""COMPUTED_VALUE"""),"")</f>
        <v/>
      </c>
      <c r="I163" s="51" t="str">
        <f>IFERROR(__xludf.DUMMYFUNCTION("""COMPUTED_VALUE"""),"#VALUE!")</f>
        <v>#VALUE!</v>
      </c>
      <c r="J163" s="51" t="str">
        <f>IFERROR(__xludf.DUMMYFUNCTION("""COMPUTED_VALUE"""),"")</f>
        <v/>
      </c>
      <c r="K163" s="51"/>
      <c r="L163" s="51" t="s">
        <v>257</v>
      </c>
      <c r="M163" s="51"/>
      <c r="N163" s="51"/>
      <c r="O163" s="51"/>
      <c r="P163" s="51"/>
      <c r="Q163" s="51"/>
      <c r="R163" s="51"/>
      <c r="S163" s="51"/>
      <c r="T163" s="51"/>
    </row>
    <row r="164">
      <c r="A164" s="51"/>
      <c r="B164" s="51"/>
      <c r="C164" s="56"/>
      <c r="D164" s="51"/>
      <c r="E164" s="51"/>
      <c r="F164" s="51"/>
      <c r="G164" s="51" t="str">
        <f>IFERROR(__xludf.DUMMYFUNCTION("""COMPUTED_VALUE"""),"#VALUE!")</f>
        <v>#VALUE!</v>
      </c>
      <c r="H164" s="51" t="str">
        <f>IFERROR(__xludf.DUMMYFUNCTION("""COMPUTED_VALUE"""),"")</f>
        <v/>
      </c>
      <c r="I164" s="51" t="str">
        <f>IFERROR(__xludf.DUMMYFUNCTION("""COMPUTED_VALUE"""),"#VALUE!")</f>
        <v>#VALUE!</v>
      </c>
      <c r="J164" s="51" t="str">
        <f>IFERROR(__xludf.DUMMYFUNCTION("""COMPUTED_VALUE"""),"")</f>
        <v/>
      </c>
      <c r="K164" s="51"/>
      <c r="L164" s="51" t="s">
        <v>257</v>
      </c>
      <c r="M164" s="51"/>
      <c r="N164" s="51"/>
      <c r="O164" s="51"/>
      <c r="P164" s="51"/>
      <c r="Q164" s="51"/>
      <c r="R164" s="51"/>
      <c r="S164" s="51"/>
      <c r="T164" s="51"/>
    </row>
    <row r="165">
      <c r="A165" s="51"/>
      <c r="B165" s="51"/>
      <c r="C165" s="56"/>
      <c r="D165" s="51"/>
      <c r="E165" s="51"/>
      <c r="F165" s="51"/>
      <c r="G165" s="51" t="str">
        <f>IFERROR(__xludf.DUMMYFUNCTION("""COMPUTED_VALUE"""),"#VALUE!")</f>
        <v>#VALUE!</v>
      </c>
      <c r="H165" s="51" t="str">
        <f>IFERROR(__xludf.DUMMYFUNCTION("""COMPUTED_VALUE"""),"")</f>
        <v/>
      </c>
      <c r="I165" s="51" t="str">
        <f>IFERROR(__xludf.DUMMYFUNCTION("""COMPUTED_VALUE"""),"#VALUE!")</f>
        <v>#VALUE!</v>
      </c>
      <c r="J165" s="51" t="str">
        <f>IFERROR(__xludf.DUMMYFUNCTION("""COMPUTED_VALUE"""),"")</f>
        <v/>
      </c>
      <c r="K165" s="51"/>
      <c r="L165" s="51" t="s">
        <v>257</v>
      </c>
      <c r="M165" s="51"/>
      <c r="N165" s="51"/>
      <c r="O165" s="51"/>
      <c r="P165" s="51"/>
      <c r="Q165" s="51"/>
      <c r="R165" s="51"/>
      <c r="S165" s="51"/>
      <c r="T165" s="51"/>
    </row>
    <row r="166">
      <c r="A166" s="51"/>
      <c r="B166" s="51"/>
      <c r="C166" s="56"/>
      <c r="D166" s="51"/>
      <c r="E166" s="51"/>
      <c r="F166" s="51"/>
      <c r="G166" s="51" t="str">
        <f>IFERROR(__xludf.DUMMYFUNCTION("""COMPUTED_VALUE"""),"#VALUE!")</f>
        <v>#VALUE!</v>
      </c>
      <c r="H166" s="51" t="str">
        <f>IFERROR(__xludf.DUMMYFUNCTION("""COMPUTED_VALUE"""),"")</f>
        <v/>
      </c>
      <c r="I166" s="51" t="str">
        <f>IFERROR(__xludf.DUMMYFUNCTION("""COMPUTED_VALUE"""),"#VALUE!")</f>
        <v>#VALUE!</v>
      </c>
      <c r="J166" s="51" t="str">
        <f>IFERROR(__xludf.DUMMYFUNCTION("""COMPUTED_VALUE"""),"")</f>
        <v/>
      </c>
      <c r="K166" s="51"/>
      <c r="L166" s="51" t="s">
        <v>257</v>
      </c>
      <c r="M166" s="51"/>
      <c r="N166" s="51"/>
      <c r="O166" s="51"/>
      <c r="P166" s="51"/>
      <c r="Q166" s="51"/>
      <c r="R166" s="51"/>
      <c r="S166" s="51"/>
      <c r="T166" s="51"/>
    </row>
    <row r="167">
      <c r="A167" s="51"/>
      <c r="B167" s="51"/>
      <c r="C167" s="56"/>
      <c r="D167" s="51"/>
      <c r="E167" s="51"/>
      <c r="F167" s="51"/>
      <c r="G167" s="51" t="str">
        <f>IFERROR(__xludf.DUMMYFUNCTION("""COMPUTED_VALUE"""),"#VALUE!")</f>
        <v>#VALUE!</v>
      </c>
      <c r="H167" s="51" t="str">
        <f>IFERROR(__xludf.DUMMYFUNCTION("""COMPUTED_VALUE"""),"")</f>
        <v/>
      </c>
      <c r="I167" s="51" t="str">
        <f>IFERROR(__xludf.DUMMYFUNCTION("""COMPUTED_VALUE"""),"#VALUE!")</f>
        <v>#VALUE!</v>
      </c>
      <c r="J167" s="51" t="str">
        <f>IFERROR(__xludf.DUMMYFUNCTION("""COMPUTED_VALUE"""),"")</f>
        <v/>
      </c>
      <c r="K167" s="51"/>
      <c r="L167" s="51" t="s">
        <v>257</v>
      </c>
      <c r="M167" s="51"/>
      <c r="N167" s="51"/>
      <c r="O167" s="51"/>
      <c r="P167" s="51"/>
      <c r="Q167" s="51"/>
      <c r="R167" s="51"/>
      <c r="S167" s="51"/>
      <c r="T167" s="51"/>
    </row>
    <row r="168">
      <c r="A168" s="51"/>
      <c r="B168" s="51"/>
      <c r="C168" s="56"/>
      <c r="D168" s="51"/>
      <c r="E168" s="51"/>
      <c r="F168" s="51"/>
      <c r="G168" s="51" t="str">
        <f>IFERROR(__xludf.DUMMYFUNCTION("""COMPUTED_VALUE"""),"#VALUE!")</f>
        <v>#VALUE!</v>
      </c>
      <c r="H168" s="51" t="str">
        <f>IFERROR(__xludf.DUMMYFUNCTION("""COMPUTED_VALUE"""),"")</f>
        <v/>
      </c>
      <c r="I168" s="51" t="str">
        <f>IFERROR(__xludf.DUMMYFUNCTION("""COMPUTED_VALUE"""),"#VALUE!")</f>
        <v>#VALUE!</v>
      </c>
      <c r="J168" s="51" t="str">
        <f>IFERROR(__xludf.DUMMYFUNCTION("""COMPUTED_VALUE"""),"")</f>
        <v/>
      </c>
      <c r="K168" s="51"/>
      <c r="L168" s="51" t="s">
        <v>257</v>
      </c>
      <c r="M168" s="51"/>
      <c r="N168" s="51"/>
      <c r="O168" s="51"/>
      <c r="P168" s="51"/>
      <c r="Q168" s="51"/>
      <c r="R168" s="51"/>
      <c r="S168" s="51"/>
      <c r="T168" s="51"/>
    </row>
    <row r="169">
      <c r="A169" s="51"/>
      <c r="B169" s="51"/>
      <c r="C169" s="56"/>
      <c r="D169" s="51"/>
      <c r="E169" s="51"/>
      <c r="F169" s="51"/>
      <c r="G169" s="51" t="str">
        <f>IFERROR(__xludf.DUMMYFUNCTION("""COMPUTED_VALUE"""),"#VALUE!")</f>
        <v>#VALUE!</v>
      </c>
      <c r="H169" s="51" t="str">
        <f>IFERROR(__xludf.DUMMYFUNCTION("""COMPUTED_VALUE"""),"")</f>
        <v/>
      </c>
      <c r="I169" s="51" t="str">
        <f>IFERROR(__xludf.DUMMYFUNCTION("""COMPUTED_VALUE"""),"#VALUE!")</f>
        <v>#VALUE!</v>
      </c>
      <c r="J169" s="51" t="str">
        <f>IFERROR(__xludf.DUMMYFUNCTION("""COMPUTED_VALUE"""),"")</f>
        <v/>
      </c>
      <c r="K169" s="51"/>
      <c r="L169" s="51" t="s">
        <v>257</v>
      </c>
      <c r="M169" s="51"/>
      <c r="N169" s="51"/>
      <c r="O169" s="51"/>
      <c r="P169" s="51"/>
      <c r="Q169" s="51"/>
      <c r="R169" s="51"/>
      <c r="S169" s="51"/>
      <c r="T169" s="51"/>
    </row>
    <row r="170">
      <c r="A170" s="51"/>
      <c r="B170" s="51"/>
      <c r="C170" s="56"/>
      <c r="D170" s="51"/>
      <c r="E170" s="51"/>
      <c r="F170" s="51"/>
      <c r="G170" s="51" t="str">
        <f>IFERROR(__xludf.DUMMYFUNCTION("""COMPUTED_VALUE"""),"#VALUE!")</f>
        <v>#VALUE!</v>
      </c>
      <c r="H170" s="51" t="str">
        <f>IFERROR(__xludf.DUMMYFUNCTION("""COMPUTED_VALUE"""),"")</f>
        <v/>
      </c>
      <c r="I170" s="51" t="str">
        <f>IFERROR(__xludf.DUMMYFUNCTION("""COMPUTED_VALUE"""),"#VALUE!")</f>
        <v>#VALUE!</v>
      </c>
      <c r="J170" s="51" t="str">
        <f>IFERROR(__xludf.DUMMYFUNCTION("""COMPUTED_VALUE"""),"")</f>
        <v/>
      </c>
      <c r="K170" s="51"/>
      <c r="L170" s="51" t="s">
        <v>257</v>
      </c>
      <c r="M170" s="51"/>
      <c r="N170" s="51"/>
      <c r="O170" s="51"/>
      <c r="P170" s="51"/>
      <c r="Q170" s="51"/>
      <c r="R170" s="51"/>
      <c r="S170" s="51"/>
      <c r="T170" s="51"/>
    </row>
    <row r="171">
      <c r="A171" s="51"/>
      <c r="B171" s="51"/>
      <c r="C171" s="56"/>
      <c r="D171" s="51"/>
      <c r="E171" s="51"/>
      <c r="F171" s="51"/>
      <c r="G171" s="51" t="str">
        <f>IFERROR(__xludf.DUMMYFUNCTION("""COMPUTED_VALUE"""),"#VALUE!")</f>
        <v>#VALUE!</v>
      </c>
      <c r="H171" s="51" t="str">
        <f>IFERROR(__xludf.DUMMYFUNCTION("""COMPUTED_VALUE"""),"")</f>
        <v/>
      </c>
      <c r="I171" s="51" t="str">
        <f>IFERROR(__xludf.DUMMYFUNCTION("""COMPUTED_VALUE"""),"#VALUE!")</f>
        <v>#VALUE!</v>
      </c>
      <c r="J171" s="51" t="str">
        <f>IFERROR(__xludf.DUMMYFUNCTION("""COMPUTED_VALUE"""),"")</f>
        <v/>
      </c>
      <c r="K171" s="51"/>
      <c r="L171" s="51" t="s">
        <v>257</v>
      </c>
      <c r="M171" s="51"/>
      <c r="N171" s="51"/>
      <c r="O171" s="51"/>
      <c r="P171" s="51"/>
      <c r="Q171" s="51"/>
      <c r="R171" s="51"/>
      <c r="S171" s="51"/>
      <c r="T171" s="51"/>
    </row>
    <row r="172">
      <c r="A172" s="51"/>
      <c r="B172" s="51"/>
      <c r="C172" s="56"/>
      <c r="D172" s="51"/>
      <c r="E172" s="51"/>
      <c r="F172" s="51"/>
      <c r="G172" s="51" t="str">
        <f>IFERROR(__xludf.DUMMYFUNCTION("""COMPUTED_VALUE"""),"#VALUE!")</f>
        <v>#VALUE!</v>
      </c>
      <c r="H172" s="51" t="str">
        <f>IFERROR(__xludf.DUMMYFUNCTION("""COMPUTED_VALUE"""),"")</f>
        <v/>
      </c>
      <c r="I172" s="51" t="str">
        <f>IFERROR(__xludf.DUMMYFUNCTION("""COMPUTED_VALUE"""),"#VALUE!")</f>
        <v>#VALUE!</v>
      </c>
      <c r="J172" s="51" t="str">
        <f>IFERROR(__xludf.DUMMYFUNCTION("""COMPUTED_VALUE"""),"")</f>
        <v/>
      </c>
      <c r="K172" s="51"/>
      <c r="L172" s="51" t="s">
        <v>257</v>
      </c>
      <c r="M172" s="51"/>
      <c r="N172" s="51"/>
      <c r="O172" s="51"/>
      <c r="P172" s="51"/>
      <c r="Q172" s="51"/>
      <c r="R172" s="51"/>
      <c r="S172" s="51"/>
      <c r="T172" s="51"/>
    </row>
    <row r="173">
      <c r="A173" s="51"/>
      <c r="B173" s="51"/>
      <c r="C173" s="56"/>
      <c r="D173" s="51"/>
      <c r="E173" s="51"/>
      <c r="F173" s="51"/>
      <c r="G173" s="51" t="str">
        <f>IFERROR(__xludf.DUMMYFUNCTION("""COMPUTED_VALUE"""),"#VALUE!")</f>
        <v>#VALUE!</v>
      </c>
      <c r="H173" s="51" t="str">
        <f>IFERROR(__xludf.DUMMYFUNCTION("""COMPUTED_VALUE"""),"")</f>
        <v/>
      </c>
      <c r="I173" s="51" t="str">
        <f>IFERROR(__xludf.DUMMYFUNCTION("""COMPUTED_VALUE"""),"#VALUE!")</f>
        <v>#VALUE!</v>
      </c>
      <c r="J173" s="51" t="str">
        <f>IFERROR(__xludf.DUMMYFUNCTION("""COMPUTED_VALUE"""),"")</f>
        <v/>
      </c>
      <c r="K173" s="51"/>
      <c r="L173" s="51" t="s">
        <v>257</v>
      </c>
      <c r="M173" s="51"/>
      <c r="N173" s="51"/>
      <c r="O173" s="51"/>
      <c r="P173" s="51"/>
      <c r="Q173" s="51"/>
      <c r="R173" s="51"/>
      <c r="S173" s="51"/>
      <c r="T173" s="51"/>
    </row>
    <row r="174">
      <c r="A174" s="51"/>
      <c r="B174" s="51"/>
      <c r="C174" s="56"/>
      <c r="D174" s="51"/>
      <c r="E174" s="51"/>
      <c r="F174" s="51"/>
      <c r="G174" s="51" t="str">
        <f>IFERROR(__xludf.DUMMYFUNCTION("""COMPUTED_VALUE"""),"#VALUE!")</f>
        <v>#VALUE!</v>
      </c>
      <c r="H174" s="51" t="str">
        <f>IFERROR(__xludf.DUMMYFUNCTION("""COMPUTED_VALUE"""),"")</f>
        <v/>
      </c>
      <c r="I174" s="51" t="str">
        <f>IFERROR(__xludf.DUMMYFUNCTION("""COMPUTED_VALUE"""),"#VALUE!")</f>
        <v>#VALUE!</v>
      </c>
      <c r="J174" s="51" t="str">
        <f>IFERROR(__xludf.DUMMYFUNCTION("""COMPUTED_VALUE"""),"")</f>
        <v/>
      </c>
      <c r="K174" s="51"/>
      <c r="L174" s="51" t="s">
        <v>257</v>
      </c>
      <c r="M174" s="51"/>
      <c r="N174" s="51"/>
      <c r="O174" s="51"/>
      <c r="P174" s="51"/>
      <c r="Q174" s="51"/>
      <c r="R174" s="51"/>
      <c r="S174" s="51"/>
      <c r="T174" s="51"/>
    </row>
    <row r="175">
      <c r="A175" s="51"/>
      <c r="B175" s="51"/>
      <c r="C175" s="56"/>
      <c r="D175" s="51"/>
      <c r="E175" s="51"/>
      <c r="F175" s="51"/>
      <c r="G175" s="51" t="str">
        <f>IFERROR(__xludf.DUMMYFUNCTION("""COMPUTED_VALUE"""),"#VALUE!")</f>
        <v>#VALUE!</v>
      </c>
      <c r="H175" s="51" t="str">
        <f>IFERROR(__xludf.DUMMYFUNCTION("""COMPUTED_VALUE"""),"")</f>
        <v/>
      </c>
      <c r="I175" s="51" t="str">
        <f>IFERROR(__xludf.DUMMYFUNCTION("""COMPUTED_VALUE"""),"#VALUE!")</f>
        <v>#VALUE!</v>
      </c>
      <c r="J175" s="51" t="str">
        <f>IFERROR(__xludf.DUMMYFUNCTION("""COMPUTED_VALUE"""),"")</f>
        <v/>
      </c>
      <c r="K175" s="51"/>
      <c r="L175" s="51" t="s">
        <v>257</v>
      </c>
      <c r="M175" s="51"/>
      <c r="N175" s="51"/>
      <c r="O175" s="51"/>
      <c r="P175" s="51"/>
      <c r="Q175" s="51"/>
      <c r="R175" s="51"/>
      <c r="S175" s="51"/>
      <c r="T175" s="51"/>
    </row>
    <row r="176">
      <c r="A176" s="51"/>
      <c r="B176" s="51"/>
      <c r="C176" s="56"/>
      <c r="D176" s="51"/>
      <c r="E176" s="51"/>
      <c r="F176" s="51"/>
      <c r="G176" s="51" t="str">
        <f>IFERROR(__xludf.DUMMYFUNCTION("""COMPUTED_VALUE"""),"#VALUE!")</f>
        <v>#VALUE!</v>
      </c>
      <c r="H176" s="51" t="str">
        <f>IFERROR(__xludf.DUMMYFUNCTION("""COMPUTED_VALUE"""),"")</f>
        <v/>
      </c>
      <c r="I176" s="51" t="str">
        <f>IFERROR(__xludf.DUMMYFUNCTION("""COMPUTED_VALUE"""),"#VALUE!")</f>
        <v>#VALUE!</v>
      </c>
      <c r="J176" s="51" t="str">
        <f>IFERROR(__xludf.DUMMYFUNCTION("""COMPUTED_VALUE"""),"")</f>
        <v/>
      </c>
      <c r="K176" s="51"/>
      <c r="L176" s="51" t="s">
        <v>257</v>
      </c>
      <c r="M176" s="51"/>
      <c r="N176" s="51"/>
      <c r="O176" s="51"/>
      <c r="P176" s="51"/>
      <c r="Q176" s="51"/>
      <c r="R176" s="51"/>
      <c r="S176" s="51"/>
      <c r="T176" s="51"/>
    </row>
    <row r="177">
      <c r="A177" s="51"/>
      <c r="B177" s="51"/>
      <c r="C177" s="56"/>
      <c r="D177" s="51"/>
      <c r="E177" s="51"/>
      <c r="F177" s="51"/>
      <c r="G177" s="51" t="str">
        <f>IFERROR(__xludf.DUMMYFUNCTION("""COMPUTED_VALUE"""),"#VALUE!")</f>
        <v>#VALUE!</v>
      </c>
      <c r="H177" s="51" t="str">
        <f>IFERROR(__xludf.DUMMYFUNCTION("""COMPUTED_VALUE"""),"")</f>
        <v/>
      </c>
      <c r="I177" s="51" t="str">
        <f>IFERROR(__xludf.DUMMYFUNCTION("""COMPUTED_VALUE"""),"#VALUE!")</f>
        <v>#VALUE!</v>
      </c>
      <c r="J177" s="51" t="str">
        <f>IFERROR(__xludf.DUMMYFUNCTION("""COMPUTED_VALUE"""),"")</f>
        <v/>
      </c>
      <c r="K177" s="51"/>
      <c r="L177" s="51" t="s">
        <v>257</v>
      </c>
      <c r="M177" s="51"/>
      <c r="N177" s="51"/>
      <c r="O177" s="51"/>
      <c r="P177" s="51"/>
      <c r="Q177" s="51"/>
      <c r="R177" s="51"/>
      <c r="S177" s="51"/>
      <c r="T177" s="51"/>
    </row>
    <row r="178">
      <c r="A178" s="51"/>
      <c r="B178" s="51"/>
      <c r="C178" s="56"/>
      <c r="D178" s="51"/>
      <c r="E178" s="51"/>
      <c r="F178" s="51"/>
      <c r="G178" s="51" t="str">
        <f>IFERROR(__xludf.DUMMYFUNCTION("""COMPUTED_VALUE"""),"#VALUE!")</f>
        <v>#VALUE!</v>
      </c>
      <c r="H178" s="51" t="str">
        <f>IFERROR(__xludf.DUMMYFUNCTION("""COMPUTED_VALUE"""),"")</f>
        <v/>
      </c>
      <c r="I178" s="51" t="str">
        <f>IFERROR(__xludf.DUMMYFUNCTION("""COMPUTED_VALUE"""),"#VALUE!")</f>
        <v>#VALUE!</v>
      </c>
      <c r="J178" s="51" t="str">
        <f>IFERROR(__xludf.DUMMYFUNCTION("""COMPUTED_VALUE"""),"")</f>
        <v/>
      </c>
      <c r="K178" s="51"/>
      <c r="L178" s="51" t="s">
        <v>257</v>
      </c>
      <c r="M178" s="51"/>
      <c r="N178" s="51"/>
      <c r="O178" s="51"/>
      <c r="P178" s="51"/>
      <c r="Q178" s="51"/>
      <c r="R178" s="51"/>
      <c r="S178" s="51"/>
      <c r="T178" s="51"/>
    </row>
    <row r="179">
      <c r="A179" s="51"/>
      <c r="B179" s="51"/>
      <c r="C179" s="56"/>
      <c r="D179" s="51"/>
      <c r="E179" s="51"/>
      <c r="F179" s="51"/>
      <c r="G179" s="51" t="str">
        <f>IFERROR(__xludf.DUMMYFUNCTION("""COMPUTED_VALUE"""),"#VALUE!")</f>
        <v>#VALUE!</v>
      </c>
      <c r="H179" s="51" t="str">
        <f>IFERROR(__xludf.DUMMYFUNCTION("""COMPUTED_VALUE"""),"")</f>
        <v/>
      </c>
      <c r="I179" s="51" t="str">
        <f>IFERROR(__xludf.DUMMYFUNCTION("""COMPUTED_VALUE"""),"#VALUE!")</f>
        <v>#VALUE!</v>
      </c>
      <c r="J179" s="51" t="str">
        <f>IFERROR(__xludf.DUMMYFUNCTION("""COMPUTED_VALUE"""),"")</f>
        <v/>
      </c>
      <c r="K179" s="51"/>
      <c r="L179" s="51" t="s">
        <v>257</v>
      </c>
      <c r="M179" s="51"/>
      <c r="N179" s="51"/>
      <c r="O179" s="51"/>
      <c r="P179" s="51"/>
      <c r="Q179" s="51"/>
      <c r="R179" s="51"/>
      <c r="S179" s="51"/>
      <c r="T179" s="51"/>
    </row>
    <row r="180">
      <c r="A180" s="51"/>
      <c r="B180" s="51"/>
      <c r="C180" s="56"/>
      <c r="D180" s="51"/>
      <c r="E180" s="51"/>
      <c r="F180" s="51"/>
      <c r="G180" s="51" t="str">
        <f>IFERROR(__xludf.DUMMYFUNCTION("""COMPUTED_VALUE"""),"#VALUE!")</f>
        <v>#VALUE!</v>
      </c>
      <c r="H180" s="51" t="str">
        <f>IFERROR(__xludf.DUMMYFUNCTION("""COMPUTED_VALUE"""),"")</f>
        <v/>
      </c>
      <c r="I180" s="51" t="str">
        <f>IFERROR(__xludf.DUMMYFUNCTION("""COMPUTED_VALUE"""),"#VALUE!")</f>
        <v>#VALUE!</v>
      </c>
      <c r="J180" s="51" t="str">
        <f>IFERROR(__xludf.DUMMYFUNCTION("""COMPUTED_VALUE"""),"")</f>
        <v/>
      </c>
      <c r="K180" s="51"/>
      <c r="L180" s="51" t="s">
        <v>257</v>
      </c>
      <c r="M180" s="51"/>
      <c r="N180" s="51"/>
      <c r="O180" s="51"/>
      <c r="P180" s="51"/>
      <c r="Q180" s="51"/>
      <c r="R180" s="51"/>
      <c r="S180" s="51"/>
      <c r="T180" s="51"/>
    </row>
    <row r="181">
      <c r="A181" s="51"/>
      <c r="B181" s="51"/>
      <c r="C181" s="56"/>
      <c r="D181" s="51"/>
      <c r="E181" s="51"/>
      <c r="F181" s="51"/>
      <c r="G181" s="51" t="str">
        <f>IFERROR(__xludf.DUMMYFUNCTION("""COMPUTED_VALUE"""),"#VALUE!")</f>
        <v>#VALUE!</v>
      </c>
      <c r="H181" s="51" t="str">
        <f>IFERROR(__xludf.DUMMYFUNCTION("""COMPUTED_VALUE"""),"")</f>
        <v/>
      </c>
      <c r="I181" s="51" t="str">
        <f>IFERROR(__xludf.DUMMYFUNCTION("""COMPUTED_VALUE"""),"#VALUE!")</f>
        <v>#VALUE!</v>
      </c>
      <c r="J181" s="51" t="str">
        <f>IFERROR(__xludf.DUMMYFUNCTION("""COMPUTED_VALUE"""),"")</f>
        <v/>
      </c>
      <c r="K181" s="51"/>
      <c r="L181" s="51" t="s">
        <v>257</v>
      </c>
      <c r="M181" s="51"/>
      <c r="N181" s="51"/>
      <c r="O181" s="51"/>
      <c r="P181" s="51"/>
      <c r="Q181" s="51"/>
      <c r="R181" s="51"/>
      <c r="S181" s="51"/>
      <c r="T181" s="51"/>
    </row>
    <row r="182">
      <c r="A182" s="51"/>
      <c r="B182" s="51"/>
      <c r="C182" s="56"/>
      <c r="D182" s="51"/>
      <c r="E182" s="51"/>
      <c r="F182" s="51"/>
      <c r="G182" s="51" t="str">
        <f>IFERROR(__xludf.DUMMYFUNCTION("""COMPUTED_VALUE"""),"#VALUE!")</f>
        <v>#VALUE!</v>
      </c>
      <c r="H182" s="51" t="str">
        <f>IFERROR(__xludf.DUMMYFUNCTION("""COMPUTED_VALUE"""),"")</f>
        <v/>
      </c>
      <c r="I182" s="51" t="str">
        <f>IFERROR(__xludf.DUMMYFUNCTION("""COMPUTED_VALUE"""),"#VALUE!")</f>
        <v>#VALUE!</v>
      </c>
      <c r="J182" s="51" t="str">
        <f>IFERROR(__xludf.DUMMYFUNCTION("""COMPUTED_VALUE"""),"")</f>
        <v/>
      </c>
      <c r="K182" s="51"/>
      <c r="L182" s="51" t="s">
        <v>257</v>
      </c>
      <c r="M182" s="51"/>
      <c r="N182" s="51"/>
      <c r="O182" s="51"/>
      <c r="P182" s="51"/>
      <c r="Q182" s="51"/>
      <c r="R182" s="51"/>
      <c r="S182" s="51"/>
      <c r="T182" s="51"/>
    </row>
    <row r="183">
      <c r="A183" s="51"/>
      <c r="B183" s="51"/>
      <c r="C183" s="56"/>
      <c r="D183" s="51"/>
      <c r="E183" s="51"/>
      <c r="F183" s="51"/>
      <c r="G183" s="51" t="str">
        <f>IFERROR(__xludf.DUMMYFUNCTION("""COMPUTED_VALUE"""),"#VALUE!")</f>
        <v>#VALUE!</v>
      </c>
      <c r="H183" s="51" t="str">
        <f>IFERROR(__xludf.DUMMYFUNCTION("""COMPUTED_VALUE"""),"")</f>
        <v/>
      </c>
      <c r="I183" s="51" t="str">
        <f>IFERROR(__xludf.DUMMYFUNCTION("""COMPUTED_VALUE"""),"#VALUE!")</f>
        <v>#VALUE!</v>
      </c>
      <c r="J183" s="51" t="str">
        <f>IFERROR(__xludf.DUMMYFUNCTION("""COMPUTED_VALUE"""),"")</f>
        <v/>
      </c>
      <c r="K183" s="51"/>
      <c r="L183" s="51" t="s">
        <v>257</v>
      </c>
      <c r="M183" s="51"/>
      <c r="N183" s="51"/>
      <c r="O183" s="51"/>
      <c r="P183" s="51"/>
      <c r="Q183" s="51"/>
      <c r="R183" s="51"/>
      <c r="S183" s="51"/>
      <c r="T183" s="51"/>
    </row>
    <row r="184">
      <c r="A184" s="51"/>
      <c r="B184" s="51"/>
      <c r="C184" s="56"/>
      <c r="D184" s="51"/>
      <c r="E184" s="51"/>
      <c r="F184" s="51"/>
      <c r="G184" s="51" t="str">
        <f>IFERROR(__xludf.DUMMYFUNCTION("""COMPUTED_VALUE"""),"#VALUE!")</f>
        <v>#VALUE!</v>
      </c>
      <c r="H184" s="51" t="str">
        <f>IFERROR(__xludf.DUMMYFUNCTION("""COMPUTED_VALUE"""),"")</f>
        <v/>
      </c>
      <c r="I184" s="51" t="str">
        <f>IFERROR(__xludf.DUMMYFUNCTION("""COMPUTED_VALUE"""),"#VALUE!")</f>
        <v>#VALUE!</v>
      </c>
      <c r="J184" s="51" t="str">
        <f>IFERROR(__xludf.DUMMYFUNCTION("""COMPUTED_VALUE"""),"")</f>
        <v/>
      </c>
      <c r="K184" s="51"/>
      <c r="L184" s="51" t="s">
        <v>257</v>
      </c>
      <c r="M184" s="51"/>
      <c r="N184" s="51"/>
      <c r="O184" s="51"/>
      <c r="P184" s="51"/>
      <c r="Q184" s="51"/>
      <c r="R184" s="51"/>
      <c r="S184" s="51"/>
      <c r="T184" s="51"/>
    </row>
    <row r="185">
      <c r="A185" s="51"/>
      <c r="B185" s="51"/>
      <c r="C185" s="56"/>
      <c r="D185" s="51"/>
      <c r="E185" s="51"/>
      <c r="F185" s="51"/>
      <c r="G185" s="51" t="str">
        <f>IFERROR(__xludf.DUMMYFUNCTION("""COMPUTED_VALUE"""),"#VALUE!")</f>
        <v>#VALUE!</v>
      </c>
      <c r="H185" s="51" t="str">
        <f>IFERROR(__xludf.DUMMYFUNCTION("""COMPUTED_VALUE"""),"")</f>
        <v/>
      </c>
      <c r="I185" s="51" t="str">
        <f>IFERROR(__xludf.DUMMYFUNCTION("""COMPUTED_VALUE"""),"#VALUE!")</f>
        <v>#VALUE!</v>
      </c>
      <c r="J185" s="51" t="str">
        <f>IFERROR(__xludf.DUMMYFUNCTION("""COMPUTED_VALUE"""),"")</f>
        <v/>
      </c>
      <c r="K185" s="51"/>
      <c r="L185" s="51" t="s">
        <v>257</v>
      </c>
      <c r="M185" s="51"/>
      <c r="N185" s="51"/>
      <c r="O185" s="51"/>
      <c r="P185" s="51"/>
      <c r="Q185" s="51"/>
      <c r="R185" s="51"/>
      <c r="S185" s="51"/>
      <c r="T185" s="51"/>
    </row>
    <row r="186">
      <c r="A186" s="51"/>
      <c r="B186" s="51"/>
      <c r="C186" s="56"/>
      <c r="D186" s="51"/>
      <c r="E186" s="51"/>
      <c r="F186" s="51"/>
      <c r="G186" s="51" t="str">
        <f>IFERROR(__xludf.DUMMYFUNCTION("""COMPUTED_VALUE"""),"#VALUE!")</f>
        <v>#VALUE!</v>
      </c>
      <c r="H186" s="51" t="str">
        <f>IFERROR(__xludf.DUMMYFUNCTION("""COMPUTED_VALUE"""),"")</f>
        <v/>
      </c>
      <c r="I186" s="51" t="str">
        <f>IFERROR(__xludf.DUMMYFUNCTION("""COMPUTED_VALUE"""),"#VALUE!")</f>
        <v>#VALUE!</v>
      </c>
      <c r="J186" s="51" t="str">
        <f>IFERROR(__xludf.DUMMYFUNCTION("""COMPUTED_VALUE"""),"")</f>
        <v/>
      </c>
      <c r="K186" s="51"/>
      <c r="L186" s="51" t="s">
        <v>257</v>
      </c>
      <c r="M186" s="51"/>
      <c r="N186" s="51"/>
      <c r="O186" s="51"/>
      <c r="P186" s="51"/>
      <c r="Q186" s="51"/>
      <c r="R186" s="51"/>
      <c r="S186" s="51"/>
      <c r="T186" s="51"/>
    </row>
    <row r="187">
      <c r="A187" s="51"/>
      <c r="B187" s="51"/>
      <c r="C187" s="56"/>
      <c r="D187" s="51"/>
      <c r="E187" s="51"/>
      <c r="F187" s="51"/>
      <c r="G187" s="51" t="str">
        <f>IFERROR(__xludf.DUMMYFUNCTION("""COMPUTED_VALUE"""),"#VALUE!")</f>
        <v>#VALUE!</v>
      </c>
      <c r="H187" s="51" t="str">
        <f>IFERROR(__xludf.DUMMYFUNCTION("""COMPUTED_VALUE"""),"")</f>
        <v/>
      </c>
      <c r="I187" s="51" t="str">
        <f>IFERROR(__xludf.DUMMYFUNCTION("""COMPUTED_VALUE"""),"#VALUE!")</f>
        <v>#VALUE!</v>
      </c>
      <c r="J187" s="51" t="str">
        <f>IFERROR(__xludf.DUMMYFUNCTION("""COMPUTED_VALUE"""),"")</f>
        <v/>
      </c>
      <c r="K187" s="51"/>
      <c r="L187" s="51" t="s">
        <v>257</v>
      </c>
      <c r="M187" s="51"/>
      <c r="N187" s="51"/>
      <c r="O187" s="51"/>
      <c r="P187" s="51"/>
      <c r="Q187" s="51"/>
      <c r="R187" s="51"/>
      <c r="S187" s="51"/>
      <c r="T187" s="51"/>
    </row>
    <row r="188">
      <c r="A188" s="51"/>
      <c r="B188" s="51"/>
      <c r="C188" s="56"/>
      <c r="D188" s="51"/>
      <c r="E188" s="51"/>
      <c r="F188" s="51"/>
      <c r="G188" s="51" t="str">
        <f>IFERROR(__xludf.DUMMYFUNCTION("""COMPUTED_VALUE"""),"#VALUE!")</f>
        <v>#VALUE!</v>
      </c>
      <c r="H188" s="51" t="str">
        <f>IFERROR(__xludf.DUMMYFUNCTION("""COMPUTED_VALUE"""),"")</f>
        <v/>
      </c>
      <c r="I188" s="51" t="str">
        <f>IFERROR(__xludf.DUMMYFUNCTION("""COMPUTED_VALUE"""),"#VALUE!")</f>
        <v>#VALUE!</v>
      </c>
      <c r="J188" s="51" t="str">
        <f>IFERROR(__xludf.DUMMYFUNCTION("""COMPUTED_VALUE"""),"")</f>
        <v/>
      </c>
      <c r="K188" s="51"/>
      <c r="L188" s="51" t="s">
        <v>257</v>
      </c>
      <c r="M188" s="51"/>
      <c r="N188" s="51"/>
      <c r="O188" s="51"/>
      <c r="P188" s="51"/>
      <c r="Q188" s="51"/>
      <c r="R188" s="51"/>
      <c r="S188" s="51"/>
      <c r="T188" s="51"/>
    </row>
    <row r="189">
      <c r="A189" s="51"/>
      <c r="B189" s="51"/>
      <c r="C189" s="56"/>
      <c r="D189" s="51"/>
      <c r="E189" s="51"/>
      <c r="F189" s="51"/>
      <c r="G189" s="51" t="str">
        <f>IFERROR(__xludf.DUMMYFUNCTION("""COMPUTED_VALUE"""),"#VALUE!")</f>
        <v>#VALUE!</v>
      </c>
      <c r="H189" s="51" t="str">
        <f>IFERROR(__xludf.DUMMYFUNCTION("""COMPUTED_VALUE"""),"")</f>
        <v/>
      </c>
      <c r="I189" s="51" t="str">
        <f>IFERROR(__xludf.DUMMYFUNCTION("""COMPUTED_VALUE"""),"#VALUE!")</f>
        <v>#VALUE!</v>
      </c>
      <c r="J189" s="51" t="str">
        <f>IFERROR(__xludf.DUMMYFUNCTION("""COMPUTED_VALUE"""),"")</f>
        <v/>
      </c>
      <c r="K189" s="51"/>
      <c r="L189" s="51" t="s">
        <v>257</v>
      </c>
      <c r="M189" s="51"/>
      <c r="N189" s="51"/>
      <c r="O189" s="51"/>
      <c r="P189" s="51"/>
      <c r="Q189" s="51"/>
      <c r="R189" s="51"/>
      <c r="S189" s="51"/>
      <c r="T189" s="51"/>
    </row>
    <row r="190">
      <c r="A190" s="51"/>
      <c r="B190" s="51"/>
      <c r="C190" s="56"/>
      <c r="D190" s="51"/>
      <c r="E190" s="51"/>
      <c r="F190" s="51"/>
      <c r="G190" s="51" t="str">
        <f>IFERROR(__xludf.DUMMYFUNCTION("""COMPUTED_VALUE"""),"#VALUE!")</f>
        <v>#VALUE!</v>
      </c>
      <c r="H190" s="51" t="str">
        <f>IFERROR(__xludf.DUMMYFUNCTION("""COMPUTED_VALUE"""),"")</f>
        <v/>
      </c>
      <c r="I190" s="51" t="str">
        <f>IFERROR(__xludf.DUMMYFUNCTION("""COMPUTED_VALUE"""),"#VALUE!")</f>
        <v>#VALUE!</v>
      </c>
      <c r="J190" s="51" t="str">
        <f>IFERROR(__xludf.DUMMYFUNCTION("""COMPUTED_VALUE"""),"")</f>
        <v/>
      </c>
      <c r="K190" s="51"/>
      <c r="L190" s="51" t="s">
        <v>257</v>
      </c>
      <c r="M190" s="51"/>
      <c r="N190" s="51"/>
      <c r="O190" s="51"/>
      <c r="P190" s="51"/>
      <c r="Q190" s="51"/>
      <c r="R190" s="51"/>
      <c r="S190" s="51"/>
      <c r="T190" s="51"/>
    </row>
    <row r="191">
      <c r="A191" s="51"/>
      <c r="B191" s="51"/>
      <c r="C191" s="56"/>
      <c r="D191" s="51"/>
      <c r="E191" s="51"/>
      <c r="F191" s="51"/>
      <c r="G191" s="51" t="str">
        <f>IFERROR(__xludf.DUMMYFUNCTION("""COMPUTED_VALUE"""),"#VALUE!")</f>
        <v>#VALUE!</v>
      </c>
      <c r="H191" s="51" t="str">
        <f>IFERROR(__xludf.DUMMYFUNCTION("""COMPUTED_VALUE"""),"")</f>
        <v/>
      </c>
      <c r="I191" s="51" t="str">
        <f>IFERROR(__xludf.DUMMYFUNCTION("""COMPUTED_VALUE"""),"#VALUE!")</f>
        <v>#VALUE!</v>
      </c>
      <c r="J191" s="51" t="str">
        <f>IFERROR(__xludf.DUMMYFUNCTION("""COMPUTED_VALUE"""),"")</f>
        <v/>
      </c>
      <c r="K191" s="51"/>
      <c r="L191" s="51" t="s">
        <v>257</v>
      </c>
      <c r="M191" s="51"/>
      <c r="N191" s="51"/>
      <c r="O191" s="51"/>
      <c r="P191" s="51"/>
      <c r="Q191" s="51"/>
      <c r="R191" s="51"/>
      <c r="S191" s="51"/>
      <c r="T191" s="51"/>
    </row>
    <row r="192">
      <c r="A192" s="51"/>
      <c r="B192" s="51"/>
      <c r="C192" s="56"/>
      <c r="D192" s="51"/>
      <c r="E192" s="51"/>
      <c r="F192" s="51"/>
      <c r="G192" s="51" t="str">
        <f>IFERROR(__xludf.DUMMYFUNCTION("""COMPUTED_VALUE"""),"#VALUE!")</f>
        <v>#VALUE!</v>
      </c>
      <c r="H192" s="51" t="str">
        <f>IFERROR(__xludf.DUMMYFUNCTION("""COMPUTED_VALUE"""),"")</f>
        <v/>
      </c>
      <c r="I192" s="51" t="str">
        <f>IFERROR(__xludf.DUMMYFUNCTION("""COMPUTED_VALUE"""),"#VALUE!")</f>
        <v>#VALUE!</v>
      </c>
      <c r="J192" s="51" t="str">
        <f>IFERROR(__xludf.DUMMYFUNCTION("""COMPUTED_VALUE"""),"")</f>
        <v/>
      </c>
      <c r="K192" s="51"/>
      <c r="L192" s="51" t="s">
        <v>257</v>
      </c>
      <c r="M192" s="51"/>
      <c r="N192" s="51"/>
      <c r="O192" s="51"/>
      <c r="P192" s="51"/>
      <c r="Q192" s="51"/>
      <c r="R192" s="51"/>
      <c r="S192" s="51"/>
      <c r="T192" s="51"/>
    </row>
    <row r="193">
      <c r="A193" s="51"/>
      <c r="B193" s="51"/>
      <c r="C193" s="56"/>
      <c r="D193" s="51"/>
      <c r="E193" s="51"/>
      <c r="F193" s="51"/>
      <c r="G193" s="51" t="str">
        <f>IFERROR(__xludf.DUMMYFUNCTION("""COMPUTED_VALUE"""),"#VALUE!")</f>
        <v>#VALUE!</v>
      </c>
      <c r="H193" s="51" t="str">
        <f>IFERROR(__xludf.DUMMYFUNCTION("""COMPUTED_VALUE"""),"")</f>
        <v/>
      </c>
      <c r="I193" s="51" t="str">
        <f>IFERROR(__xludf.DUMMYFUNCTION("""COMPUTED_VALUE"""),"#VALUE!")</f>
        <v>#VALUE!</v>
      </c>
      <c r="J193" s="51" t="str">
        <f>IFERROR(__xludf.DUMMYFUNCTION("""COMPUTED_VALUE"""),"")</f>
        <v/>
      </c>
      <c r="K193" s="51"/>
      <c r="L193" s="51" t="s">
        <v>257</v>
      </c>
      <c r="M193" s="51"/>
      <c r="N193" s="51"/>
      <c r="O193" s="51"/>
      <c r="P193" s="51"/>
      <c r="Q193" s="51"/>
      <c r="R193" s="51"/>
      <c r="S193" s="51"/>
      <c r="T193" s="51"/>
    </row>
    <row r="194">
      <c r="A194" s="51"/>
      <c r="B194" s="51"/>
      <c r="C194" s="56"/>
      <c r="D194" s="51"/>
      <c r="E194" s="51"/>
      <c r="F194" s="51"/>
      <c r="G194" s="51" t="str">
        <f>IFERROR(__xludf.DUMMYFUNCTION("""COMPUTED_VALUE"""),"#VALUE!")</f>
        <v>#VALUE!</v>
      </c>
      <c r="H194" s="51" t="str">
        <f>IFERROR(__xludf.DUMMYFUNCTION("""COMPUTED_VALUE"""),"")</f>
        <v/>
      </c>
      <c r="I194" s="51" t="str">
        <f>IFERROR(__xludf.DUMMYFUNCTION("""COMPUTED_VALUE"""),"#VALUE!")</f>
        <v>#VALUE!</v>
      </c>
      <c r="J194" s="51" t="str">
        <f>IFERROR(__xludf.DUMMYFUNCTION("""COMPUTED_VALUE"""),"")</f>
        <v/>
      </c>
      <c r="K194" s="51"/>
      <c r="L194" s="51" t="s">
        <v>257</v>
      </c>
      <c r="M194" s="51"/>
      <c r="N194" s="51"/>
      <c r="O194" s="51"/>
      <c r="P194" s="51"/>
      <c r="Q194" s="51"/>
      <c r="R194" s="51"/>
      <c r="S194" s="51"/>
      <c r="T194" s="51"/>
    </row>
    <row r="195">
      <c r="A195" s="51"/>
      <c r="B195" s="51"/>
      <c r="C195" s="56"/>
      <c r="D195" s="51"/>
      <c r="E195" s="51"/>
      <c r="F195" s="51"/>
      <c r="G195" s="51" t="str">
        <f>IFERROR(__xludf.DUMMYFUNCTION("""COMPUTED_VALUE"""),"#VALUE!")</f>
        <v>#VALUE!</v>
      </c>
      <c r="H195" s="51" t="str">
        <f>IFERROR(__xludf.DUMMYFUNCTION("""COMPUTED_VALUE"""),"")</f>
        <v/>
      </c>
      <c r="I195" s="51" t="str">
        <f>IFERROR(__xludf.DUMMYFUNCTION("""COMPUTED_VALUE"""),"#VALUE!")</f>
        <v>#VALUE!</v>
      </c>
      <c r="J195" s="51" t="str">
        <f>IFERROR(__xludf.DUMMYFUNCTION("""COMPUTED_VALUE"""),"")</f>
        <v/>
      </c>
      <c r="K195" s="51"/>
      <c r="L195" s="51" t="s">
        <v>257</v>
      </c>
      <c r="M195" s="51"/>
      <c r="N195" s="51"/>
      <c r="O195" s="51"/>
      <c r="P195" s="51"/>
      <c r="Q195" s="51"/>
      <c r="R195" s="51"/>
      <c r="S195" s="51"/>
      <c r="T195" s="51"/>
    </row>
    <row r="196">
      <c r="A196" s="51"/>
      <c r="B196" s="51"/>
      <c r="C196" s="56"/>
      <c r="D196" s="51"/>
      <c r="E196" s="51"/>
      <c r="F196" s="51"/>
      <c r="G196" s="51" t="str">
        <f>IFERROR(__xludf.DUMMYFUNCTION("""COMPUTED_VALUE"""),"#VALUE!")</f>
        <v>#VALUE!</v>
      </c>
      <c r="H196" s="51" t="str">
        <f>IFERROR(__xludf.DUMMYFUNCTION("""COMPUTED_VALUE"""),"")</f>
        <v/>
      </c>
      <c r="I196" s="51" t="str">
        <f>IFERROR(__xludf.DUMMYFUNCTION("""COMPUTED_VALUE"""),"#VALUE!")</f>
        <v>#VALUE!</v>
      </c>
      <c r="J196" s="51" t="str">
        <f>IFERROR(__xludf.DUMMYFUNCTION("""COMPUTED_VALUE"""),"")</f>
        <v/>
      </c>
      <c r="K196" s="51"/>
      <c r="L196" s="51" t="s">
        <v>257</v>
      </c>
      <c r="M196" s="51"/>
      <c r="N196" s="51"/>
      <c r="O196" s="51"/>
      <c r="P196" s="51"/>
      <c r="Q196" s="51"/>
      <c r="R196" s="51"/>
      <c r="S196" s="51"/>
      <c r="T196" s="51"/>
    </row>
    <row r="197">
      <c r="A197" s="51"/>
      <c r="B197" s="51"/>
      <c r="C197" s="56"/>
      <c r="D197" s="51"/>
      <c r="E197" s="51"/>
      <c r="F197" s="51"/>
      <c r="G197" s="51" t="str">
        <f>IFERROR(__xludf.DUMMYFUNCTION("""COMPUTED_VALUE"""),"#VALUE!")</f>
        <v>#VALUE!</v>
      </c>
      <c r="H197" s="51" t="str">
        <f>IFERROR(__xludf.DUMMYFUNCTION("""COMPUTED_VALUE"""),"")</f>
        <v/>
      </c>
      <c r="I197" s="51" t="str">
        <f>IFERROR(__xludf.DUMMYFUNCTION("""COMPUTED_VALUE"""),"#VALUE!")</f>
        <v>#VALUE!</v>
      </c>
      <c r="J197" s="51" t="str">
        <f>IFERROR(__xludf.DUMMYFUNCTION("""COMPUTED_VALUE"""),"")</f>
        <v/>
      </c>
      <c r="K197" s="51"/>
      <c r="L197" s="51" t="s">
        <v>257</v>
      </c>
      <c r="M197" s="51"/>
      <c r="N197" s="51"/>
      <c r="O197" s="51"/>
      <c r="P197" s="51"/>
      <c r="Q197" s="51"/>
      <c r="R197" s="51"/>
      <c r="S197" s="51"/>
      <c r="T197" s="51"/>
    </row>
    <row r="198">
      <c r="A198" s="51"/>
      <c r="B198" s="51"/>
      <c r="C198" s="56"/>
      <c r="D198" s="51"/>
      <c r="E198" s="51"/>
      <c r="F198" s="51"/>
      <c r="G198" s="51" t="str">
        <f>IFERROR(__xludf.DUMMYFUNCTION("""COMPUTED_VALUE"""),"#VALUE!")</f>
        <v>#VALUE!</v>
      </c>
      <c r="H198" s="51" t="str">
        <f>IFERROR(__xludf.DUMMYFUNCTION("""COMPUTED_VALUE"""),"")</f>
        <v/>
      </c>
      <c r="I198" s="51" t="str">
        <f>IFERROR(__xludf.DUMMYFUNCTION("""COMPUTED_VALUE"""),"#VALUE!")</f>
        <v>#VALUE!</v>
      </c>
      <c r="J198" s="51" t="str">
        <f>IFERROR(__xludf.DUMMYFUNCTION("""COMPUTED_VALUE"""),"")</f>
        <v/>
      </c>
      <c r="K198" s="51"/>
      <c r="L198" s="51" t="s">
        <v>257</v>
      </c>
      <c r="M198" s="51"/>
      <c r="N198" s="51"/>
      <c r="O198" s="51"/>
      <c r="P198" s="51"/>
      <c r="Q198" s="51"/>
      <c r="R198" s="51"/>
      <c r="S198" s="51"/>
      <c r="T198" s="51"/>
    </row>
    <row r="199">
      <c r="A199" s="51"/>
      <c r="B199" s="51"/>
      <c r="C199" s="56"/>
      <c r="D199" s="51"/>
      <c r="E199" s="51"/>
      <c r="F199" s="51"/>
      <c r="G199" s="51" t="str">
        <f>IFERROR(__xludf.DUMMYFUNCTION("""COMPUTED_VALUE"""),"#VALUE!")</f>
        <v>#VALUE!</v>
      </c>
      <c r="H199" s="51" t="str">
        <f>IFERROR(__xludf.DUMMYFUNCTION("""COMPUTED_VALUE"""),"")</f>
        <v/>
      </c>
      <c r="I199" s="51" t="str">
        <f>IFERROR(__xludf.DUMMYFUNCTION("""COMPUTED_VALUE"""),"#VALUE!")</f>
        <v>#VALUE!</v>
      </c>
      <c r="J199" s="51" t="str">
        <f>IFERROR(__xludf.DUMMYFUNCTION("""COMPUTED_VALUE"""),"")</f>
        <v/>
      </c>
      <c r="K199" s="51"/>
      <c r="L199" s="51" t="s">
        <v>257</v>
      </c>
      <c r="M199" s="51"/>
      <c r="N199" s="51"/>
      <c r="O199" s="51"/>
      <c r="P199" s="51"/>
      <c r="Q199" s="51"/>
      <c r="R199" s="51"/>
      <c r="S199" s="51"/>
      <c r="T199" s="51"/>
    </row>
    <row r="200">
      <c r="A200" s="51"/>
      <c r="B200" s="51"/>
      <c r="C200" s="56"/>
      <c r="D200" s="51"/>
      <c r="E200" s="51"/>
      <c r="F200" s="51"/>
      <c r="G200" s="51" t="str">
        <f>IFERROR(__xludf.DUMMYFUNCTION("""COMPUTED_VALUE"""),"#VALUE!")</f>
        <v>#VALUE!</v>
      </c>
      <c r="H200" s="51" t="str">
        <f>IFERROR(__xludf.DUMMYFUNCTION("""COMPUTED_VALUE"""),"")</f>
        <v/>
      </c>
      <c r="I200" s="51" t="str">
        <f>IFERROR(__xludf.DUMMYFUNCTION("""COMPUTED_VALUE"""),"#VALUE!")</f>
        <v>#VALUE!</v>
      </c>
      <c r="J200" s="51" t="str">
        <f>IFERROR(__xludf.DUMMYFUNCTION("""COMPUTED_VALUE"""),"")</f>
        <v/>
      </c>
      <c r="K200" s="51"/>
      <c r="L200" s="51" t="s">
        <v>257</v>
      </c>
      <c r="M200" s="51"/>
      <c r="N200" s="51"/>
      <c r="O200" s="51"/>
      <c r="P200" s="51"/>
      <c r="Q200" s="51"/>
      <c r="R200" s="51"/>
      <c r="S200" s="51"/>
      <c r="T200" s="51"/>
    </row>
    <row r="201">
      <c r="A201" s="51"/>
      <c r="B201" s="51"/>
      <c r="C201" s="56"/>
      <c r="D201" s="51"/>
      <c r="E201" s="51"/>
      <c r="F201" s="51"/>
      <c r="G201" s="51" t="str">
        <f>IFERROR(__xludf.DUMMYFUNCTION("""COMPUTED_VALUE"""),"#VALUE!")</f>
        <v>#VALUE!</v>
      </c>
      <c r="H201" s="51" t="str">
        <f>IFERROR(__xludf.DUMMYFUNCTION("""COMPUTED_VALUE"""),"")</f>
        <v/>
      </c>
      <c r="I201" s="51" t="str">
        <f>IFERROR(__xludf.DUMMYFUNCTION("""COMPUTED_VALUE"""),"#VALUE!")</f>
        <v>#VALUE!</v>
      </c>
      <c r="J201" s="51" t="str">
        <f>IFERROR(__xludf.DUMMYFUNCTION("""COMPUTED_VALUE"""),"")</f>
        <v/>
      </c>
      <c r="K201" s="51"/>
      <c r="L201" s="51" t="s">
        <v>257</v>
      </c>
      <c r="M201" s="51"/>
      <c r="N201" s="51"/>
      <c r="O201" s="51"/>
      <c r="P201" s="51"/>
      <c r="Q201" s="51"/>
      <c r="R201" s="51"/>
      <c r="S201" s="51"/>
      <c r="T201" s="51"/>
    </row>
    <row r="202">
      <c r="A202" s="51"/>
      <c r="B202" s="51"/>
      <c r="C202" s="56"/>
      <c r="D202" s="51"/>
      <c r="E202" s="51"/>
      <c r="F202" s="51"/>
      <c r="G202" s="51" t="str">
        <f>IFERROR(__xludf.DUMMYFUNCTION("""COMPUTED_VALUE"""),"#VALUE!")</f>
        <v>#VALUE!</v>
      </c>
      <c r="H202" s="51" t="str">
        <f>IFERROR(__xludf.DUMMYFUNCTION("""COMPUTED_VALUE"""),"")</f>
        <v/>
      </c>
      <c r="I202" s="51" t="str">
        <f>IFERROR(__xludf.DUMMYFUNCTION("""COMPUTED_VALUE"""),"#VALUE!")</f>
        <v>#VALUE!</v>
      </c>
      <c r="J202" s="51" t="str">
        <f>IFERROR(__xludf.DUMMYFUNCTION("""COMPUTED_VALUE"""),"")</f>
        <v/>
      </c>
      <c r="K202" s="51"/>
      <c r="L202" s="51" t="s">
        <v>257</v>
      </c>
      <c r="M202" s="51"/>
      <c r="N202" s="51"/>
      <c r="O202" s="51"/>
      <c r="P202" s="51"/>
      <c r="Q202" s="51"/>
      <c r="R202" s="51"/>
      <c r="S202" s="51"/>
      <c r="T202" s="51"/>
    </row>
    <row r="203">
      <c r="A203" s="51"/>
      <c r="B203" s="51"/>
      <c r="C203" s="56"/>
      <c r="D203" s="51"/>
      <c r="E203" s="51"/>
      <c r="F203" s="51"/>
      <c r="G203" s="51" t="str">
        <f>IFERROR(__xludf.DUMMYFUNCTION("""COMPUTED_VALUE"""),"#VALUE!")</f>
        <v>#VALUE!</v>
      </c>
      <c r="H203" s="51" t="str">
        <f>IFERROR(__xludf.DUMMYFUNCTION("""COMPUTED_VALUE"""),"")</f>
        <v/>
      </c>
      <c r="I203" s="51" t="str">
        <f>IFERROR(__xludf.DUMMYFUNCTION("""COMPUTED_VALUE"""),"#VALUE!")</f>
        <v>#VALUE!</v>
      </c>
      <c r="J203" s="51" t="str">
        <f>IFERROR(__xludf.DUMMYFUNCTION("""COMPUTED_VALUE"""),"")</f>
        <v/>
      </c>
      <c r="K203" s="51"/>
      <c r="L203" s="51" t="s">
        <v>257</v>
      </c>
      <c r="M203" s="51"/>
      <c r="N203" s="51"/>
      <c r="O203" s="51"/>
      <c r="P203" s="51"/>
      <c r="Q203" s="51"/>
      <c r="R203" s="51"/>
      <c r="S203" s="51"/>
      <c r="T203" s="51"/>
    </row>
    <row r="204">
      <c r="A204" s="51"/>
      <c r="B204" s="51"/>
      <c r="C204" s="56"/>
      <c r="D204" s="51"/>
      <c r="E204" s="51"/>
      <c r="F204" s="51"/>
      <c r="G204" s="51" t="str">
        <f>IFERROR(__xludf.DUMMYFUNCTION("""COMPUTED_VALUE"""),"#VALUE!")</f>
        <v>#VALUE!</v>
      </c>
      <c r="H204" s="51" t="str">
        <f>IFERROR(__xludf.DUMMYFUNCTION("""COMPUTED_VALUE"""),"")</f>
        <v/>
      </c>
      <c r="I204" s="51" t="str">
        <f>IFERROR(__xludf.DUMMYFUNCTION("""COMPUTED_VALUE"""),"#VALUE!")</f>
        <v>#VALUE!</v>
      </c>
      <c r="J204" s="51" t="str">
        <f>IFERROR(__xludf.DUMMYFUNCTION("""COMPUTED_VALUE"""),"")</f>
        <v/>
      </c>
      <c r="K204" s="51"/>
      <c r="L204" s="51" t="s">
        <v>257</v>
      </c>
      <c r="M204" s="51"/>
      <c r="N204" s="51"/>
      <c r="O204" s="51"/>
      <c r="P204" s="51"/>
      <c r="Q204" s="51"/>
      <c r="R204" s="51"/>
      <c r="S204" s="51"/>
      <c r="T204" s="51"/>
    </row>
    <row r="205">
      <c r="A205" s="51"/>
      <c r="B205" s="51"/>
      <c r="C205" s="56"/>
      <c r="D205" s="51"/>
      <c r="E205" s="51"/>
      <c r="F205" s="51"/>
      <c r="G205" s="51" t="str">
        <f>IFERROR(__xludf.DUMMYFUNCTION("""COMPUTED_VALUE"""),"#VALUE!")</f>
        <v>#VALUE!</v>
      </c>
      <c r="H205" s="51" t="str">
        <f>IFERROR(__xludf.DUMMYFUNCTION("""COMPUTED_VALUE"""),"")</f>
        <v/>
      </c>
      <c r="I205" s="51" t="str">
        <f>IFERROR(__xludf.DUMMYFUNCTION("""COMPUTED_VALUE"""),"#VALUE!")</f>
        <v>#VALUE!</v>
      </c>
      <c r="J205" s="51" t="str">
        <f>IFERROR(__xludf.DUMMYFUNCTION("""COMPUTED_VALUE"""),"")</f>
        <v/>
      </c>
      <c r="K205" s="51"/>
      <c r="L205" s="51" t="s">
        <v>257</v>
      </c>
      <c r="M205" s="51"/>
      <c r="N205" s="51"/>
      <c r="O205" s="51"/>
      <c r="P205" s="51"/>
      <c r="Q205" s="51"/>
      <c r="R205" s="51"/>
      <c r="S205" s="51"/>
      <c r="T205" s="51"/>
    </row>
    <row r="206">
      <c r="A206" s="51"/>
      <c r="B206" s="51"/>
      <c r="C206" s="56"/>
      <c r="D206" s="51"/>
      <c r="E206" s="51"/>
      <c r="F206" s="51"/>
      <c r="G206" s="51" t="str">
        <f>IFERROR(__xludf.DUMMYFUNCTION("""COMPUTED_VALUE"""),"#VALUE!")</f>
        <v>#VALUE!</v>
      </c>
      <c r="H206" s="51" t="str">
        <f>IFERROR(__xludf.DUMMYFUNCTION("""COMPUTED_VALUE"""),"")</f>
        <v/>
      </c>
      <c r="I206" s="51" t="str">
        <f>IFERROR(__xludf.DUMMYFUNCTION("""COMPUTED_VALUE"""),"#VALUE!")</f>
        <v>#VALUE!</v>
      </c>
      <c r="J206" s="51" t="str">
        <f>IFERROR(__xludf.DUMMYFUNCTION("""COMPUTED_VALUE"""),"")</f>
        <v/>
      </c>
      <c r="K206" s="51"/>
      <c r="L206" s="51" t="s">
        <v>257</v>
      </c>
      <c r="M206" s="51"/>
      <c r="N206" s="51"/>
      <c r="O206" s="51"/>
      <c r="P206" s="51"/>
      <c r="Q206" s="51"/>
      <c r="R206" s="51"/>
      <c r="S206" s="51"/>
      <c r="T206" s="51"/>
    </row>
    <row r="207">
      <c r="A207" s="51"/>
      <c r="B207" s="51"/>
      <c r="C207" s="56"/>
      <c r="D207" s="51"/>
      <c r="E207" s="51"/>
      <c r="F207" s="51"/>
      <c r="G207" s="51" t="str">
        <f>IFERROR(__xludf.DUMMYFUNCTION("""COMPUTED_VALUE"""),"#VALUE!")</f>
        <v>#VALUE!</v>
      </c>
      <c r="H207" s="51" t="str">
        <f>IFERROR(__xludf.DUMMYFUNCTION("""COMPUTED_VALUE"""),"")</f>
        <v/>
      </c>
      <c r="I207" s="51" t="str">
        <f>IFERROR(__xludf.DUMMYFUNCTION("""COMPUTED_VALUE"""),"#VALUE!")</f>
        <v>#VALUE!</v>
      </c>
      <c r="J207" s="51" t="str">
        <f>IFERROR(__xludf.DUMMYFUNCTION("""COMPUTED_VALUE"""),"")</f>
        <v/>
      </c>
      <c r="K207" s="51"/>
      <c r="L207" s="51" t="s">
        <v>257</v>
      </c>
      <c r="M207" s="51"/>
      <c r="N207" s="51"/>
      <c r="O207" s="51"/>
      <c r="P207" s="51"/>
      <c r="Q207" s="51"/>
      <c r="R207" s="51"/>
      <c r="S207" s="51"/>
      <c r="T207" s="51"/>
    </row>
    <row r="208">
      <c r="A208" s="51"/>
      <c r="B208" s="51"/>
      <c r="C208" s="56"/>
      <c r="D208" s="51"/>
      <c r="E208" s="51"/>
      <c r="F208" s="51"/>
      <c r="G208" s="51" t="str">
        <f>IFERROR(__xludf.DUMMYFUNCTION("""COMPUTED_VALUE"""),"#VALUE!")</f>
        <v>#VALUE!</v>
      </c>
      <c r="H208" s="51" t="str">
        <f>IFERROR(__xludf.DUMMYFUNCTION("""COMPUTED_VALUE"""),"")</f>
        <v/>
      </c>
      <c r="I208" s="51" t="str">
        <f>IFERROR(__xludf.DUMMYFUNCTION("""COMPUTED_VALUE"""),"#VALUE!")</f>
        <v>#VALUE!</v>
      </c>
      <c r="J208" s="51" t="str">
        <f>IFERROR(__xludf.DUMMYFUNCTION("""COMPUTED_VALUE"""),"")</f>
        <v/>
      </c>
      <c r="K208" s="51"/>
      <c r="L208" s="51" t="s">
        <v>257</v>
      </c>
      <c r="M208" s="51"/>
      <c r="N208" s="51"/>
      <c r="O208" s="51"/>
      <c r="P208" s="51"/>
      <c r="Q208" s="51"/>
      <c r="R208" s="51"/>
      <c r="S208" s="51"/>
      <c r="T208" s="51"/>
    </row>
    <row r="209">
      <c r="A209" s="51"/>
      <c r="B209" s="51"/>
      <c r="C209" s="56"/>
      <c r="D209" s="51"/>
      <c r="E209" s="51"/>
      <c r="F209" s="51"/>
      <c r="G209" s="51" t="str">
        <f>IFERROR(__xludf.DUMMYFUNCTION("""COMPUTED_VALUE"""),"#VALUE!")</f>
        <v>#VALUE!</v>
      </c>
      <c r="H209" s="51" t="str">
        <f>IFERROR(__xludf.DUMMYFUNCTION("""COMPUTED_VALUE"""),"")</f>
        <v/>
      </c>
      <c r="I209" s="51" t="str">
        <f>IFERROR(__xludf.DUMMYFUNCTION("""COMPUTED_VALUE"""),"#VALUE!")</f>
        <v>#VALUE!</v>
      </c>
      <c r="J209" s="51" t="str">
        <f>IFERROR(__xludf.DUMMYFUNCTION("""COMPUTED_VALUE"""),"")</f>
        <v/>
      </c>
      <c r="K209" s="51"/>
      <c r="L209" s="51" t="s">
        <v>257</v>
      </c>
      <c r="M209" s="51"/>
      <c r="N209" s="51"/>
      <c r="O209" s="51"/>
      <c r="P209" s="51"/>
      <c r="Q209" s="51"/>
      <c r="R209" s="51"/>
      <c r="S209" s="51"/>
      <c r="T209" s="51"/>
    </row>
    <row r="210">
      <c r="A210" s="51"/>
      <c r="B210" s="51"/>
      <c r="C210" s="56"/>
      <c r="D210" s="51"/>
      <c r="E210" s="51"/>
      <c r="F210" s="51"/>
      <c r="G210" s="51" t="str">
        <f>IFERROR(__xludf.DUMMYFUNCTION("""COMPUTED_VALUE"""),"#VALUE!")</f>
        <v>#VALUE!</v>
      </c>
      <c r="H210" s="51" t="str">
        <f>IFERROR(__xludf.DUMMYFUNCTION("""COMPUTED_VALUE"""),"")</f>
        <v/>
      </c>
      <c r="I210" s="51" t="str">
        <f>IFERROR(__xludf.DUMMYFUNCTION("""COMPUTED_VALUE"""),"#VALUE!")</f>
        <v>#VALUE!</v>
      </c>
      <c r="J210" s="51" t="str">
        <f>IFERROR(__xludf.DUMMYFUNCTION("""COMPUTED_VALUE"""),"")</f>
        <v/>
      </c>
      <c r="K210" s="51"/>
      <c r="L210" s="51" t="s">
        <v>257</v>
      </c>
      <c r="M210" s="51"/>
      <c r="N210" s="51"/>
      <c r="O210" s="51"/>
      <c r="P210" s="51"/>
      <c r="Q210" s="51"/>
      <c r="R210" s="51"/>
      <c r="S210" s="51"/>
      <c r="T210" s="51"/>
    </row>
    <row r="211">
      <c r="A211" s="51"/>
      <c r="B211" s="51"/>
      <c r="C211" s="56"/>
      <c r="D211" s="51"/>
      <c r="E211" s="51"/>
      <c r="F211" s="51"/>
      <c r="G211" s="51" t="str">
        <f>IFERROR(__xludf.DUMMYFUNCTION("""COMPUTED_VALUE"""),"#VALUE!")</f>
        <v>#VALUE!</v>
      </c>
      <c r="H211" s="51" t="str">
        <f>IFERROR(__xludf.DUMMYFUNCTION("""COMPUTED_VALUE"""),"")</f>
        <v/>
      </c>
      <c r="I211" s="51" t="str">
        <f>IFERROR(__xludf.DUMMYFUNCTION("""COMPUTED_VALUE"""),"#VALUE!")</f>
        <v>#VALUE!</v>
      </c>
      <c r="J211" s="51" t="str">
        <f>IFERROR(__xludf.DUMMYFUNCTION("""COMPUTED_VALUE"""),"")</f>
        <v/>
      </c>
      <c r="K211" s="51"/>
      <c r="L211" s="51" t="s">
        <v>257</v>
      </c>
      <c r="M211" s="51"/>
      <c r="N211" s="51"/>
      <c r="O211" s="51"/>
      <c r="P211" s="51"/>
      <c r="Q211" s="51"/>
      <c r="R211" s="51"/>
      <c r="S211" s="51"/>
      <c r="T211" s="51"/>
    </row>
    <row r="212">
      <c r="A212" s="51"/>
      <c r="B212" s="51"/>
      <c r="C212" s="56"/>
      <c r="D212" s="51"/>
      <c r="E212" s="51"/>
      <c r="F212" s="51"/>
      <c r="G212" s="51" t="str">
        <f>IFERROR(__xludf.DUMMYFUNCTION("""COMPUTED_VALUE"""),"#VALUE!")</f>
        <v>#VALUE!</v>
      </c>
      <c r="H212" s="51" t="str">
        <f>IFERROR(__xludf.DUMMYFUNCTION("""COMPUTED_VALUE"""),"")</f>
        <v/>
      </c>
      <c r="I212" s="51" t="str">
        <f>IFERROR(__xludf.DUMMYFUNCTION("""COMPUTED_VALUE"""),"#VALUE!")</f>
        <v>#VALUE!</v>
      </c>
      <c r="J212" s="51" t="str">
        <f>IFERROR(__xludf.DUMMYFUNCTION("""COMPUTED_VALUE"""),"")</f>
        <v/>
      </c>
      <c r="K212" s="51"/>
      <c r="L212" s="51" t="s">
        <v>257</v>
      </c>
      <c r="M212" s="51"/>
      <c r="N212" s="51"/>
      <c r="O212" s="51"/>
      <c r="P212" s="51"/>
      <c r="Q212" s="51"/>
      <c r="R212" s="51"/>
      <c r="S212" s="51"/>
      <c r="T212" s="51"/>
    </row>
    <row r="213">
      <c r="A213" s="51"/>
      <c r="B213" s="51"/>
      <c r="C213" s="56"/>
      <c r="D213" s="51"/>
      <c r="E213" s="51"/>
      <c r="F213" s="51"/>
      <c r="G213" s="51" t="str">
        <f>IFERROR(__xludf.DUMMYFUNCTION("""COMPUTED_VALUE"""),"#VALUE!")</f>
        <v>#VALUE!</v>
      </c>
      <c r="H213" s="51" t="str">
        <f>IFERROR(__xludf.DUMMYFUNCTION("""COMPUTED_VALUE"""),"")</f>
        <v/>
      </c>
      <c r="I213" s="51" t="str">
        <f>IFERROR(__xludf.DUMMYFUNCTION("""COMPUTED_VALUE"""),"#VALUE!")</f>
        <v>#VALUE!</v>
      </c>
      <c r="J213" s="51" t="str">
        <f>IFERROR(__xludf.DUMMYFUNCTION("""COMPUTED_VALUE"""),"")</f>
        <v/>
      </c>
      <c r="K213" s="51"/>
      <c r="L213" s="51" t="s">
        <v>257</v>
      </c>
      <c r="M213" s="51"/>
      <c r="N213" s="51"/>
      <c r="O213" s="51"/>
      <c r="P213" s="51"/>
      <c r="Q213" s="51"/>
      <c r="R213" s="51"/>
      <c r="S213" s="51"/>
      <c r="T213" s="51"/>
    </row>
    <row r="214">
      <c r="A214" s="51"/>
      <c r="B214" s="51"/>
      <c r="C214" s="56"/>
      <c r="D214" s="51"/>
      <c r="E214" s="51"/>
      <c r="F214" s="51"/>
      <c r="G214" s="51" t="str">
        <f>IFERROR(__xludf.DUMMYFUNCTION("""COMPUTED_VALUE"""),"#VALUE!")</f>
        <v>#VALUE!</v>
      </c>
      <c r="H214" s="51" t="str">
        <f>IFERROR(__xludf.DUMMYFUNCTION("""COMPUTED_VALUE"""),"")</f>
        <v/>
      </c>
      <c r="I214" s="51" t="str">
        <f>IFERROR(__xludf.DUMMYFUNCTION("""COMPUTED_VALUE"""),"#VALUE!")</f>
        <v>#VALUE!</v>
      </c>
      <c r="J214" s="51" t="str">
        <f>IFERROR(__xludf.DUMMYFUNCTION("""COMPUTED_VALUE"""),"")</f>
        <v/>
      </c>
      <c r="K214" s="51"/>
      <c r="L214" s="51" t="s">
        <v>257</v>
      </c>
      <c r="M214" s="51"/>
      <c r="N214" s="51"/>
      <c r="O214" s="51"/>
      <c r="P214" s="51"/>
      <c r="Q214" s="51"/>
      <c r="R214" s="51"/>
      <c r="S214" s="51"/>
      <c r="T214" s="51"/>
    </row>
    <row r="215">
      <c r="A215" s="51"/>
      <c r="B215" s="51"/>
      <c r="C215" s="56"/>
      <c r="D215" s="51"/>
      <c r="E215" s="51"/>
      <c r="F215" s="51"/>
      <c r="G215" s="51" t="str">
        <f>IFERROR(__xludf.DUMMYFUNCTION("""COMPUTED_VALUE"""),"#VALUE!")</f>
        <v>#VALUE!</v>
      </c>
      <c r="H215" s="51" t="str">
        <f>IFERROR(__xludf.DUMMYFUNCTION("""COMPUTED_VALUE"""),"")</f>
        <v/>
      </c>
      <c r="I215" s="51" t="str">
        <f>IFERROR(__xludf.DUMMYFUNCTION("""COMPUTED_VALUE"""),"#VALUE!")</f>
        <v>#VALUE!</v>
      </c>
      <c r="J215" s="51" t="str">
        <f>IFERROR(__xludf.DUMMYFUNCTION("""COMPUTED_VALUE"""),"")</f>
        <v/>
      </c>
      <c r="K215" s="51"/>
      <c r="L215" s="51" t="s">
        <v>257</v>
      </c>
      <c r="M215" s="51"/>
      <c r="N215" s="51"/>
      <c r="O215" s="51"/>
      <c r="P215" s="51"/>
      <c r="Q215" s="51"/>
      <c r="R215" s="51"/>
      <c r="S215" s="51"/>
      <c r="T215" s="51"/>
    </row>
    <row r="216">
      <c r="A216" s="51"/>
      <c r="B216" s="51"/>
      <c r="C216" s="56"/>
      <c r="D216" s="51"/>
      <c r="E216" s="51"/>
      <c r="F216" s="51"/>
      <c r="G216" s="51" t="str">
        <f>IFERROR(__xludf.DUMMYFUNCTION("""COMPUTED_VALUE"""),"#VALUE!")</f>
        <v>#VALUE!</v>
      </c>
      <c r="H216" s="51" t="str">
        <f>IFERROR(__xludf.DUMMYFUNCTION("""COMPUTED_VALUE"""),"")</f>
        <v/>
      </c>
      <c r="I216" s="51" t="str">
        <f>IFERROR(__xludf.DUMMYFUNCTION("""COMPUTED_VALUE"""),"#VALUE!")</f>
        <v>#VALUE!</v>
      </c>
      <c r="J216" s="51" t="str">
        <f>IFERROR(__xludf.DUMMYFUNCTION("""COMPUTED_VALUE"""),"")</f>
        <v/>
      </c>
      <c r="K216" s="51"/>
      <c r="L216" s="51" t="s">
        <v>257</v>
      </c>
      <c r="M216" s="51"/>
      <c r="N216" s="51"/>
      <c r="O216" s="51"/>
      <c r="P216" s="51"/>
      <c r="Q216" s="51"/>
      <c r="R216" s="51"/>
      <c r="S216" s="51"/>
      <c r="T216" s="51"/>
    </row>
    <row r="217">
      <c r="A217" s="51"/>
      <c r="B217" s="51"/>
      <c r="C217" s="56"/>
      <c r="D217" s="51"/>
      <c r="E217" s="51"/>
      <c r="F217" s="51"/>
      <c r="G217" s="51" t="str">
        <f>IFERROR(__xludf.DUMMYFUNCTION("""COMPUTED_VALUE"""),"#VALUE!")</f>
        <v>#VALUE!</v>
      </c>
      <c r="H217" s="51" t="str">
        <f>IFERROR(__xludf.DUMMYFUNCTION("""COMPUTED_VALUE"""),"")</f>
        <v/>
      </c>
      <c r="I217" s="51" t="str">
        <f>IFERROR(__xludf.DUMMYFUNCTION("""COMPUTED_VALUE"""),"#VALUE!")</f>
        <v>#VALUE!</v>
      </c>
      <c r="J217" s="51" t="str">
        <f>IFERROR(__xludf.DUMMYFUNCTION("""COMPUTED_VALUE"""),"")</f>
        <v/>
      </c>
      <c r="K217" s="51"/>
      <c r="L217" s="51" t="s">
        <v>257</v>
      </c>
      <c r="M217" s="51"/>
      <c r="N217" s="51"/>
      <c r="O217" s="51"/>
      <c r="P217" s="51"/>
      <c r="Q217" s="51"/>
      <c r="R217" s="51"/>
      <c r="S217" s="51"/>
      <c r="T217" s="51"/>
    </row>
    <row r="218">
      <c r="A218" s="51"/>
      <c r="B218" s="51"/>
      <c r="C218" s="56"/>
      <c r="D218" s="51"/>
      <c r="E218" s="51"/>
      <c r="F218" s="51"/>
      <c r="G218" s="51" t="str">
        <f>IFERROR(__xludf.DUMMYFUNCTION("""COMPUTED_VALUE"""),"#VALUE!")</f>
        <v>#VALUE!</v>
      </c>
      <c r="H218" s="51" t="str">
        <f>IFERROR(__xludf.DUMMYFUNCTION("""COMPUTED_VALUE"""),"")</f>
        <v/>
      </c>
      <c r="I218" s="51" t="str">
        <f>IFERROR(__xludf.DUMMYFUNCTION("""COMPUTED_VALUE"""),"#VALUE!")</f>
        <v>#VALUE!</v>
      </c>
      <c r="J218" s="51" t="str">
        <f>IFERROR(__xludf.DUMMYFUNCTION("""COMPUTED_VALUE"""),"")</f>
        <v/>
      </c>
      <c r="K218" s="51"/>
      <c r="L218" s="51" t="s">
        <v>257</v>
      </c>
      <c r="M218" s="51"/>
      <c r="N218" s="51"/>
      <c r="O218" s="51"/>
      <c r="P218" s="51"/>
      <c r="Q218" s="51"/>
      <c r="R218" s="51"/>
      <c r="S218" s="51"/>
      <c r="T218" s="51"/>
    </row>
    <row r="219">
      <c r="A219" s="51"/>
      <c r="B219" s="51"/>
      <c r="C219" s="56"/>
      <c r="D219" s="51"/>
      <c r="E219" s="51"/>
      <c r="F219" s="51"/>
      <c r="G219" s="51" t="str">
        <f>IFERROR(__xludf.DUMMYFUNCTION("""COMPUTED_VALUE"""),"#VALUE!")</f>
        <v>#VALUE!</v>
      </c>
      <c r="H219" s="51" t="str">
        <f>IFERROR(__xludf.DUMMYFUNCTION("""COMPUTED_VALUE"""),"")</f>
        <v/>
      </c>
      <c r="I219" s="51" t="str">
        <f>IFERROR(__xludf.DUMMYFUNCTION("""COMPUTED_VALUE"""),"#VALUE!")</f>
        <v>#VALUE!</v>
      </c>
      <c r="J219" s="51" t="str">
        <f>IFERROR(__xludf.DUMMYFUNCTION("""COMPUTED_VALUE"""),"")</f>
        <v/>
      </c>
      <c r="K219" s="51"/>
      <c r="L219" s="51" t="s">
        <v>257</v>
      </c>
      <c r="M219" s="51"/>
      <c r="N219" s="51"/>
      <c r="O219" s="51"/>
      <c r="P219" s="51"/>
      <c r="Q219" s="51"/>
      <c r="R219" s="51"/>
      <c r="S219" s="51"/>
      <c r="T219" s="51"/>
    </row>
    <row r="220">
      <c r="A220" s="51"/>
      <c r="B220" s="51"/>
      <c r="C220" s="56"/>
      <c r="D220" s="51"/>
      <c r="E220" s="51"/>
      <c r="F220" s="51"/>
      <c r="G220" s="51" t="str">
        <f>IFERROR(__xludf.DUMMYFUNCTION("""COMPUTED_VALUE"""),"#VALUE!")</f>
        <v>#VALUE!</v>
      </c>
      <c r="H220" s="51" t="str">
        <f>IFERROR(__xludf.DUMMYFUNCTION("""COMPUTED_VALUE"""),"")</f>
        <v/>
      </c>
      <c r="I220" s="51" t="str">
        <f>IFERROR(__xludf.DUMMYFUNCTION("""COMPUTED_VALUE"""),"#VALUE!")</f>
        <v>#VALUE!</v>
      </c>
      <c r="J220" s="51" t="str">
        <f>IFERROR(__xludf.DUMMYFUNCTION("""COMPUTED_VALUE"""),"")</f>
        <v/>
      </c>
      <c r="K220" s="51"/>
      <c r="L220" s="51" t="s">
        <v>257</v>
      </c>
      <c r="M220" s="51"/>
      <c r="N220" s="51"/>
      <c r="O220" s="51"/>
      <c r="P220" s="51"/>
      <c r="Q220" s="51"/>
      <c r="R220" s="51"/>
      <c r="S220" s="51"/>
      <c r="T220" s="51"/>
    </row>
    <row r="221">
      <c r="A221" s="51"/>
      <c r="B221" s="51"/>
      <c r="C221" s="56"/>
      <c r="D221" s="51"/>
      <c r="E221" s="51"/>
      <c r="F221" s="51"/>
      <c r="G221" s="51" t="str">
        <f>IFERROR(__xludf.DUMMYFUNCTION("""COMPUTED_VALUE"""),"#VALUE!")</f>
        <v>#VALUE!</v>
      </c>
      <c r="H221" s="51" t="str">
        <f>IFERROR(__xludf.DUMMYFUNCTION("""COMPUTED_VALUE"""),"")</f>
        <v/>
      </c>
      <c r="I221" s="51" t="str">
        <f>IFERROR(__xludf.DUMMYFUNCTION("""COMPUTED_VALUE"""),"#VALUE!")</f>
        <v>#VALUE!</v>
      </c>
      <c r="J221" s="51" t="str">
        <f>IFERROR(__xludf.DUMMYFUNCTION("""COMPUTED_VALUE"""),"")</f>
        <v/>
      </c>
      <c r="K221" s="51"/>
      <c r="L221" s="51" t="s">
        <v>257</v>
      </c>
      <c r="M221" s="51"/>
      <c r="N221" s="51"/>
      <c r="O221" s="51"/>
      <c r="P221" s="51"/>
      <c r="Q221" s="51"/>
      <c r="R221" s="51"/>
      <c r="S221" s="51"/>
      <c r="T221" s="51"/>
    </row>
    <row r="222">
      <c r="A222" s="51"/>
      <c r="B222" s="51"/>
      <c r="C222" s="56"/>
      <c r="D222" s="51"/>
      <c r="E222" s="51"/>
      <c r="F222" s="51"/>
      <c r="G222" s="51" t="str">
        <f>IFERROR(__xludf.DUMMYFUNCTION("""COMPUTED_VALUE"""),"#VALUE!")</f>
        <v>#VALUE!</v>
      </c>
      <c r="H222" s="51" t="str">
        <f>IFERROR(__xludf.DUMMYFUNCTION("""COMPUTED_VALUE"""),"")</f>
        <v/>
      </c>
      <c r="I222" s="51" t="str">
        <f>IFERROR(__xludf.DUMMYFUNCTION("""COMPUTED_VALUE"""),"#VALUE!")</f>
        <v>#VALUE!</v>
      </c>
      <c r="J222" s="51" t="str">
        <f>IFERROR(__xludf.DUMMYFUNCTION("""COMPUTED_VALUE"""),"")</f>
        <v/>
      </c>
      <c r="K222" s="51"/>
      <c r="L222" s="51" t="s">
        <v>257</v>
      </c>
      <c r="M222" s="51"/>
      <c r="N222" s="51"/>
      <c r="O222" s="51"/>
      <c r="P222" s="51"/>
      <c r="Q222" s="51"/>
      <c r="R222" s="51"/>
      <c r="S222" s="51"/>
      <c r="T222" s="51"/>
    </row>
    <row r="223">
      <c r="A223" s="51"/>
      <c r="B223" s="51"/>
      <c r="C223" s="56"/>
      <c r="D223" s="51"/>
      <c r="E223" s="51"/>
      <c r="F223" s="51"/>
      <c r="G223" s="51" t="str">
        <f>IFERROR(__xludf.DUMMYFUNCTION("""COMPUTED_VALUE"""),"#VALUE!")</f>
        <v>#VALUE!</v>
      </c>
      <c r="H223" s="51" t="str">
        <f>IFERROR(__xludf.DUMMYFUNCTION("""COMPUTED_VALUE"""),"")</f>
        <v/>
      </c>
      <c r="I223" s="51" t="str">
        <f>IFERROR(__xludf.DUMMYFUNCTION("""COMPUTED_VALUE"""),"#VALUE!")</f>
        <v>#VALUE!</v>
      </c>
      <c r="J223" s="51" t="str">
        <f>IFERROR(__xludf.DUMMYFUNCTION("""COMPUTED_VALUE"""),"")</f>
        <v/>
      </c>
      <c r="K223" s="51"/>
      <c r="L223" s="51" t="s">
        <v>257</v>
      </c>
      <c r="M223" s="51"/>
      <c r="N223" s="51"/>
      <c r="O223" s="51"/>
      <c r="P223" s="51"/>
      <c r="Q223" s="51"/>
      <c r="R223" s="51"/>
      <c r="S223" s="51"/>
      <c r="T223" s="51"/>
    </row>
    <row r="224">
      <c r="A224" s="51"/>
      <c r="B224" s="51"/>
      <c r="C224" s="56"/>
      <c r="D224" s="51"/>
      <c r="E224" s="51"/>
      <c r="F224" s="51"/>
      <c r="G224" s="51" t="str">
        <f>IFERROR(__xludf.DUMMYFUNCTION("""COMPUTED_VALUE"""),"#VALUE!")</f>
        <v>#VALUE!</v>
      </c>
      <c r="H224" s="51" t="str">
        <f>IFERROR(__xludf.DUMMYFUNCTION("""COMPUTED_VALUE"""),"")</f>
        <v/>
      </c>
      <c r="I224" s="51" t="str">
        <f>IFERROR(__xludf.DUMMYFUNCTION("""COMPUTED_VALUE"""),"#VALUE!")</f>
        <v>#VALUE!</v>
      </c>
      <c r="J224" s="51" t="str">
        <f>IFERROR(__xludf.DUMMYFUNCTION("""COMPUTED_VALUE"""),"")</f>
        <v/>
      </c>
      <c r="K224" s="51"/>
      <c r="L224" s="51" t="s">
        <v>257</v>
      </c>
      <c r="M224" s="51"/>
      <c r="N224" s="51"/>
      <c r="O224" s="51"/>
      <c r="P224" s="51"/>
      <c r="Q224" s="51"/>
      <c r="R224" s="51"/>
      <c r="S224" s="51"/>
      <c r="T224" s="51"/>
    </row>
    <row r="225">
      <c r="A225" s="51"/>
      <c r="B225" s="51"/>
      <c r="C225" s="56"/>
      <c r="D225" s="51"/>
      <c r="E225" s="51"/>
      <c r="F225" s="51"/>
      <c r="G225" s="51" t="str">
        <f>IFERROR(__xludf.DUMMYFUNCTION("""COMPUTED_VALUE"""),"#VALUE!")</f>
        <v>#VALUE!</v>
      </c>
      <c r="H225" s="51" t="str">
        <f>IFERROR(__xludf.DUMMYFUNCTION("""COMPUTED_VALUE"""),"")</f>
        <v/>
      </c>
      <c r="I225" s="51" t="str">
        <f>IFERROR(__xludf.DUMMYFUNCTION("""COMPUTED_VALUE"""),"#VALUE!")</f>
        <v>#VALUE!</v>
      </c>
      <c r="J225" s="51" t="str">
        <f>IFERROR(__xludf.DUMMYFUNCTION("""COMPUTED_VALUE"""),"")</f>
        <v/>
      </c>
      <c r="K225" s="51"/>
      <c r="L225" s="51" t="s">
        <v>257</v>
      </c>
      <c r="M225" s="51"/>
      <c r="N225" s="51"/>
      <c r="O225" s="51"/>
      <c r="P225" s="51"/>
      <c r="Q225" s="51"/>
      <c r="R225" s="51"/>
      <c r="S225" s="51"/>
      <c r="T225" s="51"/>
    </row>
    <row r="226">
      <c r="A226" s="51"/>
      <c r="B226" s="51"/>
      <c r="C226" s="56"/>
      <c r="D226" s="51"/>
      <c r="E226" s="51"/>
      <c r="F226" s="51"/>
      <c r="G226" s="51" t="str">
        <f>IFERROR(__xludf.DUMMYFUNCTION("""COMPUTED_VALUE"""),"#VALUE!")</f>
        <v>#VALUE!</v>
      </c>
      <c r="H226" s="51" t="str">
        <f>IFERROR(__xludf.DUMMYFUNCTION("""COMPUTED_VALUE"""),"")</f>
        <v/>
      </c>
      <c r="I226" s="51" t="str">
        <f>IFERROR(__xludf.DUMMYFUNCTION("""COMPUTED_VALUE"""),"#VALUE!")</f>
        <v>#VALUE!</v>
      </c>
      <c r="J226" s="51" t="str">
        <f>IFERROR(__xludf.DUMMYFUNCTION("""COMPUTED_VALUE"""),"")</f>
        <v/>
      </c>
      <c r="K226" s="51"/>
      <c r="L226" s="51" t="s">
        <v>257</v>
      </c>
      <c r="M226" s="51"/>
      <c r="N226" s="51"/>
      <c r="O226" s="51"/>
      <c r="P226" s="51"/>
      <c r="Q226" s="51"/>
      <c r="R226" s="51"/>
      <c r="S226" s="51"/>
      <c r="T226" s="51"/>
    </row>
    <row r="227">
      <c r="A227" s="51"/>
      <c r="B227" s="51"/>
      <c r="C227" s="56"/>
      <c r="D227" s="51"/>
      <c r="E227" s="51"/>
      <c r="F227" s="51"/>
      <c r="G227" s="51" t="str">
        <f>IFERROR(__xludf.DUMMYFUNCTION("""COMPUTED_VALUE"""),"#VALUE!")</f>
        <v>#VALUE!</v>
      </c>
      <c r="H227" s="51" t="str">
        <f>IFERROR(__xludf.DUMMYFUNCTION("""COMPUTED_VALUE"""),"")</f>
        <v/>
      </c>
      <c r="I227" s="51" t="str">
        <f>IFERROR(__xludf.DUMMYFUNCTION("""COMPUTED_VALUE"""),"#VALUE!")</f>
        <v>#VALUE!</v>
      </c>
      <c r="J227" s="51" t="str">
        <f>IFERROR(__xludf.DUMMYFUNCTION("""COMPUTED_VALUE"""),"")</f>
        <v/>
      </c>
      <c r="K227" s="51"/>
      <c r="L227" s="51" t="s">
        <v>257</v>
      </c>
      <c r="M227" s="51"/>
      <c r="N227" s="51"/>
      <c r="O227" s="51"/>
      <c r="P227" s="51"/>
      <c r="Q227" s="51"/>
      <c r="R227" s="51"/>
      <c r="S227" s="51"/>
      <c r="T227" s="51"/>
    </row>
    <row r="228">
      <c r="A228" s="51"/>
      <c r="B228" s="51"/>
      <c r="C228" s="56"/>
      <c r="D228" s="51"/>
      <c r="E228" s="51"/>
      <c r="F228" s="51"/>
      <c r="G228" s="51" t="str">
        <f>IFERROR(__xludf.DUMMYFUNCTION("""COMPUTED_VALUE"""),"#VALUE!")</f>
        <v>#VALUE!</v>
      </c>
      <c r="H228" s="51" t="str">
        <f>IFERROR(__xludf.DUMMYFUNCTION("""COMPUTED_VALUE"""),"")</f>
        <v/>
      </c>
      <c r="I228" s="51" t="str">
        <f>IFERROR(__xludf.DUMMYFUNCTION("""COMPUTED_VALUE"""),"#VALUE!")</f>
        <v>#VALUE!</v>
      </c>
      <c r="J228" s="51" t="str">
        <f>IFERROR(__xludf.DUMMYFUNCTION("""COMPUTED_VALUE"""),"")</f>
        <v/>
      </c>
      <c r="K228" s="51"/>
      <c r="L228" s="51" t="s">
        <v>257</v>
      </c>
      <c r="M228" s="51"/>
      <c r="N228" s="51"/>
      <c r="O228" s="51"/>
      <c r="P228" s="51"/>
      <c r="Q228" s="51"/>
      <c r="R228" s="51"/>
      <c r="S228" s="51"/>
      <c r="T228" s="51"/>
    </row>
    <row r="229">
      <c r="A229" s="51"/>
      <c r="B229" s="51"/>
      <c r="C229" s="56"/>
      <c r="D229" s="51"/>
      <c r="E229" s="51"/>
      <c r="F229" s="51"/>
      <c r="G229" s="51" t="str">
        <f>IFERROR(__xludf.DUMMYFUNCTION("""COMPUTED_VALUE"""),"#VALUE!")</f>
        <v>#VALUE!</v>
      </c>
      <c r="H229" s="51" t="str">
        <f>IFERROR(__xludf.DUMMYFUNCTION("""COMPUTED_VALUE"""),"")</f>
        <v/>
      </c>
      <c r="I229" s="51" t="str">
        <f>IFERROR(__xludf.DUMMYFUNCTION("""COMPUTED_VALUE"""),"#VALUE!")</f>
        <v>#VALUE!</v>
      </c>
      <c r="J229" s="51" t="str">
        <f>IFERROR(__xludf.DUMMYFUNCTION("""COMPUTED_VALUE"""),"")</f>
        <v/>
      </c>
      <c r="K229" s="51"/>
      <c r="L229" s="51" t="s">
        <v>257</v>
      </c>
      <c r="M229" s="51"/>
      <c r="N229" s="51"/>
      <c r="O229" s="51"/>
      <c r="P229" s="51"/>
      <c r="Q229" s="51"/>
      <c r="R229" s="51"/>
      <c r="S229" s="51"/>
      <c r="T229" s="51"/>
    </row>
    <row r="230">
      <c r="A230" s="51"/>
      <c r="B230" s="51"/>
      <c r="C230" s="56"/>
      <c r="D230" s="51"/>
      <c r="E230" s="51"/>
      <c r="F230" s="51"/>
      <c r="G230" s="51" t="str">
        <f>IFERROR(__xludf.DUMMYFUNCTION("""COMPUTED_VALUE"""),"#VALUE!")</f>
        <v>#VALUE!</v>
      </c>
      <c r="H230" s="51" t="str">
        <f>IFERROR(__xludf.DUMMYFUNCTION("""COMPUTED_VALUE"""),"")</f>
        <v/>
      </c>
      <c r="I230" s="51" t="str">
        <f>IFERROR(__xludf.DUMMYFUNCTION("""COMPUTED_VALUE"""),"#VALUE!")</f>
        <v>#VALUE!</v>
      </c>
      <c r="J230" s="51" t="str">
        <f>IFERROR(__xludf.DUMMYFUNCTION("""COMPUTED_VALUE"""),"")</f>
        <v/>
      </c>
      <c r="K230" s="51"/>
      <c r="L230" s="51" t="s">
        <v>257</v>
      </c>
      <c r="M230" s="51"/>
      <c r="N230" s="51"/>
      <c r="O230" s="51"/>
      <c r="P230" s="51"/>
      <c r="Q230" s="51"/>
      <c r="R230" s="51"/>
      <c r="S230" s="51"/>
      <c r="T230" s="51"/>
    </row>
    <row r="231">
      <c r="A231" s="51"/>
      <c r="B231" s="51"/>
      <c r="C231" s="56"/>
      <c r="D231" s="51"/>
      <c r="E231" s="51"/>
      <c r="F231" s="51"/>
      <c r="G231" s="51" t="str">
        <f>IFERROR(__xludf.DUMMYFUNCTION("""COMPUTED_VALUE"""),"#VALUE!")</f>
        <v>#VALUE!</v>
      </c>
      <c r="H231" s="51" t="str">
        <f>IFERROR(__xludf.DUMMYFUNCTION("""COMPUTED_VALUE"""),"")</f>
        <v/>
      </c>
      <c r="I231" s="51" t="str">
        <f>IFERROR(__xludf.DUMMYFUNCTION("""COMPUTED_VALUE"""),"#VALUE!")</f>
        <v>#VALUE!</v>
      </c>
      <c r="J231" s="51" t="str">
        <f>IFERROR(__xludf.DUMMYFUNCTION("""COMPUTED_VALUE"""),"")</f>
        <v/>
      </c>
      <c r="K231" s="51"/>
      <c r="L231" s="51" t="s">
        <v>257</v>
      </c>
      <c r="M231" s="51"/>
      <c r="N231" s="51"/>
      <c r="O231" s="51"/>
      <c r="P231" s="51"/>
      <c r="Q231" s="51"/>
      <c r="R231" s="51"/>
      <c r="S231" s="51"/>
      <c r="T231" s="51"/>
    </row>
    <row r="232">
      <c r="A232" s="51"/>
      <c r="B232" s="51"/>
      <c r="C232" s="56"/>
      <c r="D232" s="51"/>
      <c r="E232" s="51"/>
      <c r="F232" s="51"/>
      <c r="G232" s="51" t="str">
        <f>IFERROR(__xludf.DUMMYFUNCTION("""COMPUTED_VALUE"""),"#VALUE!")</f>
        <v>#VALUE!</v>
      </c>
      <c r="H232" s="51" t="str">
        <f>IFERROR(__xludf.DUMMYFUNCTION("""COMPUTED_VALUE"""),"")</f>
        <v/>
      </c>
      <c r="I232" s="51" t="str">
        <f>IFERROR(__xludf.DUMMYFUNCTION("""COMPUTED_VALUE"""),"#VALUE!")</f>
        <v>#VALUE!</v>
      </c>
      <c r="J232" s="51" t="str">
        <f>IFERROR(__xludf.DUMMYFUNCTION("""COMPUTED_VALUE"""),"")</f>
        <v/>
      </c>
      <c r="K232" s="51"/>
      <c r="L232" s="51" t="s">
        <v>257</v>
      </c>
      <c r="M232" s="51"/>
      <c r="N232" s="51"/>
      <c r="O232" s="51"/>
      <c r="P232" s="51"/>
      <c r="Q232" s="51"/>
      <c r="R232" s="51"/>
      <c r="S232" s="51"/>
      <c r="T232" s="51"/>
    </row>
    <row r="233">
      <c r="A233" s="51"/>
      <c r="B233" s="51"/>
      <c r="C233" s="56"/>
      <c r="D233" s="51"/>
      <c r="E233" s="51"/>
      <c r="F233" s="51"/>
      <c r="G233" s="51" t="str">
        <f>IFERROR(__xludf.DUMMYFUNCTION("""COMPUTED_VALUE"""),"#VALUE!")</f>
        <v>#VALUE!</v>
      </c>
      <c r="H233" s="51" t="str">
        <f>IFERROR(__xludf.DUMMYFUNCTION("""COMPUTED_VALUE"""),"")</f>
        <v/>
      </c>
      <c r="I233" s="51" t="str">
        <f>IFERROR(__xludf.DUMMYFUNCTION("""COMPUTED_VALUE"""),"#VALUE!")</f>
        <v>#VALUE!</v>
      </c>
      <c r="J233" s="51" t="str">
        <f>IFERROR(__xludf.DUMMYFUNCTION("""COMPUTED_VALUE"""),"")</f>
        <v/>
      </c>
      <c r="K233" s="51"/>
      <c r="L233" s="51" t="s">
        <v>257</v>
      </c>
      <c r="M233" s="51"/>
      <c r="N233" s="51"/>
      <c r="O233" s="51"/>
      <c r="P233" s="51"/>
      <c r="Q233" s="51"/>
      <c r="R233" s="51"/>
      <c r="S233" s="51"/>
      <c r="T233" s="51"/>
    </row>
    <row r="234">
      <c r="A234" s="51"/>
      <c r="B234" s="51"/>
      <c r="C234" s="56"/>
      <c r="D234" s="51"/>
      <c r="E234" s="51"/>
      <c r="F234" s="51"/>
      <c r="G234" s="51" t="str">
        <f>IFERROR(__xludf.DUMMYFUNCTION("""COMPUTED_VALUE"""),"#VALUE!")</f>
        <v>#VALUE!</v>
      </c>
      <c r="H234" s="51" t="str">
        <f>IFERROR(__xludf.DUMMYFUNCTION("""COMPUTED_VALUE"""),"")</f>
        <v/>
      </c>
      <c r="I234" s="51" t="str">
        <f>IFERROR(__xludf.DUMMYFUNCTION("""COMPUTED_VALUE"""),"#VALUE!")</f>
        <v>#VALUE!</v>
      </c>
      <c r="J234" s="51" t="str">
        <f>IFERROR(__xludf.DUMMYFUNCTION("""COMPUTED_VALUE"""),"")</f>
        <v/>
      </c>
      <c r="K234" s="51"/>
      <c r="L234" s="51" t="s">
        <v>257</v>
      </c>
      <c r="M234" s="51"/>
      <c r="N234" s="51"/>
      <c r="O234" s="51"/>
      <c r="P234" s="51"/>
      <c r="Q234" s="51"/>
      <c r="R234" s="51"/>
      <c r="S234" s="51"/>
      <c r="T234" s="51"/>
    </row>
    <row r="235">
      <c r="A235" s="51"/>
      <c r="B235" s="51"/>
      <c r="C235" s="56"/>
      <c r="D235" s="51"/>
      <c r="E235" s="51"/>
      <c r="F235" s="51"/>
      <c r="G235" s="51" t="str">
        <f>IFERROR(__xludf.DUMMYFUNCTION("""COMPUTED_VALUE"""),"#VALUE!")</f>
        <v>#VALUE!</v>
      </c>
      <c r="H235" s="51" t="str">
        <f>IFERROR(__xludf.DUMMYFUNCTION("""COMPUTED_VALUE"""),"")</f>
        <v/>
      </c>
      <c r="I235" s="51" t="str">
        <f>IFERROR(__xludf.DUMMYFUNCTION("""COMPUTED_VALUE"""),"#VALUE!")</f>
        <v>#VALUE!</v>
      </c>
      <c r="J235" s="51" t="str">
        <f>IFERROR(__xludf.DUMMYFUNCTION("""COMPUTED_VALUE"""),"")</f>
        <v/>
      </c>
      <c r="K235" s="51"/>
      <c r="L235" s="51" t="s">
        <v>257</v>
      </c>
      <c r="M235" s="51"/>
      <c r="N235" s="51"/>
      <c r="O235" s="51"/>
      <c r="P235" s="51"/>
      <c r="Q235" s="51"/>
      <c r="R235" s="51"/>
      <c r="S235" s="51"/>
      <c r="T235" s="51"/>
    </row>
    <row r="236">
      <c r="A236" s="51"/>
      <c r="B236" s="51"/>
      <c r="C236" s="56"/>
      <c r="D236" s="51"/>
      <c r="E236" s="51"/>
      <c r="F236" s="51"/>
      <c r="G236" s="51" t="str">
        <f>IFERROR(__xludf.DUMMYFUNCTION("""COMPUTED_VALUE"""),"#VALUE!")</f>
        <v>#VALUE!</v>
      </c>
      <c r="H236" s="51" t="str">
        <f>IFERROR(__xludf.DUMMYFUNCTION("""COMPUTED_VALUE"""),"")</f>
        <v/>
      </c>
      <c r="I236" s="51" t="str">
        <f>IFERROR(__xludf.DUMMYFUNCTION("""COMPUTED_VALUE"""),"#VALUE!")</f>
        <v>#VALUE!</v>
      </c>
      <c r="J236" s="51" t="str">
        <f>IFERROR(__xludf.DUMMYFUNCTION("""COMPUTED_VALUE"""),"")</f>
        <v/>
      </c>
      <c r="K236" s="51"/>
      <c r="L236" s="51" t="s">
        <v>257</v>
      </c>
      <c r="M236" s="51"/>
      <c r="N236" s="51"/>
      <c r="O236" s="51"/>
      <c r="P236" s="51"/>
      <c r="Q236" s="51"/>
      <c r="R236" s="51"/>
      <c r="S236" s="51"/>
      <c r="T236" s="51"/>
    </row>
    <row r="237">
      <c r="A237" s="51"/>
      <c r="B237" s="51"/>
      <c r="C237" s="56"/>
      <c r="D237" s="51"/>
      <c r="E237" s="51"/>
      <c r="F237" s="51"/>
      <c r="G237" s="51" t="str">
        <f>IFERROR(__xludf.DUMMYFUNCTION("""COMPUTED_VALUE"""),"#VALUE!")</f>
        <v>#VALUE!</v>
      </c>
      <c r="H237" s="51" t="str">
        <f>IFERROR(__xludf.DUMMYFUNCTION("""COMPUTED_VALUE"""),"")</f>
        <v/>
      </c>
      <c r="I237" s="51" t="str">
        <f>IFERROR(__xludf.DUMMYFUNCTION("""COMPUTED_VALUE"""),"#VALUE!")</f>
        <v>#VALUE!</v>
      </c>
      <c r="J237" s="51" t="str">
        <f>IFERROR(__xludf.DUMMYFUNCTION("""COMPUTED_VALUE"""),"")</f>
        <v/>
      </c>
      <c r="K237" s="51"/>
      <c r="L237" s="51" t="s">
        <v>257</v>
      </c>
      <c r="M237" s="51"/>
      <c r="N237" s="51"/>
      <c r="O237" s="51"/>
      <c r="P237" s="51"/>
      <c r="Q237" s="51"/>
      <c r="R237" s="51"/>
      <c r="S237" s="51"/>
      <c r="T237" s="51"/>
    </row>
    <row r="238">
      <c r="A238" s="51"/>
      <c r="B238" s="51"/>
      <c r="C238" s="56"/>
      <c r="D238" s="51"/>
      <c r="E238" s="51"/>
      <c r="F238" s="51"/>
      <c r="G238" s="51" t="str">
        <f>IFERROR(__xludf.DUMMYFUNCTION("""COMPUTED_VALUE"""),"#VALUE!")</f>
        <v>#VALUE!</v>
      </c>
      <c r="H238" s="51" t="str">
        <f>IFERROR(__xludf.DUMMYFUNCTION("""COMPUTED_VALUE"""),"")</f>
        <v/>
      </c>
      <c r="I238" s="51" t="str">
        <f>IFERROR(__xludf.DUMMYFUNCTION("""COMPUTED_VALUE"""),"#VALUE!")</f>
        <v>#VALUE!</v>
      </c>
      <c r="J238" s="51" t="str">
        <f>IFERROR(__xludf.DUMMYFUNCTION("""COMPUTED_VALUE"""),"")</f>
        <v/>
      </c>
      <c r="K238" s="51"/>
      <c r="L238" s="51" t="s">
        <v>257</v>
      </c>
      <c r="M238" s="51"/>
      <c r="N238" s="51"/>
      <c r="O238" s="51"/>
      <c r="P238" s="51"/>
      <c r="Q238" s="51"/>
      <c r="R238" s="51"/>
      <c r="S238" s="51"/>
      <c r="T238" s="51"/>
    </row>
    <row r="239">
      <c r="A239" s="51"/>
      <c r="B239" s="51"/>
      <c r="C239" s="56"/>
      <c r="D239" s="51"/>
      <c r="E239" s="51"/>
      <c r="F239" s="51"/>
      <c r="G239" s="51" t="str">
        <f>IFERROR(__xludf.DUMMYFUNCTION("""COMPUTED_VALUE"""),"#VALUE!")</f>
        <v>#VALUE!</v>
      </c>
      <c r="H239" s="51" t="str">
        <f>IFERROR(__xludf.DUMMYFUNCTION("""COMPUTED_VALUE"""),"")</f>
        <v/>
      </c>
      <c r="I239" s="51" t="str">
        <f>IFERROR(__xludf.DUMMYFUNCTION("""COMPUTED_VALUE"""),"#VALUE!")</f>
        <v>#VALUE!</v>
      </c>
      <c r="J239" s="51" t="str">
        <f>IFERROR(__xludf.DUMMYFUNCTION("""COMPUTED_VALUE"""),"")</f>
        <v/>
      </c>
      <c r="K239" s="51"/>
      <c r="L239" s="51" t="s">
        <v>257</v>
      </c>
      <c r="M239" s="51"/>
      <c r="N239" s="51"/>
      <c r="O239" s="51"/>
      <c r="P239" s="51"/>
      <c r="Q239" s="51"/>
      <c r="R239" s="51"/>
      <c r="S239" s="51"/>
      <c r="T239" s="51"/>
    </row>
    <row r="240">
      <c r="A240" s="51"/>
      <c r="B240" s="51"/>
      <c r="C240" s="56"/>
      <c r="D240" s="51"/>
      <c r="E240" s="51"/>
      <c r="F240" s="51"/>
      <c r="G240" s="51" t="str">
        <f>IFERROR(__xludf.DUMMYFUNCTION("""COMPUTED_VALUE"""),"#VALUE!")</f>
        <v>#VALUE!</v>
      </c>
      <c r="H240" s="51" t="str">
        <f>IFERROR(__xludf.DUMMYFUNCTION("""COMPUTED_VALUE"""),"")</f>
        <v/>
      </c>
      <c r="I240" s="51" t="str">
        <f>IFERROR(__xludf.DUMMYFUNCTION("""COMPUTED_VALUE"""),"#VALUE!")</f>
        <v>#VALUE!</v>
      </c>
      <c r="J240" s="51" t="str">
        <f>IFERROR(__xludf.DUMMYFUNCTION("""COMPUTED_VALUE"""),"")</f>
        <v/>
      </c>
      <c r="K240" s="51"/>
      <c r="L240" s="51" t="s">
        <v>257</v>
      </c>
      <c r="M240" s="51"/>
      <c r="N240" s="51"/>
      <c r="O240" s="51"/>
      <c r="P240" s="51"/>
      <c r="Q240" s="51"/>
      <c r="R240" s="51"/>
      <c r="S240" s="51"/>
      <c r="T240" s="51"/>
    </row>
    <row r="241">
      <c r="A241" s="51"/>
      <c r="B241" s="51"/>
      <c r="C241" s="56"/>
      <c r="D241" s="51"/>
      <c r="E241" s="51"/>
      <c r="F241" s="51"/>
      <c r="G241" s="51" t="str">
        <f>IFERROR(__xludf.DUMMYFUNCTION("""COMPUTED_VALUE"""),"#VALUE!")</f>
        <v>#VALUE!</v>
      </c>
      <c r="H241" s="51" t="str">
        <f>IFERROR(__xludf.DUMMYFUNCTION("""COMPUTED_VALUE"""),"")</f>
        <v/>
      </c>
      <c r="I241" s="51" t="str">
        <f>IFERROR(__xludf.DUMMYFUNCTION("""COMPUTED_VALUE"""),"#VALUE!")</f>
        <v>#VALUE!</v>
      </c>
      <c r="J241" s="51" t="str">
        <f>IFERROR(__xludf.DUMMYFUNCTION("""COMPUTED_VALUE"""),"")</f>
        <v/>
      </c>
      <c r="K241" s="51"/>
      <c r="L241" s="51" t="s">
        <v>257</v>
      </c>
      <c r="M241" s="51"/>
      <c r="N241" s="51"/>
      <c r="O241" s="51"/>
      <c r="P241" s="51"/>
      <c r="Q241" s="51"/>
      <c r="R241" s="51"/>
      <c r="S241" s="51"/>
      <c r="T241" s="51"/>
    </row>
    <row r="242">
      <c r="A242" s="51"/>
      <c r="B242" s="51"/>
      <c r="C242" s="56"/>
      <c r="D242" s="51"/>
      <c r="E242" s="51"/>
      <c r="F242" s="51"/>
      <c r="G242" s="51" t="str">
        <f>IFERROR(__xludf.DUMMYFUNCTION("""COMPUTED_VALUE"""),"#VALUE!")</f>
        <v>#VALUE!</v>
      </c>
      <c r="H242" s="51" t="str">
        <f>IFERROR(__xludf.DUMMYFUNCTION("""COMPUTED_VALUE"""),"")</f>
        <v/>
      </c>
      <c r="I242" s="51" t="str">
        <f>IFERROR(__xludf.DUMMYFUNCTION("""COMPUTED_VALUE"""),"#VALUE!")</f>
        <v>#VALUE!</v>
      </c>
      <c r="J242" s="51" t="str">
        <f>IFERROR(__xludf.DUMMYFUNCTION("""COMPUTED_VALUE"""),"")</f>
        <v/>
      </c>
      <c r="K242" s="51"/>
      <c r="L242" s="51" t="s">
        <v>257</v>
      </c>
      <c r="M242" s="51"/>
      <c r="N242" s="51"/>
      <c r="O242" s="51"/>
      <c r="P242" s="51"/>
      <c r="Q242" s="51"/>
      <c r="R242" s="51"/>
      <c r="S242" s="51"/>
      <c r="T242" s="51"/>
    </row>
    <row r="243">
      <c r="A243" s="51"/>
      <c r="B243" s="51"/>
      <c r="C243" s="56"/>
      <c r="D243" s="51"/>
      <c r="E243" s="51"/>
      <c r="F243" s="51"/>
      <c r="G243" s="51" t="str">
        <f>IFERROR(__xludf.DUMMYFUNCTION("""COMPUTED_VALUE"""),"#VALUE!")</f>
        <v>#VALUE!</v>
      </c>
      <c r="H243" s="51" t="str">
        <f>IFERROR(__xludf.DUMMYFUNCTION("""COMPUTED_VALUE"""),"")</f>
        <v/>
      </c>
      <c r="I243" s="51" t="str">
        <f>IFERROR(__xludf.DUMMYFUNCTION("""COMPUTED_VALUE"""),"#VALUE!")</f>
        <v>#VALUE!</v>
      </c>
      <c r="J243" s="51" t="str">
        <f>IFERROR(__xludf.DUMMYFUNCTION("""COMPUTED_VALUE"""),"")</f>
        <v/>
      </c>
      <c r="K243" s="51"/>
      <c r="L243" s="51" t="s">
        <v>257</v>
      </c>
      <c r="M243" s="51"/>
      <c r="N243" s="51"/>
      <c r="O243" s="51"/>
      <c r="P243" s="51"/>
      <c r="Q243" s="51"/>
      <c r="R243" s="51"/>
      <c r="S243" s="51"/>
      <c r="T243" s="51"/>
    </row>
    <row r="244">
      <c r="A244" s="51"/>
      <c r="B244" s="51"/>
      <c r="C244" s="56"/>
      <c r="D244" s="51"/>
      <c r="E244" s="51"/>
      <c r="F244" s="51"/>
      <c r="G244" s="51" t="str">
        <f>IFERROR(__xludf.DUMMYFUNCTION("""COMPUTED_VALUE"""),"#VALUE!")</f>
        <v>#VALUE!</v>
      </c>
      <c r="H244" s="51" t="str">
        <f>IFERROR(__xludf.DUMMYFUNCTION("""COMPUTED_VALUE"""),"")</f>
        <v/>
      </c>
      <c r="I244" s="51" t="str">
        <f>IFERROR(__xludf.DUMMYFUNCTION("""COMPUTED_VALUE"""),"#VALUE!")</f>
        <v>#VALUE!</v>
      </c>
      <c r="J244" s="51" t="str">
        <f>IFERROR(__xludf.DUMMYFUNCTION("""COMPUTED_VALUE"""),"")</f>
        <v/>
      </c>
      <c r="K244" s="51"/>
      <c r="L244" s="51" t="s">
        <v>257</v>
      </c>
      <c r="M244" s="51"/>
      <c r="N244" s="51"/>
      <c r="O244" s="51"/>
      <c r="P244" s="51"/>
      <c r="Q244" s="51"/>
      <c r="R244" s="51"/>
      <c r="S244" s="51"/>
      <c r="T244" s="51"/>
    </row>
    <row r="245">
      <c r="A245" s="51"/>
      <c r="B245" s="51"/>
      <c r="C245" s="56"/>
      <c r="D245" s="51"/>
      <c r="E245" s="51"/>
      <c r="F245" s="51"/>
      <c r="G245" s="51" t="str">
        <f>IFERROR(__xludf.DUMMYFUNCTION("""COMPUTED_VALUE"""),"#VALUE!")</f>
        <v>#VALUE!</v>
      </c>
      <c r="H245" s="51" t="str">
        <f>IFERROR(__xludf.DUMMYFUNCTION("""COMPUTED_VALUE"""),"")</f>
        <v/>
      </c>
      <c r="I245" s="51" t="str">
        <f>IFERROR(__xludf.DUMMYFUNCTION("""COMPUTED_VALUE"""),"#VALUE!")</f>
        <v>#VALUE!</v>
      </c>
      <c r="J245" s="51" t="str">
        <f>IFERROR(__xludf.DUMMYFUNCTION("""COMPUTED_VALUE"""),"")</f>
        <v/>
      </c>
      <c r="K245" s="51"/>
      <c r="L245" s="51" t="s">
        <v>257</v>
      </c>
      <c r="M245" s="51"/>
      <c r="N245" s="51"/>
      <c r="O245" s="51"/>
      <c r="P245" s="51"/>
      <c r="Q245" s="51"/>
      <c r="R245" s="51"/>
      <c r="S245" s="51"/>
      <c r="T245" s="51"/>
    </row>
    <row r="246">
      <c r="A246" s="51"/>
      <c r="B246" s="51"/>
      <c r="C246" s="56"/>
      <c r="D246" s="51"/>
      <c r="E246" s="51"/>
      <c r="F246" s="51"/>
      <c r="G246" s="51" t="str">
        <f>IFERROR(__xludf.DUMMYFUNCTION("""COMPUTED_VALUE"""),"#VALUE!")</f>
        <v>#VALUE!</v>
      </c>
      <c r="H246" s="51" t="str">
        <f>IFERROR(__xludf.DUMMYFUNCTION("""COMPUTED_VALUE"""),"")</f>
        <v/>
      </c>
      <c r="I246" s="51" t="str">
        <f>IFERROR(__xludf.DUMMYFUNCTION("""COMPUTED_VALUE"""),"#VALUE!")</f>
        <v>#VALUE!</v>
      </c>
      <c r="J246" s="51" t="str">
        <f>IFERROR(__xludf.DUMMYFUNCTION("""COMPUTED_VALUE"""),"")</f>
        <v/>
      </c>
      <c r="K246" s="51"/>
      <c r="L246" s="51" t="s">
        <v>257</v>
      </c>
      <c r="M246" s="51"/>
      <c r="N246" s="51"/>
      <c r="O246" s="51"/>
      <c r="P246" s="51"/>
      <c r="Q246" s="51"/>
      <c r="R246" s="51"/>
      <c r="S246" s="51"/>
      <c r="T246" s="51"/>
    </row>
    <row r="247">
      <c r="A247" s="51"/>
      <c r="B247" s="51"/>
      <c r="C247" s="56"/>
      <c r="D247" s="51"/>
      <c r="E247" s="51"/>
      <c r="F247" s="51"/>
      <c r="G247" s="51" t="str">
        <f>IFERROR(__xludf.DUMMYFUNCTION("""COMPUTED_VALUE"""),"#VALUE!")</f>
        <v>#VALUE!</v>
      </c>
      <c r="H247" s="51" t="str">
        <f>IFERROR(__xludf.DUMMYFUNCTION("""COMPUTED_VALUE"""),"")</f>
        <v/>
      </c>
      <c r="I247" s="51" t="str">
        <f>IFERROR(__xludf.DUMMYFUNCTION("""COMPUTED_VALUE"""),"#VALUE!")</f>
        <v>#VALUE!</v>
      </c>
      <c r="J247" s="51" t="str">
        <f>IFERROR(__xludf.DUMMYFUNCTION("""COMPUTED_VALUE"""),"")</f>
        <v/>
      </c>
      <c r="K247" s="51"/>
      <c r="L247" s="51" t="s">
        <v>257</v>
      </c>
      <c r="M247" s="51"/>
      <c r="N247" s="51"/>
      <c r="O247" s="51"/>
      <c r="P247" s="51"/>
      <c r="Q247" s="51"/>
      <c r="R247" s="51"/>
      <c r="S247" s="51"/>
      <c r="T247" s="51"/>
    </row>
    <row r="248">
      <c r="A248" s="51"/>
      <c r="B248" s="51"/>
      <c r="C248" s="56"/>
      <c r="D248" s="51"/>
      <c r="E248" s="51"/>
      <c r="F248" s="51"/>
      <c r="G248" s="51" t="str">
        <f>IFERROR(__xludf.DUMMYFUNCTION("""COMPUTED_VALUE"""),"#VALUE!")</f>
        <v>#VALUE!</v>
      </c>
      <c r="H248" s="51" t="str">
        <f>IFERROR(__xludf.DUMMYFUNCTION("""COMPUTED_VALUE"""),"")</f>
        <v/>
      </c>
      <c r="I248" s="51" t="str">
        <f>IFERROR(__xludf.DUMMYFUNCTION("""COMPUTED_VALUE"""),"#VALUE!")</f>
        <v>#VALUE!</v>
      </c>
      <c r="J248" s="51" t="str">
        <f>IFERROR(__xludf.DUMMYFUNCTION("""COMPUTED_VALUE"""),"")</f>
        <v/>
      </c>
      <c r="K248" s="51"/>
      <c r="L248" s="51" t="s">
        <v>257</v>
      </c>
      <c r="M248" s="51"/>
      <c r="N248" s="51"/>
      <c r="O248" s="51"/>
      <c r="P248" s="51"/>
      <c r="Q248" s="51"/>
      <c r="R248" s="51"/>
      <c r="S248" s="51"/>
      <c r="T248" s="51"/>
    </row>
    <row r="249">
      <c r="A249" s="51"/>
      <c r="B249" s="51"/>
      <c r="C249" s="56"/>
      <c r="D249" s="51"/>
      <c r="E249" s="51"/>
      <c r="F249" s="51"/>
      <c r="G249" s="51" t="str">
        <f>IFERROR(__xludf.DUMMYFUNCTION("""COMPUTED_VALUE"""),"#VALUE!")</f>
        <v>#VALUE!</v>
      </c>
      <c r="H249" s="51" t="str">
        <f>IFERROR(__xludf.DUMMYFUNCTION("""COMPUTED_VALUE"""),"")</f>
        <v/>
      </c>
      <c r="I249" s="51" t="str">
        <f>IFERROR(__xludf.DUMMYFUNCTION("""COMPUTED_VALUE"""),"#VALUE!")</f>
        <v>#VALUE!</v>
      </c>
      <c r="J249" s="51" t="str">
        <f>IFERROR(__xludf.DUMMYFUNCTION("""COMPUTED_VALUE"""),"")</f>
        <v/>
      </c>
      <c r="K249" s="51"/>
      <c r="L249" s="51" t="s">
        <v>257</v>
      </c>
      <c r="M249" s="51"/>
      <c r="N249" s="51"/>
      <c r="O249" s="51"/>
      <c r="P249" s="51"/>
      <c r="Q249" s="51"/>
      <c r="R249" s="51"/>
      <c r="S249" s="51"/>
      <c r="T249" s="51"/>
    </row>
    <row r="250">
      <c r="A250" s="51"/>
      <c r="B250" s="51"/>
      <c r="C250" s="56"/>
      <c r="D250" s="51"/>
      <c r="E250" s="51"/>
      <c r="F250" s="51"/>
      <c r="G250" s="51" t="str">
        <f>IFERROR(__xludf.DUMMYFUNCTION("""COMPUTED_VALUE"""),"#VALUE!")</f>
        <v>#VALUE!</v>
      </c>
      <c r="H250" s="51" t="str">
        <f>IFERROR(__xludf.DUMMYFUNCTION("""COMPUTED_VALUE"""),"")</f>
        <v/>
      </c>
      <c r="I250" s="51" t="str">
        <f>IFERROR(__xludf.DUMMYFUNCTION("""COMPUTED_VALUE"""),"#VALUE!")</f>
        <v>#VALUE!</v>
      </c>
      <c r="J250" s="51" t="str">
        <f>IFERROR(__xludf.DUMMYFUNCTION("""COMPUTED_VALUE"""),"")</f>
        <v/>
      </c>
      <c r="K250" s="51"/>
      <c r="L250" s="51" t="s">
        <v>257</v>
      </c>
      <c r="M250" s="51"/>
      <c r="N250" s="51"/>
      <c r="O250" s="51"/>
      <c r="P250" s="51"/>
      <c r="Q250" s="51"/>
      <c r="R250" s="51"/>
      <c r="S250" s="51"/>
      <c r="T250" s="51"/>
    </row>
    <row r="251">
      <c r="A251" s="51"/>
      <c r="B251" s="51"/>
      <c r="C251" s="56"/>
      <c r="D251" s="51"/>
      <c r="E251" s="51"/>
      <c r="F251" s="51"/>
      <c r="G251" s="51" t="str">
        <f>IFERROR(__xludf.DUMMYFUNCTION("""COMPUTED_VALUE"""),"#VALUE!")</f>
        <v>#VALUE!</v>
      </c>
      <c r="H251" s="51" t="str">
        <f>IFERROR(__xludf.DUMMYFUNCTION("""COMPUTED_VALUE"""),"")</f>
        <v/>
      </c>
      <c r="I251" s="51" t="str">
        <f>IFERROR(__xludf.DUMMYFUNCTION("""COMPUTED_VALUE"""),"#VALUE!")</f>
        <v>#VALUE!</v>
      </c>
      <c r="J251" s="51" t="str">
        <f>IFERROR(__xludf.DUMMYFUNCTION("""COMPUTED_VALUE"""),"")</f>
        <v/>
      </c>
      <c r="K251" s="51"/>
      <c r="L251" s="51" t="s">
        <v>257</v>
      </c>
      <c r="M251" s="51"/>
      <c r="N251" s="51"/>
      <c r="O251" s="51"/>
      <c r="P251" s="51"/>
      <c r="Q251" s="51"/>
      <c r="R251" s="51"/>
      <c r="S251" s="51"/>
      <c r="T251" s="51"/>
    </row>
    <row r="252">
      <c r="A252" s="51"/>
      <c r="B252" s="51"/>
      <c r="C252" s="56"/>
      <c r="D252" s="51"/>
      <c r="E252" s="51"/>
      <c r="F252" s="51"/>
      <c r="G252" s="51" t="str">
        <f>IFERROR(__xludf.DUMMYFUNCTION("""COMPUTED_VALUE"""),"#VALUE!")</f>
        <v>#VALUE!</v>
      </c>
      <c r="H252" s="51" t="str">
        <f>IFERROR(__xludf.DUMMYFUNCTION("""COMPUTED_VALUE"""),"")</f>
        <v/>
      </c>
      <c r="I252" s="51" t="str">
        <f>IFERROR(__xludf.DUMMYFUNCTION("""COMPUTED_VALUE"""),"#VALUE!")</f>
        <v>#VALUE!</v>
      </c>
      <c r="J252" s="51" t="str">
        <f>IFERROR(__xludf.DUMMYFUNCTION("""COMPUTED_VALUE"""),"")</f>
        <v/>
      </c>
      <c r="K252" s="51"/>
      <c r="L252" s="51" t="s">
        <v>257</v>
      </c>
      <c r="M252" s="51"/>
      <c r="N252" s="51"/>
      <c r="O252" s="51"/>
      <c r="P252" s="51"/>
      <c r="Q252" s="51"/>
      <c r="R252" s="51"/>
      <c r="S252" s="51"/>
      <c r="T252" s="51"/>
    </row>
    <row r="253">
      <c r="A253" s="51"/>
      <c r="B253" s="51"/>
      <c r="C253" s="56"/>
      <c r="D253" s="51"/>
      <c r="E253" s="51"/>
      <c r="F253" s="51"/>
      <c r="G253" s="51" t="str">
        <f>IFERROR(__xludf.DUMMYFUNCTION("""COMPUTED_VALUE"""),"#VALUE!")</f>
        <v>#VALUE!</v>
      </c>
      <c r="H253" s="51" t="str">
        <f>IFERROR(__xludf.DUMMYFUNCTION("""COMPUTED_VALUE"""),"")</f>
        <v/>
      </c>
      <c r="I253" s="51" t="str">
        <f>IFERROR(__xludf.DUMMYFUNCTION("""COMPUTED_VALUE"""),"#VALUE!")</f>
        <v>#VALUE!</v>
      </c>
      <c r="J253" s="51" t="str">
        <f>IFERROR(__xludf.DUMMYFUNCTION("""COMPUTED_VALUE"""),"")</f>
        <v/>
      </c>
      <c r="K253" s="51"/>
      <c r="L253" s="51" t="s">
        <v>257</v>
      </c>
      <c r="M253" s="51"/>
      <c r="N253" s="51"/>
      <c r="O253" s="51"/>
      <c r="P253" s="51"/>
      <c r="Q253" s="51"/>
      <c r="R253" s="51"/>
      <c r="S253" s="51"/>
      <c r="T253" s="51"/>
    </row>
    <row r="254">
      <c r="A254" s="51"/>
      <c r="B254" s="51"/>
      <c r="C254" s="56"/>
      <c r="D254" s="51"/>
      <c r="E254" s="51"/>
      <c r="F254" s="51"/>
      <c r="G254" s="51" t="str">
        <f>IFERROR(__xludf.DUMMYFUNCTION("""COMPUTED_VALUE"""),"#VALUE!")</f>
        <v>#VALUE!</v>
      </c>
      <c r="H254" s="51" t="str">
        <f>IFERROR(__xludf.DUMMYFUNCTION("""COMPUTED_VALUE"""),"")</f>
        <v/>
      </c>
      <c r="I254" s="51" t="str">
        <f>IFERROR(__xludf.DUMMYFUNCTION("""COMPUTED_VALUE"""),"#VALUE!")</f>
        <v>#VALUE!</v>
      </c>
      <c r="J254" s="51" t="str">
        <f>IFERROR(__xludf.DUMMYFUNCTION("""COMPUTED_VALUE"""),"")</f>
        <v/>
      </c>
      <c r="K254" s="51"/>
      <c r="L254" s="51" t="s">
        <v>257</v>
      </c>
      <c r="M254" s="51"/>
      <c r="N254" s="51"/>
      <c r="O254" s="51"/>
      <c r="P254" s="51"/>
      <c r="Q254" s="51"/>
      <c r="R254" s="51"/>
      <c r="S254" s="51"/>
      <c r="T254" s="51"/>
    </row>
    <row r="255">
      <c r="A255" s="51"/>
      <c r="B255" s="51"/>
      <c r="C255" s="56"/>
      <c r="D255" s="51"/>
      <c r="E255" s="51"/>
      <c r="F255" s="51"/>
      <c r="G255" s="51" t="str">
        <f>IFERROR(__xludf.DUMMYFUNCTION("""COMPUTED_VALUE"""),"#VALUE!")</f>
        <v>#VALUE!</v>
      </c>
      <c r="H255" s="51" t="str">
        <f>IFERROR(__xludf.DUMMYFUNCTION("""COMPUTED_VALUE"""),"")</f>
        <v/>
      </c>
      <c r="I255" s="51" t="str">
        <f>IFERROR(__xludf.DUMMYFUNCTION("""COMPUTED_VALUE"""),"#VALUE!")</f>
        <v>#VALUE!</v>
      </c>
      <c r="J255" s="51" t="str">
        <f>IFERROR(__xludf.DUMMYFUNCTION("""COMPUTED_VALUE"""),"")</f>
        <v/>
      </c>
      <c r="K255" s="51"/>
      <c r="L255" s="51" t="s">
        <v>257</v>
      </c>
      <c r="M255" s="51"/>
      <c r="N255" s="51"/>
      <c r="O255" s="51"/>
      <c r="P255" s="51"/>
      <c r="Q255" s="51"/>
      <c r="R255" s="51"/>
      <c r="S255" s="51"/>
      <c r="T255" s="51"/>
    </row>
    <row r="256">
      <c r="A256" s="51"/>
      <c r="B256" s="51"/>
      <c r="C256" s="56"/>
      <c r="D256" s="51"/>
      <c r="E256" s="51"/>
      <c r="F256" s="51"/>
      <c r="G256" s="51" t="str">
        <f>IFERROR(__xludf.DUMMYFUNCTION("""COMPUTED_VALUE"""),"#VALUE!")</f>
        <v>#VALUE!</v>
      </c>
      <c r="H256" s="51" t="str">
        <f>IFERROR(__xludf.DUMMYFUNCTION("""COMPUTED_VALUE"""),"")</f>
        <v/>
      </c>
      <c r="I256" s="51" t="str">
        <f>IFERROR(__xludf.DUMMYFUNCTION("""COMPUTED_VALUE"""),"#VALUE!")</f>
        <v>#VALUE!</v>
      </c>
      <c r="J256" s="51" t="str">
        <f>IFERROR(__xludf.DUMMYFUNCTION("""COMPUTED_VALUE"""),"")</f>
        <v/>
      </c>
      <c r="K256" s="51"/>
      <c r="L256" s="51" t="s">
        <v>257</v>
      </c>
      <c r="M256" s="51"/>
      <c r="N256" s="51"/>
      <c r="O256" s="51"/>
      <c r="P256" s="51"/>
      <c r="Q256" s="51"/>
      <c r="R256" s="51"/>
      <c r="S256" s="51"/>
      <c r="T256" s="51"/>
    </row>
    <row r="257">
      <c r="A257" s="51"/>
      <c r="B257" s="51"/>
      <c r="C257" s="56"/>
      <c r="D257" s="51"/>
      <c r="E257" s="51"/>
      <c r="F257" s="51"/>
      <c r="G257" s="51" t="str">
        <f>IFERROR(__xludf.DUMMYFUNCTION("""COMPUTED_VALUE"""),"#VALUE!")</f>
        <v>#VALUE!</v>
      </c>
      <c r="H257" s="51" t="str">
        <f>IFERROR(__xludf.DUMMYFUNCTION("""COMPUTED_VALUE"""),"")</f>
        <v/>
      </c>
      <c r="I257" s="51" t="str">
        <f>IFERROR(__xludf.DUMMYFUNCTION("""COMPUTED_VALUE"""),"#VALUE!")</f>
        <v>#VALUE!</v>
      </c>
      <c r="J257" s="51" t="str">
        <f>IFERROR(__xludf.DUMMYFUNCTION("""COMPUTED_VALUE"""),"")</f>
        <v/>
      </c>
      <c r="K257" s="51"/>
      <c r="L257" s="51" t="s">
        <v>257</v>
      </c>
      <c r="M257" s="51"/>
      <c r="N257" s="51"/>
      <c r="O257" s="51"/>
      <c r="P257" s="51"/>
      <c r="Q257" s="51"/>
      <c r="R257" s="51"/>
      <c r="S257" s="51"/>
      <c r="T257" s="51"/>
    </row>
    <row r="258">
      <c r="A258" s="51"/>
      <c r="B258" s="51"/>
      <c r="C258" s="56"/>
      <c r="D258" s="51"/>
      <c r="E258" s="51"/>
      <c r="F258" s="51"/>
      <c r="G258" s="51" t="str">
        <f>IFERROR(__xludf.DUMMYFUNCTION("""COMPUTED_VALUE"""),"#VALUE!")</f>
        <v>#VALUE!</v>
      </c>
      <c r="H258" s="51" t="str">
        <f>IFERROR(__xludf.DUMMYFUNCTION("""COMPUTED_VALUE"""),"")</f>
        <v/>
      </c>
      <c r="I258" s="51" t="str">
        <f>IFERROR(__xludf.DUMMYFUNCTION("""COMPUTED_VALUE"""),"#VALUE!")</f>
        <v>#VALUE!</v>
      </c>
      <c r="J258" s="51" t="str">
        <f>IFERROR(__xludf.DUMMYFUNCTION("""COMPUTED_VALUE"""),"")</f>
        <v/>
      </c>
      <c r="K258" s="51"/>
      <c r="L258" s="51" t="s">
        <v>257</v>
      </c>
      <c r="M258" s="51"/>
      <c r="N258" s="51"/>
      <c r="O258" s="51"/>
      <c r="P258" s="51"/>
      <c r="Q258" s="51"/>
      <c r="R258" s="51"/>
      <c r="S258" s="51"/>
      <c r="T258" s="51"/>
    </row>
    <row r="259">
      <c r="A259" s="51"/>
      <c r="B259" s="51"/>
      <c r="C259" s="56"/>
      <c r="D259" s="51"/>
      <c r="E259" s="51"/>
      <c r="F259" s="51"/>
      <c r="G259" s="51" t="str">
        <f>IFERROR(__xludf.DUMMYFUNCTION("""COMPUTED_VALUE"""),"#VALUE!")</f>
        <v>#VALUE!</v>
      </c>
      <c r="H259" s="51" t="str">
        <f>IFERROR(__xludf.DUMMYFUNCTION("""COMPUTED_VALUE"""),"")</f>
        <v/>
      </c>
      <c r="I259" s="51" t="str">
        <f>IFERROR(__xludf.DUMMYFUNCTION("""COMPUTED_VALUE"""),"#VALUE!")</f>
        <v>#VALUE!</v>
      </c>
      <c r="J259" s="51" t="str">
        <f>IFERROR(__xludf.DUMMYFUNCTION("""COMPUTED_VALUE"""),"")</f>
        <v/>
      </c>
      <c r="K259" s="51"/>
      <c r="L259" s="51" t="s">
        <v>257</v>
      </c>
      <c r="M259" s="51"/>
      <c r="N259" s="51"/>
      <c r="O259" s="51"/>
      <c r="P259" s="51"/>
      <c r="Q259" s="51"/>
      <c r="R259" s="51"/>
      <c r="S259" s="51"/>
      <c r="T259" s="51"/>
    </row>
    <row r="260">
      <c r="A260" s="51"/>
      <c r="B260" s="51"/>
      <c r="C260" s="56"/>
      <c r="D260" s="51"/>
      <c r="E260" s="51"/>
      <c r="F260" s="51"/>
      <c r="G260" s="51" t="str">
        <f>IFERROR(__xludf.DUMMYFUNCTION("""COMPUTED_VALUE"""),"#VALUE!")</f>
        <v>#VALUE!</v>
      </c>
      <c r="H260" s="51" t="str">
        <f>IFERROR(__xludf.DUMMYFUNCTION("""COMPUTED_VALUE"""),"")</f>
        <v/>
      </c>
      <c r="I260" s="51" t="str">
        <f>IFERROR(__xludf.DUMMYFUNCTION("""COMPUTED_VALUE"""),"#VALUE!")</f>
        <v>#VALUE!</v>
      </c>
      <c r="J260" s="51" t="str">
        <f>IFERROR(__xludf.DUMMYFUNCTION("""COMPUTED_VALUE"""),"")</f>
        <v/>
      </c>
      <c r="K260" s="51"/>
      <c r="L260" s="51" t="s">
        <v>257</v>
      </c>
      <c r="M260" s="51"/>
      <c r="N260" s="51"/>
      <c r="O260" s="51"/>
      <c r="P260" s="51"/>
      <c r="Q260" s="51"/>
      <c r="R260" s="51"/>
      <c r="S260" s="51"/>
      <c r="T260" s="51"/>
    </row>
    <row r="261">
      <c r="A261" s="51"/>
      <c r="B261" s="51"/>
      <c r="C261" s="56"/>
      <c r="D261" s="51"/>
      <c r="E261" s="51"/>
      <c r="F261" s="51"/>
      <c r="G261" s="51" t="str">
        <f>IFERROR(__xludf.DUMMYFUNCTION("""COMPUTED_VALUE"""),"#VALUE!")</f>
        <v>#VALUE!</v>
      </c>
      <c r="H261" s="51" t="str">
        <f>IFERROR(__xludf.DUMMYFUNCTION("""COMPUTED_VALUE"""),"")</f>
        <v/>
      </c>
      <c r="I261" s="51" t="str">
        <f>IFERROR(__xludf.DUMMYFUNCTION("""COMPUTED_VALUE"""),"#VALUE!")</f>
        <v>#VALUE!</v>
      </c>
      <c r="J261" s="51" t="str">
        <f>IFERROR(__xludf.DUMMYFUNCTION("""COMPUTED_VALUE"""),"")</f>
        <v/>
      </c>
      <c r="K261" s="51"/>
      <c r="L261" s="51" t="s">
        <v>257</v>
      </c>
      <c r="M261" s="51"/>
      <c r="N261" s="51"/>
      <c r="O261" s="51"/>
      <c r="P261" s="51"/>
      <c r="Q261" s="51"/>
      <c r="R261" s="51"/>
      <c r="S261" s="51"/>
      <c r="T261" s="51"/>
    </row>
    <row r="262">
      <c r="A262" s="51"/>
      <c r="B262" s="51"/>
      <c r="C262" s="56"/>
      <c r="D262" s="51"/>
      <c r="E262" s="51"/>
      <c r="F262" s="51"/>
      <c r="G262" s="51" t="str">
        <f>IFERROR(__xludf.DUMMYFUNCTION("""COMPUTED_VALUE"""),"#VALUE!")</f>
        <v>#VALUE!</v>
      </c>
      <c r="H262" s="51" t="str">
        <f>IFERROR(__xludf.DUMMYFUNCTION("""COMPUTED_VALUE"""),"")</f>
        <v/>
      </c>
      <c r="I262" s="51" t="str">
        <f>IFERROR(__xludf.DUMMYFUNCTION("""COMPUTED_VALUE"""),"#VALUE!")</f>
        <v>#VALUE!</v>
      </c>
      <c r="J262" s="51" t="str">
        <f>IFERROR(__xludf.DUMMYFUNCTION("""COMPUTED_VALUE"""),"")</f>
        <v/>
      </c>
      <c r="K262" s="51"/>
      <c r="L262" s="51" t="s">
        <v>257</v>
      </c>
      <c r="M262" s="51"/>
      <c r="N262" s="51"/>
      <c r="O262" s="51"/>
      <c r="P262" s="51"/>
      <c r="Q262" s="51"/>
      <c r="R262" s="51"/>
      <c r="S262" s="51"/>
      <c r="T262" s="51"/>
    </row>
    <row r="263">
      <c r="A263" s="51"/>
      <c r="B263" s="51"/>
      <c r="C263" s="56"/>
      <c r="D263" s="51"/>
      <c r="E263" s="51"/>
      <c r="F263" s="51"/>
      <c r="G263" s="51" t="str">
        <f>IFERROR(__xludf.DUMMYFUNCTION("""COMPUTED_VALUE"""),"#VALUE!")</f>
        <v>#VALUE!</v>
      </c>
      <c r="H263" s="51" t="str">
        <f>IFERROR(__xludf.DUMMYFUNCTION("""COMPUTED_VALUE"""),"")</f>
        <v/>
      </c>
      <c r="I263" s="51" t="str">
        <f>IFERROR(__xludf.DUMMYFUNCTION("""COMPUTED_VALUE"""),"#VALUE!")</f>
        <v>#VALUE!</v>
      </c>
      <c r="J263" s="51" t="str">
        <f>IFERROR(__xludf.DUMMYFUNCTION("""COMPUTED_VALUE"""),"")</f>
        <v/>
      </c>
      <c r="K263" s="51"/>
      <c r="L263" s="51" t="s">
        <v>257</v>
      </c>
      <c r="M263" s="51"/>
      <c r="N263" s="51"/>
      <c r="O263" s="51"/>
      <c r="P263" s="51"/>
      <c r="Q263" s="51"/>
      <c r="R263" s="51"/>
      <c r="S263" s="51"/>
      <c r="T263" s="51"/>
    </row>
    <row r="264">
      <c r="A264" s="51"/>
      <c r="B264" s="51"/>
      <c r="C264" s="56"/>
      <c r="D264" s="51"/>
      <c r="E264" s="51"/>
      <c r="F264" s="51"/>
      <c r="G264" s="51" t="str">
        <f>IFERROR(__xludf.DUMMYFUNCTION("""COMPUTED_VALUE"""),"#VALUE!")</f>
        <v>#VALUE!</v>
      </c>
      <c r="H264" s="51" t="str">
        <f>IFERROR(__xludf.DUMMYFUNCTION("""COMPUTED_VALUE"""),"")</f>
        <v/>
      </c>
      <c r="I264" s="51" t="str">
        <f>IFERROR(__xludf.DUMMYFUNCTION("""COMPUTED_VALUE"""),"#VALUE!")</f>
        <v>#VALUE!</v>
      </c>
      <c r="J264" s="51" t="str">
        <f>IFERROR(__xludf.DUMMYFUNCTION("""COMPUTED_VALUE"""),"")</f>
        <v/>
      </c>
      <c r="K264" s="51"/>
      <c r="L264" s="51" t="s">
        <v>257</v>
      </c>
      <c r="M264" s="51"/>
      <c r="N264" s="51"/>
      <c r="O264" s="51"/>
      <c r="P264" s="51"/>
      <c r="Q264" s="51"/>
      <c r="R264" s="51"/>
      <c r="S264" s="51"/>
      <c r="T264" s="51"/>
    </row>
    <row r="265">
      <c r="A265" s="51"/>
      <c r="B265" s="51"/>
      <c r="C265" s="56"/>
      <c r="D265" s="51"/>
      <c r="E265" s="51"/>
      <c r="F265" s="51"/>
      <c r="G265" s="51" t="str">
        <f>IFERROR(__xludf.DUMMYFUNCTION("""COMPUTED_VALUE"""),"#VALUE!")</f>
        <v>#VALUE!</v>
      </c>
      <c r="H265" s="51" t="str">
        <f>IFERROR(__xludf.DUMMYFUNCTION("""COMPUTED_VALUE"""),"")</f>
        <v/>
      </c>
      <c r="I265" s="51" t="str">
        <f>IFERROR(__xludf.DUMMYFUNCTION("""COMPUTED_VALUE"""),"#VALUE!")</f>
        <v>#VALUE!</v>
      </c>
      <c r="J265" s="51" t="str">
        <f>IFERROR(__xludf.DUMMYFUNCTION("""COMPUTED_VALUE"""),"")</f>
        <v/>
      </c>
      <c r="K265" s="51"/>
      <c r="L265" s="51" t="s">
        <v>257</v>
      </c>
      <c r="M265" s="51"/>
      <c r="N265" s="51"/>
      <c r="O265" s="51"/>
      <c r="P265" s="51"/>
      <c r="Q265" s="51"/>
      <c r="R265" s="51"/>
      <c r="S265" s="51"/>
      <c r="T265" s="51"/>
    </row>
    <row r="266">
      <c r="A266" s="51"/>
      <c r="B266" s="51"/>
      <c r="C266" s="56"/>
      <c r="D266" s="51"/>
      <c r="E266" s="51"/>
      <c r="F266" s="51"/>
      <c r="G266" s="51" t="str">
        <f>IFERROR(__xludf.DUMMYFUNCTION("""COMPUTED_VALUE"""),"#VALUE!")</f>
        <v>#VALUE!</v>
      </c>
      <c r="H266" s="51" t="str">
        <f>IFERROR(__xludf.DUMMYFUNCTION("""COMPUTED_VALUE"""),"")</f>
        <v/>
      </c>
      <c r="I266" s="51" t="str">
        <f>IFERROR(__xludf.DUMMYFUNCTION("""COMPUTED_VALUE"""),"#VALUE!")</f>
        <v>#VALUE!</v>
      </c>
      <c r="J266" s="51" t="str">
        <f>IFERROR(__xludf.DUMMYFUNCTION("""COMPUTED_VALUE"""),"")</f>
        <v/>
      </c>
      <c r="K266" s="51"/>
      <c r="L266" s="51" t="s">
        <v>257</v>
      </c>
      <c r="M266" s="51"/>
      <c r="N266" s="51"/>
      <c r="O266" s="51"/>
      <c r="P266" s="51"/>
      <c r="Q266" s="51"/>
      <c r="R266" s="51"/>
      <c r="S266" s="51"/>
      <c r="T266" s="51"/>
    </row>
    <row r="267">
      <c r="A267" s="51"/>
      <c r="B267" s="51"/>
      <c r="C267" s="56"/>
      <c r="D267" s="51"/>
      <c r="E267" s="51"/>
      <c r="F267" s="51"/>
      <c r="G267" s="51" t="str">
        <f>IFERROR(__xludf.DUMMYFUNCTION("""COMPUTED_VALUE"""),"#VALUE!")</f>
        <v>#VALUE!</v>
      </c>
      <c r="H267" s="51" t="str">
        <f>IFERROR(__xludf.DUMMYFUNCTION("""COMPUTED_VALUE"""),"")</f>
        <v/>
      </c>
      <c r="I267" s="51" t="str">
        <f>IFERROR(__xludf.DUMMYFUNCTION("""COMPUTED_VALUE"""),"#VALUE!")</f>
        <v>#VALUE!</v>
      </c>
      <c r="J267" s="51" t="str">
        <f>IFERROR(__xludf.DUMMYFUNCTION("""COMPUTED_VALUE"""),"")</f>
        <v/>
      </c>
      <c r="K267" s="51"/>
      <c r="L267" s="51" t="s">
        <v>257</v>
      </c>
      <c r="M267" s="51"/>
      <c r="N267" s="51"/>
      <c r="O267" s="51"/>
      <c r="P267" s="51"/>
      <c r="Q267" s="51"/>
      <c r="R267" s="51"/>
      <c r="S267" s="51"/>
      <c r="T267" s="51"/>
    </row>
    <row r="268">
      <c r="A268" s="51"/>
      <c r="B268" s="51"/>
      <c r="C268" s="56"/>
      <c r="D268" s="51"/>
      <c r="E268" s="51"/>
      <c r="F268" s="51"/>
      <c r="G268" s="51" t="str">
        <f>IFERROR(__xludf.DUMMYFUNCTION("""COMPUTED_VALUE"""),"#VALUE!")</f>
        <v>#VALUE!</v>
      </c>
      <c r="H268" s="51" t="str">
        <f>IFERROR(__xludf.DUMMYFUNCTION("""COMPUTED_VALUE"""),"")</f>
        <v/>
      </c>
      <c r="I268" s="51" t="str">
        <f>IFERROR(__xludf.DUMMYFUNCTION("""COMPUTED_VALUE"""),"#VALUE!")</f>
        <v>#VALUE!</v>
      </c>
      <c r="J268" s="51" t="str">
        <f>IFERROR(__xludf.DUMMYFUNCTION("""COMPUTED_VALUE"""),"")</f>
        <v/>
      </c>
      <c r="K268" s="51"/>
      <c r="L268" s="51" t="s">
        <v>257</v>
      </c>
      <c r="M268" s="51"/>
      <c r="N268" s="51"/>
      <c r="O268" s="51"/>
      <c r="P268" s="51"/>
      <c r="Q268" s="51"/>
      <c r="R268" s="51"/>
      <c r="S268" s="51"/>
      <c r="T268" s="51"/>
    </row>
    <row r="269">
      <c r="A269" s="51"/>
      <c r="B269" s="51"/>
      <c r="C269" s="56"/>
      <c r="D269" s="51"/>
      <c r="E269" s="51"/>
      <c r="F269" s="51"/>
      <c r="G269" s="51" t="str">
        <f>IFERROR(__xludf.DUMMYFUNCTION("""COMPUTED_VALUE"""),"#VALUE!")</f>
        <v>#VALUE!</v>
      </c>
      <c r="H269" s="51" t="str">
        <f>IFERROR(__xludf.DUMMYFUNCTION("""COMPUTED_VALUE"""),"")</f>
        <v/>
      </c>
      <c r="I269" s="51" t="str">
        <f>IFERROR(__xludf.DUMMYFUNCTION("""COMPUTED_VALUE"""),"#VALUE!")</f>
        <v>#VALUE!</v>
      </c>
      <c r="J269" s="51" t="str">
        <f>IFERROR(__xludf.DUMMYFUNCTION("""COMPUTED_VALUE"""),"")</f>
        <v/>
      </c>
      <c r="K269" s="51"/>
      <c r="L269" s="51" t="s">
        <v>257</v>
      </c>
      <c r="M269" s="51"/>
      <c r="N269" s="51"/>
      <c r="O269" s="51"/>
      <c r="P269" s="51"/>
      <c r="Q269" s="51"/>
      <c r="R269" s="51"/>
      <c r="S269" s="51"/>
      <c r="T269" s="51"/>
    </row>
    <row r="270">
      <c r="A270" s="51"/>
      <c r="B270" s="51"/>
      <c r="C270" s="56"/>
      <c r="D270" s="51"/>
      <c r="E270" s="51"/>
      <c r="F270" s="51"/>
      <c r="G270" s="51" t="str">
        <f>IFERROR(__xludf.DUMMYFUNCTION("""COMPUTED_VALUE"""),"#VALUE!")</f>
        <v>#VALUE!</v>
      </c>
      <c r="H270" s="51" t="str">
        <f>IFERROR(__xludf.DUMMYFUNCTION("""COMPUTED_VALUE"""),"")</f>
        <v/>
      </c>
      <c r="I270" s="51" t="str">
        <f>IFERROR(__xludf.DUMMYFUNCTION("""COMPUTED_VALUE"""),"#VALUE!")</f>
        <v>#VALUE!</v>
      </c>
      <c r="J270" s="51" t="str">
        <f>IFERROR(__xludf.DUMMYFUNCTION("""COMPUTED_VALUE"""),"")</f>
        <v/>
      </c>
      <c r="K270" s="51"/>
      <c r="L270" s="51" t="s">
        <v>257</v>
      </c>
      <c r="M270" s="51"/>
      <c r="N270" s="51"/>
      <c r="O270" s="51"/>
      <c r="P270" s="51"/>
      <c r="Q270" s="51"/>
      <c r="R270" s="51"/>
      <c r="S270" s="51"/>
      <c r="T270" s="51"/>
    </row>
    <row r="271">
      <c r="A271" s="51"/>
      <c r="B271" s="51"/>
      <c r="C271" s="56"/>
      <c r="D271" s="51"/>
      <c r="E271" s="51"/>
      <c r="F271" s="51"/>
      <c r="G271" s="51" t="str">
        <f>IFERROR(__xludf.DUMMYFUNCTION("""COMPUTED_VALUE"""),"#VALUE!")</f>
        <v>#VALUE!</v>
      </c>
      <c r="H271" s="51" t="str">
        <f>IFERROR(__xludf.DUMMYFUNCTION("""COMPUTED_VALUE"""),"")</f>
        <v/>
      </c>
      <c r="I271" s="51" t="str">
        <f>IFERROR(__xludf.DUMMYFUNCTION("""COMPUTED_VALUE"""),"#VALUE!")</f>
        <v>#VALUE!</v>
      </c>
      <c r="J271" s="51" t="str">
        <f>IFERROR(__xludf.DUMMYFUNCTION("""COMPUTED_VALUE"""),"")</f>
        <v/>
      </c>
      <c r="K271" s="51"/>
      <c r="L271" s="51" t="s">
        <v>257</v>
      </c>
      <c r="M271" s="51"/>
      <c r="N271" s="51"/>
      <c r="O271" s="51"/>
      <c r="P271" s="51"/>
      <c r="Q271" s="51"/>
      <c r="R271" s="51"/>
      <c r="S271" s="51"/>
      <c r="T271" s="51"/>
    </row>
    <row r="272">
      <c r="A272" s="51"/>
      <c r="B272" s="51"/>
      <c r="C272" s="56"/>
      <c r="D272" s="51"/>
      <c r="E272" s="51"/>
      <c r="F272" s="51"/>
      <c r="G272" s="51" t="str">
        <f>IFERROR(__xludf.DUMMYFUNCTION("""COMPUTED_VALUE"""),"#VALUE!")</f>
        <v>#VALUE!</v>
      </c>
      <c r="H272" s="51" t="str">
        <f>IFERROR(__xludf.DUMMYFUNCTION("""COMPUTED_VALUE"""),"")</f>
        <v/>
      </c>
      <c r="I272" s="51" t="str">
        <f>IFERROR(__xludf.DUMMYFUNCTION("""COMPUTED_VALUE"""),"#VALUE!")</f>
        <v>#VALUE!</v>
      </c>
      <c r="J272" s="51" t="str">
        <f>IFERROR(__xludf.DUMMYFUNCTION("""COMPUTED_VALUE"""),"")</f>
        <v/>
      </c>
      <c r="K272" s="51"/>
      <c r="L272" s="51" t="s">
        <v>257</v>
      </c>
      <c r="M272" s="51"/>
      <c r="N272" s="51"/>
      <c r="O272" s="51"/>
      <c r="P272" s="51"/>
      <c r="Q272" s="51"/>
      <c r="R272" s="51"/>
      <c r="S272" s="51"/>
      <c r="T272" s="51"/>
    </row>
    <row r="273">
      <c r="A273" s="51"/>
      <c r="B273" s="51"/>
      <c r="C273" s="56"/>
      <c r="D273" s="51"/>
      <c r="E273" s="51"/>
      <c r="F273" s="51"/>
      <c r="G273" s="51" t="str">
        <f>IFERROR(__xludf.DUMMYFUNCTION("""COMPUTED_VALUE"""),"#VALUE!")</f>
        <v>#VALUE!</v>
      </c>
      <c r="H273" s="51" t="str">
        <f>IFERROR(__xludf.DUMMYFUNCTION("""COMPUTED_VALUE"""),"")</f>
        <v/>
      </c>
      <c r="I273" s="51" t="str">
        <f>IFERROR(__xludf.DUMMYFUNCTION("""COMPUTED_VALUE"""),"#VALUE!")</f>
        <v>#VALUE!</v>
      </c>
      <c r="J273" s="51" t="str">
        <f>IFERROR(__xludf.DUMMYFUNCTION("""COMPUTED_VALUE"""),"")</f>
        <v/>
      </c>
      <c r="K273" s="51"/>
      <c r="L273" s="51" t="s">
        <v>257</v>
      </c>
      <c r="M273" s="51"/>
      <c r="N273" s="51"/>
      <c r="O273" s="51"/>
      <c r="P273" s="51"/>
      <c r="Q273" s="51"/>
      <c r="R273" s="51"/>
      <c r="S273" s="51"/>
      <c r="T273" s="51"/>
    </row>
    <row r="274">
      <c r="A274" s="51"/>
      <c r="B274" s="51"/>
      <c r="C274" s="56"/>
      <c r="D274" s="51"/>
      <c r="E274" s="51"/>
      <c r="F274" s="51"/>
      <c r="G274" s="51" t="str">
        <f>IFERROR(__xludf.DUMMYFUNCTION("""COMPUTED_VALUE"""),"#VALUE!")</f>
        <v>#VALUE!</v>
      </c>
      <c r="H274" s="51" t="str">
        <f>IFERROR(__xludf.DUMMYFUNCTION("""COMPUTED_VALUE"""),"")</f>
        <v/>
      </c>
      <c r="I274" s="51" t="str">
        <f>IFERROR(__xludf.DUMMYFUNCTION("""COMPUTED_VALUE"""),"#VALUE!")</f>
        <v>#VALUE!</v>
      </c>
      <c r="J274" s="51" t="str">
        <f>IFERROR(__xludf.DUMMYFUNCTION("""COMPUTED_VALUE"""),"")</f>
        <v/>
      </c>
      <c r="K274" s="51"/>
      <c r="L274" s="51" t="s">
        <v>257</v>
      </c>
      <c r="M274" s="51"/>
      <c r="N274" s="51"/>
      <c r="O274" s="51"/>
      <c r="P274" s="51"/>
      <c r="Q274" s="51"/>
      <c r="R274" s="51"/>
      <c r="S274" s="51"/>
      <c r="T274" s="51"/>
    </row>
    <row r="275">
      <c r="A275" s="51"/>
      <c r="B275" s="51"/>
      <c r="C275" s="56"/>
      <c r="D275" s="51"/>
      <c r="E275" s="51"/>
      <c r="F275" s="51"/>
      <c r="G275" s="51" t="str">
        <f>IFERROR(__xludf.DUMMYFUNCTION("""COMPUTED_VALUE"""),"#VALUE!")</f>
        <v>#VALUE!</v>
      </c>
      <c r="H275" s="51" t="str">
        <f>IFERROR(__xludf.DUMMYFUNCTION("""COMPUTED_VALUE"""),"")</f>
        <v/>
      </c>
      <c r="I275" s="51" t="str">
        <f>IFERROR(__xludf.DUMMYFUNCTION("""COMPUTED_VALUE"""),"#VALUE!")</f>
        <v>#VALUE!</v>
      </c>
      <c r="J275" s="51" t="str">
        <f>IFERROR(__xludf.DUMMYFUNCTION("""COMPUTED_VALUE"""),"")</f>
        <v/>
      </c>
      <c r="K275" s="51"/>
      <c r="L275" s="51" t="s">
        <v>257</v>
      </c>
      <c r="M275" s="51"/>
      <c r="N275" s="51"/>
      <c r="O275" s="51"/>
      <c r="P275" s="51"/>
      <c r="Q275" s="51"/>
      <c r="R275" s="51"/>
      <c r="S275" s="51"/>
      <c r="T275" s="51"/>
    </row>
    <row r="276">
      <c r="A276" s="51"/>
      <c r="B276" s="51"/>
      <c r="C276" s="56"/>
      <c r="D276" s="51"/>
      <c r="E276" s="51"/>
      <c r="F276" s="51"/>
      <c r="G276" s="51" t="str">
        <f>IFERROR(__xludf.DUMMYFUNCTION("""COMPUTED_VALUE"""),"#VALUE!")</f>
        <v>#VALUE!</v>
      </c>
      <c r="H276" s="51" t="str">
        <f>IFERROR(__xludf.DUMMYFUNCTION("""COMPUTED_VALUE"""),"")</f>
        <v/>
      </c>
      <c r="I276" s="51" t="str">
        <f>IFERROR(__xludf.DUMMYFUNCTION("""COMPUTED_VALUE"""),"#VALUE!")</f>
        <v>#VALUE!</v>
      </c>
      <c r="J276" s="51" t="str">
        <f>IFERROR(__xludf.DUMMYFUNCTION("""COMPUTED_VALUE"""),"")</f>
        <v/>
      </c>
      <c r="K276" s="51"/>
      <c r="L276" s="51" t="s">
        <v>257</v>
      </c>
      <c r="M276" s="51"/>
      <c r="N276" s="51"/>
      <c r="O276" s="51"/>
      <c r="P276" s="51"/>
      <c r="Q276" s="51"/>
      <c r="R276" s="51"/>
      <c r="S276" s="51"/>
      <c r="T276" s="51"/>
    </row>
    <row r="277">
      <c r="A277" s="51"/>
      <c r="B277" s="51"/>
      <c r="C277" s="56"/>
      <c r="D277" s="51"/>
      <c r="E277" s="51"/>
      <c r="F277" s="51"/>
      <c r="G277" s="51" t="str">
        <f>IFERROR(__xludf.DUMMYFUNCTION("""COMPUTED_VALUE"""),"#VALUE!")</f>
        <v>#VALUE!</v>
      </c>
      <c r="H277" s="51" t="str">
        <f>IFERROR(__xludf.DUMMYFUNCTION("""COMPUTED_VALUE"""),"")</f>
        <v/>
      </c>
      <c r="I277" s="51" t="str">
        <f>IFERROR(__xludf.DUMMYFUNCTION("""COMPUTED_VALUE"""),"#VALUE!")</f>
        <v>#VALUE!</v>
      </c>
      <c r="J277" s="51" t="str">
        <f>IFERROR(__xludf.DUMMYFUNCTION("""COMPUTED_VALUE"""),"")</f>
        <v/>
      </c>
      <c r="K277" s="51"/>
      <c r="L277" s="51" t="s">
        <v>257</v>
      </c>
      <c r="M277" s="51"/>
      <c r="N277" s="51"/>
      <c r="O277" s="51"/>
      <c r="P277" s="51"/>
      <c r="Q277" s="51"/>
      <c r="R277" s="51"/>
      <c r="S277" s="51"/>
      <c r="T277" s="51"/>
    </row>
    <row r="278">
      <c r="A278" s="51"/>
      <c r="B278" s="51"/>
      <c r="C278" s="56"/>
      <c r="D278" s="51"/>
      <c r="E278" s="51"/>
      <c r="F278" s="51"/>
      <c r="G278" s="51" t="str">
        <f>IFERROR(__xludf.DUMMYFUNCTION("""COMPUTED_VALUE"""),"#VALUE!")</f>
        <v>#VALUE!</v>
      </c>
      <c r="H278" s="51" t="str">
        <f>IFERROR(__xludf.DUMMYFUNCTION("""COMPUTED_VALUE"""),"")</f>
        <v/>
      </c>
      <c r="I278" s="51" t="str">
        <f>IFERROR(__xludf.DUMMYFUNCTION("""COMPUTED_VALUE"""),"#VALUE!")</f>
        <v>#VALUE!</v>
      </c>
      <c r="J278" s="51" t="str">
        <f>IFERROR(__xludf.DUMMYFUNCTION("""COMPUTED_VALUE"""),"")</f>
        <v/>
      </c>
      <c r="K278" s="51"/>
      <c r="L278" s="51" t="s">
        <v>257</v>
      </c>
      <c r="M278" s="51"/>
      <c r="N278" s="51"/>
      <c r="O278" s="51"/>
      <c r="P278" s="51"/>
      <c r="Q278" s="51"/>
      <c r="R278" s="51"/>
      <c r="S278" s="51"/>
      <c r="T278" s="51"/>
    </row>
    <row r="279">
      <c r="A279" s="51"/>
      <c r="B279" s="51"/>
      <c r="C279" s="56"/>
      <c r="D279" s="51"/>
      <c r="E279" s="51"/>
      <c r="F279" s="51"/>
      <c r="G279" s="51" t="str">
        <f>IFERROR(__xludf.DUMMYFUNCTION("""COMPUTED_VALUE"""),"#VALUE!")</f>
        <v>#VALUE!</v>
      </c>
      <c r="H279" s="51" t="str">
        <f>IFERROR(__xludf.DUMMYFUNCTION("""COMPUTED_VALUE"""),"")</f>
        <v/>
      </c>
      <c r="I279" s="51" t="str">
        <f>IFERROR(__xludf.DUMMYFUNCTION("""COMPUTED_VALUE"""),"#VALUE!")</f>
        <v>#VALUE!</v>
      </c>
      <c r="J279" s="51" t="str">
        <f>IFERROR(__xludf.DUMMYFUNCTION("""COMPUTED_VALUE"""),"")</f>
        <v/>
      </c>
      <c r="K279" s="51"/>
      <c r="L279" s="51" t="s">
        <v>257</v>
      </c>
      <c r="M279" s="51"/>
      <c r="N279" s="51"/>
      <c r="O279" s="51"/>
      <c r="P279" s="51"/>
      <c r="Q279" s="51"/>
      <c r="R279" s="51"/>
      <c r="S279" s="51"/>
      <c r="T279" s="51"/>
    </row>
    <row r="280">
      <c r="A280" s="51"/>
      <c r="B280" s="51"/>
      <c r="C280" s="56"/>
      <c r="D280" s="51"/>
      <c r="E280" s="51"/>
      <c r="F280" s="51"/>
      <c r="G280" s="51" t="str">
        <f>IFERROR(__xludf.DUMMYFUNCTION("""COMPUTED_VALUE"""),"#VALUE!")</f>
        <v>#VALUE!</v>
      </c>
      <c r="H280" s="51" t="str">
        <f>IFERROR(__xludf.DUMMYFUNCTION("""COMPUTED_VALUE"""),"")</f>
        <v/>
      </c>
      <c r="I280" s="51" t="str">
        <f>IFERROR(__xludf.DUMMYFUNCTION("""COMPUTED_VALUE"""),"#VALUE!")</f>
        <v>#VALUE!</v>
      </c>
      <c r="J280" s="51" t="str">
        <f>IFERROR(__xludf.DUMMYFUNCTION("""COMPUTED_VALUE"""),"")</f>
        <v/>
      </c>
      <c r="K280" s="51"/>
      <c r="L280" s="51" t="s">
        <v>257</v>
      </c>
      <c r="M280" s="51"/>
      <c r="N280" s="51"/>
      <c r="O280" s="51"/>
      <c r="P280" s="51"/>
      <c r="Q280" s="51"/>
      <c r="R280" s="51"/>
      <c r="S280" s="51"/>
      <c r="T280" s="51"/>
    </row>
    <row r="281">
      <c r="A281" s="51"/>
      <c r="B281" s="51"/>
      <c r="C281" s="56"/>
      <c r="D281" s="51"/>
      <c r="E281" s="51"/>
      <c r="F281" s="51"/>
      <c r="G281" s="51" t="str">
        <f>IFERROR(__xludf.DUMMYFUNCTION("""COMPUTED_VALUE"""),"#VALUE!")</f>
        <v>#VALUE!</v>
      </c>
      <c r="H281" s="51" t="str">
        <f>IFERROR(__xludf.DUMMYFUNCTION("""COMPUTED_VALUE"""),"")</f>
        <v/>
      </c>
      <c r="I281" s="51" t="str">
        <f>IFERROR(__xludf.DUMMYFUNCTION("""COMPUTED_VALUE"""),"#VALUE!")</f>
        <v>#VALUE!</v>
      </c>
      <c r="J281" s="51" t="str">
        <f>IFERROR(__xludf.DUMMYFUNCTION("""COMPUTED_VALUE"""),"")</f>
        <v/>
      </c>
      <c r="K281" s="51"/>
      <c r="L281" s="51" t="s">
        <v>257</v>
      </c>
      <c r="M281" s="51"/>
      <c r="N281" s="51"/>
      <c r="O281" s="51"/>
      <c r="P281" s="51"/>
      <c r="Q281" s="51"/>
      <c r="R281" s="51"/>
      <c r="S281" s="51"/>
      <c r="T281" s="51"/>
    </row>
    <row r="282">
      <c r="A282" s="51"/>
      <c r="B282" s="51"/>
      <c r="C282" s="56"/>
      <c r="D282" s="51"/>
      <c r="E282" s="51"/>
      <c r="F282" s="51"/>
      <c r="G282" s="51" t="str">
        <f>IFERROR(__xludf.DUMMYFUNCTION("""COMPUTED_VALUE"""),"#VALUE!")</f>
        <v>#VALUE!</v>
      </c>
      <c r="H282" s="51" t="str">
        <f>IFERROR(__xludf.DUMMYFUNCTION("""COMPUTED_VALUE"""),"")</f>
        <v/>
      </c>
      <c r="I282" s="51" t="str">
        <f>IFERROR(__xludf.DUMMYFUNCTION("""COMPUTED_VALUE"""),"#VALUE!")</f>
        <v>#VALUE!</v>
      </c>
      <c r="J282" s="51" t="str">
        <f>IFERROR(__xludf.DUMMYFUNCTION("""COMPUTED_VALUE"""),"")</f>
        <v/>
      </c>
      <c r="K282" s="51"/>
      <c r="L282" s="51" t="s">
        <v>257</v>
      </c>
      <c r="M282" s="51"/>
      <c r="N282" s="51"/>
      <c r="O282" s="51"/>
      <c r="P282" s="51"/>
      <c r="Q282" s="51"/>
      <c r="R282" s="51"/>
      <c r="S282" s="51"/>
      <c r="T282" s="51"/>
    </row>
    <row r="283">
      <c r="A283" s="51"/>
      <c r="B283" s="51"/>
      <c r="C283" s="56"/>
      <c r="D283" s="51"/>
      <c r="E283" s="51"/>
      <c r="F283" s="51"/>
      <c r="G283" s="51" t="str">
        <f>IFERROR(__xludf.DUMMYFUNCTION("""COMPUTED_VALUE"""),"#VALUE!")</f>
        <v>#VALUE!</v>
      </c>
      <c r="H283" s="51" t="str">
        <f>IFERROR(__xludf.DUMMYFUNCTION("""COMPUTED_VALUE"""),"")</f>
        <v/>
      </c>
      <c r="I283" s="51" t="str">
        <f>IFERROR(__xludf.DUMMYFUNCTION("""COMPUTED_VALUE"""),"#VALUE!")</f>
        <v>#VALUE!</v>
      </c>
      <c r="J283" s="51" t="str">
        <f>IFERROR(__xludf.DUMMYFUNCTION("""COMPUTED_VALUE"""),"")</f>
        <v/>
      </c>
      <c r="K283" s="51"/>
      <c r="L283" s="51" t="s">
        <v>257</v>
      </c>
      <c r="M283" s="51"/>
      <c r="N283" s="51"/>
      <c r="O283" s="51"/>
      <c r="P283" s="51"/>
      <c r="Q283" s="51"/>
      <c r="R283" s="51"/>
      <c r="S283" s="51"/>
      <c r="T283" s="51"/>
    </row>
    <row r="284">
      <c r="A284" s="51"/>
      <c r="B284" s="51"/>
      <c r="C284" s="56"/>
      <c r="D284" s="51"/>
      <c r="E284" s="51"/>
      <c r="F284" s="51"/>
      <c r="G284" s="51" t="str">
        <f>IFERROR(__xludf.DUMMYFUNCTION("""COMPUTED_VALUE"""),"#VALUE!")</f>
        <v>#VALUE!</v>
      </c>
      <c r="H284" s="51" t="str">
        <f>IFERROR(__xludf.DUMMYFUNCTION("""COMPUTED_VALUE"""),"")</f>
        <v/>
      </c>
      <c r="I284" s="51" t="str">
        <f>IFERROR(__xludf.DUMMYFUNCTION("""COMPUTED_VALUE"""),"#VALUE!")</f>
        <v>#VALUE!</v>
      </c>
      <c r="J284" s="51" t="str">
        <f>IFERROR(__xludf.DUMMYFUNCTION("""COMPUTED_VALUE"""),"")</f>
        <v/>
      </c>
      <c r="K284" s="51"/>
      <c r="L284" s="51" t="s">
        <v>257</v>
      </c>
      <c r="M284" s="51"/>
      <c r="N284" s="51"/>
      <c r="O284" s="51"/>
      <c r="P284" s="51"/>
      <c r="Q284" s="51"/>
      <c r="R284" s="51"/>
      <c r="S284" s="51"/>
      <c r="T284" s="51"/>
    </row>
    <row r="285">
      <c r="A285" s="51"/>
      <c r="B285" s="51"/>
      <c r="C285" s="56"/>
      <c r="D285" s="51"/>
      <c r="E285" s="51"/>
      <c r="F285" s="51"/>
      <c r="G285" s="51" t="str">
        <f>IFERROR(__xludf.DUMMYFUNCTION("""COMPUTED_VALUE"""),"#VALUE!")</f>
        <v>#VALUE!</v>
      </c>
      <c r="H285" s="51" t="str">
        <f>IFERROR(__xludf.DUMMYFUNCTION("""COMPUTED_VALUE"""),"")</f>
        <v/>
      </c>
      <c r="I285" s="51" t="str">
        <f>IFERROR(__xludf.DUMMYFUNCTION("""COMPUTED_VALUE"""),"#VALUE!")</f>
        <v>#VALUE!</v>
      </c>
      <c r="J285" s="51" t="str">
        <f>IFERROR(__xludf.DUMMYFUNCTION("""COMPUTED_VALUE"""),"")</f>
        <v/>
      </c>
      <c r="K285" s="51"/>
      <c r="L285" s="51" t="s">
        <v>257</v>
      </c>
      <c r="M285" s="51"/>
      <c r="N285" s="51"/>
      <c r="O285" s="51"/>
      <c r="P285" s="51"/>
      <c r="Q285" s="51"/>
      <c r="R285" s="51"/>
      <c r="S285" s="51"/>
      <c r="T285" s="51"/>
    </row>
    <row r="286">
      <c r="A286" s="51"/>
      <c r="B286" s="51"/>
      <c r="C286" s="56"/>
      <c r="D286" s="51"/>
      <c r="E286" s="51"/>
      <c r="F286" s="51"/>
      <c r="G286" s="51" t="str">
        <f>IFERROR(__xludf.DUMMYFUNCTION("""COMPUTED_VALUE"""),"#VALUE!")</f>
        <v>#VALUE!</v>
      </c>
      <c r="H286" s="51" t="str">
        <f>IFERROR(__xludf.DUMMYFUNCTION("""COMPUTED_VALUE"""),"")</f>
        <v/>
      </c>
      <c r="I286" s="51" t="str">
        <f>IFERROR(__xludf.DUMMYFUNCTION("""COMPUTED_VALUE"""),"#VALUE!")</f>
        <v>#VALUE!</v>
      </c>
      <c r="J286" s="51" t="str">
        <f>IFERROR(__xludf.DUMMYFUNCTION("""COMPUTED_VALUE"""),"")</f>
        <v/>
      </c>
      <c r="K286" s="51"/>
      <c r="L286" s="51" t="s">
        <v>257</v>
      </c>
      <c r="M286" s="51"/>
      <c r="N286" s="51"/>
      <c r="O286" s="51"/>
      <c r="P286" s="51"/>
      <c r="Q286" s="51"/>
      <c r="R286" s="51"/>
      <c r="S286" s="51"/>
      <c r="T286" s="51"/>
    </row>
    <row r="287">
      <c r="A287" s="51"/>
      <c r="B287" s="51"/>
      <c r="C287" s="56"/>
      <c r="D287" s="51"/>
      <c r="E287" s="51"/>
      <c r="F287" s="51"/>
      <c r="G287" s="51" t="str">
        <f>IFERROR(__xludf.DUMMYFUNCTION("""COMPUTED_VALUE"""),"#VALUE!")</f>
        <v>#VALUE!</v>
      </c>
      <c r="H287" s="51" t="str">
        <f>IFERROR(__xludf.DUMMYFUNCTION("""COMPUTED_VALUE"""),"")</f>
        <v/>
      </c>
      <c r="I287" s="51" t="str">
        <f>IFERROR(__xludf.DUMMYFUNCTION("""COMPUTED_VALUE"""),"#VALUE!")</f>
        <v>#VALUE!</v>
      </c>
      <c r="J287" s="51" t="str">
        <f>IFERROR(__xludf.DUMMYFUNCTION("""COMPUTED_VALUE"""),"")</f>
        <v/>
      </c>
      <c r="K287" s="51"/>
      <c r="L287" s="51" t="s">
        <v>257</v>
      </c>
      <c r="M287" s="51"/>
      <c r="N287" s="51"/>
      <c r="O287" s="51"/>
      <c r="P287" s="51"/>
      <c r="Q287" s="51"/>
      <c r="R287" s="51"/>
      <c r="S287" s="51"/>
      <c r="T287" s="51"/>
    </row>
    <row r="288">
      <c r="A288" s="51"/>
      <c r="B288" s="51"/>
      <c r="C288" s="56"/>
      <c r="D288" s="51"/>
      <c r="E288" s="51"/>
      <c r="F288" s="51"/>
      <c r="G288" s="51" t="str">
        <f>IFERROR(__xludf.DUMMYFUNCTION("""COMPUTED_VALUE"""),"#VALUE!")</f>
        <v>#VALUE!</v>
      </c>
      <c r="H288" s="51" t="str">
        <f>IFERROR(__xludf.DUMMYFUNCTION("""COMPUTED_VALUE"""),"")</f>
        <v/>
      </c>
      <c r="I288" s="51" t="str">
        <f>IFERROR(__xludf.DUMMYFUNCTION("""COMPUTED_VALUE"""),"#VALUE!")</f>
        <v>#VALUE!</v>
      </c>
      <c r="J288" s="51" t="str">
        <f>IFERROR(__xludf.DUMMYFUNCTION("""COMPUTED_VALUE"""),"")</f>
        <v/>
      </c>
      <c r="K288" s="51"/>
      <c r="L288" s="51" t="s">
        <v>257</v>
      </c>
      <c r="M288" s="51"/>
      <c r="N288" s="51"/>
      <c r="O288" s="51"/>
      <c r="P288" s="51"/>
      <c r="Q288" s="51"/>
      <c r="R288" s="51"/>
      <c r="S288" s="51"/>
      <c r="T288" s="51"/>
    </row>
    <row r="289">
      <c r="A289" s="51"/>
      <c r="B289" s="51"/>
      <c r="C289" s="56"/>
      <c r="D289" s="51"/>
      <c r="E289" s="51"/>
      <c r="F289" s="51"/>
      <c r="G289" s="51" t="str">
        <f>IFERROR(__xludf.DUMMYFUNCTION("""COMPUTED_VALUE"""),"#VALUE!")</f>
        <v>#VALUE!</v>
      </c>
      <c r="H289" s="51" t="str">
        <f>IFERROR(__xludf.DUMMYFUNCTION("""COMPUTED_VALUE"""),"")</f>
        <v/>
      </c>
      <c r="I289" s="51" t="str">
        <f>IFERROR(__xludf.DUMMYFUNCTION("""COMPUTED_VALUE"""),"#VALUE!")</f>
        <v>#VALUE!</v>
      </c>
      <c r="J289" s="51" t="str">
        <f>IFERROR(__xludf.DUMMYFUNCTION("""COMPUTED_VALUE"""),"")</f>
        <v/>
      </c>
      <c r="K289" s="51"/>
      <c r="L289" s="51" t="s">
        <v>257</v>
      </c>
      <c r="M289" s="51"/>
      <c r="N289" s="51"/>
      <c r="O289" s="51"/>
      <c r="P289" s="51"/>
      <c r="Q289" s="51"/>
      <c r="R289" s="51"/>
      <c r="S289" s="51"/>
      <c r="T289" s="51"/>
    </row>
    <row r="290">
      <c r="A290" s="51"/>
      <c r="B290" s="51"/>
      <c r="C290" s="56"/>
      <c r="D290" s="51"/>
      <c r="E290" s="51"/>
      <c r="F290" s="51"/>
      <c r="G290" s="51" t="str">
        <f>IFERROR(__xludf.DUMMYFUNCTION("""COMPUTED_VALUE"""),"#VALUE!")</f>
        <v>#VALUE!</v>
      </c>
      <c r="H290" s="51" t="str">
        <f>IFERROR(__xludf.DUMMYFUNCTION("""COMPUTED_VALUE"""),"")</f>
        <v/>
      </c>
      <c r="I290" s="51" t="str">
        <f>IFERROR(__xludf.DUMMYFUNCTION("""COMPUTED_VALUE"""),"#VALUE!")</f>
        <v>#VALUE!</v>
      </c>
      <c r="J290" s="51" t="str">
        <f>IFERROR(__xludf.DUMMYFUNCTION("""COMPUTED_VALUE"""),"")</f>
        <v/>
      </c>
      <c r="K290" s="51"/>
      <c r="L290" s="51" t="s">
        <v>257</v>
      </c>
      <c r="M290" s="51"/>
      <c r="N290" s="51"/>
      <c r="O290" s="51"/>
      <c r="P290" s="51"/>
      <c r="Q290" s="51"/>
      <c r="R290" s="51"/>
      <c r="S290" s="51"/>
      <c r="T290" s="51"/>
    </row>
    <row r="291">
      <c r="A291" s="51"/>
      <c r="B291" s="51"/>
      <c r="C291" s="56"/>
      <c r="D291" s="51"/>
      <c r="E291" s="51"/>
      <c r="F291" s="51"/>
      <c r="G291" s="51" t="str">
        <f>IFERROR(__xludf.DUMMYFUNCTION("""COMPUTED_VALUE"""),"#VALUE!")</f>
        <v>#VALUE!</v>
      </c>
      <c r="H291" s="51" t="str">
        <f>IFERROR(__xludf.DUMMYFUNCTION("""COMPUTED_VALUE"""),"")</f>
        <v/>
      </c>
      <c r="I291" s="51" t="str">
        <f>IFERROR(__xludf.DUMMYFUNCTION("""COMPUTED_VALUE"""),"#VALUE!")</f>
        <v>#VALUE!</v>
      </c>
      <c r="J291" s="51" t="str">
        <f>IFERROR(__xludf.DUMMYFUNCTION("""COMPUTED_VALUE"""),"")</f>
        <v/>
      </c>
      <c r="K291" s="51"/>
      <c r="L291" s="51" t="s">
        <v>257</v>
      </c>
      <c r="M291" s="51"/>
      <c r="N291" s="51"/>
      <c r="O291" s="51"/>
      <c r="P291" s="51"/>
      <c r="Q291" s="51"/>
      <c r="R291" s="51"/>
      <c r="S291" s="51"/>
      <c r="T291" s="51"/>
    </row>
    <row r="292">
      <c r="A292" s="51"/>
      <c r="B292" s="51"/>
      <c r="C292" s="56"/>
      <c r="D292" s="51"/>
      <c r="E292" s="51"/>
      <c r="F292" s="51"/>
      <c r="G292" s="51" t="str">
        <f>IFERROR(__xludf.DUMMYFUNCTION("""COMPUTED_VALUE"""),"#VALUE!")</f>
        <v>#VALUE!</v>
      </c>
      <c r="H292" s="51" t="str">
        <f>IFERROR(__xludf.DUMMYFUNCTION("""COMPUTED_VALUE"""),"")</f>
        <v/>
      </c>
      <c r="I292" s="51" t="str">
        <f>IFERROR(__xludf.DUMMYFUNCTION("""COMPUTED_VALUE"""),"#VALUE!")</f>
        <v>#VALUE!</v>
      </c>
      <c r="J292" s="51" t="str">
        <f>IFERROR(__xludf.DUMMYFUNCTION("""COMPUTED_VALUE"""),"")</f>
        <v/>
      </c>
      <c r="K292" s="51"/>
      <c r="L292" s="51" t="s">
        <v>257</v>
      </c>
      <c r="M292" s="51"/>
      <c r="N292" s="51"/>
      <c r="O292" s="51"/>
      <c r="P292" s="51"/>
      <c r="Q292" s="51"/>
      <c r="R292" s="51"/>
      <c r="S292" s="51"/>
      <c r="T292" s="51"/>
    </row>
    <row r="293">
      <c r="A293" s="51"/>
      <c r="B293" s="51"/>
      <c r="C293" s="56"/>
      <c r="D293" s="51"/>
      <c r="E293" s="51"/>
      <c r="F293" s="51"/>
      <c r="G293" s="51" t="str">
        <f>IFERROR(__xludf.DUMMYFUNCTION("""COMPUTED_VALUE"""),"#VALUE!")</f>
        <v>#VALUE!</v>
      </c>
      <c r="H293" s="51" t="str">
        <f>IFERROR(__xludf.DUMMYFUNCTION("""COMPUTED_VALUE"""),"")</f>
        <v/>
      </c>
      <c r="I293" s="51" t="str">
        <f>IFERROR(__xludf.DUMMYFUNCTION("""COMPUTED_VALUE"""),"#VALUE!")</f>
        <v>#VALUE!</v>
      </c>
      <c r="J293" s="51" t="str">
        <f>IFERROR(__xludf.DUMMYFUNCTION("""COMPUTED_VALUE"""),"")</f>
        <v/>
      </c>
      <c r="K293" s="51"/>
      <c r="L293" s="51" t="s">
        <v>257</v>
      </c>
      <c r="M293" s="51"/>
      <c r="N293" s="51"/>
      <c r="O293" s="51"/>
      <c r="P293" s="51"/>
      <c r="Q293" s="51"/>
      <c r="R293" s="51"/>
      <c r="S293" s="51"/>
      <c r="T293" s="51"/>
    </row>
    <row r="294">
      <c r="A294" s="51"/>
      <c r="B294" s="51"/>
      <c r="C294" s="56"/>
      <c r="D294" s="51"/>
      <c r="E294" s="51"/>
      <c r="F294" s="51"/>
      <c r="G294" s="51" t="str">
        <f>IFERROR(__xludf.DUMMYFUNCTION("""COMPUTED_VALUE"""),"#VALUE!")</f>
        <v>#VALUE!</v>
      </c>
      <c r="H294" s="51" t="str">
        <f>IFERROR(__xludf.DUMMYFUNCTION("""COMPUTED_VALUE"""),"")</f>
        <v/>
      </c>
      <c r="I294" s="51" t="str">
        <f>IFERROR(__xludf.DUMMYFUNCTION("""COMPUTED_VALUE"""),"#VALUE!")</f>
        <v>#VALUE!</v>
      </c>
      <c r="J294" s="51" t="str">
        <f>IFERROR(__xludf.DUMMYFUNCTION("""COMPUTED_VALUE"""),"")</f>
        <v/>
      </c>
      <c r="K294" s="51"/>
      <c r="L294" s="51" t="s">
        <v>257</v>
      </c>
      <c r="M294" s="51"/>
      <c r="N294" s="51"/>
      <c r="O294" s="51"/>
      <c r="P294" s="51"/>
      <c r="Q294" s="51"/>
      <c r="R294" s="51"/>
      <c r="S294" s="51"/>
      <c r="T294" s="51"/>
    </row>
    <row r="295">
      <c r="A295" s="51"/>
      <c r="B295" s="51"/>
      <c r="C295" s="56"/>
      <c r="D295" s="51"/>
      <c r="E295" s="51"/>
      <c r="F295" s="51"/>
      <c r="G295" s="51" t="str">
        <f>IFERROR(__xludf.DUMMYFUNCTION("""COMPUTED_VALUE"""),"#VALUE!")</f>
        <v>#VALUE!</v>
      </c>
      <c r="H295" s="51" t="str">
        <f>IFERROR(__xludf.DUMMYFUNCTION("""COMPUTED_VALUE"""),"")</f>
        <v/>
      </c>
      <c r="I295" s="51" t="str">
        <f>IFERROR(__xludf.DUMMYFUNCTION("""COMPUTED_VALUE"""),"#VALUE!")</f>
        <v>#VALUE!</v>
      </c>
      <c r="J295" s="51" t="str">
        <f>IFERROR(__xludf.DUMMYFUNCTION("""COMPUTED_VALUE"""),"")</f>
        <v/>
      </c>
      <c r="K295" s="51"/>
      <c r="L295" s="51" t="s">
        <v>257</v>
      </c>
      <c r="M295" s="51"/>
      <c r="N295" s="51"/>
      <c r="O295" s="51"/>
      <c r="P295" s="51"/>
      <c r="Q295" s="51"/>
      <c r="R295" s="51"/>
      <c r="S295" s="51"/>
      <c r="T295" s="51"/>
    </row>
    <row r="296">
      <c r="A296" s="51"/>
      <c r="B296" s="51"/>
      <c r="C296" s="56"/>
      <c r="D296" s="51"/>
      <c r="E296" s="51"/>
      <c r="F296" s="51"/>
      <c r="G296" s="51" t="str">
        <f>IFERROR(__xludf.DUMMYFUNCTION("""COMPUTED_VALUE"""),"#VALUE!")</f>
        <v>#VALUE!</v>
      </c>
      <c r="H296" s="51" t="str">
        <f>IFERROR(__xludf.DUMMYFUNCTION("""COMPUTED_VALUE"""),"")</f>
        <v/>
      </c>
      <c r="I296" s="51" t="str">
        <f>IFERROR(__xludf.DUMMYFUNCTION("""COMPUTED_VALUE"""),"#VALUE!")</f>
        <v>#VALUE!</v>
      </c>
      <c r="J296" s="51" t="str">
        <f>IFERROR(__xludf.DUMMYFUNCTION("""COMPUTED_VALUE"""),"")</f>
        <v/>
      </c>
      <c r="K296" s="51"/>
      <c r="L296" s="51" t="s">
        <v>257</v>
      </c>
      <c r="M296" s="51"/>
      <c r="N296" s="51"/>
      <c r="O296" s="51"/>
      <c r="P296" s="51"/>
      <c r="Q296" s="51"/>
      <c r="R296" s="51"/>
      <c r="S296" s="51"/>
      <c r="T296" s="51"/>
    </row>
    <row r="297">
      <c r="A297" s="51"/>
      <c r="B297" s="51"/>
      <c r="C297" s="56"/>
      <c r="D297" s="51"/>
      <c r="E297" s="51"/>
      <c r="F297" s="51"/>
      <c r="G297" s="51" t="str">
        <f>IFERROR(__xludf.DUMMYFUNCTION("""COMPUTED_VALUE"""),"#VALUE!")</f>
        <v>#VALUE!</v>
      </c>
      <c r="H297" s="51" t="str">
        <f>IFERROR(__xludf.DUMMYFUNCTION("""COMPUTED_VALUE"""),"")</f>
        <v/>
      </c>
      <c r="I297" s="51" t="str">
        <f>IFERROR(__xludf.DUMMYFUNCTION("""COMPUTED_VALUE"""),"#VALUE!")</f>
        <v>#VALUE!</v>
      </c>
      <c r="J297" s="51" t="str">
        <f>IFERROR(__xludf.DUMMYFUNCTION("""COMPUTED_VALUE"""),"")</f>
        <v/>
      </c>
      <c r="K297" s="51"/>
      <c r="L297" s="51" t="s">
        <v>257</v>
      </c>
      <c r="M297" s="51"/>
      <c r="N297" s="51"/>
      <c r="O297" s="51"/>
      <c r="P297" s="51"/>
      <c r="Q297" s="51"/>
      <c r="R297" s="51"/>
      <c r="S297" s="51"/>
      <c r="T297" s="51"/>
    </row>
    <row r="298">
      <c r="A298" s="51"/>
      <c r="B298" s="51"/>
      <c r="C298" s="56"/>
      <c r="D298" s="51"/>
      <c r="E298" s="51"/>
      <c r="F298" s="51"/>
      <c r="G298" s="51" t="str">
        <f>IFERROR(__xludf.DUMMYFUNCTION("""COMPUTED_VALUE"""),"#VALUE!")</f>
        <v>#VALUE!</v>
      </c>
      <c r="H298" s="51" t="str">
        <f>IFERROR(__xludf.DUMMYFUNCTION("""COMPUTED_VALUE"""),"")</f>
        <v/>
      </c>
      <c r="I298" s="51" t="str">
        <f>IFERROR(__xludf.DUMMYFUNCTION("""COMPUTED_VALUE"""),"#VALUE!")</f>
        <v>#VALUE!</v>
      </c>
      <c r="J298" s="51" t="str">
        <f>IFERROR(__xludf.DUMMYFUNCTION("""COMPUTED_VALUE"""),"")</f>
        <v/>
      </c>
      <c r="K298" s="51"/>
      <c r="L298" s="51" t="s">
        <v>257</v>
      </c>
      <c r="M298" s="51"/>
      <c r="N298" s="51"/>
      <c r="O298" s="51"/>
      <c r="P298" s="51"/>
      <c r="Q298" s="51"/>
      <c r="R298" s="51"/>
      <c r="S298" s="51"/>
      <c r="T298" s="51"/>
    </row>
    <row r="299">
      <c r="A299" s="51"/>
      <c r="B299" s="51"/>
      <c r="C299" s="56"/>
      <c r="D299" s="51"/>
      <c r="E299" s="51"/>
      <c r="F299" s="51"/>
      <c r="G299" s="51" t="str">
        <f>IFERROR(__xludf.DUMMYFUNCTION("""COMPUTED_VALUE"""),"#VALUE!")</f>
        <v>#VALUE!</v>
      </c>
      <c r="H299" s="51" t="str">
        <f>IFERROR(__xludf.DUMMYFUNCTION("""COMPUTED_VALUE"""),"")</f>
        <v/>
      </c>
      <c r="I299" s="51" t="str">
        <f>IFERROR(__xludf.DUMMYFUNCTION("""COMPUTED_VALUE"""),"#VALUE!")</f>
        <v>#VALUE!</v>
      </c>
      <c r="J299" s="51" t="str">
        <f>IFERROR(__xludf.DUMMYFUNCTION("""COMPUTED_VALUE"""),"")</f>
        <v/>
      </c>
      <c r="K299" s="51"/>
      <c r="L299" s="51" t="s">
        <v>257</v>
      </c>
      <c r="M299" s="51"/>
      <c r="N299" s="51"/>
      <c r="O299" s="51"/>
      <c r="P299" s="51"/>
      <c r="Q299" s="51"/>
      <c r="R299" s="51"/>
      <c r="S299" s="51"/>
      <c r="T299" s="51"/>
    </row>
    <row r="300">
      <c r="A300" s="51"/>
      <c r="B300" s="51"/>
      <c r="C300" s="56"/>
      <c r="D300" s="51"/>
      <c r="E300" s="51"/>
      <c r="F300" s="51"/>
      <c r="G300" s="51" t="str">
        <f>IFERROR(__xludf.DUMMYFUNCTION("""COMPUTED_VALUE"""),"#VALUE!")</f>
        <v>#VALUE!</v>
      </c>
      <c r="H300" s="51" t="str">
        <f>IFERROR(__xludf.DUMMYFUNCTION("""COMPUTED_VALUE"""),"")</f>
        <v/>
      </c>
      <c r="I300" s="51" t="str">
        <f>IFERROR(__xludf.DUMMYFUNCTION("""COMPUTED_VALUE"""),"#VALUE!")</f>
        <v>#VALUE!</v>
      </c>
      <c r="J300" s="51" t="str">
        <f>IFERROR(__xludf.DUMMYFUNCTION("""COMPUTED_VALUE"""),"")</f>
        <v/>
      </c>
      <c r="K300" s="51"/>
      <c r="L300" s="51" t="s">
        <v>257</v>
      </c>
      <c r="M300" s="51"/>
      <c r="N300" s="51"/>
      <c r="O300" s="51"/>
      <c r="P300" s="51"/>
      <c r="Q300" s="51"/>
      <c r="R300" s="51"/>
      <c r="S300" s="51"/>
      <c r="T300" s="51"/>
    </row>
    <row r="301">
      <c r="A301" s="51"/>
      <c r="B301" s="51"/>
      <c r="C301" s="56"/>
      <c r="D301" s="51"/>
      <c r="E301" s="51"/>
      <c r="F301" s="51"/>
      <c r="G301" s="51" t="str">
        <f>IFERROR(__xludf.DUMMYFUNCTION("""COMPUTED_VALUE"""),"#VALUE!")</f>
        <v>#VALUE!</v>
      </c>
      <c r="H301" s="51" t="str">
        <f>IFERROR(__xludf.DUMMYFUNCTION("""COMPUTED_VALUE"""),"")</f>
        <v/>
      </c>
      <c r="I301" s="51" t="str">
        <f>IFERROR(__xludf.DUMMYFUNCTION("""COMPUTED_VALUE"""),"#VALUE!")</f>
        <v>#VALUE!</v>
      </c>
      <c r="J301" s="51" t="str">
        <f>IFERROR(__xludf.DUMMYFUNCTION("""COMPUTED_VALUE"""),"")</f>
        <v/>
      </c>
      <c r="K301" s="51"/>
      <c r="L301" s="51" t="s">
        <v>257</v>
      </c>
      <c r="M301" s="51"/>
      <c r="N301" s="51"/>
      <c r="O301" s="51"/>
      <c r="P301" s="51"/>
      <c r="Q301" s="51"/>
      <c r="R301" s="51"/>
      <c r="S301" s="51"/>
      <c r="T301" s="51"/>
    </row>
    <row r="302">
      <c r="A302" s="51"/>
      <c r="B302" s="51"/>
      <c r="C302" s="56"/>
      <c r="D302" s="51"/>
      <c r="E302" s="51"/>
      <c r="F302" s="51"/>
      <c r="G302" s="51" t="str">
        <f>IFERROR(__xludf.DUMMYFUNCTION("""COMPUTED_VALUE"""),"#VALUE!")</f>
        <v>#VALUE!</v>
      </c>
      <c r="H302" s="51" t="str">
        <f>IFERROR(__xludf.DUMMYFUNCTION("""COMPUTED_VALUE"""),"")</f>
        <v/>
      </c>
      <c r="I302" s="51" t="str">
        <f>IFERROR(__xludf.DUMMYFUNCTION("""COMPUTED_VALUE"""),"#VALUE!")</f>
        <v>#VALUE!</v>
      </c>
      <c r="J302" s="51" t="str">
        <f>IFERROR(__xludf.DUMMYFUNCTION("""COMPUTED_VALUE"""),"")</f>
        <v/>
      </c>
      <c r="K302" s="51"/>
      <c r="L302" s="51" t="s">
        <v>257</v>
      </c>
      <c r="M302" s="51"/>
      <c r="N302" s="51"/>
      <c r="O302" s="51"/>
      <c r="P302" s="51"/>
      <c r="Q302" s="51"/>
      <c r="R302" s="51"/>
      <c r="S302" s="51"/>
      <c r="T302" s="51"/>
    </row>
    <row r="303">
      <c r="A303" s="51"/>
      <c r="B303" s="51"/>
      <c r="C303" s="56"/>
      <c r="D303" s="51"/>
      <c r="E303" s="51"/>
      <c r="F303" s="51"/>
      <c r="G303" s="51" t="str">
        <f>IFERROR(__xludf.DUMMYFUNCTION("""COMPUTED_VALUE"""),"#VALUE!")</f>
        <v>#VALUE!</v>
      </c>
      <c r="H303" s="51" t="str">
        <f>IFERROR(__xludf.DUMMYFUNCTION("""COMPUTED_VALUE"""),"")</f>
        <v/>
      </c>
      <c r="I303" s="51" t="str">
        <f>IFERROR(__xludf.DUMMYFUNCTION("""COMPUTED_VALUE"""),"#VALUE!")</f>
        <v>#VALUE!</v>
      </c>
      <c r="J303" s="51" t="str">
        <f>IFERROR(__xludf.DUMMYFUNCTION("""COMPUTED_VALUE"""),"")</f>
        <v/>
      </c>
      <c r="K303" s="51"/>
      <c r="L303" s="51" t="s">
        <v>257</v>
      </c>
      <c r="M303" s="51"/>
      <c r="N303" s="51"/>
      <c r="O303" s="51"/>
      <c r="P303" s="51"/>
      <c r="Q303" s="51"/>
      <c r="R303" s="51"/>
      <c r="S303" s="51"/>
      <c r="T303" s="51"/>
    </row>
    <row r="304">
      <c r="A304" s="51"/>
      <c r="B304" s="51"/>
      <c r="C304" s="56"/>
      <c r="D304" s="51"/>
      <c r="E304" s="51"/>
      <c r="F304" s="51"/>
      <c r="G304" s="51" t="str">
        <f>IFERROR(__xludf.DUMMYFUNCTION("""COMPUTED_VALUE"""),"#VALUE!")</f>
        <v>#VALUE!</v>
      </c>
      <c r="H304" s="51" t="str">
        <f>IFERROR(__xludf.DUMMYFUNCTION("""COMPUTED_VALUE"""),"")</f>
        <v/>
      </c>
      <c r="I304" s="51" t="str">
        <f>IFERROR(__xludf.DUMMYFUNCTION("""COMPUTED_VALUE"""),"#VALUE!")</f>
        <v>#VALUE!</v>
      </c>
      <c r="J304" s="51" t="str">
        <f>IFERROR(__xludf.DUMMYFUNCTION("""COMPUTED_VALUE"""),"")</f>
        <v/>
      </c>
      <c r="K304" s="51"/>
      <c r="L304" s="51" t="s">
        <v>257</v>
      </c>
      <c r="M304" s="51"/>
      <c r="N304" s="51"/>
      <c r="O304" s="51"/>
      <c r="P304" s="51"/>
      <c r="Q304" s="51"/>
      <c r="R304" s="51"/>
      <c r="S304" s="51"/>
      <c r="T304" s="51"/>
    </row>
    <row r="305">
      <c r="A305" s="51"/>
      <c r="B305" s="51"/>
      <c r="C305" s="56"/>
      <c r="D305" s="51"/>
      <c r="E305" s="51"/>
      <c r="F305" s="51"/>
      <c r="G305" s="51" t="str">
        <f>IFERROR(__xludf.DUMMYFUNCTION("""COMPUTED_VALUE"""),"#VALUE!")</f>
        <v>#VALUE!</v>
      </c>
      <c r="H305" s="51" t="str">
        <f>IFERROR(__xludf.DUMMYFUNCTION("""COMPUTED_VALUE"""),"")</f>
        <v/>
      </c>
      <c r="I305" s="51" t="str">
        <f>IFERROR(__xludf.DUMMYFUNCTION("""COMPUTED_VALUE"""),"#VALUE!")</f>
        <v>#VALUE!</v>
      </c>
      <c r="J305" s="51" t="str">
        <f>IFERROR(__xludf.DUMMYFUNCTION("""COMPUTED_VALUE"""),"")</f>
        <v/>
      </c>
      <c r="K305" s="51"/>
      <c r="L305" s="51" t="s">
        <v>257</v>
      </c>
      <c r="M305" s="51"/>
      <c r="N305" s="51"/>
      <c r="O305" s="51"/>
      <c r="P305" s="51"/>
      <c r="Q305" s="51"/>
      <c r="R305" s="51"/>
      <c r="S305" s="51"/>
      <c r="T305" s="51"/>
    </row>
    <row r="306">
      <c r="A306" s="51"/>
      <c r="B306" s="51"/>
      <c r="C306" s="56"/>
      <c r="D306" s="51"/>
      <c r="E306" s="51"/>
      <c r="F306" s="51"/>
      <c r="G306" s="51" t="str">
        <f>IFERROR(__xludf.DUMMYFUNCTION("""COMPUTED_VALUE"""),"#VALUE!")</f>
        <v>#VALUE!</v>
      </c>
      <c r="H306" s="51" t="str">
        <f>IFERROR(__xludf.DUMMYFUNCTION("""COMPUTED_VALUE"""),"")</f>
        <v/>
      </c>
      <c r="I306" s="51" t="str">
        <f>IFERROR(__xludf.DUMMYFUNCTION("""COMPUTED_VALUE"""),"#VALUE!")</f>
        <v>#VALUE!</v>
      </c>
      <c r="J306" s="51" t="str">
        <f>IFERROR(__xludf.DUMMYFUNCTION("""COMPUTED_VALUE"""),"")</f>
        <v/>
      </c>
      <c r="K306" s="51"/>
      <c r="L306" s="51" t="s">
        <v>257</v>
      </c>
      <c r="M306" s="51"/>
      <c r="N306" s="51"/>
      <c r="O306" s="51"/>
      <c r="P306" s="51"/>
      <c r="Q306" s="51"/>
      <c r="R306" s="51"/>
      <c r="S306" s="51"/>
      <c r="T306" s="51"/>
    </row>
    <row r="307">
      <c r="A307" s="51"/>
      <c r="B307" s="51"/>
      <c r="C307" s="56"/>
      <c r="D307" s="51"/>
      <c r="E307" s="51"/>
      <c r="F307" s="51"/>
      <c r="G307" s="51" t="str">
        <f>IFERROR(__xludf.DUMMYFUNCTION("""COMPUTED_VALUE"""),"#VALUE!")</f>
        <v>#VALUE!</v>
      </c>
      <c r="H307" s="51" t="str">
        <f>IFERROR(__xludf.DUMMYFUNCTION("""COMPUTED_VALUE"""),"")</f>
        <v/>
      </c>
      <c r="I307" s="51" t="str">
        <f>IFERROR(__xludf.DUMMYFUNCTION("""COMPUTED_VALUE"""),"#VALUE!")</f>
        <v>#VALUE!</v>
      </c>
      <c r="J307" s="51" t="str">
        <f>IFERROR(__xludf.DUMMYFUNCTION("""COMPUTED_VALUE"""),"")</f>
        <v/>
      </c>
      <c r="K307" s="51"/>
      <c r="L307" s="51" t="s">
        <v>257</v>
      </c>
      <c r="M307" s="51"/>
      <c r="N307" s="51"/>
      <c r="O307" s="51"/>
      <c r="P307" s="51"/>
      <c r="Q307" s="51"/>
      <c r="R307" s="51"/>
      <c r="S307" s="51"/>
      <c r="T307" s="51"/>
    </row>
    <row r="308">
      <c r="A308" s="51"/>
      <c r="B308" s="51"/>
      <c r="C308" s="56"/>
      <c r="D308" s="51"/>
      <c r="E308" s="51"/>
      <c r="F308" s="51"/>
      <c r="G308" s="51" t="str">
        <f>IFERROR(__xludf.DUMMYFUNCTION("""COMPUTED_VALUE"""),"#VALUE!")</f>
        <v>#VALUE!</v>
      </c>
      <c r="H308" s="51" t="str">
        <f>IFERROR(__xludf.DUMMYFUNCTION("""COMPUTED_VALUE"""),"")</f>
        <v/>
      </c>
      <c r="I308" s="51" t="str">
        <f>IFERROR(__xludf.DUMMYFUNCTION("""COMPUTED_VALUE"""),"#VALUE!")</f>
        <v>#VALUE!</v>
      </c>
      <c r="J308" s="51" t="str">
        <f>IFERROR(__xludf.DUMMYFUNCTION("""COMPUTED_VALUE"""),"")</f>
        <v/>
      </c>
      <c r="K308" s="51"/>
      <c r="L308" s="51" t="s">
        <v>257</v>
      </c>
      <c r="M308" s="51"/>
      <c r="N308" s="51"/>
      <c r="O308" s="51"/>
      <c r="P308" s="51"/>
      <c r="Q308" s="51"/>
      <c r="R308" s="51"/>
      <c r="S308" s="51"/>
      <c r="T308" s="51"/>
    </row>
    <row r="309">
      <c r="A309" s="51"/>
      <c r="B309" s="51"/>
      <c r="C309" s="56"/>
      <c r="D309" s="51"/>
      <c r="E309" s="51"/>
      <c r="F309" s="51"/>
      <c r="G309" s="51" t="str">
        <f>IFERROR(__xludf.DUMMYFUNCTION("""COMPUTED_VALUE"""),"#VALUE!")</f>
        <v>#VALUE!</v>
      </c>
      <c r="H309" s="51" t="str">
        <f>IFERROR(__xludf.DUMMYFUNCTION("""COMPUTED_VALUE"""),"")</f>
        <v/>
      </c>
      <c r="I309" s="51" t="str">
        <f>IFERROR(__xludf.DUMMYFUNCTION("""COMPUTED_VALUE"""),"#VALUE!")</f>
        <v>#VALUE!</v>
      </c>
      <c r="J309" s="51" t="str">
        <f>IFERROR(__xludf.DUMMYFUNCTION("""COMPUTED_VALUE"""),"")</f>
        <v/>
      </c>
      <c r="K309" s="51"/>
      <c r="L309" s="51" t="s">
        <v>257</v>
      </c>
      <c r="M309" s="51"/>
      <c r="N309" s="51"/>
      <c r="O309" s="51"/>
      <c r="P309" s="51"/>
      <c r="Q309" s="51"/>
      <c r="R309" s="51"/>
      <c r="S309" s="51"/>
      <c r="T309" s="51"/>
    </row>
    <row r="310">
      <c r="A310" s="51"/>
      <c r="B310" s="51"/>
      <c r="C310" s="56"/>
      <c r="D310" s="51"/>
      <c r="E310" s="51"/>
      <c r="F310" s="51"/>
      <c r="G310" s="51" t="str">
        <f>IFERROR(__xludf.DUMMYFUNCTION("""COMPUTED_VALUE"""),"#VALUE!")</f>
        <v>#VALUE!</v>
      </c>
      <c r="H310" s="51" t="str">
        <f>IFERROR(__xludf.DUMMYFUNCTION("""COMPUTED_VALUE"""),"")</f>
        <v/>
      </c>
      <c r="I310" s="51" t="str">
        <f>IFERROR(__xludf.DUMMYFUNCTION("""COMPUTED_VALUE"""),"#VALUE!")</f>
        <v>#VALUE!</v>
      </c>
      <c r="J310" s="51" t="str">
        <f>IFERROR(__xludf.DUMMYFUNCTION("""COMPUTED_VALUE"""),"")</f>
        <v/>
      </c>
      <c r="K310" s="51"/>
      <c r="L310" s="51" t="s">
        <v>257</v>
      </c>
      <c r="M310" s="51"/>
      <c r="N310" s="51"/>
      <c r="O310" s="51"/>
      <c r="P310" s="51"/>
      <c r="Q310" s="51"/>
      <c r="R310" s="51"/>
      <c r="S310" s="51"/>
      <c r="T310" s="51"/>
    </row>
    <row r="311">
      <c r="A311" s="51"/>
      <c r="B311" s="51"/>
      <c r="C311" s="56"/>
      <c r="D311" s="51"/>
      <c r="E311" s="51"/>
      <c r="F311" s="51"/>
      <c r="G311" s="51" t="str">
        <f>IFERROR(__xludf.DUMMYFUNCTION("""COMPUTED_VALUE"""),"#VALUE!")</f>
        <v>#VALUE!</v>
      </c>
      <c r="H311" s="51" t="str">
        <f>IFERROR(__xludf.DUMMYFUNCTION("""COMPUTED_VALUE"""),"")</f>
        <v/>
      </c>
      <c r="I311" s="51" t="str">
        <f>IFERROR(__xludf.DUMMYFUNCTION("""COMPUTED_VALUE"""),"#VALUE!")</f>
        <v>#VALUE!</v>
      </c>
      <c r="J311" s="51" t="str">
        <f>IFERROR(__xludf.DUMMYFUNCTION("""COMPUTED_VALUE"""),"")</f>
        <v/>
      </c>
      <c r="K311" s="51"/>
      <c r="L311" s="51" t="s">
        <v>257</v>
      </c>
      <c r="M311" s="51"/>
      <c r="N311" s="51"/>
      <c r="O311" s="51"/>
      <c r="P311" s="51"/>
      <c r="Q311" s="51"/>
      <c r="R311" s="51"/>
      <c r="S311" s="51"/>
      <c r="T311" s="51"/>
    </row>
    <row r="312">
      <c r="A312" s="51"/>
      <c r="B312" s="51"/>
      <c r="C312" s="56"/>
      <c r="D312" s="51"/>
      <c r="E312" s="51"/>
      <c r="F312" s="51"/>
      <c r="G312" s="51" t="str">
        <f>IFERROR(__xludf.DUMMYFUNCTION("""COMPUTED_VALUE"""),"#VALUE!")</f>
        <v>#VALUE!</v>
      </c>
      <c r="H312" s="51" t="str">
        <f>IFERROR(__xludf.DUMMYFUNCTION("""COMPUTED_VALUE"""),"")</f>
        <v/>
      </c>
      <c r="I312" s="51" t="str">
        <f>IFERROR(__xludf.DUMMYFUNCTION("""COMPUTED_VALUE"""),"#VALUE!")</f>
        <v>#VALUE!</v>
      </c>
      <c r="J312" s="51" t="str">
        <f>IFERROR(__xludf.DUMMYFUNCTION("""COMPUTED_VALUE"""),"")</f>
        <v/>
      </c>
      <c r="K312" s="51"/>
      <c r="L312" s="51" t="s">
        <v>257</v>
      </c>
      <c r="M312" s="51"/>
      <c r="N312" s="51"/>
      <c r="O312" s="51"/>
      <c r="P312" s="51"/>
      <c r="Q312" s="51"/>
      <c r="R312" s="51"/>
      <c r="S312" s="51"/>
      <c r="T312" s="51"/>
    </row>
    <row r="313">
      <c r="A313" s="51"/>
      <c r="B313" s="51"/>
      <c r="C313" s="56"/>
      <c r="D313" s="51"/>
      <c r="E313" s="51"/>
      <c r="F313" s="51"/>
      <c r="G313" s="51" t="str">
        <f>IFERROR(__xludf.DUMMYFUNCTION("""COMPUTED_VALUE"""),"#VALUE!")</f>
        <v>#VALUE!</v>
      </c>
      <c r="H313" s="51" t="str">
        <f>IFERROR(__xludf.DUMMYFUNCTION("""COMPUTED_VALUE"""),"")</f>
        <v/>
      </c>
      <c r="I313" s="51" t="str">
        <f>IFERROR(__xludf.DUMMYFUNCTION("""COMPUTED_VALUE"""),"#VALUE!")</f>
        <v>#VALUE!</v>
      </c>
      <c r="J313" s="51" t="str">
        <f>IFERROR(__xludf.DUMMYFUNCTION("""COMPUTED_VALUE"""),"")</f>
        <v/>
      </c>
      <c r="K313" s="51"/>
      <c r="L313" s="51" t="s">
        <v>257</v>
      </c>
      <c r="M313" s="51"/>
      <c r="N313" s="51"/>
      <c r="O313" s="51"/>
      <c r="P313" s="51"/>
      <c r="Q313" s="51"/>
      <c r="R313" s="51"/>
      <c r="S313" s="51"/>
      <c r="T313" s="51"/>
    </row>
    <row r="314">
      <c r="A314" s="51"/>
      <c r="B314" s="51"/>
      <c r="C314" s="56"/>
      <c r="D314" s="51"/>
      <c r="E314" s="51"/>
      <c r="F314" s="51"/>
      <c r="G314" s="51" t="str">
        <f>IFERROR(__xludf.DUMMYFUNCTION("""COMPUTED_VALUE"""),"#VALUE!")</f>
        <v>#VALUE!</v>
      </c>
      <c r="H314" s="51" t="str">
        <f>IFERROR(__xludf.DUMMYFUNCTION("""COMPUTED_VALUE"""),"")</f>
        <v/>
      </c>
      <c r="I314" s="51" t="str">
        <f>IFERROR(__xludf.DUMMYFUNCTION("""COMPUTED_VALUE"""),"#VALUE!")</f>
        <v>#VALUE!</v>
      </c>
      <c r="J314" s="51" t="str">
        <f>IFERROR(__xludf.DUMMYFUNCTION("""COMPUTED_VALUE"""),"")</f>
        <v/>
      </c>
      <c r="K314" s="51"/>
      <c r="L314" s="51" t="s">
        <v>257</v>
      </c>
      <c r="M314" s="51"/>
      <c r="N314" s="51"/>
      <c r="O314" s="51"/>
      <c r="P314" s="51"/>
      <c r="Q314" s="51"/>
      <c r="R314" s="51"/>
      <c r="S314" s="51"/>
      <c r="T314" s="51"/>
    </row>
    <row r="315">
      <c r="A315" s="51"/>
      <c r="B315" s="51"/>
      <c r="C315" s="56"/>
      <c r="D315" s="51"/>
      <c r="E315" s="51"/>
      <c r="F315" s="51"/>
      <c r="G315" s="51" t="str">
        <f>IFERROR(__xludf.DUMMYFUNCTION("""COMPUTED_VALUE"""),"#VALUE!")</f>
        <v>#VALUE!</v>
      </c>
      <c r="H315" s="51" t="str">
        <f>IFERROR(__xludf.DUMMYFUNCTION("""COMPUTED_VALUE"""),"")</f>
        <v/>
      </c>
      <c r="I315" s="51" t="str">
        <f>IFERROR(__xludf.DUMMYFUNCTION("""COMPUTED_VALUE"""),"#VALUE!")</f>
        <v>#VALUE!</v>
      </c>
      <c r="J315" s="51" t="str">
        <f>IFERROR(__xludf.DUMMYFUNCTION("""COMPUTED_VALUE"""),"")</f>
        <v/>
      </c>
      <c r="K315" s="51"/>
      <c r="L315" s="51" t="s">
        <v>257</v>
      </c>
      <c r="M315" s="51"/>
      <c r="N315" s="51"/>
      <c r="O315" s="51"/>
      <c r="P315" s="51"/>
      <c r="Q315" s="51"/>
      <c r="R315" s="51"/>
      <c r="S315" s="51"/>
      <c r="T315" s="51"/>
    </row>
    <row r="316">
      <c r="A316" s="51"/>
      <c r="B316" s="51"/>
      <c r="C316" s="56"/>
      <c r="D316" s="51"/>
      <c r="E316" s="51"/>
      <c r="F316" s="51"/>
      <c r="G316" s="51" t="str">
        <f>IFERROR(__xludf.DUMMYFUNCTION("""COMPUTED_VALUE"""),"#VALUE!")</f>
        <v>#VALUE!</v>
      </c>
      <c r="H316" s="51" t="str">
        <f>IFERROR(__xludf.DUMMYFUNCTION("""COMPUTED_VALUE"""),"")</f>
        <v/>
      </c>
      <c r="I316" s="51" t="str">
        <f>IFERROR(__xludf.DUMMYFUNCTION("""COMPUTED_VALUE"""),"#VALUE!")</f>
        <v>#VALUE!</v>
      </c>
      <c r="J316" s="51" t="str">
        <f>IFERROR(__xludf.DUMMYFUNCTION("""COMPUTED_VALUE"""),"")</f>
        <v/>
      </c>
      <c r="K316" s="51"/>
      <c r="L316" s="51" t="s">
        <v>257</v>
      </c>
      <c r="M316" s="51"/>
      <c r="N316" s="51"/>
      <c r="O316" s="51"/>
      <c r="P316" s="51"/>
      <c r="Q316" s="51"/>
      <c r="R316" s="51"/>
      <c r="S316" s="51"/>
      <c r="T316" s="51"/>
    </row>
    <row r="317">
      <c r="A317" s="51"/>
      <c r="B317" s="51"/>
      <c r="C317" s="56"/>
      <c r="D317" s="51"/>
      <c r="E317" s="51"/>
      <c r="F317" s="51"/>
      <c r="G317" s="51" t="str">
        <f>IFERROR(__xludf.DUMMYFUNCTION("""COMPUTED_VALUE"""),"#VALUE!")</f>
        <v>#VALUE!</v>
      </c>
      <c r="H317" s="51" t="str">
        <f>IFERROR(__xludf.DUMMYFUNCTION("""COMPUTED_VALUE"""),"")</f>
        <v/>
      </c>
      <c r="I317" s="51" t="str">
        <f>IFERROR(__xludf.DUMMYFUNCTION("""COMPUTED_VALUE"""),"#VALUE!")</f>
        <v>#VALUE!</v>
      </c>
      <c r="J317" s="51" t="str">
        <f>IFERROR(__xludf.DUMMYFUNCTION("""COMPUTED_VALUE"""),"")</f>
        <v/>
      </c>
      <c r="K317" s="51"/>
      <c r="L317" s="51" t="s">
        <v>257</v>
      </c>
      <c r="M317" s="51"/>
      <c r="N317" s="51"/>
      <c r="O317" s="51"/>
      <c r="P317" s="51"/>
      <c r="Q317" s="51"/>
      <c r="R317" s="51"/>
      <c r="S317" s="51"/>
      <c r="T317" s="51"/>
    </row>
    <row r="318">
      <c r="A318" s="51"/>
      <c r="B318" s="51"/>
      <c r="C318" s="56"/>
      <c r="D318" s="51"/>
      <c r="E318" s="51"/>
      <c r="F318" s="51"/>
      <c r="G318" s="51" t="str">
        <f>IFERROR(__xludf.DUMMYFUNCTION("""COMPUTED_VALUE"""),"#VALUE!")</f>
        <v>#VALUE!</v>
      </c>
      <c r="H318" s="51" t="str">
        <f>IFERROR(__xludf.DUMMYFUNCTION("""COMPUTED_VALUE"""),"")</f>
        <v/>
      </c>
      <c r="I318" s="51" t="str">
        <f>IFERROR(__xludf.DUMMYFUNCTION("""COMPUTED_VALUE"""),"#VALUE!")</f>
        <v>#VALUE!</v>
      </c>
      <c r="J318" s="51" t="str">
        <f>IFERROR(__xludf.DUMMYFUNCTION("""COMPUTED_VALUE"""),"")</f>
        <v/>
      </c>
      <c r="K318" s="51"/>
      <c r="L318" s="51" t="s">
        <v>257</v>
      </c>
      <c r="M318" s="51"/>
      <c r="N318" s="51"/>
      <c r="O318" s="51"/>
      <c r="P318" s="51"/>
      <c r="Q318" s="51"/>
      <c r="R318" s="51"/>
      <c r="S318" s="51"/>
      <c r="T318" s="51"/>
    </row>
    <row r="319">
      <c r="A319" s="51"/>
      <c r="B319" s="51"/>
      <c r="C319" s="56"/>
      <c r="D319" s="51"/>
      <c r="E319" s="51"/>
      <c r="F319" s="51"/>
      <c r="G319" s="51" t="str">
        <f>IFERROR(__xludf.DUMMYFUNCTION("""COMPUTED_VALUE"""),"#VALUE!")</f>
        <v>#VALUE!</v>
      </c>
      <c r="H319" s="51" t="str">
        <f>IFERROR(__xludf.DUMMYFUNCTION("""COMPUTED_VALUE"""),"")</f>
        <v/>
      </c>
      <c r="I319" s="51" t="str">
        <f>IFERROR(__xludf.DUMMYFUNCTION("""COMPUTED_VALUE"""),"#VALUE!")</f>
        <v>#VALUE!</v>
      </c>
      <c r="J319" s="51" t="str">
        <f>IFERROR(__xludf.DUMMYFUNCTION("""COMPUTED_VALUE"""),"")</f>
        <v/>
      </c>
      <c r="K319" s="51"/>
      <c r="L319" s="51" t="s">
        <v>257</v>
      </c>
      <c r="M319" s="51"/>
      <c r="N319" s="51"/>
      <c r="O319" s="51"/>
      <c r="P319" s="51"/>
      <c r="Q319" s="51"/>
      <c r="R319" s="51"/>
      <c r="S319" s="51"/>
      <c r="T319" s="51"/>
    </row>
    <row r="320">
      <c r="A320" s="51"/>
      <c r="B320" s="51"/>
      <c r="C320" s="56"/>
      <c r="D320" s="51"/>
      <c r="E320" s="51"/>
      <c r="F320" s="51"/>
      <c r="G320" s="51" t="str">
        <f>IFERROR(__xludf.DUMMYFUNCTION("""COMPUTED_VALUE"""),"#VALUE!")</f>
        <v>#VALUE!</v>
      </c>
      <c r="H320" s="51" t="str">
        <f>IFERROR(__xludf.DUMMYFUNCTION("""COMPUTED_VALUE"""),"")</f>
        <v/>
      </c>
      <c r="I320" s="51" t="str">
        <f>IFERROR(__xludf.DUMMYFUNCTION("""COMPUTED_VALUE"""),"#VALUE!")</f>
        <v>#VALUE!</v>
      </c>
      <c r="J320" s="51" t="str">
        <f>IFERROR(__xludf.DUMMYFUNCTION("""COMPUTED_VALUE"""),"")</f>
        <v/>
      </c>
      <c r="K320" s="51"/>
      <c r="L320" s="51" t="s">
        <v>257</v>
      </c>
      <c r="M320" s="51"/>
      <c r="N320" s="51"/>
      <c r="O320" s="51"/>
      <c r="P320" s="51"/>
      <c r="Q320" s="51"/>
      <c r="R320" s="51"/>
      <c r="S320" s="51"/>
      <c r="T320" s="51"/>
    </row>
    <row r="321">
      <c r="A321" s="51"/>
      <c r="B321" s="51"/>
      <c r="C321" s="56"/>
      <c r="D321" s="51"/>
      <c r="E321" s="51"/>
      <c r="F321" s="51"/>
      <c r="G321" s="51" t="str">
        <f>IFERROR(__xludf.DUMMYFUNCTION("""COMPUTED_VALUE"""),"#VALUE!")</f>
        <v>#VALUE!</v>
      </c>
      <c r="H321" s="51" t="str">
        <f>IFERROR(__xludf.DUMMYFUNCTION("""COMPUTED_VALUE"""),"")</f>
        <v/>
      </c>
      <c r="I321" s="51" t="str">
        <f>IFERROR(__xludf.DUMMYFUNCTION("""COMPUTED_VALUE"""),"#VALUE!")</f>
        <v>#VALUE!</v>
      </c>
      <c r="J321" s="51" t="str">
        <f>IFERROR(__xludf.DUMMYFUNCTION("""COMPUTED_VALUE"""),"")</f>
        <v/>
      </c>
      <c r="K321" s="51"/>
      <c r="L321" s="51" t="s">
        <v>257</v>
      </c>
      <c r="M321" s="51"/>
      <c r="N321" s="51"/>
      <c r="O321" s="51"/>
      <c r="P321" s="51"/>
      <c r="Q321" s="51"/>
      <c r="R321" s="51"/>
      <c r="S321" s="51"/>
      <c r="T321" s="51"/>
    </row>
    <row r="322">
      <c r="A322" s="51"/>
      <c r="B322" s="51"/>
      <c r="C322" s="56"/>
      <c r="D322" s="51"/>
      <c r="E322" s="51"/>
      <c r="F322" s="51"/>
      <c r="G322" s="51" t="str">
        <f>IFERROR(__xludf.DUMMYFUNCTION("""COMPUTED_VALUE"""),"#VALUE!")</f>
        <v>#VALUE!</v>
      </c>
      <c r="H322" s="51" t="str">
        <f>IFERROR(__xludf.DUMMYFUNCTION("""COMPUTED_VALUE"""),"")</f>
        <v/>
      </c>
      <c r="I322" s="51" t="str">
        <f>IFERROR(__xludf.DUMMYFUNCTION("""COMPUTED_VALUE"""),"#VALUE!")</f>
        <v>#VALUE!</v>
      </c>
      <c r="J322" s="51" t="str">
        <f>IFERROR(__xludf.DUMMYFUNCTION("""COMPUTED_VALUE"""),"")</f>
        <v/>
      </c>
      <c r="K322" s="51"/>
      <c r="L322" s="51" t="s">
        <v>257</v>
      </c>
      <c r="M322" s="51"/>
      <c r="N322" s="51"/>
      <c r="O322" s="51"/>
      <c r="P322" s="51"/>
      <c r="Q322" s="51"/>
      <c r="R322" s="51"/>
      <c r="S322" s="51"/>
      <c r="T322" s="51"/>
    </row>
    <row r="323">
      <c r="A323" s="51"/>
      <c r="B323" s="51"/>
      <c r="C323" s="56"/>
      <c r="D323" s="51"/>
      <c r="E323" s="51"/>
      <c r="F323" s="51"/>
      <c r="G323" s="51" t="str">
        <f>IFERROR(__xludf.DUMMYFUNCTION("""COMPUTED_VALUE"""),"#VALUE!")</f>
        <v>#VALUE!</v>
      </c>
      <c r="H323" s="51" t="str">
        <f>IFERROR(__xludf.DUMMYFUNCTION("""COMPUTED_VALUE"""),"")</f>
        <v/>
      </c>
      <c r="I323" s="51" t="str">
        <f>IFERROR(__xludf.DUMMYFUNCTION("""COMPUTED_VALUE"""),"#VALUE!")</f>
        <v>#VALUE!</v>
      </c>
      <c r="J323" s="51" t="str">
        <f>IFERROR(__xludf.DUMMYFUNCTION("""COMPUTED_VALUE"""),"")</f>
        <v/>
      </c>
      <c r="K323" s="51"/>
      <c r="L323" s="51" t="s">
        <v>257</v>
      </c>
      <c r="M323" s="51"/>
      <c r="N323" s="51"/>
      <c r="O323" s="51"/>
      <c r="P323" s="51"/>
      <c r="Q323" s="51"/>
      <c r="R323" s="51"/>
      <c r="S323" s="51"/>
      <c r="T323" s="51"/>
    </row>
    <row r="324">
      <c r="A324" s="51"/>
      <c r="B324" s="51"/>
      <c r="C324" s="56"/>
      <c r="D324" s="51"/>
      <c r="E324" s="51"/>
      <c r="F324" s="51"/>
      <c r="G324" s="51" t="str">
        <f>IFERROR(__xludf.DUMMYFUNCTION("""COMPUTED_VALUE"""),"#VALUE!")</f>
        <v>#VALUE!</v>
      </c>
      <c r="H324" s="51" t="str">
        <f>IFERROR(__xludf.DUMMYFUNCTION("""COMPUTED_VALUE"""),"")</f>
        <v/>
      </c>
      <c r="I324" s="51" t="str">
        <f>IFERROR(__xludf.DUMMYFUNCTION("""COMPUTED_VALUE"""),"#VALUE!")</f>
        <v>#VALUE!</v>
      </c>
      <c r="J324" s="51" t="str">
        <f>IFERROR(__xludf.DUMMYFUNCTION("""COMPUTED_VALUE"""),"")</f>
        <v/>
      </c>
      <c r="K324" s="51"/>
      <c r="L324" s="51" t="s">
        <v>257</v>
      </c>
      <c r="M324" s="51"/>
      <c r="N324" s="51"/>
      <c r="O324" s="51"/>
      <c r="P324" s="51"/>
      <c r="Q324" s="51"/>
      <c r="R324" s="51"/>
      <c r="S324" s="51"/>
      <c r="T324" s="51"/>
    </row>
    <row r="325">
      <c r="A325" s="51"/>
      <c r="B325" s="51"/>
      <c r="C325" s="56"/>
      <c r="D325" s="51"/>
      <c r="E325" s="51"/>
      <c r="F325" s="51"/>
      <c r="G325" s="51" t="str">
        <f>IFERROR(__xludf.DUMMYFUNCTION("""COMPUTED_VALUE"""),"#VALUE!")</f>
        <v>#VALUE!</v>
      </c>
      <c r="H325" s="51" t="str">
        <f>IFERROR(__xludf.DUMMYFUNCTION("""COMPUTED_VALUE"""),"")</f>
        <v/>
      </c>
      <c r="I325" s="51" t="str">
        <f>IFERROR(__xludf.DUMMYFUNCTION("""COMPUTED_VALUE"""),"#VALUE!")</f>
        <v>#VALUE!</v>
      </c>
      <c r="J325" s="51" t="str">
        <f>IFERROR(__xludf.DUMMYFUNCTION("""COMPUTED_VALUE"""),"")</f>
        <v/>
      </c>
      <c r="K325" s="51"/>
      <c r="L325" s="51" t="s">
        <v>257</v>
      </c>
      <c r="M325" s="51"/>
      <c r="N325" s="51"/>
      <c r="O325" s="51"/>
      <c r="P325" s="51"/>
      <c r="Q325" s="51"/>
      <c r="R325" s="51"/>
      <c r="S325" s="51"/>
      <c r="T325" s="51"/>
    </row>
    <row r="326">
      <c r="A326" s="51"/>
      <c r="B326" s="51"/>
      <c r="C326" s="56"/>
      <c r="D326" s="51"/>
      <c r="E326" s="51"/>
      <c r="F326" s="51"/>
      <c r="G326" s="51" t="str">
        <f>IFERROR(__xludf.DUMMYFUNCTION("""COMPUTED_VALUE"""),"#VALUE!")</f>
        <v>#VALUE!</v>
      </c>
      <c r="H326" s="51" t="str">
        <f>IFERROR(__xludf.DUMMYFUNCTION("""COMPUTED_VALUE"""),"")</f>
        <v/>
      </c>
      <c r="I326" s="51" t="str">
        <f>IFERROR(__xludf.DUMMYFUNCTION("""COMPUTED_VALUE"""),"#VALUE!")</f>
        <v>#VALUE!</v>
      </c>
      <c r="J326" s="51" t="str">
        <f>IFERROR(__xludf.DUMMYFUNCTION("""COMPUTED_VALUE"""),"")</f>
        <v/>
      </c>
      <c r="K326" s="51"/>
      <c r="L326" s="51" t="s">
        <v>257</v>
      </c>
      <c r="M326" s="51"/>
      <c r="N326" s="51"/>
      <c r="O326" s="51"/>
      <c r="P326" s="51"/>
      <c r="Q326" s="51"/>
      <c r="R326" s="51"/>
      <c r="S326" s="51"/>
      <c r="T326" s="51"/>
    </row>
    <row r="327">
      <c r="A327" s="51"/>
      <c r="B327" s="51"/>
      <c r="C327" s="56"/>
      <c r="D327" s="51"/>
      <c r="E327" s="51"/>
      <c r="F327" s="51"/>
      <c r="G327" s="51" t="str">
        <f>IFERROR(__xludf.DUMMYFUNCTION("""COMPUTED_VALUE"""),"#VALUE!")</f>
        <v>#VALUE!</v>
      </c>
      <c r="H327" s="51" t="str">
        <f>IFERROR(__xludf.DUMMYFUNCTION("""COMPUTED_VALUE"""),"")</f>
        <v/>
      </c>
      <c r="I327" s="51" t="str">
        <f>IFERROR(__xludf.DUMMYFUNCTION("""COMPUTED_VALUE"""),"#VALUE!")</f>
        <v>#VALUE!</v>
      </c>
      <c r="J327" s="51" t="str">
        <f>IFERROR(__xludf.DUMMYFUNCTION("""COMPUTED_VALUE"""),"")</f>
        <v/>
      </c>
      <c r="K327" s="51"/>
      <c r="L327" s="51" t="s">
        <v>257</v>
      </c>
      <c r="M327" s="51"/>
      <c r="N327" s="51"/>
      <c r="O327" s="51"/>
      <c r="P327" s="51"/>
      <c r="Q327" s="51"/>
      <c r="R327" s="51"/>
      <c r="S327" s="51"/>
      <c r="T327" s="51"/>
    </row>
    <row r="328">
      <c r="A328" s="51"/>
      <c r="B328" s="51"/>
      <c r="C328" s="56"/>
      <c r="D328" s="51"/>
      <c r="E328" s="51"/>
      <c r="F328" s="51"/>
      <c r="G328" s="51" t="str">
        <f>IFERROR(__xludf.DUMMYFUNCTION("""COMPUTED_VALUE"""),"#VALUE!")</f>
        <v>#VALUE!</v>
      </c>
      <c r="H328" s="51" t="str">
        <f>IFERROR(__xludf.DUMMYFUNCTION("""COMPUTED_VALUE"""),"")</f>
        <v/>
      </c>
      <c r="I328" s="51" t="str">
        <f>IFERROR(__xludf.DUMMYFUNCTION("""COMPUTED_VALUE"""),"#VALUE!")</f>
        <v>#VALUE!</v>
      </c>
      <c r="J328" s="51" t="str">
        <f>IFERROR(__xludf.DUMMYFUNCTION("""COMPUTED_VALUE"""),"")</f>
        <v/>
      </c>
      <c r="K328" s="51"/>
      <c r="L328" s="51" t="s">
        <v>257</v>
      </c>
      <c r="M328" s="51"/>
      <c r="N328" s="51"/>
      <c r="O328" s="51"/>
      <c r="P328" s="51"/>
      <c r="Q328" s="51"/>
      <c r="R328" s="51"/>
      <c r="S328" s="51"/>
      <c r="T328" s="51"/>
    </row>
    <row r="329">
      <c r="A329" s="51"/>
      <c r="B329" s="51"/>
      <c r="C329" s="56"/>
      <c r="D329" s="51"/>
      <c r="E329" s="51"/>
      <c r="F329" s="51"/>
      <c r="G329" s="51" t="str">
        <f>IFERROR(__xludf.DUMMYFUNCTION("""COMPUTED_VALUE"""),"#VALUE!")</f>
        <v>#VALUE!</v>
      </c>
      <c r="H329" s="51" t="str">
        <f>IFERROR(__xludf.DUMMYFUNCTION("""COMPUTED_VALUE"""),"")</f>
        <v/>
      </c>
      <c r="I329" s="51" t="str">
        <f>IFERROR(__xludf.DUMMYFUNCTION("""COMPUTED_VALUE"""),"#VALUE!")</f>
        <v>#VALUE!</v>
      </c>
      <c r="J329" s="51" t="str">
        <f>IFERROR(__xludf.DUMMYFUNCTION("""COMPUTED_VALUE"""),"")</f>
        <v/>
      </c>
      <c r="K329" s="51"/>
      <c r="L329" s="51" t="s">
        <v>257</v>
      </c>
      <c r="M329" s="51"/>
      <c r="N329" s="51"/>
      <c r="O329" s="51"/>
      <c r="P329" s="51"/>
      <c r="Q329" s="51"/>
      <c r="R329" s="51"/>
      <c r="S329" s="51"/>
      <c r="T329" s="51"/>
    </row>
    <row r="330">
      <c r="A330" s="51"/>
      <c r="B330" s="51"/>
      <c r="C330" s="56"/>
      <c r="D330" s="51"/>
      <c r="E330" s="51"/>
      <c r="F330" s="51"/>
      <c r="G330" s="51" t="str">
        <f>IFERROR(__xludf.DUMMYFUNCTION("""COMPUTED_VALUE"""),"#VALUE!")</f>
        <v>#VALUE!</v>
      </c>
      <c r="H330" s="51" t="str">
        <f>IFERROR(__xludf.DUMMYFUNCTION("""COMPUTED_VALUE"""),"")</f>
        <v/>
      </c>
      <c r="I330" s="51" t="str">
        <f>IFERROR(__xludf.DUMMYFUNCTION("""COMPUTED_VALUE"""),"#VALUE!")</f>
        <v>#VALUE!</v>
      </c>
      <c r="J330" s="51" t="str">
        <f>IFERROR(__xludf.DUMMYFUNCTION("""COMPUTED_VALUE"""),"")</f>
        <v/>
      </c>
      <c r="K330" s="51"/>
      <c r="L330" s="51" t="s">
        <v>257</v>
      </c>
      <c r="M330" s="51"/>
      <c r="N330" s="51"/>
      <c r="O330" s="51"/>
      <c r="P330" s="51"/>
      <c r="Q330" s="51"/>
      <c r="R330" s="51"/>
      <c r="S330" s="51"/>
      <c r="T330" s="51"/>
    </row>
    <row r="331">
      <c r="A331" s="51"/>
      <c r="B331" s="51"/>
      <c r="C331" s="56"/>
      <c r="D331" s="51"/>
      <c r="E331" s="51"/>
      <c r="F331" s="51"/>
      <c r="G331" s="51" t="str">
        <f>IFERROR(__xludf.DUMMYFUNCTION("""COMPUTED_VALUE"""),"#VALUE!")</f>
        <v>#VALUE!</v>
      </c>
      <c r="H331" s="51" t="str">
        <f>IFERROR(__xludf.DUMMYFUNCTION("""COMPUTED_VALUE"""),"")</f>
        <v/>
      </c>
      <c r="I331" s="51" t="str">
        <f>IFERROR(__xludf.DUMMYFUNCTION("""COMPUTED_VALUE"""),"#VALUE!")</f>
        <v>#VALUE!</v>
      </c>
      <c r="J331" s="51" t="str">
        <f>IFERROR(__xludf.DUMMYFUNCTION("""COMPUTED_VALUE"""),"")</f>
        <v/>
      </c>
      <c r="K331" s="51"/>
      <c r="L331" s="51" t="s">
        <v>257</v>
      </c>
      <c r="M331" s="51"/>
      <c r="N331" s="51"/>
      <c r="O331" s="51"/>
      <c r="P331" s="51"/>
      <c r="Q331" s="51"/>
      <c r="R331" s="51"/>
      <c r="S331" s="51"/>
      <c r="T331" s="51"/>
    </row>
    <row r="332">
      <c r="A332" s="51"/>
      <c r="B332" s="51"/>
      <c r="C332" s="56"/>
      <c r="D332" s="51"/>
      <c r="E332" s="51"/>
      <c r="F332" s="51"/>
      <c r="G332" s="51" t="str">
        <f>IFERROR(__xludf.DUMMYFUNCTION("""COMPUTED_VALUE"""),"#VALUE!")</f>
        <v>#VALUE!</v>
      </c>
      <c r="H332" s="51" t="str">
        <f>IFERROR(__xludf.DUMMYFUNCTION("""COMPUTED_VALUE"""),"")</f>
        <v/>
      </c>
      <c r="I332" s="51" t="str">
        <f>IFERROR(__xludf.DUMMYFUNCTION("""COMPUTED_VALUE"""),"#VALUE!")</f>
        <v>#VALUE!</v>
      </c>
      <c r="J332" s="51" t="str">
        <f>IFERROR(__xludf.DUMMYFUNCTION("""COMPUTED_VALUE"""),"")</f>
        <v/>
      </c>
      <c r="K332" s="51"/>
      <c r="L332" s="51" t="s">
        <v>257</v>
      </c>
      <c r="M332" s="51"/>
      <c r="N332" s="51"/>
      <c r="O332" s="51"/>
      <c r="P332" s="51"/>
      <c r="Q332" s="51"/>
      <c r="R332" s="51"/>
      <c r="S332" s="51"/>
      <c r="T332" s="51"/>
    </row>
    <row r="333">
      <c r="A333" s="51"/>
      <c r="B333" s="51"/>
      <c r="C333" s="56"/>
      <c r="D333" s="51"/>
      <c r="E333" s="51"/>
      <c r="F333" s="51"/>
      <c r="G333" s="51" t="str">
        <f>IFERROR(__xludf.DUMMYFUNCTION("""COMPUTED_VALUE"""),"#VALUE!")</f>
        <v>#VALUE!</v>
      </c>
      <c r="H333" s="51" t="str">
        <f>IFERROR(__xludf.DUMMYFUNCTION("""COMPUTED_VALUE"""),"")</f>
        <v/>
      </c>
      <c r="I333" s="51" t="str">
        <f>IFERROR(__xludf.DUMMYFUNCTION("""COMPUTED_VALUE"""),"#VALUE!")</f>
        <v>#VALUE!</v>
      </c>
      <c r="J333" s="51" t="str">
        <f>IFERROR(__xludf.DUMMYFUNCTION("""COMPUTED_VALUE"""),"")</f>
        <v/>
      </c>
      <c r="K333" s="51"/>
      <c r="L333" s="51" t="s">
        <v>257</v>
      </c>
      <c r="M333" s="51"/>
      <c r="N333" s="51"/>
      <c r="O333" s="51"/>
      <c r="P333" s="51"/>
      <c r="Q333" s="51"/>
      <c r="R333" s="51"/>
      <c r="S333" s="51"/>
      <c r="T333" s="51"/>
    </row>
    <row r="334">
      <c r="A334" s="51"/>
      <c r="B334" s="51"/>
      <c r="C334" s="56"/>
      <c r="D334" s="51"/>
      <c r="E334" s="51"/>
      <c r="F334" s="51"/>
      <c r="G334" s="51" t="str">
        <f>IFERROR(__xludf.DUMMYFUNCTION("""COMPUTED_VALUE"""),"#VALUE!")</f>
        <v>#VALUE!</v>
      </c>
      <c r="H334" s="51" t="str">
        <f>IFERROR(__xludf.DUMMYFUNCTION("""COMPUTED_VALUE"""),"")</f>
        <v/>
      </c>
      <c r="I334" s="51" t="str">
        <f>IFERROR(__xludf.DUMMYFUNCTION("""COMPUTED_VALUE"""),"#VALUE!")</f>
        <v>#VALUE!</v>
      </c>
      <c r="J334" s="51" t="str">
        <f>IFERROR(__xludf.DUMMYFUNCTION("""COMPUTED_VALUE"""),"")</f>
        <v/>
      </c>
      <c r="K334" s="51"/>
      <c r="L334" s="51" t="s">
        <v>257</v>
      </c>
      <c r="M334" s="51"/>
      <c r="N334" s="51"/>
      <c r="O334" s="51"/>
      <c r="P334" s="51"/>
      <c r="Q334" s="51"/>
      <c r="R334" s="51"/>
      <c r="S334" s="51"/>
      <c r="T334" s="51"/>
    </row>
    <row r="335">
      <c r="A335" s="51"/>
      <c r="B335" s="51"/>
      <c r="C335" s="56"/>
      <c r="D335" s="51"/>
      <c r="E335" s="51"/>
      <c r="F335" s="51"/>
      <c r="G335" s="51" t="str">
        <f>IFERROR(__xludf.DUMMYFUNCTION("""COMPUTED_VALUE"""),"#VALUE!")</f>
        <v>#VALUE!</v>
      </c>
      <c r="H335" s="51" t="str">
        <f>IFERROR(__xludf.DUMMYFUNCTION("""COMPUTED_VALUE"""),"")</f>
        <v/>
      </c>
      <c r="I335" s="51" t="str">
        <f>IFERROR(__xludf.DUMMYFUNCTION("""COMPUTED_VALUE"""),"#VALUE!")</f>
        <v>#VALUE!</v>
      </c>
      <c r="J335" s="51" t="str">
        <f>IFERROR(__xludf.DUMMYFUNCTION("""COMPUTED_VALUE"""),"")</f>
        <v/>
      </c>
      <c r="K335" s="51"/>
      <c r="L335" s="51" t="s">
        <v>257</v>
      </c>
      <c r="M335" s="51"/>
      <c r="N335" s="51"/>
      <c r="O335" s="51"/>
      <c r="P335" s="51"/>
      <c r="Q335" s="51"/>
      <c r="R335" s="51"/>
      <c r="S335" s="51"/>
      <c r="T335" s="51"/>
    </row>
    <row r="336">
      <c r="A336" s="51"/>
      <c r="B336" s="51"/>
      <c r="C336" s="56"/>
      <c r="D336" s="51"/>
      <c r="E336" s="51"/>
      <c r="F336" s="51"/>
      <c r="G336" s="51" t="str">
        <f>IFERROR(__xludf.DUMMYFUNCTION("""COMPUTED_VALUE"""),"#VALUE!")</f>
        <v>#VALUE!</v>
      </c>
      <c r="H336" s="51" t="str">
        <f>IFERROR(__xludf.DUMMYFUNCTION("""COMPUTED_VALUE"""),"")</f>
        <v/>
      </c>
      <c r="I336" s="51" t="str">
        <f>IFERROR(__xludf.DUMMYFUNCTION("""COMPUTED_VALUE"""),"#VALUE!")</f>
        <v>#VALUE!</v>
      </c>
      <c r="J336" s="51" t="str">
        <f>IFERROR(__xludf.DUMMYFUNCTION("""COMPUTED_VALUE"""),"")</f>
        <v/>
      </c>
      <c r="K336" s="51"/>
      <c r="L336" s="51" t="s">
        <v>257</v>
      </c>
      <c r="M336" s="51"/>
      <c r="N336" s="51"/>
      <c r="O336" s="51"/>
      <c r="P336" s="51"/>
      <c r="Q336" s="51"/>
      <c r="R336" s="51"/>
      <c r="S336" s="51"/>
      <c r="T336" s="51"/>
    </row>
    <row r="337">
      <c r="A337" s="51"/>
      <c r="B337" s="51"/>
      <c r="C337" s="56"/>
      <c r="D337" s="51"/>
      <c r="E337" s="51"/>
      <c r="F337" s="51"/>
      <c r="G337" s="51" t="str">
        <f>IFERROR(__xludf.DUMMYFUNCTION("""COMPUTED_VALUE"""),"#VALUE!")</f>
        <v>#VALUE!</v>
      </c>
      <c r="H337" s="51" t="str">
        <f>IFERROR(__xludf.DUMMYFUNCTION("""COMPUTED_VALUE"""),"")</f>
        <v/>
      </c>
      <c r="I337" s="51" t="str">
        <f>IFERROR(__xludf.DUMMYFUNCTION("""COMPUTED_VALUE"""),"#VALUE!")</f>
        <v>#VALUE!</v>
      </c>
      <c r="J337" s="51" t="str">
        <f>IFERROR(__xludf.DUMMYFUNCTION("""COMPUTED_VALUE"""),"")</f>
        <v/>
      </c>
      <c r="K337" s="51"/>
      <c r="L337" s="51" t="s">
        <v>257</v>
      </c>
      <c r="M337" s="51"/>
      <c r="N337" s="51"/>
      <c r="O337" s="51"/>
      <c r="P337" s="51"/>
      <c r="Q337" s="51"/>
      <c r="R337" s="51"/>
      <c r="S337" s="51"/>
      <c r="T337" s="51"/>
    </row>
    <row r="338">
      <c r="A338" s="51"/>
      <c r="B338" s="51"/>
      <c r="C338" s="56"/>
      <c r="D338" s="51"/>
      <c r="E338" s="51"/>
      <c r="F338" s="51"/>
      <c r="G338" s="51" t="str">
        <f>IFERROR(__xludf.DUMMYFUNCTION("""COMPUTED_VALUE"""),"#VALUE!")</f>
        <v>#VALUE!</v>
      </c>
      <c r="H338" s="51" t="str">
        <f>IFERROR(__xludf.DUMMYFUNCTION("""COMPUTED_VALUE"""),"")</f>
        <v/>
      </c>
      <c r="I338" s="51" t="str">
        <f>IFERROR(__xludf.DUMMYFUNCTION("""COMPUTED_VALUE"""),"#VALUE!")</f>
        <v>#VALUE!</v>
      </c>
      <c r="J338" s="51" t="str">
        <f>IFERROR(__xludf.DUMMYFUNCTION("""COMPUTED_VALUE"""),"")</f>
        <v/>
      </c>
      <c r="K338" s="51"/>
      <c r="L338" s="51" t="s">
        <v>257</v>
      </c>
      <c r="M338" s="51"/>
      <c r="N338" s="51"/>
      <c r="O338" s="51"/>
      <c r="P338" s="51"/>
      <c r="Q338" s="51"/>
      <c r="R338" s="51"/>
      <c r="S338" s="51"/>
      <c r="T338" s="51"/>
    </row>
    <row r="339">
      <c r="A339" s="51"/>
      <c r="B339" s="51"/>
      <c r="C339" s="56"/>
      <c r="D339" s="51"/>
      <c r="E339" s="51"/>
      <c r="F339" s="51"/>
      <c r="G339" s="51" t="str">
        <f>IFERROR(__xludf.DUMMYFUNCTION("""COMPUTED_VALUE"""),"#VALUE!")</f>
        <v>#VALUE!</v>
      </c>
      <c r="H339" s="51" t="str">
        <f>IFERROR(__xludf.DUMMYFUNCTION("""COMPUTED_VALUE"""),"")</f>
        <v/>
      </c>
      <c r="I339" s="51" t="str">
        <f>IFERROR(__xludf.DUMMYFUNCTION("""COMPUTED_VALUE"""),"#VALUE!")</f>
        <v>#VALUE!</v>
      </c>
      <c r="J339" s="51" t="str">
        <f>IFERROR(__xludf.DUMMYFUNCTION("""COMPUTED_VALUE"""),"")</f>
        <v/>
      </c>
      <c r="K339" s="51"/>
      <c r="L339" s="51" t="s">
        <v>257</v>
      </c>
      <c r="M339" s="51"/>
      <c r="N339" s="51"/>
      <c r="O339" s="51"/>
      <c r="P339" s="51"/>
      <c r="Q339" s="51"/>
      <c r="R339" s="51"/>
      <c r="S339" s="51"/>
      <c r="T339" s="51"/>
    </row>
    <row r="340">
      <c r="A340" s="51"/>
      <c r="B340" s="51"/>
      <c r="C340" s="56"/>
      <c r="D340" s="51"/>
      <c r="E340" s="51"/>
      <c r="F340" s="51"/>
      <c r="G340" s="51" t="str">
        <f>IFERROR(__xludf.DUMMYFUNCTION("""COMPUTED_VALUE"""),"#VALUE!")</f>
        <v>#VALUE!</v>
      </c>
      <c r="H340" s="51" t="str">
        <f>IFERROR(__xludf.DUMMYFUNCTION("""COMPUTED_VALUE"""),"")</f>
        <v/>
      </c>
      <c r="I340" s="51" t="str">
        <f>IFERROR(__xludf.DUMMYFUNCTION("""COMPUTED_VALUE"""),"#VALUE!")</f>
        <v>#VALUE!</v>
      </c>
      <c r="J340" s="51" t="str">
        <f>IFERROR(__xludf.DUMMYFUNCTION("""COMPUTED_VALUE"""),"")</f>
        <v/>
      </c>
      <c r="K340" s="51"/>
      <c r="L340" s="51" t="s">
        <v>257</v>
      </c>
      <c r="M340" s="51"/>
      <c r="N340" s="51"/>
      <c r="O340" s="51"/>
      <c r="P340" s="51"/>
      <c r="Q340" s="51"/>
      <c r="R340" s="51"/>
      <c r="S340" s="51"/>
      <c r="T340" s="51"/>
    </row>
    <row r="341">
      <c r="A341" s="51"/>
      <c r="B341" s="51"/>
      <c r="C341" s="56"/>
      <c r="D341" s="51"/>
      <c r="E341" s="51"/>
      <c r="F341" s="51"/>
      <c r="G341" s="51" t="str">
        <f>IFERROR(__xludf.DUMMYFUNCTION("""COMPUTED_VALUE"""),"#VALUE!")</f>
        <v>#VALUE!</v>
      </c>
      <c r="H341" s="51" t="str">
        <f>IFERROR(__xludf.DUMMYFUNCTION("""COMPUTED_VALUE"""),"")</f>
        <v/>
      </c>
      <c r="I341" s="51" t="str">
        <f>IFERROR(__xludf.DUMMYFUNCTION("""COMPUTED_VALUE"""),"#VALUE!")</f>
        <v>#VALUE!</v>
      </c>
      <c r="J341" s="51" t="str">
        <f>IFERROR(__xludf.DUMMYFUNCTION("""COMPUTED_VALUE"""),"")</f>
        <v/>
      </c>
      <c r="K341" s="51"/>
      <c r="L341" s="51" t="s">
        <v>257</v>
      </c>
      <c r="M341" s="51"/>
      <c r="N341" s="51"/>
      <c r="O341" s="51"/>
      <c r="P341" s="51"/>
      <c r="Q341" s="51"/>
      <c r="R341" s="51"/>
      <c r="S341" s="51"/>
      <c r="T341" s="51"/>
    </row>
    <row r="342">
      <c r="A342" s="51"/>
      <c r="B342" s="51"/>
      <c r="C342" s="56"/>
      <c r="D342" s="51"/>
      <c r="E342" s="51"/>
      <c r="F342" s="51"/>
      <c r="G342" s="51" t="str">
        <f>IFERROR(__xludf.DUMMYFUNCTION("""COMPUTED_VALUE"""),"#VALUE!")</f>
        <v>#VALUE!</v>
      </c>
      <c r="H342" s="51" t="str">
        <f>IFERROR(__xludf.DUMMYFUNCTION("""COMPUTED_VALUE"""),"")</f>
        <v/>
      </c>
      <c r="I342" s="51" t="str">
        <f>IFERROR(__xludf.DUMMYFUNCTION("""COMPUTED_VALUE"""),"#VALUE!")</f>
        <v>#VALUE!</v>
      </c>
      <c r="J342" s="51" t="str">
        <f>IFERROR(__xludf.DUMMYFUNCTION("""COMPUTED_VALUE"""),"")</f>
        <v/>
      </c>
      <c r="K342" s="51"/>
      <c r="L342" s="51" t="s">
        <v>257</v>
      </c>
      <c r="M342" s="51"/>
      <c r="N342" s="51"/>
      <c r="O342" s="51"/>
      <c r="P342" s="51"/>
      <c r="Q342" s="51"/>
      <c r="R342" s="51"/>
      <c r="S342" s="51"/>
      <c r="T342" s="51"/>
    </row>
    <row r="343">
      <c r="A343" s="51"/>
      <c r="B343" s="51"/>
      <c r="C343" s="56"/>
      <c r="D343" s="51"/>
      <c r="E343" s="51"/>
      <c r="F343" s="51"/>
      <c r="G343" s="51" t="str">
        <f>IFERROR(__xludf.DUMMYFUNCTION("""COMPUTED_VALUE"""),"#VALUE!")</f>
        <v>#VALUE!</v>
      </c>
      <c r="H343" s="51" t="str">
        <f>IFERROR(__xludf.DUMMYFUNCTION("""COMPUTED_VALUE"""),"")</f>
        <v/>
      </c>
      <c r="I343" s="51" t="str">
        <f>IFERROR(__xludf.DUMMYFUNCTION("""COMPUTED_VALUE"""),"#VALUE!")</f>
        <v>#VALUE!</v>
      </c>
      <c r="J343" s="51" t="str">
        <f>IFERROR(__xludf.DUMMYFUNCTION("""COMPUTED_VALUE"""),"")</f>
        <v/>
      </c>
      <c r="K343" s="51"/>
      <c r="L343" s="51" t="s">
        <v>257</v>
      </c>
      <c r="M343" s="51"/>
      <c r="N343" s="51"/>
      <c r="O343" s="51"/>
      <c r="P343" s="51"/>
      <c r="Q343" s="51"/>
      <c r="R343" s="51"/>
      <c r="S343" s="51"/>
      <c r="T343" s="51"/>
    </row>
    <row r="344">
      <c r="A344" s="51"/>
      <c r="B344" s="51"/>
      <c r="C344" s="56"/>
      <c r="D344" s="51"/>
      <c r="E344" s="51"/>
      <c r="F344" s="51"/>
      <c r="G344" s="51" t="str">
        <f>IFERROR(__xludf.DUMMYFUNCTION("""COMPUTED_VALUE"""),"#VALUE!")</f>
        <v>#VALUE!</v>
      </c>
      <c r="H344" s="51" t="str">
        <f>IFERROR(__xludf.DUMMYFUNCTION("""COMPUTED_VALUE"""),"")</f>
        <v/>
      </c>
      <c r="I344" s="51" t="str">
        <f>IFERROR(__xludf.DUMMYFUNCTION("""COMPUTED_VALUE"""),"#VALUE!")</f>
        <v>#VALUE!</v>
      </c>
      <c r="J344" s="51" t="str">
        <f>IFERROR(__xludf.DUMMYFUNCTION("""COMPUTED_VALUE"""),"")</f>
        <v/>
      </c>
      <c r="K344" s="51"/>
      <c r="L344" s="51" t="s">
        <v>257</v>
      </c>
      <c r="M344" s="51"/>
      <c r="N344" s="51"/>
      <c r="O344" s="51"/>
      <c r="P344" s="51"/>
      <c r="Q344" s="51"/>
      <c r="R344" s="51"/>
      <c r="S344" s="51"/>
      <c r="T344" s="51"/>
    </row>
    <row r="345">
      <c r="A345" s="51"/>
      <c r="B345" s="51"/>
      <c r="C345" s="56"/>
      <c r="D345" s="51"/>
      <c r="E345" s="51"/>
      <c r="F345" s="51"/>
      <c r="G345" s="51" t="str">
        <f>IFERROR(__xludf.DUMMYFUNCTION("""COMPUTED_VALUE"""),"#VALUE!")</f>
        <v>#VALUE!</v>
      </c>
      <c r="H345" s="51" t="str">
        <f>IFERROR(__xludf.DUMMYFUNCTION("""COMPUTED_VALUE"""),"")</f>
        <v/>
      </c>
      <c r="I345" s="51" t="str">
        <f>IFERROR(__xludf.DUMMYFUNCTION("""COMPUTED_VALUE"""),"#VALUE!")</f>
        <v>#VALUE!</v>
      </c>
      <c r="J345" s="51" t="str">
        <f>IFERROR(__xludf.DUMMYFUNCTION("""COMPUTED_VALUE"""),"")</f>
        <v/>
      </c>
      <c r="K345" s="51"/>
      <c r="L345" s="51" t="s">
        <v>257</v>
      </c>
      <c r="M345" s="51"/>
      <c r="N345" s="51"/>
      <c r="O345" s="51"/>
      <c r="P345" s="51"/>
      <c r="Q345" s="51"/>
      <c r="R345" s="51"/>
      <c r="S345" s="51"/>
      <c r="T345" s="51"/>
    </row>
    <row r="346">
      <c r="A346" s="51"/>
      <c r="B346" s="51"/>
      <c r="C346" s="56"/>
      <c r="D346" s="51"/>
      <c r="E346" s="51"/>
      <c r="F346" s="51"/>
      <c r="G346" s="51" t="str">
        <f>IFERROR(__xludf.DUMMYFUNCTION("""COMPUTED_VALUE"""),"#VALUE!")</f>
        <v>#VALUE!</v>
      </c>
      <c r="H346" s="51" t="str">
        <f>IFERROR(__xludf.DUMMYFUNCTION("""COMPUTED_VALUE"""),"")</f>
        <v/>
      </c>
      <c r="I346" s="51" t="str">
        <f>IFERROR(__xludf.DUMMYFUNCTION("""COMPUTED_VALUE"""),"#VALUE!")</f>
        <v>#VALUE!</v>
      </c>
      <c r="J346" s="51" t="str">
        <f>IFERROR(__xludf.DUMMYFUNCTION("""COMPUTED_VALUE"""),"")</f>
        <v/>
      </c>
      <c r="K346" s="51"/>
      <c r="L346" s="51" t="s">
        <v>257</v>
      </c>
      <c r="M346" s="51"/>
      <c r="N346" s="51"/>
      <c r="O346" s="51"/>
      <c r="P346" s="51"/>
      <c r="Q346" s="51"/>
      <c r="R346" s="51"/>
      <c r="S346" s="51"/>
      <c r="T346" s="51"/>
    </row>
    <row r="347">
      <c r="A347" s="51"/>
      <c r="B347" s="51"/>
      <c r="C347" s="56"/>
      <c r="D347" s="51"/>
      <c r="E347" s="51"/>
      <c r="F347" s="51"/>
      <c r="G347" s="51" t="str">
        <f>IFERROR(__xludf.DUMMYFUNCTION("""COMPUTED_VALUE"""),"#VALUE!")</f>
        <v>#VALUE!</v>
      </c>
      <c r="H347" s="51" t="str">
        <f>IFERROR(__xludf.DUMMYFUNCTION("""COMPUTED_VALUE"""),"")</f>
        <v/>
      </c>
      <c r="I347" s="51" t="str">
        <f>IFERROR(__xludf.DUMMYFUNCTION("""COMPUTED_VALUE"""),"#VALUE!")</f>
        <v>#VALUE!</v>
      </c>
      <c r="J347" s="51" t="str">
        <f>IFERROR(__xludf.DUMMYFUNCTION("""COMPUTED_VALUE"""),"")</f>
        <v/>
      </c>
      <c r="K347" s="51"/>
      <c r="L347" s="51" t="s">
        <v>257</v>
      </c>
      <c r="M347" s="51"/>
      <c r="N347" s="51"/>
      <c r="O347" s="51"/>
      <c r="P347" s="51"/>
      <c r="Q347" s="51"/>
      <c r="R347" s="51"/>
      <c r="S347" s="51"/>
      <c r="T347" s="51"/>
    </row>
    <row r="348">
      <c r="A348" s="51"/>
      <c r="B348" s="51"/>
      <c r="C348" s="56"/>
      <c r="D348" s="51"/>
      <c r="E348" s="51"/>
      <c r="F348" s="51"/>
      <c r="G348" s="51" t="str">
        <f>IFERROR(__xludf.DUMMYFUNCTION("""COMPUTED_VALUE"""),"#VALUE!")</f>
        <v>#VALUE!</v>
      </c>
      <c r="H348" s="51" t="str">
        <f>IFERROR(__xludf.DUMMYFUNCTION("""COMPUTED_VALUE"""),"")</f>
        <v/>
      </c>
      <c r="I348" s="51" t="str">
        <f>IFERROR(__xludf.DUMMYFUNCTION("""COMPUTED_VALUE"""),"#VALUE!")</f>
        <v>#VALUE!</v>
      </c>
      <c r="J348" s="51" t="str">
        <f>IFERROR(__xludf.DUMMYFUNCTION("""COMPUTED_VALUE"""),"")</f>
        <v/>
      </c>
      <c r="K348" s="51"/>
      <c r="L348" s="51" t="s">
        <v>257</v>
      </c>
      <c r="M348" s="51"/>
      <c r="N348" s="51"/>
      <c r="O348" s="51"/>
      <c r="P348" s="51"/>
      <c r="Q348" s="51"/>
      <c r="R348" s="51"/>
      <c r="S348" s="51"/>
      <c r="T348" s="51"/>
    </row>
    <row r="349">
      <c r="A349" s="51"/>
      <c r="B349" s="51"/>
      <c r="C349" s="56"/>
      <c r="D349" s="51"/>
      <c r="E349" s="51"/>
      <c r="F349" s="51"/>
      <c r="G349" s="51" t="str">
        <f>IFERROR(__xludf.DUMMYFUNCTION("""COMPUTED_VALUE"""),"#VALUE!")</f>
        <v>#VALUE!</v>
      </c>
      <c r="H349" s="51" t="str">
        <f>IFERROR(__xludf.DUMMYFUNCTION("""COMPUTED_VALUE"""),"")</f>
        <v/>
      </c>
      <c r="I349" s="51" t="str">
        <f>IFERROR(__xludf.DUMMYFUNCTION("""COMPUTED_VALUE"""),"#VALUE!")</f>
        <v>#VALUE!</v>
      </c>
      <c r="J349" s="51" t="str">
        <f>IFERROR(__xludf.DUMMYFUNCTION("""COMPUTED_VALUE"""),"")</f>
        <v/>
      </c>
      <c r="K349" s="51"/>
      <c r="L349" s="51" t="s">
        <v>257</v>
      </c>
      <c r="M349" s="51"/>
      <c r="N349" s="51"/>
      <c r="O349" s="51"/>
      <c r="P349" s="51"/>
      <c r="Q349" s="51"/>
      <c r="R349" s="51"/>
      <c r="S349" s="51"/>
      <c r="T349" s="51"/>
    </row>
    <row r="350">
      <c r="A350" s="51"/>
      <c r="B350" s="51"/>
      <c r="C350" s="56"/>
      <c r="D350" s="51"/>
      <c r="E350" s="51"/>
      <c r="F350" s="51"/>
      <c r="G350" s="51" t="str">
        <f>IFERROR(__xludf.DUMMYFUNCTION("""COMPUTED_VALUE"""),"#VALUE!")</f>
        <v>#VALUE!</v>
      </c>
      <c r="H350" s="51" t="str">
        <f>IFERROR(__xludf.DUMMYFUNCTION("""COMPUTED_VALUE"""),"")</f>
        <v/>
      </c>
      <c r="I350" s="51" t="str">
        <f>IFERROR(__xludf.DUMMYFUNCTION("""COMPUTED_VALUE"""),"#VALUE!")</f>
        <v>#VALUE!</v>
      </c>
      <c r="J350" s="51" t="str">
        <f>IFERROR(__xludf.DUMMYFUNCTION("""COMPUTED_VALUE"""),"")</f>
        <v/>
      </c>
      <c r="K350" s="51"/>
      <c r="L350" s="51" t="s">
        <v>257</v>
      </c>
      <c r="M350" s="51"/>
      <c r="N350" s="51"/>
      <c r="O350" s="51"/>
      <c r="P350" s="51"/>
      <c r="Q350" s="51"/>
      <c r="R350" s="51"/>
      <c r="S350" s="51"/>
      <c r="T350" s="51"/>
    </row>
    <row r="351">
      <c r="A351" s="51"/>
      <c r="B351" s="51"/>
      <c r="C351" s="56"/>
      <c r="D351" s="51"/>
      <c r="E351" s="51"/>
      <c r="F351" s="51"/>
      <c r="G351" s="51" t="str">
        <f>IFERROR(__xludf.DUMMYFUNCTION("""COMPUTED_VALUE"""),"#VALUE!")</f>
        <v>#VALUE!</v>
      </c>
      <c r="H351" s="51" t="str">
        <f>IFERROR(__xludf.DUMMYFUNCTION("""COMPUTED_VALUE"""),"")</f>
        <v/>
      </c>
      <c r="I351" s="51" t="str">
        <f>IFERROR(__xludf.DUMMYFUNCTION("""COMPUTED_VALUE"""),"#VALUE!")</f>
        <v>#VALUE!</v>
      </c>
      <c r="J351" s="51" t="str">
        <f>IFERROR(__xludf.DUMMYFUNCTION("""COMPUTED_VALUE"""),"")</f>
        <v/>
      </c>
      <c r="K351" s="51"/>
      <c r="L351" s="51" t="s">
        <v>257</v>
      </c>
      <c r="M351" s="51"/>
      <c r="N351" s="51"/>
      <c r="O351" s="51"/>
      <c r="P351" s="51"/>
      <c r="Q351" s="51"/>
      <c r="R351" s="51"/>
      <c r="S351" s="51"/>
      <c r="T351" s="51"/>
    </row>
    <row r="352">
      <c r="A352" s="51"/>
      <c r="B352" s="51"/>
      <c r="C352" s="56"/>
      <c r="D352" s="51"/>
      <c r="E352" s="51"/>
      <c r="F352" s="51"/>
      <c r="G352" s="51" t="str">
        <f>IFERROR(__xludf.DUMMYFUNCTION("""COMPUTED_VALUE"""),"#VALUE!")</f>
        <v>#VALUE!</v>
      </c>
      <c r="H352" s="51" t="str">
        <f>IFERROR(__xludf.DUMMYFUNCTION("""COMPUTED_VALUE"""),"")</f>
        <v/>
      </c>
      <c r="I352" s="51" t="str">
        <f>IFERROR(__xludf.DUMMYFUNCTION("""COMPUTED_VALUE"""),"#VALUE!")</f>
        <v>#VALUE!</v>
      </c>
      <c r="J352" s="51" t="str">
        <f>IFERROR(__xludf.DUMMYFUNCTION("""COMPUTED_VALUE"""),"")</f>
        <v/>
      </c>
      <c r="K352" s="51"/>
      <c r="L352" s="51" t="s">
        <v>257</v>
      </c>
      <c r="M352" s="51"/>
      <c r="N352" s="51"/>
      <c r="O352" s="51"/>
      <c r="P352" s="51"/>
      <c r="Q352" s="51"/>
      <c r="R352" s="51"/>
      <c r="S352" s="51"/>
      <c r="T352" s="51"/>
    </row>
    <row r="353">
      <c r="A353" s="51"/>
      <c r="B353" s="51"/>
      <c r="C353" s="56"/>
      <c r="D353" s="51"/>
      <c r="E353" s="51"/>
      <c r="F353" s="51"/>
      <c r="G353" s="51" t="str">
        <f>IFERROR(__xludf.DUMMYFUNCTION("""COMPUTED_VALUE"""),"#VALUE!")</f>
        <v>#VALUE!</v>
      </c>
      <c r="H353" s="51" t="str">
        <f>IFERROR(__xludf.DUMMYFUNCTION("""COMPUTED_VALUE"""),"")</f>
        <v/>
      </c>
      <c r="I353" s="51" t="str">
        <f>IFERROR(__xludf.DUMMYFUNCTION("""COMPUTED_VALUE"""),"#VALUE!")</f>
        <v>#VALUE!</v>
      </c>
      <c r="J353" s="51" t="str">
        <f>IFERROR(__xludf.DUMMYFUNCTION("""COMPUTED_VALUE"""),"")</f>
        <v/>
      </c>
      <c r="K353" s="51"/>
      <c r="L353" s="51" t="s">
        <v>257</v>
      </c>
      <c r="M353" s="51"/>
      <c r="N353" s="51"/>
      <c r="O353" s="51"/>
      <c r="P353" s="51"/>
      <c r="Q353" s="51"/>
      <c r="R353" s="51"/>
      <c r="S353" s="51"/>
      <c r="T353" s="51"/>
    </row>
    <row r="354">
      <c r="A354" s="51"/>
      <c r="B354" s="51"/>
      <c r="C354" s="56"/>
      <c r="D354" s="51"/>
      <c r="E354" s="51"/>
      <c r="F354" s="51"/>
      <c r="G354" s="51" t="str">
        <f>IFERROR(__xludf.DUMMYFUNCTION("""COMPUTED_VALUE"""),"#VALUE!")</f>
        <v>#VALUE!</v>
      </c>
      <c r="H354" s="51" t="str">
        <f>IFERROR(__xludf.DUMMYFUNCTION("""COMPUTED_VALUE"""),"")</f>
        <v/>
      </c>
      <c r="I354" s="51" t="str">
        <f>IFERROR(__xludf.DUMMYFUNCTION("""COMPUTED_VALUE"""),"#VALUE!")</f>
        <v>#VALUE!</v>
      </c>
      <c r="J354" s="51" t="str">
        <f>IFERROR(__xludf.DUMMYFUNCTION("""COMPUTED_VALUE"""),"")</f>
        <v/>
      </c>
      <c r="K354" s="51"/>
      <c r="L354" s="51" t="s">
        <v>257</v>
      </c>
      <c r="M354" s="51"/>
      <c r="N354" s="51"/>
      <c r="O354" s="51"/>
      <c r="P354" s="51"/>
      <c r="Q354" s="51"/>
      <c r="R354" s="51"/>
      <c r="S354" s="51"/>
      <c r="T354" s="51"/>
    </row>
    <row r="355">
      <c r="A355" s="51"/>
      <c r="B355" s="51"/>
      <c r="C355" s="56"/>
      <c r="D355" s="51"/>
      <c r="E355" s="51"/>
      <c r="F355" s="51"/>
      <c r="G355" s="51" t="str">
        <f>IFERROR(__xludf.DUMMYFUNCTION("""COMPUTED_VALUE"""),"#VALUE!")</f>
        <v>#VALUE!</v>
      </c>
      <c r="H355" s="51" t="str">
        <f>IFERROR(__xludf.DUMMYFUNCTION("""COMPUTED_VALUE"""),"")</f>
        <v/>
      </c>
      <c r="I355" s="51" t="str">
        <f>IFERROR(__xludf.DUMMYFUNCTION("""COMPUTED_VALUE"""),"#VALUE!")</f>
        <v>#VALUE!</v>
      </c>
      <c r="J355" s="51" t="str">
        <f>IFERROR(__xludf.DUMMYFUNCTION("""COMPUTED_VALUE"""),"")</f>
        <v/>
      </c>
      <c r="K355" s="51"/>
      <c r="L355" s="51" t="s">
        <v>257</v>
      </c>
      <c r="M355" s="51"/>
      <c r="N355" s="51"/>
      <c r="O355" s="51"/>
      <c r="P355" s="51"/>
      <c r="Q355" s="51"/>
      <c r="R355" s="51"/>
      <c r="S355" s="51"/>
      <c r="T355" s="51"/>
    </row>
    <row r="356">
      <c r="A356" s="51"/>
      <c r="B356" s="51"/>
      <c r="C356" s="56"/>
      <c r="D356" s="51"/>
      <c r="E356" s="51"/>
      <c r="F356" s="51"/>
      <c r="G356" s="51" t="str">
        <f>IFERROR(__xludf.DUMMYFUNCTION("""COMPUTED_VALUE"""),"#VALUE!")</f>
        <v>#VALUE!</v>
      </c>
      <c r="H356" s="51" t="str">
        <f>IFERROR(__xludf.DUMMYFUNCTION("""COMPUTED_VALUE"""),"")</f>
        <v/>
      </c>
      <c r="I356" s="51" t="str">
        <f>IFERROR(__xludf.DUMMYFUNCTION("""COMPUTED_VALUE"""),"#VALUE!")</f>
        <v>#VALUE!</v>
      </c>
      <c r="J356" s="51" t="str">
        <f>IFERROR(__xludf.DUMMYFUNCTION("""COMPUTED_VALUE"""),"")</f>
        <v/>
      </c>
      <c r="K356" s="51"/>
      <c r="L356" s="51" t="s">
        <v>257</v>
      </c>
      <c r="M356" s="51"/>
      <c r="N356" s="51"/>
      <c r="O356" s="51"/>
      <c r="P356" s="51"/>
      <c r="Q356" s="51"/>
      <c r="R356" s="51"/>
      <c r="S356" s="51"/>
      <c r="T356" s="51"/>
    </row>
    <row r="357">
      <c r="A357" s="51"/>
      <c r="B357" s="51"/>
      <c r="C357" s="56"/>
      <c r="D357" s="51"/>
      <c r="E357" s="51"/>
      <c r="F357" s="51"/>
      <c r="G357" s="51" t="str">
        <f>IFERROR(__xludf.DUMMYFUNCTION("""COMPUTED_VALUE"""),"#VALUE!")</f>
        <v>#VALUE!</v>
      </c>
      <c r="H357" s="51" t="str">
        <f>IFERROR(__xludf.DUMMYFUNCTION("""COMPUTED_VALUE"""),"")</f>
        <v/>
      </c>
      <c r="I357" s="51" t="str">
        <f>IFERROR(__xludf.DUMMYFUNCTION("""COMPUTED_VALUE"""),"#VALUE!")</f>
        <v>#VALUE!</v>
      </c>
      <c r="J357" s="51" t="str">
        <f>IFERROR(__xludf.DUMMYFUNCTION("""COMPUTED_VALUE"""),"")</f>
        <v/>
      </c>
      <c r="K357" s="51"/>
      <c r="L357" s="51" t="s">
        <v>257</v>
      </c>
      <c r="M357" s="51"/>
      <c r="N357" s="51"/>
      <c r="O357" s="51"/>
      <c r="P357" s="51"/>
      <c r="Q357" s="51"/>
      <c r="R357" s="51"/>
      <c r="S357" s="51"/>
      <c r="T357" s="51"/>
    </row>
    <row r="358">
      <c r="A358" s="51"/>
      <c r="B358" s="51"/>
      <c r="C358" s="56"/>
      <c r="D358" s="51"/>
      <c r="E358" s="51"/>
      <c r="F358" s="51"/>
      <c r="G358" s="51" t="str">
        <f>IFERROR(__xludf.DUMMYFUNCTION("""COMPUTED_VALUE"""),"#VALUE!")</f>
        <v>#VALUE!</v>
      </c>
      <c r="H358" s="51" t="str">
        <f>IFERROR(__xludf.DUMMYFUNCTION("""COMPUTED_VALUE"""),"")</f>
        <v/>
      </c>
      <c r="I358" s="51" t="str">
        <f>IFERROR(__xludf.DUMMYFUNCTION("""COMPUTED_VALUE"""),"#VALUE!")</f>
        <v>#VALUE!</v>
      </c>
      <c r="J358" s="51" t="str">
        <f>IFERROR(__xludf.DUMMYFUNCTION("""COMPUTED_VALUE"""),"")</f>
        <v/>
      </c>
      <c r="K358" s="51"/>
      <c r="L358" s="51" t="s">
        <v>257</v>
      </c>
      <c r="M358" s="51"/>
      <c r="N358" s="51"/>
      <c r="O358" s="51"/>
      <c r="P358" s="51"/>
      <c r="Q358" s="51"/>
      <c r="R358" s="51"/>
      <c r="S358" s="51"/>
      <c r="T358" s="51"/>
    </row>
    <row r="359">
      <c r="A359" s="51"/>
      <c r="B359" s="51"/>
      <c r="C359" s="56"/>
      <c r="D359" s="51"/>
      <c r="E359" s="51"/>
      <c r="F359" s="51"/>
      <c r="G359" s="51" t="str">
        <f>IFERROR(__xludf.DUMMYFUNCTION("""COMPUTED_VALUE"""),"#VALUE!")</f>
        <v>#VALUE!</v>
      </c>
      <c r="H359" s="51" t="str">
        <f>IFERROR(__xludf.DUMMYFUNCTION("""COMPUTED_VALUE"""),"")</f>
        <v/>
      </c>
      <c r="I359" s="51" t="str">
        <f>IFERROR(__xludf.DUMMYFUNCTION("""COMPUTED_VALUE"""),"#VALUE!")</f>
        <v>#VALUE!</v>
      </c>
      <c r="J359" s="51" t="str">
        <f>IFERROR(__xludf.DUMMYFUNCTION("""COMPUTED_VALUE"""),"")</f>
        <v/>
      </c>
      <c r="K359" s="51"/>
      <c r="L359" s="51" t="s">
        <v>257</v>
      </c>
      <c r="M359" s="51"/>
      <c r="N359" s="51"/>
      <c r="O359" s="51"/>
      <c r="P359" s="51"/>
      <c r="Q359" s="51"/>
      <c r="R359" s="51"/>
      <c r="S359" s="51"/>
      <c r="T359" s="51"/>
    </row>
    <row r="360">
      <c r="A360" s="51"/>
      <c r="B360" s="51"/>
      <c r="C360" s="56"/>
      <c r="D360" s="51"/>
      <c r="E360" s="51"/>
      <c r="F360" s="51"/>
      <c r="G360" s="51" t="str">
        <f>IFERROR(__xludf.DUMMYFUNCTION("""COMPUTED_VALUE"""),"#VALUE!")</f>
        <v>#VALUE!</v>
      </c>
      <c r="H360" s="51" t="str">
        <f>IFERROR(__xludf.DUMMYFUNCTION("""COMPUTED_VALUE"""),"")</f>
        <v/>
      </c>
      <c r="I360" s="51" t="str">
        <f>IFERROR(__xludf.DUMMYFUNCTION("""COMPUTED_VALUE"""),"#VALUE!")</f>
        <v>#VALUE!</v>
      </c>
      <c r="J360" s="51" t="str">
        <f>IFERROR(__xludf.DUMMYFUNCTION("""COMPUTED_VALUE"""),"")</f>
        <v/>
      </c>
      <c r="K360" s="51"/>
      <c r="L360" s="51" t="s">
        <v>257</v>
      </c>
      <c r="M360" s="51"/>
      <c r="N360" s="51"/>
      <c r="O360" s="51"/>
      <c r="P360" s="51"/>
      <c r="Q360" s="51"/>
      <c r="R360" s="51"/>
      <c r="S360" s="51"/>
      <c r="T360" s="51"/>
    </row>
    <row r="361">
      <c r="A361" s="51"/>
      <c r="B361" s="51"/>
      <c r="C361" s="56"/>
      <c r="D361" s="51"/>
      <c r="E361" s="51"/>
      <c r="F361" s="51"/>
      <c r="G361" s="51" t="str">
        <f>IFERROR(__xludf.DUMMYFUNCTION("""COMPUTED_VALUE"""),"#VALUE!")</f>
        <v>#VALUE!</v>
      </c>
      <c r="H361" s="51" t="str">
        <f>IFERROR(__xludf.DUMMYFUNCTION("""COMPUTED_VALUE"""),"")</f>
        <v/>
      </c>
      <c r="I361" s="51" t="str">
        <f>IFERROR(__xludf.DUMMYFUNCTION("""COMPUTED_VALUE"""),"#VALUE!")</f>
        <v>#VALUE!</v>
      </c>
      <c r="J361" s="51" t="str">
        <f>IFERROR(__xludf.DUMMYFUNCTION("""COMPUTED_VALUE"""),"")</f>
        <v/>
      </c>
      <c r="K361" s="51"/>
      <c r="L361" s="51" t="s">
        <v>257</v>
      </c>
      <c r="M361" s="51"/>
      <c r="N361" s="51"/>
      <c r="O361" s="51"/>
      <c r="P361" s="51"/>
      <c r="Q361" s="51"/>
      <c r="R361" s="51"/>
      <c r="S361" s="51"/>
      <c r="T361" s="51"/>
    </row>
    <row r="362">
      <c r="A362" s="51"/>
      <c r="B362" s="51"/>
      <c r="C362" s="56"/>
      <c r="D362" s="51"/>
      <c r="E362" s="51"/>
      <c r="F362" s="51"/>
      <c r="G362" s="51" t="str">
        <f>IFERROR(__xludf.DUMMYFUNCTION("""COMPUTED_VALUE"""),"#VALUE!")</f>
        <v>#VALUE!</v>
      </c>
      <c r="H362" s="51" t="str">
        <f>IFERROR(__xludf.DUMMYFUNCTION("""COMPUTED_VALUE"""),"")</f>
        <v/>
      </c>
      <c r="I362" s="51" t="str">
        <f>IFERROR(__xludf.DUMMYFUNCTION("""COMPUTED_VALUE"""),"#VALUE!")</f>
        <v>#VALUE!</v>
      </c>
      <c r="J362" s="51" t="str">
        <f>IFERROR(__xludf.DUMMYFUNCTION("""COMPUTED_VALUE"""),"")</f>
        <v/>
      </c>
      <c r="K362" s="51"/>
      <c r="L362" s="51" t="s">
        <v>257</v>
      </c>
      <c r="M362" s="51"/>
      <c r="N362" s="51"/>
      <c r="O362" s="51"/>
      <c r="P362" s="51"/>
      <c r="Q362" s="51"/>
      <c r="R362" s="51"/>
      <c r="S362" s="51"/>
      <c r="T362" s="51"/>
    </row>
    <row r="363">
      <c r="A363" s="51"/>
      <c r="B363" s="51"/>
      <c r="C363" s="56"/>
      <c r="D363" s="51"/>
      <c r="E363" s="51"/>
      <c r="F363" s="51"/>
      <c r="G363" s="51" t="str">
        <f>IFERROR(__xludf.DUMMYFUNCTION("""COMPUTED_VALUE"""),"#VALUE!")</f>
        <v>#VALUE!</v>
      </c>
      <c r="H363" s="51" t="str">
        <f>IFERROR(__xludf.DUMMYFUNCTION("""COMPUTED_VALUE"""),"")</f>
        <v/>
      </c>
      <c r="I363" s="51" t="str">
        <f>IFERROR(__xludf.DUMMYFUNCTION("""COMPUTED_VALUE"""),"#VALUE!")</f>
        <v>#VALUE!</v>
      </c>
      <c r="J363" s="51" t="str">
        <f>IFERROR(__xludf.DUMMYFUNCTION("""COMPUTED_VALUE"""),"")</f>
        <v/>
      </c>
      <c r="K363" s="51"/>
      <c r="L363" s="51" t="s">
        <v>257</v>
      </c>
      <c r="M363" s="51"/>
      <c r="N363" s="51"/>
      <c r="O363" s="51"/>
      <c r="P363" s="51"/>
      <c r="Q363" s="51"/>
      <c r="R363" s="51"/>
      <c r="S363" s="51"/>
      <c r="T363" s="51"/>
    </row>
    <row r="364">
      <c r="A364" s="51"/>
      <c r="B364" s="51"/>
      <c r="C364" s="56"/>
      <c r="D364" s="51"/>
      <c r="E364" s="51"/>
      <c r="F364" s="51"/>
      <c r="G364" s="51" t="str">
        <f>IFERROR(__xludf.DUMMYFUNCTION("""COMPUTED_VALUE"""),"#VALUE!")</f>
        <v>#VALUE!</v>
      </c>
      <c r="H364" s="51" t="str">
        <f>IFERROR(__xludf.DUMMYFUNCTION("""COMPUTED_VALUE"""),"")</f>
        <v/>
      </c>
      <c r="I364" s="51" t="str">
        <f>IFERROR(__xludf.DUMMYFUNCTION("""COMPUTED_VALUE"""),"#VALUE!")</f>
        <v>#VALUE!</v>
      </c>
      <c r="J364" s="51" t="str">
        <f>IFERROR(__xludf.DUMMYFUNCTION("""COMPUTED_VALUE"""),"")</f>
        <v/>
      </c>
      <c r="K364" s="51"/>
      <c r="L364" s="51" t="s">
        <v>257</v>
      </c>
      <c r="M364" s="51"/>
      <c r="N364" s="51"/>
      <c r="O364" s="51"/>
      <c r="P364" s="51"/>
      <c r="Q364" s="51"/>
      <c r="R364" s="51"/>
      <c r="S364" s="51"/>
      <c r="T364" s="51"/>
    </row>
    <row r="365">
      <c r="A365" s="51"/>
      <c r="B365" s="51"/>
      <c r="C365" s="56"/>
      <c r="D365" s="51"/>
      <c r="E365" s="51"/>
      <c r="F365" s="51"/>
      <c r="G365" s="51" t="str">
        <f>IFERROR(__xludf.DUMMYFUNCTION("""COMPUTED_VALUE"""),"#VALUE!")</f>
        <v>#VALUE!</v>
      </c>
      <c r="H365" s="51" t="str">
        <f>IFERROR(__xludf.DUMMYFUNCTION("""COMPUTED_VALUE"""),"")</f>
        <v/>
      </c>
      <c r="I365" s="51" t="str">
        <f>IFERROR(__xludf.DUMMYFUNCTION("""COMPUTED_VALUE"""),"#VALUE!")</f>
        <v>#VALUE!</v>
      </c>
      <c r="J365" s="51" t="str">
        <f>IFERROR(__xludf.DUMMYFUNCTION("""COMPUTED_VALUE"""),"")</f>
        <v/>
      </c>
      <c r="K365" s="51"/>
      <c r="L365" s="51" t="s">
        <v>257</v>
      </c>
      <c r="M365" s="51"/>
      <c r="N365" s="51"/>
      <c r="O365" s="51"/>
      <c r="P365" s="51"/>
      <c r="Q365" s="51"/>
      <c r="R365" s="51"/>
      <c r="S365" s="51"/>
      <c r="T365" s="51"/>
    </row>
    <row r="366">
      <c r="A366" s="51"/>
      <c r="B366" s="51"/>
      <c r="C366" s="56"/>
      <c r="D366" s="51"/>
      <c r="E366" s="51"/>
      <c r="F366" s="51"/>
      <c r="G366" s="51" t="str">
        <f>IFERROR(__xludf.DUMMYFUNCTION("""COMPUTED_VALUE"""),"#VALUE!")</f>
        <v>#VALUE!</v>
      </c>
      <c r="H366" s="51" t="str">
        <f>IFERROR(__xludf.DUMMYFUNCTION("""COMPUTED_VALUE"""),"")</f>
        <v/>
      </c>
      <c r="I366" s="51" t="str">
        <f>IFERROR(__xludf.DUMMYFUNCTION("""COMPUTED_VALUE"""),"#VALUE!")</f>
        <v>#VALUE!</v>
      </c>
      <c r="J366" s="51" t="str">
        <f>IFERROR(__xludf.DUMMYFUNCTION("""COMPUTED_VALUE"""),"")</f>
        <v/>
      </c>
      <c r="K366" s="51"/>
      <c r="L366" s="51" t="s">
        <v>257</v>
      </c>
      <c r="M366" s="51"/>
      <c r="N366" s="51"/>
      <c r="O366" s="51"/>
      <c r="P366" s="51"/>
      <c r="Q366" s="51"/>
      <c r="R366" s="51"/>
      <c r="S366" s="51"/>
      <c r="T366" s="51"/>
    </row>
    <row r="367">
      <c r="A367" s="51"/>
      <c r="B367" s="51"/>
      <c r="C367" s="56"/>
      <c r="D367" s="51"/>
      <c r="E367" s="51"/>
      <c r="F367" s="51"/>
      <c r="G367" s="51" t="str">
        <f>IFERROR(__xludf.DUMMYFUNCTION("""COMPUTED_VALUE"""),"#VALUE!")</f>
        <v>#VALUE!</v>
      </c>
      <c r="H367" s="51" t="str">
        <f>IFERROR(__xludf.DUMMYFUNCTION("""COMPUTED_VALUE"""),"")</f>
        <v/>
      </c>
      <c r="I367" s="51" t="str">
        <f>IFERROR(__xludf.DUMMYFUNCTION("""COMPUTED_VALUE"""),"#VALUE!")</f>
        <v>#VALUE!</v>
      </c>
      <c r="J367" s="51" t="str">
        <f>IFERROR(__xludf.DUMMYFUNCTION("""COMPUTED_VALUE"""),"")</f>
        <v/>
      </c>
      <c r="K367" s="51"/>
      <c r="L367" s="51" t="s">
        <v>257</v>
      </c>
      <c r="M367" s="51"/>
      <c r="N367" s="51"/>
      <c r="O367" s="51"/>
      <c r="P367" s="51"/>
      <c r="Q367" s="51"/>
      <c r="R367" s="51"/>
      <c r="S367" s="51"/>
      <c r="T367" s="51"/>
    </row>
    <row r="368">
      <c r="A368" s="51"/>
      <c r="B368" s="51"/>
      <c r="C368" s="56"/>
      <c r="D368" s="51"/>
      <c r="E368" s="51"/>
      <c r="F368" s="51"/>
      <c r="G368" s="51" t="str">
        <f>IFERROR(__xludf.DUMMYFUNCTION("""COMPUTED_VALUE"""),"#VALUE!")</f>
        <v>#VALUE!</v>
      </c>
      <c r="H368" s="51" t="str">
        <f>IFERROR(__xludf.DUMMYFUNCTION("""COMPUTED_VALUE"""),"")</f>
        <v/>
      </c>
      <c r="I368" s="51" t="str">
        <f>IFERROR(__xludf.DUMMYFUNCTION("""COMPUTED_VALUE"""),"#VALUE!")</f>
        <v>#VALUE!</v>
      </c>
      <c r="J368" s="51" t="str">
        <f>IFERROR(__xludf.DUMMYFUNCTION("""COMPUTED_VALUE"""),"")</f>
        <v/>
      </c>
      <c r="K368" s="51"/>
      <c r="L368" s="51" t="s">
        <v>257</v>
      </c>
      <c r="M368" s="51"/>
      <c r="N368" s="51"/>
      <c r="O368" s="51"/>
      <c r="P368" s="51"/>
      <c r="Q368" s="51"/>
      <c r="R368" s="51"/>
      <c r="S368" s="51"/>
      <c r="T368" s="51"/>
    </row>
    <row r="369">
      <c r="A369" s="51"/>
      <c r="B369" s="51"/>
      <c r="C369" s="56"/>
      <c r="D369" s="51"/>
      <c r="E369" s="51"/>
      <c r="F369" s="51"/>
      <c r="G369" s="51" t="str">
        <f>IFERROR(__xludf.DUMMYFUNCTION("""COMPUTED_VALUE"""),"#VALUE!")</f>
        <v>#VALUE!</v>
      </c>
      <c r="H369" s="51" t="str">
        <f>IFERROR(__xludf.DUMMYFUNCTION("""COMPUTED_VALUE"""),"")</f>
        <v/>
      </c>
      <c r="I369" s="51" t="str">
        <f>IFERROR(__xludf.DUMMYFUNCTION("""COMPUTED_VALUE"""),"#VALUE!")</f>
        <v>#VALUE!</v>
      </c>
      <c r="J369" s="51" t="str">
        <f>IFERROR(__xludf.DUMMYFUNCTION("""COMPUTED_VALUE"""),"")</f>
        <v/>
      </c>
      <c r="K369" s="51"/>
      <c r="L369" s="51" t="s">
        <v>257</v>
      </c>
      <c r="M369" s="51"/>
      <c r="N369" s="51"/>
      <c r="O369" s="51"/>
      <c r="P369" s="51"/>
      <c r="Q369" s="51"/>
      <c r="R369" s="51"/>
      <c r="S369" s="51"/>
      <c r="T369" s="51"/>
    </row>
    <row r="370">
      <c r="A370" s="51"/>
      <c r="B370" s="51"/>
      <c r="C370" s="56"/>
      <c r="D370" s="51"/>
      <c r="E370" s="51"/>
      <c r="F370" s="51"/>
      <c r="G370" s="51" t="str">
        <f>IFERROR(__xludf.DUMMYFUNCTION("""COMPUTED_VALUE"""),"#VALUE!")</f>
        <v>#VALUE!</v>
      </c>
      <c r="H370" s="51" t="str">
        <f>IFERROR(__xludf.DUMMYFUNCTION("""COMPUTED_VALUE"""),"")</f>
        <v/>
      </c>
      <c r="I370" s="51" t="str">
        <f>IFERROR(__xludf.DUMMYFUNCTION("""COMPUTED_VALUE"""),"#VALUE!")</f>
        <v>#VALUE!</v>
      </c>
      <c r="J370" s="51" t="str">
        <f>IFERROR(__xludf.DUMMYFUNCTION("""COMPUTED_VALUE"""),"")</f>
        <v/>
      </c>
      <c r="K370" s="51"/>
      <c r="L370" s="51" t="s">
        <v>257</v>
      </c>
      <c r="M370" s="51"/>
      <c r="N370" s="51"/>
      <c r="O370" s="51"/>
      <c r="P370" s="51"/>
      <c r="Q370" s="51"/>
      <c r="R370" s="51"/>
      <c r="S370" s="51"/>
      <c r="T370" s="51"/>
    </row>
    <row r="371">
      <c r="A371" s="51"/>
      <c r="B371" s="51"/>
      <c r="C371" s="56"/>
      <c r="D371" s="51"/>
      <c r="E371" s="51"/>
      <c r="F371" s="51"/>
      <c r="G371" s="51" t="str">
        <f>IFERROR(__xludf.DUMMYFUNCTION("""COMPUTED_VALUE"""),"#VALUE!")</f>
        <v>#VALUE!</v>
      </c>
      <c r="H371" s="51" t="str">
        <f>IFERROR(__xludf.DUMMYFUNCTION("""COMPUTED_VALUE"""),"")</f>
        <v/>
      </c>
      <c r="I371" s="51" t="str">
        <f>IFERROR(__xludf.DUMMYFUNCTION("""COMPUTED_VALUE"""),"#VALUE!")</f>
        <v>#VALUE!</v>
      </c>
      <c r="J371" s="51" t="str">
        <f>IFERROR(__xludf.DUMMYFUNCTION("""COMPUTED_VALUE"""),"")</f>
        <v/>
      </c>
      <c r="K371" s="51"/>
      <c r="L371" s="51" t="s">
        <v>257</v>
      </c>
      <c r="M371" s="51"/>
      <c r="N371" s="51"/>
      <c r="O371" s="51"/>
      <c r="P371" s="51"/>
      <c r="Q371" s="51"/>
      <c r="R371" s="51"/>
      <c r="S371" s="51"/>
      <c r="T371" s="51"/>
    </row>
    <row r="372">
      <c r="A372" s="51"/>
      <c r="B372" s="51"/>
      <c r="C372" s="56"/>
      <c r="D372" s="51"/>
      <c r="E372" s="51"/>
      <c r="F372" s="51"/>
      <c r="G372" s="51" t="str">
        <f>IFERROR(__xludf.DUMMYFUNCTION("""COMPUTED_VALUE"""),"#VALUE!")</f>
        <v>#VALUE!</v>
      </c>
      <c r="H372" s="51" t="str">
        <f>IFERROR(__xludf.DUMMYFUNCTION("""COMPUTED_VALUE"""),"")</f>
        <v/>
      </c>
      <c r="I372" s="51" t="str">
        <f>IFERROR(__xludf.DUMMYFUNCTION("""COMPUTED_VALUE"""),"#VALUE!")</f>
        <v>#VALUE!</v>
      </c>
      <c r="J372" s="51" t="str">
        <f>IFERROR(__xludf.DUMMYFUNCTION("""COMPUTED_VALUE"""),"")</f>
        <v/>
      </c>
      <c r="K372" s="51"/>
      <c r="L372" s="51" t="s">
        <v>257</v>
      </c>
      <c r="M372" s="51"/>
      <c r="N372" s="51"/>
      <c r="O372" s="51"/>
      <c r="P372" s="51"/>
      <c r="Q372" s="51"/>
      <c r="R372" s="51"/>
      <c r="S372" s="51"/>
      <c r="T372" s="51"/>
    </row>
    <row r="373">
      <c r="A373" s="51"/>
      <c r="B373" s="51"/>
      <c r="C373" s="56"/>
      <c r="D373" s="51"/>
      <c r="E373" s="51"/>
      <c r="F373" s="51"/>
      <c r="G373" s="51" t="str">
        <f>IFERROR(__xludf.DUMMYFUNCTION("""COMPUTED_VALUE"""),"#VALUE!")</f>
        <v>#VALUE!</v>
      </c>
      <c r="H373" s="51" t="str">
        <f>IFERROR(__xludf.DUMMYFUNCTION("""COMPUTED_VALUE"""),"")</f>
        <v/>
      </c>
      <c r="I373" s="51" t="str">
        <f>IFERROR(__xludf.DUMMYFUNCTION("""COMPUTED_VALUE"""),"#VALUE!")</f>
        <v>#VALUE!</v>
      </c>
      <c r="J373" s="51" t="str">
        <f>IFERROR(__xludf.DUMMYFUNCTION("""COMPUTED_VALUE"""),"")</f>
        <v/>
      </c>
      <c r="K373" s="51"/>
      <c r="L373" s="51" t="s">
        <v>257</v>
      </c>
      <c r="M373" s="51"/>
      <c r="N373" s="51"/>
      <c r="O373" s="51"/>
      <c r="P373" s="51"/>
      <c r="Q373" s="51"/>
      <c r="R373" s="51"/>
      <c r="S373" s="51"/>
      <c r="T373" s="51"/>
    </row>
    <row r="374">
      <c r="A374" s="51"/>
      <c r="B374" s="51"/>
      <c r="C374" s="56"/>
      <c r="D374" s="51"/>
      <c r="E374" s="51"/>
      <c r="F374" s="51"/>
      <c r="G374" s="51" t="str">
        <f>IFERROR(__xludf.DUMMYFUNCTION("""COMPUTED_VALUE"""),"#VALUE!")</f>
        <v>#VALUE!</v>
      </c>
      <c r="H374" s="51" t="str">
        <f>IFERROR(__xludf.DUMMYFUNCTION("""COMPUTED_VALUE"""),"")</f>
        <v/>
      </c>
      <c r="I374" s="51" t="str">
        <f>IFERROR(__xludf.DUMMYFUNCTION("""COMPUTED_VALUE"""),"#VALUE!")</f>
        <v>#VALUE!</v>
      </c>
      <c r="J374" s="51" t="str">
        <f>IFERROR(__xludf.DUMMYFUNCTION("""COMPUTED_VALUE"""),"")</f>
        <v/>
      </c>
      <c r="K374" s="51"/>
      <c r="L374" s="51" t="s">
        <v>257</v>
      </c>
      <c r="M374" s="51"/>
      <c r="N374" s="51"/>
      <c r="O374" s="51"/>
      <c r="P374" s="51"/>
      <c r="Q374" s="51"/>
      <c r="R374" s="51"/>
      <c r="S374" s="51"/>
      <c r="T374" s="51"/>
    </row>
    <row r="375">
      <c r="A375" s="51"/>
      <c r="B375" s="51"/>
      <c r="C375" s="56"/>
      <c r="D375" s="51"/>
      <c r="E375" s="51"/>
      <c r="F375" s="51"/>
      <c r="G375" s="51" t="str">
        <f>IFERROR(__xludf.DUMMYFUNCTION("""COMPUTED_VALUE"""),"#VALUE!")</f>
        <v>#VALUE!</v>
      </c>
      <c r="H375" s="51" t="str">
        <f>IFERROR(__xludf.DUMMYFUNCTION("""COMPUTED_VALUE"""),"")</f>
        <v/>
      </c>
      <c r="I375" s="51" t="str">
        <f>IFERROR(__xludf.DUMMYFUNCTION("""COMPUTED_VALUE"""),"#VALUE!")</f>
        <v>#VALUE!</v>
      </c>
      <c r="J375" s="51" t="str">
        <f>IFERROR(__xludf.DUMMYFUNCTION("""COMPUTED_VALUE"""),"")</f>
        <v/>
      </c>
      <c r="K375" s="51"/>
      <c r="L375" s="51" t="s">
        <v>257</v>
      </c>
      <c r="M375" s="51"/>
      <c r="N375" s="51"/>
      <c r="O375" s="51"/>
      <c r="P375" s="51"/>
      <c r="Q375" s="51"/>
      <c r="R375" s="51"/>
      <c r="S375" s="51"/>
      <c r="T375" s="51"/>
    </row>
    <row r="376">
      <c r="A376" s="51"/>
      <c r="B376" s="51"/>
      <c r="C376" s="56"/>
      <c r="D376" s="51"/>
      <c r="E376" s="51"/>
      <c r="F376" s="51"/>
      <c r="G376" s="51" t="str">
        <f>IFERROR(__xludf.DUMMYFUNCTION("""COMPUTED_VALUE"""),"#VALUE!")</f>
        <v>#VALUE!</v>
      </c>
      <c r="H376" s="51" t="str">
        <f>IFERROR(__xludf.DUMMYFUNCTION("""COMPUTED_VALUE"""),"")</f>
        <v/>
      </c>
      <c r="I376" s="51" t="str">
        <f>IFERROR(__xludf.DUMMYFUNCTION("""COMPUTED_VALUE"""),"#VALUE!")</f>
        <v>#VALUE!</v>
      </c>
      <c r="J376" s="51" t="str">
        <f>IFERROR(__xludf.DUMMYFUNCTION("""COMPUTED_VALUE"""),"")</f>
        <v/>
      </c>
      <c r="K376" s="51"/>
      <c r="L376" s="51" t="s">
        <v>257</v>
      </c>
      <c r="M376" s="51"/>
      <c r="N376" s="51"/>
      <c r="O376" s="51"/>
      <c r="P376" s="51"/>
      <c r="Q376" s="51"/>
      <c r="R376" s="51"/>
      <c r="S376" s="51"/>
      <c r="T376" s="51"/>
    </row>
    <row r="377">
      <c r="A377" s="51"/>
      <c r="B377" s="51"/>
      <c r="C377" s="56"/>
      <c r="D377" s="51"/>
      <c r="E377" s="51"/>
      <c r="F377" s="51"/>
      <c r="G377" s="51" t="str">
        <f>IFERROR(__xludf.DUMMYFUNCTION("""COMPUTED_VALUE"""),"#VALUE!")</f>
        <v>#VALUE!</v>
      </c>
      <c r="H377" s="51" t="str">
        <f>IFERROR(__xludf.DUMMYFUNCTION("""COMPUTED_VALUE"""),"")</f>
        <v/>
      </c>
      <c r="I377" s="51" t="str">
        <f>IFERROR(__xludf.DUMMYFUNCTION("""COMPUTED_VALUE"""),"#VALUE!")</f>
        <v>#VALUE!</v>
      </c>
      <c r="J377" s="51" t="str">
        <f>IFERROR(__xludf.DUMMYFUNCTION("""COMPUTED_VALUE"""),"")</f>
        <v/>
      </c>
      <c r="K377" s="51"/>
      <c r="L377" s="51" t="s">
        <v>257</v>
      </c>
      <c r="M377" s="51"/>
      <c r="N377" s="51"/>
      <c r="O377" s="51"/>
      <c r="P377" s="51"/>
      <c r="Q377" s="51"/>
      <c r="R377" s="51"/>
      <c r="S377" s="51"/>
      <c r="T377" s="51"/>
    </row>
    <row r="378">
      <c r="A378" s="51"/>
      <c r="B378" s="51"/>
      <c r="C378" s="56"/>
      <c r="D378" s="51"/>
      <c r="E378" s="51"/>
      <c r="F378" s="51"/>
      <c r="G378" s="51" t="str">
        <f>IFERROR(__xludf.DUMMYFUNCTION("""COMPUTED_VALUE"""),"#VALUE!")</f>
        <v>#VALUE!</v>
      </c>
      <c r="H378" s="51" t="str">
        <f>IFERROR(__xludf.DUMMYFUNCTION("""COMPUTED_VALUE"""),"")</f>
        <v/>
      </c>
      <c r="I378" s="51" t="str">
        <f>IFERROR(__xludf.DUMMYFUNCTION("""COMPUTED_VALUE"""),"#VALUE!")</f>
        <v>#VALUE!</v>
      </c>
      <c r="J378" s="51" t="str">
        <f>IFERROR(__xludf.DUMMYFUNCTION("""COMPUTED_VALUE"""),"")</f>
        <v/>
      </c>
      <c r="K378" s="51"/>
      <c r="L378" s="51" t="s">
        <v>257</v>
      </c>
      <c r="M378" s="51"/>
      <c r="N378" s="51"/>
      <c r="O378" s="51"/>
      <c r="P378" s="51"/>
      <c r="Q378" s="51"/>
      <c r="R378" s="51"/>
      <c r="S378" s="51"/>
      <c r="T378" s="51"/>
    </row>
    <row r="379">
      <c r="A379" s="51"/>
      <c r="B379" s="51"/>
      <c r="C379" s="56"/>
      <c r="D379" s="51"/>
      <c r="E379" s="51"/>
      <c r="F379" s="51"/>
      <c r="G379" s="51" t="str">
        <f>IFERROR(__xludf.DUMMYFUNCTION("""COMPUTED_VALUE"""),"#VALUE!")</f>
        <v>#VALUE!</v>
      </c>
      <c r="H379" s="51" t="str">
        <f>IFERROR(__xludf.DUMMYFUNCTION("""COMPUTED_VALUE"""),"")</f>
        <v/>
      </c>
      <c r="I379" s="51" t="str">
        <f>IFERROR(__xludf.DUMMYFUNCTION("""COMPUTED_VALUE"""),"#VALUE!")</f>
        <v>#VALUE!</v>
      </c>
      <c r="J379" s="51" t="str">
        <f>IFERROR(__xludf.DUMMYFUNCTION("""COMPUTED_VALUE"""),"")</f>
        <v/>
      </c>
      <c r="K379" s="51"/>
      <c r="L379" s="51" t="s">
        <v>257</v>
      </c>
      <c r="M379" s="51"/>
      <c r="N379" s="51"/>
      <c r="O379" s="51"/>
      <c r="P379" s="51"/>
      <c r="Q379" s="51"/>
      <c r="R379" s="51"/>
      <c r="S379" s="51"/>
      <c r="T379" s="51"/>
    </row>
    <row r="380">
      <c r="A380" s="51"/>
      <c r="B380" s="51"/>
      <c r="C380" s="56"/>
      <c r="D380" s="51"/>
      <c r="E380" s="51"/>
      <c r="F380" s="51"/>
      <c r="G380" s="51" t="str">
        <f>IFERROR(__xludf.DUMMYFUNCTION("""COMPUTED_VALUE"""),"#VALUE!")</f>
        <v>#VALUE!</v>
      </c>
      <c r="H380" s="51" t="str">
        <f>IFERROR(__xludf.DUMMYFUNCTION("""COMPUTED_VALUE"""),"")</f>
        <v/>
      </c>
      <c r="I380" s="51" t="str">
        <f>IFERROR(__xludf.DUMMYFUNCTION("""COMPUTED_VALUE"""),"#VALUE!")</f>
        <v>#VALUE!</v>
      </c>
      <c r="J380" s="51" t="str">
        <f>IFERROR(__xludf.DUMMYFUNCTION("""COMPUTED_VALUE"""),"")</f>
        <v/>
      </c>
      <c r="K380" s="51"/>
      <c r="L380" s="51" t="s">
        <v>257</v>
      </c>
      <c r="M380" s="51"/>
      <c r="N380" s="51"/>
      <c r="O380" s="51"/>
      <c r="P380" s="51"/>
      <c r="Q380" s="51"/>
      <c r="R380" s="51"/>
      <c r="S380" s="51"/>
      <c r="T380" s="51"/>
    </row>
    <row r="381">
      <c r="A381" s="51"/>
      <c r="B381" s="51"/>
      <c r="C381" s="56"/>
      <c r="D381" s="51"/>
      <c r="E381" s="51"/>
      <c r="F381" s="51"/>
      <c r="G381" s="51" t="str">
        <f>IFERROR(__xludf.DUMMYFUNCTION("""COMPUTED_VALUE"""),"#VALUE!")</f>
        <v>#VALUE!</v>
      </c>
      <c r="H381" s="51" t="str">
        <f>IFERROR(__xludf.DUMMYFUNCTION("""COMPUTED_VALUE"""),"")</f>
        <v/>
      </c>
      <c r="I381" s="51" t="str">
        <f>IFERROR(__xludf.DUMMYFUNCTION("""COMPUTED_VALUE"""),"#VALUE!")</f>
        <v>#VALUE!</v>
      </c>
      <c r="J381" s="51" t="str">
        <f>IFERROR(__xludf.DUMMYFUNCTION("""COMPUTED_VALUE"""),"")</f>
        <v/>
      </c>
      <c r="K381" s="51"/>
      <c r="L381" s="51" t="s">
        <v>257</v>
      </c>
      <c r="M381" s="51"/>
      <c r="N381" s="51"/>
      <c r="O381" s="51"/>
      <c r="P381" s="51"/>
      <c r="Q381" s="51"/>
      <c r="R381" s="51"/>
      <c r="S381" s="51"/>
      <c r="T381" s="51"/>
    </row>
    <row r="382">
      <c r="A382" s="51"/>
      <c r="B382" s="51"/>
      <c r="C382" s="56"/>
      <c r="D382" s="51"/>
      <c r="E382" s="51"/>
      <c r="F382" s="51"/>
      <c r="G382" s="51" t="str">
        <f>IFERROR(__xludf.DUMMYFUNCTION("""COMPUTED_VALUE"""),"#VALUE!")</f>
        <v>#VALUE!</v>
      </c>
      <c r="H382" s="51" t="str">
        <f>IFERROR(__xludf.DUMMYFUNCTION("""COMPUTED_VALUE"""),"")</f>
        <v/>
      </c>
      <c r="I382" s="51" t="str">
        <f>IFERROR(__xludf.DUMMYFUNCTION("""COMPUTED_VALUE"""),"#VALUE!")</f>
        <v>#VALUE!</v>
      </c>
      <c r="J382" s="51" t="str">
        <f>IFERROR(__xludf.DUMMYFUNCTION("""COMPUTED_VALUE"""),"")</f>
        <v/>
      </c>
      <c r="K382" s="51"/>
      <c r="L382" s="51" t="s">
        <v>257</v>
      </c>
      <c r="M382" s="51"/>
      <c r="N382" s="51"/>
      <c r="O382" s="51"/>
      <c r="P382" s="51"/>
      <c r="Q382" s="51"/>
      <c r="R382" s="51"/>
      <c r="S382" s="51"/>
      <c r="T382" s="51"/>
    </row>
    <row r="383">
      <c r="A383" s="51"/>
      <c r="B383" s="51"/>
      <c r="C383" s="56"/>
      <c r="D383" s="51"/>
      <c r="E383" s="51"/>
      <c r="F383" s="51"/>
      <c r="G383" s="51" t="str">
        <f>IFERROR(__xludf.DUMMYFUNCTION("""COMPUTED_VALUE"""),"#VALUE!")</f>
        <v>#VALUE!</v>
      </c>
      <c r="H383" s="51" t="str">
        <f>IFERROR(__xludf.DUMMYFUNCTION("""COMPUTED_VALUE"""),"")</f>
        <v/>
      </c>
      <c r="I383" s="51" t="str">
        <f>IFERROR(__xludf.DUMMYFUNCTION("""COMPUTED_VALUE"""),"#VALUE!")</f>
        <v>#VALUE!</v>
      </c>
      <c r="J383" s="51" t="str">
        <f>IFERROR(__xludf.DUMMYFUNCTION("""COMPUTED_VALUE"""),"")</f>
        <v/>
      </c>
      <c r="K383" s="51"/>
      <c r="L383" s="51" t="s">
        <v>257</v>
      </c>
      <c r="M383" s="51"/>
      <c r="N383" s="51"/>
      <c r="O383" s="51"/>
      <c r="P383" s="51"/>
      <c r="Q383" s="51"/>
      <c r="R383" s="51"/>
      <c r="S383" s="51"/>
      <c r="T383" s="51"/>
    </row>
    <row r="384">
      <c r="A384" s="51"/>
      <c r="B384" s="51"/>
      <c r="C384" s="56"/>
      <c r="D384" s="51"/>
      <c r="E384" s="51"/>
      <c r="F384" s="51"/>
      <c r="G384" s="51" t="str">
        <f>IFERROR(__xludf.DUMMYFUNCTION("""COMPUTED_VALUE"""),"#VALUE!")</f>
        <v>#VALUE!</v>
      </c>
      <c r="H384" s="51" t="str">
        <f>IFERROR(__xludf.DUMMYFUNCTION("""COMPUTED_VALUE"""),"")</f>
        <v/>
      </c>
      <c r="I384" s="51" t="str">
        <f>IFERROR(__xludf.DUMMYFUNCTION("""COMPUTED_VALUE"""),"#VALUE!")</f>
        <v>#VALUE!</v>
      </c>
      <c r="J384" s="51" t="str">
        <f>IFERROR(__xludf.DUMMYFUNCTION("""COMPUTED_VALUE"""),"")</f>
        <v/>
      </c>
      <c r="K384" s="51"/>
      <c r="L384" s="51" t="s">
        <v>257</v>
      </c>
      <c r="M384" s="51"/>
      <c r="N384" s="51"/>
      <c r="O384" s="51"/>
      <c r="P384" s="51"/>
      <c r="Q384" s="51"/>
      <c r="R384" s="51"/>
      <c r="S384" s="51"/>
      <c r="T384" s="51"/>
    </row>
    <row r="385">
      <c r="A385" s="51"/>
      <c r="B385" s="51"/>
      <c r="C385" s="56"/>
      <c r="D385" s="51"/>
      <c r="E385" s="51"/>
      <c r="F385" s="51"/>
      <c r="G385" s="51" t="str">
        <f>IFERROR(__xludf.DUMMYFUNCTION("""COMPUTED_VALUE"""),"#VALUE!")</f>
        <v>#VALUE!</v>
      </c>
      <c r="H385" s="51" t="str">
        <f>IFERROR(__xludf.DUMMYFUNCTION("""COMPUTED_VALUE"""),"")</f>
        <v/>
      </c>
      <c r="I385" s="51" t="str">
        <f>IFERROR(__xludf.DUMMYFUNCTION("""COMPUTED_VALUE"""),"#VALUE!")</f>
        <v>#VALUE!</v>
      </c>
      <c r="J385" s="51" t="str">
        <f>IFERROR(__xludf.DUMMYFUNCTION("""COMPUTED_VALUE"""),"")</f>
        <v/>
      </c>
      <c r="K385" s="51"/>
      <c r="L385" s="51" t="s">
        <v>257</v>
      </c>
      <c r="M385" s="51"/>
      <c r="N385" s="51"/>
      <c r="O385" s="51"/>
      <c r="P385" s="51"/>
      <c r="Q385" s="51"/>
      <c r="R385" s="51"/>
      <c r="S385" s="51"/>
      <c r="T385" s="51"/>
    </row>
    <row r="386">
      <c r="A386" s="51"/>
      <c r="B386" s="51"/>
      <c r="C386" s="56"/>
      <c r="D386" s="51"/>
      <c r="E386" s="51"/>
      <c r="F386" s="51"/>
      <c r="G386" s="51" t="str">
        <f>IFERROR(__xludf.DUMMYFUNCTION("""COMPUTED_VALUE"""),"#VALUE!")</f>
        <v>#VALUE!</v>
      </c>
      <c r="H386" s="51" t="str">
        <f>IFERROR(__xludf.DUMMYFUNCTION("""COMPUTED_VALUE"""),"")</f>
        <v/>
      </c>
      <c r="I386" s="51" t="str">
        <f>IFERROR(__xludf.DUMMYFUNCTION("""COMPUTED_VALUE"""),"#VALUE!")</f>
        <v>#VALUE!</v>
      </c>
      <c r="J386" s="51" t="str">
        <f>IFERROR(__xludf.DUMMYFUNCTION("""COMPUTED_VALUE"""),"")</f>
        <v/>
      </c>
      <c r="K386" s="51"/>
      <c r="L386" s="51" t="s">
        <v>257</v>
      </c>
      <c r="M386" s="51"/>
      <c r="N386" s="51"/>
      <c r="O386" s="51"/>
      <c r="P386" s="51"/>
      <c r="Q386" s="51"/>
      <c r="R386" s="51"/>
      <c r="S386" s="51"/>
      <c r="T386" s="51"/>
    </row>
    <row r="387">
      <c r="A387" s="51"/>
      <c r="B387" s="51"/>
      <c r="C387" s="56"/>
      <c r="D387" s="51"/>
      <c r="E387" s="51"/>
      <c r="F387" s="51"/>
      <c r="G387" s="51" t="str">
        <f>IFERROR(__xludf.DUMMYFUNCTION("""COMPUTED_VALUE"""),"#VALUE!")</f>
        <v>#VALUE!</v>
      </c>
      <c r="H387" s="51" t="str">
        <f>IFERROR(__xludf.DUMMYFUNCTION("""COMPUTED_VALUE"""),"")</f>
        <v/>
      </c>
      <c r="I387" s="51" t="str">
        <f>IFERROR(__xludf.DUMMYFUNCTION("""COMPUTED_VALUE"""),"#VALUE!")</f>
        <v>#VALUE!</v>
      </c>
      <c r="J387" s="51" t="str">
        <f>IFERROR(__xludf.DUMMYFUNCTION("""COMPUTED_VALUE"""),"")</f>
        <v/>
      </c>
      <c r="K387" s="51"/>
      <c r="L387" s="51" t="s">
        <v>257</v>
      </c>
      <c r="M387" s="51"/>
      <c r="N387" s="51"/>
      <c r="O387" s="51"/>
      <c r="P387" s="51"/>
      <c r="Q387" s="51"/>
      <c r="R387" s="51"/>
      <c r="S387" s="51"/>
      <c r="T387" s="51"/>
    </row>
    <row r="388">
      <c r="A388" s="51"/>
      <c r="B388" s="51"/>
      <c r="C388" s="56"/>
      <c r="D388" s="51"/>
      <c r="E388" s="51"/>
      <c r="F388" s="51"/>
      <c r="G388" s="51" t="str">
        <f>IFERROR(__xludf.DUMMYFUNCTION("""COMPUTED_VALUE"""),"#VALUE!")</f>
        <v>#VALUE!</v>
      </c>
      <c r="H388" s="51" t="str">
        <f>IFERROR(__xludf.DUMMYFUNCTION("""COMPUTED_VALUE"""),"")</f>
        <v/>
      </c>
      <c r="I388" s="51" t="str">
        <f>IFERROR(__xludf.DUMMYFUNCTION("""COMPUTED_VALUE"""),"#VALUE!")</f>
        <v>#VALUE!</v>
      </c>
      <c r="J388" s="51" t="str">
        <f>IFERROR(__xludf.DUMMYFUNCTION("""COMPUTED_VALUE"""),"")</f>
        <v/>
      </c>
      <c r="K388" s="51"/>
      <c r="L388" s="51" t="s">
        <v>257</v>
      </c>
      <c r="M388" s="51"/>
      <c r="N388" s="51"/>
      <c r="O388" s="51"/>
      <c r="P388" s="51"/>
      <c r="Q388" s="51"/>
      <c r="R388" s="51"/>
      <c r="S388" s="51"/>
      <c r="T388" s="51"/>
    </row>
    <row r="389">
      <c r="A389" s="51"/>
      <c r="B389" s="51"/>
      <c r="C389" s="56"/>
      <c r="D389" s="51"/>
      <c r="E389" s="51"/>
      <c r="F389" s="51"/>
      <c r="G389" s="51" t="str">
        <f>IFERROR(__xludf.DUMMYFUNCTION("""COMPUTED_VALUE"""),"#VALUE!")</f>
        <v>#VALUE!</v>
      </c>
      <c r="H389" s="51" t="str">
        <f>IFERROR(__xludf.DUMMYFUNCTION("""COMPUTED_VALUE"""),"")</f>
        <v/>
      </c>
      <c r="I389" s="51" t="str">
        <f>IFERROR(__xludf.DUMMYFUNCTION("""COMPUTED_VALUE"""),"#VALUE!")</f>
        <v>#VALUE!</v>
      </c>
      <c r="J389" s="51" t="str">
        <f>IFERROR(__xludf.DUMMYFUNCTION("""COMPUTED_VALUE"""),"")</f>
        <v/>
      </c>
      <c r="K389" s="51"/>
      <c r="L389" s="51" t="s">
        <v>257</v>
      </c>
      <c r="M389" s="51"/>
      <c r="N389" s="51"/>
      <c r="O389" s="51"/>
      <c r="P389" s="51"/>
      <c r="Q389" s="51"/>
      <c r="R389" s="51"/>
      <c r="S389" s="51"/>
      <c r="T389" s="51"/>
    </row>
    <row r="390">
      <c r="A390" s="51"/>
      <c r="B390" s="51"/>
      <c r="C390" s="56"/>
      <c r="D390" s="51"/>
      <c r="E390" s="51"/>
      <c r="F390" s="51"/>
      <c r="G390" s="51" t="str">
        <f>IFERROR(__xludf.DUMMYFUNCTION("""COMPUTED_VALUE"""),"#VALUE!")</f>
        <v>#VALUE!</v>
      </c>
      <c r="H390" s="51" t="str">
        <f>IFERROR(__xludf.DUMMYFUNCTION("""COMPUTED_VALUE"""),"")</f>
        <v/>
      </c>
      <c r="I390" s="51" t="str">
        <f>IFERROR(__xludf.DUMMYFUNCTION("""COMPUTED_VALUE"""),"#VALUE!")</f>
        <v>#VALUE!</v>
      </c>
      <c r="J390" s="51" t="str">
        <f>IFERROR(__xludf.DUMMYFUNCTION("""COMPUTED_VALUE"""),"")</f>
        <v/>
      </c>
      <c r="K390" s="51"/>
      <c r="L390" s="51" t="s">
        <v>257</v>
      </c>
      <c r="M390" s="51"/>
      <c r="N390" s="51"/>
      <c r="O390" s="51"/>
      <c r="P390" s="51"/>
      <c r="Q390" s="51"/>
      <c r="R390" s="51"/>
      <c r="S390" s="51"/>
      <c r="T390" s="51"/>
    </row>
    <row r="391">
      <c r="A391" s="51"/>
      <c r="B391" s="51"/>
      <c r="C391" s="56"/>
      <c r="D391" s="51"/>
      <c r="E391" s="51"/>
      <c r="F391" s="51"/>
      <c r="G391" s="51" t="str">
        <f>IFERROR(__xludf.DUMMYFUNCTION("""COMPUTED_VALUE"""),"#VALUE!")</f>
        <v>#VALUE!</v>
      </c>
      <c r="H391" s="51" t="str">
        <f>IFERROR(__xludf.DUMMYFUNCTION("""COMPUTED_VALUE"""),"")</f>
        <v/>
      </c>
      <c r="I391" s="51" t="str">
        <f>IFERROR(__xludf.DUMMYFUNCTION("""COMPUTED_VALUE"""),"#VALUE!")</f>
        <v>#VALUE!</v>
      </c>
      <c r="J391" s="51" t="str">
        <f>IFERROR(__xludf.DUMMYFUNCTION("""COMPUTED_VALUE"""),"")</f>
        <v/>
      </c>
      <c r="K391" s="51"/>
      <c r="L391" s="51" t="s">
        <v>257</v>
      </c>
      <c r="M391" s="51"/>
      <c r="N391" s="51"/>
      <c r="O391" s="51"/>
      <c r="P391" s="51"/>
      <c r="Q391" s="51"/>
      <c r="R391" s="51"/>
      <c r="S391" s="51"/>
      <c r="T391" s="51"/>
    </row>
    <row r="392">
      <c r="A392" s="51"/>
      <c r="B392" s="51"/>
      <c r="C392" s="56"/>
      <c r="D392" s="51"/>
      <c r="E392" s="51"/>
      <c r="F392" s="51"/>
      <c r="G392" s="51" t="str">
        <f>IFERROR(__xludf.DUMMYFUNCTION("""COMPUTED_VALUE"""),"#VALUE!")</f>
        <v>#VALUE!</v>
      </c>
      <c r="H392" s="51" t="str">
        <f>IFERROR(__xludf.DUMMYFUNCTION("""COMPUTED_VALUE"""),"")</f>
        <v/>
      </c>
      <c r="I392" s="51" t="str">
        <f>IFERROR(__xludf.DUMMYFUNCTION("""COMPUTED_VALUE"""),"#VALUE!")</f>
        <v>#VALUE!</v>
      </c>
      <c r="J392" s="51" t="str">
        <f>IFERROR(__xludf.DUMMYFUNCTION("""COMPUTED_VALUE"""),"")</f>
        <v/>
      </c>
      <c r="K392" s="51"/>
      <c r="L392" s="51" t="s">
        <v>257</v>
      </c>
      <c r="M392" s="51"/>
      <c r="N392" s="51"/>
      <c r="O392" s="51"/>
      <c r="P392" s="51"/>
      <c r="Q392" s="51"/>
      <c r="R392" s="51"/>
      <c r="S392" s="51"/>
      <c r="T392" s="51"/>
    </row>
    <row r="393">
      <c r="A393" s="51"/>
      <c r="B393" s="51"/>
      <c r="C393" s="56"/>
      <c r="D393" s="51"/>
      <c r="E393" s="51"/>
      <c r="F393" s="51"/>
      <c r="G393" s="51" t="str">
        <f>IFERROR(__xludf.DUMMYFUNCTION("""COMPUTED_VALUE"""),"#VALUE!")</f>
        <v>#VALUE!</v>
      </c>
      <c r="H393" s="51" t="str">
        <f>IFERROR(__xludf.DUMMYFUNCTION("""COMPUTED_VALUE"""),"")</f>
        <v/>
      </c>
      <c r="I393" s="51" t="str">
        <f>IFERROR(__xludf.DUMMYFUNCTION("""COMPUTED_VALUE"""),"#VALUE!")</f>
        <v>#VALUE!</v>
      </c>
      <c r="J393" s="51" t="str">
        <f>IFERROR(__xludf.DUMMYFUNCTION("""COMPUTED_VALUE"""),"")</f>
        <v/>
      </c>
      <c r="K393" s="51"/>
      <c r="L393" s="51" t="s">
        <v>257</v>
      </c>
      <c r="M393" s="51"/>
      <c r="N393" s="51"/>
      <c r="O393" s="51"/>
      <c r="P393" s="51"/>
      <c r="Q393" s="51"/>
      <c r="R393" s="51"/>
      <c r="S393" s="51"/>
      <c r="T393" s="51"/>
    </row>
    <row r="394">
      <c r="A394" s="51"/>
      <c r="B394" s="51"/>
      <c r="C394" s="56"/>
      <c r="D394" s="51"/>
      <c r="E394" s="51"/>
      <c r="F394" s="51"/>
      <c r="G394" s="51" t="str">
        <f>IFERROR(__xludf.DUMMYFUNCTION("""COMPUTED_VALUE"""),"#VALUE!")</f>
        <v>#VALUE!</v>
      </c>
      <c r="H394" s="51" t="str">
        <f>IFERROR(__xludf.DUMMYFUNCTION("""COMPUTED_VALUE"""),"")</f>
        <v/>
      </c>
      <c r="I394" s="51" t="str">
        <f>IFERROR(__xludf.DUMMYFUNCTION("""COMPUTED_VALUE"""),"#VALUE!")</f>
        <v>#VALUE!</v>
      </c>
      <c r="J394" s="51" t="str">
        <f>IFERROR(__xludf.DUMMYFUNCTION("""COMPUTED_VALUE"""),"")</f>
        <v/>
      </c>
      <c r="K394" s="51"/>
      <c r="L394" s="51" t="s">
        <v>257</v>
      </c>
      <c r="M394" s="51"/>
      <c r="N394" s="51"/>
      <c r="O394" s="51"/>
      <c r="P394" s="51"/>
      <c r="Q394" s="51"/>
      <c r="R394" s="51"/>
      <c r="S394" s="51"/>
      <c r="T394" s="51"/>
    </row>
    <row r="395">
      <c r="A395" s="51"/>
      <c r="B395" s="51"/>
      <c r="C395" s="56"/>
      <c r="D395" s="51"/>
      <c r="E395" s="51"/>
      <c r="F395" s="51"/>
      <c r="G395" s="51" t="str">
        <f>IFERROR(__xludf.DUMMYFUNCTION("""COMPUTED_VALUE"""),"#VALUE!")</f>
        <v>#VALUE!</v>
      </c>
      <c r="H395" s="51" t="str">
        <f>IFERROR(__xludf.DUMMYFUNCTION("""COMPUTED_VALUE"""),"")</f>
        <v/>
      </c>
      <c r="I395" s="51" t="str">
        <f>IFERROR(__xludf.DUMMYFUNCTION("""COMPUTED_VALUE"""),"#VALUE!")</f>
        <v>#VALUE!</v>
      </c>
      <c r="J395" s="51" t="str">
        <f>IFERROR(__xludf.DUMMYFUNCTION("""COMPUTED_VALUE"""),"")</f>
        <v/>
      </c>
      <c r="K395" s="51"/>
      <c r="L395" s="51" t="s">
        <v>257</v>
      </c>
      <c r="M395" s="51"/>
      <c r="N395" s="51"/>
      <c r="O395" s="51"/>
      <c r="P395" s="51"/>
      <c r="Q395" s="51"/>
      <c r="R395" s="51"/>
      <c r="S395" s="51"/>
      <c r="T395" s="51"/>
    </row>
    <row r="396">
      <c r="A396" s="51"/>
      <c r="B396" s="51"/>
      <c r="C396" s="56"/>
      <c r="D396" s="51"/>
      <c r="E396" s="51"/>
      <c r="F396" s="51"/>
      <c r="G396" s="51" t="str">
        <f>IFERROR(__xludf.DUMMYFUNCTION("""COMPUTED_VALUE"""),"#VALUE!")</f>
        <v>#VALUE!</v>
      </c>
      <c r="H396" s="51" t="str">
        <f>IFERROR(__xludf.DUMMYFUNCTION("""COMPUTED_VALUE"""),"")</f>
        <v/>
      </c>
      <c r="I396" s="51" t="str">
        <f>IFERROR(__xludf.DUMMYFUNCTION("""COMPUTED_VALUE"""),"#VALUE!")</f>
        <v>#VALUE!</v>
      </c>
      <c r="J396" s="51" t="str">
        <f>IFERROR(__xludf.DUMMYFUNCTION("""COMPUTED_VALUE"""),"")</f>
        <v/>
      </c>
      <c r="K396" s="51"/>
      <c r="L396" s="51" t="s">
        <v>257</v>
      </c>
      <c r="M396" s="51"/>
      <c r="N396" s="51"/>
      <c r="O396" s="51"/>
      <c r="P396" s="51"/>
      <c r="Q396" s="51"/>
      <c r="R396" s="51"/>
      <c r="S396" s="51"/>
      <c r="T396" s="51"/>
    </row>
    <row r="397">
      <c r="A397" s="51"/>
      <c r="B397" s="51"/>
      <c r="C397" s="56"/>
      <c r="D397" s="51"/>
      <c r="E397" s="51"/>
      <c r="F397" s="51"/>
      <c r="G397" s="51" t="str">
        <f>IFERROR(__xludf.DUMMYFUNCTION("""COMPUTED_VALUE"""),"#VALUE!")</f>
        <v>#VALUE!</v>
      </c>
      <c r="H397" s="51" t="str">
        <f>IFERROR(__xludf.DUMMYFUNCTION("""COMPUTED_VALUE"""),"")</f>
        <v/>
      </c>
      <c r="I397" s="51" t="str">
        <f>IFERROR(__xludf.DUMMYFUNCTION("""COMPUTED_VALUE"""),"#VALUE!")</f>
        <v>#VALUE!</v>
      </c>
      <c r="J397" s="51" t="str">
        <f>IFERROR(__xludf.DUMMYFUNCTION("""COMPUTED_VALUE"""),"")</f>
        <v/>
      </c>
      <c r="K397" s="51"/>
      <c r="L397" s="51" t="s">
        <v>257</v>
      </c>
      <c r="M397" s="51"/>
      <c r="N397" s="51"/>
      <c r="O397" s="51"/>
      <c r="P397" s="51"/>
      <c r="Q397" s="51"/>
      <c r="R397" s="51"/>
      <c r="S397" s="51"/>
      <c r="T397" s="51"/>
    </row>
    <row r="398">
      <c r="A398" s="51"/>
      <c r="B398" s="51"/>
      <c r="C398" s="56"/>
      <c r="D398" s="51"/>
      <c r="E398" s="51"/>
      <c r="F398" s="51"/>
      <c r="G398" s="51" t="str">
        <f>IFERROR(__xludf.DUMMYFUNCTION("""COMPUTED_VALUE"""),"#VALUE!")</f>
        <v>#VALUE!</v>
      </c>
      <c r="H398" s="51" t="str">
        <f>IFERROR(__xludf.DUMMYFUNCTION("""COMPUTED_VALUE"""),"")</f>
        <v/>
      </c>
      <c r="I398" s="51" t="str">
        <f>IFERROR(__xludf.DUMMYFUNCTION("""COMPUTED_VALUE"""),"#VALUE!")</f>
        <v>#VALUE!</v>
      </c>
      <c r="J398" s="51" t="str">
        <f>IFERROR(__xludf.DUMMYFUNCTION("""COMPUTED_VALUE"""),"")</f>
        <v/>
      </c>
      <c r="K398" s="51"/>
      <c r="L398" s="51" t="s">
        <v>257</v>
      </c>
      <c r="M398" s="51"/>
      <c r="N398" s="51"/>
      <c r="O398" s="51"/>
      <c r="P398" s="51"/>
      <c r="Q398" s="51"/>
      <c r="R398" s="51"/>
      <c r="S398" s="51"/>
      <c r="T398" s="51"/>
    </row>
    <row r="399">
      <c r="A399" s="51"/>
      <c r="B399" s="51"/>
      <c r="C399" s="56"/>
      <c r="D399" s="51"/>
      <c r="E399" s="51"/>
      <c r="F399" s="51"/>
      <c r="G399" s="51" t="str">
        <f>IFERROR(__xludf.DUMMYFUNCTION("""COMPUTED_VALUE"""),"#VALUE!")</f>
        <v>#VALUE!</v>
      </c>
      <c r="H399" s="51" t="str">
        <f>IFERROR(__xludf.DUMMYFUNCTION("""COMPUTED_VALUE"""),"")</f>
        <v/>
      </c>
      <c r="I399" s="51" t="str">
        <f>IFERROR(__xludf.DUMMYFUNCTION("""COMPUTED_VALUE"""),"#VALUE!")</f>
        <v>#VALUE!</v>
      </c>
      <c r="J399" s="51" t="str">
        <f>IFERROR(__xludf.DUMMYFUNCTION("""COMPUTED_VALUE"""),"")</f>
        <v/>
      </c>
      <c r="K399" s="51"/>
      <c r="L399" s="51" t="s">
        <v>257</v>
      </c>
      <c r="M399" s="51"/>
      <c r="N399" s="51"/>
      <c r="O399" s="51"/>
      <c r="P399" s="51"/>
      <c r="Q399" s="51"/>
      <c r="R399" s="51"/>
      <c r="S399" s="51"/>
      <c r="T399" s="51"/>
    </row>
    <row r="400">
      <c r="A400" s="51"/>
      <c r="B400" s="51"/>
      <c r="C400" s="56"/>
      <c r="D400" s="51"/>
      <c r="E400" s="51"/>
      <c r="F400" s="51"/>
      <c r="G400" s="51" t="str">
        <f>IFERROR(__xludf.DUMMYFUNCTION("""COMPUTED_VALUE"""),"#VALUE!")</f>
        <v>#VALUE!</v>
      </c>
      <c r="H400" s="51" t="str">
        <f>IFERROR(__xludf.DUMMYFUNCTION("""COMPUTED_VALUE"""),"")</f>
        <v/>
      </c>
      <c r="I400" s="51" t="str">
        <f>IFERROR(__xludf.DUMMYFUNCTION("""COMPUTED_VALUE"""),"#VALUE!")</f>
        <v>#VALUE!</v>
      </c>
      <c r="J400" s="51" t="str">
        <f>IFERROR(__xludf.DUMMYFUNCTION("""COMPUTED_VALUE"""),"")</f>
        <v/>
      </c>
      <c r="K400" s="51"/>
      <c r="L400" s="51" t="s">
        <v>257</v>
      </c>
      <c r="M400" s="51"/>
      <c r="N400" s="51"/>
      <c r="O400" s="51"/>
      <c r="P400" s="51"/>
      <c r="Q400" s="51"/>
      <c r="R400" s="51"/>
      <c r="S400" s="51"/>
      <c r="T400" s="51"/>
    </row>
    <row r="401">
      <c r="A401" s="51"/>
      <c r="B401" s="51"/>
      <c r="C401" s="56"/>
      <c r="D401" s="51"/>
      <c r="E401" s="51"/>
      <c r="F401" s="51"/>
      <c r="G401" s="51" t="str">
        <f>IFERROR(__xludf.DUMMYFUNCTION("""COMPUTED_VALUE"""),"#VALUE!")</f>
        <v>#VALUE!</v>
      </c>
      <c r="H401" s="51" t="str">
        <f>IFERROR(__xludf.DUMMYFUNCTION("""COMPUTED_VALUE"""),"")</f>
        <v/>
      </c>
      <c r="I401" s="51" t="str">
        <f>IFERROR(__xludf.DUMMYFUNCTION("""COMPUTED_VALUE"""),"#VALUE!")</f>
        <v>#VALUE!</v>
      </c>
      <c r="J401" s="51" t="str">
        <f>IFERROR(__xludf.DUMMYFUNCTION("""COMPUTED_VALUE"""),"")</f>
        <v/>
      </c>
      <c r="K401" s="51"/>
      <c r="L401" s="51" t="s">
        <v>257</v>
      </c>
      <c r="M401" s="51"/>
      <c r="N401" s="51"/>
      <c r="O401" s="51"/>
      <c r="P401" s="51"/>
      <c r="Q401" s="51"/>
      <c r="R401" s="51"/>
      <c r="S401" s="51"/>
      <c r="T401" s="51"/>
    </row>
    <row r="402">
      <c r="A402" s="51"/>
      <c r="B402" s="51"/>
      <c r="C402" s="56"/>
      <c r="D402" s="51"/>
      <c r="E402" s="51"/>
      <c r="F402" s="51"/>
      <c r="G402" s="51" t="str">
        <f>IFERROR(__xludf.DUMMYFUNCTION("""COMPUTED_VALUE"""),"#VALUE!")</f>
        <v>#VALUE!</v>
      </c>
      <c r="H402" s="51" t="str">
        <f>IFERROR(__xludf.DUMMYFUNCTION("""COMPUTED_VALUE"""),"")</f>
        <v/>
      </c>
      <c r="I402" s="51" t="str">
        <f>IFERROR(__xludf.DUMMYFUNCTION("""COMPUTED_VALUE"""),"#VALUE!")</f>
        <v>#VALUE!</v>
      </c>
      <c r="J402" s="51" t="str">
        <f>IFERROR(__xludf.DUMMYFUNCTION("""COMPUTED_VALUE"""),"")</f>
        <v/>
      </c>
      <c r="K402" s="51"/>
      <c r="L402" s="51" t="s">
        <v>257</v>
      </c>
      <c r="M402" s="51"/>
      <c r="N402" s="51"/>
      <c r="O402" s="51"/>
      <c r="P402" s="51"/>
      <c r="Q402" s="51"/>
      <c r="R402" s="51"/>
      <c r="S402" s="51"/>
      <c r="T402" s="51"/>
    </row>
    <row r="403">
      <c r="A403" s="51"/>
      <c r="B403" s="51"/>
      <c r="C403" s="56"/>
      <c r="D403" s="51"/>
      <c r="E403" s="51"/>
      <c r="F403" s="51"/>
      <c r="G403" s="51" t="str">
        <f>IFERROR(__xludf.DUMMYFUNCTION("""COMPUTED_VALUE"""),"#VALUE!")</f>
        <v>#VALUE!</v>
      </c>
      <c r="H403" s="51" t="str">
        <f>IFERROR(__xludf.DUMMYFUNCTION("""COMPUTED_VALUE"""),"")</f>
        <v/>
      </c>
      <c r="I403" s="51" t="str">
        <f>IFERROR(__xludf.DUMMYFUNCTION("""COMPUTED_VALUE"""),"#VALUE!")</f>
        <v>#VALUE!</v>
      </c>
      <c r="J403" s="51" t="str">
        <f>IFERROR(__xludf.DUMMYFUNCTION("""COMPUTED_VALUE"""),"")</f>
        <v/>
      </c>
      <c r="K403" s="51"/>
      <c r="L403" s="51" t="s">
        <v>257</v>
      </c>
      <c r="M403" s="51"/>
      <c r="N403" s="51"/>
      <c r="O403" s="51"/>
      <c r="P403" s="51"/>
      <c r="Q403" s="51"/>
      <c r="R403" s="51"/>
      <c r="S403" s="51"/>
      <c r="T403" s="51"/>
    </row>
    <row r="404">
      <c r="A404" s="51"/>
      <c r="B404" s="51"/>
      <c r="C404" s="56"/>
      <c r="D404" s="51"/>
      <c r="E404" s="51"/>
      <c r="F404" s="51"/>
      <c r="G404" s="51" t="str">
        <f>IFERROR(__xludf.DUMMYFUNCTION("""COMPUTED_VALUE"""),"#VALUE!")</f>
        <v>#VALUE!</v>
      </c>
      <c r="H404" s="51" t="str">
        <f>IFERROR(__xludf.DUMMYFUNCTION("""COMPUTED_VALUE"""),"")</f>
        <v/>
      </c>
      <c r="I404" s="51" t="str">
        <f>IFERROR(__xludf.DUMMYFUNCTION("""COMPUTED_VALUE"""),"#VALUE!")</f>
        <v>#VALUE!</v>
      </c>
      <c r="J404" s="51" t="str">
        <f>IFERROR(__xludf.DUMMYFUNCTION("""COMPUTED_VALUE"""),"")</f>
        <v/>
      </c>
      <c r="K404" s="51"/>
      <c r="L404" s="51" t="s">
        <v>257</v>
      </c>
      <c r="M404" s="51"/>
      <c r="N404" s="51"/>
      <c r="O404" s="51"/>
      <c r="P404" s="51"/>
      <c r="Q404" s="51"/>
      <c r="R404" s="51"/>
      <c r="S404" s="51"/>
      <c r="T404" s="51"/>
    </row>
    <row r="405">
      <c r="A405" s="51"/>
      <c r="B405" s="51"/>
      <c r="C405" s="56"/>
      <c r="D405" s="51"/>
      <c r="E405" s="51"/>
      <c r="F405" s="51"/>
      <c r="G405" s="51" t="str">
        <f>IFERROR(__xludf.DUMMYFUNCTION("""COMPUTED_VALUE"""),"#VALUE!")</f>
        <v>#VALUE!</v>
      </c>
      <c r="H405" s="51" t="str">
        <f>IFERROR(__xludf.DUMMYFUNCTION("""COMPUTED_VALUE"""),"")</f>
        <v/>
      </c>
      <c r="I405" s="51" t="str">
        <f>IFERROR(__xludf.DUMMYFUNCTION("""COMPUTED_VALUE"""),"#VALUE!")</f>
        <v>#VALUE!</v>
      </c>
      <c r="J405" s="51" t="str">
        <f>IFERROR(__xludf.DUMMYFUNCTION("""COMPUTED_VALUE"""),"")</f>
        <v/>
      </c>
      <c r="K405" s="51"/>
      <c r="L405" s="51" t="s">
        <v>257</v>
      </c>
      <c r="M405" s="51"/>
      <c r="N405" s="51"/>
      <c r="O405" s="51"/>
      <c r="P405" s="51"/>
      <c r="Q405" s="51"/>
      <c r="R405" s="51"/>
      <c r="S405" s="51"/>
      <c r="T405" s="51"/>
    </row>
    <row r="406">
      <c r="A406" s="51"/>
      <c r="B406" s="51"/>
      <c r="C406" s="56"/>
      <c r="D406" s="51"/>
      <c r="E406" s="51"/>
      <c r="F406" s="51"/>
      <c r="G406" s="51" t="str">
        <f>IFERROR(__xludf.DUMMYFUNCTION("""COMPUTED_VALUE"""),"#VALUE!")</f>
        <v>#VALUE!</v>
      </c>
      <c r="H406" s="51" t="str">
        <f>IFERROR(__xludf.DUMMYFUNCTION("""COMPUTED_VALUE"""),"")</f>
        <v/>
      </c>
      <c r="I406" s="51" t="str">
        <f>IFERROR(__xludf.DUMMYFUNCTION("""COMPUTED_VALUE"""),"#VALUE!")</f>
        <v>#VALUE!</v>
      </c>
      <c r="J406" s="51" t="str">
        <f>IFERROR(__xludf.DUMMYFUNCTION("""COMPUTED_VALUE"""),"")</f>
        <v/>
      </c>
      <c r="K406" s="51"/>
      <c r="L406" s="51" t="s">
        <v>257</v>
      </c>
      <c r="M406" s="51"/>
      <c r="N406" s="51"/>
      <c r="O406" s="51"/>
      <c r="P406" s="51"/>
      <c r="Q406" s="51"/>
      <c r="R406" s="51"/>
      <c r="S406" s="51"/>
      <c r="T406" s="51"/>
    </row>
    <row r="407">
      <c r="A407" s="51"/>
      <c r="B407" s="51"/>
      <c r="C407" s="56"/>
      <c r="D407" s="51"/>
      <c r="E407" s="51"/>
      <c r="F407" s="51"/>
      <c r="G407" s="51" t="str">
        <f>IFERROR(__xludf.DUMMYFUNCTION("""COMPUTED_VALUE"""),"#VALUE!")</f>
        <v>#VALUE!</v>
      </c>
      <c r="H407" s="51" t="str">
        <f>IFERROR(__xludf.DUMMYFUNCTION("""COMPUTED_VALUE"""),"")</f>
        <v/>
      </c>
      <c r="I407" s="51" t="str">
        <f>IFERROR(__xludf.DUMMYFUNCTION("""COMPUTED_VALUE"""),"#VALUE!")</f>
        <v>#VALUE!</v>
      </c>
      <c r="J407" s="51" t="str">
        <f>IFERROR(__xludf.DUMMYFUNCTION("""COMPUTED_VALUE"""),"")</f>
        <v/>
      </c>
      <c r="K407" s="51"/>
      <c r="L407" s="51" t="s">
        <v>257</v>
      </c>
      <c r="M407" s="51"/>
      <c r="N407" s="51"/>
      <c r="O407" s="51"/>
      <c r="P407" s="51"/>
      <c r="Q407" s="51"/>
      <c r="R407" s="51"/>
      <c r="S407" s="51"/>
      <c r="T407" s="51"/>
    </row>
    <row r="408">
      <c r="A408" s="51"/>
      <c r="B408" s="51"/>
      <c r="C408" s="56"/>
      <c r="D408" s="51"/>
      <c r="E408" s="51"/>
      <c r="F408" s="51"/>
      <c r="G408" s="51" t="str">
        <f>IFERROR(__xludf.DUMMYFUNCTION("""COMPUTED_VALUE"""),"#VALUE!")</f>
        <v>#VALUE!</v>
      </c>
      <c r="H408" s="51" t="str">
        <f>IFERROR(__xludf.DUMMYFUNCTION("""COMPUTED_VALUE"""),"")</f>
        <v/>
      </c>
      <c r="I408" s="51" t="str">
        <f>IFERROR(__xludf.DUMMYFUNCTION("""COMPUTED_VALUE"""),"#VALUE!")</f>
        <v>#VALUE!</v>
      </c>
      <c r="J408" s="51" t="str">
        <f>IFERROR(__xludf.DUMMYFUNCTION("""COMPUTED_VALUE"""),"")</f>
        <v/>
      </c>
      <c r="K408" s="51"/>
      <c r="L408" s="51" t="s">
        <v>257</v>
      </c>
      <c r="M408" s="51"/>
      <c r="N408" s="51"/>
      <c r="O408" s="51"/>
      <c r="P408" s="51"/>
      <c r="Q408" s="51"/>
      <c r="R408" s="51"/>
      <c r="S408" s="51"/>
      <c r="T408" s="51"/>
    </row>
    <row r="409">
      <c r="A409" s="51"/>
      <c r="B409" s="51"/>
      <c r="C409" s="56"/>
      <c r="D409" s="51"/>
      <c r="E409" s="51"/>
      <c r="F409" s="51"/>
      <c r="G409" s="51" t="str">
        <f>IFERROR(__xludf.DUMMYFUNCTION("""COMPUTED_VALUE"""),"#VALUE!")</f>
        <v>#VALUE!</v>
      </c>
      <c r="H409" s="51" t="str">
        <f>IFERROR(__xludf.DUMMYFUNCTION("""COMPUTED_VALUE"""),"")</f>
        <v/>
      </c>
      <c r="I409" s="51" t="str">
        <f>IFERROR(__xludf.DUMMYFUNCTION("""COMPUTED_VALUE"""),"#VALUE!")</f>
        <v>#VALUE!</v>
      </c>
      <c r="J409" s="51" t="str">
        <f>IFERROR(__xludf.DUMMYFUNCTION("""COMPUTED_VALUE"""),"")</f>
        <v/>
      </c>
      <c r="K409" s="51"/>
      <c r="L409" s="51" t="s">
        <v>257</v>
      </c>
      <c r="M409" s="51"/>
      <c r="N409" s="51"/>
      <c r="O409" s="51"/>
      <c r="P409" s="51"/>
      <c r="Q409" s="51"/>
      <c r="R409" s="51"/>
      <c r="S409" s="51"/>
      <c r="T409" s="51"/>
    </row>
    <row r="410">
      <c r="A410" s="51"/>
      <c r="B410" s="51"/>
      <c r="C410" s="56"/>
      <c r="D410" s="51"/>
      <c r="E410" s="51"/>
      <c r="F410" s="51"/>
      <c r="G410" s="51" t="str">
        <f>IFERROR(__xludf.DUMMYFUNCTION("""COMPUTED_VALUE"""),"#VALUE!")</f>
        <v>#VALUE!</v>
      </c>
      <c r="H410" s="51" t="str">
        <f>IFERROR(__xludf.DUMMYFUNCTION("""COMPUTED_VALUE"""),"")</f>
        <v/>
      </c>
      <c r="I410" s="51" t="str">
        <f>IFERROR(__xludf.DUMMYFUNCTION("""COMPUTED_VALUE"""),"#VALUE!")</f>
        <v>#VALUE!</v>
      </c>
      <c r="J410" s="51" t="str">
        <f>IFERROR(__xludf.DUMMYFUNCTION("""COMPUTED_VALUE"""),"")</f>
        <v/>
      </c>
      <c r="K410" s="51"/>
      <c r="L410" s="51" t="s">
        <v>257</v>
      </c>
      <c r="M410" s="51"/>
      <c r="N410" s="51"/>
      <c r="O410" s="51"/>
      <c r="P410" s="51"/>
      <c r="Q410" s="51"/>
      <c r="R410" s="51"/>
      <c r="S410" s="51"/>
      <c r="T410" s="51"/>
    </row>
    <row r="411">
      <c r="A411" s="51"/>
      <c r="B411" s="51"/>
      <c r="C411" s="56"/>
      <c r="D411" s="51"/>
      <c r="E411" s="51"/>
      <c r="F411" s="51"/>
      <c r="G411" s="51" t="str">
        <f>IFERROR(__xludf.DUMMYFUNCTION("""COMPUTED_VALUE"""),"#VALUE!")</f>
        <v>#VALUE!</v>
      </c>
      <c r="H411" s="51" t="str">
        <f>IFERROR(__xludf.DUMMYFUNCTION("""COMPUTED_VALUE"""),"")</f>
        <v/>
      </c>
      <c r="I411" s="51" t="str">
        <f>IFERROR(__xludf.DUMMYFUNCTION("""COMPUTED_VALUE"""),"#VALUE!")</f>
        <v>#VALUE!</v>
      </c>
      <c r="J411" s="51" t="str">
        <f>IFERROR(__xludf.DUMMYFUNCTION("""COMPUTED_VALUE"""),"")</f>
        <v/>
      </c>
      <c r="K411" s="51"/>
      <c r="L411" s="51" t="s">
        <v>257</v>
      </c>
      <c r="M411" s="51"/>
      <c r="N411" s="51"/>
      <c r="O411" s="51"/>
      <c r="P411" s="51"/>
      <c r="Q411" s="51"/>
      <c r="R411" s="51"/>
      <c r="S411" s="51"/>
      <c r="T411" s="51"/>
    </row>
    <row r="412">
      <c r="A412" s="51"/>
      <c r="B412" s="51"/>
      <c r="C412" s="56"/>
      <c r="D412" s="51"/>
      <c r="E412" s="51"/>
      <c r="F412" s="51"/>
      <c r="G412" s="51" t="str">
        <f>IFERROR(__xludf.DUMMYFUNCTION("""COMPUTED_VALUE"""),"#VALUE!")</f>
        <v>#VALUE!</v>
      </c>
      <c r="H412" s="51" t="str">
        <f>IFERROR(__xludf.DUMMYFUNCTION("""COMPUTED_VALUE"""),"")</f>
        <v/>
      </c>
      <c r="I412" s="51" t="str">
        <f>IFERROR(__xludf.DUMMYFUNCTION("""COMPUTED_VALUE"""),"#VALUE!")</f>
        <v>#VALUE!</v>
      </c>
      <c r="J412" s="51" t="str">
        <f>IFERROR(__xludf.DUMMYFUNCTION("""COMPUTED_VALUE"""),"")</f>
        <v/>
      </c>
      <c r="K412" s="51"/>
      <c r="L412" s="51" t="s">
        <v>257</v>
      </c>
      <c r="M412" s="51"/>
      <c r="N412" s="51"/>
      <c r="O412" s="51"/>
      <c r="P412" s="51"/>
      <c r="Q412" s="51"/>
      <c r="R412" s="51"/>
      <c r="S412" s="51"/>
      <c r="T412" s="51"/>
    </row>
    <row r="413">
      <c r="A413" s="51"/>
      <c r="B413" s="51"/>
      <c r="C413" s="56"/>
      <c r="D413" s="51"/>
      <c r="E413" s="51"/>
      <c r="F413" s="51"/>
      <c r="G413" s="51" t="str">
        <f>IFERROR(__xludf.DUMMYFUNCTION("""COMPUTED_VALUE"""),"#VALUE!")</f>
        <v>#VALUE!</v>
      </c>
      <c r="H413" s="51" t="str">
        <f>IFERROR(__xludf.DUMMYFUNCTION("""COMPUTED_VALUE"""),"")</f>
        <v/>
      </c>
      <c r="I413" s="51" t="str">
        <f>IFERROR(__xludf.DUMMYFUNCTION("""COMPUTED_VALUE"""),"#VALUE!")</f>
        <v>#VALUE!</v>
      </c>
      <c r="J413" s="51" t="str">
        <f>IFERROR(__xludf.DUMMYFUNCTION("""COMPUTED_VALUE"""),"")</f>
        <v/>
      </c>
      <c r="K413" s="51"/>
      <c r="L413" s="51" t="s">
        <v>257</v>
      </c>
      <c r="M413" s="51"/>
      <c r="N413" s="51"/>
      <c r="O413" s="51"/>
      <c r="P413" s="51"/>
      <c r="Q413" s="51"/>
      <c r="R413" s="51"/>
      <c r="S413" s="51"/>
      <c r="T413" s="51"/>
    </row>
    <row r="414">
      <c r="A414" s="51"/>
      <c r="B414" s="51"/>
      <c r="C414" s="56"/>
      <c r="D414" s="51"/>
      <c r="E414" s="51"/>
      <c r="F414" s="51"/>
      <c r="G414" s="51" t="str">
        <f>IFERROR(__xludf.DUMMYFUNCTION("""COMPUTED_VALUE"""),"#VALUE!")</f>
        <v>#VALUE!</v>
      </c>
      <c r="H414" s="51" t="str">
        <f>IFERROR(__xludf.DUMMYFUNCTION("""COMPUTED_VALUE"""),"")</f>
        <v/>
      </c>
      <c r="I414" s="51" t="str">
        <f>IFERROR(__xludf.DUMMYFUNCTION("""COMPUTED_VALUE"""),"#VALUE!")</f>
        <v>#VALUE!</v>
      </c>
      <c r="J414" s="51" t="str">
        <f>IFERROR(__xludf.DUMMYFUNCTION("""COMPUTED_VALUE"""),"")</f>
        <v/>
      </c>
      <c r="K414" s="51"/>
      <c r="L414" s="51" t="s">
        <v>257</v>
      </c>
      <c r="M414" s="51"/>
      <c r="N414" s="51"/>
      <c r="O414" s="51"/>
      <c r="P414" s="51"/>
      <c r="Q414" s="51"/>
      <c r="R414" s="51"/>
      <c r="S414" s="51"/>
      <c r="T414" s="51"/>
    </row>
    <row r="415">
      <c r="A415" s="51"/>
      <c r="B415" s="51"/>
      <c r="C415" s="56"/>
      <c r="D415" s="51"/>
      <c r="E415" s="51"/>
      <c r="F415" s="51"/>
      <c r="G415" s="51" t="str">
        <f>IFERROR(__xludf.DUMMYFUNCTION("""COMPUTED_VALUE"""),"#VALUE!")</f>
        <v>#VALUE!</v>
      </c>
      <c r="H415" s="51" t="str">
        <f>IFERROR(__xludf.DUMMYFUNCTION("""COMPUTED_VALUE"""),"")</f>
        <v/>
      </c>
      <c r="I415" s="51" t="str">
        <f>IFERROR(__xludf.DUMMYFUNCTION("""COMPUTED_VALUE"""),"#VALUE!")</f>
        <v>#VALUE!</v>
      </c>
      <c r="J415" s="51" t="str">
        <f>IFERROR(__xludf.DUMMYFUNCTION("""COMPUTED_VALUE"""),"")</f>
        <v/>
      </c>
      <c r="K415" s="51"/>
      <c r="L415" s="51" t="s">
        <v>257</v>
      </c>
      <c r="M415" s="51"/>
      <c r="N415" s="51"/>
      <c r="O415" s="51"/>
      <c r="P415" s="51"/>
      <c r="Q415" s="51"/>
      <c r="R415" s="51"/>
      <c r="S415" s="51"/>
      <c r="T415" s="51"/>
    </row>
    <row r="416">
      <c r="A416" s="51"/>
      <c r="B416" s="51"/>
      <c r="C416" s="56"/>
      <c r="D416" s="51"/>
      <c r="E416" s="51"/>
      <c r="F416" s="51"/>
      <c r="G416" s="51" t="str">
        <f>IFERROR(__xludf.DUMMYFUNCTION("""COMPUTED_VALUE"""),"#VALUE!")</f>
        <v>#VALUE!</v>
      </c>
      <c r="H416" s="51" t="str">
        <f>IFERROR(__xludf.DUMMYFUNCTION("""COMPUTED_VALUE"""),"")</f>
        <v/>
      </c>
      <c r="I416" s="51" t="str">
        <f>IFERROR(__xludf.DUMMYFUNCTION("""COMPUTED_VALUE"""),"#VALUE!")</f>
        <v>#VALUE!</v>
      </c>
      <c r="J416" s="51" t="str">
        <f>IFERROR(__xludf.DUMMYFUNCTION("""COMPUTED_VALUE"""),"")</f>
        <v/>
      </c>
      <c r="K416" s="51"/>
      <c r="L416" s="51" t="s">
        <v>257</v>
      </c>
      <c r="M416" s="51"/>
      <c r="N416" s="51"/>
      <c r="O416" s="51"/>
      <c r="P416" s="51"/>
      <c r="Q416" s="51"/>
      <c r="R416" s="51"/>
      <c r="S416" s="51"/>
      <c r="T416" s="51"/>
    </row>
    <row r="417">
      <c r="A417" s="51"/>
      <c r="B417" s="51"/>
      <c r="C417" s="56"/>
      <c r="D417" s="51"/>
      <c r="E417" s="51"/>
      <c r="F417" s="51"/>
      <c r="G417" s="51" t="str">
        <f>IFERROR(__xludf.DUMMYFUNCTION("""COMPUTED_VALUE"""),"#VALUE!")</f>
        <v>#VALUE!</v>
      </c>
      <c r="H417" s="51" t="str">
        <f>IFERROR(__xludf.DUMMYFUNCTION("""COMPUTED_VALUE"""),"")</f>
        <v/>
      </c>
      <c r="I417" s="51" t="str">
        <f>IFERROR(__xludf.DUMMYFUNCTION("""COMPUTED_VALUE"""),"#VALUE!")</f>
        <v>#VALUE!</v>
      </c>
      <c r="J417" s="51" t="str">
        <f>IFERROR(__xludf.DUMMYFUNCTION("""COMPUTED_VALUE"""),"")</f>
        <v/>
      </c>
      <c r="K417" s="51"/>
      <c r="L417" s="51" t="s">
        <v>257</v>
      </c>
      <c r="M417" s="51"/>
      <c r="N417" s="51"/>
      <c r="O417" s="51"/>
      <c r="P417" s="51"/>
      <c r="Q417" s="51"/>
      <c r="R417" s="51"/>
      <c r="S417" s="51"/>
      <c r="T417" s="51"/>
    </row>
    <row r="418">
      <c r="A418" s="51"/>
      <c r="B418" s="51"/>
      <c r="C418" s="56"/>
      <c r="D418" s="51"/>
      <c r="E418" s="51"/>
      <c r="F418" s="51"/>
      <c r="G418" s="51" t="str">
        <f>IFERROR(__xludf.DUMMYFUNCTION("""COMPUTED_VALUE"""),"#VALUE!")</f>
        <v>#VALUE!</v>
      </c>
      <c r="H418" s="51" t="str">
        <f>IFERROR(__xludf.DUMMYFUNCTION("""COMPUTED_VALUE"""),"")</f>
        <v/>
      </c>
      <c r="I418" s="51" t="str">
        <f>IFERROR(__xludf.DUMMYFUNCTION("""COMPUTED_VALUE"""),"#VALUE!")</f>
        <v>#VALUE!</v>
      </c>
      <c r="J418" s="51" t="str">
        <f>IFERROR(__xludf.DUMMYFUNCTION("""COMPUTED_VALUE"""),"")</f>
        <v/>
      </c>
      <c r="K418" s="51"/>
      <c r="L418" s="51" t="s">
        <v>257</v>
      </c>
      <c r="M418" s="51"/>
      <c r="N418" s="51"/>
      <c r="O418" s="51"/>
      <c r="P418" s="51"/>
      <c r="Q418" s="51"/>
      <c r="R418" s="51"/>
      <c r="S418" s="51"/>
      <c r="T418" s="51"/>
    </row>
    <row r="419">
      <c r="A419" s="51"/>
      <c r="B419" s="51"/>
      <c r="C419" s="56"/>
      <c r="D419" s="51"/>
      <c r="E419" s="51"/>
      <c r="F419" s="51"/>
      <c r="G419" s="51" t="str">
        <f>IFERROR(__xludf.DUMMYFUNCTION("""COMPUTED_VALUE"""),"#VALUE!")</f>
        <v>#VALUE!</v>
      </c>
      <c r="H419" s="51" t="str">
        <f>IFERROR(__xludf.DUMMYFUNCTION("""COMPUTED_VALUE"""),"")</f>
        <v/>
      </c>
      <c r="I419" s="51" t="str">
        <f>IFERROR(__xludf.DUMMYFUNCTION("""COMPUTED_VALUE"""),"#VALUE!")</f>
        <v>#VALUE!</v>
      </c>
      <c r="J419" s="51" t="str">
        <f>IFERROR(__xludf.DUMMYFUNCTION("""COMPUTED_VALUE"""),"")</f>
        <v/>
      </c>
      <c r="K419" s="51"/>
      <c r="L419" s="51" t="s">
        <v>257</v>
      </c>
      <c r="M419" s="51"/>
      <c r="N419" s="51"/>
      <c r="O419" s="51"/>
      <c r="P419" s="51"/>
      <c r="Q419" s="51"/>
      <c r="R419" s="51"/>
      <c r="S419" s="51"/>
      <c r="T419" s="51"/>
    </row>
    <row r="420">
      <c r="A420" s="51"/>
      <c r="B420" s="51"/>
      <c r="C420" s="56"/>
      <c r="D420" s="51"/>
      <c r="E420" s="51"/>
      <c r="F420" s="51"/>
      <c r="G420" s="51" t="str">
        <f>IFERROR(__xludf.DUMMYFUNCTION("""COMPUTED_VALUE"""),"#VALUE!")</f>
        <v>#VALUE!</v>
      </c>
      <c r="H420" s="51" t="str">
        <f>IFERROR(__xludf.DUMMYFUNCTION("""COMPUTED_VALUE"""),"")</f>
        <v/>
      </c>
      <c r="I420" s="51" t="str">
        <f>IFERROR(__xludf.DUMMYFUNCTION("""COMPUTED_VALUE"""),"#VALUE!")</f>
        <v>#VALUE!</v>
      </c>
      <c r="J420" s="51" t="str">
        <f>IFERROR(__xludf.DUMMYFUNCTION("""COMPUTED_VALUE"""),"")</f>
        <v/>
      </c>
      <c r="K420" s="51"/>
      <c r="L420" s="51" t="s">
        <v>257</v>
      </c>
      <c r="M420" s="51"/>
      <c r="N420" s="51"/>
      <c r="O420" s="51"/>
      <c r="P420" s="51"/>
      <c r="Q420" s="51"/>
      <c r="R420" s="51"/>
      <c r="S420" s="51"/>
      <c r="T420" s="51"/>
    </row>
    <row r="421">
      <c r="A421" s="51"/>
      <c r="B421" s="51"/>
      <c r="C421" s="56"/>
      <c r="D421" s="51"/>
      <c r="E421" s="51"/>
      <c r="F421" s="51"/>
      <c r="G421" s="51" t="str">
        <f>IFERROR(__xludf.DUMMYFUNCTION("""COMPUTED_VALUE"""),"#VALUE!")</f>
        <v>#VALUE!</v>
      </c>
      <c r="H421" s="51" t="str">
        <f>IFERROR(__xludf.DUMMYFUNCTION("""COMPUTED_VALUE"""),"")</f>
        <v/>
      </c>
      <c r="I421" s="51" t="str">
        <f>IFERROR(__xludf.DUMMYFUNCTION("""COMPUTED_VALUE"""),"#VALUE!")</f>
        <v>#VALUE!</v>
      </c>
      <c r="J421" s="51" t="str">
        <f>IFERROR(__xludf.DUMMYFUNCTION("""COMPUTED_VALUE"""),"")</f>
        <v/>
      </c>
      <c r="K421" s="51"/>
      <c r="L421" s="51" t="s">
        <v>257</v>
      </c>
      <c r="M421" s="51"/>
      <c r="N421" s="51"/>
      <c r="O421" s="51"/>
      <c r="P421" s="51"/>
      <c r="Q421" s="51"/>
      <c r="R421" s="51"/>
      <c r="S421" s="51"/>
      <c r="T421" s="51"/>
    </row>
    <row r="422">
      <c r="A422" s="51"/>
      <c r="B422" s="51"/>
      <c r="C422" s="56"/>
      <c r="D422" s="51"/>
      <c r="E422" s="51"/>
      <c r="F422" s="51"/>
      <c r="G422" s="51" t="str">
        <f>IFERROR(__xludf.DUMMYFUNCTION("""COMPUTED_VALUE"""),"#VALUE!")</f>
        <v>#VALUE!</v>
      </c>
      <c r="H422" s="51" t="str">
        <f>IFERROR(__xludf.DUMMYFUNCTION("""COMPUTED_VALUE"""),"")</f>
        <v/>
      </c>
      <c r="I422" s="51" t="str">
        <f>IFERROR(__xludf.DUMMYFUNCTION("""COMPUTED_VALUE"""),"#VALUE!")</f>
        <v>#VALUE!</v>
      </c>
      <c r="J422" s="51" t="str">
        <f>IFERROR(__xludf.DUMMYFUNCTION("""COMPUTED_VALUE"""),"")</f>
        <v/>
      </c>
      <c r="K422" s="51"/>
      <c r="L422" s="51" t="s">
        <v>257</v>
      </c>
      <c r="M422" s="51"/>
      <c r="N422" s="51"/>
      <c r="O422" s="51"/>
      <c r="P422" s="51"/>
      <c r="Q422" s="51"/>
      <c r="R422" s="51"/>
      <c r="S422" s="51"/>
      <c r="T422" s="51"/>
    </row>
    <row r="423">
      <c r="A423" s="51"/>
      <c r="B423" s="51"/>
      <c r="C423" s="56"/>
      <c r="D423" s="51"/>
      <c r="E423" s="51"/>
      <c r="F423" s="51"/>
      <c r="G423" s="51" t="str">
        <f>IFERROR(__xludf.DUMMYFUNCTION("""COMPUTED_VALUE"""),"#VALUE!")</f>
        <v>#VALUE!</v>
      </c>
      <c r="H423" s="51" t="str">
        <f>IFERROR(__xludf.DUMMYFUNCTION("""COMPUTED_VALUE"""),"")</f>
        <v/>
      </c>
      <c r="I423" s="51" t="str">
        <f>IFERROR(__xludf.DUMMYFUNCTION("""COMPUTED_VALUE"""),"#VALUE!")</f>
        <v>#VALUE!</v>
      </c>
      <c r="J423" s="51" t="str">
        <f>IFERROR(__xludf.DUMMYFUNCTION("""COMPUTED_VALUE"""),"")</f>
        <v/>
      </c>
      <c r="K423" s="51"/>
      <c r="L423" s="51" t="s">
        <v>257</v>
      </c>
      <c r="M423" s="51"/>
      <c r="N423" s="51"/>
      <c r="O423" s="51"/>
      <c r="P423" s="51"/>
      <c r="Q423" s="51"/>
      <c r="R423" s="51"/>
      <c r="S423" s="51"/>
      <c r="T423" s="51"/>
    </row>
    <row r="424">
      <c r="A424" s="51"/>
      <c r="B424" s="51"/>
      <c r="C424" s="56"/>
      <c r="D424" s="51"/>
      <c r="E424" s="51"/>
      <c r="F424" s="51"/>
      <c r="G424" s="51" t="str">
        <f>IFERROR(__xludf.DUMMYFUNCTION("""COMPUTED_VALUE"""),"#VALUE!")</f>
        <v>#VALUE!</v>
      </c>
      <c r="H424" s="51" t="str">
        <f>IFERROR(__xludf.DUMMYFUNCTION("""COMPUTED_VALUE"""),"")</f>
        <v/>
      </c>
      <c r="I424" s="51" t="str">
        <f>IFERROR(__xludf.DUMMYFUNCTION("""COMPUTED_VALUE"""),"#VALUE!")</f>
        <v>#VALUE!</v>
      </c>
      <c r="J424" s="51" t="str">
        <f>IFERROR(__xludf.DUMMYFUNCTION("""COMPUTED_VALUE"""),"")</f>
        <v/>
      </c>
      <c r="K424" s="51"/>
      <c r="L424" s="51" t="s">
        <v>257</v>
      </c>
      <c r="M424" s="51"/>
      <c r="N424" s="51"/>
      <c r="O424" s="51"/>
      <c r="P424" s="51"/>
      <c r="Q424" s="51"/>
      <c r="R424" s="51"/>
      <c r="S424" s="51"/>
      <c r="T424" s="51"/>
    </row>
    <row r="425">
      <c r="A425" s="51"/>
      <c r="B425" s="51"/>
      <c r="C425" s="56"/>
      <c r="D425" s="51"/>
      <c r="E425" s="51"/>
      <c r="F425" s="51"/>
      <c r="G425" s="51" t="str">
        <f>IFERROR(__xludf.DUMMYFUNCTION("""COMPUTED_VALUE"""),"#VALUE!")</f>
        <v>#VALUE!</v>
      </c>
      <c r="H425" s="51" t="str">
        <f>IFERROR(__xludf.DUMMYFUNCTION("""COMPUTED_VALUE"""),"")</f>
        <v/>
      </c>
      <c r="I425" s="51" t="str">
        <f>IFERROR(__xludf.DUMMYFUNCTION("""COMPUTED_VALUE"""),"#VALUE!")</f>
        <v>#VALUE!</v>
      </c>
      <c r="J425" s="51" t="str">
        <f>IFERROR(__xludf.DUMMYFUNCTION("""COMPUTED_VALUE"""),"")</f>
        <v/>
      </c>
      <c r="K425" s="51"/>
      <c r="L425" s="51" t="s">
        <v>257</v>
      </c>
      <c r="M425" s="51"/>
      <c r="N425" s="51"/>
      <c r="O425" s="51"/>
      <c r="P425" s="51"/>
      <c r="Q425" s="51"/>
      <c r="R425" s="51"/>
      <c r="S425" s="51"/>
      <c r="T425" s="51"/>
    </row>
    <row r="426">
      <c r="A426" s="51"/>
      <c r="B426" s="51"/>
      <c r="C426" s="56"/>
      <c r="D426" s="51"/>
      <c r="E426" s="51"/>
      <c r="F426" s="51"/>
      <c r="G426" s="51" t="str">
        <f>IFERROR(__xludf.DUMMYFUNCTION("""COMPUTED_VALUE"""),"#VALUE!")</f>
        <v>#VALUE!</v>
      </c>
      <c r="H426" s="51" t="str">
        <f>IFERROR(__xludf.DUMMYFUNCTION("""COMPUTED_VALUE"""),"")</f>
        <v/>
      </c>
      <c r="I426" s="51" t="str">
        <f>IFERROR(__xludf.DUMMYFUNCTION("""COMPUTED_VALUE"""),"#VALUE!")</f>
        <v>#VALUE!</v>
      </c>
      <c r="J426" s="51" t="str">
        <f>IFERROR(__xludf.DUMMYFUNCTION("""COMPUTED_VALUE"""),"")</f>
        <v/>
      </c>
      <c r="K426" s="51"/>
      <c r="L426" s="51" t="s">
        <v>257</v>
      </c>
      <c r="M426" s="51"/>
      <c r="N426" s="51"/>
      <c r="O426" s="51"/>
      <c r="P426" s="51"/>
      <c r="Q426" s="51"/>
      <c r="R426" s="51"/>
      <c r="S426" s="51"/>
      <c r="T426" s="51"/>
    </row>
    <row r="427">
      <c r="A427" s="51"/>
      <c r="B427" s="51"/>
      <c r="C427" s="56"/>
      <c r="D427" s="51"/>
      <c r="E427" s="51"/>
      <c r="F427" s="51"/>
      <c r="G427" s="51" t="str">
        <f>IFERROR(__xludf.DUMMYFUNCTION("""COMPUTED_VALUE"""),"#VALUE!")</f>
        <v>#VALUE!</v>
      </c>
      <c r="H427" s="51" t="str">
        <f>IFERROR(__xludf.DUMMYFUNCTION("""COMPUTED_VALUE"""),"")</f>
        <v/>
      </c>
      <c r="I427" s="51" t="str">
        <f>IFERROR(__xludf.DUMMYFUNCTION("""COMPUTED_VALUE"""),"#VALUE!")</f>
        <v>#VALUE!</v>
      </c>
      <c r="J427" s="51" t="str">
        <f>IFERROR(__xludf.DUMMYFUNCTION("""COMPUTED_VALUE"""),"")</f>
        <v/>
      </c>
      <c r="K427" s="51"/>
      <c r="L427" s="51" t="s">
        <v>257</v>
      </c>
      <c r="M427" s="51"/>
      <c r="N427" s="51"/>
      <c r="O427" s="51"/>
      <c r="P427" s="51"/>
      <c r="Q427" s="51"/>
      <c r="R427" s="51"/>
      <c r="S427" s="51"/>
      <c r="T427" s="51"/>
    </row>
    <row r="428">
      <c r="A428" s="51"/>
      <c r="B428" s="51"/>
      <c r="C428" s="56"/>
      <c r="D428" s="51"/>
      <c r="E428" s="51"/>
      <c r="F428" s="51"/>
      <c r="G428" s="51" t="str">
        <f>IFERROR(__xludf.DUMMYFUNCTION("""COMPUTED_VALUE"""),"#VALUE!")</f>
        <v>#VALUE!</v>
      </c>
      <c r="H428" s="51" t="str">
        <f>IFERROR(__xludf.DUMMYFUNCTION("""COMPUTED_VALUE"""),"")</f>
        <v/>
      </c>
      <c r="I428" s="51" t="str">
        <f>IFERROR(__xludf.DUMMYFUNCTION("""COMPUTED_VALUE"""),"#VALUE!")</f>
        <v>#VALUE!</v>
      </c>
      <c r="J428" s="51" t="str">
        <f>IFERROR(__xludf.DUMMYFUNCTION("""COMPUTED_VALUE"""),"")</f>
        <v/>
      </c>
      <c r="K428" s="51"/>
      <c r="L428" s="51" t="s">
        <v>257</v>
      </c>
      <c r="M428" s="51"/>
      <c r="N428" s="51"/>
      <c r="O428" s="51"/>
      <c r="P428" s="51"/>
      <c r="Q428" s="51"/>
      <c r="R428" s="51"/>
      <c r="S428" s="51"/>
      <c r="T428" s="51"/>
    </row>
    <row r="429">
      <c r="A429" s="51"/>
      <c r="B429" s="51"/>
      <c r="C429" s="56"/>
      <c r="D429" s="51"/>
      <c r="E429" s="51"/>
      <c r="F429" s="51"/>
      <c r="G429" s="51" t="str">
        <f>IFERROR(__xludf.DUMMYFUNCTION("""COMPUTED_VALUE"""),"#VALUE!")</f>
        <v>#VALUE!</v>
      </c>
      <c r="H429" s="51" t="str">
        <f>IFERROR(__xludf.DUMMYFUNCTION("""COMPUTED_VALUE"""),"")</f>
        <v/>
      </c>
      <c r="I429" s="51" t="str">
        <f>IFERROR(__xludf.DUMMYFUNCTION("""COMPUTED_VALUE"""),"#VALUE!")</f>
        <v>#VALUE!</v>
      </c>
      <c r="J429" s="51" t="str">
        <f>IFERROR(__xludf.DUMMYFUNCTION("""COMPUTED_VALUE"""),"")</f>
        <v/>
      </c>
      <c r="K429" s="51"/>
      <c r="L429" s="51" t="s">
        <v>257</v>
      </c>
      <c r="M429" s="51"/>
      <c r="N429" s="51"/>
      <c r="O429" s="51"/>
      <c r="P429" s="51"/>
      <c r="Q429" s="51"/>
      <c r="R429" s="51"/>
      <c r="S429" s="51"/>
      <c r="T429" s="51"/>
    </row>
    <row r="430">
      <c r="A430" s="51"/>
      <c r="B430" s="51"/>
      <c r="C430" s="56"/>
      <c r="D430" s="51"/>
      <c r="E430" s="51"/>
      <c r="F430" s="51"/>
      <c r="G430" s="51" t="str">
        <f>IFERROR(__xludf.DUMMYFUNCTION("""COMPUTED_VALUE"""),"#VALUE!")</f>
        <v>#VALUE!</v>
      </c>
      <c r="H430" s="51" t="str">
        <f>IFERROR(__xludf.DUMMYFUNCTION("""COMPUTED_VALUE"""),"")</f>
        <v/>
      </c>
      <c r="I430" s="51" t="str">
        <f>IFERROR(__xludf.DUMMYFUNCTION("""COMPUTED_VALUE"""),"#VALUE!")</f>
        <v>#VALUE!</v>
      </c>
      <c r="J430" s="51" t="str">
        <f>IFERROR(__xludf.DUMMYFUNCTION("""COMPUTED_VALUE"""),"")</f>
        <v/>
      </c>
      <c r="K430" s="51"/>
      <c r="L430" s="51" t="s">
        <v>257</v>
      </c>
      <c r="M430" s="51"/>
      <c r="N430" s="51"/>
      <c r="O430" s="51"/>
      <c r="P430" s="51"/>
      <c r="Q430" s="51"/>
      <c r="R430" s="51"/>
      <c r="S430" s="51"/>
      <c r="T430" s="51"/>
    </row>
    <row r="431">
      <c r="A431" s="51"/>
      <c r="B431" s="51"/>
      <c r="C431" s="56"/>
      <c r="D431" s="51"/>
      <c r="E431" s="51"/>
      <c r="F431" s="51"/>
      <c r="G431" s="51" t="str">
        <f>IFERROR(__xludf.DUMMYFUNCTION("""COMPUTED_VALUE"""),"#VALUE!")</f>
        <v>#VALUE!</v>
      </c>
      <c r="H431" s="51" t="str">
        <f>IFERROR(__xludf.DUMMYFUNCTION("""COMPUTED_VALUE"""),"")</f>
        <v/>
      </c>
      <c r="I431" s="51" t="str">
        <f>IFERROR(__xludf.DUMMYFUNCTION("""COMPUTED_VALUE"""),"#VALUE!")</f>
        <v>#VALUE!</v>
      </c>
      <c r="J431" s="51" t="str">
        <f>IFERROR(__xludf.DUMMYFUNCTION("""COMPUTED_VALUE"""),"")</f>
        <v/>
      </c>
      <c r="K431" s="51"/>
      <c r="L431" s="51" t="s">
        <v>257</v>
      </c>
      <c r="M431" s="51"/>
      <c r="N431" s="51"/>
      <c r="O431" s="51"/>
      <c r="P431" s="51"/>
      <c r="Q431" s="51"/>
      <c r="R431" s="51"/>
      <c r="S431" s="51"/>
      <c r="T431" s="51"/>
    </row>
    <row r="432">
      <c r="A432" s="51"/>
      <c r="B432" s="51"/>
      <c r="C432" s="56"/>
      <c r="D432" s="51"/>
      <c r="E432" s="51"/>
      <c r="F432" s="51"/>
      <c r="G432" s="51" t="str">
        <f>IFERROR(__xludf.DUMMYFUNCTION("""COMPUTED_VALUE"""),"#VALUE!")</f>
        <v>#VALUE!</v>
      </c>
      <c r="H432" s="51" t="str">
        <f>IFERROR(__xludf.DUMMYFUNCTION("""COMPUTED_VALUE"""),"")</f>
        <v/>
      </c>
      <c r="I432" s="51" t="str">
        <f>IFERROR(__xludf.DUMMYFUNCTION("""COMPUTED_VALUE"""),"#VALUE!")</f>
        <v>#VALUE!</v>
      </c>
      <c r="J432" s="51" t="str">
        <f>IFERROR(__xludf.DUMMYFUNCTION("""COMPUTED_VALUE"""),"")</f>
        <v/>
      </c>
      <c r="K432" s="51"/>
      <c r="L432" s="51" t="s">
        <v>257</v>
      </c>
      <c r="M432" s="51"/>
      <c r="N432" s="51"/>
      <c r="O432" s="51"/>
      <c r="P432" s="51"/>
      <c r="Q432" s="51"/>
      <c r="R432" s="51"/>
      <c r="S432" s="51"/>
      <c r="T432" s="51"/>
    </row>
    <row r="433">
      <c r="A433" s="51"/>
      <c r="B433" s="51"/>
      <c r="C433" s="56"/>
      <c r="D433" s="51"/>
      <c r="E433" s="51"/>
      <c r="F433" s="51"/>
      <c r="G433" s="51" t="str">
        <f>IFERROR(__xludf.DUMMYFUNCTION("""COMPUTED_VALUE"""),"#VALUE!")</f>
        <v>#VALUE!</v>
      </c>
      <c r="H433" s="51" t="str">
        <f>IFERROR(__xludf.DUMMYFUNCTION("""COMPUTED_VALUE"""),"")</f>
        <v/>
      </c>
      <c r="I433" s="51" t="str">
        <f>IFERROR(__xludf.DUMMYFUNCTION("""COMPUTED_VALUE"""),"#VALUE!")</f>
        <v>#VALUE!</v>
      </c>
      <c r="J433" s="51" t="str">
        <f>IFERROR(__xludf.DUMMYFUNCTION("""COMPUTED_VALUE"""),"")</f>
        <v/>
      </c>
      <c r="K433" s="51"/>
      <c r="L433" s="51" t="s">
        <v>257</v>
      </c>
      <c r="M433" s="51"/>
      <c r="N433" s="51"/>
      <c r="O433" s="51"/>
      <c r="P433" s="51"/>
      <c r="Q433" s="51"/>
      <c r="R433" s="51"/>
      <c r="S433" s="51"/>
      <c r="T433" s="51"/>
    </row>
    <row r="434">
      <c r="A434" s="51"/>
      <c r="B434" s="51"/>
      <c r="C434" s="56"/>
      <c r="D434" s="51"/>
      <c r="E434" s="51"/>
      <c r="F434" s="51"/>
      <c r="G434" s="51" t="str">
        <f>IFERROR(__xludf.DUMMYFUNCTION("""COMPUTED_VALUE"""),"#VALUE!")</f>
        <v>#VALUE!</v>
      </c>
      <c r="H434" s="51" t="str">
        <f>IFERROR(__xludf.DUMMYFUNCTION("""COMPUTED_VALUE"""),"")</f>
        <v/>
      </c>
      <c r="I434" s="51" t="str">
        <f>IFERROR(__xludf.DUMMYFUNCTION("""COMPUTED_VALUE"""),"#VALUE!")</f>
        <v>#VALUE!</v>
      </c>
      <c r="J434" s="51" t="str">
        <f>IFERROR(__xludf.DUMMYFUNCTION("""COMPUTED_VALUE"""),"")</f>
        <v/>
      </c>
      <c r="K434" s="51"/>
      <c r="L434" s="51" t="s">
        <v>257</v>
      </c>
      <c r="M434" s="51"/>
      <c r="N434" s="51"/>
      <c r="O434" s="51"/>
      <c r="P434" s="51"/>
      <c r="Q434" s="51"/>
      <c r="R434" s="51"/>
      <c r="S434" s="51"/>
      <c r="T434" s="51"/>
    </row>
    <row r="435">
      <c r="A435" s="51"/>
      <c r="B435" s="51"/>
      <c r="C435" s="56"/>
      <c r="D435" s="51"/>
      <c r="E435" s="51"/>
      <c r="F435" s="51"/>
      <c r="G435" s="51" t="str">
        <f>IFERROR(__xludf.DUMMYFUNCTION("""COMPUTED_VALUE"""),"#VALUE!")</f>
        <v>#VALUE!</v>
      </c>
      <c r="H435" s="51" t="str">
        <f>IFERROR(__xludf.DUMMYFUNCTION("""COMPUTED_VALUE"""),"")</f>
        <v/>
      </c>
      <c r="I435" s="51" t="str">
        <f>IFERROR(__xludf.DUMMYFUNCTION("""COMPUTED_VALUE"""),"#VALUE!")</f>
        <v>#VALUE!</v>
      </c>
      <c r="J435" s="51" t="str">
        <f>IFERROR(__xludf.DUMMYFUNCTION("""COMPUTED_VALUE"""),"")</f>
        <v/>
      </c>
      <c r="K435" s="51"/>
      <c r="L435" s="51" t="s">
        <v>257</v>
      </c>
      <c r="M435" s="51"/>
      <c r="N435" s="51"/>
      <c r="O435" s="51"/>
      <c r="P435" s="51"/>
      <c r="Q435" s="51"/>
      <c r="R435" s="51"/>
      <c r="S435" s="51"/>
      <c r="T435" s="51"/>
    </row>
    <row r="436">
      <c r="A436" s="51"/>
      <c r="B436" s="51"/>
      <c r="C436" s="56"/>
      <c r="D436" s="51"/>
      <c r="E436" s="51"/>
      <c r="F436" s="51"/>
      <c r="G436" s="51" t="str">
        <f>IFERROR(__xludf.DUMMYFUNCTION("""COMPUTED_VALUE"""),"#VALUE!")</f>
        <v>#VALUE!</v>
      </c>
      <c r="H436" s="51" t="str">
        <f>IFERROR(__xludf.DUMMYFUNCTION("""COMPUTED_VALUE"""),"")</f>
        <v/>
      </c>
      <c r="I436" s="51" t="str">
        <f>IFERROR(__xludf.DUMMYFUNCTION("""COMPUTED_VALUE"""),"#VALUE!")</f>
        <v>#VALUE!</v>
      </c>
      <c r="J436" s="51" t="str">
        <f>IFERROR(__xludf.DUMMYFUNCTION("""COMPUTED_VALUE"""),"")</f>
        <v/>
      </c>
      <c r="K436" s="51"/>
      <c r="L436" s="51" t="s">
        <v>257</v>
      </c>
      <c r="M436" s="51"/>
      <c r="N436" s="51"/>
      <c r="O436" s="51"/>
      <c r="P436" s="51"/>
      <c r="Q436" s="51"/>
      <c r="R436" s="51"/>
      <c r="S436" s="51"/>
      <c r="T436" s="51"/>
    </row>
    <row r="437">
      <c r="A437" s="51"/>
      <c r="B437" s="51"/>
      <c r="C437" s="56"/>
      <c r="D437" s="51"/>
      <c r="E437" s="51"/>
      <c r="F437" s="51"/>
      <c r="G437" s="51" t="str">
        <f>IFERROR(__xludf.DUMMYFUNCTION("""COMPUTED_VALUE"""),"#VALUE!")</f>
        <v>#VALUE!</v>
      </c>
      <c r="H437" s="51" t="str">
        <f>IFERROR(__xludf.DUMMYFUNCTION("""COMPUTED_VALUE"""),"")</f>
        <v/>
      </c>
      <c r="I437" s="51" t="str">
        <f>IFERROR(__xludf.DUMMYFUNCTION("""COMPUTED_VALUE"""),"#VALUE!")</f>
        <v>#VALUE!</v>
      </c>
      <c r="J437" s="51" t="str">
        <f>IFERROR(__xludf.DUMMYFUNCTION("""COMPUTED_VALUE"""),"")</f>
        <v/>
      </c>
      <c r="K437" s="51"/>
      <c r="L437" s="51" t="s">
        <v>257</v>
      </c>
      <c r="M437" s="51"/>
      <c r="N437" s="51"/>
      <c r="O437" s="51"/>
      <c r="P437" s="51"/>
      <c r="Q437" s="51"/>
      <c r="R437" s="51"/>
      <c r="S437" s="51"/>
      <c r="T437" s="51"/>
    </row>
    <row r="438">
      <c r="A438" s="51"/>
      <c r="B438" s="51"/>
      <c r="C438" s="56"/>
      <c r="D438" s="51"/>
      <c r="E438" s="51"/>
      <c r="F438" s="51"/>
      <c r="G438" s="51" t="str">
        <f>IFERROR(__xludf.DUMMYFUNCTION("""COMPUTED_VALUE"""),"#VALUE!")</f>
        <v>#VALUE!</v>
      </c>
      <c r="H438" s="51" t="str">
        <f>IFERROR(__xludf.DUMMYFUNCTION("""COMPUTED_VALUE"""),"")</f>
        <v/>
      </c>
      <c r="I438" s="51" t="str">
        <f>IFERROR(__xludf.DUMMYFUNCTION("""COMPUTED_VALUE"""),"#VALUE!")</f>
        <v>#VALUE!</v>
      </c>
      <c r="J438" s="51" t="str">
        <f>IFERROR(__xludf.DUMMYFUNCTION("""COMPUTED_VALUE"""),"")</f>
        <v/>
      </c>
      <c r="K438" s="51"/>
      <c r="L438" s="51" t="s">
        <v>257</v>
      </c>
      <c r="M438" s="51"/>
      <c r="N438" s="51"/>
      <c r="O438" s="51"/>
      <c r="P438" s="51"/>
      <c r="Q438" s="51"/>
      <c r="R438" s="51"/>
      <c r="S438" s="51"/>
      <c r="T438" s="51"/>
    </row>
    <row r="439">
      <c r="A439" s="51"/>
      <c r="B439" s="51"/>
      <c r="C439" s="56"/>
      <c r="D439" s="51"/>
      <c r="E439" s="51"/>
      <c r="F439" s="51"/>
      <c r="G439" s="51" t="str">
        <f>IFERROR(__xludf.DUMMYFUNCTION("""COMPUTED_VALUE"""),"#VALUE!")</f>
        <v>#VALUE!</v>
      </c>
      <c r="H439" s="51" t="str">
        <f>IFERROR(__xludf.DUMMYFUNCTION("""COMPUTED_VALUE"""),"")</f>
        <v/>
      </c>
      <c r="I439" s="51" t="str">
        <f>IFERROR(__xludf.DUMMYFUNCTION("""COMPUTED_VALUE"""),"#VALUE!")</f>
        <v>#VALUE!</v>
      </c>
      <c r="J439" s="51" t="str">
        <f>IFERROR(__xludf.DUMMYFUNCTION("""COMPUTED_VALUE"""),"")</f>
        <v/>
      </c>
      <c r="K439" s="51"/>
      <c r="L439" s="51" t="s">
        <v>257</v>
      </c>
      <c r="M439" s="51"/>
      <c r="N439" s="51"/>
      <c r="O439" s="51"/>
      <c r="P439" s="51"/>
      <c r="Q439" s="51"/>
      <c r="R439" s="51"/>
      <c r="S439" s="51"/>
      <c r="T439" s="51"/>
    </row>
    <row r="440">
      <c r="A440" s="51"/>
      <c r="B440" s="51"/>
      <c r="C440" s="56"/>
      <c r="D440" s="51"/>
      <c r="E440" s="51"/>
      <c r="F440" s="51"/>
      <c r="G440" s="51" t="str">
        <f>IFERROR(__xludf.DUMMYFUNCTION("""COMPUTED_VALUE"""),"#VALUE!")</f>
        <v>#VALUE!</v>
      </c>
      <c r="H440" s="51" t="str">
        <f>IFERROR(__xludf.DUMMYFUNCTION("""COMPUTED_VALUE"""),"")</f>
        <v/>
      </c>
      <c r="I440" s="51" t="str">
        <f>IFERROR(__xludf.DUMMYFUNCTION("""COMPUTED_VALUE"""),"#VALUE!")</f>
        <v>#VALUE!</v>
      </c>
      <c r="J440" s="51" t="str">
        <f>IFERROR(__xludf.DUMMYFUNCTION("""COMPUTED_VALUE"""),"")</f>
        <v/>
      </c>
      <c r="K440" s="51"/>
      <c r="L440" s="51" t="s">
        <v>257</v>
      </c>
      <c r="M440" s="51"/>
      <c r="N440" s="51"/>
      <c r="O440" s="51"/>
      <c r="P440" s="51"/>
      <c r="Q440" s="51"/>
      <c r="R440" s="51"/>
      <c r="S440" s="51"/>
      <c r="T440" s="51"/>
    </row>
    <row r="441">
      <c r="A441" s="51"/>
      <c r="B441" s="51"/>
      <c r="C441" s="56"/>
      <c r="D441" s="51"/>
      <c r="E441" s="51"/>
      <c r="F441" s="51"/>
      <c r="G441" s="51" t="str">
        <f>IFERROR(__xludf.DUMMYFUNCTION("""COMPUTED_VALUE"""),"#VALUE!")</f>
        <v>#VALUE!</v>
      </c>
      <c r="H441" s="51" t="str">
        <f>IFERROR(__xludf.DUMMYFUNCTION("""COMPUTED_VALUE"""),"")</f>
        <v/>
      </c>
      <c r="I441" s="51" t="str">
        <f>IFERROR(__xludf.DUMMYFUNCTION("""COMPUTED_VALUE"""),"#VALUE!")</f>
        <v>#VALUE!</v>
      </c>
      <c r="J441" s="51" t="str">
        <f>IFERROR(__xludf.DUMMYFUNCTION("""COMPUTED_VALUE"""),"")</f>
        <v/>
      </c>
      <c r="K441" s="51"/>
      <c r="L441" s="51" t="s">
        <v>257</v>
      </c>
      <c r="M441" s="51"/>
      <c r="N441" s="51"/>
      <c r="O441" s="51"/>
      <c r="P441" s="51"/>
      <c r="Q441" s="51"/>
      <c r="R441" s="51"/>
      <c r="S441" s="51"/>
      <c r="T441" s="51"/>
    </row>
    <row r="442">
      <c r="A442" s="51"/>
      <c r="B442" s="51"/>
      <c r="C442" s="56"/>
      <c r="D442" s="51"/>
      <c r="E442" s="51"/>
      <c r="F442" s="51"/>
      <c r="G442" s="51" t="str">
        <f>IFERROR(__xludf.DUMMYFUNCTION("""COMPUTED_VALUE"""),"#VALUE!")</f>
        <v>#VALUE!</v>
      </c>
      <c r="H442" s="51" t="str">
        <f>IFERROR(__xludf.DUMMYFUNCTION("""COMPUTED_VALUE"""),"")</f>
        <v/>
      </c>
      <c r="I442" s="51" t="str">
        <f>IFERROR(__xludf.DUMMYFUNCTION("""COMPUTED_VALUE"""),"#VALUE!")</f>
        <v>#VALUE!</v>
      </c>
      <c r="J442" s="51" t="str">
        <f>IFERROR(__xludf.DUMMYFUNCTION("""COMPUTED_VALUE"""),"")</f>
        <v/>
      </c>
      <c r="K442" s="51"/>
      <c r="L442" s="51" t="s">
        <v>257</v>
      </c>
      <c r="M442" s="51"/>
      <c r="N442" s="51"/>
      <c r="O442" s="51"/>
      <c r="P442" s="51"/>
      <c r="Q442" s="51"/>
      <c r="R442" s="51"/>
      <c r="S442" s="51"/>
      <c r="T442" s="51"/>
    </row>
    <row r="443">
      <c r="A443" s="51"/>
      <c r="B443" s="51"/>
      <c r="C443" s="56"/>
      <c r="D443" s="51"/>
      <c r="E443" s="51"/>
      <c r="F443" s="51"/>
      <c r="G443" s="51" t="str">
        <f>IFERROR(__xludf.DUMMYFUNCTION("""COMPUTED_VALUE"""),"#VALUE!")</f>
        <v>#VALUE!</v>
      </c>
      <c r="H443" s="51" t="str">
        <f>IFERROR(__xludf.DUMMYFUNCTION("""COMPUTED_VALUE"""),"")</f>
        <v/>
      </c>
      <c r="I443" s="51" t="str">
        <f>IFERROR(__xludf.DUMMYFUNCTION("""COMPUTED_VALUE"""),"#VALUE!")</f>
        <v>#VALUE!</v>
      </c>
      <c r="J443" s="51" t="str">
        <f>IFERROR(__xludf.DUMMYFUNCTION("""COMPUTED_VALUE"""),"")</f>
        <v/>
      </c>
      <c r="K443" s="51"/>
      <c r="L443" s="51" t="s">
        <v>257</v>
      </c>
      <c r="M443" s="51"/>
      <c r="N443" s="51"/>
      <c r="O443" s="51"/>
      <c r="P443" s="51"/>
      <c r="Q443" s="51"/>
      <c r="R443" s="51"/>
      <c r="S443" s="51"/>
      <c r="T443" s="51"/>
    </row>
    <row r="444">
      <c r="A444" s="51"/>
      <c r="B444" s="51"/>
      <c r="C444" s="56"/>
      <c r="D444" s="51"/>
      <c r="E444" s="51"/>
      <c r="F444" s="51"/>
      <c r="G444" s="51" t="str">
        <f>IFERROR(__xludf.DUMMYFUNCTION("""COMPUTED_VALUE"""),"#VALUE!")</f>
        <v>#VALUE!</v>
      </c>
      <c r="H444" s="51" t="str">
        <f>IFERROR(__xludf.DUMMYFUNCTION("""COMPUTED_VALUE"""),"")</f>
        <v/>
      </c>
      <c r="I444" s="51" t="str">
        <f>IFERROR(__xludf.DUMMYFUNCTION("""COMPUTED_VALUE"""),"#VALUE!")</f>
        <v>#VALUE!</v>
      </c>
      <c r="J444" s="51" t="str">
        <f>IFERROR(__xludf.DUMMYFUNCTION("""COMPUTED_VALUE"""),"")</f>
        <v/>
      </c>
      <c r="K444" s="51"/>
      <c r="L444" s="51" t="s">
        <v>257</v>
      </c>
      <c r="M444" s="51"/>
      <c r="N444" s="51"/>
      <c r="O444" s="51"/>
      <c r="P444" s="51"/>
      <c r="Q444" s="51"/>
      <c r="R444" s="51"/>
      <c r="S444" s="51"/>
      <c r="T444" s="51"/>
    </row>
    <row r="445">
      <c r="A445" s="51"/>
      <c r="B445" s="51"/>
      <c r="C445" s="56"/>
      <c r="D445" s="51"/>
      <c r="E445" s="51"/>
      <c r="F445" s="51"/>
      <c r="G445" s="51" t="str">
        <f>IFERROR(__xludf.DUMMYFUNCTION("""COMPUTED_VALUE"""),"#VALUE!")</f>
        <v>#VALUE!</v>
      </c>
      <c r="H445" s="51" t="str">
        <f>IFERROR(__xludf.DUMMYFUNCTION("""COMPUTED_VALUE"""),"")</f>
        <v/>
      </c>
      <c r="I445" s="51" t="str">
        <f>IFERROR(__xludf.DUMMYFUNCTION("""COMPUTED_VALUE"""),"#VALUE!")</f>
        <v>#VALUE!</v>
      </c>
      <c r="J445" s="51" t="str">
        <f>IFERROR(__xludf.DUMMYFUNCTION("""COMPUTED_VALUE"""),"")</f>
        <v/>
      </c>
      <c r="K445" s="51"/>
      <c r="L445" s="51" t="s">
        <v>257</v>
      </c>
      <c r="M445" s="51"/>
      <c r="N445" s="51"/>
      <c r="O445" s="51"/>
      <c r="P445" s="51"/>
      <c r="Q445" s="51"/>
      <c r="R445" s="51"/>
      <c r="S445" s="51"/>
      <c r="T445" s="51"/>
    </row>
    <row r="446">
      <c r="A446" s="51"/>
      <c r="B446" s="51"/>
      <c r="C446" s="56"/>
      <c r="D446" s="51"/>
      <c r="E446" s="51"/>
      <c r="F446" s="51"/>
      <c r="G446" s="51" t="str">
        <f>IFERROR(__xludf.DUMMYFUNCTION("""COMPUTED_VALUE"""),"#VALUE!")</f>
        <v>#VALUE!</v>
      </c>
      <c r="H446" s="51" t="str">
        <f>IFERROR(__xludf.DUMMYFUNCTION("""COMPUTED_VALUE"""),"")</f>
        <v/>
      </c>
      <c r="I446" s="51" t="str">
        <f>IFERROR(__xludf.DUMMYFUNCTION("""COMPUTED_VALUE"""),"#VALUE!")</f>
        <v>#VALUE!</v>
      </c>
      <c r="J446" s="51" t="str">
        <f>IFERROR(__xludf.DUMMYFUNCTION("""COMPUTED_VALUE"""),"")</f>
        <v/>
      </c>
      <c r="K446" s="51"/>
      <c r="L446" s="51" t="s">
        <v>257</v>
      </c>
      <c r="M446" s="51"/>
      <c r="N446" s="51"/>
      <c r="O446" s="51"/>
      <c r="P446" s="51"/>
      <c r="Q446" s="51"/>
      <c r="R446" s="51"/>
      <c r="S446" s="51"/>
      <c r="T446" s="51"/>
    </row>
    <row r="447">
      <c r="A447" s="51"/>
      <c r="B447" s="51"/>
      <c r="C447" s="56"/>
      <c r="D447" s="51"/>
      <c r="E447" s="51"/>
      <c r="F447" s="51"/>
      <c r="G447" s="51" t="str">
        <f>IFERROR(__xludf.DUMMYFUNCTION("""COMPUTED_VALUE"""),"#VALUE!")</f>
        <v>#VALUE!</v>
      </c>
      <c r="H447" s="51" t="str">
        <f>IFERROR(__xludf.DUMMYFUNCTION("""COMPUTED_VALUE"""),"")</f>
        <v/>
      </c>
      <c r="I447" s="51" t="str">
        <f>IFERROR(__xludf.DUMMYFUNCTION("""COMPUTED_VALUE"""),"#VALUE!")</f>
        <v>#VALUE!</v>
      </c>
      <c r="J447" s="51" t="str">
        <f>IFERROR(__xludf.DUMMYFUNCTION("""COMPUTED_VALUE"""),"")</f>
        <v/>
      </c>
      <c r="K447" s="51"/>
      <c r="L447" s="51" t="s">
        <v>257</v>
      </c>
      <c r="M447" s="51"/>
      <c r="N447" s="51"/>
      <c r="O447" s="51"/>
      <c r="P447" s="51"/>
      <c r="Q447" s="51"/>
      <c r="R447" s="51"/>
      <c r="S447" s="51"/>
      <c r="T447" s="51"/>
    </row>
    <row r="448">
      <c r="A448" s="51"/>
      <c r="B448" s="51"/>
      <c r="C448" s="56"/>
      <c r="D448" s="51"/>
      <c r="E448" s="51"/>
      <c r="F448" s="51"/>
      <c r="G448" s="51" t="str">
        <f>IFERROR(__xludf.DUMMYFUNCTION("""COMPUTED_VALUE"""),"#VALUE!")</f>
        <v>#VALUE!</v>
      </c>
      <c r="H448" s="51" t="str">
        <f>IFERROR(__xludf.DUMMYFUNCTION("""COMPUTED_VALUE"""),"")</f>
        <v/>
      </c>
      <c r="I448" s="51" t="str">
        <f>IFERROR(__xludf.DUMMYFUNCTION("""COMPUTED_VALUE"""),"#VALUE!")</f>
        <v>#VALUE!</v>
      </c>
      <c r="J448" s="51" t="str">
        <f>IFERROR(__xludf.DUMMYFUNCTION("""COMPUTED_VALUE"""),"")</f>
        <v/>
      </c>
      <c r="K448" s="51"/>
      <c r="L448" s="51" t="s">
        <v>257</v>
      </c>
      <c r="M448" s="51"/>
      <c r="N448" s="51"/>
      <c r="O448" s="51"/>
      <c r="P448" s="51"/>
      <c r="Q448" s="51"/>
      <c r="R448" s="51"/>
      <c r="S448" s="51"/>
      <c r="T448" s="51"/>
    </row>
    <row r="449">
      <c r="A449" s="51"/>
      <c r="B449" s="51"/>
      <c r="C449" s="56"/>
      <c r="D449" s="51"/>
      <c r="E449" s="51"/>
      <c r="F449" s="51"/>
      <c r="G449" s="51" t="str">
        <f>IFERROR(__xludf.DUMMYFUNCTION("""COMPUTED_VALUE"""),"#VALUE!")</f>
        <v>#VALUE!</v>
      </c>
      <c r="H449" s="51" t="str">
        <f>IFERROR(__xludf.DUMMYFUNCTION("""COMPUTED_VALUE"""),"")</f>
        <v/>
      </c>
      <c r="I449" s="51" t="str">
        <f>IFERROR(__xludf.DUMMYFUNCTION("""COMPUTED_VALUE"""),"#VALUE!")</f>
        <v>#VALUE!</v>
      </c>
      <c r="J449" s="51" t="str">
        <f>IFERROR(__xludf.DUMMYFUNCTION("""COMPUTED_VALUE"""),"")</f>
        <v/>
      </c>
      <c r="K449" s="51"/>
      <c r="L449" s="51" t="s">
        <v>257</v>
      </c>
      <c r="M449" s="51"/>
      <c r="N449" s="51"/>
      <c r="O449" s="51"/>
      <c r="P449" s="51"/>
      <c r="Q449" s="51"/>
      <c r="R449" s="51"/>
      <c r="S449" s="51"/>
      <c r="T449" s="51"/>
    </row>
    <row r="450">
      <c r="A450" s="51"/>
      <c r="B450" s="51"/>
      <c r="C450" s="56"/>
      <c r="D450" s="51"/>
      <c r="E450" s="51"/>
      <c r="F450" s="51"/>
      <c r="G450" s="51" t="str">
        <f>IFERROR(__xludf.DUMMYFUNCTION("""COMPUTED_VALUE"""),"#VALUE!")</f>
        <v>#VALUE!</v>
      </c>
      <c r="H450" s="51" t="str">
        <f>IFERROR(__xludf.DUMMYFUNCTION("""COMPUTED_VALUE"""),"")</f>
        <v/>
      </c>
      <c r="I450" s="51" t="str">
        <f>IFERROR(__xludf.DUMMYFUNCTION("""COMPUTED_VALUE"""),"#VALUE!")</f>
        <v>#VALUE!</v>
      </c>
      <c r="J450" s="51" t="str">
        <f>IFERROR(__xludf.DUMMYFUNCTION("""COMPUTED_VALUE"""),"")</f>
        <v/>
      </c>
      <c r="K450" s="51"/>
      <c r="L450" s="51" t="s">
        <v>257</v>
      </c>
      <c r="M450" s="51"/>
      <c r="N450" s="51"/>
      <c r="O450" s="51"/>
      <c r="P450" s="51"/>
      <c r="Q450" s="51"/>
      <c r="R450" s="51"/>
      <c r="S450" s="51"/>
      <c r="T450" s="51"/>
    </row>
    <row r="451">
      <c r="A451" s="51"/>
      <c r="B451" s="51"/>
      <c r="C451" s="56"/>
      <c r="D451" s="51"/>
      <c r="E451" s="51"/>
      <c r="F451" s="51"/>
      <c r="G451" s="51" t="str">
        <f>IFERROR(__xludf.DUMMYFUNCTION("""COMPUTED_VALUE"""),"#VALUE!")</f>
        <v>#VALUE!</v>
      </c>
      <c r="H451" s="51" t="str">
        <f>IFERROR(__xludf.DUMMYFUNCTION("""COMPUTED_VALUE"""),"")</f>
        <v/>
      </c>
      <c r="I451" s="51" t="str">
        <f>IFERROR(__xludf.DUMMYFUNCTION("""COMPUTED_VALUE"""),"#VALUE!")</f>
        <v>#VALUE!</v>
      </c>
      <c r="J451" s="51" t="str">
        <f>IFERROR(__xludf.DUMMYFUNCTION("""COMPUTED_VALUE"""),"")</f>
        <v/>
      </c>
      <c r="K451" s="51"/>
      <c r="L451" s="51" t="s">
        <v>257</v>
      </c>
      <c r="M451" s="51"/>
      <c r="N451" s="51"/>
      <c r="O451" s="51"/>
      <c r="P451" s="51"/>
      <c r="Q451" s="51"/>
      <c r="R451" s="51"/>
      <c r="S451" s="51"/>
      <c r="T451" s="51"/>
    </row>
    <row r="452">
      <c r="A452" s="51"/>
      <c r="B452" s="51"/>
      <c r="C452" s="56"/>
      <c r="D452" s="51"/>
      <c r="E452" s="51"/>
      <c r="F452" s="51"/>
      <c r="G452" s="51" t="str">
        <f>IFERROR(__xludf.DUMMYFUNCTION("""COMPUTED_VALUE"""),"#VALUE!")</f>
        <v>#VALUE!</v>
      </c>
      <c r="H452" s="51" t="str">
        <f>IFERROR(__xludf.DUMMYFUNCTION("""COMPUTED_VALUE"""),"")</f>
        <v/>
      </c>
      <c r="I452" s="51" t="str">
        <f>IFERROR(__xludf.DUMMYFUNCTION("""COMPUTED_VALUE"""),"#VALUE!")</f>
        <v>#VALUE!</v>
      </c>
      <c r="J452" s="51" t="str">
        <f>IFERROR(__xludf.DUMMYFUNCTION("""COMPUTED_VALUE"""),"")</f>
        <v/>
      </c>
      <c r="K452" s="51"/>
      <c r="L452" s="51" t="s">
        <v>257</v>
      </c>
      <c r="M452" s="51"/>
      <c r="N452" s="51"/>
      <c r="O452" s="51"/>
      <c r="P452" s="51"/>
      <c r="Q452" s="51"/>
      <c r="R452" s="51"/>
      <c r="S452" s="51"/>
      <c r="T452" s="51"/>
    </row>
    <row r="453">
      <c r="A453" s="51"/>
      <c r="B453" s="51"/>
      <c r="C453" s="56"/>
      <c r="D453" s="51"/>
      <c r="E453" s="51"/>
      <c r="F453" s="51"/>
      <c r="G453" s="51" t="str">
        <f>IFERROR(__xludf.DUMMYFUNCTION("""COMPUTED_VALUE"""),"#VALUE!")</f>
        <v>#VALUE!</v>
      </c>
      <c r="H453" s="51" t="str">
        <f>IFERROR(__xludf.DUMMYFUNCTION("""COMPUTED_VALUE"""),"")</f>
        <v/>
      </c>
      <c r="I453" s="51" t="str">
        <f>IFERROR(__xludf.DUMMYFUNCTION("""COMPUTED_VALUE"""),"#VALUE!")</f>
        <v>#VALUE!</v>
      </c>
      <c r="J453" s="51" t="str">
        <f>IFERROR(__xludf.DUMMYFUNCTION("""COMPUTED_VALUE"""),"")</f>
        <v/>
      </c>
      <c r="K453" s="51"/>
      <c r="L453" s="51" t="s">
        <v>257</v>
      </c>
      <c r="M453" s="51"/>
      <c r="N453" s="51"/>
      <c r="O453" s="51"/>
      <c r="P453" s="51"/>
      <c r="Q453" s="51"/>
      <c r="R453" s="51"/>
      <c r="S453" s="51"/>
      <c r="T453" s="51"/>
    </row>
    <row r="454">
      <c r="A454" s="51"/>
      <c r="B454" s="51"/>
      <c r="C454" s="56"/>
      <c r="D454" s="51"/>
      <c r="E454" s="51"/>
      <c r="F454" s="51"/>
      <c r="G454" s="51" t="str">
        <f>IFERROR(__xludf.DUMMYFUNCTION("""COMPUTED_VALUE"""),"#VALUE!")</f>
        <v>#VALUE!</v>
      </c>
      <c r="H454" s="51" t="str">
        <f>IFERROR(__xludf.DUMMYFUNCTION("""COMPUTED_VALUE"""),"")</f>
        <v/>
      </c>
      <c r="I454" s="51" t="str">
        <f>IFERROR(__xludf.DUMMYFUNCTION("""COMPUTED_VALUE"""),"#VALUE!")</f>
        <v>#VALUE!</v>
      </c>
      <c r="J454" s="51" t="str">
        <f>IFERROR(__xludf.DUMMYFUNCTION("""COMPUTED_VALUE"""),"")</f>
        <v/>
      </c>
      <c r="K454" s="51"/>
      <c r="L454" s="51" t="s">
        <v>257</v>
      </c>
      <c r="M454" s="51"/>
      <c r="N454" s="51"/>
      <c r="O454" s="51"/>
      <c r="P454" s="51"/>
      <c r="Q454" s="51"/>
      <c r="R454" s="51"/>
      <c r="S454" s="51"/>
      <c r="T454" s="51"/>
    </row>
    <row r="455">
      <c r="A455" s="51"/>
      <c r="B455" s="51"/>
      <c r="C455" s="56"/>
      <c r="D455" s="51"/>
      <c r="E455" s="51"/>
      <c r="F455" s="51"/>
      <c r="G455" s="51" t="str">
        <f>IFERROR(__xludf.DUMMYFUNCTION("""COMPUTED_VALUE"""),"#VALUE!")</f>
        <v>#VALUE!</v>
      </c>
      <c r="H455" s="51" t="str">
        <f>IFERROR(__xludf.DUMMYFUNCTION("""COMPUTED_VALUE"""),"")</f>
        <v/>
      </c>
      <c r="I455" s="51" t="str">
        <f>IFERROR(__xludf.DUMMYFUNCTION("""COMPUTED_VALUE"""),"#VALUE!")</f>
        <v>#VALUE!</v>
      </c>
      <c r="J455" s="51" t="str">
        <f>IFERROR(__xludf.DUMMYFUNCTION("""COMPUTED_VALUE"""),"")</f>
        <v/>
      </c>
      <c r="K455" s="51"/>
      <c r="L455" s="51" t="s">
        <v>257</v>
      </c>
      <c r="M455" s="51"/>
      <c r="N455" s="51"/>
      <c r="O455" s="51"/>
      <c r="P455" s="51"/>
      <c r="Q455" s="51"/>
      <c r="R455" s="51"/>
      <c r="S455" s="51"/>
      <c r="T455" s="51"/>
    </row>
    <row r="456">
      <c r="A456" s="51"/>
      <c r="B456" s="51"/>
      <c r="C456" s="56"/>
      <c r="D456" s="51"/>
      <c r="E456" s="51"/>
      <c r="F456" s="51"/>
      <c r="G456" s="51" t="str">
        <f>IFERROR(__xludf.DUMMYFUNCTION("""COMPUTED_VALUE"""),"#VALUE!")</f>
        <v>#VALUE!</v>
      </c>
      <c r="H456" s="51" t="str">
        <f>IFERROR(__xludf.DUMMYFUNCTION("""COMPUTED_VALUE"""),"")</f>
        <v/>
      </c>
      <c r="I456" s="51" t="str">
        <f>IFERROR(__xludf.DUMMYFUNCTION("""COMPUTED_VALUE"""),"#VALUE!")</f>
        <v>#VALUE!</v>
      </c>
      <c r="J456" s="51" t="str">
        <f>IFERROR(__xludf.DUMMYFUNCTION("""COMPUTED_VALUE"""),"")</f>
        <v/>
      </c>
      <c r="K456" s="51"/>
      <c r="L456" s="51" t="s">
        <v>257</v>
      </c>
      <c r="M456" s="51"/>
      <c r="N456" s="51"/>
      <c r="O456" s="51"/>
      <c r="P456" s="51"/>
      <c r="Q456" s="51"/>
      <c r="R456" s="51"/>
      <c r="S456" s="51"/>
      <c r="T456" s="51"/>
    </row>
    <row r="457">
      <c r="A457" s="51"/>
      <c r="B457" s="51"/>
      <c r="C457" s="56"/>
      <c r="D457" s="51"/>
      <c r="E457" s="51"/>
      <c r="F457" s="51"/>
      <c r="G457" s="51" t="str">
        <f>IFERROR(__xludf.DUMMYFUNCTION("""COMPUTED_VALUE"""),"#VALUE!")</f>
        <v>#VALUE!</v>
      </c>
      <c r="H457" s="51" t="str">
        <f>IFERROR(__xludf.DUMMYFUNCTION("""COMPUTED_VALUE"""),"")</f>
        <v/>
      </c>
      <c r="I457" s="51" t="str">
        <f>IFERROR(__xludf.DUMMYFUNCTION("""COMPUTED_VALUE"""),"#VALUE!")</f>
        <v>#VALUE!</v>
      </c>
      <c r="J457" s="51" t="str">
        <f>IFERROR(__xludf.DUMMYFUNCTION("""COMPUTED_VALUE"""),"")</f>
        <v/>
      </c>
      <c r="K457" s="51"/>
      <c r="L457" s="51" t="s">
        <v>257</v>
      </c>
      <c r="M457" s="51"/>
      <c r="N457" s="51"/>
      <c r="O457" s="51"/>
      <c r="P457" s="51"/>
      <c r="Q457" s="51"/>
      <c r="R457" s="51"/>
      <c r="S457" s="51"/>
      <c r="T457" s="51"/>
    </row>
    <row r="458">
      <c r="A458" s="51"/>
      <c r="B458" s="51"/>
      <c r="C458" s="56"/>
      <c r="D458" s="51"/>
      <c r="E458" s="51"/>
      <c r="F458" s="51"/>
      <c r="G458" s="51" t="str">
        <f>IFERROR(__xludf.DUMMYFUNCTION("""COMPUTED_VALUE"""),"#VALUE!")</f>
        <v>#VALUE!</v>
      </c>
      <c r="H458" s="51" t="str">
        <f>IFERROR(__xludf.DUMMYFUNCTION("""COMPUTED_VALUE"""),"")</f>
        <v/>
      </c>
      <c r="I458" s="51" t="str">
        <f>IFERROR(__xludf.DUMMYFUNCTION("""COMPUTED_VALUE"""),"#VALUE!")</f>
        <v>#VALUE!</v>
      </c>
      <c r="J458" s="51" t="str">
        <f>IFERROR(__xludf.DUMMYFUNCTION("""COMPUTED_VALUE"""),"")</f>
        <v/>
      </c>
      <c r="K458" s="51"/>
      <c r="L458" s="51" t="s">
        <v>257</v>
      </c>
      <c r="M458" s="51"/>
      <c r="N458" s="51"/>
      <c r="O458" s="51"/>
      <c r="P458" s="51"/>
      <c r="Q458" s="51"/>
      <c r="R458" s="51"/>
      <c r="S458" s="51"/>
      <c r="T458" s="51"/>
    </row>
    <row r="459">
      <c r="A459" s="51"/>
      <c r="B459" s="51"/>
      <c r="C459" s="56"/>
      <c r="D459" s="51"/>
      <c r="E459" s="51"/>
      <c r="F459" s="51"/>
      <c r="G459" s="51" t="str">
        <f>IFERROR(__xludf.DUMMYFUNCTION("""COMPUTED_VALUE"""),"#VALUE!")</f>
        <v>#VALUE!</v>
      </c>
      <c r="H459" s="51" t="str">
        <f>IFERROR(__xludf.DUMMYFUNCTION("""COMPUTED_VALUE"""),"")</f>
        <v/>
      </c>
      <c r="I459" s="51" t="str">
        <f>IFERROR(__xludf.DUMMYFUNCTION("""COMPUTED_VALUE"""),"#VALUE!")</f>
        <v>#VALUE!</v>
      </c>
      <c r="J459" s="51" t="str">
        <f>IFERROR(__xludf.DUMMYFUNCTION("""COMPUTED_VALUE"""),"")</f>
        <v/>
      </c>
      <c r="K459" s="51"/>
      <c r="L459" s="51" t="s">
        <v>257</v>
      </c>
      <c r="M459" s="51"/>
      <c r="N459" s="51"/>
      <c r="O459" s="51"/>
      <c r="P459" s="51"/>
      <c r="Q459" s="51"/>
      <c r="R459" s="51"/>
      <c r="S459" s="51"/>
      <c r="T459" s="51"/>
    </row>
    <row r="460">
      <c r="A460" s="51"/>
      <c r="B460" s="51"/>
      <c r="C460" s="56"/>
      <c r="D460" s="51"/>
      <c r="E460" s="51"/>
      <c r="F460" s="51"/>
      <c r="G460" s="51" t="str">
        <f>IFERROR(__xludf.DUMMYFUNCTION("""COMPUTED_VALUE"""),"#VALUE!")</f>
        <v>#VALUE!</v>
      </c>
      <c r="H460" s="51" t="str">
        <f>IFERROR(__xludf.DUMMYFUNCTION("""COMPUTED_VALUE"""),"")</f>
        <v/>
      </c>
      <c r="I460" s="51" t="str">
        <f>IFERROR(__xludf.DUMMYFUNCTION("""COMPUTED_VALUE"""),"#VALUE!")</f>
        <v>#VALUE!</v>
      </c>
      <c r="J460" s="51" t="str">
        <f>IFERROR(__xludf.DUMMYFUNCTION("""COMPUTED_VALUE"""),"")</f>
        <v/>
      </c>
      <c r="K460" s="51"/>
      <c r="L460" s="51" t="s">
        <v>257</v>
      </c>
      <c r="M460" s="51"/>
      <c r="N460" s="51"/>
      <c r="O460" s="51"/>
      <c r="P460" s="51"/>
      <c r="Q460" s="51"/>
      <c r="R460" s="51"/>
      <c r="S460" s="51"/>
      <c r="T460" s="51"/>
    </row>
    <row r="461">
      <c r="A461" s="51"/>
      <c r="B461" s="51"/>
      <c r="C461" s="56"/>
      <c r="D461" s="51"/>
      <c r="E461" s="51"/>
      <c r="F461" s="51"/>
      <c r="G461" s="51" t="str">
        <f>IFERROR(__xludf.DUMMYFUNCTION("""COMPUTED_VALUE"""),"#VALUE!")</f>
        <v>#VALUE!</v>
      </c>
      <c r="H461" s="51" t="str">
        <f>IFERROR(__xludf.DUMMYFUNCTION("""COMPUTED_VALUE"""),"")</f>
        <v/>
      </c>
      <c r="I461" s="51" t="str">
        <f>IFERROR(__xludf.DUMMYFUNCTION("""COMPUTED_VALUE"""),"#VALUE!")</f>
        <v>#VALUE!</v>
      </c>
      <c r="J461" s="51" t="str">
        <f>IFERROR(__xludf.DUMMYFUNCTION("""COMPUTED_VALUE"""),"")</f>
        <v/>
      </c>
      <c r="K461" s="51"/>
      <c r="L461" s="51" t="s">
        <v>257</v>
      </c>
      <c r="M461" s="51"/>
      <c r="N461" s="51"/>
      <c r="O461" s="51"/>
      <c r="P461" s="51"/>
      <c r="Q461" s="51"/>
      <c r="R461" s="51"/>
      <c r="S461" s="51"/>
      <c r="T461" s="51"/>
    </row>
    <row r="462">
      <c r="A462" s="51"/>
      <c r="B462" s="51"/>
      <c r="C462" s="56"/>
      <c r="D462" s="51"/>
      <c r="E462" s="51"/>
      <c r="F462" s="51"/>
      <c r="G462" s="51" t="str">
        <f>IFERROR(__xludf.DUMMYFUNCTION("""COMPUTED_VALUE"""),"#VALUE!")</f>
        <v>#VALUE!</v>
      </c>
      <c r="H462" s="51" t="str">
        <f>IFERROR(__xludf.DUMMYFUNCTION("""COMPUTED_VALUE"""),"")</f>
        <v/>
      </c>
      <c r="I462" s="51" t="str">
        <f>IFERROR(__xludf.DUMMYFUNCTION("""COMPUTED_VALUE"""),"#VALUE!")</f>
        <v>#VALUE!</v>
      </c>
      <c r="J462" s="51" t="str">
        <f>IFERROR(__xludf.DUMMYFUNCTION("""COMPUTED_VALUE"""),"")</f>
        <v/>
      </c>
      <c r="K462" s="51"/>
      <c r="L462" s="51" t="s">
        <v>257</v>
      </c>
      <c r="M462" s="51"/>
      <c r="N462" s="51"/>
      <c r="O462" s="51"/>
      <c r="P462" s="51"/>
      <c r="Q462" s="51"/>
      <c r="R462" s="51"/>
      <c r="S462" s="51"/>
      <c r="T462" s="51"/>
    </row>
    <row r="463">
      <c r="A463" s="51"/>
      <c r="B463" s="51"/>
      <c r="C463" s="56"/>
      <c r="D463" s="51"/>
      <c r="E463" s="51"/>
      <c r="F463" s="51"/>
      <c r="G463" s="51" t="str">
        <f>IFERROR(__xludf.DUMMYFUNCTION("""COMPUTED_VALUE"""),"#VALUE!")</f>
        <v>#VALUE!</v>
      </c>
      <c r="H463" s="51" t="str">
        <f>IFERROR(__xludf.DUMMYFUNCTION("""COMPUTED_VALUE"""),"")</f>
        <v/>
      </c>
      <c r="I463" s="51" t="str">
        <f>IFERROR(__xludf.DUMMYFUNCTION("""COMPUTED_VALUE"""),"#VALUE!")</f>
        <v>#VALUE!</v>
      </c>
      <c r="J463" s="51" t="str">
        <f>IFERROR(__xludf.DUMMYFUNCTION("""COMPUTED_VALUE"""),"")</f>
        <v/>
      </c>
      <c r="K463" s="51"/>
      <c r="L463" s="51" t="s">
        <v>257</v>
      </c>
      <c r="M463" s="51"/>
      <c r="N463" s="51"/>
      <c r="O463" s="51"/>
      <c r="P463" s="51"/>
      <c r="Q463" s="51"/>
      <c r="R463" s="51"/>
      <c r="S463" s="51"/>
      <c r="T463" s="51"/>
    </row>
    <row r="464">
      <c r="A464" s="51"/>
      <c r="B464" s="51"/>
      <c r="C464" s="56"/>
      <c r="D464" s="51"/>
      <c r="E464" s="51"/>
      <c r="F464" s="51"/>
      <c r="G464" s="51" t="str">
        <f>IFERROR(__xludf.DUMMYFUNCTION("""COMPUTED_VALUE"""),"#VALUE!")</f>
        <v>#VALUE!</v>
      </c>
      <c r="H464" s="51" t="str">
        <f>IFERROR(__xludf.DUMMYFUNCTION("""COMPUTED_VALUE"""),"")</f>
        <v/>
      </c>
      <c r="I464" s="51" t="str">
        <f>IFERROR(__xludf.DUMMYFUNCTION("""COMPUTED_VALUE"""),"#VALUE!")</f>
        <v>#VALUE!</v>
      </c>
      <c r="J464" s="51" t="str">
        <f>IFERROR(__xludf.DUMMYFUNCTION("""COMPUTED_VALUE"""),"")</f>
        <v/>
      </c>
      <c r="K464" s="51"/>
      <c r="L464" s="51" t="s">
        <v>257</v>
      </c>
      <c r="M464" s="51"/>
      <c r="N464" s="51"/>
      <c r="O464" s="51"/>
      <c r="P464" s="51"/>
      <c r="Q464" s="51"/>
      <c r="R464" s="51"/>
      <c r="S464" s="51"/>
      <c r="T464" s="51"/>
    </row>
    <row r="465">
      <c r="A465" s="51"/>
      <c r="B465" s="51"/>
      <c r="C465" s="56"/>
      <c r="D465" s="51"/>
      <c r="E465" s="51"/>
      <c r="F465" s="51"/>
      <c r="G465" s="51" t="str">
        <f>IFERROR(__xludf.DUMMYFUNCTION("""COMPUTED_VALUE"""),"#VALUE!")</f>
        <v>#VALUE!</v>
      </c>
      <c r="H465" s="51" t="str">
        <f>IFERROR(__xludf.DUMMYFUNCTION("""COMPUTED_VALUE"""),"")</f>
        <v/>
      </c>
      <c r="I465" s="51" t="str">
        <f>IFERROR(__xludf.DUMMYFUNCTION("""COMPUTED_VALUE"""),"#VALUE!")</f>
        <v>#VALUE!</v>
      </c>
      <c r="J465" s="51" t="str">
        <f>IFERROR(__xludf.DUMMYFUNCTION("""COMPUTED_VALUE"""),"")</f>
        <v/>
      </c>
      <c r="K465" s="51"/>
      <c r="L465" s="51" t="s">
        <v>257</v>
      </c>
      <c r="M465" s="51"/>
      <c r="N465" s="51"/>
      <c r="O465" s="51"/>
      <c r="P465" s="51"/>
      <c r="Q465" s="51"/>
      <c r="R465" s="51"/>
      <c r="S465" s="51"/>
      <c r="T465" s="51"/>
    </row>
    <row r="466">
      <c r="A466" s="51"/>
      <c r="B466" s="51"/>
      <c r="C466" s="56"/>
      <c r="D466" s="51"/>
      <c r="E466" s="51"/>
      <c r="F466" s="51"/>
      <c r="G466" s="51" t="str">
        <f>IFERROR(__xludf.DUMMYFUNCTION("""COMPUTED_VALUE"""),"#VALUE!")</f>
        <v>#VALUE!</v>
      </c>
      <c r="H466" s="51" t="str">
        <f>IFERROR(__xludf.DUMMYFUNCTION("""COMPUTED_VALUE"""),"")</f>
        <v/>
      </c>
      <c r="I466" s="51" t="str">
        <f>IFERROR(__xludf.DUMMYFUNCTION("""COMPUTED_VALUE"""),"#VALUE!")</f>
        <v>#VALUE!</v>
      </c>
      <c r="J466" s="51" t="str">
        <f>IFERROR(__xludf.DUMMYFUNCTION("""COMPUTED_VALUE"""),"")</f>
        <v/>
      </c>
      <c r="K466" s="51"/>
      <c r="L466" s="51" t="s">
        <v>257</v>
      </c>
      <c r="M466" s="51"/>
      <c r="N466" s="51"/>
      <c r="O466" s="51"/>
      <c r="P466" s="51"/>
      <c r="Q466" s="51"/>
      <c r="R466" s="51"/>
      <c r="S466" s="51"/>
      <c r="T466" s="51"/>
    </row>
    <row r="467">
      <c r="A467" s="51"/>
      <c r="B467" s="51"/>
      <c r="C467" s="56"/>
      <c r="D467" s="51"/>
      <c r="E467" s="51"/>
      <c r="F467" s="51"/>
      <c r="G467" s="51" t="str">
        <f>IFERROR(__xludf.DUMMYFUNCTION("""COMPUTED_VALUE"""),"#VALUE!")</f>
        <v>#VALUE!</v>
      </c>
      <c r="H467" s="51" t="str">
        <f>IFERROR(__xludf.DUMMYFUNCTION("""COMPUTED_VALUE"""),"")</f>
        <v/>
      </c>
      <c r="I467" s="51" t="str">
        <f>IFERROR(__xludf.DUMMYFUNCTION("""COMPUTED_VALUE"""),"#VALUE!")</f>
        <v>#VALUE!</v>
      </c>
      <c r="J467" s="51" t="str">
        <f>IFERROR(__xludf.DUMMYFUNCTION("""COMPUTED_VALUE"""),"")</f>
        <v/>
      </c>
      <c r="K467" s="51"/>
      <c r="L467" s="51" t="s">
        <v>257</v>
      </c>
      <c r="M467" s="51"/>
      <c r="N467" s="51"/>
      <c r="O467" s="51"/>
      <c r="P467" s="51"/>
      <c r="Q467" s="51"/>
      <c r="R467" s="51"/>
      <c r="S467" s="51"/>
      <c r="T467" s="51"/>
    </row>
    <row r="468">
      <c r="A468" s="51"/>
      <c r="B468" s="51"/>
      <c r="C468" s="56"/>
      <c r="D468" s="51"/>
      <c r="E468" s="51"/>
      <c r="F468" s="51"/>
      <c r="G468" s="51" t="str">
        <f>IFERROR(__xludf.DUMMYFUNCTION("""COMPUTED_VALUE"""),"#VALUE!")</f>
        <v>#VALUE!</v>
      </c>
      <c r="H468" s="51" t="str">
        <f>IFERROR(__xludf.DUMMYFUNCTION("""COMPUTED_VALUE"""),"")</f>
        <v/>
      </c>
      <c r="I468" s="51" t="str">
        <f>IFERROR(__xludf.DUMMYFUNCTION("""COMPUTED_VALUE"""),"#VALUE!")</f>
        <v>#VALUE!</v>
      </c>
      <c r="J468" s="51" t="str">
        <f>IFERROR(__xludf.DUMMYFUNCTION("""COMPUTED_VALUE"""),"")</f>
        <v/>
      </c>
      <c r="K468" s="51"/>
      <c r="L468" s="51" t="s">
        <v>257</v>
      </c>
      <c r="M468" s="51"/>
      <c r="N468" s="51"/>
      <c r="O468" s="51"/>
      <c r="P468" s="51"/>
      <c r="Q468" s="51"/>
      <c r="R468" s="51"/>
      <c r="S468" s="51"/>
      <c r="T468" s="51"/>
    </row>
    <row r="469">
      <c r="A469" s="51"/>
      <c r="B469" s="51"/>
      <c r="C469" s="56"/>
      <c r="D469" s="51"/>
      <c r="E469" s="51"/>
      <c r="F469" s="51"/>
      <c r="G469" s="51" t="str">
        <f>IFERROR(__xludf.DUMMYFUNCTION("""COMPUTED_VALUE"""),"#VALUE!")</f>
        <v>#VALUE!</v>
      </c>
      <c r="H469" s="51" t="str">
        <f>IFERROR(__xludf.DUMMYFUNCTION("""COMPUTED_VALUE"""),"")</f>
        <v/>
      </c>
      <c r="I469" s="51" t="str">
        <f>IFERROR(__xludf.DUMMYFUNCTION("""COMPUTED_VALUE"""),"#VALUE!")</f>
        <v>#VALUE!</v>
      </c>
      <c r="J469" s="51" t="str">
        <f>IFERROR(__xludf.DUMMYFUNCTION("""COMPUTED_VALUE"""),"")</f>
        <v/>
      </c>
      <c r="K469" s="51"/>
      <c r="L469" s="51" t="s">
        <v>257</v>
      </c>
      <c r="M469" s="51"/>
      <c r="N469" s="51"/>
      <c r="O469" s="51"/>
      <c r="P469" s="51"/>
      <c r="Q469" s="51"/>
      <c r="R469" s="51"/>
      <c r="S469" s="51"/>
      <c r="T469" s="51"/>
    </row>
    <row r="470">
      <c r="A470" s="51"/>
      <c r="B470" s="51"/>
      <c r="C470" s="56"/>
      <c r="D470" s="51"/>
      <c r="E470" s="51"/>
      <c r="F470" s="51"/>
      <c r="G470" s="51" t="str">
        <f>IFERROR(__xludf.DUMMYFUNCTION("""COMPUTED_VALUE"""),"#VALUE!")</f>
        <v>#VALUE!</v>
      </c>
      <c r="H470" s="51" t="str">
        <f>IFERROR(__xludf.DUMMYFUNCTION("""COMPUTED_VALUE"""),"")</f>
        <v/>
      </c>
      <c r="I470" s="51" t="str">
        <f>IFERROR(__xludf.DUMMYFUNCTION("""COMPUTED_VALUE"""),"#VALUE!")</f>
        <v>#VALUE!</v>
      </c>
      <c r="J470" s="51" t="str">
        <f>IFERROR(__xludf.DUMMYFUNCTION("""COMPUTED_VALUE"""),"")</f>
        <v/>
      </c>
      <c r="K470" s="51"/>
      <c r="L470" s="51" t="s">
        <v>257</v>
      </c>
      <c r="M470" s="51"/>
      <c r="N470" s="51"/>
      <c r="O470" s="51"/>
      <c r="P470" s="51"/>
      <c r="Q470" s="51"/>
      <c r="R470" s="51"/>
      <c r="S470" s="51"/>
      <c r="T470" s="51"/>
    </row>
    <row r="471">
      <c r="A471" s="51"/>
      <c r="B471" s="51"/>
      <c r="C471" s="56"/>
      <c r="D471" s="51"/>
      <c r="E471" s="51"/>
      <c r="F471" s="51"/>
      <c r="G471" s="51" t="str">
        <f>IFERROR(__xludf.DUMMYFUNCTION("""COMPUTED_VALUE"""),"#VALUE!")</f>
        <v>#VALUE!</v>
      </c>
      <c r="H471" s="51" t="str">
        <f>IFERROR(__xludf.DUMMYFUNCTION("""COMPUTED_VALUE"""),"")</f>
        <v/>
      </c>
      <c r="I471" s="51" t="str">
        <f>IFERROR(__xludf.DUMMYFUNCTION("""COMPUTED_VALUE"""),"#VALUE!")</f>
        <v>#VALUE!</v>
      </c>
      <c r="J471" s="51" t="str">
        <f>IFERROR(__xludf.DUMMYFUNCTION("""COMPUTED_VALUE"""),"")</f>
        <v/>
      </c>
      <c r="K471" s="51"/>
      <c r="L471" s="51" t="s">
        <v>257</v>
      </c>
      <c r="M471" s="51"/>
      <c r="N471" s="51"/>
      <c r="O471" s="51"/>
      <c r="P471" s="51"/>
      <c r="Q471" s="51"/>
      <c r="R471" s="51"/>
      <c r="S471" s="51"/>
      <c r="T471" s="51"/>
    </row>
    <row r="472">
      <c r="A472" s="51"/>
      <c r="B472" s="51"/>
      <c r="C472" s="56"/>
      <c r="D472" s="51"/>
      <c r="E472" s="51"/>
      <c r="F472" s="51"/>
      <c r="G472" s="51" t="str">
        <f>IFERROR(__xludf.DUMMYFUNCTION("""COMPUTED_VALUE"""),"#VALUE!")</f>
        <v>#VALUE!</v>
      </c>
      <c r="H472" s="51" t="str">
        <f>IFERROR(__xludf.DUMMYFUNCTION("""COMPUTED_VALUE"""),"")</f>
        <v/>
      </c>
      <c r="I472" s="51" t="str">
        <f>IFERROR(__xludf.DUMMYFUNCTION("""COMPUTED_VALUE"""),"#VALUE!")</f>
        <v>#VALUE!</v>
      </c>
      <c r="J472" s="51" t="str">
        <f>IFERROR(__xludf.DUMMYFUNCTION("""COMPUTED_VALUE"""),"")</f>
        <v/>
      </c>
      <c r="K472" s="51"/>
      <c r="L472" s="51" t="s">
        <v>257</v>
      </c>
      <c r="M472" s="51"/>
      <c r="N472" s="51"/>
      <c r="O472" s="51"/>
      <c r="P472" s="51"/>
      <c r="Q472" s="51"/>
      <c r="R472" s="51"/>
      <c r="S472" s="51"/>
      <c r="T472" s="51"/>
    </row>
    <row r="473">
      <c r="A473" s="51"/>
      <c r="B473" s="51"/>
      <c r="C473" s="56"/>
      <c r="D473" s="51"/>
      <c r="E473" s="51"/>
      <c r="F473" s="51"/>
      <c r="G473" s="51" t="str">
        <f>IFERROR(__xludf.DUMMYFUNCTION("""COMPUTED_VALUE"""),"#VALUE!")</f>
        <v>#VALUE!</v>
      </c>
      <c r="H473" s="51" t="str">
        <f>IFERROR(__xludf.DUMMYFUNCTION("""COMPUTED_VALUE"""),"")</f>
        <v/>
      </c>
      <c r="I473" s="51" t="str">
        <f>IFERROR(__xludf.DUMMYFUNCTION("""COMPUTED_VALUE"""),"#VALUE!")</f>
        <v>#VALUE!</v>
      </c>
      <c r="J473" s="51" t="str">
        <f>IFERROR(__xludf.DUMMYFUNCTION("""COMPUTED_VALUE"""),"")</f>
        <v/>
      </c>
      <c r="K473" s="51"/>
      <c r="L473" s="51" t="s">
        <v>257</v>
      </c>
      <c r="M473" s="51"/>
      <c r="N473" s="51"/>
      <c r="O473" s="51"/>
      <c r="P473" s="51"/>
      <c r="Q473" s="51"/>
      <c r="R473" s="51"/>
      <c r="S473" s="51"/>
      <c r="T473" s="51"/>
    </row>
    <row r="474">
      <c r="A474" s="51"/>
      <c r="B474" s="51"/>
      <c r="C474" s="56"/>
      <c r="D474" s="51"/>
      <c r="E474" s="51"/>
      <c r="F474" s="51"/>
      <c r="G474" s="51" t="str">
        <f>IFERROR(__xludf.DUMMYFUNCTION("""COMPUTED_VALUE"""),"#VALUE!")</f>
        <v>#VALUE!</v>
      </c>
      <c r="H474" s="51" t="str">
        <f>IFERROR(__xludf.DUMMYFUNCTION("""COMPUTED_VALUE"""),"")</f>
        <v/>
      </c>
      <c r="I474" s="51" t="str">
        <f>IFERROR(__xludf.DUMMYFUNCTION("""COMPUTED_VALUE"""),"#VALUE!")</f>
        <v>#VALUE!</v>
      </c>
      <c r="J474" s="51" t="str">
        <f>IFERROR(__xludf.DUMMYFUNCTION("""COMPUTED_VALUE"""),"")</f>
        <v/>
      </c>
      <c r="K474" s="51"/>
      <c r="L474" s="51" t="s">
        <v>257</v>
      </c>
      <c r="M474" s="51"/>
      <c r="N474" s="51"/>
      <c r="O474" s="51"/>
      <c r="P474" s="51"/>
      <c r="Q474" s="51"/>
      <c r="R474" s="51"/>
      <c r="S474" s="51"/>
      <c r="T474" s="51"/>
    </row>
    <row r="475">
      <c r="A475" s="51"/>
      <c r="B475" s="51"/>
      <c r="C475" s="56"/>
      <c r="D475" s="51"/>
      <c r="E475" s="51"/>
      <c r="F475" s="51"/>
      <c r="G475" s="51" t="str">
        <f>IFERROR(__xludf.DUMMYFUNCTION("""COMPUTED_VALUE"""),"#VALUE!")</f>
        <v>#VALUE!</v>
      </c>
      <c r="H475" s="51" t="str">
        <f>IFERROR(__xludf.DUMMYFUNCTION("""COMPUTED_VALUE"""),"")</f>
        <v/>
      </c>
      <c r="I475" s="51" t="str">
        <f>IFERROR(__xludf.DUMMYFUNCTION("""COMPUTED_VALUE"""),"#VALUE!")</f>
        <v>#VALUE!</v>
      </c>
      <c r="J475" s="51" t="str">
        <f>IFERROR(__xludf.DUMMYFUNCTION("""COMPUTED_VALUE"""),"")</f>
        <v/>
      </c>
      <c r="K475" s="51"/>
      <c r="L475" s="51" t="s">
        <v>257</v>
      </c>
      <c r="M475" s="51"/>
      <c r="N475" s="51"/>
      <c r="O475" s="51"/>
      <c r="P475" s="51"/>
      <c r="Q475" s="51"/>
      <c r="R475" s="51"/>
      <c r="S475" s="51"/>
      <c r="T475" s="51"/>
    </row>
    <row r="476">
      <c r="A476" s="51"/>
      <c r="B476" s="51"/>
      <c r="C476" s="56"/>
      <c r="D476" s="51"/>
      <c r="E476" s="51"/>
      <c r="F476" s="51"/>
      <c r="G476" s="51" t="str">
        <f>IFERROR(__xludf.DUMMYFUNCTION("""COMPUTED_VALUE"""),"#VALUE!")</f>
        <v>#VALUE!</v>
      </c>
      <c r="H476" s="51" t="str">
        <f>IFERROR(__xludf.DUMMYFUNCTION("""COMPUTED_VALUE"""),"")</f>
        <v/>
      </c>
      <c r="I476" s="51" t="str">
        <f>IFERROR(__xludf.DUMMYFUNCTION("""COMPUTED_VALUE"""),"#VALUE!")</f>
        <v>#VALUE!</v>
      </c>
      <c r="J476" s="51" t="str">
        <f>IFERROR(__xludf.DUMMYFUNCTION("""COMPUTED_VALUE"""),"")</f>
        <v/>
      </c>
      <c r="K476" s="51"/>
      <c r="L476" s="51" t="s">
        <v>257</v>
      </c>
      <c r="M476" s="51"/>
      <c r="N476" s="51"/>
      <c r="O476" s="51"/>
      <c r="P476" s="51"/>
      <c r="Q476" s="51"/>
      <c r="R476" s="51"/>
      <c r="S476" s="51"/>
      <c r="T476" s="51"/>
    </row>
    <row r="477">
      <c r="A477" s="51"/>
      <c r="B477" s="51"/>
      <c r="C477" s="56"/>
      <c r="D477" s="51"/>
      <c r="E477" s="51"/>
      <c r="F477" s="51"/>
      <c r="G477" s="51" t="str">
        <f>IFERROR(__xludf.DUMMYFUNCTION("""COMPUTED_VALUE"""),"#VALUE!")</f>
        <v>#VALUE!</v>
      </c>
      <c r="H477" s="51" t="str">
        <f>IFERROR(__xludf.DUMMYFUNCTION("""COMPUTED_VALUE"""),"")</f>
        <v/>
      </c>
      <c r="I477" s="51" t="str">
        <f>IFERROR(__xludf.DUMMYFUNCTION("""COMPUTED_VALUE"""),"#VALUE!")</f>
        <v>#VALUE!</v>
      </c>
      <c r="J477" s="51" t="str">
        <f>IFERROR(__xludf.DUMMYFUNCTION("""COMPUTED_VALUE"""),"")</f>
        <v/>
      </c>
      <c r="K477" s="51"/>
      <c r="L477" s="51" t="s">
        <v>257</v>
      </c>
      <c r="M477" s="51"/>
      <c r="N477" s="51"/>
      <c r="O477" s="51"/>
      <c r="P477" s="51"/>
      <c r="Q477" s="51"/>
      <c r="R477" s="51"/>
      <c r="S477" s="51"/>
      <c r="T477" s="51"/>
    </row>
    <row r="478">
      <c r="A478" s="51"/>
      <c r="B478" s="51"/>
      <c r="C478" s="56"/>
      <c r="D478" s="51"/>
      <c r="E478" s="51"/>
      <c r="F478" s="51"/>
      <c r="G478" s="51" t="str">
        <f>IFERROR(__xludf.DUMMYFUNCTION("""COMPUTED_VALUE"""),"#VALUE!")</f>
        <v>#VALUE!</v>
      </c>
      <c r="H478" s="51" t="str">
        <f>IFERROR(__xludf.DUMMYFUNCTION("""COMPUTED_VALUE"""),"")</f>
        <v/>
      </c>
      <c r="I478" s="51" t="str">
        <f>IFERROR(__xludf.DUMMYFUNCTION("""COMPUTED_VALUE"""),"#VALUE!")</f>
        <v>#VALUE!</v>
      </c>
      <c r="J478" s="51" t="str">
        <f>IFERROR(__xludf.DUMMYFUNCTION("""COMPUTED_VALUE"""),"")</f>
        <v/>
      </c>
      <c r="K478" s="51"/>
      <c r="L478" s="51" t="s">
        <v>257</v>
      </c>
      <c r="M478" s="51"/>
      <c r="N478" s="51"/>
      <c r="O478" s="51"/>
      <c r="P478" s="51"/>
      <c r="Q478" s="51"/>
      <c r="R478" s="51"/>
      <c r="S478" s="51"/>
      <c r="T478" s="51"/>
    </row>
    <row r="479">
      <c r="A479" s="51"/>
      <c r="B479" s="51"/>
      <c r="C479" s="56"/>
      <c r="D479" s="51"/>
      <c r="E479" s="51"/>
      <c r="F479" s="51"/>
      <c r="G479" s="51" t="str">
        <f>IFERROR(__xludf.DUMMYFUNCTION("""COMPUTED_VALUE"""),"#VALUE!")</f>
        <v>#VALUE!</v>
      </c>
      <c r="H479" s="51" t="str">
        <f>IFERROR(__xludf.DUMMYFUNCTION("""COMPUTED_VALUE"""),"")</f>
        <v/>
      </c>
      <c r="I479" s="51" t="str">
        <f>IFERROR(__xludf.DUMMYFUNCTION("""COMPUTED_VALUE"""),"#VALUE!")</f>
        <v>#VALUE!</v>
      </c>
      <c r="J479" s="51" t="str">
        <f>IFERROR(__xludf.DUMMYFUNCTION("""COMPUTED_VALUE"""),"")</f>
        <v/>
      </c>
      <c r="K479" s="51"/>
      <c r="L479" s="51" t="s">
        <v>257</v>
      </c>
      <c r="M479" s="51"/>
      <c r="N479" s="51"/>
      <c r="O479" s="51"/>
      <c r="P479" s="51"/>
      <c r="Q479" s="51"/>
      <c r="R479" s="51"/>
      <c r="S479" s="51"/>
      <c r="T479" s="51"/>
    </row>
    <row r="480">
      <c r="A480" s="51"/>
      <c r="B480" s="51"/>
      <c r="C480" s="56"/>
      <c r="D480" s="51"/>
      <c r="E480" s="51"/>
      <c r="F480" s="51"/>
      <c r="G480" s="51" t="str">
        <f>IFERROR(__xludf.DUMMYFUNCTION("""COMPUTED_VALUE"""),"#VALUE!")</f>
        <v>#VALUE!</v>
      </c>
      <c r="H480" s="51" t="str">
        <f>IFERROR(__xludf.DUMMYFUNCTION("""COMPUTED_VALUE"""),"")</f>
        <v/>
      </c>
      <c r="I480" s="51" t="str">
        <f>IFERROR(__xludf.DUMMYFUNCTION("""COMPUTED_VALUE"""),"#VALUE!")</f>
        <v>#VALUE!</v>
      </c>
      <c r="J480" s="51" t="str">
        <f>IFERROR(__xludf.DUMMYFUNCTION("""COMPUTED_VALUE"""),"")</f>
        <v/>
      </c>
      <c r="K480" s="51"/>
      <c r="L480" s="51" t="s">
        <v>257</v>
      </c>
      <c r="M480" s="51"/>
      <c r="N480" s="51"/>
      <c r="O480" s="51"/>
      <c r="P480" s="51"/>
      <c r="Q480" s="51"/>
      <c r="R480" s="51"/>
      <c r="S480" s="51"/>
      <c r="T480" s="51"/>
    </row>
    <row r="481">
      <c r="A481" s="51"/>
      <c r="B481" s="51"/>
      <c r="C481" s="56"/>
      <c r="D481" s="51"/>
      <c r="E481" s="51"/>
      <c r="F481" s="51"/>
      <c r="G481" s="51" t="str">
        <f>IFERROR(__xludf.DUMMYFUNCTION("""COMPUTED_VALUE"""),"#VALUE!")</f>
        <v>#VALUE!</v>
      </c>
      <c r="H481" s="51" t="str">
        <f>IFERROR(__xludf.DUMMYFUNCTION("""COMPUTED_VALUE"""),"")</f>
        <v/>
      </c>
      <c r="I481" s="51" t="str">
        <f>IFERROR(__xludf.DUMMYFUNCTION("""COMPUTED_VALUE"""),"#VALUE!")</f>
        <v>#VALUE!</v>
      </c>
      <c r="J481" s="51" t="str">
        <f>IFERROR(__xludf.DUMMYFUNCTION("""COMPUTED_VALUE"""),"")</f>
        <v/>
      </c>
      <c r="K481" s="51"/>
      <c r="L481" s="51" t="s">
        <v>257</v>
      </c>
      <c r="M481" s="51"/>
      <c r="N481" s="51"/>
      <c r="O481" s="51"/>
      <c r="P481" s="51"/>
      <c r="Q481" s="51"/>
      <c r="R481" s="51"/>
      <c r="S481" s="51"/>
      <c r="T481" s="51"/>
    </row>
    <row r="482">
      <c r="A482" s="51"/>
      <c r="B482" s="51"/>
      <c r="C482" s="56"/>
      <c r="D482" s="51"/>
      <c r="E482" s="51"/>
      <c r="F482" s="51"/>
      <c r="G482" s="51" t="str">
        <f>IFERROR(__xludf.DUMMYFUNCTION("""COMPUTED_VALUE"""),"#VALUE!")</f>
        <v>#VALUE!</v>
      </c>
      <c r="H482" s="51" t="str">
        <f>IFERROR(__xludf.DUMMYFUNCTION("""COMPUTED_VALUE"""),"")</f>
        <v/>
      </c>
      <c r="I482" s="51" t="str">
        <f>IFERROR(__xludf.DUMMYFUNCTION("""COMPUTED_VALUE"""),"#VALUE!")</f>
        <v>#VALUE!</v>
      </c>
      <c r="J482" s="51" t="str">
        <f>IFERROR(__xludf.DUMMYFUNCTION("""COMPUTED_VALUE"""),"")</f>
        <v/>
      </c>
      <c r="K482" s="51"/>
      <c r="L482" s="51" t="s">
        <v>257</v>
      </c>
      <c r="M482" s="51"/>
      <c r="N482" s="51"/>
      <c r="O482" s="51"/>
      <c r="P482" s="51"/>
      <c r="Q482" s="51"/>
      <c r="R482" s="51"/>
      <c r="S482" s="51"/>
      <c r="T482" s="51"/>
    </row>
    <row r="483">
      <c r="A483" s="51"/>
      <c r="B483" s="51"/>
      <c r="C483" s="56"/>
      <c r="D483" s="51"/>
      <c r="E483" s="51"/>
      <c r="F483" s="51"/>
      <c r="G483" s="51" t="str">
        <f>IFERROR(__xludf.DUMMYFUNCTION("""COMPUTED_VALUE"""),"#VALUE!")</f>
        <v>#VALUE!</v>
      </c>
      <c r="H483" s="51" t="str">
        <f>IFERROR(__xludf.DUMMYFUNCTION("""COMPUTED_VALUE"""),"")</f>
        <v/>
      </c>
      <c r="I483" s="51" t="str">
        <f>IFERROR(__xludf.DUMMYFUNCTION("""COMPUTED_VALUE"""),"#VALUE!")</f>
        <v>#VALUE!</v>
      </c>
      <c r="J483" s="51" t="str">
        <f>IFERROR(__xludf.DUMMYFUNCTION("""COMPUTED_VALUE"""),"")</f>
        <v/>
      </c>
      <c r="K483" s="51"/>
      <c r="L483" s="51" t="s">
        <v>257</v>
      </c>
      <c r="M483" s="51"/>
      <c r="N483" s="51"/>
      <c r="O483" s="51"/>
      <c r="P483" s="51"/>
      <c r="Q483" s="51"/>
      <c r="R483" s="51"/>
      <c r="S483" s="51"/>
      <c r="T483" s="51"/>
    </row>
    <row r="484">
      <c r="A484" s="51"/>
      <c r="B484" s="51"/>
      <c r="C484" s="56"/>
      <c r="D484" s="51"/>
      <c r="E484" s="51"/>
      <c r="F484" s="51"/>
      <c r="G484" s="51" t="str">
        <f>IFERROR(__xludf.DUMMYFUNCTION("""COMPUTED_VALUE"""),"#VALUE!")</f>
        <v>#VALUE!</v>
      </c>
      <c r="H484" s="51" t="str">
        <f>IFERROR(__xludf.DUMMYFUNCTION("""COMPUTED_VALUE"""),"")</f>
        <v/>
      </c>
      <c r="I484" s="51" t="str">
        <f>IFERROR(__xludf.DUMMYFUNCTION("""COMPUTED_VALUE"""),"#VALUE!")</f>
        <v>#VALUE!</v>
      </c>
      <c r="J484" s="51" t="str">
        <f>IFERROR(__xludf.DUMMYFUNCTION("""COMPUTED_VALUE"""),"")</f>
        <v/>
      </c>
      <c r="K484" s="51"/>
      <c r="L484" s="51" t="s">
        <v>257</v>
      </c>
      <c r="M484" s="51"/>
      <c r="N484" s="51"/>
      <c r="O484" s="51"/>
      <c r="P484" s="51"/>
      <c r="Q484" s="51"/>
      <c r="R484" s="51"/>
      <c r="S484" s="51"/>
      <c r="T484" s="51"/>
    </row>
    <row r="485">
      <c r="A485" s="51"/>
      <c r="B485" s="51"/>
      <c r="C485" s="56"/>
      <c r="D485" s="51"/>
      <c r="E485" s="51"/>
      <c r="F485" s="51"/>
      <c r="G485" s="51" t="str">
        <f>IFERROR(__xludf.DUMMYFUNCTION("""COMPUTED_VALUE"""),"#VALUE!")</f>
        <v>#VALUE!</v>
      </c>
      <c r="H485" s="51" t="str">
        <f>IFERROR(__xludf.DUMMYFUNCTION("""COMPUTED_VALUE"""),"")</f>
        <v/>
      </c>
      <c r="I485" s="51" t="str">
        <f>IFERROR(__xludf.DUMMYFUNCTION("""COMPUTED_VALUE"""),"#VALUE!")</f>
        <v>#VALUE!</v>
      </c>
      <c r="J485" s="51" t="str">
        <f>IFERROR(__xludf.DUMMYFUNCTION("""COMPUTED_VALUE"""),"")</f>
        <v/>
      </c>
      <c r="K485" s="51"/>
      <c r="L485" s="51" t="s">
        <v>257</v>
      </c>
      <c r="M485" s="51"/>
      <c r="N485" s="51"/>
      <c r="O485" s="51"/>
      <c r="P485" s="51"/>
      <c r="Q485" s="51"/>
      <c r="R485" s="51"/>
      <c r="S485" s="51"/>
      <c r="T485" s="51"/>
    </row>
    <row r="486">
      <c r="A486" s="51"/>
      <c r="B486" s="51"/>
      <c r="C486" s="56"/>
      <c r="D486" s="51"/>
      <c r="E486" s="51"/>
      <c r="F486" s="51"/>
      <c r="G486" s="51" t="str">
        <f>IFERROR(__xludf.DUMMYFUNCTION("""COMPUTED_VALUE"""),"#VALUE!")</f>
        <v>#VALUE!</v>
      </c>
      <c r="H486" s="51" t="str">
        <f>IFERROR(__xludf.DUMMYFUNCTION("""COMPUTED_VALUE"""),"")</f>
        <v/>
      </c>
      <c r="I486" s="51" t="str">
        <f>IFERROR(__xludf.DUMMYFUNCTION("""COMPUTED_VALUE"""),"#VALUE!")</f>
        <v>#VALUE!</v>
      </c>
      <c r="J486" s="51" t="str">
        <f>IFERROR(__xludf.DUMMYFUNCTION("""COMPUTED_VALUE"""),"")</f>
        <v/>
      </c>
      <c r="K486" s="51"/>
      <c r="L486" s="51" t="s">
        <v>257</v>
      </c>
      <c r="M486" s="51"/>
      <c r="N486" s="51"/>
      <c r="O486" s="51"/>
      <c r="P486" s="51"/>
      <c r="Q486" s="51"/>
      <c r="R486" s="51"/>
      <c r="S486" s="51"/>
      <c r="T486" s="51"/>
    </row>
    <row r="487">
      <c r="A487" s="51"/>
      <c r="B487" s="51"/>
      <c r="C487" s="56"/>
      <c r="D487" s="51"/>
      <c r="E487" s="51"/>
      <c r="F487" s="51"/>
      <c r="G487" s="51" t="str">
        <f>IFERROR(__xludf.DUMMYFUNCTION("""COMPUTED_VALUE"""),"#VALUE!")</f>
        <v>#VALUE!</v>
      </c>
      <c r="H487" s="51" t="str">
        <f>IFERROR(__xludf.DUMMYFUNCTION("""COMPUTED_VALUE"""),"")</f>
        <v/>
      </c>
      <c r="I487" s="51" t="str">
        <f>IFERROR(__xludf.DUMMYFUNCTION("""COMPUTED_VALUE"""),"#VALUE!")</f>
        <v>#VALUE!</v>
      </c>
      <c r="J487" s="51" t="str">
        <f>IFERROR(__xludf.DUMMYFUNCTION("""COMPUTED_VALUE"""),"")</f>
        <v/>
      </c>
      <c r="K487" s="51"/>
      <c r="L487" s="51" t="s">
        <v>257</v>
      </c>
      <c r="M487" s="51"/>
      <c r="N487" s="51"/>
      <c r="O487" s="51"/>
      <c r="P487" s="51"/>
      <c r="Q487" s="51"/>
      <c r="R487" s="51"/>
      <c r="S487" s="51"/>
      <c r="T487" s="51"/>
    </row>
    <row r="488">
      <c r="A488" s="51"/>
      <c r="B488" s="51"/>
      <c r="C488" s="56"/>
      <c r="D488" s="51"/>
      <c r="E488" s="51"/>
      <c r="F488" s="51"/>
      <c r="G488" s="51" t="str">
        <f>IFERROR(__xludf.DUMMYFUNCTION("""COMPUTED_VALUE"""),"#VALUE!")</f>
        <v>#VALUE!</v>
      </c>
      <c r="H488" s="51" t="str">
        <f>IFERROR(__xludf.DUMMYFUNCTION("""COMPUTED_VALUE"""),"")</f>
        <v/>
      </c>
      <c r="I488" s="51" t="str">
        <f>IFERROR(__xludf.DUMMYFUNCTION("""COMPUTED_VALUE"""),"#VALUE!")</f>
        <v>#VALUE!</v>
      </c>
      <c r="J488" s="51" t="str">
        <f>IFERROR(__xludf.DUMMYFUNCTION("""COMPUTED_VALUE"""),"")</f>
        <v/>
      </c>
      <c r="K488" s="51"/>
      <c r="L488" s="51" t="s">
        <v>257</v>
      </c>
      <c r="M488" s="51"/>
      <c r="N488" s="51"/>
      <c r="O488" s="51"/>
      <c r="P488" s="51"/>
      <c r="Q488" s="51"/>
      <c r="R488" s="51"/>
      <c r="S488" s="51"/>
      <c r="T488" s="51"/>
    </row>
    <row r="489">
      <c r="A489" s="51"/>
      <c r="B489" s="51"/>
      <c r="C489" s="56"/>
      <c r="D489" s="51"/>
      <c r="E489" s="51"/>
      <c r="F489" s="51"/>
      <c r="G489" s="51" t="str">
        <f>IFERROR(__xludf.DUMMYFUNCTION("""COMPUTED_VALUE"""),"#VALUE!")</f>
        <v>#VALUE!</v>
      </c>
      <c r="H489" s="51" t="str">
        <f>IFERROR(__xludf.DUMMYFUNCTION("""COMPUTED_VALUE"""),"")</f>
        <v/>
      </c>
      <c r="I489" s="51" t="str">
        <f>IFERROR(__xludf.DUMMYFUNCTION("""COMPUTED_VALUE"""),"#VALUE!")</f>
        <v>#VALUE!</v>
      </c>
      <c r="J489" s="51" t="str">
        <f>IFERROR(__xludf.DUMMYFUNCTION("""COMPUTED_VALUE"""),"")</f>
        <v/>
      </c>
      <c r="K489" s="51"/>
      <c r="L489" s="51" t="s">
        <v>257</v>
      </c>
      <c r="M489" s="51"/>
      <c r="N489" s="51"/>
      <c r="O489" s="51"/>
      <c r="P489" s="51"/>
      <c r="Q489" s="51"/>
      <c r="R489" s="51"/>
      <c r="S489" s="51"/>
      <c r="T489" s="51"/>
    </row>
    <row r="490">
      <c r="A490" s="51"/>
      <c r="B490" s="51"/>
      <c r="C490" s="56"/>
      <c r="D490" s="51"/>
      <c r="E490" s="51"/>
      <c r="F490" s="51"/>
      <c r="G490" s="51" t="str">
        <f>IFERROR(__xludf.DUMMYFUNCTION("""COMPUTED_VALUE"""),"#VALUE!")</f>
        <v>#VALUE!</v>
      </c>
      <c r="H490" s="51" t="str">
        <f>IFERROR(__xludf.DUMMYFUNCTION("""COMPUTED_VALUE"""),"")</f>
        <v/>
      </c>
      <c r="I490" s="51" t="str">
        <f>IFERROR(__xludf.DUMMYFUNCTION("""COMPUTED_VALUE"""),"#VALUE!")</f>
        <v>#VALUE!</v>
      </c>
      <c r="J490" s="51" t="str">
        <f>IFERROR(__xludf.DUMMYFUNCTION("""COMPUTED_VALUE"""),"")</f>
        <v/>
      </c>
      <c r="K490" s="51"/>
      <c r="L490" s="51" t="s">
        <v>257</v>
      </c>
      <c r="M490" s="51"/>
      <c r="N490" s="51"/>
      <c r="O490" s="51"/>
      <c r="P490" s="51"/>
      <c r="Q490" s="51"/>
      <c r="R490" s="51"/>
      <c r="S490" s="51"/>
      <c r="T490" s="51"/>
    </row>
    <row r="491">
      <c r="A491" s="51"/>
      <c r="B491" s="51"/>
      <c r="C491" s="56"/>
      <c r="D491" s="51"/>
      <c r="E491" s="51"/>
      <c r="F491" s="51"/>
      <c r="G491" s="51" t="str">
        <f>IFERROR(__xludf.DUMMYFUNCTION("""COMPUTED_VALUE"""),"#VALUE!")</f>
        <v>#VALUE!</v>
      </c>
      <c r="H491" s="51" t="str">
        <f>IFERROR(__xludf.DUMMYFUNCTION("""COMPUTED_VALUE"""),"")</f>
        <v/>
      </c>
      <c r="I491" s="51" t="str">
        <f>IFERROR(__xludf.DUMMYFUNCTION("""COMPUTED_VALUE"""),"#VALUE!")</f>
        <v>#VALUE!</v>
      </c>
      <c r="J491" s="51" t="str">
        <f>IFERROR(__xludf.DUMMYFUNCTION("""COMPUTED_VALUE"""),"")</f>
        <v/>
      </c>
      <c r="K491" s="51"/>
      <c r="L491" s="51" t="s">
        <v>257</v>
      </c>
      <c r="M491" s="51"/>
      <c r="N491" s="51"/>
      <c r="O491" s="51"/>
      <c r="P491" s="51"/>
      <c r="Q491" s="51"/>
      <c r="R491" s="51"/>
      <c r="S491" s="51"/>
      <c r="T491" s="51"/>
    </row>
    <row r="492">
      <c r="A492" s="51"/>
      <c r="B492" s="51"/>
      <c r="C492" s="56"/>
      <c r="D492" s="51"/>
      <c r="E492" s="51"/>
      <c r="F492" s="51"/>
      <c r="G492" s="51" t="str">
        <f>IFERROR(__xludf.DUMMYFUNCTION("""COMPUTED_VALUE"""),"#VALUE!")</f>
        <v>#VALUE!</v>
      </c>
      <c r="H492" s="51" t="str">
        <f>IFERROR(__xludf.DUMMYFUNCTION("""COMPUTED_VALUE"""),"")</f>
        <v/>
      </c>
      <c r="I492" s="51" t="str">
        <f>IFERROR(__xludf.DUMMYFUNCTION("""COMPUTED_VALUE"""),"#VALUE!")</f>
        <v>#VALUE!</v>
      </c>
      <c r="J492" s="51" t="str">
        <f>IFERROR(__xludf.DUMMYFUNCTION("""COMPUTED_VALUE"""),"")</f>
        <v/>
      </c>
      <c r="K492" s="51"/>
      <c r="L492" s="51" t="s">
        <v>257</v>
      </c>
      <c r="M492" s="51"/>
      <c r="N492" s="51"/>
      <c r="O492" s="51"/>
      <c r="P492" s="51"/>
      <c r="Q492" s="51"/>
      <c r="R492" s="51"/>
      <c r="S492" s="51"/>
      <c r="T492" s="51"/>
    </row>
    <row r="493">
      <c r="A493" s="51"/>
      <c r="B493" s="51"/>
      <c r="C493" s="56"/>
      <c r="D493" s="51"/>
      <c r="E493" s="51"/>
      <c r="F493" s="51"/>
      <c r="G493" s="51" t="str">
        <f>IFERROR(__xludf.DUMMYFUNCTION("""COMPUTED_VALUE"""),"#VALUE!")</f>
        <v>#VALUE!</v>
      </c>
      <c r="H493" s="51" t="str">
        <f>IFERROR(__xludf.DUMMYFUNCTION("""COMPUTED_VALUE"""),"")</f>
        <v/>
      </c>
      <c r="I493" s="51" t="str">
        <f>IFERROR(__xludf.DUMMYFUNCTION("""COMPUTED_VALUE"""),"#VALUE!")</f>
        <v>#VALUE!</v>
      </c>
      <c r="J493" s="51" t="str">
        <f>IFERROR(__xludf.DUMMYFUNCTION("""COMPUTED_VALUE"""),"")</f>
        <v/>
      </c>
      <c r="K493" s="51"/>
      <c r="L493" s="51" t="s">
        <v>257</v>
      </c>
      <c r="M493" s="51"/>
      <c r="N493" s="51"/>
      <c r="O493" s="51"/>
      <c r="P493" s="51"/>
      <c r="Q493" s="51"/>
      <c r="R493" s="51"/>
      <c r="S493" s="51"/>
      <c r="T493" s="51"/>
    </row>
    <row r="494">
      <c r="A494" s="51"/>
      <c r="B494" s="51"/>
      <c r="C494" s="56"/>
      <c r="D494" s="51"/>
      <c r="E494" s="51"/>
      <c r="F494" s="51"/>
      <c r="G494" s="51" t="str">
        <f>IFERROR(__xludf.DUMMYFUNCTION("""COMPUTED_VALUE"""),"#VALUE!")</f>
        <v>#VALUE!</v>
      </c>
      <c r="H494" s="51" t="str">
        <f>IFERROR(__xludf.DUMMYFUNCTION("""COMPUTED_VALUE"""),"")</f>
        <v/>
      </c>
      <c r="I494" s="51" t="str">
        <f>IFERROR(__xludf.DUMMYFUNCTION("""COMPUTED_VALUE"""),"#VALUE!")</f>
        <v>#VALUE!</v>
      </c>
      <c r="J494" s="51" t="str">
        <f>IFERROR(__xludf.DUMMYFUNCTION("""COMPUTED_VALUE"""),"")</f>
        <v/>
      </c>
      <c r="K494" s="51"/>
      <c r="L494" s="51" t="s">
        <v>257</v>
      </c>
      <c r="M494" s="51"/>
      <c r="N494" s="51"/>
      <c r="O494" s="51"/>
      <c r="P494" s="51"/>
      <c r="Q494" s="51"/>
      <c r="R494" s="51"/>
      <c r="S494" s="51"/>
      <c r="T494" s="51"/>
    </row>
    <row r="495">
      <c r="A495" s="51"/>
      <c r="B495" s="51"/>
      <c r="C495" s="56"/>
      <c r="D495" s="51"/>
      <c r="E495" s="51"/>
      <c r="F495" s="51"/>
      <c r="G495" s="51" t="str">
        <f>IFERROR(__xludf.DUMMYFUNCTION("""COMPUTED_VALUE"""),"#VALUE!")</f>
        <v>#VALUE!</v>
      </c>
      <c r="H495" s="51" t="str">
        <f>IFERROR(__xludf.DUMMYFUNCTION("""COMPUTED_VALUE"""),"")</f>
        <v/>
      </c>
      <c r="I495" s="51" t="str">
        <f>IFERROR(__xludf.DUMMYFUNCTION("""COMPUTED_VALUE"""),"#VALUE!")</f>
        <v>#VALUE!</v>
      </c>
      <c r="J495" s="51" t="str">
        <f>IFERROR(__xludf.DUMMYFUNCTION("""COMPUTED_VALUE"""),"")</f>
        <v/>
      </c>
      <c r="K495" s="51"/>
      <c r="L495" s="51" t="s">
        <v>257</v>
      </c>
      <c r="M495" s="51"/>
      <c r="N495" s="51"/>
      <c r="O495" s="51"/>
      <c r="P495" s="51"/>
      <c r="Q495" s="51"/>
      <c r="R495" s="51"/>
      <c r="S495" s="51"/>
      <c r="T495" s="51"/>
    </row>
    <row r="496">
      <c r="A496" s="51"/>
      <c r="B496" s="51"/>
      <c r="C496" s="56"/>
      <c r="D496" s="51"/>
      <c r="E496" s="51"/>
      <c r="F496" s="51"/>
      <c r="G496" s="51" t="str">
        <f>IFERROR(__xludf.DUMMYFUNCTION("""COMPUTED_VALUE"""),"#VALUE!")</f>
        <v>#VALUE!</v>
      </c>
      <c r="H496" s="51" t="str">
        <f>IFERROR(__xludf.DUMMYFUNCTION("""COMPUTED_VALUE"""),"")</f>
        <v/>
      </c>
      <c r="I496" s="51" t="str">
        <f>IFERROR(__xludf.DUMMYFUNCTION("""COMPUTED_VALUE"""),"#VALUE!")</f>
        <v>#VALUE!</v>
      </c>
      <c r="J496" s="51" t="str">
        <f>IFERROR(__xludf.DUMMYFUNCTION("""COMPUTED_VALUE"""),"")</f>
        <v/>
      </c>
      <c r="K496" s="51"/>
      <c r="L496" s="51" t="s">
        <v>257</v>
      </c>
      <c r="M496" s="51"/>
      <c r="N496" s="51"/>
      <c r="O496" s="51"/>
      <c r="P496" s="51"/>
      <c r="Q496" s="51"/>
      <c r="R496" s="51"/>
      <c r="S496" s="51"/>
      <c r="T496" s="51"/>
    </row>
    <row r="497">
      <c r="A497" s="51"/>
      <c r="B497" s="51"/>
      <c r="C497" s="56"/>
      <c r="D497" s="51"/>
      <c r="E497" s="51"/>
      <c r="F497" s="51"/>
      <c r="G497" s="51" t="str">
        <f>IFERROR(__xludf.DUMMYFUNCTION("""COMPUTED_VALUE"""),"#VALUE!")</f>
        <v>#VALUE!</v>
      </c>
      <c r="H497" s="51" t="str">
        <f>IFERROR(__xludf.DUMMYFUNCTION("""COMPUTED_VALUE"""),"")</f>
        <v/>
      </c>
      <c r="I497" s="51" t="str">
        <f>IFERROR(__xludf.DUMMYFUNCTION("""COMPUTED_VALUE"""),"#VALUE!")</f>
        <v>#VALUE!</v>
      </c>
      <c r="J497" s="51" t="str">
        <f>IFERROR(__xludf.DUMMYFUNCTION("""COMPUTED_VALUE"""),"")</f>
        <v/>
      </c>
      <c r="K497" s="51"/>
      <c r="L497" s="51" t="s">
        <v>257</v>
      </c>
      <c r="M497" s="51"/>
      <c r="N497" s="51"/>
      <c r="O497" s="51"/>
      <c r="P497" s="51"/>
      <c r="Q497" s="51"/>
      <c r="R497" s="51"/>
      <c r="S497" s="51"/>
      <c r="T497" s="51"/>
    </row>
    <row r="498">
      <c r="A498" s="51"/>
      <c r="B498" s="51"/>
      <c r="C498" s="56"/>
      <c r="D498" s="51"/>
      <c r="E498" s="51"/>
      <c r="F498" s="51"/>
      <c r="G498" s="51" t="str">
        <f>IFERROR(__xludf.DUMMYFUNCTION("""COMPUTED_VALUE"""),"#VALUE!")</f>
        <v>#VALUE!</v>
      </c>
      <c r="H498" s="51" t="str">
        <f>IFERROR(__xludf.DUMMYFUNCTION("""COMPUTED_VALUE"""),"")</f>
        <v/>
      </c>
      <c r="I498" s="51" t="str">
        <f>IFERROR(__xludf.DUMMYFUNCTION("""COMPUTED_VALUE"""),"#VALUE!")</f>
        <v>#VALUE!</v>
      </c>
      <c r="J498" s="51" t="str">
        <f>IFERROR(__xludf.DUMMYFUNCTION("""COMPUTED_VALUE"""),"")</f>
        <v/>
      </c>
      <c r="K498" s="51"/>
      <c r="L498" s="51" t="s">
        <v>257</v>
      </c>
      <c r="M498" s="51"/>
      <c r="N498" s="51"/>
      <c r="O498" s="51"/>
      <c r="P498" s="51"/>
      <c r="Q498" s="51"/>
      <c r="R498" s="51"/>
      <c r="S498" s="51"/>
      <c r="T498" s="51"/>
    </row>
    <row r="499">
      <c r="A499" s="51"/>
      <c r="B499" s="51"/>
      <c r="C499" s="56"/>
      <c r="D499" s="51"/>
      <c r="E499" s="51"/>
      <c r="F499" s="51"/>
      <c r="G499" s="51" t="str">
        <f>IFERROR(__xludf.DUMMYFUNCTION("""COMPUTED_VALUE"""),"#VALUE!")</f>
        <v>#VALUE!</v>
      </c>
      <c r="H499" s="51" t="str">
        <f>IFERROR(__xludf.DUMMYFUNCTION("""COMPUTED_VALUE"""),"")</f>
        <v/>
      </c>
      <c r="I499" s="51" t="str">
        <f>IFERROR(__xludf.DUMMYFUNCTION("""COMPUTED_VALUE"""),"#VALUE!")</f>
        <v>#VALUE!</v>
      </c>
      <c r="J499" s="51" t="str">
        <f>IFERROR(__xludf.DUMMYFUNCTION("""COMPUTED_VALUE"""),"")</f>
        <v/>
      </c>
      <c r="K499" s="51"/>
      <c r="L499" s="51" t="s">
        <v>257</v>
      </c>
      <c r="M499" s="51"/>
      <c r="N499" s="51"/>
      <c r="O499" s="51"/>
      <c r="P499" s="51"/>
      <c r="Q499" s="51"/>
      <c r="R499" s="51"/>
      <c r="S499" s="51"/>
      <c r="T499" s="51"/>
    </row>
    <row r="500">
      <c r="A500" s="51"/>
      <c r="B500" s="51"/>
      <c r="C500" s="56"/>
      <c r="D500" s="51"/>
      <c r="E500" s="51"/>
      <c r="F500" s="51"/>
      <c r="G500" s="51" t="str">
        <f>IFERROR(__xludf.DUMMYFUNCTION("""COMPUTED_VALUE"""),"#VALUE!")</f>
        <v>#VALUE!</v>
      </c>
      <c r="H500" s="51" t="str">
        <f>IFERROR(__xludf.DUMMYFUNCTION("""COMPUTED_VALUE"""),"")</f>
        <v/>
      </c>
      <c r="I500" s="51" t="str">
        <f>IFERROR(__xludf.DUMMYFUNCTION("""COMPUTED_VALUE"""),"#VALUE!")</f>
        <v>#VALUE!</v>
      </c>
      <c r="J500" s="51" t="str">
        <f>IFERROR(__xludf.DUMMYFUNCTION("""COMPUTED_VALUE"""),"")</f>
        <v/>
      </c>
      <c r="K500" s="51"/>
      <c r="L500" s="51" t="s">
        <v>257</v>
      </c>
      <c r="M500" s="51"/>
      <c r="N500" s="51"/>
      <c r="O500" s="51"/>
      <c r="P500" s="51"/>
      <c r="Q500" s="51"/>
      <c r="R500" s="51"/>
      <c r="S500" s="51"/>
      <c r="T500" s="51"/>
    </row>
    <row r="501">
      <c r="A501" s="51"/>
      <c r="B501" s="51"/>
      <c r="C501" s="56"/>
      <c r="D501" s="51"/>
      <c r="E501" s="51"/>
      <c r="F501" s="51"/>
      <c r="G501" s="51" t="str">
        <f>IFERROR(__xludf.DUMMYFUNCTION("""COMPUTED_VALUE"""),"#VALUE!")</f>
        <v>#VALUE!</v>
      </c>
      <c r="H501" s="51" t="str">
        <f>IFERROR(__xludf.DUMMYFUNCTION("""COMPUTED_VALUE"""),"")</f>
        <v/>
      </c>
      <c r="I501" s="51" t="str">
        <f>IFERROR(__xludf.DUMMYFUNCTION("""COMPUTED_VALUE"""),"#VALUE!")</f>
        <v>#VALUE!</v>
      </c>
      <c r="J501" s="51" t="str">
        <f>IFERROR(__xludf.DUMMYFUNCTION("""COMPUTED_VALUE"""),"")</f>
        <v/>
      </c>
      <c r="K501" s="51"/>
      <c r="L501" s="51" t="s">
        <v>257</v>
      </c>
      <c r="M501" s="51"/>
      <c r="N501" s="51"/>
      <c r="O501" s="51"/>
      <c r="P501" s="51"/>
      <c r="Q501" s="51"/>
      <c r="R501" s="51"/>
      <c r="S501" s="51"/>
      <c r="T501" s="51"/>
    </row>
    <row r="502">
      <c r="A502" s="51"/>
      <c r="B502" s="51"/>
      <c r="C502" s="56"/>
      <c r="D502" s="51"/>
      <c r="E502" s="51"/>
      <c r="F502" s="51"/>
      <c r="G502" s="51" t="str">
        <f>IFERROR(__xludf.DUMMYFUNCTION("""COMPUTED_VALUE"""),"#VALUE!")</f>
        <v>#VALUE!</v>
      </c>
      <c r="H502" s="51" t="str">
        <f>IFERROR(__xludf.DUMMYFUNCTION("""COMPUTED_VALUE"""),"")</f>
        <v/>
      </c>
      <c r="I502" s="51" t="str">
        <f>IFERROR(__xludf.DUMMYFUNCTION("""COMPUTED_VALUE"""),"#VALUE!")</f>
        <v>#VALUE!</v>
      </c>
      <c r="J502" s="51" t="str">
        <f>IFERROR(__xludf.DUMMYFUNCTION("""COMPUTED_VALUE"""),"")</f>
        <v/>
      </c>
      <c r="K502" s="51"/>
      <c r="L502" s="51" t="s">
        <v>257</v>
      </c>
      <c r="M502" s="51"/>
      <c r="N502" s="51"/>
      <c r="O502" s="51"/>
      <c r="P502" s="51"/>
      <c r="Q502" s="51"/>
      <c r="R502" s="51"/>
      <c r="S502" s="51"/>
      <c r="T502" s="51"/>
    </row>
    <row r="503">
      <c r="A503" s="51"/>
      <c r="B503" s="51"/>
      <c r="C503" s="56"/>
      <c r="D503" s="51"/>
      <c r="E503" s="51"/>
      <c r="F503" s="51"/>
      <c r="G503" s="51" t="str">
        <f>IFERROR(__xludf.DUMMYFUNCTION("""COMPUTED_VALUE"""),"#VALUE!")</f>
        <v>#VALUE!</v>
      </c>
      <c r="H503" s="51" t="str">
        <f>IFERROR(__xludf.DUMMYFUNCTION("""COMPUTED_VALUE"""),"")</f>
        <v/>
      </c>
      <c r="I503" s="51" t="str">
        <f>IFERROR(__xludf.DUMMYFUNCTION("""COMPUTED_VALUE"""),"#VALUE!")</f>
        <v>#VALUE!</v>
      </c>
      <c r="J503" s="51" t="str">
        <f>IFERROR(__xludf.DUMMYFUNCTION("""COMPUTED_VALUE"""),"")</f>
        <v/>
      </c>
      <c r="K503" s="51"/>
      <c r="L503" s="51" t="s">
        <v>257</v>
      </c>
      <c r="M503" s="51"/>
      <c r="N503" s="51"/>
      <c r="O503" s="51"/>
      <c r="P503" s="51"/>
      <c r="Q503" s="51"/>
      <c r="R503" s="51"/>
      <c r="S503" s="51"/>
      <c r="T503" s="51"/>
    </row>
    <row r="504">
      <c r="A504" s="51"/>
      <c r="B504" s="51"/>
      <c r="C504" s="56"/>
      <c r="D504" s="51"/>
      <c r="E504" s="51"/>
      <c r="F504" s="51"/>
      <c r="G504" s="51" t="str">
        <f>IFERROR(__xludf.DUMMYFUNCTION("""COMPUTED_VALUE"""),"#VALUE!")</f>
        <v>#VALUE!</v>
      </c>
      <c r="H504" s="51" t="str">
        <f>IFERROR(__xludf.DUMMYFUNCTION("""COMPUTED_VALUE"""),"")</f>
        <v/>
      </c>
      <c r="I504" s="51" t="str">
        <f>IFERROR(__xludf.DUMMYFUNCTION("""COMPUTED_VALUE"""),"#VALUE!")</f>
        <v>#VALUE!</v>
      </c>
      <c r="J504" s="51" t="str">
        <f>IFERROR(__xludf.DUMMYFUNCTION("""COMPUTED_VALUE"""),"")</f>
        <v/>
      </c>
      <c r="K504" s="51"/>
      <c r="L504" s="51" t="s">
        <v>257</v>
      </c>
      <c r="M504" s="51"/>
      <c r="N504" s="51"/>
      <c r="O504" s="51"/>
      <c r="P504" s="51"/>
      <c r="Q504" s="51"/>
      <c r="R504" s="51"/>
      <c r="S504" s="51"/>
      <c r="T504" s="51"/>
    </row>
    <row r="505">
      <c r="A505" s="51"/>
      <c r="B505" s="51"/>
      <c r="C505" s="56"/>
      <c r="D505" s="51"/>
      <c r="E505" s="51"/>
      <c r="F505" s="51"/>
      <c r="G505" s="51" t="str">
        <f>IFERROR(__xludf.DUMMYFUNCTION("""COMPUTED_VALUE"""),"#VALUE!")</f>
        <v>#VALUE!</v>
      </c>
      <c r="H505" s="51" t="str">
        <f>IFERROR(__xludf.DUMMYFUNCTION("""COMPUTED_VALUE"""),"")</f>
        <v/>
      </c>
      <c r="I505" s="51" t="str">
        <f>IFERROR(__xludf.DUMMYFUNCTION("""COMPUTED_VALUE"""),"#VALUE!")</f>
        <v>#VALUE!</v>
      </c>
      <c r="J505" s="51" t="str">
        <f>IFERROR(__xludf.DUMMYFUNCTION("""COMPUTED_VALUE"""),"")</f>
        <v/>
      </c>
      <c r="K505" s="51"/>
      <c r="L505" s="51" t="s">
        <v>257</v>
      </c>
      <c r="M505" s="51"/>
      <c r="N505" s="51"/>
      <c r="O505" s="51"/>
      <c r="P505" s="51"/>
      <c r="Q505" s="51"/>
      <c r="R505" s="51"/>
      <c r="S505" s="51"/>
      <c r="T505" s="51"/>
    </row>
    <row r="506">
      <c r="A506" s="51"/>
      <c r="B506" s="51"/>
      <c r="C506" s="56"/>
      <c r="D506" s="51"/>
      <c r="E506" s="51"/>
      <c r="F506" s="51"/>
      <c r="G506" s="51" t="str">
        <f>IFERROR(__xludf.DUMMYFUNCTION("""COMPUTED_VALUE"""),"#VALUE!")</f>
        <v>#VALUE!</v>
      </c>
      <c r="H506" s="51" t="str">
        <f>IFERROR(__xludf.DUMMYFUNCTION("""COMPUTED_VALUE"""),"")</f>
        <v/>
      </c>
      <c r="I506" s="51" t="str">
        <f>IFERROR(__xludf.DUMMYFUNCTION("""COMPUTED_VALUE"""),"#VALUE!")</f>
        <v>#VALUE!</v>
      </c>
      <c r="J506" s="51" t="str">
        <f>IFERROR(__xludf.DUMMYFUNCTION("""COMPUTED_VALUE"""),"")</f>
        <v/>
      </c>
      <c r="K506" s="51"/>
      <c r="L506" s="51" t="s">
        <v>257</v>
      </c>
      <c r="M506" s="51"/>
      <c r="N506" s="51"/>
      <c r="O506" s="51"/>
      <c r="P506" s="51"/>
      <c r="Q506" s="51"/>
      <c r="R506" s="51"/>
      <c r="S506" s="51"/>
      <c r="T506" s="51"/>
    </row>
    <row r="507">
      <c r="A507" s="51"/>
      <c r="B507" s="51"/>
      <c r="C507" s="56"/>
      <c r="D507" s="51"/>
      <c r="E507" s="51"/>
      <c r="F507" s="51"/>
      <c r="G507" s="51" t="str">
        <f>IFERROR(__xludf.DUMMYFUNCTION("""COMPUTED_VALUE"""),"#VALUE!")</f>
        <v>#VALUE!</v>
      </c>
      <c r="H507" s="51" t="str">
        <f>IFERROR(__xludf.DUMMYFUNCTION("""COMPUTED_VALUE"""),"")</f>
        <v/>
      </c>
      <c r="I507" s="51" t="str">
        <f>IFERROR(__xludf.DUMMYFUNCTION("""COMPUTED_VALUE"""),"#VALUE!")</f>
        <v>#VALUE!</v>
      </c>
      <c r="J507" s="51" t="str">
        <f>IFERROR(__xludf.DUMMYFUNCTION("""COMPUTED_VALUE"""),"")</f>
        <v/>
      </c>
      <c r="K507" s="51"/>
      <c r="L507" s="51" t="s">
        <v>257</v>
      </c>
      <c r="M507" s="51"/>
      <c r="N507" s="51"/>
      <c r="O507" s="51"/>
      <c r="P507" s="51"/>
      <c r="Q507" s="51"/>
      <c r="R507" s="51"/>
      <c r="S507" s="51"/>
      <c r="T507" s="51"/>
    </row>
    <row r="508">
      <c r="A508" s="51"/>
      <c r="B508" s="51"/>
      <c r="C508" s="56"/>
      <c r="D508" s="51"/>
      <c r="E508" s="51"/>
      <c r="F508" s="51"/>
      <c r="G508" s="51" t="str">
        <f>IFERROR(__xludf.DUMMYFUNCTION("""COMPUTED_VALUE"""),"#VALUE!")</f>
        <v>#VALUE!</v>
      </c>
      <c r="H508" s="51" t="str">
        <f>IFERROR(__xludf.DUMMYFUNCTION("""COMPUTED_VALUE"""),"")</f>
        <v/>
      </c>
      <c r="I508" s="51" t="str">
        <f>IFERROR(__xludf.DUMMYFUNCTION("""COMPUTED_VALUE"""),"#VALUE!")</f>
        <v>#VALUE!</v>
      </c>
      <c r="J508" s="51" t="str">
        <f>IFERROR(__xludf.DUMMYFUNCTION("""COMPUTED_VALUE"""),"")</f>
        <v/>
      </c>
      <c r="K508" s="51"/>
      <c r="L508" s="51" t="s">
        <v>257</v>
      </c>
      <c r="M508" s="51"/>
      <c r="N508" s="51"/>
      <c r="O508" s="51"/>
      <c r="P508" s="51"/>
      <c r="Q508" s="51"/>
      <c r="R508" s="51"/>
      <c r="S508" s="51"/>
      <c r="T508" s="51"/>
    </row>
    <row r="509">
      <c r="A509" s="51"/>
      <c r="B509" s="51"/>
      <c r="C509" s="56"/>
      <c r="D509" s="51"/>
      <c r="E509" s="51"/>
      <c r="F509" s="51"/>
      <c r="G509" s="51" t="str">
        <f>IFERROR(__xludf.DUMMYFUNCTION("""COMPUTED_VALUE"""),"#VALUE!")</f>
        <v>#VALUE!</v>
      </c>
      <c r="H509" s="51" t="str">
        <f>IFERROR(__xludf.DUMMYFUNCTION("""COMPUTED_VALUE"""),"")</f>
        <v/>
      </c>
      <c r="I509" s="51" t="str">
        <f>IFERROR(__xludf.DUMMYFUNCTION("""COMPUTED_VALUE"""),"#VALUE!")</f>
        <v>#VALUE!</v>
      </c>
      <c r="J509" s="51" t="str">
        <f>IFERROR(__xludf.DUMMYFUNCTION("""COMPUTED_VALUE"""),"")</f>
        <v/>
      </c>
      <c r="K509" s="51"/>
      <c r="L509" s="51" t="s">
        <v>257</v>
      </c>
      <c r="M509" s="51"/>
      <c r="N509" s="51"/>
      <c r="O509" s="51"/>
      <c r="P509" s="51"/>
      <c r="Q509" s="51"/>
      <c r="R509" s="51"/>
      <c r="S509" s="51"/>
      <c r="T509" s="51"/>
    </row>
    <row r="510">
      <c r="A510" s="51"/>
      <c r="B510" s="51"/>
      <c r="C510" s="56"/>
      <c r="D510" s="51"/>
      <c r="E510" s="51"/>
      <c r="F510" s="51"/>
      <c r="G510" s="51" t="str">
        <f>IFERROR(__xludf.DUMMYFUNCTION("""COMPUTED_VALUE"""),"#VALUE!")</f>
        <v>#VALUE!</v>
      </c>
      <c r="H510" s="51" t="str">
        <f>IFERROR(__xludf.DUMMYFUNCTION("""COMPUTED_VALUE"""),"")</f>
        <v/>
      </c>
      <c r="I510" s="51" t="str">
        <f>IFERROR(__xludf.DUMMYFUNCTION("""COMPUTED_VALUE"""),"#VALUE!")</f>
        <v>#VALUE!</v>
      </c>
      <c r="J510" s="51" t="str">
        <f>IFERROR(__xludf.DUMMYFUNCTION("""COMPUTED_VALUE"""),"")</f>
        <v/>
      </c>
      <c r="K510" s="51"/>
      <c r="L510" s="51" t="s">
        <v>257</v>
      </c>
      <c r="M510" s="51"/>
      <c r="N510" s="51"/>
      <c r="O510" s="51"/>
      <c r="P510" s="51"/>
      <c r="Q510" s="51"/>
      <c r="R510" s="51"/>
      <c r="S510" s="51"/>
      <c r="T510" s="51"/>
    </row>
    <row r="511">
      <c r="A511" s="51"/>
      <c r="B511" s="51"/>
      <c r="C511" s="56"/>
      <c r="D511" s="51"/>
      <c r="E511" s="51"/>
      <c r="F511" s="51"/>
      <c r="G511" s="51" t="str">
        <f>IFERROR(__xludf.DUMMYFUNCTION("""COMPUTED_VALUE"""),"#VALUE!")</f>
        <v>#VALUE!</v>
      </c>
      <c r="H511" s="51" t="str">
        <f>IFERROR(__xludf.DUMMYFUNCTION("""COMPUTED_VALUE"""),"")</f>
        <v/>
      </c>
      <c r="I511" s="51" t="str">
        <f>IFERROR(__xludf.DUMMYFUNCTION("""COMPUTED_VALUE"""),"#VALUE!")</f>
        <v>#VALUE!</v>
      </c>
      <c r="J511" s="51" t="str">
        <f>IFERROR(__xludf.DUMMYFUNCTION("""COMPUTED_VALUE"""),"")</f>
        <v/>
      </c>
      <c r="K511" s="51"/>
      <c r="L511" s="51" t="s">
        <v>257</v>
      </c>
      <c r="M511" s="51"/>
      <c r="N511" s="51"/>
      <c r="O511" s="51"/>
      <c r="P511" s="51"/>
      <c r="Q511" s="51"/>
      <c r="R511" s="51"/>
      <c r="S511" s="51"/>
      <c r="T511" s="51"/>
    </row>
    <row r="512">
      <c r="A512" s="51"/>
      <c r="B512" s="51"/>
      <c r="C512" s="56"/>
      <c r="D512" s="51"/>
      <c r="E512" s="51"/>
      <c r="F512" s="51"/>
      <c r="G512" s="51" t="str">
        <f>IFERROR(__xludf.DUMMYFUNCTION("""COMPUTED_VALUE"""),"#VALUE!")</f>
        <v>#VALUE!</v>
      </c>
      <c r="H512" s="51" t="str">
        <f>IFERROR(__xludf.DUMMYFUNCTION("""COMPUTED_VALUE"""),"")</f>
        <v/>
      </c>
      <c r="I512" s="51" t="str">
        <f>IFERROR(__xludf.DUMMYFUNCTION("""COMPUTED_VALUE"""),"#VALUE!")</f>
        <v>#VALUE!</v>
      </c>
      <c r="J512" s="51" t="str">
        <f>IFERROR(__xludf.DUMMYFUNCTION("""COMPUTED_VALUE"""),"")</f>
        <v/>
      </c>
      <c r="K512" s="51"/>
      <c r="L512" s="51" t="s">
        <v>257</v>
      </c>
      <c r="M512" s="51"/>
      <c r="N512" s="51"/>
      <c r="O512" s="51"/>
      <c r="P512" s="51"/>
      <c r="Q512" s="51"/>
      <c r="R512" s="51"/>
      <c r="S512" s="51"/>
      <c r="T512" s="51"/>
    </row>
    <row r="513">
      <c r="A513" s="51"/>
      <c r="B513" s="51"/>
      <c r="C513" s="56"/>
      <c r="D513" s="51"/>
      <c r="E513" s="51"/>
      <c r="F513" s="51"/>
      <c r="G513" s="51" t="str">
        <f>IFERROR(__xludf.DUMMYFUNCTION("""COMPUTED_VALUE"""),"#VALUE!")</f>
        <v>#VALUE!</v>
      </c>
      <c r="H513" s="51" t="str">
        <f>IFERROR(__xludf.DUMMYFUNCTION("""COMPUTED_VALUE"""),"")</f>
        <v/>
      </c>
      <c r="I513" s="51" t="str">
        <f>IFERROR(__xludf.DUMMYFUNCTION("""COMPUTED_VALUE"""),"#VALUE!")</f>
        <v>#VALUE!</v>
      </c>
      <c r="J513" s="51" t="str">
        <f>IFERROR(__xludf.DUMMYFUNCTION("""COMPUTED_VALUE"""),"")</f>
        <v/>
      </c>
      <c r="K513" s="51"/>
      <c r="L513" s="51" t="s">
        <v>257</v>
      </c>
      <c r="M513" s="51"/>
      <c r="N513" s="51"/>
      <c r="O513" s="51"/>
      <c r="P513" s="51"/>
      <c r="Q513" s="51"/>
      <c r="R513" s="51"/>
      <c r="S513" s="51"/>
      <c r="T513" s="51"/>
    </row>
    <row r="514">
      <c r="A514" s="51"/>
      <c r="B514" s="51"/>
      <c r="C514" s="56"/>
      <c r="D514" s="51"/>
      <c r="E514" s="51"/>
      <c r="F514" s="51"/>
      <c r="G514" s="51" t="str">
        <f>IFERROR(__xludf.DUMMYFUNCTION("""COMPUTED_VALUE"""),"#VALUE!")</f>
        <v>#VALUE!</v>
      </c>
      <c r="H514" s="51" t="str">
        <f>IFERROR(__xludf.DUMMYFUNCTION("""COMPUTED_VALUE"""),"")</f>
        <v/>
      </c>
      <c r="I514" s="51" t="str">
        <f>IFERROR(__xludf.DUMMYFUNCTION("""COMPUTED_VALUE"""),"#VALUE!")</f>
        <v>#VALUE!</v>
      </c>
      <c r="J514" s="51" t="str">
        <f>IFERROR(__xludf.DUMMYFUNCTION("""COMPUTED_VALUE"""),"")</f>
        <v/>
      </c>
      <c r="K514" s="51"/>
      <c r="L514" s="51" t="s">
        <v>257</v>
      </c>
      <c r="M514" s="51"/>
      <c r="N514" s="51"/>
      <c r="O514" s="51"/>
      <c r="P514" s="51"/>
      <c r="Q514" s="51"/>
      <c r="R514" s="51"/>
      <c r="S514" s="51"/>
      <c r="T514" s="51"/>
    </row>
    <row r="515">
      <c r="A515" s="51"/>
      <c r="B515" s="51"/>
      <c r="C515" s="56"/>
      <c r="D515" s="51"/>
      <c r="E515" s="51"/>
      <c r="F515" s="51"/>
      <c r="G515" s="51" t="str">
        <f>IFERROR(__xludf.DUMMYFUNCTION("""COMPUTED_VALUE"""),"#VALUE!")</f>
        <v>#VALUE!</v>
      </c>
      <c r="H515" s="51" t="str">
        <f>IFERROR(__xludf.DUMMYFUNCTION("""COMPUTED_VALUE"""),"")</f>
        <v/>
      </c>
      <c r="I515" s="51" t="str">
        <f>IFERROR(__xludf.DUMMYFUNCTION("""COMPUTED_VALUE"""),"#VALUE!")</f>
        <v>#VALUE!</v>
      </c>
      <c r="J515" s="51" t="str">
        <f>IFERROR(__xludf.DUMMYFUNCTION("""COMPUTED_VALUE"""),"")</f>
        <v/>
      </c>
      <c r="K515" s="51"/>
      <c r="L515" s="51" t="s">
        <v>257</v>
      </c>
      <c r="M515" s="51"/>
      <c r="N515" s="51"/>
      <c r="O515" s="51"/>
      <c r="P515" s="51"/>
      <c r="Q515" s="51"/>
      <c r="R515" s="51"/>
      <c r="S515" s="51"/>
      <c r="T515" s="51"/>
    </row>
    <row r="516">
      <c r="A516" s="51"/>
      <c r="B516" s="51"/>
      <c r="C516" s="56"/>
      <c r="D516" s="51"/>
      <c r="E516" s="51"/>
      <c r="F516" s="51"/>
      <c r="G516" s="51" t="str">
        <f>IFERROR(__xludf.DUMMYFUNCTION("""COMPUTED_VALUE"""),"#VALUE!")</f>
        <v>#VALUE!</v>
      </c>
      <c r="H516" s="51" t="str">
        <f>IFERROR(__xludf.DUMMYFUNCTION("""COMPUTED_VALUE"""),"")</f>
        <v/>
      </c>
      <c r="I516" s="51" t="str">
        <f>IFERROR(__xludf.DUMMYFUNCTION("""COMPUTED_VALUE"""),"#VALUE!")</f>
        <v>#VALUE!</v>
      </c>
      <c r="J516" s="51" t="str">
        <f>IFERROR(__xludf.DUMMYFUNCTION("""COMPUTED_VALUE"""),"")</f>
        <v/>
      </c>
      <c r="K516" s="51"/>
      <c r="L516" s="51" t="s">
        <v>257</v>
      </c>
      <c r="M516" s="51"/>
      <c r="N516" s="51"/>
      <c r="O516" s="51"/>
      <c r="P516" s="51"/>
      <c r="Q516" s="51"/>
      <c r="R516" s="51"/>
      <c r="S516" s="51"/>
      <c r="T516" s="51"/>
    </row>
    <row r="517">
      <c r="A517" s="51"/>
      <c r="B517" s="51"/>
      <c r="C517" s="56"/>
      <c r="D517" s="51"/>
      <c r="E517" s="51"/>
      <c r="F517" s="51"/>
      <c r="G517" s="51" t="str">
        <f>IFERROR(__xludf.DUMMYFUNCTION("""COMPUTED_VALUE"""),"#VALUE!")</f>
        <v>#VALUE!</v>
      </c>
      <c r="H517" s="51" t="str">
        <f>IFERROR(__xludf.DUMMYFUNCTION("""COMPUTED_VALUE"""),"")</f>
        <v/>
      </c>
      <c r="I517" s="51" t="str">
        <f>IFERROR(__xludf.DUMMYFUNCTION("""COMPUTED_VALUE"""),"#VALUE!")</f>
        <v>#VALUE!</v>
      </c>
      <c r="J517" s="51" t="str">
        <f>IFERROR(__xludf.DUMMYFUNCTION("""COMPUTED_VALUE"""),"")</f>
        <v/>
      </c>
      <c r="K517" s="51"/>
      <c r="L517" s="51" t="s">
        <v>257</v>
      </c>
      <c r="M517" s="51"/>
      <c r="N517" s="51"/>
      <c r="O517" s="51"/>
      <c r="P517" s="51"/>
      <c r="Q517" s="51"/>
      <c r="R517" s="51"/>
      <c r="S517" s="51"/>
      <c r="T517" s="51"/>
    </row>
    <row r="518">
      <c r="A518" s="51"/>
      <c r="B518" s="51"/>
      <c r="C518" s="56"/>
      <c r="D518" s="51"/>
      <c r="E518" s="51"/>
      <c r="F518" s="51"/>
      <c r="G518" s="51" t="str">
        <f>IFERROR(__xludf.DUMMYFUNCTION("""COMPUTED_VALUE"""),"#VALUE!")</f>
        <v>#VALUE!</v>
      </c>
      <c r="H518" s="51" t="str">
        <f>IFERROR(__xludf.DUMMYFUNCTION("""COMPUTED_VALUE"""),"")</f>
        <v/>
      </c>
      <c r="I518" s="51" t="str">
        <f>IFERROR(__xludf.DUMMYFUNCTION("""COMPUTED_VALUE"""),"#VALUE!")</f>
        <v>#VALUE!</v>
      </c>
      <c r="J518" s="51" t="str">
        <f>IFERROR(__xludf.DUMMYFUNCTION("""COMPUTED_VALUE"""),"")</f>
        <v/>
      </c>
      <c r="K518" s="51"/>
      <c r="L518" s="51" t="s">
        <v>257</v>
      </c>
      <c r="M518" s="51"/>
      <c r="N518" s="51"/>
      <c r="O518" s="51"/>
      <c r="P518" s="51"/>
      <c r="Q518" s="51"/>
      <c r="R518" s="51"/>
      <c r="S518" s="51"/>
      <c r="T518" s="51"/>
    </row>
    <row r="519">
      <c r="A519" s="51"/>
      <c r="B519" s="51"/>
      <c r="C519" s="56"/>
      <c r="D519" s="51"/>
      <c r="E519" s="51"/>
      <c r="F519" s="51"/>
      <c r="G519" s="51" t="str">
        <f>IFERROR(__xludf.DUMMYFUNCTION("""COMPUTED_VALUE"""),"#VALUE!")</f>
        <v>#VALUE!</v>
      </c>
      <c r="H519" s="51" t="str">
        <f>IFERROR(__xludf.DUMMYFUNCTION("""COMPUTED_VALUE"""),"")</f>
        <v/>
      </c>
      <c r="I519" s="51" t="str">
        <f>IFERROR(__xludf.DUMMYFUNCTION("""COMPUTED_VALUE"""),"#VALUE!")</f>
        <v>#VALUE!</v>
      </c>
      <c r="J519" s="51" t="str">
        <f>IFERROR(__xludf.DUMMYFUNCTION("""COMPUTED_VALUE"""),"")</f>
        <v/>
      </c>
      <c r="K519" s="51"/>
      <c r="L519" s="51" t="s">
        <v>257</v>
      </c>
      <c r="M519" s="51"/>
      <c r="N519" s="51"/>
      <c r="O519" s="51"/>
      <c r="P519" s="51"/>
      <c r="Q519" s="51"/>
      <c r="R519" s="51"/>
      <c r="S519" s="51"/>
      <c r="T519" s="51"/>
    </row>
    <row r="520">
      <c r="A520" s="51"/>
      <c r="B520" s="51"/>
      <c r="C520" s="56"/>
      <c r="D520" s="51"/>
      <c r="E520" s="51"/>
      <c r="F520" s="51"/>
      <c r="G520" s="51" t="str">
        <f>IFERROR(__xludf.DUMMYFUNCTION("""COMPUTED_VALUE"""),"#VALUE!")</f>
        <v>#VALUE!</v>
      </c>
      <c r="H520" s="51" t="str">
        <f>IFERROR(__xludf.DUMMYFUNCTION("""COMPUTED_VALUE"""),"")</f>
        <v/>
      </c>
      <c r="I520" s="51" t="str">
        <f>IFERROR(__xludf.DUMMYFUNCTION("""COMPUTED_VALUE"""),"#VALUE!")</f>
        <v>#VALUE!</v>
      </c>
      <c r="J520" s="51" t="str">
        <f>IFERROR(__xludf.DUMMYFUNCTION("""COMPUTED_VALUE"""),"")</f>
        <v/>
      </c>
      <c r="K520" s="51"/>
      <c r="L520" s="51" t="s">
        <v>257</v>
      </c>
      <c r="M520" s="51"/>
      <c r="N520" s="51"/>
      <c r="O520" s="51"/>
      <c r="P520" s="51"/>
      <c r="Q520" s="51"/>
      <c r="R520" s="51"/>
      <c r="S520" s="51"/>
      <c r="T520" s="51"/>
    </row>
    <row r="521">
      <c r="A521" s="51"/>
      <c r="B521" s="51"/>
      <c r="C521" s="56"/>
      <c r="D521" s="51"/>
      <c r="E521" s="51"/>
      <c r="F521" s="51"/>
      <c r="G521" s="51" t="str">
        <f>IFERROR(__xludf.DUMMYFUNCTION("""COMPUTED_VALUE"""),"#VALUE!")</f>
        <v>#VALUE!</v>
      </c>
      <c r="H521" s="51" t="str">
        <f>IFERROR(__xludf.DUMMYFUNCTION("""COMPUTED_VALUE"""),"")</f>
        <v/>
      </c>
      <c r="I521" s="51" t="str">
        <f>IFERROR(__xludf.DUMMYFUNCTION("""COMPUTED_VALUE"""),"#VALUE!")</f>
        <v>#VALUE!</v>
      </c>
      <c r="J521" s="51" t="str">
        <f>IFERROR(__xludf.DUMMYFUNCTION("""COMPUTED_VALUE"""),"")</f>
        <v/>
      </c>
      <c r="K521" s="51"/>
      <c r="L521" s="51" t="s">
        <v>257</v>
      </c>
      <c r="M521" s="51"/>
      <c r="N521" s="51"/>
      <c r="O521" s="51"/>
      <c r="P521" s="51"/>
      <c r="Q521" s="51"/>
      <c r="R521" s="51"/>
      <c r="S521" s="51"/>
      <c r="T521" s="51"/>
    </row>
    <row r="522">
      <c r="A522" s="51"/>
      <c r="B522" s="51"/>
      <c r="C522" s="56"/>
      <c r="D522" s="51"/>
      <c r="E522" s="51"/>
      <c r="F522" s="51"/>
      <c r="G522" s="51" t="str">
        <f>IFERROR(__xludf.DUMMYFUNCTION("""COMPUTED_VALUE"""),"#VALUE!")</f>
        <v>#VALUE!</v>
      </c>
      <c r="H522" s="51" t="str">
        <f>IFERROR(__xludf.DUMMYFUNCTION("""COMPUTED_VALUE"""),"")</f>
        <v/>
      </c>
      <c r="I522" s="51" t="str">
        <f>IFERROR(__xludf.DUMMYFUNCTION("""COMPUTED_VALUE"""),"#VALUE!")</f>
        <v>#VALUE!</v>
      </c>
      <c r="J522" s="51" t="str">
        <f>IFERROR(__xludf.DUMMYFUNCTION("""COMPUTED_VALUE"""),"")</f>
        <v/>
      </c>
      <c r="K522" s="51"/>
      <c r="L522" s="51" t="s">
        <v>257</v>
      </c>
      <c r="M522" s="51"/>
      <c r="N522" s="51"/>
      <c r="O522" s="51"/>
      <c r="P522" s="51"/>
      <c r="Q522" s="51"/>
      <c r="R522" s="51"/>
      <c r="S522" s="51"/>
      <c r="T522" s="51"/>
    </row>
    <row r="523">
      <c r="A523" s="51"/>
      <c r="B523" s="51"/>
      <c r="C523" s="56"/>
      <c r="D523" s="51"/>
      <c r="E523" s="51"/>
      <c r="F523" s="51"/>
      <c r="G523" s="51" t="str">
        <f>IFERROR(__xludf.DUMMYFUNCTION("""COMPUTED_VALUE"""),"#VALUE!")</f>
        <v>#VALUE!</v>
      </c>
      <c r="H523" s="51" t="str">
        <f>IFERROR(__xludf.DUMMYFUNCTION("""COMPUTED_VALUE"""),"")</f>
        <v/>
      </c>
      <c r="I523" s="51" t="str">
        <f>IFERROR(__xludf.DUMMYFUNCTION("""COMPUTED_VALUE"""),"#VALUE!")</f>
        <v>#VALUE!</v>
      </c>
      <c r="J523" s="51" t="str">
        <f>IFERROR(__xludf.DUMMYFUNCTION("""COMPUTED_VALUE"""),"")</f>
        <v/>
      </c>
      <c r="K523" s="51"/>
      <c r="L523" s="51" t="s">
        <v>257</v>
      </c>
      <c r="M523" s="51"/>
      <c r="N523" s="51"/>
      <c r="O523" s="51"/>
      <c r="P523" s="51"/>
      <c r="Q523" s="51"/>
      <c r="R523" s="51"/>
      <c r="S523" s="51"/>
      <c r="T523" s="51"/>
    </row>
    <row r="524">
      <c r="A524" s="51"/>
      <c r="B524" s="51"/>
      <c r="C524" s="56"/>
      <c r="D524" s="51"/>
      <c r="E524" s="51"/>
      <c r="F524" s="51"/>
      <c r="G524" s="51" t="str">
        <f>IFERROR(__xludf.DUMMYFUNCTION("""COMPUTED_VALUE"""),"#VALUE!")</f>
        <v>#VALUE!</v>
      </c>
      <c r="H524" s="51" t="str">
        <f>IFERROR(__xludf.DUMMYFUNCTION("""COMPUTED_VALUE"""),"")</f>
        <v/>
      </c>
      <c r="I524" s="51" t="str">
        <f>IFERROR(__xludf.DUMMYFUNCTION("""COMPUTED_VALUE"""),"#VALUE!")</f>
        <v>#VALUE!</v>
      </c>
      <c r="J524" s="51" t="str">
        <f>IFERROR(__xludf.DUMMYFUNCTION("""COMPUTED_VALUE"""),"")</f>
        <v/>
      </c>
      <c r="K524" s="51"/>
      <c r="L524" s="51" t="s">
        <v>257</v>
      </c>
      <c r="M524" s="51"/>
      <c r="N524" s="51"/>
      <c r="O524" s="51"/>
      <c r="P524" s="51"/>
      <c r="Q524" s="51"/>
      <c r="R524" s="51"/>
      <c r="S524" s="51"/>
      <c r="T524" s="51"/>
    </row>
  </sheetData>
  <conditionalFormatting sqref="O2:O16">
    <cfRule type="containsText" dxfId="4" priority="1" operator="containsText" text="YES">
      <formula>NOT(ISERROR(SEARCH(("YES"),(O2))))</formula>
    </cfRule>
  </conditionalFormatting>
  <conditionalFormatting sqref="O2:O16">
    <cfRule type="cellIs" dxfId="5" priority="2" operator="equal">
      <formula>"NO"</formula>
    </cfRule>
  </conditionalFormatting>
  <conditionalFormatting sqref="P2:P16">
    <cfRule type="cellIs" dxfId="4" priority="3" operator="equal">
      <formula>"AVAILABLE"</formula>
    </cfRule>
  </conditionalFormatting>
  <conditionalFormatting sqref="P2:P16">
    <cfRule type="cellIs" dxfId="5" priority="4" operator="equal">
      <formula>"NOT AVAILABLE"</formula>
    </cfRule>
  </conditionalFormatting>
  <conditionalFormatting sqref="Q2:Q16">
    <cfRule type="cellIs" dxfId="4" priority="5" operator="equal">
      <formula>"AVAILABLE"</formula>
    </cfRule>
  </conditionalFormatting>
  <conditionalFormatting sqref="Q2:Q16">
    <cfRule type="cellIs" dxfId="6" priority="6" operator="equal">
      <formula>"UPLOADING"</formula>
    </cfRule>
  </conditionalFormatting>
  <conditionalFormatting sqref="Q2:Q16">
    <cfRule type="cellIs" dxfId="5" priority="7" operator="equal">
      <formula>"NOT AVAILABLE"</formula>
    </cfRule>
  </conditionalFormatting>
  <dataValidations>
    <dataValidation type="list" allowBlank="1" sqref="O2:O16">
      <formula1>"YES,NO"</formula1>
    </dataValidation>
    <dataValidation type="list" allowBlank="1" sqref="P2:P16">
      <formula1>"AVAILABLE,NOT AVAILABLE"</formula1>
    </dataValidation>
    <dataValidation type="list" allowBlank="1" sqref="Q2:Q16">
      <formula1>"AVAILABLE,UPLOADING,NOT AVAILABLE"</formula1>
    </dataValidation>
  </dataValidations>
  <drawing r:id="rId1"/>
  <tableParts count="1">
    <tablePart r:id="rId3"/>
  </tableParts>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7.86"/>
    <col customWidth="1" min="3" max="3" width="20.43"/>
    <col hidden="1" min="4" max="5" width="14.43"/>
    <col customWidth="1" min="6" max="6" width="37.14"/>
    <col hidden="1" min="9" max="9" width="14.43"/>
  </cols>
  <sheetData>
    <row r="1">
      <c r="A1" s="46" t="s">
        <v>79</v>
      </c>
      <c r="B1" s="46" t="s">
        <v>80</v>
      </c>
      <c r="C1" s="46" t="s">
        <v>81</v>
      </c>
      <c r="D1" s="46" t="s">
        <v>82</v>
      </c>
      <c r="E1" s="46" t="s">
        <v>83</v>
      </c>
      <c r="F1" s="46" t="s">
        <v>84</v>
      </c>
      <c r="G1" s="46" t="s">
        <v>85</v>
      </c>
      <c r="H1" s="46" t="s">
        <v>86</v>
      </c>
      <c r="I1" s="46" t="s">
        <v>87</v>
      </c>
      <c r="J1" s="46" t="s">
        <v>88</v>
      </c>
      <c r="K1" s="46" t="s">
        <v>89</v>
      </c>
      <c r="L1" s="46" t="s">
        <v>90</v>
      </c>
      <c r="M1" s="46" t="s">
        <v>91</v>
      </c>
      <c r="N1" s="46" t="s">
        <v>92</v>
      </c>
      <c r="O1" s="50" t="s">
        <v>93</v>
      </c>
      <c r="P1" s="50" t="s">
        <v>94</v>
      </c>
      <c r="Q1" s="50" t="s">
        <v>95</v>
      </c>
      <c r="R1" s="51"/>
      <c r="S1" s="51"/>
      <c r="T1" s="51"/>
    </row>
    <row r="2">
      <c r="A2" s="54" t="str">
        <f>IFERROR(__xludf.DUMMYFUNCTION("QUERY(Master!A:H,""SELECT A,C,D,F,G,H where C = 'Growth Summit' ORDER BY F"")"),"Opening remarks")</f>
        <v>Opening remarks</v>
      </c>
      <c r="B2" s="51" t="str">
        <f>IFERROR(__xludf.DUMMYFUNCTION("""COMPUTED_VALUE"""),"Growth Summit")</f>
        <v>Growth Summit</v>
      </c>
      <c r="C2" s="51" t="str">
        <f>IFERROR(__xludf.DUMMYFUNCTION("""COMPUTED_VALUE"""),"Fatima Zaidi")</f>
        <v>Fatima Zaidi</v>
      </c>
      <c r="D2" s="51" t="str">
        <f>IFERROR(__xludf.DUMMYFUNCTION("""COMPUTED_VALUE"""),"2019/11/05 10:00:00")</f>
        <v>2019/11/05 10:00:00</v>
      </c>
      <c r="E2" s="51" t="str">
        <f>IFERROR(__xludf.DUMMYFUNCTION("""COMPUTED_VALUE"""),"2019/11/05 10:02:00")</f>
        <v>2019/11/05 10:02:00</v>
      </c>
      <c r="F2" s="51" t="str">
        <f>IFERROR(__xludf.DUMMYFUNCTION("""COMPUTED_VALUE"""),"8e97beed-8cde-4f3d-9019-3e346185de2c")</f>
        <v>8e97beed-8cde-4f3d-9019-3e346185de2c</v>
      </c>
      <c r="G2" s="61">
        <f>IFERROR(__xludf.DUMMYFUNCTION("ARRAYFORMULA(SPLIT(D2:D197,"" ""))"),43774.0)</f>
        <v>43774</v>
      </c>
      <c r="H2" s="60">
        <f>IFERROR(__xludf.DUMMYFUNCTION("""COMPUTED_VALUE"""),0.4166666666666667)</f>
        <v>0.4166666667</v>
      </c>
      <c r="I2" s="61">
        <f>IFERROR(__xludf.DUMMYFUNCTION("ARRAYFORMULA(SPLIT(E2:E197,"" ""))"),43774.0)</f>
        <v>43774</v>
      </c>
      <c r="J2" s="60">
        <f>IFERROR(__xludf.DUMMYFUNCTION("""COMPUTED_VALUE"""),0.41805555555555557)</f>
        <v>0.4180555556</v>
      </c>
      <c r="K2" s="60">
        <f t="shared" ref="K2:K164" si="1">J2-H2</f>
        <v>0.001388888889</v>
      </c>
      <c r="L2" s="51" t="str">
        <f t="array" ref="L2:L197">TEXT(K2:K197,"hhmmss")</f>
        <v>000200</v>
      </c>
      <c r="M2" s="62" t="s">
        <v>582</v>
      </c>
      <c r="N2" s="62" t="str">
        <f>CONCATENATE(M2,"_",F2,"_","000000_000000.mp4")</f>
        <v>GS_4_1_8e97beed-8cde-4f3d-9019-3e346185de2c_000000_000000.mp4</v>
      </c>
      <c r="O2" s="50"/>
      <c r="P2" s="50"/>
      <c r="Q2" s="63"/>
      <c r="R2" s="51"/>
      <c r="S2" s="51"/>
      <c r="T2" s="51"/>
    </row>
    <row r="3">
      <c r="A3" s="51" t="str">
        <f>IFERROR(__xludf.DUMMYFUNCTION("""COMPUTED_VALUE"""),"Getting a VC to say yes: Securing the funding you need to grow")</f>
        <v>Getting a VC to say yes: Securing the funding you need to grow</v>
      </c>
      <c r="B3" s="51" t="str">
        <f>IFERROR(__xludf.DUMMYFUNCTION("""COMPUTED_VALUE"""),"Growth Summit")</f>
        <v>Growth Summit</v>
      </c>
      <c r="C3" s="51" t="str">
        <f>IFERROR(__xludf.DUMMYFUNCTION("""COMPUTED_VALUE"""),"Hannah Dawson")</f>
        <v>Hannah Dawson</v>
      </c>
      <c r="D3" s="51" t="str">
        <f>IFERROR(__xludf.DUMMYFUNCTION("""COMPUTED_VALUE"""),"2019/11/05 10:02:00")</f>
        <v>2019/11/05 10:02:00</v>
      </c>
      <c r="E3" s="51" t="str">
        <f>IFERROR(__xludf.DUMMYFUNCTION("""COMPUTED_VALUE"""),"2019/11/05 10:06:00")</f>
        <v>2019/11/05 10:06:00</v>
      </c>
      <c r="F3" s="51" t="str">
        <f>IFERROR(__xludf.DUMMYFUNCTION("""COMPUTED_VALUE"""),"5b5fa4ff-6683-438d-be33-29e501d9991f")</f>
        <v>5b5fa4ff-6683-438d-be33-29e501d9991f</v>
      </c>
      <c r="G3" s="58">
        <f>IFERROR(__xludf.DUMMYFUNCTION("""COMPUTED_VALUE"""),43774.0)</f>
        <v>43774</v>
      </c>
      <c r="H3" s="60">
        <f>IFERROR(__xludf.DUMMYFUNCTION("""COMPUTED_VALUE"""),0.41805555555555557)</f>
        <v>0.4180555556</v>
      </c>
      <c r="I3" s="58">
        <f>IFERROR(__xludf.DUMMYFUNCTION("""COMPUTED_VALUE"""),43774.0)</f>
        <v>43774</v>
      </c>
      <c r="J3" s="60">
        <f>IFERROR(__xludf.DUMMYFUNCTION("""COMPUTED_VALUE"""),0.42083333333333334)</f>
        <v>0.4208333333</v>
      </c>
      <c r="K3" s="60">
        <f t="shared" si="1"/>
        <v>0.002777777778</v>
      </c>
      <c r="L3" s="51" t="s">
        <v>583</v>
      </c>
      <c r="M3" s="51"/>
      <c r="N3" s="51"/>
      <c r="O3" s="50"/>
      <c r="P3" s="50"/>
      <c r="Q3" s="63"/>
      <c r="R3" s="51"/>
      <c r="S3" s="51"/>
      <c r="T3" s="51"/>
    </row>
    <row r="4">
      <c r="A4" s="51" t="str">
        <f>IFERROR(__xludf.DUMMYFUNCTION("""COMPUTED_VALUE"""),"The three rules to break for lasting growth")</f>
        <v>The three rules to break for lasting growth</v>
      </c>
      <c r="B4" s="51" t="str">
        <f>IFERROR(__xludf.DUMMYFUNCTION("""COMPUTED_VALUE"""),"Growth Summit")</f>
        <v>Growth Summit</v>
      </c>
      <c r="C4" s="51" t="str">
        <f>IFERROR(__xludf.DUMMYFUNCTION("""COMPUTED_VALUE"""),"Ike Kavas")</f>
        <v>Ike Kavas</v>
      </c>
      <c r="D4" s="51" t="str">
        <f>IFERROR(__xludf.DUMMYFUNCTION("""COMPUTED_VALUE"""),"2019/11/05 10:06:00")</f>
        <v>2019/11/05 10:06:00</v>
      </c>
      <c r="E4" s="51" t="str">
        <f>IFERROR(__xludf.DUMMYFUNCTION("""COMPUTED_VALUE"""),"2019/11/05 10:10:00")</f>
        <v>2019/11/05 10:10:00</v>
      </c>
      <c r="F4" s="51" t="str">
        <f>IFERROR(__xludf.DUMMYFUNCTION("""COMPUTED_VALUE"""),"b40c8aa7-2c8f-4c7f-9768-b9ac4a9f5008")</f>
        <v>b40c8aa7-2c8f-4c7f-9768-b9ac4a9f5008</v>
      </c>
      <c r="G4" s="58">
        <f>IFERROR(__xludf.DUMMYFUNCTION("""COMPUTED_VALUE"""),43774.0)</f>
        <v>43774</v>
      </c>
      <c r="H4" s="60">
        <f>IFERROR(__xludf.DUMMYFUNCTION("""COMPUTED_VALUE"""),0.42083333333333334)</f>
        <v>0.4208333333</v>
      </c>
      <c r="I4" s="58">
        <f>IFERROR(__xludf.DUMMYFUNCTION("""COMPUTED_VALUE"""),43774.0)</f>
        <v>43774</v>
      </c>
      <c r="J4" s="60">
        <f>IFERROR(__xludf.DUMMYFUNCTION("""COMPUTED_VALUE"""),0.4236111111111111)</f>
        <v>0.4236111111</v>
      </c>
      <c r="K4" s="60">
        <f t="shared" si="1"/>
        <v>0.002777777778</v>
      </c>
      <c r="L4" s="51" t="s">
        <v>583</v>
      </c>
      <c r="M4" s="51"/>
      <c r="N4" s="51"/>
      <c r="O4" s="50"/>
      <c r="P4" s="50"/>
      <c r="Q4" s="63"/>
      <c r="R4" s="51"/>
      <c r="S4" s="51"/>
      <c r="T4" s="51"/>
    </row>
    <row r="5">
      <c r="A5" s="51" t="str">
        <f>IFERROR(__xludf.DUMMYFUNCTION("""COMPUTED_VALUE"""),"How BestDoctor multiplied business by 500%")</f>
        <v>How BestDoctor multiplied business by 500%</v>
      </c>
      <c r="B5" s="51" t="str">
        <f>IFERROR(__xludf.DUMMYFUNCTION("""COMPUTED_VALUE"""),"Growth Summit")</f>
        <v>Growth Summit</v>
      </c>
      <c r="C5" s="51" t="str">
        <f>IFERROR(__xludf.DUMMYFUNCTION("""COMPUTED_VALUE"""),"Mark Sanevich")</f>
        <v>Mark Sanevich</v>
      </c>
      <c r="D5" s="51" t="str">
        <f>IFERROR(__xludf.DUMMYFUNCTION("""COMPUTED_VALUE"""),"2019/11/05 10:10:00")</f>
        <v>2019/11/05 10:10:00</v>
      </c>
      <c r="E5" s="51" t="str">
        <f>IFERROR(__xludf.DUMMYFUNCTION("""COMPUTED_VALUE"""),"2019/11/05 10:14:00")</f>
        <v>2019/11/05 10:14:00</v>
      </c>
      <c r="F5" s="51" t="str">
        <f>IFERROR(__xludf.DUMMYFUNCTION("""COMPUTED_VALUE"""),"3f00f51a-fc0a-45fd-ac87-cb17c0685214")</f>
        <v>3f00f51a-fc0a-45fd-ac87-cb17c0685214</v>
      </c>
      <c r="G5" s="58">
        <f>IFERROR(__xludf.DUMMYFUNCTION("""COMPUTED_VALUE"""),43774.0)</f>
        <v>43774</v>
      </c>
      <c r="H5" s="60">
        <f>IFERROR(__xludf.DUMMYFUNCTION("""COMPUTED_VALUE"""),0.4236111111111111)</f>
        <v>0.4236111111</v>
      </c>
      <c r="I5" s="58">
        <f>IFERROR(__xludf.DUMMYFUNCTION("""COMPUTED_VALUE"""),43774.0)</f>
        <v>43774</v>
      </c>
      <c r="J5" s="60">
        <f>IFERROR(__xludf.DUMMYFUNCTION("""COMPUTED_VALUE"""),0.4263888888888889)</f>
        <v>0.4263888889</v>
      </c>
      <c r="K5" s="60">
        <f t="shared" si="1"/>
        <v>0.002777777778</v>
      </c>
      <c r="L5" s="51" t="s">
        <v>583</v>
      </c>
      <c r="M5" s="51"/>
      <c r="N5" s="51"/>
      <c r="O5" s="50"/>
      <c r="P5" s="50"/>
      <c r="Q5" s="63"/>
      <c r="R5" s="51"/>
      <c r="S5" s="51"/>
      <c r="T5" s="51"/>
    </row>
    <row r="6">
      <c r="A6" s="51" t="str">
        <f>IFERROR(__xludf.DUMMYFUNCTION("""COMPUTED_VALUE"""),"The anatomy of the perfect pitch deck")</f>
        <v>The anatomy of the perfect pitch deck</v>
      </c>
      <c r="B6" s="51" t="str">
        <f>IFERROR(__xludf.DUMMYFUNCTION("""COMPUTED_VALUE"""),"Growth Summit")</f>
        <v>Growth Summit</v>
      </c>
      <c r="C6" s="51" t="str">
        <f>IFERROR(__xludf.DUMMYFUNCTION("""COMPUTED_VALUE"""),"Russ Heddleston")</f>
        <v>Russ Heddleston</v>
      </c>
      <c r="D6" s="51" t="str">
        <f>IFERROR(__xludf.DUMMYFUNCTION("""COMPUTED_VALUE"""),"2019/11/05 10:14:00")</f>
        <v>2019/11/05 10:14:00</v>
      </c>
      <c r="E6" s="51" t="str">
        <f>IFERROR(__xludf.DUMMYFUNCTION("""COMPUTED_VALUE"""),"2019/11/05 10:18:00")</f>
        <v>2019/11/05 10:18:00</v>
      </c>
      <c r="F6" s="51" t="str">
        <f>IFERROR(__xludf.DUMMYFUNCTION("""COMPUTED_VALUE"""),"8b9d894d-b600-4de0-b33e-d15604afbe7d")</f>
        <v>8b9d894d-b600-4de0-b33e-d15604afbe7d</v>
      </c>
      <c r="G6" s="58">
        <f>IFERROR(__xludf.DUMMYFUNCTION("""COMPUTED_VALUE"""),43774.0)</f>
        <v>43774</v>
      </c>
      <c r="H6" s="60">
        <f>IFERROR(__xludf.DUMMYFUNCTION("""COMPUTED_VALUE"""),0.4263888888888889)</f>
        <v>0.4263888889</v>
      </c>
      <c r="I6" s="58">
        <f>IFERROR(__xludf.DUMMYFUNCTION("""COMPUTED_VALUE"""),43774.0)</f>
        <v>43774</v>
      </c>
      <c r="J6" s="60">
        <f>IFERROR(__xludf.DUMMYFUNCTION("""COMPUTED_VALUE"""),0.42916666666666664)</f>
        <v>0.4291666667</v>
      </c>
      <c r="K6" s="60">
        <f t="shared" si="1"/>
        <v>0.002777777778</v>
      </c>
      <c r="L6" s="51" t="s">
        <v>583</v>
      </c>
      <c r="M6" s="51"/>
      <c r="N6" s="51"/>
      <c r="O6" s="50"/>
      <c r="P6" s="50"/>
      <c r="Q6" s="63"/>
      <c r="R6" s="51"/>
      <c r="S6" s="51"/>
      <c r="T6" s="51"/>
    </row>
    <row r="7">
      <c r="A7" s="51" t="str">
        <f>IFERROR(__xludf.DUMMYFUNCTION("""COMPUTED_VALUE"""),"The startup challenge of transforming traditional industries")</f>
        <v>The startup challenge of transforming traditional industries</v>
      </c>
      <c r="B7" s="51" t="str">
        <f>IFERROR(__xludf.DUMMYFUNCTION("""COMPUTED_VALUE"""),"Growth Summit")</f>
        <v>Growth Summit</v>
      </c>
      <c r="C7" s="51" t="str">
        <f>IFERROR(__xludf.DUMMYFUNCTION("""COMPUTED_VALUE"""),"Etienne Amic")</f>
        <v>Etienne Amic</v>
      </c>
      <c r="D7" s="51" t="str">
        <f>IFERROR(__xludf.DUMMYFUNCTION("""COMPUTED_VALUE"""),"2019/11/05 10:18:00")</f>
        <v>2019/11/05 10:18:00</v>
      </c>
      <c r="E7" s="51" t="str">
        <f>IFERROR(__xludf.DUMMYFUNCTION("""COMPUTED_VALUE"""),"2019/11/05 10:22:00")</f>
        <v>2019/11/05 10:22:00</v>
      </c>
      <c r="F7" s="51" t="str">
        <f>IFERROR(__xludf.DUMMYFUNCTION("""COMPUTED_VALUE"""),"ec2598bd-9c94-47e2-8eac-21d90e1c2716")</f>
        <v>ec2598bd-9c94-47e2-8eac-21d90e1c2716</v>
      </c>
      <c r="G7" s="58">
        <f>IFERROR(__xludf.DUMMYFUNCTION("""COMPUTED_VALUE"""),43774.0)</f>
        <v>43774</v>
      </c>
      <c r="H7" s="60">
        <f>IFERROR(__xludf.DUMMYFUNCTION("""COMPUTED_VALUE"""),0.42916666666666664)</f>
        <v>0.4291666667</v>
      </c>
      <c r="I7" s="58">
        <f>IFERROR(__xludf.DUMMYFUNCTION("""COMPUTED_VALUE"""),43774.0)</f>
        <v>43774</v>
      </c>
      <c r="J7" s="60">
        <f>IFERROR(__xludf.DUMMYFUNCTION("""COMPUTED_VALUE"""),0.43194444444444446)</f>
        <v>0.4319444444</v>
      </c>
      <c r="K7" s="60">
        <f t="shared" si="1"/>
        <v>0.002777777778</v>
      </c>
      <c r="L7" s="51" t="s">
        <v>583</v>
      </c>
      <c r="M7" s="51"/>
      <c r="N7" s="51"/>
      <c r="O7" s="50"/>
      <c r="P7" s="50"/>
      <c r="Q7" s="63"/>
      <c r="R7" s="51"/>
      <c r="S7" s="51"/>
      <c r="T7" s="51"/>
    </row>
    <row r="8">
      <c r="A8" s="51" t="str">
        <f>IFERROR(__xludf.DUMMYFUNCTION("""COMPUTED_VALUE"""),"Why innovation is key to the success of your company")</f>
        <v>Why innovation is key to the success of your company</v>
      </c>
      <c r="B8" s="51" t="str">
        <f>IFERROR(__xludf.DUMMYFUNCTION("""COMPUTED_VALUE"""),"Growth Summit")</f>
        <v>Growth Summit</v>
      </c>
      <c r="C8" s="51" t="str">
        <f>IFERROR(__xludf.DUMMYFUNCTION("""COMPUTED_VALUE"""),"Laurent Souloumiac")</f>
        <v>Laurent Souloumiac</v>
      </c>
      <c r="D8" s="51" t="str">
        <f>IFERROR(__xludf.DUMMYFUNCTION("""COMPUTED_VALUE"""),"2019/11/05 10:22:00")</f>
        <v>2019/11/05 10:22:00</v>
      </c>
      <c r="E8" s="51" t="str">
        <f>IFERROR(__xludf.DUMMYFUNCTION("""COMPUTED_VALUE"""),"2019/11/05 10:26:00")</f>
        <v>2019/11/05 10:26:00</v>
      </c>
      <c r="F8" s="51" t="str">
        <f>IFERROR(__xludf.DUMMYFUNCTION("""COMPUTED_VALUE"""),"9abd472c-efa7-4678-9322-3d0a2485e955")</f>
        <v>9abd472c-efa7-4678-9322-3d0a2485e955</v>
      </c>
      <c r="G8" s="58">
        <f>IFERROR(__xludf.DUMMYFUNCTION("""COMPUTED_VALUE"""),43774.0)</f>
        <v>43774</v>
      </c>
      <c r="H8" s="60">
        <f>IFERROR(__xludf.DUMMYFUNCTION("""COMPUTED_VALUE"""),0.43194444444444446)</f>
        <v>0.4319444444</v>
      </c>
      <c r="I8" s="58">
        <f>IFERROR(__xludf.DUMMYFUNCTION("""COMPUTED_VALUE"""),43774.0)</f>
        <v>43774</v>
      </c>
      <c r="J8" s="60">
        <f>IFERROR(__xludf.DUMMYFUNCTION("""COMPUTED_VALUE"""),0.43472222222222223)</f>
        <v>0.4347222222</v>
      </c>
      <c r="K8" s="60">
        <f t="shared" si="1"/>
        <v>0.002777777778</v>
      </c>
      <c r="L8" s="51" t="s">
        <v>583</v>
      </c>
      <c r="M8" s="51"/>
      <c r="N8" s="51"/>
      <c r="O8" s="50"/>
      <c r="P8" s="50"/>
      <c r="Q8" s="63"/>
      <c r="R8" s="51"/>
      <c r="S8" s="51"/>
      <c r="T8" s="51"/>
    </row>
    <row r="9">
      <c r="A9" s="51" t="str">
        <f>IFERROR(__xludf.DUMMYFUNCTION("""COMPUTED_VALUE"""),"Financing SMEs in fast growing economies")</f>
        <v>Financing SMEs in fast growing economies</v>
      </c>
      <c r="B9" s="51" t="str">
        <f>IFERROR(__xludf.DUMMYFUNCTION("""COMPUTED_VALUE"""),"Growth Summit")</f>
        <v>Growth Summit</v>
      </c>
      <c r="C9" s="51" t="str">
        <f>IFERROR(__xludf.DUMMYFUNCTION("""COMPUTED_VALUE"""),"Tunde Kehinde")</f>
        <v>Tunde Kehinde</v>
      </c>
      <c r="D9" s="51" t="str">
        <f>IFERROR(__xludf.DUMMYFUNCTION("""COMPUTED_VALUE"""),"2019/11/05 10:26:00")</f>
        <v>2019/11/05 10:26:00</v>
      </c>
      <c r="E9" s="51" t="str">
        <f>IFERROR(__xludf.DUMMYFUNCTION("""COMPUTED_VALUE"""),"2019/11/05 10:30:00")</f>
        <v>2019/11/05 10:30:00</v>
      </c>
      <c r="F9" s="51" t="str">
        <f>IFERROR(__xludf.DUMMYFUNCTION("""COMPUTED_VALUE"""),"e38fa0e6-4127-40dc-a098-51180b1a1fcb")</f>
        <v>e38fa0e6-4127-40dc-a098-51180b1a1fcb</v>
      </c>
      <c r="G9" s="58">
        <f>IFERROR(__xludf.DUMMYFUNCTION("""COMPUTED_VALUE"""),43774.0)</f>
        <v>43774</v>
      </c>
      <c r="H9" s="60">
        <f>IFERROR(__xludf.DUMMYFUNCTION("""COMPUTED_VALUE"""),0.43472222222222223)</f>
        <v>0.4347222222</v>
      </c>
      <c r="I9" s="58">
        <f>IFERROR(__xludf.DUMMYFUNCTION("""COMPUTED_VALUE"""),43774.0)</f>
        <v>43774</v>
      </c>
      <c r="J9" s="60">
        <f>IFERROR(__xludf.DUMMYFUNCTION("""COMPUTED_VALUE"""),0.4375)</f>
        <v>0.4375</v>
      </c>
      <c r="K9" s="60">
        <f t="shared" si="1"/>
        <v>0.002777777778</v>
      </c>
      <c r="L9" s="51" t="s">
        <v>583</v>
      </c>
      <c r="M9" s="51"/>
      <c r="N9" s="51"/>
      <c r="O9" s="50"/>
      <c r="P9" s="50"/>
      <c r="Q9" s="63"/>
      <c r="R9" s="51"/>
      <c r="S9" s="51"/>
      <c r="T9" s="51"/>
    </row>
    <row r="10">
      <c r="A10" s="51" t="str">
        <f>IFERROR(__xludf.DUMMYFUNCTION("""COMPUTED_VALUE"""),"The art of the pivot: From agency to SaaS social listening to MLaaS ")</f>
        <v>The art of the pivot: From agency to SaaS social listening to MLaaS </v>
      </c>
      <c r="B10" s="51" t="str">
        <f>IFERROR(__xludf.DUMMYFUNCTION("""COMPUTED_VALUE"""),"Growth Summit")</f>
        <v>Growth Summit</v>
      </c>
      <c r="C10" s="51" t="str">
        <f>IFERROR(__xludf.DUMMYFUNCTION("""COMPUTED_VALUE"""),"Rob Key")</f>
        <v>Rob Key</v>
      </c>
      <c r="D10" s="51" t="str">
        <f>IFERROR(__xludf.DUMMYFUNCTION("""COMPUTED_VALUE"""),"2019/11/05 10:30:00")</f>
        <v>2019/11/05 10:30:00</v>
      </c>
      <c r="E10" s="51" t="str">
        <f>IFERROR(__xludf.DUMMYFUNCTION("""COMPUTED_VALUE"""),"2019/11/05 10:34:00")</f>
        <v>2019/11/05 10:34:00</v>
      </c>
      <c r="F10" s="51" t="str">
        <f>IFERROR(__xludf.DUMMYFUNCTION("""COMPUTED_VALUE"""),"9f2cfe2e-084f-4c23-be43-711a539881b1")</f>
        <v>9f2cfe2e-084f-4c23-be43-711a539881b1</v>
      </c>
      <c r="G10" s="58">
        <f>IFERROR(__xludf.DUMMYFUNCTION("""COMPUTED_VALUE"""),43774.0)</f>
        <v>43774</v>
      </c>
      <c r="H10" s="60">
        <f>IFERROR(__xludf.DUMMYFUNCTION("""COMPUTED_VALUE"""),0.4375)</f>
        <v>0.4375</v>
      </c>
      <c r="I10" s="58">
        <f>IFERROR(__xludf.DUMMYFUNCTION("""COMPUTED_VALUE"""),43774.0)</f>
        <v>43774</v>
      </c>
      <c r="J10" s="60">
        <f>IFERROR(__xludf.DUMMYFUNCTION("""COMPUTED_VALUE"""),0.44027777777777777)</f>
        <v>0.4402777778</v>
      </c>
      <c r="K10" s="60">
        <f t="shared" si="1"/>
        <v>0.002777777778</v>
      </c>
      <c r="L10" s="51" t="s">
        <v>583</v>
      </c>
      <c r="M10" s="51"/>
      <c r="N10" s="51"/>
      <c r="O10" s="50"/>
      <c r="P10" s="50"/>
      <c r="Q10" s="63"/>
      <c r="R10" s="51"/>
      <c r="S10" s="51"/>
      <c r="T10" s="51"/>
    </row>
    <row r="11">
      <c r="A11" s="51" t="str">
        <f>IFERROR(__xludf.DUMMYFUNCTION("""COMPUTED_VALUE"""),"The bull's eye strategy to bootstrap past $2m ARR")</f>
        <v>The bull's eye strategy to bootstrap past $2m ARR</v>
      </c>
      <c r="B11" s="51" t="str">
        <f>IFERROR(__xludf.DUMMYFUNCTION("""COMPUTED_VALUE"""),"Growth Summit")</f>
        <v>Growth Summit</v>
      </c>
      <c r="C11" s="51" t="str">
        <f>IFERROR(__xludf.DUMMYFUNCTION("""COMPUTED_VALUE"""),"Nicolas Vandenberghe")</f>
        <v>Nicolas Vandenberghe</v>
      </c>
      <c r="D11" s="51" t="str">
        <f>IFERROR(__xludf.DUMMYFUNCTION("""COMPUTED_VALUE"""),"2019/11/05 10:34:00")</f>
        <v>2019/11/05 10:34:00</v>
      </c>
      <c r="E11" s="51" t="str">
        <f>IFERROR(__xludf.DUMMYFUNCTION("""COMPUTED_VALUE"""),"2019/11/05 10:38:00")</f>
        <v>2019/11/05 10:38:00</v>
      </c>
      <c r="F11" s="51" t="str">
        <f>IFERROR(__xludf.DUMMYFUNCTION("""COMPUTED_VALUE"""),"00d9bc29-2697-4e24-9413-6fe06fd96eda")</f>
        <v>00d9bc29-2697-4e24-9413-6fe06fd96eda</v>
      </c>
      <c r="G11" s="58">
        <f>IFERROR(__xludf.DUMMYFUNCTION("""COMPUTED_VALUE"""),43774.0)</f>
        <v>43774</v>
      </c>
      <c r="H11" s="60">
        <f>IFERROR(__xludf.DUMMYFUNCTION("""COMPUTED_VALUE"""),0.44027777777777777)</f>
        <v>0.4402777778</v>
      </c>
      <c r="I11" s="58">
        <f>IFERROR(__xludf.DUMMYFUNCTION("""COMPUTED_VALUE"""),43774.0)</f>
        <v>43774</v>
      </c>
      <c r="J11" s="60">
        <f>IFERROR(__xludf.DUMMYFUNCTION("""COMPUTED_VALUE"""),0.44305555555555554)</f>
        <v>0.4430555556</v>
      </c>
      <c r="K11" s="60">
        <f t="shared" si="1"/>
        <v>0.002777777778</v>
      </c>
      <c r="L11" s="51" t="s">
        <v>583</v>
      </c>
      <c r="M11" s="51"/>
      <c r="N11" s="51"/>
      <c r="O11" s="50"/>
      <c r="P11" s="50"/>
      <c r="Q11" s="63"/>
      <c r="R11" s="51"/>
      <c r="S11" s="51"/>
      <c r="T11" s="51"/>
    </row>
    <row r="12">
      <c r="A12" s="51" t="str">
        <f>IFERROR(__xludf.DUMMYFUNCTION("""COMPUTED_VALUE"""),"Ad tech is dead.  What’s next?")</f>
        <v>Ad tech is dead.  What’s next?</v>
      </c>
      <c r="B12" s="51" t="str">
        <f>IFERROR(__xludf.DUMMYFUNCTION("""COMPUTED_VALUE"""),"Growth Summit")</f>
        <v>Growth Summit</v>
      </c>
      <c r="C12" s="51" t="str">
        <f>IFERROR(__xludf.DUMMYFUNCTION("""COMPUTED_VALUE"""),"Marcus Jacobsson")</f>
        <v>Marcus Jacobsson</v>
      </c>
      <c r="D12" s="51" t="str">
        <f>IFERROR(__xludf.DUMMYFUNCTION("""COMPUTED_VALUE"""),"2019/11/05 10:38:00")</f>
        <v>2019/11/05 10:38:00</v>
      </c>
      <c r="E12" s="51" t="str">
        <f>IFERROR(__xludf.DUMMYFUNCTION("""COMPUTED_VALUE"""),"2019/11/05 10:42:00")</f>
        <v>2019/11/05 10:42:00</v>
      </c>
      <c r="F12" s="51" t="str">
        <f>IFERROR(__xludf.DUMMYFUNCTION("""COMPUTED_VALUE"""),"cae9db33-a98f-4c61-96a4-f22613ca158f")</f>
        <v>cae9db33-a98f-4c61-96a4-f22613ca158f</v>
      </c>
      <c r="G12" s="58">
        <f>IFERROR(__xludf.DUMMYFUNCTION("""COMPUTED_VALUE"""),43774.0)</f>
        <v>43774</v>
      </c>
      <c r="H12" s="60">
        <f>IFERROR(__xludf.DUMMYFUNCTION("""COMPUTED_VALUE"""),0.44305555555555554)</f>
        <v>0.4430555556</v>
      </c>
      <c r="I12" s="58">
        <f>IFERROR(__xludf.DUMMYFUNCTION("""COMPUTED_VALUE"""),43774.0)</f>
        <v>43774</v>
      </c>
      <c r="J12" s="60">
        <f>IFERROR(__xludf.DUMMYFUNCTION("""COMPUTED_VALUE"""),0.44583333333333336)</f>
        <v>0.4458333333</v>
      </c>
      <c r="K12" s="60">
        <f t="shared" si="1"/>
        <v>0.002777777778</v>
      </c>
      <c r="L12" s="51" t="s">
        <v>583</v>
      </c>
      <c r="M12" s="51"/>
      <c r="N12" s="51"/>
      <c r="O12" s="50"/>
      <c r="P12" s="50"/>
      <c r="Q12" s="63"/>
      <c r="R12" s="51"/>
      <c r="S12" s="51"/>
      <c r="T12" s="51"/>
    </row>
    <row r="13">
      <c r="A13" s="51" t="str">
        <f>IFERROR(__xludf.DUMMYFUNCTION("""COMPUTED_VALUE"""),"Reimagining healthcare: Why incentives matter")</f>
        <v>Reimagining healthcare: Why incentives matter</v>
      </c>
      <c r="B13" s="51" t="str">
        <f>IFERROR(__xludf.DUMMYFUNCTION("""COMPUTED_VALUE"""),"Growth Summit")</f>
        <v>Growth Summit</v>
      </c>
      <c r="C13" s="51" t="str">
        <f>IFERROR(__xludf.DUMMYFUNCTION("""COMPUTED_VALUE"""),"Joe Kahn")</f>
        <v>Joe Kahn</v>
      </c>
      <c r="D13" s="51" t="str">
        <f>IFERROR(__xludf.DUMMYFUNCTION("""COMPUTED_VALUE"""),"2019/11/05 10:42:00")</f>
        <v>2019/11/05 10:42:00</v>
      </c>
      <c r="E13" s="51" t="str">
        <f>IFERROR(__xludf.DUMMYFUNCTION("""COMPUTED_VALUE"""),"2019/11/05 10:46:00")</f>
        <v>2019/11/05 10:46:00</v>
      </c>
      <c r="F13" s="51" t="str">
        <f>IFERROR(__xludf.DUMMYFUNCTION("""COMPUTED_VALUE"""),"e7c4b4fe-1c4f-42ed-9a4e-d2e4b31edbaf")</f>
        <v>e7c4b4fe-1c4f-42ed-9a4e-d2e4b31edbaf</v>
      </c>
      <c r="G13" s="58">
        <f>IFERROR(__xludf.DUMMYFUNCTION("""COMPUTED_VALUE"""),43774.0)</f>
        <v>43774</v>
      </c>
      <c r="H13" s="60">
        <f>IFERROR(__xludf.DUMMYFUNCTION("""COMPUTED_VALUE"""),0.44583333333333336)</f>
        <v>0.4458333333</v>
      </c>
      <c r="I13" s="58">
        <f>IFERROR(__xludf.DUMMYFUNCTION("""COMPUTED_VALUE"""),43774.0)</f>
        <v>43774</v>
      </c>
      <c r="J13" s="60">
        <f>IFERROR(__xludf.DUMMYFUNCTION("""COMPUTED_VALUE"""),0.4486111111111111)</f>
        <v>0.4486111111</v>
      </c>
      <c r="K13" s="60">
        <f t="shared" si="1"/>
        <v>0.002777777778</v>
      </c>
      <c r="L13" s="51" t="s">
        <v>583</v>
      </c>
      <c r="M13" s="51"/>
      <c r="N13" s="51"/>
      <c r="O13" s="50"/>
      <c r="P13" s="50"/>
      <c r="Q13" s="63"/>
      <c r="R13" s="51"/>
      <c r="S13" s="51"/>
      <c r="T13" s="51"/>
    </row>
    <row r="14">
      <c r="A14" s="51" t="str">
        <f>IFERROR(__xludf.DUMMYFUNCTION("""COMPUTED_VALUE"""),"Trust as a driver for growth: How to use a disaster in your favour")</f>
        <v>Trust as a driver for growth: How to use a disaster in your favour</v>
      </c>
      <c r="B14" s="51" t="str">
        <f>IFERROR(__xludf.DUMMYFUNCTION("""COMPUTED_VALUE"""),"Growth Summit")</f>
        <v>Growth Summit</v>
      </c>
      <c r="C14" s="51" t="str">
        <f>IFERROR(__xludf.DUMMYFUNCTION("""COMPUTED_VALUE"""),"Ben Jones")</f>
        <v>Ben Jones</v>
      </c>
      <c r="D14" s="51" t="str">
        <f>IFERROR(__xludf.DUMMYFUNCTION("""COMPUTED_VALUE"""),"2019/11/05 10:46:00")</f>
        <v>2019/11/05 10:46:00</v>
      </c>
      <c r="E14" s="51" t="str">
        <f>IFERROR(__xludf.DUMMYFUNCTION("""COMPUTED_VALUE"""),"2019/11/05 10:50:00")</f>
        <v>2019/11/05 10:50:00</v>
      </c>
      <c r="F14" s="51" t="str">
        <f>IFERROR(__xludf.DUMMYFUNCTION("""COMPUTED_VALUE"""),"aa39d378-3d01-4b2a-be7b-cde7bfa84f91")</f>
        <v>aa39d378-3d01-4b2a-be7b-cde7bfa84f91</v>
      </c>
      <c r="G14" s="58">
        <f>IFERROR(__xludf.DUMMYFUNCTION("""COMPUTED_VALUE"""),43774.0)</f>
        <v>43774</v>
      </c>
      <c r="H14" s="60">
        <f>IFERROR(__xludf.DUMMYFUNCTION("""COMPUTED_VALUE"""),0.4486111111111111)</f>
        <v>0.4486111111</v>
      </c>
      <c r="I14" s="58">
        <f>IFERROR(__xludf.DUMMYFUNCTION("""COMPUTED_VALUE"""),43774.0)</f>
        <v>43774</v>
      </c>
      <c r="J14" s="60">
        <f>IFERROR(__xludf.DUMMYFUNCTION("""COMPUTED_VALUE"""),0.4513888888888889)</f>
        <v>0.4513888889</v>
      </c>
      <c r="K14" s="60">
        <f t="shared" si="1"/>
        <v>0.002777777778</v>
      </c>
      <c r="L14" s="51" t="s">
        <v>583</v>
      </c>
      <c r="M14" s="51"/>
      <c r="N14" s="51"/>
      <c r="O14" s="50"/>
      <c r="P14" s="50"/>
      <c r="Q14" s="63"/>
      <c r="R14" s="51"/>
      <c r="S14" s="51"/>
      <c r="T14" s="51"/>
    </row>
    <row r="15">
      <c r="A15" s="51" t="str">
        <f>IFERROR(__xludf.DUMMYFUNCTION("""COMPUTED_VALUE"""),"Tracking ownership as your startup grows: Why digitising equity is crucial")</f>
        <v>Tracking ownership as your startup grows: Why digitising equity is crucial</v>
      </c>
      <c r="B15" s="51" t="str">
        <f>IFERROR(__xludf.DUMMYFUNCTION("""COMPUTED_VALUE"""),"Growth Summit")</f>
        <v>Growth Summit</v>
      </c>
      <c r="C15" s="51" t="str">
        <f>IFERROR(__xludf.DUMMYFUNCTION("""COMPUTED_VALUE"""),"Christian Gabriel")</f>
        <v>Christian Gabriel</v>
      </c>
      <c r="D15" s="51" t="str">
        <f>IFERROR(__xludf.DUMMYFUNCTION("""COMPUTED_VALUE"""),"2019/11/05 10:50:00")</f>
        <v>2019/11/05 10:50:00</v>
      </c>
      <c r="E15" s="51" t="str">
        <f>IFERROR(__xludf.DUMMYFUNCTION("""COMPUTED_VALUE"""),"2019/11/05 10:54:00")</f>
        <v>2019/11/05 10:54:00</v>
      </c>
      <c r="F15" s="51" t="str">
        <f>IFERROR(__xludf.DUMMYFUNCTION("""COMPUTED_VALUE"""),"f51c2b20-2832-4d30-a163-b66e224b1a52")</f>
        <v>f51c2b20-2832-4d30-a163-b66e224b1a52</v>
      </c>
      <c r="G15" s="58">
        <f>IFERROR(__xludf.DUMMYFUNCTION("""COMPUTED_VALUE"""),43774.0)</f>
        <v>43774</v>
      </c>
      <c r="H15" s="60">
        <f>IFERROR(__xludf.DUMMYFUNCTION("""COMPUTED_VALUE"""),0.4513888888888889)</f>
        <v>0.4513888889</v>
      </c>
      <c r="I15" s="58">
        <f>IFERROR(__xludf.DUMMYFUNCTION("""COMPUTED_VALUE"""),43774.0)</f>
        <v>43774</v>
      </c>
      <c r="J15" s="60">
        <f>IFERROR(__xludf.DUMMYFUNCTION("""COMPUTED_VALUE"""),0.45416666666666666)</f>
        <v>0.4541666667</v>
      </c>
      <c r="K15" s="60">
        <f t="shared" si="1"/>
        <v>0.002777777778</v>
      </c>
      <c r="L15" s="51" t="s">
        <v>583</v>
      </c>
      <c r="M15" s="51"/>
      <c r="N15" s="51"/>
      <c r="O15" s="50"/>
      <c r="P15" s="50"/>
      <c r="Q15" s="63"/>
      <c r="R15" s="51"/>
      <c r="S15" s="51"/>
      <c r="T15" s="51"/>
    </row>
    <row r="16">
      <c r="A16" s="51" t="str">
        <f>IFERROR(__xludf.DUMMYFUNCTION("""COMPUTED_VALUE"""),"Science as a catalyst for growth")</f>
        <v>Science as a catalyst for growth</v>
      </c>
      <c r="B16" s="51" t="str">
        <f>IFERROR(__xludf.DUMMYFUNCTION("""COMPUTED_VALUE"""),"Growth Summit")</f>
        <v>Growth Summit</v>
      </c>
      <c r="C16" s="51" t="str">
        <f>IFERROR(__xludf.DUMMYFUNCTION("""COMPUTED_VALUE"""),"Marko Bitenc")</f>
        <v>Marko Bitenc</v>
      </c>
      <c r="D16" s="51" t="str">
        <f>IFERROR(__xludf.DUMMYFUNCTION("""COMPUTED_VALUE"""),"2019/11/05 10:54:00")</f>
        <v>2019/11/05 10:54:00</v>
      </c>
      <c r="E16" s="51" t="str">
        <f>IFERROR(__xludf.DUMMYFUNCTION("""COMPUTED_VALUE"""),"2019/11/05 10:58:00")</f>
        <v>2019/11/05 10:58:00</v>
      </c>
      <c r="F16" s="51" t="str">
        <f>IFERROR(__xludf.DUMMYFUNCTION("""COMPUTED_VALUE"""),"71933006-4db8-4414-8c46-051cc4d0e225")</f>
        <v>71933006-4db8-4414-8c46-051cc4d0e225</v>
      </c>
      <c r="G16" s="58">
        <f>IFERROR(__xludf.DUMMYFUNCTION("""COMPUTED_VALUE"""),43774.0)</f>
        <v>43774</v>
      </c>
      <c r="H16" s="60">
        <f>IFERROR(__xludf.DUMMYFUNCTION("""COMPUTED_VALUE"""),0.45416666666666666)</f>
        <v>0.4541666667</v>
      </c>
      <c r="I16" s="58">
        <f>IFERROR(__xludf.DUMMYFUNCTION("""COMPUTED_VALUE"""),43774.0)</f>
        <v>43774</v>
      </c>
      <c r="J16" s="60">
        <f>IFERROR(__xludf.DUMMYFUNCTION("""COMPUTED_VALUE"""),0.45694444444444443)</f>
        <v>0.4569444444</v>
      </c>
      <c r="K16" s="60">
        <f t="shared" si="1"/>
        <v>0.002777777778</v>
      </c>
      <c r="L16" s="51" t="s">
        <v>583</v>
      </c>
      <c r="M16" s="51"/>
      <c r="N16" s="51"/>
      <c r="O16" s="50"/>
      <c r="P16" s="50"/>
      <c r="Q16" s="63"/>
      <c r="R16" s="51"/>
      <c r="S16" s="51"/>
      <c r="T16" s="51"/>
    </row>
    <row r="17">
      <c r="A17" s="51" t="str">
        <f>IFERROR(__xludf.DUMMYFUNCTION("""COMPUTED_VALUE"""),"Nutrition and technology secrets for enhancing longevity")</f>
        <v>Nutrition and technology secrets for enhancing longevity</v>
      </c>
      <c r="B17" s="51" t="str">
        <f>IFERROR(__xludf.DUMMYFUNCTION("""COMPUTED_VALUE"""),"Growth Summit")</f>
        <v>Growth Summit</v>
      </c>
      <c r="C17" s="51" t="str">
        <f>IFERROR(__xludf.DUMMYFUNCTION("""COMPUTED_VALUE"""),"Joseph Antoun")</f>
        <v>Joseph Antoun</v>
      </c>
      <c r="D17" s="51" t="str">
        <f>IFERROR(__xludf.DUMMYFUNCTION("""COMPUTED_VALUE"""),"2019/11/05 10:58:00")</f>
        <v>2019/11/05 10:58:00</v>
      </c>
      <c r="E17" s="51" t="str">
        <f>IFERROR(__xludf.DUMMYFUNCTION("""COMPUTED_VALUE"""),"2019/11/05 11:02:00")</f>
        <v>2019/11/05 11:02:00</v>
      </c>
      <c r="F17" s="51" t="str">
        <f>IFERROR(__xludf.DUMMYFUNCTION("""COMPUTED_VALUE"""),"a51c8666-b50f-4020-ad2a-5f83d6a26ef6")</f>
        <v>a51c8666-b50f-4020-ad2a-5f83d6a26ef6</v>
      </c>
      <c r="G17" s="58">
        <f>IFERROR(__xludf.DUMMYFUNCTION("""COMPUTED_VALUE"""),43774.0)</f>
        <v>43774</v>
      </c>
      <c r="H17" s="60">
        <f>IFERROR(__xludf.DUMMYFUNCTION("""COMPUTED_VALUE"""),0.45694444444444443)</f>
        <v>0.4569444444</v>
      </c>
      <c r="I17" s="58">
        <f>IFERROR(__xludf.DUMMYFUNCTION("""COMPUTED_VALUE"""),43774.0)</f>
        <v>43774</v>
      </c>
      <c r="J17" s="60">
        <f>IFERROR(__xludf.DUMMYFUNCTION("""COMPUTED_VALUE"""),0.4597222222222222)</f>
        <v>0.4597222222</v>
      </c>
      <c r="K17" s="60">
        <f t="shared" si="1"/>
        <v>0.002777777778</v>
      </c>
      <c r="L17" s="51" t="s">
        <v>583</v>
      </c>
      <c r="M17" s="51"/>
      <c r="N17" s="51"/>
      <c r="O17" s="50"/>
      <c r="P17" s="50"/>
      <c r="Q17" s="63"/>
      <c r="R17" s="51"/>
      <c r="S17" s="51"/>
      <c r="T17" s="51"/>
    </row>
    <row r="18">
      <c r="A18" s="51" t="str">
        <f>IFERROR(__xludf.DUMMYFUNCTION("""COMPUTED_VALUE"""),"High-impact predictions: Anticipate and win with machine learning")</f>
        <v>High-impact predictions: Anticipate and win with machine learning</v>
      </c>
      <c r="B18" s="51" t="str">
        <f>IFERROR(__xludf.DUMMYFUNCTION("""COMPUTED_VALUE"""),"Growth Summit")</f>
        <v>Growth Summit</v>
      </c>
      <c r="C18" s="51" t="str">
        <f>IFERROR(__xludf.DUMMYFUNCTION("""COMPUTED_VALUE"""),"Diego Paramo")</f>
        <v>Diego Paramo</v>
      </c>
      <c r="D18" s="51" t="str">
        <f>IFERROR(__xludf.DUMMYFUNCTION("""COMPUTED_VALUE"""),"2019/11/05 11:02:00")</f>
        <v>2019/11/05 11:02:00</v>
      </c>
      <c r="E18" s="51" t="str">
        <f>IFERROR(__xludf.DUMMYFUNCTION("""COMPUTED_VALUE"""),"2019/11/05 11:06:00")</f>
        <v>2019/11/05 11:06:00</v>
      </c>
      <c r="F18" s="51" t="str">
        <f>IFERROR(__xludf.DUMMYFUNCTION("""COMPUTED_VALUE"""),"b875d1fb-f347-4dd4-add0-2745264efcef")</f>
        <v>b875d1fb-f347-4dd4-add0-2745264efcef</v>
      </c>
      <c r="G18" s="58">
        <f>IFERROR(__xludf.DUMMYFUNCTION("""COMPUTED_VALUE"""),43774.0)</f>
        <v>43774</v>
      </c>
      <c r="H18" s="60">
        <f>IFERROR(__xludf.DUMMYFUNCTION("""COMPUTED_VALUE"""),0.4597222222222222)</f>
        <v>0.4597222222</v>
      </c>
      <c r="I18" s="58">
        <f>IFERROR(__xludf.DUMMYFUNCTION("""COMPUTED_VALUE"""),43774.0)</f>
        <v>43774</v>
      </c>
      <c r="J18" s="60">
        <f>IFERROR(__xludf.DUMMYFUNCTION("""COMPUTED_VALUE"""),0.4625)</f>
        <v>0.4625</v>
      </c>
      <c r="K18" s="60">
        <f t="shared" si="1"/>
        <v>0.002777777778</v>
      </c>
      <c r="L18" s="51" t="s">
        <v>583</v>
      </c>
      <c r="M18" s="51"/>
      <c r="N18" s="51"/>
      <c r="O18" s="50"/>
      <c r="P18" s="50"/>
      <c r="Q18" s="63"/>
      <c r="R18" s="51"/>
      <c r="S18" s="51"/>
      <c r="T18" s="51"/>
    </row>
    <row r="19">
      <c r="A19" s="51" t="str">
        <f>IFERROR(__xludf.DUMMYFUNCTION("""COMPUTED_VALUE"""),"Making magic: Developing new products")</f>
        <v>Making magic: Developing new products</v>
      </c>
      <c r="B19" s="51" t="str">
        <f>IFERROR(__xludf.DUMMYFUNCTION("""COMPUTED_VALUE"""),"Growth Summit")</f>
        <v>Growth Summit</v>
      </c>
      <c r="C19" s="51" t="str">
        <f>IFERROR(__xludf.DUMMYFUNCTION("""COMPUTED_VALUE"""),"Erik Ackner")</f>
        <v>Erik Ackner</v>
      </c>
      <c r="D19" s="51" t="str">
        <f>IFERROR(__xludf.DUMMYFUNCTION("""COMPUTED_VALUE"""),"2019/11/05 11:06:00")</f>
        <v>2019/11/05 11:06:00</v>
      </c>
      <c r="E19" s="51" t="str">
        <f>IFERROR(__xludf.DUMMYFUNCTION("""COMPUTED_VALUE"""),"2019/11/05 11:10:00")</f>
        <v>2019/11/05 11:10:00</v>
      </c>
      <c r="F19" s="51" t="str">
        <f>IFERROR(__xludf.DUMMYFUNCTION("""COMPUTED_VALUE"""),"00d46bdc-9298-469d-8a1b-fba5451ee868")</f>
        <v>00d46bdc-9298-469d-8a1b-fba5451ee868</v>
      </c>
      <c r="G19" s="58">
        <f>IFERROR(__xludf.DUMMYFUNCTION("""COMPUTED_VALUE"""),43774.0)</f>
        <v>43774</v>
      </c>
      <c r="H19" s="60">
        <f>IFERROR(__xludf.DUMMYFUNCTION("""COMPUTED_VALUE"""),0.4625)</f>
        <v>0.4625</v>
      </c>
      <c r="I19" s="58">
        <f>IFERROR(__xludf.DUMMYFUNCTION("""COMPUTED_VALUE"""),43774.0)</f>
        <v>43774</v>
      </c>
      <c r="J19" s="60">
        <f>IFERROR(__xludf.DUMMYFUNCTION("""COMPUTED_VALUE"""),0.4652777777777778)</f>
        <v>0.4652777778</v>
      </c>
      <c r="K19" s="60">
        <f t="shared" si="1"/>
        <v>0.002777777778</v>
      </c>
      <c r="L19" s="51" t="s">
        <v>583</v>
      </c>
      <c r="M19" s="51"/>
      <c r="N19" s="51"/>
      <c r="O19" s="50"/>
      <c r="P19" s="50"/>
      <c r="Q19" s="63"/>
      <c r="R19" s="51"/>
      <c r="S19" s="51"/>
      <c r="T19" s="51"/>
    </row>
    <row r="20">
      <c r="A20" s="51" t="str">
        <f>IFERROR(__xludf.DUMMYFUNCTION("""COMPUTED_VALUE"""),"Capitalising on market opportunities in the payments industry")</f>
        <v>Capitalising on market opportunities in the payments industry</v>
      </c>
      <c r="B20" s="51" t="str">
        <f>IFERROR(__xludf.DUMMYFUNCTION("""COMPUTED_VALUE"""),"Growth Summit")</f>
        <v>Growth Summit</v>
      </c>
      <c r="C20" s="51" t="str">
        <f>IFERROR(__xludf.DUMMYFUNCTION("""COMPUTED_VALUE"""),"Tom Squire")</f>
        <v>Tom Squire</v>
      </c>
      <c r="D20" s="51" t="str">
        <f>IFERROR(__xludf.DUMMYFUNCTION("""COMPUTED_VALUE"""),"2019/11/05 11:10:00")</f>
        <v>2019/11/05 11:10:00</v>
      </c>
      <c r="E20" s="51" t="str">
        <f>IFERROR(__xludf.DUMMYFUNCTION("""COMPUTED_VALUE"""),"2019/11/05 11:14:00")</f>
        <v>2019/11/05 11:14:00</v>
      </c>
      <c r="F20" s="51" t="str">
        <f>IFERROR(__xludf.DUMMYFUNCTION("""COMPUTED_VALUE"""),"157cf538-1885-4fe4-878b-99e8b457a656")</f>
        <v>157cf538-1885-4fe4-878b-99e8b457a656</v>
      </c>
      <c r="G20" s="58">
        <f>IFERROR(__xludf.DUMMYFUNCTION("""COMPUTED_VALUE"""),43774.0)</f>
        <v>43774</v>
      </c>
      <c r="H20" s="60">
        <f>IFERROR(__xludf.DUMMYFUNCTION("""COMPUTED_VALUE"""),0.4652777777777778)</f>
        <v>0.4652777778</v>
      </c>
      <c r="I20" s="58">
        <f>IFERROR(__xludf.DUMMYFUNCTION("""COMPUTED_VALUE"""),43774.0)</f>
        <v>43774</v>
      </c>
      <c r="J20" s="60">
        <f>IFERROR(__xludf.DUMMYFUNCTION("""COMPUTED_VALUE"""),0.46805555555555556)</f>
        <v>0.4680555556</v>
      </c>
      <c r="K20" s="60">
        <f t="shared" si="1"/>
        <v>0.002777777778</v>
      </c>
      <c r="L20" s="51" t="s">
        <v>583</v>
      </c>
      <c r="M20" s="51"/>
      <c r="N20" s="51"/>
      <c r="O20" s="50"/>
      <c r="P20" s="50"/>
      <c r="Q20" s="63"/>
      <c r="R20" s="51"/>
      <c r="S20" s="51"/>
      <c r="T20" s="51"/>
    </row>
    <row r="21">
      <c r="A21" s="51" t="str">
        <f>IFERROR(__xludf.DUMMYFUNCTION("""COMPUTED_VALUE"""),"AI &amp; healthtech: Developing rare disease treatments at scale")</f>
        <v>AI &amp; healthtech: Developing rare disease treatments at scale</v>
      </c>
      <c r="B21" s="51" t="str">
        <f>IFERROR(__xludf.DUMMYFUNCTION("""COMPUTED_VALUE"""),"Growth Summit")</f>
        <v>Growth Summit</v>
      </c>
      <c r="C21" s="51" t="str">
        <f>IFERROR(__xludf.DUMMYFUNCTION("""COMPUTED_VALUE"""),"Tim Guilliams")</f>
        <v>Tim Guilliams</v>
      </c>
      <c r="D21" s="51" t="str">
        <f>IFERROR(__xludf.DUMMYFUNCTION("""COMPUTED_VALUE"""),"2019/11/05 11:14:00")</f>
        <v>2019/11/05 11:14:00</v>
      </c>
      <c r="E21" s="51" t="str">
        <f>IFERROR(__xludf.DUMMYFUNCTION("""COMPUTED_VALUE"""),"2019/11/05 11:18:00")</f>
        <v>2019/11/05 11:18:00</v>
      </c>
      <c r="F21" s="51" t="str">
        <f>IFERROR(__xludf.DUMMYFUNCTION("""COMPUTED_VALUE"""),"3837e75b-1c3d-4c91-bec7-dffbb7ac4d1c")</f>
        <v>3837e75b-1c3d-4c91-bec7-dffbb7ac4d1c</v>
      </c>
      <c r="G21" s="58">
        <f>IFERROR(__xludf.DUMMYFUNCTION("""COMPUTED_VALUE"""),43774.0)</f>
        <v>43774</v>
      </c>
      <c r="H21" s="60">
        <f>IFERROR(__xludf.DUMMYFUNCTION("""COMPUTED_VALUE"""),0.46805555555555556)</f>
        <v>0.4680555556</v>
      </c>
      <c r="I21" s="58">
        <f>IFERROR(__xludf.DUMMYFUNCTION("""COMPUTED_VALUE"""),43774.0)</f>
        <v>43774</v>
      </c>
      <c r="J21" s="60">
        <f>IFERROR(__xludf.DUMMYFUNCTION("""COMPUTED_VALUE"""),0.4708333333333333)</f>
        <v>0.4708333333</v>
      </c>
      <c r="K21" s="60">
        <f t="shared" si="1"/>
        <v>0.002777777778</v>
      </c>
      <c r="L21" s="51" t="s">
        <v>583</v>
      </c>
      <c r="M21" s="51"/>
      <c r="N21" s="51"/>
      <c r="O21" s="50"/>
      <c r="P21" s="50"/>
      <c r="Q21" s="63"/>
      <c r="R21" s="51"/>
      <c r="S21" s="51"/>
      <c r="T21" s="51"/>
    </row>
    <row r="22">
      <c r="A22" s="51" t="str">
        <f>IFERROR(__xludf.DUMMYFUNCTION("""COMPUTED_VALUE"""),"Reinvent the wheel: Scale fast &amp; please customers")</f>
        <v>Reinvent the wheel: Scale fast &amp; please customers</v>
      </c>
      <c r="B22" s="51" t="str">
        <f>IFERROR(__xludf.DUMMYFUNCTION("""COMPUTED_VALUE"""),"Growth Summit")</f>
        <v>Growth Summit</v>
      </c>
      <c r="C22" s="51" t="str">
        <f>IFERROR(__xludf.DUMMYFUNCTION("""COMPUTED_VALUE"""),"Benjamin Kuna")</f>
        <v>Benjamin Kuna</v>
      </c>
      <c r="D22" s="51" t="str">
        <f>IFERROR(__xludf.DUMMYFUNCTION("""COMPUTED_VALUE"""),"2019/11/05 11:18:00")</f>
        <v>2019/11/05 11:18:00</v>
      </c>
      <c r="E22" s="51" t="str">
        <f>IFERROR(__xludf.DUMMYFUNCTION("""COMPUTED_VALUE"""),"2019/11/05 11:22:00")</f>
        <v>2019/11/05 11:22:00</v>
      </c>
      <c r="F22" s="51" t="str">
        <f>IFERROR(__xludf.DUMMYFUNCTION("""COMPUTED_VALUE"""),"e682c1bb-fa68-42db-9b03-4016d52457a7")</f>
        <v>e682c1bb-fa68-42db-9b03-4016d52457a7</v>
      </c>
      <c r="G22" s="58">
        <f>IFERROR(__xludf.DUMMYFUNCTION("""COMPUTED_VALUE"""),43774.0)</f>
        <v>43774</v>
      </c>
      <c r="H22" s="60">
        <f>IFERROR(__xludf.DUMMYFUNCTION("""COMPUTED_VALUE"""),0.4708333333333333)</f>
        <v>0.4708333333</v>
      </c>
      <c r="I22" s="58">
        <f>IFERROR(__xludf.DUMMYFUNCTION("""COMPUTED_VALUE"""),43774.0)</f>
        <v>43774</v>
      </c>
      <c r="J22" s="60">
        <f>IFERROR(__xludf.DUMMYFUNCTION("""COMPUTED_VALUE"""),0.4736111111111111)</f>
        <v>0.4736111111</v>
      </c>
      <c r="K22" s="60">
        <f t="shared" si="1"/>
        <v>0.002777777778</v>
      </c>
      <c r="L22" s="51" t="s">
        <v>583</v>
      </c>
      <c r="M22" s="51"/>
      <c r="N22" s="51"/>
      <c r="O22" s="50"/>
      <c r="P22" s="50"/>
      <c r="Q22" s="63"/>
      <c r="R22" s="51"/>
      <c r="S22" s="51"/>
      <c r="T22" s="51"/>
    </row>
    <row r="23">
      <c r="A23" s="51" t="str">
        <f>IFERROR(__xludf.DUMMYFUNCTION("""COMPUTED_VALUE"""),"Closing the loop: 3 failure points that will doom your first industrial IoT deployment")</f>
        <v>Closing the loop: 3 failure points that will doom your first industrial IoT deployment</v>
      </c>
      <c r="B23" s="51" t="str">
        <f>IFERROR(__xludf.DUMMYFUNCTION("""COMPUTED_VALUE"""),"Growth Summit")</f>
        <v>Growth Summit</v>
      </c>
      <c r="C23" s="51" t="str">
        <f>IFERROR(__xludf.DUMMYFUNCTION("""COMPUTED_VALUE"""),"Matthew Kleiman")</f>
        <v>Matthew Kleiman</v>
      </c>
      <c r="D23" s="51" t="str">
        <f>IFERROR(__xludf.DUMMYFUNCTION("""COMPUTED_VALUE"""),"2019/11/05 11:22:00")</f>
        <v>2019/11/05 11:22:00</v>
      </c>
      <c r="E23" s="51" t="str">
        <f>IFERROR(__xludf.DUMMYFUNCTION("""COMPUTED_VALUE"""),"2019/11/05 11:26:00")</f>
        <v>2019/11/05 11:26:00</v>
      </c>
      <c r="F23" s="51" t="str">
        <f>IFERROR(__xludf.DUMMYFUNCTION("""COMPUTED_VALUE"""),"6f21a5ac-a4d9-4be1-8598-b82290dbafdd")</f>
        <v>6f21a5ac-a4d9-4be1-8598-b82290dbafdd</v>
      </c>
      <c r="G23" s="58">
        <f>IFERROR(__xludf.DUMMYFUNCTION("""COMPUTED_VALUE"""),43774.0)</f>
        <v>43774</v>
      </c>
      <c r="H23" s="60">
        <f>IFERROR(__xludf.DUMMYFUNCTION("""COMPUTED_VALUE"""),0.4736111111111111)</f>
        <v>0.4736111111</v>
      </c>
      <c r="I23" s="58">
        <f>IFERROR(__xludf.DUMMYFUNCTION("""COMPUTED_VALUE"""),43774.0)</f>
        <v>43774</v>
      </c>
      <c r="J23" s="60">
        <f>IFERROR(__xludf.DUMMYFUNCTION("""COMPUTED_VALUE"""),0.47638888888888886)</f>
        <v>0.4763888889</v>
      </c>
      <c r="K23" s="60">
        <f t="shared" si="1"/>
        <v>0.002777777778</v>
      </c>
      <c r="L23" s="51" t="s">
        <v>583</v>
      </c>
      <c r="M23" s="51"/>
      <c r="N23" s="51"/>
      <c r="O23" s="50"/>
      <c r="P23" s="50"/>
      <c r="Q23" s="63"/>
      <c r="R23" s="51"/>
      <c r="S23" s="51"/>
      <c r="T23" s="51"/>
    </row>
    <row r="24">
      <c r="A24" s="51" t="str">
        <f>IFERROR(__xludf.DUMMYFUNCTION("""COMPUTED_VALUE"""),"Scaling a business in a rapidly growing industry: Medical device cybersecurity")</f>
        <v>Scaling a business in a rapidly growing industry: Medical device cybersecurity</v>
      </c>
      <c r="B24" s="51" t="str">
        <f>IFERROR(__xludf.DUMMYFUNCTION("""COMPUTED_VALUE"""),"Growth Summit")</f>
        <v>Growth Summit</v>
      </c>
      <c r="C24" s="51" t="str">
        <f>IFERROR(__xludf.DUMMYFUNCTION("""COMPUTED_VALUE"""),"Fergal McCaffery")</f>
        <v>Fergal McCaffery</v>
      </c>
      <c r="D24" s="51" t="str">
        <f>IFERROR(__xludf.DUMMYFUNCTION("""COMPUTED_VALUE"""),"2019/11/05 11:26:00")</f>
        <v>2019/11/05 11:26:00</v>
      </c>
      <c r="E24" s="51" t="str">
        <f>IFERROR(__xludf.DUMMYFUNCTION("""COMPUTED_VALUE"""),"2019/11/05 11:30:00")</f>
        <v>2019/11/05 11:30:00</v>
      </c>
      <c r="F24" s="51" t="str">
        <f>IFERROR(__xludf.DUMMYFUNCTION("""COMPUTED_VALUE"""),"f82fc89b-7b3f-4930-9e75-329a3b3ea7d6")</f>
        <v>f82fc89b-7b3f-4930-9e75-329a3b3ea7d6</v>
      </c>
      <c r="G24" s="58">
        <f>IFERROR(__xludf.DUMMYFUNCTION("""COMPUTED_VALUE"""),43774.0)</f>
        <v>43774</v>
      </c>
      <c r="H24" s="60">
        <f>IFERROR(__xludf.DUMMYFUNCTION("""COMPUTED_VALUE"""),0.47638888888888886)</f>
        <v>0.4763888889</v>
      </c>
      <c r="I24" s="58">
        <f>IFERROR(__xludf.DUMMYFUNCTION("""COMPUTED_VALUE"""),43774.0)</f>
        <v>43774</v>
      </c>
      <c r="J24" s="60">
        <f>IFERROR(__xludf.DUMMYFUNCTION("""COMPUTED_VALUE"""),0.4791666666666667)</f>
        <v>0.4791666667</v>
      </c>
      <c r="K24" s="60">
        <f t="shared" si="1"/>
        <v>0.002777777778</v>
      </c>
      <c r="L24" s="51" t="s">
        <v>583</v>
      </c>
      <c r="M24" s="51"/>
      <c r="N24" s="51"/>
      <c r="O24" s="50"/>
      <c r="P24" s="50"/>
      <c r="Q24" s="63"/>
      <c r="R24" s="51"/>
      <c r="S24" s="51"/>
      <c r="T24" s="51"/>
    </row>
    <row r="25">
      <c r="A25" s="51" t="str">
        <f>IFERROR(__xludf.DUMMYFUNCTION("""COMPUTED_VALUE"""),"How to build a safer world: Machine reasoning for the cyber-physical age")</f>
        <v>How to build a safer world: Machine reasoning for the cyber-physical age</v>
      </c>
      <c r="B25" s="51" t="str">
        <f>IFERROR(__xludf.DUMMYFUNCTION("""COMPUTED_VALUE"""),"Growth Summit")</f>
        <v>Growth Summit</v>
      </c>
      <c r="C25" s="51" t="str">
        <f>IFERROR(__xludf.DUMMYFUNCTION("""COMPUTED_VALUE"""),"Jordan Kyriakidis")</f>
        <v>Jordan Kyriakidis</v>
      </c>
      <c r="D25" s="51" t="str">
        <f>IFERROR(__xludf.DUMMYFUNCTION("""COMPUTED_VALUE"""),"2019/11/05 11:30:00")</f>
        <v>2019/11/05 11:30:00</v>
      </c>
      <c r="E25" s="51" t="str">
        <f>IFERROR(__xludf.DUMMYFUNCTION("""COMPUTED_VALUE"""),"2019/11/05 11:34:00")</f>
        <v>2019/11/05 11:34:00</v>
      </c>
      <c r="F25" s="51" t="str">
        <f>IFERROR(__xludf.DUMMYFUNCTION("""COMPUTED_VALUE"""),"18039c07-0239-4bac-9b43-b7bcb01cde30")</f>
        <v>18039c07-0239-4bac-9b43-b7bcb01cde30</v>
      </c>
      <c r="G25" s="58">
        <f>IFERROR(__xludf.DUMMYFUNCTION("""COMPUTED_VALUE"""),43774.0)</f>
        <v>43774</v>
      </c>
      <c r="H25" s="60">
        <f>IFERROR(__xludf.DUMMYFUNCTION("""COMPUTED_VALUE"""),0.4791666666666667)</f>
        <v>0.4791666667</v>
      </c>
      <c r="I25" s="58">
        <f>IFERROR(__xludf.DUMMYFUNCTION("""COMPUTED_VALUE"""),43774.0)</f>
        <v>43774</v>
      </c>
      <c r="J25" s="60">
        <f>IFERROR(__xludf.DUMMYFUNCTION("""COMPUTED_VALUE"""),0.48194444444444445)</f>
        <v>0.4819444444</v>
      </c>
      <c r="K25" s="60">
        <f t="shared" si="1"/>
        <v>0.002777777778</v>
      </c>
      <c r="L25" s="51" t="s">
        <v>583</v>
      </c>
      <c r="M25" s="51"/>
      <c r="N25" s="51"/>
      <c r="O25" s="50"/>
      <c r="P25" s="50"/>
      <c r="Q25" s="63"/>
      <c r="R25" s="51"/>
      <c r="S25" s="51"/>
      <c r="T25" s="51"/>
    </row>
    <row r="26">
      <c r="A26" s="51" t="str">
        <f>IFERROR(__xludf.DUMMYFUNCTION("""COMPUTED_VALUE"""),"Time to target a different audience?")</f>
        <v>Time to target a different audience?</v>
      </c>
      <c r="B26" s="51" t="str">
        <f>IFERROR(__xludf.DUMMYFUNCTION("""COMPUTED_VALUE"""),"Growth Summit")</f>
        <v>Growth Summit</v>
      </c>
      <c r="C26" s="51" t="str">
        <f>IFERROR(__xludf.DUMMYFUNCTION("""COMPUTED_VALUE"""),"Charly Lester and Antoine Argouges")</f>
        <v>Charly Lester and Antoine Argouges</v>
      </c>
      <c r="D26" s="51" t="str">
        <f>IFERROR(__xludf.DUMMYFUNCTION("""COMPUTED_VALUE"""),"2019/11/05 11:34:00")</f>
        <v>2019/11/05 11:34:00</v>
      </c>
      <c r="E26" s="51" t="str">
        <f>IFERROR(__xludf.DUMMYFUNCTION("""COMPUTED_VALUE"""),"2019/11/05 11:38:00")</f>
        <v>2019/11/05 11:38:00</v>
      </c>
      <c r="F26" s="51" t="str">
        <f>IFERROR(__xludf.DUMMYFUNCTION("""COMPUTED_VALUE"""),"90777261-6980-4f08-9728-d964e699ec1c")</f>
        <v>90777261-6980-4f08-9728-d964e699ec1c</v>
      </c>
      <c r="G26" s="58">
        <f>IFERROR(__xludf.DUMMYFUNCTION("""COMPUTED_VALUE"""),43774.0)</f>
        <v>43774</v>
      </c>
      <c r="H26" s="60">
        <f>IFERROR(__xludf.DUMMYFUNCTION("""COMPUTED_VALUE"""),0.48194444444444445)</f>
        <v>0.4819444444</v>
      </c>
      <c r="I26" s="58">
        <f>IFERROR(__xludf.DUMMYFUNCTION("""COMPUTED_VALUE"""),43774.0)</f>
        <v>43774</v>
      </c>
      <c r="J26" s="60">
        <f>IFERROR(__xludf.DUMMYFUNCTION("""COMPUTED_VALUE"""),0.4847222222222222)</f>
        <v>0.4847222222</v>
      </c>
      <c r="K26" s="60">
        <f t="shared" si="1"/>
        <v>0.002777777778</v>
      </c>
      <c r="L26" s="51" t="s">
        <v>583</v>
      </c>
      <c r="M26" s="51"/>
      <c r="N26" s="51"/>
      <c r="O26" s="50"/>
      <c r="P26" s="50"/>
      <c r="Q26" s="63"/>
      <c r="R26" s="51"/>
      <c r="S26" s="51"/>
      <c r="T26" s="51"/>
    </row>
    <row r="27">
      <c r="A27" s="51" t="str">
        <f>IFERROR(__xludf.DUMMYFUNCTION("""COMPUTED_VALUE"""),"Make your technology compliant from day one")</f>
        <v>Make your technology compliant from day one</v>
      </c>
      <c r="B27" s="51" t="str">
        <f>IFERROR(__xludf.DUMMYFUNCTION("""COMPUTED_VALUE"""),"Growth Summit")</f>
        <v>Growth Summit</v>
      </c>
      <c r="C27" s="51" t="str">
        <f>IFERROR(__xludf.DUMMYFUNCTION("""COMPUTED_VALUE"""),"Robert Kaluza")</f>
        <v>Robert Kaluza</v>
      </c>
      <c r="D27" s="51" t="str">
        <f>IFERROR(__xludf.DUMMYFUNCTION("""COMPUTED_VALUE"""),"2019/11/05 11:38:00")</f>
        <v>2019/11/05 11:38:00</v>
      </c>
      <c r="E27" s="51" t="str">
        <f>IFERROR(__xludf.DUMMYFUNCTION("""COMPUTED_VALUE"""),"2019/11/05 11:42:00")</f>
        <v>2019/11/05 11:42:00</v>
      </c>
      <c r="F27" s="51" t="str">
        <f>IFERROR(__xludf.DUMMYFUNCTION("""COMPUTED_VALUE"""),"a3123bfb-f991-4877-8298-a58d69c74cba")</f>
        <v>a3123bfb-f991-4877-8298-a58d69c74cba</v>
      </c>
      <c r="G27" s="58">
        <f>IFERROR(__xludf.DUMMYFUNCTION("""COMPUTED_VALUE"""),43774.0)</f>
        <v>43774</v>
      </c>
      <c r="H27" s="60">
        <f>IFERROR(__xludf.DUMMYFUNCTION("""COMPUTED_VALUE"""),0.4847222222222222)</f>
        <v>0.4847222222</v>
      </c>
      <c r="I27" s="58">
        <f>IFERROR(__xludf.DUMMYFUNCTION("""COMPUTED_VALUE"""),43774.0)</f>
        <v>43774</v>
      </c>
      <c r="J27" s="60">
        <f>IFERROR(__xludf.DUMMYFUNCTION("""COMPUTED_VALUE"""),0.4875)</f>
        <v>0.4875</v>
      </c>
      <c r="K27" s="60">
        <f t="shared" si="1"/>
        <v>0.002777777778</v>
      </c>
      <c r="L27" s="51" t="s">
        <v>583</v>
      </c>
      <c r="M27" s="51"/>
      <c r="N27" s="51"/>
      <c r="O27" s="50"/>
      <c r="P27" s="50"/>
      <c r="Q27" s="63"/>
      <c r="R27" s="51"/>
      <c r="S27" s="51"/>
      <c r="T27" s="51"/>
    </row>
    <row r="28">
      <c r="A28" s="51" t="str">
        <f>IFERROR(__xludf.DUMMYFUNCTION("""COMPUTED_VALUE"""),"Scaling a startup globally from Europe: Lessons learned")</f>
        <v>Scaling a startup globally from Europe: Lessons learned</v>
      </c>
      <c r="B28" s="51" t="str">
        <f>IFERROR(__xludf.DUMMYFUNCTION("""COMPUTED_VALUE"""),"Growth Summit")</f>
        <v>Growth Summit</v>
      </c>
      <c r="C28" s="51" t="str">
        <f>IFERROR(__xludf.DUMMYFUNCTION("""COMPUTED_VALUE"""),"Vol Pigrukh")</f>
        <v>Vol Pigrukh</v>
      </c>
      <c r="D28" s="51" t="str">
        <f>IFERROR(__xludf.DUMMYFUNCTION("""COMPUTED_VALUE"""),"2019/11/05 11:42:00")</f>
        <v>2019/11/05 11:42:00</v>
      </c>
      <c r="E28" s="51" t="str">
        <f>IFERROR(__xludf.DUMMYFUNCTION("""COMPUTED_VALUE"""),"2019/11/05 11:46:00")</f>
        <v>2019/11/05 11:46:00</v>
      </c>
      <c r="F28" s="51" t="str">
        <f>IFERROR(__xludf.DUMMYFUNCTION("""COMPUTED_VALUE"""),"e39a9b0a-2940-466b-a31d-ffd0d7810eb1")</f>
        <v>e39a9b0a-2940-466b-a31d-ffd0d7810eb1</v>
      </c>
      <c r="G28" s="58">
        <f>IFERROR(__xludf.DUMMYFUNCTION("""COMPUTED_VALUE"""),43774.0)</f>
        <v>43774</v>
      </c>
      <c r="H28" s="60">
        <f>IFERROR(__xludf.DUMMYFUNCTION("""COMPUTED_VALUE"""),0.4875)</f>
        <v>0.4875</v>
      </c>
      <c r="I28" s="58">
        <f>IFERROR(__xludf.DUMMYFUNCTION("""COMPUTED_VALUE"""),43774.0)</f>
        <v>43774</v>
      </c>
      <c r="J28" s="60">
        <f>IFERROR(__xludf.DUMMYFUNCTION("""COMPUTED_VALUE"""),0.49027777777777776)</f>
        <v>0.4902777778</v>
      </c>
      <c r="K28" s="60">
        <f t="shared" si="1"/>
        <v>0.002777777778</v>
      </c>
      <c r="L28" s="51" t="s">
        <v>583</v>
      </c>
      <c r="M28" s="51"/>
      <c r="N28" s="51"/>
      <c r="O28" s="50"/>
      <c r="P28" s="50"/>
      <c r="Q28" s="63"/>
      <c r="R28" s="51"/>
      <c r="S28" s="51"/>
      <c r="T28" s="51"/>
    </row>
    <row r="29">
      <c r="A29" s="51" t="str">
        <f>IFERROR(__xludf.DUMMYFUNCTION("""COMPUTED_VALUE"""),"Changing the most inert industry in the world")</f>
        <v>Changing the most inert industry in the world</v>
      </c>
      <c r="B29" s="51" t="str">
        <f>IFERROR(__xludf.DUMMYFUNCTION("""COMPUTED_VALUE"""),"Growth Summit")</f>
        <v>Growth Summit</v>
      </c>
      <c r="C29" s="51" t="str">
        <f>IFERROR(__xludf.DUMMYFUNCTION("""COMPUTED_VALUE"""),"Joost Bruggeman")</f>
        <v>Joost Bruggeman</v>
      </c>
      <c r="D29" s="51" t="str">
        <f>IFERROR(__xludf.DUMMYFUNCTION("""COMPUTED_VALUE"""),"2019/11/05 11:46:00")</f>
        <v>2019/11/05 11:46:00</v>
      </c>
      <c r="E29" s="51" t="str">
        <f>IFERROR(__xludf.DUMMYFUNCTION("""COMPUTED_VALUE"""),"2019/11/05 11:50:00")</f>
        <v>2019/11/05 11:50:00</v>
      </c>
      <c r="F29" s="51" t="str">
        <f>IFERROR(__xludf.DUMMYFUNCTION("""COMPUTED_VALUE"""),"554a21c7-0d4d-45e3-a6bb-c6e3c67ef6ac")</f>
        <v>554a21c7-0d4d-45e3-a6bb-c6e3c67ef6ac</v>
      </c>
      <c r="G29" s="58">
        <f>IFERROR(__xludf.DUMMYFUNCTION("""COMPUTED_VALUE"""),43774.0)</f>
        <v>43774</v>
      </c>
      <c r="H29" s="60">
        <f>IFERROR(__xludf.DUMMYFUNCTION("""COMPUTED_VALUE"""),0.49027777777777776)</f>
        <v>0.4902777778</v>
      </c>
      <c r="I29" s="58">
        <f>IFERROR(__xludf.DUMMYFUNCTION("""COMPUTED_VALUE"""),43774.0)</f>
        <v>43774</v>
      </c>
      <c r="J29" s="60">
        <f>IFERROR(__xludf.DUMMYFUNCTION("""COMPUTED_VALUE"""),0.4930555555555556)</f>
        <v>0.4930555556</v>
      </c>
      <c r="K29" s="60">
        <f t="shared" si="1"/>
        <v>0.002777777778</v>
      </c>
      <c r="L29" s="51" t="s">
        <v>583</v>
      </c>
      <c r="M29" s="51"/>
      <c r="N29" s="51"/>
      <c r="O29" s="50"/>
      <c r="P29" s="50"/>
      <c r="Q29" s="63"/>
      <c r="R29" s="51"/>
      <c r="S29" s="51"/>
      <c r="T29" s="51"/>
    </row>
    <row r="30">
      <c r="A30" s="51" t="str">
        <f>IFERROR(__xludf.DUMMYFUNCTION("""COMPUTED_VALUE"""),"Lunch break")</f>
        <v>Lunch break</v>
      </c>
      <c r="B30" s="51" t="str">
        <f>IFERROR(__xludf.DUMMYFUNCTION("""COMPUTED_VALUE"""),"Growth Summit")</f>
        <v>Growth Summit</v>
      </c>
      <c r="C30" s="51" t="str">
        <f>IFERROR(__xludf.DUMMYFUNCTION("""COMPUTED_VALUE"""),"")</f>
        <v/>
      </c>
      <c r="D30" s="51" t="str">
        <f>IFERROR(__xludf.DUMMYFUNCTION("""COMPUTED_VALUE"""),"2019/11/05 11:58:00")</f>
        <v>2019/11/05 11:58:00</v>
      </c>
      <c r="E30" s="51" t="str">
        <f>IFERROR(__xludf.DUMMYFUNCTION("""COMPUTED_VALUE"""),"2019/11/05 12:28:00")</f>
        <v>2019/11/05 12:28:00</v>
      </c>
      <c r="F30" s="51" t="str">
        <f>IFERROR(__xludf.DUMMYFUNCTION("""COMPUTED_VALUE"""),"e3d03cc0-328a-404b-94dd-16533107e93f")</f>
        <v>e3d03cc0-328a-404b-94dd-16533107e93f</v>
      </c>
      <c r="G30" s="58">
        <f>IFERROR(__xludf.DUMMYFUNCTION("""COMPUTED_VALUE"""),43774.0)</f>
        <v>43774</v>
      </c>
      <c r="H30" s="60">
        <f>IFERROR(__xludf.DUMMYFUNCTION("""COMPUTED_VALUE"""),0.4986111111111111)</f>
        <v>0.4986111111</v>
      </c>
      <c r="I30" s="58">
        <f>IFERROR(__xludf.DUMMYFUNCTION("""COMPUTED_VALUE"""),43774.0)</f>
        <v>43774</v>
      </c>
      <c r="J30" s="60">
        <f>IFERROR(__xludf.DUMMYFUNCTION("""COMPUTED_VALUE"""),0.5194444444444445)</f>
        <v>0.5194444444</v>
      </c>
      <c r="K30" s="60">
        <f t="shared" si="1"/>
        <v>0.02083333333</v>
      </c>
      <c r="L30" s="51" t="s">
        <v>105</v>
      </c>
      <c r="M30" s="51"/>
      <c r="N30" s="51"/>
      <c r="O30" s="50"/>
      <c r="P30" s="50"/>
      <c r="Q30" s="63"/>
      <c r="R30" s="51"/>
      <c r="S30" s="51"/>
      <c r="T30" s="51"/>
    </row>
    <row r="31">
      <c r="A31" s="51" t="str">
        <f>IFERROR(__xludf.DUMMYFUNCTION("""COMPUTED_VALUE"""),"Opening remarks")</f>
        <v>Opening remarks</v>
      </c>
      <c r="B31" s="51" t="str">
        <f>IFERROR(__xludf.DUMMYFUNCTION("""COMPUTED_VALUE"""),"Growth Summit")</f>
        <v>Growth Summit</v>
      </c>
      <c r="C31" s="51" t="str">
        <f>IFERROR(__xludf.DUMMYFUNCTION("""COMPUTED_VALUE"""),"Jane Gideon")</f>
        <v>Jane Gideon</v>
      </c>
      <c r="D31" s="51" t="str">
        <f>IFERROR(__xludf.DUMMYFUNCTION("""COMPUTED_VALUE"""),"2019/11/05 12:28:00")</f>
        <v>2019/11/05 12:28:00</v>
      </c>
      <c r="E31" s="51" t="str">
        <f>IFERROR(__xludf.DUMMYFUNCTION("""COMPUTED_VALUE"""),"2019/11/05 12:30:00")</f>
        <v>2019/11/05 12:30:00</v>
      </c>
      <c r="F31" s="51" t="str">
        <f>IFERROR(__xludf.DUMMYFUNCTION("""COMPUTED_VALUE"""),"0bc35cab-39da-4df9-a10f-d05a89509254")</f>
        <v>0bc35cab-39da-4df9-a10f-d05a89509254</v>
      </c>
      <c r="G31" s="58">
        <f>IFERROR(__xludf.DUMMYFUNCTION("""COMPUTED_VALUE"""),43774.0)</f>
        <v>43774</v>
      </c>
      <c r="H31" s="60">
        <f>IFERROR(__xludf.DUMMYFUNCTION("""COMPUTED_VALUE"""),0.5194444444444445)</f>
        <v>0.5194444444</v>
      </c>
      <c r="I31" s="58">
        <f>IFERROR(__xludf.DUMMYFUNCTION("""COMPUTED_VALUE"""),43774.0)</f>
        <v>43774</v>
      </c>
      <c r="J31" s="60">
        <f>IFERROR(__xludf.DUMMYFUNCTION("""COMPUTED_VALUE"""),0.5208333333333334)</f>
        <v>0.5208333333</v>
      </c>
      <c r="K31" s="60">
        <f t="shared" si="1"/>
        <v>0.001388888889</v>
      </c>
      <c r="L31" s="51" t="s">
        <v>584</v>
      </c>
      <c r="M31" s="51"/>
      <c r="N31" s="51"/>
      <c r="O31" s="50"/>
      <c r="P31" s="50"/>
      <c r="Q31" s="63"/>
      <c r="R31" s="51"/>
      <c r="S31" s="51"/>
      <c r="T31" s="51"/>
    </row>
    <row r="32">
      <c r="A32" s="51" t="str">
        <f>IFERROR(__xludf.DUMMYFUNCTION("""COMPUTED_VALUE"""),"Building a FinTech that’s changing the game")</f>
        <v>Building a FinTech that’s changing the game</v>
      </c>
      <c r="B32" s="51" t="str">
        <f>IFERROR(__xludf.DUMMYFUNCTION("""COMPUTED_VALUE"""),"Growth Summit")</f>
        <v>Growth Summit</v>
      </c>
      <c r="C32" s="51" t="str">
        <f>IFERROR(__xludf.DUMMYFUNCTION("""COMPUTED_VALUE"""),"Eric Demuth")</f>
        <v>Eric Demuth</v>
      </c>
      <c r="D32" s="51" t="str">
        <f>IFERROR(__xludf.DUMMYFUNCTION("""COMPUTED_VALUE"""),"2019/11/05 12:30:00")</f>
        <v>2019/11/05 12:30:00</v>
      </c>
      <c r="E32" s="51" t="str">
        <f>IFERROR(__xludf.DUMMYFUNCTION("""COMPUTED_VALUE"""),"2019/11/05 12:41:00")</f>
        <v>2019/11/05 12:41:00</v>
      </c>
      <c r="F32" s="51" t="str">
        <f>IFERROR(__xludf.DUMMYFUNCTION("""COMPUTED_VALUE"""),"b5074e1d-20df-436b-ba78-34da6561777f")</f>
        <v>b5074e1d-20df-436b-ba78-34da6561777f</v>
      </c>
      <c r="G32" s="58">
        <f>IFERROR(__xludf.DUMMYFUNCTION("""COMPUTED_VALUE"""),43774.0)</f>
        <v>43774</v>
      </c>
      <c r="H32" s="60">
        <f>IFERROR(__xludf.DUMMYFUNCTION("""COMPUTED_VALUE"""),0.5208333333333334)</f>
        <v>0.5208333333</v>
      </c>
      <c r="I32" s="58">
        <f>IFERROR(__xludf.DUMMYFUNCTION("""COMPUTED_VALUE"""),43774.0)</f>
        <v>43774</v>
      </c>
      <c r="J32" s="60">
        <f>IFERROR(__xludf.DUMMYFUNCTION("""COMPUTED_VALUE"""),0.5284722222222222)</f>
        <v>0.5284722222</v>
      </c>
      <c r="K32" s="60">
        <f t="shared" si="1"/>
        <v>0.007638888889</v>
      </c>
      <c r="L32" s="51" t="s">
        <v>585</v>
      </c>
      <c r="M32" s="51"/>
      <c r="N32" s="51"/>
      <c r="O32" s="50"/>
      <c r="P32" s="50"/>
      <c r="Q32" s="63"/>
      <c r="R32" s="51"/>
      <c r="S32" s="51"/>
      <c r="T32" s="51"/>
    </row>
    <row r="33">
      <c r="A33" s="51" t="str">
        <f>IFERROR(__xludf.DUMMYFUNCTION("""COMPUTED_VALUE"""),"What happens to teamwork when you rapidly increase your workforce in 18 months?")</f>
        <v>What happens to teamwork when you rapidly increase your workforce in 18 months?</v>
      </c>
      <c r="B33" s="51" t="str">
        <f>IFERROR(__xludf.DUMMYFUNCTION("""COMPUTED_VALUE"""),"Growth Summit")</f>
        <v>Growth Summit</v>
      </c>
      <c r="C33" s="51" t="str">
        <f>IFERROR(__xludf.DUMMYFUNCTION("""COMPUTED_VALUE"""),"")</f>
        <v/>
      </c>
      <c r="D33" s="51" t="str">
        <f>IFERROR(__xludf.DUMMYFUNCTION("""COMPUTED_VALUE"""),"2019/11/05 12:41:00")</f>
        <v>2019/11/05 12:41:00</v>
      </c>
      <c r="E33" s="51" t="str">
        <f>IFERROR(__xludf.DUMMYFUNCTION("""COMPUTED_VALUE"""),"2019/11/05 12:52:00")</f>
        <v>2019/11/05 12:52:00</v>
      </c>
      <c r="F33" s="51" t="str">
        <f>IFERROR(__xludf.DUMMYFUNCTION("""COMPUTED_VALUE"""),"54fec332-95c0-4240-9033-9baf09c9e7da")</f>
        <v>54fec332-95c0-4240-9033-9baf09c9e7da</v>
      </c>
      <c r="G33" s="58">
        <f>IFERROR(__xludf.DUMMYFUNCTION("""COMPUTED_VALUE"""),43774.0)</f>
        <v>43774</v>
      </c>
      <c r="H33" s="60">
        <f>IFERROR(__xludf.DUMMYFUNCTION("""COMPUTED_VALUE"""),0.5284722222222222)</f>
        <v>0.5284722222</v>
      </c>
      <c r="I33" s="58">
        <f>IFERROR(__xludf.DUMMYFUNCTION("""COMPUTED_VALUE"""),43774.0)</f>
        <v>43774</v>
      </c>
      <c r="J33" s="60">
        <f>IFERROR(__xludf.DUMMYFUNCTION("""COMPUTED_VALUE"""),0.5361111111111111)</f>
        <v>0.5361111111</v>
      </c>
      <c r="K33" s="60">
        <f t="shared" si="1"/>
        <v>0.007638888889</v>
      </c>
      <c r="L33" s="51" t="s">
        <v>585</v>
      </c>
      <c r="M33" s="51"/>
      <c r="N33" s="51"/>
      <c r="O33" s="50"/>
      <c r="P33" s="50"/>
      <c r="Q33" s="63"/>
      <c r="R33" s="51"/>
      <c r="S33" s="51"/>
      <c r="T33" s="51"/>
    </row>
    <row r="34">
      <c r="A34" s="51" t="str">
        <f>IFERROR(__xludf.DUMMYFUNCTION("""COMPUTED_VALUE"""),"Really starting from scratch: Tackling the zero data problem")</f>
        <v>Really starting from scratch: Tackling the zero data problem</v>
      </c>
      <c r="B34" s="51" t="str">
        <f>IFERROR(__xludf.DUMMYFUNCTION("""COMPUTED_VALUE"""),"Growth Summit")</f>
        <v>Growth Summit</v>
      </c>
      <c r="C34" s="51" t="str">
        <f>IFERROR(__xludf.DUMMYFUNCTION("""COMPUTED_VALUE"""),"Chris Mitchell")</f>
        <v>Chris Mitchell</v>
      </c>
      <c r="D34" s="51" t="str">
        <f>IFERROR(__xludf.DUMMYFUNCTION("""COMPUTED_VALUE"""),"2019/11/05 12:41:00")</f>
        <v>2019/11/05 12:41:00</v>
      </c>
      <c r="E34" s="51" t="str">
        <f>IFERROR(__xludf.DUMMYFUNCTION("""COMPUTED_VALUE"""),"2019/11/05 12:52:00")</f>
        <v>2019/11/05 12:52:00</v>
      </c>
      <c r="F34" s="51" t="str">
        <f>IFERROR(__xludf.DUMMYFUNCTION("""COMPUTED_VALUE"""),"7a88b902-368a-4acb-8f93-e3781ce9ab98")</f>
        <v>7a88b902-368a-4acb-8f93-e3781ce9ab98</v>
      </c>
      <c r="G34" s="58">
        <f>IFERROR(__xludf.DUMMYFUNCTION("""COMPUTED_VALUE"""),43774.0)</f>
        <v>43774</v>
      </c>
      <c r="H34" s="60">
        <f>IFERROR(__xludf.DUMMYFUNCTION("""COMPUTED_VALUE"""),0.5284722222222222)</f>
        <v>0.5284722222</v>
      </c>
      <c r="I34" s="58">
        <f>IFERROR(__xludf.DUMMYFUNCTION("""COMPUTED_VALUE"""),43774.0)</f>
        <v>43774</v>
      </c>
      <c r="J34" s="60">
        <f>IFERROR(__xludf.DUMMYFUNCTION("""COMPUTED_VALUE"""),0.5361111111111111)</f>
        <v>0.5361111111</v>
      </c>
      <c r="K34" s="60">
        <f t="shared" si="1"/>
        <v>0.007638888889</v>
      </c>
      <c r="L34" s="51" t="s">
        <v>585</v>
      </c>
      <c r="M34" s="51"/>
      <c r="N34" s="51"/>
      <c r="O34" s="50"/>
      <c r="P34" s="50"/>
      <c r="Q34" s="63"/>
      <c r="R34" s="51"/>
      <c r="S34" s="51"/>
      <c r="T34" s="51"/>
    </row>
    <row r="35">
      <c r="A35" s="51" t="str">
        <f>IFERROR(__xludf.DUMMYFUNCTION("""COMPUTED_VALUE"""),"Apex.AI: Taking software from open source to products")</f>
        <v>Apex.AI: Taking software from open source to products</v>
      </c>
      <c r="B35" s="51" t="str">
        <f>IFERROR(__xludf.DUMMYFUNCTION("""COMPUTED_VALUE"""),"Growth Summit")</f>
        <v>Growth Summit</v>
      </c>
      <c r="C35" s="51" t="str">
        <f>IFERROR(__xludf.DUMMYFUNCTION("""COMPUTED_VALUE"""),"Jan Becker")</f>
        <v>Jan Becker</v>
      </c>
      <c r="D35" s="51" t="str">
        <f>IFERROR(__xludf.DUMMYFUNCTION("""COMPUTED_VALUE"""),"2019/11/05 12:52:00")</f>
        <v>2019/11/05 12:52:00</v>
      </c>
      <c r="E35" s="51" t="str">
        <f>IFERROR(__xludf.DUMMYFUNCTION("""COMPUTED_VALUE"""),"2019/11/05 13:03:00")</f>
        <v>2019/11/05 13:03:00</v>
      </c>
      <c r="F35" s="51" t="str">
        <f>IFERROR(__xludf.DUMMYFUNCTION("""COMPUTED_VALUE"""),"1010388a-88e1-4a97-9b9b-f212ca8b351c")</f>
        <v>1010388a-88e1-4a97-9b9b-f212ca8b351c</v>
      </c>
      <c r="G35" s="58">
        <f>IFERROR(__xludf.DUMMYFUNCTION("""COMPUTED_VALUE"""),43774.0)</f>
        <v>43774</v>
      </c>
      <c r="H35" s="60">
        <f>IFERROR(__xludf.DUMMYFUNCTION("""COMPUTED_VALUE"""),0.5361111111111111)</f>
        <v>0.5361111111</v>
      </c>
      <c r="I35" s="58">
        <f>IFERROR(__xludf.DUMMYFUNCTION("""COMPUTED_VALUE"""),43774.0)</f>
        <v>43774</v>
      </c>
      <c r="J35" s="60">
        <f>IFERROR(__xludf.DUMMYFUNCTION("""COMPUTED_VALUE"""),0.54375)</f>
        <v>0.54375</v>
      </c>
      <c r="K35" s="60">
        <f t="shared" si="1"/>
        <v>0.007638888889</v>
      </c>
      <c r="L35" s="51" t="s">
        <v>585</v>
      </c>
      <c r="M35" s="51"/>
      <c r="N35" s="51"/>
      <c r="O35" s="50"/>
      <c r="P35" s="50"/>
      <c r="Q35" s="63"/>
      <c r="R35" s="51"/>
      <c r="S35" s="51"/>
      <c r="T35" s="51"/>
    </row>
    <row r="36">
      <c r="A36" s="51" t="str">
        <f>IFERROR(__xludf.DUMMYFUNCTION("""COMPUTED_VALUE"""),"Design for product success")</f>
        <v>Design for product success</v>
      </c>
      <c r="B36" s="51" t="str">
        <f>IFERROR(__xludf.DUMMYFUNCTION("""COMPUTED_VALUE"""),"Growth Summit")</f>
        <v>Growth Summit</v>
      </c>
      <c r="C36" s="51" t="str">
        <f>IFERROR(__xludf.DUMMYFUNCTION("""COMPUTED_VALUE"""),"Pieter Omvlee")</f>
        <v>Pieter Omvlee</v>
      </c>
      <c r="D36" s="51" t="str">
        <f>IFERROR(__xludf.DUMMYFUNCTION("""COMPUTED_VALUE"""),"2019/11/05 13:03:00")</f>
        <v>2019/11/05 13:03:00</v>
      </c>
      <c r="E36" s="51" t="str">
        <f>IFERROR(__xludf.DUMMYFUNCTION("""COMPUTED_VALUE"""),"2019/11/05 13:14:00")</f>
        <v>2019/11/05 13:14:00</v>
      </c>
      <c r="F36" s="51" t="str">
        <f>IFERROR(__xludf.DUMMYFUNCTION("""COMPUTED_VALUE"""),"16e7ddc6-b395-4462-851e-bb00c6a085fe")</f>
        <v>16e7ddc6-b395-4462-851e-bb00c6a085fe</v>
      </c>
      <c r="G36" s="58">
        <f>IFERROR(__xludf.DUMMYFUNCTION("""COMPUTED_VALUE"""),43774.0)</f>
        <v>43774</v>
      </c>
      <c r="H36" s="60">
        <f>IFERROR(__xludf.DUMMYFUNCTION("""COMPUTED_VALUE"""),0.54375)</f>
        <v>0.54375</v>
      </c>
      <c r="I36" s="58">
        <f>IFERROR(__xludf.DUMMYFUNCTION("""COMPUTED_VALUE"""),43774.0)</f>
        <v>43774</v>
      </c>
      <c r="J36" s="60">
        <f>IFERROR(__xludf.DUMMYFUNCTION("""COMPUTED_VALUE"""),0.5513888888888889)</f>
        <v>0.5513888889</v>
      </c>
      <c r="K36" s="60">
        <f t="shared" si="1"/>
        <v>0.007638888889</v>
      </c>
      <c r="L36" s="51" t="s">
        <v>585</v>
      </c>
      <c r="M36" s="51"/>
      <c r="N36" s="51"/>
      <c r="O36" s="50"/>
      <c r="P36" s="50"/>
      <c r="Q36" s="63"/>
      <c r="R36" s="51"/>
      <c r="S36" s="51"/>
      <c r="T36" s="51"/>
    </row>
    <row r="37">
      <c r="A37" s="51" t="str">
        <f>IFERROR(__xludf.DUMMYFUNCTION("""COMPUTED_VALUE"""),"Speed is everything")</f>
        <v>Speed is everything</v>
      </c>
      <c r="B37" s="51" t="str">
        <f>IFERROR(__xludf.DUMMYFUNCTION("""COMPUTED_VALUE"""),"Growth Summit")</f>
        <v>Growth Summit</v>
      </c>
      <c r="C37" s="51" t="str">
        <f>IFERROR(__xludf.DUMMYFUNCTION("""COMPUTED_VALUE"""),"Derek Steer")</f>
        <v>Derek Steer</v>
      </c>
      <c r="D37" s="51" t="str">
        <f>IFERROR(__xludf.DUMMYFUNCTION("""COMPUTED_VALUE"""),"2019/11/05 13:14:00")</f>
        <v>2019/11/05 13:14:00</v>
      </c>
      <c r="E37" s="51" t="str">
        <f>IFERROR(__xludf.DUMMYFUNCTION("""COMPUTED_VALUE"""),"2019/11/05 13:25:00")</f>
        <v>2019/11/05 13:25:00</v>
      </c>
      <c r="F37" s="51" t="str">
        <f>IFERROR(__xludf.DUMMYFUNCTION("""COMPUTED_VALUE"""),"2207ec97-cf58-470f-b289-e71f0210f0c4")</f>
        <v>2207ec97-cf58-470f-b289-e71f0210f0c4</v>
      </c>
      <c r="G37" s="58">
        <f>IFERROR(__xludf.DUMMYFUNCTION("""COMPUTED_VALUE"""),43774.0)</f>
        <v>43774</v>
      </c>
      <c r="H37" s="60">
        <f>IFERROR(__xludf.DUMMYFUNCTION("""COMPUTED_VALUE"""),0.5513888888888889)</f>
        <v>0.5513888889</v>
      </c>
      <c r="I37" s="58">
        <f>IFERROR(__xludf.DUMMYFUNCTION("""COMPUTED_VALUE"""),43774.0)</f>
        <v>43774</v>
      </c>
      <c r="J37" s="60">
        <f>IFERROR(__xludf.DUMMYFUNCTION("""COMPUTED_VALUE"""),0.5590277777777778)</f>
        <v>0.5590277778</v>
      </c>
      <c r="K37" s="60">
        <f t="shared" si="1"/>
        <v>0.007638888889</v>
      </c>
      <c r="L37" s="51" t="s">
        <v>585</v>
      </c>
      <c r="M37" s="51"/>
      <c r="N37" s="51"/>
      <c r="O37" s="50"/>
      <c r="P37" s="50"/>
      <c r="Q37" s="63"/>
      <c r="R37" s="51"/>
      <c r="S37" s="51"/>
      <c r="T37" s="51"/>
    </row>
    <row r="38">
      <c r="A38" s="51" t="str">
        <f>IFERROR(__xludf.DUMMYFUNCTION("""COMPUTED_VALUE"""),"Preparing for the rise of AI, autonomous vehicles, and the IoT revolution")</f>
        <v>Preparing for the rise of AI, autonomous vehicles, and the IoT revolution</v>
      </c>
      <c r="B38" s="51" t="str">
        <f>IFERROR(__xludf.DUMMYFUNCTION("""COMPUTED_VALUE"""),"Growth Summit")</f>
        <v>Growth Summit</v>
      </c>
      <c r="C38" s="51" t="str">
        <f>IFERROR(__xludf.DUMMYFUNCTION("""COMPUTED_VALUE"""),"Matthew Fornaciari")</f>
        <v>Matthew Fornaciari</v>
      </c>
      <c r="D38" s="51" t="str">
        <f>IFERROR(__xludf.DUMMYFUNCTION("""COMPUTED_VALUE"""),"2019/11/05 13:25:00")</f>
        <v>2019/11/05 13:25:00</v>
      </c>
      <c r="E38" s="51" t="str">
        <f>IFERROR(__xludf.DUMMYFUNCTION("""COMPUTED_VALUE"""),"2019/11/05 13:36:00")</f>
        <v>2019/11/05 13:36:00</v>
      </c>
      <c r="F38" s="51" t="str">
        <f>IFERROR(__xludf.DUMMYFUNCTION("""COMPUTED_VALUE"""),"6e6c5d4e-1d58-485c-b82b-cb53b999f6fd")</f>
        <v>6e6c5d4e-1d58-485c-b82b-cb53b999f6fd</v>
      </c>
      <c r="G38" s="58">
        <f>IFERROR(__xludf.DUMMYFUNCTION("""COMPUTED_VALUE"""),43774.0)</f>
        <v>43774</v>
      </c>
      <c r="H38" s="60">
        <f>IFERROR(__xludf.DUMMYFUNCTION("""COMPUTED_VALUE"""),0.5590277777777778)</f>
        <v>0.5590277778</v>
      </c>
      <c r="I38" s="58">
        <f>IFERROR(__xludf.DUMMYFUNCTION("""COMPUTED_VALUE"""),43774.0)</f>
        <v>43774</v>
      </c>
      <c r="J38" s="60">
        <f>IFERROR(__xludf.DUMMYFUNCTION("""COMPUTED_VALUE"""),0.5666666666666667)</f>
        <v>0.5666666667</v>
      </c>
      <c r="K38" s="60">
        <f t="shared" si="1"/>
        <v>0.007638888889</v>
      </c>
      <c r="L38" s="51" t="s">
        <v>585</v>
      </c>
      <c r="M38" s="51"/>
      <c r="N38" s="51"/>
      <c r="O38" s="50"/>
      <c r="P38" s="50"/>
      <c r="Q38" s="63"/>
      <c r="R38" s="51"/>
      <c r="S38" s="51"/>
      <c r="T38" s="51"/>
    </row>
    <row r="39">
      <c r="A39" s="51" t="str">
        <f>IFERROR(__xludf.DUMMYFUNCTION("""COMPUTED_VALUE"""),"People before profiles: Customer relationships in the age of AI")</f>
        <v>People before profiles: Customer relationships in the age of AI</v>
      </c>
      <c r="B39" s="51" t="str">
        <f>IFERROR(__xludf.DUMMYFUNCTION("""COMPUTED_VALUE"""),"Growth Summit")</f>
        <v>Growth Summit</v>
      </c>
      <c r="C39" s="51" t="str">
        <f>IFERROR(__xludf.DUMMYFUNCTION("""COMPUTED_VALUE"""),"Steve Irvine")</f>
        <v>Steve Irvine</v>
      </c>
      <c r="D39" s="51" t="str">
        <f>IFERROR(__xludf.DUMMYFUNCTION("""COMPUTED_VALUE"""),"2019/11/05 13:36:00")</f>
        <v>2019/11/05 13:36:00</v>
      </c>
      <c r="E39" s="51" t="str">
        <f>IFERROR(__xludf.DUMMYFUNCTION("""COMPUTED_VALUE"""),"2019/11/05 13:47:00")</f>
        <v>2019/11/05 13:47:00</v>
      </c>
      <c r="F39" s="51" t="str">
        <f>IFERROR(__xludf.DUMMYFUNCTION("""COMPUTED_VALUE"""),"b5b6a05c-8350-4d50-9275-01fdcc9371ee")</f>
        <v>b5b6a05c-8350-4d50-9275-01fdcc9371ee</v>
      </c>
      <c r="G39" s="58">
        <f>IFERROR(__xludf.DUMMYFUNCTION("""COMPUTED_VALUE"""),43774.0)</f>
        <v>43774</v>
      </c>
      <c r="H39" s="60">
        <f>IFERROR(__xludf.DUMMYFUNCTION("""COMPUTED_VALUE"""),0.5666666666666667)</f>
        <v>0.5666666667</v>
      </c>
      <c r="I39" s="58">
        <f>IFERROR(__xludf.DUMMYFUNCTION("""COMPUTED_VALUE"""),43774.0)</f>
        <v>43774</v>
      </c>
      <c r="J39" s="60">
        <f>IFERROR(__xludf.DUMMYFUNCTION("""COMPUTED_VALUE"""),0.5743055555555555)</f>
        <v>0.5743055556</v>
      </c>
      <c r="K39" s="60">
        <f t="shared" si="1"/>
        <v>0.007638888889</v>
      </c>
      <c r="L39" s="51" t="s">
        <v>585</v>
      </c>
      <c r="M39" s="51"/>
      <c r="N39" s="51"/>
      <c r="O39" s="50"/>
      <c r="P39" s="50"/>
      <c r="Q39" s="63"/>
      <c r="R39" s="51"/>
      <c r="S39" s="51"/>
      <c r="T39" s="51"/>
    </row>
    <row r="40">
      <c r="A40" s="51" t="str">
        <f>IFERROR(__xludf.DUMMYFUNCTION("""COMPUTED_VALUE"""),"How product intelligence is redefining the global tech industry")</f>
        <v>How product intelligence is redefining the global tech industry</v>
      </c>
      <c r="B40" s="51" t="str">
        <f>IFERROR(__xludf.DUMMYFUNCTION("""COMPUTED_VALUE"""),"Growth Summit")</f>
        <v>Growth Summit</v>
      </c>
      <c r="C40" s="51" t="str">
        <f>IFERROR(__xludf.DUMMYFUNCTION("""COMPUTED_VALUE"""),"Spenser Skates")</f>
        <v>Spenser Skates</v>
      </c>
      <c r="D40" s="51" t="str">
        <f>IFERROR(__xludf.DUMMYFUNCTION("""COMPUTED_VALUE"""),"2019/11/05 13:47:00")</f>
        <v>2019/11/05 13:47:00</v>
      </c>
      <c r="E40" s="51" t="str">
        <f>IFERROR(__xludf.DUMMYFUNCTION("""COMPUTED_VALUE"""),"2019/11/05 13:58:00")</f>
        <v>2019/11/05 13:58:00</v>
      </c>
      <c r="F40" s="51" t="str">
        <f>IFERROR(__xludf.DUMMYFUNCTION("""COMPUTED_VALUE"""),"6c19e91e-3303-419c-a432-c67f0274e32b")</f>
        <v>6c19e91e-3303-419c-a432-c67f0274e32b</v>
      </c>
      <c r="G40" s="58">
        <f>IFERROR(__xludf.DUMMYFUNCTION("""COMPUTED_VALUE"""),43774.0)</f>
        <v>43774</v>
      </c>
      <c r="H40" s="60">
        <f>IFERROR(__xludf.DUMMYFUNCTION("""COMPUTED_VALUE"""),0.5743055555555555)</f>
        <v>0.5743055556</v>
      </c>
      <c r="I40" s="58">
        <f>IFERROR(__xludf.DUMMYFUNCTION("""COMPUTED_VALUE"""),43774.0)</f>
        <v>43774</v>
      </c>
      <c r="J40" s="60">
        <f>IFERROR(__xludf.DUMMYFUNCTION("""COMPUTED_VALUE"""),0.5819444444444445)</f>
        <v>0.5819444444</v>
      </c>
      <c r="K40" s="60">
        <f t="shared" si="1"/>
        <v>0.007638888889</v>
      </c>
      <c r="L40" s="51" t="s">
        <v>585</v>
      </c>
      <c r="M40" s="51"/>
      <c r="N40" s="51"/>
      <c r="O40" s="50"/>
      <c r="P40" s="50"/>
      <c r="Q40" s="63"/>
      <c r="R40" s="51"/>
      <c r="S40" s="51"/>
      <c r="T40" s="51"/>
    </row>
    <row r="41">
      <c r="A41" s="51" t="str">
        <f>IFERROR(__xludf.DUMMYFUNCTION("""COMPUTED_VALUE"""),"Pushing the envelope: Aiming for the impossible and going beyond")</f>
        <v>Pushing the envelope: Aiming for the impossible and going beyond</v>
      </c>
      <c r="B41" s="51" t="str">
        <f>IFERROR(__xludf.DUMMYFUNCTION("""COMPUTED_VALUE"""),"Growth Summit")</f>
        <v>Growth Summit</v>
      </c>
      <c r="C41" s="51" t="str">
        <f>IFERROR(__xludf.DUMMYFUNCTION("""COMPUTED_VALUE"""),"Vasco Pedro")</f>
        <v>Vasco Pedro</v>
      </c>
      <c r="D41" s="51" t="str">
        <f>IFERROR(__xludf.DUMMYFUNCTION("""COMPUTED_VALUE"""),"2019/11/05 13:58:00")</f>
        <v>2019/11/05 13:58:00</v>
      </c>
      <c r="E41" s="51" t="str">
        <f>IFERROR(__xludf.DUMMYFUNCTION("""COMPUTED_VALUE"""),"2019/11/05 14:09:00")</f>
        <v>2019/11/05 14:09:00</v>
      </c>
      <c r="F41" s="51" t="str">
        <f>IFERROR(__xludf.DUMMYFUNCTION("""COMPUTED_VALUE"""),"062b5913-edcb-4272-a370-8039d92e1fc5")</f>
        <v>062b5913-edcb-4272-a370-8039d92e1fc5</v>
      </c>
      <c r="G41" s="58">
        <f>IFERROR(__xludf.DUMMYFUNCTION("""COMPUTED_VALUE"""),43774.0)</f>
        <v>43774</v>
      </c>
      <c r="H41" s="60">
        <f>IFERROR(__xludf.DUMMYFUNCTION("""COMPUTED_VALUE"""),0.5819444444444445)</f>
        <v>0.5819444444</v>
      </c>
      <c r="I41" s="58">
        <f>IFERROR(__xludf.DUMMYFUNCTION("""COMPUTED_VALUE"""),43774.0)</f>
        <v>43774</v>
      </c>
      <c r="J41" s="60">
        <f>IFERROR(__xludf.DUMMYFUNCTION("""COMPUTED_VALUE"""),0.5895833333333333)</f>
        <v>0.5895833333</v>
      </c>
      <c r="K41" s="60">
        <f t="shared" si="1"/>
        <v>0.007638888889</v>
      </c>
      <c r="L41" s="51" t="s">
        <v>585</v>
      </c>
      <c r="M41" s="51"/>
      <c r="N41" s="51"/>
      <c r="O41" s="50"/>
      <c r="P41" s="50"/>
      <c r="Q41" s="63"/>
      <c r="R41" s="51"/>
      <c r="S41" s="51"/>
      <c r="T41" s="51"/>
    </row>
    <row r="42">
      <c r="A42" s="51" t="str">
        <f>IFERROR(__xludf.DUMMYFUNCTION("""COMPUTED_VALUE"""),"Autonomy and the future of transportation")</f>
        <v>Autonomy and the future of transportation</v>
      </c>
      <c r="B42" s="51" t="str">
        <f>IFERROR(__xludf.DUMMYFUNCTION("""COMPUTED_VALUE"""),"Growth Summit")</f>
        <v>Growth Summit</v>
      </c>
      <c r="C42" s="51" t="str">
        <f>IFERROR(__xludf.DUMMYFUNCTION("""COMPUTED_VALUE"""),"Ransom Wuller")</f>
        <v>Ransom Wuller</v>
      </c>
      <c r="D42" s="51" t="str">
        <f>IFERROR(__xludf.DUMMYFUNCTION("""COMPUTED_VALUE"""),"2019/11/05 14:09:00")</f>
        <v>2019/11/05 14:09:00</v>
      </c>
      <c r="E42" s="51" t="str">
        <f>IFERROR(__xludf.DUMMYFUNCTION("""COMPUTED_VALUE"""),"2019/11/05 14:20:00")</f>
        <v>2019/11/05 14:20:00</v>
      </c>
      <c r="F42" s="51" t="str">
        <f>IFERROR(__xludf.DUMMYFUNCTION("""COMPUTED_VALUE"""),"1a38029c-c419-4fd5-a55f-b8af322dcbf9")</f>
        <v>1a38029c-c419-4fd5-a55f-b8af322dcbf9</v>
      </c>
      <c r="G42" s="58">
        <f>IFERROR(__xludf.DUMMYFUNCTION("""COMPUTED_VALUE"""),43774.0)</f>
        <v>43774</v>
      </c>
      <c r="H42" s="60">
        <f>IFERROR(__xludf.DUMMYFUNCTION("""COMPUTED_VALUE"""),0.5895833333333333)</f>
        <v>0.5895833333</v>
      </c>
      <c r="I42" s="58">
        <f>IFERROR(__xludf.DUMMYFUNCTION("""COMPUTED_VALUE"""),43774.0)</f>
        <v>43774</v>
      </c>
      <c r="J42" s="60">
        <f>IFERROR(__xludf.DUMMYFUNCTION("""COMPUTED_VALUE"""),0.5972222222222222)</f>
        <v>0.5972222222</v>
      </c>
      <c r="K42" s="60">
        <f t="shared" si="1"/>
        <v>0.007638888889</v>
      </c>
      <c r="L42" s="51" t="s">
        <v>585</v>
      </c>
      <c r="M42" s="51"/>
      <c r="N42" s="51"/>
      <c r="O42" s="50"/>
      <c r="P42" s="50"/>
      <c r="Q42" s="63"/>
      <c r="R42" s="51"/>
      <c r="S42" s="51"/>
      <c r="T42" s="51"/>
    </row>
    <row r="43">
      <c r="A43" s="51" t="str">
        <f>IFERROR(__xludf.DUMMYFUNCTION("""COMPUTED_VALUE"""),"David partnering Goliath: How startups should think at partnerships")</f>
        <v>David partnering Goliath: How startups should think at partnerships</v>
      </c>
      <c r="B43" s="51" t="str">
        <f>IFERROR(__xludf.DUMMYFUNCTION("""COMPUTED_VALUE"""),"Growth Summit")</f>
        <v>Growth Summit</v>
      </c>
      <c r="C43" s="51" t="str">
        <f>IFERROR(__xludf.DUMMYFUNCTION("""COMPUTED_VALUE"""),"Francesco Simoneschi")</f>
        <v>Francesco Simoneschi</v>
      </c>
      <c r="D43" s="51" t="str">
        <f>IFERROR(__xludf.DUMMYFUNCTION("""COMPUTED_VALUE"""),"2019/11/05 14:20:00")</f>
        <v>2019/11/05 14:20:00</v>
      </c>
      <c r="E43" s="51" t="str">
        <f>IFERROR(__xludf.DUMMYFUNCTION("""COMPUTED_VALUE"""),"2019/11/05 14:31:00")</f>
        <v>2019/11/05 14:31:00</v>
      </c>
      <c r="F43" s="51" t="str">
        <f>IFERROR(__xludf.DUMMYFUNCTION("""COMPUTED_VALUE"""),"60825590-e9f9-48d4-8c82-b3364f8133cc")</f>
        <v>60825590-e9f9-48d4-8c82-b3364f8133cc</v>
      </c>
      <c r="G43" s="58">
        <f>IFERROR(__xludf.DUMMYFUNCTION("""COMPUTED_VALUE"""),43774.0)</f>
        <v>43774</v>
      </c>
      <c r="H43" s="60">
        <f>IFERROR(__xludf.DUMMYFUNCTION("""COMPUTED_VALUE"""),0.5972222222222222)</f>
        <v>0.5972222222</v>
      </c>
      <c r="I43" s="58">
        <f>IFERROR(__xludf.DUMMYFUNCTION("""COMPUTED_VALUE"""),43774.0)</f>
        <v>43774</v>
      </c>
      <c r="J43" s="60">
        <f>IFERROR(__xludf.DUMMYFUNCTION("""COMPUTED_VALUE"""),0.6048611111111111)</f>
        <v>0.6048611111</v>
      </c>
      <c r="K43" s="60">
        <f t="shared" si="1"/>
        <v>0.007638888889</v>
      </c>
      <c r="L43" s="51" t="s">
        <v>585</v>
      </c>
      <c r="M43" s="51"/>
      <c r="N43" s="51"/>
      <c r="O43" s="50"/>
      <c r="P43" s="50"/>
      <c r="Q43" s="63"/>
      <c r="R43" s="51"/>
      <c r="S43" s="51"/>
      <c r="T43" s="51"/>
    </row>
    <row r="44">
      <c r="A44" s="51" t="str">
        <f>IFERROR(__xludf.DUMMYFUNCTION("""COMPUTED_VALUE"""),"From cleaning toilets to a $60m raise: The story of Guesty")</f>
        <v>From cleaning toilets to a $60m raise: The story of Guesty</v>
      </c>
      <c r="B44" s="51" t="str">
        <f>IFERROR(__xludf.DUMMYFUNCTION("""COMPUTED_VALUE"""),"Growth Summit")</f>
        <v>Growth Summit</v>
      </c>
      <c r="C44" s="51" t="str">
        <f>IFERROR(__xludf.DUMMYFUNCTION("""COMPUTED_VALUE"""),"Amiad Soto")</f>
        <v>Amiad Soto</v>
      </c>
      <c r="D44" s="51" t="str">
        <f>IFERROR(__xludf.DUMMYFUNCTION("""COMPUTED_VALUE"""),"2019/11/05 14:31:00")</f>
        <v>2019/11/05 14:31:00</v>
      </c>
      <c r="E44" s="51" t="str">
        <f>IFERROR(__xludf.DUMMYFUNCTION("""COMPUTED_VALUE"""),"2019/11/05 14:42:00")</f>
        <v>2019/11/05 14:42:00</v>
      </c>
      <c r="F44" s="51" t="str">
        <f>IFERROR(__xludf.DUMMYFUNCTION("""COMPUTED_VALUE"""),"8678c89e-3623-4e24-a55b-bf600aab28bb")</f>
        <v>8678c89e-3623-4e24-a55b-bf600aab28bb</v>
      </c>
      <c r="G44" s="58">
        <f>IFERROR(__xludf.DUMMYFUNCTION("""COMPUTED_VALUE"""),43774.0)</f>
        <v>43774</v>
      </c>
      <c r="H44" s="60">
        <f>IFERROR(__xludf.DUMMYFUNCTION("""COMPUTED_VALUE"""),0.6048611111111111)</f>
        <v>0.6048611111</v>
      </c>
      <c r="I44" s="58">
        <f>IFERROR(__xludf.DUMMYFUNCTION("""COMPUTED_VALUE"""),43774.0)</f>
        <v>43774</v>
      </c>
      <c r="J44" s="60">
        <f>IFERROR(__xludf.DUMMYFUNCTION("""COMPUTED_VALUE"""),0.6125)</f>
        <v>0.6125</v>
      </c>
      <c r="K44" s="60">
        <f t="shared" si="1"/>
        <v>0.007638888889</v>
      </c>
      <c r="L44" s="51" t="s">
        <v>585</v>
      </c>
      <c r="M44" s="51"/>
      <c r="N44" s="51"/>
      <c r="O44" s="50"/>
      <c r="P44" s="50"/>
      <c r="Q44" s="63"/>
      <c r="R44" s="51"/>
      <c r="S44" s="51"/>
      <c r="T44" s="51"/>
    </row>
    <row r="45">
      <c r="A45" s="51" t="str">
        <f>IFERROR(__xludf.DUMMYFUNCTION("""COMPUTED_VALUE"""),"How to move your business from startup to growth in five steps")</f>
        <v>How to move your business from startup to growth in five steps</v>
      </c>
      <c r="B45" s="51" t="str">
        <f>IFERROR(__xludf.DUMMYFUNCTION("""COMPUTED_VALUE"""),"Growth Summit")</f>
        <v>Growth Summit</v>
      </c>
      <c r="C45" s="51" t="str">
        <f>IFERROR(__xludf.DUMMYFUNCTION("""COMPUTED_VALUE"""),"David Yovanno")</f>
        <v>David Yovanno</v>
      </c>
      <c r="D45" s="51" t="str">
        <f>IFERROR(__xludf.DUMMYFUNCTION("""COMPUTED_VALUE"""),"2019/11/05 14:42:00")</f>
        <v>2019/11/05 14:42:00</v>
      </c>
      <c r="E45" s="51" t="str">
        <f>IFERROR(__xludf.DUMMYFUNCTION("""COMPUTED_VALUE"""),"2019/11/05 14:53:00")</f>
        <v>2019/11/05 14:53:00</v>
      </c>
      <c r="F45" s="51" t="str">
        <f>IFERROR(__xludf.DUMMYFUNCTION("""COMPUTED_VALUE"""),"e20b4bb4-2b9f-4029-8a10-60e3fe233692")</f>
        <v>e20b4bb4-2b9f-4029-8a10-60e3fe233692</v>
      </c>
      <c r="G45" s="58">
        <f>IFERROR(__xludf.DUMMYFUNCTION("""COMPUTED_VALUE"""),43774.0)</f>
        <v>43774</v>
      </c>
      <c r="H45" s="60">
        <f>IFERROR(__xludf.DUMMYFUNCTION("""COMPUTED_VALUE"""),0.6125)</f>
        <v>0.6125</v>
      </c>
      <c r="I45" s="58">
        <f>IFERROR(__xludf.DUMMYFUNCTION("""COMPUTED_VALUE"""),43774.0)</f>
        <v>43774</v>
      </c>
      <c r="J45" s="60">
        <f>IFERROR(__xludf.DUMMYFUNCTION("""COMPUTED_VALUE"""),0.6201388888888889)</f>
        <v>0.6201388889</v>
      </c>
      <c r="K45" s="60">
        <f t="shared" si="1"/>
        <v>0.007638888889</v>
      </c>
      <c r="L45" s="51" t="s">
        <v>585</v>
      </c>
      <c r="M45" s="51"/>
      <c r="N45" s="51"/>
      <c r="O45" s="50"/>
      <c r="P45" s="50"/>
      <c r="Q45" s="63"/>
      <c r="R45" s="51"/>
      <c r="S45" s="51"/>
      <c r="T45" s="51"/>
    </row>
    <row r="46">
      <c r="A46" s="51" t="str">
        <f>IFERROR(__xludf.DUMMYFUNCTION("""COMPUTED_VALUE"""),"Building a European champion in five years")</f>
        <v>Building a European champion in five years</v>
      </c>
      <c r="B46" s="51" t="str">
        <f>IFERROR(__xludf.DUMMYFUNCTION("""COMPUTED_VALUE"""),"Growth Summit")</f>
        <v>Growth Summit</v>
      </c>
      <c r="C46" s="51" t="str">
        <f>IFERROR(__xludf.DUMMYFUNCTION("""COMPUTED_VALUE"""),"Firmin Zocchetto")</f>
        <v>Firmin Zocchetto</v>
      </c>
      <c r="D46" s="51" t="str">
        <f>IFERROR(__xludf.DUMMYFUNCTION("""COMPUTED_VALUE"""),"2019/11/05 14:53:00")</f>
        <v>2019/11/05 14:53:00</v>
      </c>
      <c r="E46" s="51" t="str">
        <f>IFERROR(__xludf.DUMMYFUNCTION("""COMPUTED_VALUE"""),"2019/11/05 15:04:00")</f>
        <v>2019/11/05 15:04:00</v>
      </c>
      <c r="F46" s="51" t="str">
        <f>IFERROR(__xludf.DUMMYFUNCTION("""COMPUTED_VALUE"""),"99f588af-9185-44f9-90d2-7b770aefa8b5")</f>
        <v>99f588af-9185-44f9-90d2-7b770aefa8b5</v>
      </c>
      <c r="G46" s="58">
        <f>IFERROR(__xludf.DUMMYFUNCTION("""COMPUTED_VALUE"""),43774.0)</f>
        <v>43774</v>
      </c>
      <c r="H46" s="60">
        <f>IFERROR(__xludf.DUMMYFUNCTION("""COMPUTED_VALUE"""),0.6201388888888889)</f>
        <v>0.6201388889</v>
      </c>
      <c r="I46" s="58">
        <f>IFERROR(__xludf.DUMMYFUNCTION("""COMPUTED_VALUE"""),43774.0)</f>
        <v>43774</v>
      </c>
      <c r="J46" s="60">
        <f>IFERROR(__xludf.DUMMYFUNCTION("""COMPUTED_VALUE"""),0.6277777777777778)</f>
        <v>0.6277777778</v>
      </c>
      <c r="K46" s="60">
        <f t="shared" si="1"/>
        <v>0.007638888889</v>
      </c>
      <c r="L46" s="51" t="s">
        <v>585</v>
      </c>
      <c r="M46" s="51"/>
      <c r="N46" s="51"/>
      <c r="O46" s="50"/>
      <c r="P46" s="50"/>
      <c r="Q46" s="63"/>
      <c r="R46" s="51"/>
      <c r="S46" s="51"/>
      <c r="T46" s="51"/>
    </row>
    <row r="47">
      <c r="A47" s="51" t="str">
        <f>IFERROR(__xludf.DUMMYFUNCTION("""COMPUTED_VALUE"""),"Engineering a successful pivot")</f>
        <v>Engineering a successful pivot</v>
      </c>
      <c r="B47" s="51" t="str">
        <f>IFERROR(__xludf.DUMMYFUNCTION("""COMPUTED_VALUE"""),"Growth Summit")</f>
        <v>Growth Summit</v>
      </c>
      <c r="C47" s="51" t="str">
        <f>IFERROR(__xludf.DUMMYFUNCTION("""COMPUTED_VALUE"""),"Alex Barrotti")</f>
        <v>Alex Barrotti</v>
      </c>
      <c r="D47" s="51" t="str">
        <f>IFERROR(__xludf.DUMMYFUNCTION("""COMPUTED_VALUE"""),"2019/11/05 15:04:00")</f>
        <v>2019/11/05 15:04:00</v>
      </c>
      <c r="E47" s="51" t="str">
        <f>IFERROR(__xludf.DUMMYFUNCTION("""COMPUTED_VALUE"""),"2019/11/05 15:15:00")</f>
        <v>2019/11/05 15:15:00</v>
      </c>
      <c r="F47" s="51" t="str">
        <f>IFERROR(__xludf.DUMMYFUNCTION("""COMPUTED_VALUE"""),"5157fa8e-dc38-4fb3-bc2d-618db51819e4")</f>
        <v>5157fa8e-dc38-4fb3-bc2d-618db51819e4</v>
      </c>
      <c r="G47" s="58">
        <f>IFERROR(__xludf.DUMMYFUNCTION("""COMPUTED_VALUE"""),43774.0)</f>
        <v>43774</v>
      </c>
      <c r="H47" s="60">
        <f>IFERROR(__xludf.DUMMYFUNCTION("""COMPUTED_VALUE"""),0.6277777777777778)</f>
        <v>0.6277777778</v>
      </c>
      <c r="I47" s="58">
        <f>IFERROR(__xludf.DUMMYFUNCTION("""COMPUTED_VALUE"""),43774.0)</f>
        <v>43774</v>
      </c>
      <c r="J47" s="60">
        <f>IFERROR(__xludf.DUMMYFUNCTION("""COMPUTED_VALUE"""),0.6354166666666666)</f>
        <v>0.6354166667</v>
      </c>
      <c r="K47" s="60">
        <f t="shared" si="1"/>
        <v>0.007638888889</v>
      </c>
      <c r="L47" s="51" t="s">
        <v>585</v>
      </c>
      <c r="M47" s="51"/>
      <c r="N47" s="51"/>
      <c r="O47" s="50"/>
      <c r="P47" s="50"/>
      <c r="Q47" s="63"/>
      <c r="R47" s="51"/>
      <c r="S47" s="51"/>
      <c r="T47" s="51"/>
    </row>
    <row r="48">
      <c r="A48" s="51" t="str">
        <f>IFERROR(__xludf.DUMMYFUNCTION("""COMPUTED_VALUE"""),"Bidroom: Master disruption and growth with a subscription business model")</f>
        <v>Bidroom: Master disruption and growth with a subscription business model</v>
      </c>
      <c r="B48" s="51" t="str">
        <f>IFERROR(__xludf.DUMMYFUNCTION("""COMPUTED_VALUE"""),"Growth Summit")</f>
        <v>Growth Summit</v>
      </c>
      <c r="C48" s="51" t="str">
        <f>IFERROR(__xludf.DUMMYFUNCTION("""COMPUTED_VALUE"""),"Michael Ros")</f>
        <v>Michael Ros</v>
      </c>
      <c r="D48" s="51" t="str">
        <f>IFERROR(__xludf.DUMMYFUNCTION("""COMPUTED_VALUE"""),"2019/11/05 15:15:00")</f>
        <v>2019/11/05 15:15:00</v>
      </c>
      <c r="E48" s="51" t="str">
        <f>IFERROR(__xludf.DUMMYFUNCTION("""COMPUTED_VALUE"""),"2019/11/05 15:26:00")</f>
        <v>2019/11/05 15:26:00</v>
      </c>
      <c r="F48" s="51" t="str">
        <f>IFERROR(__xludf.DUMMYFUNCTION("""COMPUTED_VALUE"""),"161c0732-4898-4b62-b38c-0132395b35c6")</f>
        <v>161c0732-4898-4b62-b38c-0132395b35c6</v>
      </c>
      <c r="G48" s="58">
        <f>IFERROR(__xludf.DUMMYFUNCTION("""COMPUTED_VALUE"""),43774.0)</f>
        <v>43774</v>
      </c>
      <c r="H48" s="60">
        <f>IFERROR(__xludf.DUMMYFUNCTION("""COMPUTED_VALUE"""),0.6354166666666666)</f>
        <v>0.6354166667</v>
      </c>
      <c r="I48" s="58">
        <f>IFERROR(__xludf.DUMMYFUNCTION("""COMPUTED_VALUE"""),43774.0)</f>
        <v>43774</v>
      </c>
      <c r="J48" s="60">
        <f>IFERROR(__xludf.DUMMYFUNCTION("""COMPUTED_VALUE"""),0.6430555555555556)</f>
        <v>0.6430555556</v>
      </c>
      <c r="K48" s="60">
        <f t="shared" si="1"/>
        <v>0.007638888889</v>
      </c>
      <c r="L48" s="51" t="s">
        <v>585</v>
      </c>
      <c r="M48" s="51"/>
      <c r="N48" s="51"/>
      <c r="O48" s="50"/>
      <c r="P48" s="50"/>
      <c r="Q48" s="63"/>
      <c r="R48" s="51"/>
      <c r="S48" s="51"/>
      <c r="T48" s="51"/>
    </row>
    <row r="49">
      <c r="A49" s="51" t="str">
        <f>IFERROR(__xludf.DUMMYFUNCTION("""COMPUTED_VALUE"""),"Using the Silicon Valley playbook to take on big tech")</f>
        <v>Using the Silicon Valley playbook to take on big tech</v>
      </c>
      <c r="B49" s="51" t="str">
        <f>IFERROR(__xludf.DUMMYFUNCTION("""COMPUTED_VALUE"""),"Growth Summit")</f>
        <v>Growth Summit</v>
      </c>
      <c r="C49" s="51" t="str">
        <f>IFERROR(__xludf.DUMMYFUNCTION("""COMPUTED_VALUE"""),"Dominic Williams")</f>
        <v>Dominic Williams</v>
      </c>
      <c r="D49" s="51" t="str">
        <f>IFERROR(__xludf.DUMMYFUNCTION("""COMPUTED_VALUE"""),"2019/11/05 15:26:00")</f>
        <v>2019/11/05 15:26:00</v>
      </c>
      <c r="E49" s="51" t="str">
        <f>IFERROR(__xludf.DUMMYFUNCTION("""COMPUTED_VALUE"""),"2019/11/05 15:37:00")</f>
        <v>2019/11/05 15:37:00</v>
      </c>
      <c r="F49" s="51" t="str">
        <f>IFERROR(__xludf.DUMMYFUNCTION("""COMPUTED_VALUE"""),"579fc4f0-9bc4-443c-9fe1-d3b348b2076b")</f>
        <v>579fc4f0-9bc4-443c-9fe1-d3b348b2076b</v>
      </c>
      <c r="G49" s="58">
        <f>IFERROR(__xludf.DUMMYFUNCTION("""COMPUTED_VALUE"""),43774.0)</f>
        <v>43774</v>
      </c>
      <c r="H49" s="60">
        <f>IFERROR(__xludf.DUMMYFUNCTION("""COMPUTED_VALUE"""),0.6430555555555556)</f>
        <v>0.6430555556</v>
      </c>
      <c r="I49" s="58">
        <f>IFERROR(__xludf.DUMMYFUNCTION("""COMPUTED_VALUE"""),43774.0)</f>
        <v>43774</v>
      </c>
      <c r="J49" s="60">
        <f>IFERROR(__xludf.DUMMYFUNCTION("""COMPUTED_VALUE"""),0.6506944444444445)</f>
        <v>0.6506944444</v>
      </c>
      <c r="K49" s="60">
        <f t="shared" si="1"/>
        <v>0.007638888889</v>
      </c>
      <c r="L49" s="51" t="s">
        <v>585</v>
      </c>
      <c r="M49" s="51"/>
      <c r="N49" s="51"/>
      <c r="O49" s="50"/>
      <c r="P49" s="50"/>
      <c r="Q49" s="63"/>
      <c r="R49" s="51"/>
      <c r="S49" s="51"/>
      <c r="T49" s="51"/>
    </row>
    <row r="50">
      <c r="A50" s="51" t="str">
        <f>IFERROR(__xludf.DUMMYFUNCTION("""COMPUTED_VALUE"""),"A job in 24 hours: The reinvention of blue collar hiring")</f>
        <v>A job in 24 hours: The reinvention of blue collar hiring</v>
      </c>
      <c r="B50" s="51" t="str">
        <f>IFERROR(__xludf.DUMMYFUNCTION("""COMPUTED_VALUE"""),"Growth Summit")</f>
        <v>Growth Summit</v>
      </c>
      <c r="C50" s="51" t="str">
        <f>IFERROR(__xludf.DUMMYFUNCTION("""COMPUTED_VALUE"""),"Polina Montano")</f>
        <v>Polina Montano</v>
      </c>
      <c r="D50" s="51" t="str">
        <f>IFERROR(__xludf.DUMMYFUNCTION("""COMPUTED_VALUE"""),"2019/11/05 15:37:00")</f>
        <v>2019/11/05 15:37:00</v>
      </c>
      <c r="E50" s="51" t="str">
        <f>IFERROR(__xludf.DUMMYFUNCTION("""COMPUTED_VALUE"""),"2019/11/05 15:48:00")</f>
        <v>2019/11/05 15:48:00</v>
      </c>
      <c r="F50" s="51" t="str">
        <f>IFERROR(__xludf.DUMMYFUNCTION("""COMPUTED_VALUE"""),"366dfa7a-9cc6-48ac-8004-d054096b2b51")</f>
        <v>366dfa7a-9cc6-48ac-8004-d054096b2b51</v>
      </c>
      <c r="G50" s="58">
        <f>IFERROR(__xludf.DUMMYFUNCTION("""COMPUTED_VALUE"""),43774.0)</f>
        <v>43774</v>
      </c>
      <c r="H50" s="60">
        <f>IFERROR(__xludf.DUMMYFUNCTION("""COMPUTED_VALUE"""),0.6506944444444445)</f>
        <v>0.6506944444</v>
      </c>
      <c r="I50" s="58">
        <f>IFERROR(__xludf.DUMMYFUNCTION("""COMPUTED_VALUE"""),43774.0)</f>
        <v>43774</v>
      </c>
      <c r="J50" s="60">
        <f>IFERROR(__xludf.DUMMYFUNCTION("""COMPUTED_VALUE"""),0.6583333333333333)</f>
        <v>0.6583333333</v>
      </c>
      <c r="K50" s="60">
        <f t="shared" si="1"/>
        <v>0.007638888889</v>
      </c>
      <c r="L50" s="51" t="s">
        <v>585</v>
      </c>
      <c r="M50" s="51"/>
      <c r="N50" s="51"/>
      <c r="O50" s="50"/>
      <c r="P50" s="50"/>
      <c r="Q50" s="63"/>
      <c r="R50" s="51"/>
      <c r="S50" s="51"/>
      <c r="T50" s="51"/>
    </row>
    <row r="51">
      <c r="A51" s="51" t="str">
        <f>IFERROR(__xludf.DUMMYFUNCTION("""COMPUTED_VALUE"""),"Solving the problem of next-gen cars starts with thinking of scale")</f>
        <v>Solving the problem of next-gen cars starts with thinking of scale</v>
      </c>
      <c r="B51" s="51" t="str">
        <f>IFERROR(__xludf.DUMMYFUNCTION("""COMPUTED_VALUE"""),"Growth Summit")</f>
        <v>Growth Summit</v>
      </c>
      <c r="C51" s="51" t="str">
        <f>IFERROR(__xludf.DUMMYFUNCTION("""COMPUTED_VALUE"""),"Kobi Marenko")</f>
        <v>Kobi Marenko</v>
      </c>
      <c r="D51" s="51" t="str">
        <f>IFERROR(__xludf.DUMMYFUNCTION("""COMPUTED_VALUE"""),"2019/11/05 15:48:00")</f>
        <v>2019/11/05 15:48:00</v>
      </c>
      <c r="E51" s="51" t="str">
        <f>IFERROR(__xludf.DUMMYFUNCTION("""COMPUTED_VALUE"""),"2019/11/05 15:59:00")</f>
        <v>2019/11/05 15:59:00</v>
      </c>
      <c r="F51" s="51" t="str">
        <f>IFERROR(__xludf.DUMMYFUNCTION("""COMPUTED_VALUE"""),"6f326db8-17ff-481c-b285-24416a034240")</f>
        <v>6f326db8-17ff-481c-b285-24416a034240</v>
      </c>
      <c r="G51" s="58">
        <f>IFERROR(__xludf.DUMMYFUNCTION("""COMPUTED_VALUE"""),43774.0)</f>
        <v>43774</v>
      </c>
      <c r="H51" s="60">
        <f>IFERROR(__xludf.DUMMYFUNCTION("""COMPUTED_VALUE"""),0.6583333333333333)</f>
        <v>0.6583333333</v>
      </c>
      <c r="I51" s="58">
        <f>IFERROR(__xludf.DUMMYFUNCTION("""COMPUTED_VALUE"""),43774.0)</f>
        <v>43774</v>
      </c>
      <c r="J51" s="60">
        <f>IFERROR(__xludf.DUMMYFUNCTION("""COMPUTED_VALUE"""),0.6659722222222222)</f>
        <v>0.6659722222</v>
      </c>
      <c r="K51" s="60">
        <f t="shared" si="1"/>
        <v>0.007638888889</v>
      </c>
      <c r="L51" s="51" t="s">
        <v>585</v>
      </c>
      <c r="M51" s="51"/>
      <c r="N51" s="51"/>
      <c r="O51" s="50"/>
      <c r="P51" s="50"/>
      <c r="Q51" s="63"/>
      <c r="R51" s="51"/>
      <c r="S51" s="51"/>
      <c r="T51" s="51"/>
    </row>
    <row r="52">
      <c r="A52" s="51" t="str">
        <f>IFERROR(__xludf.DUMMYFUNCTION("""COMPUTED_VALUE"""),"The DNA of a great invention is a great unmet need")</f>
        <v>The DNA of a great invention is a great unmet need</v>
      </c>
      <c r="B52" s="51" t="str">
        <f>IFERROR(__xludf.DUMMYFUNCTION("""COMPUTED_VALUE"""),"Growth Summit")</f>
        <v>Growth Summit</v>
      </c>
      <c r="C52" s="51" t="str">
        <f>IFERROR(__xludf.DUMMYFUNCTION("""COMPUTED_VALUE"""),"Kate Rosenbluth")</f>
        <v>Kate Rosenbluth</v>
      </c>
      <c r="D52" s="51" t="str">
        <f>IFERROR(__xludf.DUMMYFUNCTION("""COMPUTED_VALUE"""),"2019/11/05 15:59:00")</f>
        <v>2019/11/05 15:59:00</v>
      </c>
      <c r="E52" s="51" t="str">
        <f>IFERROR(__xludf.DUMMYFUNCTION("""COMPUTED_VALUE"""),"2019/11/05 16:10:00")</f>
        <v>2019/11/05 16:10:00</v>
      </c>
      <c r="F52" s="51" t="str">
        <f>IFERROR(__xludf.DUMMYFUNCTION("""COMPUTED_VALUE"""),"8f1fb494-18df-473f-8594-3f5388e5f785")</f>
        <v>8f1fb494-18df-473f-8594-3f5388e5f785</v>
      </c>
      <c r="G52" s="58">
        <f>IFERROR(__xludf.DUMMYFUNCTION("""COMPUTED_VALUE"""),43774.0)</f>
        <v>43774</v>
      </c>
      <c r="H52" s="60">
        <f>IFERROR(__xludf.DUMMYFUNCTION("""COMPUTED_VALUE"""),0.6659722222222222)</f>
        <v>0.6659722222</v>
      </c>
      <c r="I52" s="58">
        <f>IFERROR(__xludf.DUMMYFUNCTION("""COMPUTED_VALUE"""),43774.0)</f>
        <v>43774</v>
      </c>
      <c r="J52" s="60">
        <f>IFERROR(__xludf.DUMMYFUNCTION("""COMPUTED_VALUE"""),0.6736111111111112)</f>
        <v>0.6736111111</v>
      </c>
      <c r="K52" s="60">
        <f t="shared" si="1"/>
        <v>0.007638888889</v>
      </c>
      <c r="L52" s="51" t="s">
        <v>585</v>
      </c>
      <c r="M52" s="51"/>
      <c r="N52" s="51"/>
      <c r="O52" s="50"/>
      <c r="P52" s="50"/>
      <c r="Q52" s="63"/>
      <c r="R52" s="51"/>
      <c r="S52" s="51"/>
      <c r="T52" s="51"/>
    </row>
    <row r="53">
      <c r="A53" s="51" t="str">
        <f>IFERROR(__xludf.DUMMYFUNCTION("""COMPUTED_VALUE"""),"From newcomers to leaders: How Red Points is disrupting the fight against fakes")</f>
        <v>From newcomers to leaders: How Red Points is disrupting the fight against fakes</v>
      </c>
      <c r="B53" s="51" t="str">
        <f>IFERROR(__xludf.DUMMYFUNCTION("""COMPUTED_VALUE"""),"Growth Summit")</f>
        <v>Growth Summit</v>
      </c>
      <c r="C53" s="51" t="str">
        <f>IFERROR(__xludf.DUMMYFUNCTION("""COMPUTED_VALUE"""),"Laura Urquizu")</f>
        <v>Laura Urquizu</v>
      </c>
      <c r="D53" s="51" t="str">
        <f>IFERROR(__xludf.DUMMYFUNCTION("""COMPUTED_VALUE"""),"2019/11/05 16:10:00")</f>
        <v>2019/11/05 16:10:00</v>
      </c>
      <c r="E53" s="51" t="str">
        <f>IFERROR(__xludf.DUMMYFUNCTION("""COMPUTED_VALUE"""),"2019/11/05 16:21:00")</f>
        <v>2019/11/05 16:21:00</v>
      </c>
      <c r="F53" s="51" t="str">
        <f>IFERROR(__xludf.DUMMYFUNCTION("""COMPUTED_VALUE"""),"b107bcfd-78d1-469e-b998-6d5efffc0b14")</f>
        <v>b107bcfd-78d1-469e-b998-6d5efffc0b14</v>
      </c>
      <c r="G53" s="58">
        <f>IFERROR(__xludf.DUMMYFUNCTION("""COMPUTED_VALUE"""),43774.0)</f>
        <v>43774</v>
      </c>
      <c r="H53" s="60">
        <f>IFERROR(__xludf.DUMMYFUNCTION("""COMPUTED_VALUE"""),0.6736111111111112)</f>
        <v>0.6736111111</v>
      </c>
      <c r="I53" s="58">
        <f>IFERROR(__xludf.DUMMYFUNCTION("""COMPUTED_VALUE"""),43774.0)</f>
        <v>43774</v>
      </c>
      <c r="J53" s="60">
        <f>IFERROR(__xludf.DUMMYFUNCTION("""COMPUTED_VALUE"""),0.68125)</f>
        <v>0.68125</v>
      </c>
      <c r="K53" s="60">
        <f t="shared" si="1"/>
        <v>0.007638888889</v>
      </c>
      <c r="L53" s="51" t="s">
        <v>585</v>
      </c>
      <c r="M53" s="51"/>
      <c r="N53" s="51"/>
      <c r="O53" s="50"/>
      <c r="P53" s="50"/>
      <c r="Q53" s="63"/>
      <c r="R53" s="51"/>
      <c r="S53" s="51"/>
      <c r="T53" s="51"/>
    </row>
    <row r="54">
      <c r="A54" s="51" t="str">
        <f>IFERROR(__xludf.DUMMYFUNCTION("""COMPUTED_VALUE"""),"Opening remarks")</f>
        <v>Opening remarks</v>
      </c>
      <c r="B54" s="51" t="str">
        <f>IFERROR(__xludf.DUMMYFUNCTION("""COMPUTED_VALUE"""),"Growth Summit")</f>
        <v>Growth Summit</v>
      </c>
      <c r="C54" s="51" t="str">
        <f>IFERROR(__xludf.DUMMYFUNCTION("""COMPUTED_VALUE"""),"Brendan Yell")</f>
        <v>Brendan Yell</v>
      </c>
      <c r="D54" s="51" t="str">
        <f>IFERROR(__xludf.DUMMYFUNCTION("""COMPUTED_VALUE"""),"2019/11/06 10:00:00")</f>
        <v>2019/11/06 10:00:00</v>
      </c>
      <c r="E54" s="51" t="str">
        <f>IFERROR(__xludf.DUMMYFUNCTION("""COMPUTED_VALUE"""),"2019/11/06 10:02:00")</f>
        <v>2019/11/06 10:02:00</v>
      </c>
      <c r="F54" s="51" t="str">
        <f>IFERROR(__xludf.DUMMYFUNCTION("""COMPUTED_VALUE"""),"4930ed09-80e7-4ba5-8d3d-ddf2e9d7f812")</f>
        <v>4930ed09-80e7-4ba5-8d3d-ddf2e9d7f812</v>
      </c>
      <c r="G54" s="58">
        <f>IFERROR(__xludf.DUMMYFUNCTION("""COMPUTED_VALUE"""),43775.0)</f>
        <v>43775</v>
      </c>
      <c r="H54" s="60">
        <f>IFERROR(__xludf.DUMMYFUNCTION("""COMPUTED_VALUE"""),0.4166666666666667)</f>
        <v>0.4166666667</v>
      </c>
      <c r="I54" s="58">
        <f>IFERROR(__xludf.DUMMYFUNCTION("""COMPUTED_VALUE"""),43775.0)</f>
        <v>43775</v>
      </c>
      <c r="J54" s="60">
        <f>IFERROR(__xludf.DUMMYFUNCTION("""COMPUTED_VALUE"""),0.41805555555555557)</f>
        <v>0.4180555556</v>
      </c>
      <c r="K54" s="60">
        <f t="shared" si="1"/>
        <v>0.001388888889</v>
      </c>
      <c r="L54" s="51" t="s">
        <v>584</v>
      </c>
      <c r="M54" s="51"/>
      <c r="N54" s="51"/>
      <c r="O54" s="50"/>
      <c r="P54" s="50"/>
      <c r="Q54" s="63"/>
      <c r="R54" s="51"/>
      <c r="S54" s="51"/>
      <c r="T54" s="51"/>
    </row>
    <row r="55">
      <c r="A55" s="51" t="str">
        <f>IFERROR(__xludf.DUMMYFUNCTION("""COMPUTED_VALUE"""),"How CTO.ai empowers DevOps through automation")</f>
        <v>How CTO.ai empowers DevOps through automation</v>
      </c>
      <c r="B55" s="51" t="str">
        <f>IFERROR(__xludf.DUMMYFUNCTION("""COMPUTED_VALUE"""),"Growth Summit")</f>
        <v>Growth Summit</v>
      </c>
      <c r="C55" s="51" t="str">
        <f>IFERROR(__xludf.DUMMYFUNCTION("""COMPUTED_VALUE"""),"Kyle Campbell")</f>
        <v>Kyle Campbell</v>
      </c>
      <c r="D55" s="51" t="str">
        <f>IFERROR(__xludf.DUMMYFUNCTION("""COMPUTED_VALUE"""),"2019/11/06 10:02:00")</f>
        <v>2019/11/06 10:02:00</v>
      </c>
      <c r="E55" s="51" t="str">
        <f>IFERROR(__xludf.DUMMYFUNCTION("""COMPUTED_VALUE"""),"2019/11/06 10:06:00")</f>
        <v>2019/11/06 10:06:00</v>
      </c>
      <c r="F55" s="51" t="str">
        <f>IFERROR(__xludf.DUMMYFUNCTION("""COMPUTED_VALUE"""),"61aaaa54-6029-4a92-8368-edb8e2da5471")</f>
        <v>61aaaa54-6029-4a92-8368-edb8e2da5471</v>
      </c>
      <c r="G55" s="58">
        <f>IFERROR(__xludf.DUMMYFUNCTION("""COMPUTED_VALUE"""),43775.0)</f>
        <v>43775</v>
      </c>
      <c r="H55" s="60">
        <f>IFERROR(__xludf.DUMMYFUNCTION("""COMPUTED_VALUE"""),0.41805555555555557)</f>
        <v>0.4180555556</v>
      </c>
      <c r="I55" s="58">
        <f>IFERROR(__xludf.DUMMYFUNCTION("""COMPUTED_VALUE"""),43775.0)</f>
        <v>43775</v>
      </c>
      <c r="J55" s="60">
        <f>IFERROR(__xludf.DUMMYFUNCTION("""COMPUTED_VALUE"""),0.42083333333333334)</f>
        <v>0.4208333333</v>
      </c>
      <c r="K55" s="60">
        <f t="shared" si="1"/>
        <v>0.002777777778</v>
      </c>
      <c r="L55" s="51" t="s">
        <v>583</v>
      </c>
      <c r="M55" s="51"/>
      <c r="N55" s="51"/>
      <c r="O55" s="50"/>
      <c r="P55" s="50"/>
      <c r="Q55" s="63"/>
      <c r="R55" s="51"/>
      <c r="S55" s="51"/>
      <c r="T55" s="51"/>
    </row>
    <row r="56">
      <c r="A56" s="51" t="str">
        <f>IFERROR(__xludf.DUMMYFUNCTION("""COMPUTED_VALUE"""),"How to fund a startup with unorthodox strategies")</f>
        <v>How to fund a startup with unorthodox strategies</v>
      </c>
      <c r="B56" s="51" t="str">
        <f>IFERROR(__xludf.DUMMYFUNCTION("""COMPUTED_VALUE"""),"Growth Summit")</f>
        <v>Growth Summit</v>
      </c>
      <c r="C56" s="51" t="str">
        <f>IFERROR(__xludf.DUMMYFUNCTION("""COMPUTED_VALUE"""),"Michael Bibeau")</f>
        <v>Michael Bibeau</v>
      </c>
      <c r="D56" s="51" t="str">
        <f>IFERROR(__xludf.DUMMYFUNCTION("""COMPUTED_VALUE"""),"2019/11/06 10:06:00")</f>
        <v>2019/11/06 10:06:00</v>
      </c>
      <c r="E56" s="51" t="str">
        <f>IFERROR(__xludf.DUMMYFUNCTION("""COMPUTED_VALUE"""),"2019/11/06 10:10:00")</f>
        <v>2019/11/06 10:10:00</v>
      </c>
      <c r="F56" s="51" t="str">
        <f>IFERROR(__xludf.DUMMYFUNCTION("""COMPUTED_VALUE"""),"fe4689dd-6808-4d9b-8460-9e37ff642d77")</f>
        <v>fe4689dd-6808-4d9b-8460-9e37ff642d77</v>
      </c>
      <c r="G56" s="58">
        <f>IFERROR(__xludf.DUMMYFUNCTION("""COMPUTED_VALUE"""),43775.0)</f>
        <v>43775</v>
      </c>
      <c r="H56" s="60">
        <f>IFERROR(__xludf.DUMMYFUNCTION("""COMPUTED_VALUE"""),0.42083333333333334)</f>
        <v>0.4208333333</v>
      </c>
      <c r="I56" s="58">
        <f>IFERROR(__xludf.DUMMYFUNCTION("""COMPUTED_VALUE"""),43775.0)</f>
        <v>43775</v>
      </c>
      <c r="J56" s="60">
        <f>IFERROR(__xludf.DUMMYFUNCTION("""COMPUTED_VALUE"""),0.4236111111111111)</f>
        <v>0.4236111111</v>
      </c>
      <c r="K56" s="60">
        <f t="shared" si="1"/>
        <v>0.002777777778</v>
      </c>
      <c r="L56" s="51" t="s">
        <v>583</v>
      </c>
      <c r="M56" s="51"/>
      <c r="N56" s="51"/>
      <c r="O56" s="50"/>
      <c r="P56" s="50"/>
      <c r="Q56" s="63"/>
      <c r="R56" s="51"/>
      <c r="S56" s="51"/>
      <c r="T56" s="51"/>
    </row>
    <row r="57">
      <c r="A57" s="51" t="str">
        <f>IFERROR(__xludf.DUMMYFUNCTION("""COMPUTED_VALUE"""),"Working with giants: Three ways to close B2B partnerships faster")</f>
        <v>Working with giants: Three ways to close B2B partnerships faster</v>
      </c>
      <c r="B57" s="51" t="str">
        <f>IFERROR(__xludf.DUMMYFUNCTION("""COMPUTED_VALUE"""),"Growth Summit")</f>
        <v>Growth Summit</v>
      </c>
      <c r="C57" s="51" t="str">
        <f>IFERROR(__xludf.DUMMYFUNCTION("""COMPUTED_VALUE"""),"Matty Cusden-Ross")</f>
        <v>Matty Cusden-Ross</v>
      </c>
      <c r="D57" s="51" t="str">
        <f>IFERROR(__xludf.DUMMYFUNCTION("""COMPUTED_VALUE"""),"2019/11/06 10:10:00")</f>
        <v>2019/11/06 10:10:00</v>
      </c>
      <c r="E57" s="51" t="str">
        <f>IFERROR(__xludf.DUMMYFUNCTION("""COMPUTED_VALUE"""),"2019/11/06 10:14:00")</f>
        <v>2019/11/06 10:14:00</v>
      </c>
      <c r="F57" s="51" t="str">
        <f>IFERROR(__xludf.DUMMYFUNCTION("""COMPUTED_VALUE"""),"5f028636-6abd-4417-a264-1f869ec452e3")</f>
        <v>5f028636-6abd-4417-a264-1f869ec452e3</v>
      </c>
      <c r="G57" s="58">
        <f>IFERROR(__xludf.DUMMYFUNCTION("""COMPUTED_VALUE"""),43775.0)</f>
        <v>43775</v>
      </c>
      <c r="H57" s="60">
        <f>IFERROR(__xludf.DUMMYFUNCTION("""COMPUTED_VALUE"""),0.4236111111111111)</f>
        <v>0.4236111111</v>
      </c>
      <c r="I57" s="58">
        <f>IFERROR(__xludf.DUMMYFUNCTION("""COMPUTED_VALUE"""),43775.0)</f>
        <v>43775</v>
      </c>
      <c r="J57" s="60">
        <f>IFERROR(__xludf.DUMMYFUNCTION("""COMPUTED_VALUE"""),0.4263888888888889)</f>
        <v>0.4263888889</v>
      </c>
      <c r="K57" s="60">
        <f t="shared" si="1"/>
        <v>0.002777777778</v>
      </c>
      <c r="L57" s="51" t="s">
        <v>583</v>
      </c>
      <c r="M57" s="51"/>
      <c r="N57" s="51"/>
      <c r="O57" s="50"/>
      <c r="P57" s="50"/>
      <c r="Q57" s="63"/>
      <c r="R57" s="51"/>
      <c r="S57" s="51"/>
      <c r="T57" s="51"/>
    </row>
    <row r="58">
      <c r="A58" s="51" t="str">
        <f>IFERROR(__xludf.DUMMYFUNCTION("""COMPUTED_VALUE"""),"ShopAdvizor: Building collaborative ecosystems")</f>
        <v>ShopAdvizor: Building collaborative ecosystems</v>
      </c>
      <c r="B58" s="51" t="str">
        <f>IFERROR(__xludf.DUMMYFUNCTION("""COMPUTED_VALUE"""),"Growth Summit")</f>
        <v>Growth Summit</v>
      </c>
      <c r="C58" s="51" t="str">
        <f>IFERROR(__xludf.DUMMYFUNCTION("""COMPUTED_VALUE"""),"Diego Chorny")</f>
        <v>Diego Chorny</v>
      </c>
      <c r="D58" s="51" t="str">
        <f>IFERROR(__xludf.DUMMYFUNCTION("""COMPUTED_VALUE"""),"2019/11/06 10:14:00")</f>
        <v>2019/11/06 10:14:00</v>
      </c>
      <c r="E58" s="51" t="str">
        <f>IFERROR(__xludf.DUMMYFUNCTION("""COMPUTED_VALUE"""),"2019/11/06 10:18:00")</f>
        <v>2019/11/06 10:18:00</v>
      </c>
      <c r="F58" s="51" t="str">
        <f>IFERROR(__xludf.DUMMYFUNCTION("""COMPUTED_VALUE"""),"617644be-ed2a-4d1d-81a2-7d2a002112e1")</f>
        <v>617644be-ed2a-4d1d-81a2-7d2a002112e1</v>
      </c>
      <c r="G58" s="58">
        <f>IFERROR(__xludf.DUMMYFUNCTION("""COMPUTED_VALUE"""),43775.0)</f>
        <v>43775</v>
      </c>
      <c r="H58" s="60">
        <f>IFERROR(__xludf.DUMMYFUNCTION("""COMPUTED_VALUE"""),0.4263888888888889)</f>
        <v>0.4263888889</v>
      </c>
      <c r="I58" s="58">
        <f>IFERROR(__xludf.DUMMYFUNCTION("""COMPUTED_VALUE"""),43775.0)</f>
        <v>43775</v>
      </c>
      <c r="J58" s="60">
        <f>IFERROR(__xludf.DUMMYFUNCTION("""COMPUTED_VALUE"""),0.42916666666666664)</f>
        <v>0.4291666667</v>
      </c>
      <c r="K58" s="60">
        <f t="shared" si="1"/>
        <v>0.002777777778</v>
      </c>
      <c r="L58" s="51" t="s">
        <v>583</v>
      </c>
      <c r="M58" s="51"/>
      <c r="N58" s="51"/>
      <c r="O58" s="50"/>
      <c r="P58" s="50"/>
      <c r="Q58" s="63"/>
      <c r="R58" s="51"/>
      <c r="S58" s="51"/>
      <c r="T58" s="51"/>
    </row>
    <row r="59">
      <c r="A59" s="51" t="str">
        <f>IFERROR(__xludf.DUMMYFUNCTION("""COMPUTED_VALUE"""),"Shaping your future in the (former) Valley of the Unaware")</f>
        <v>Shaping your future in the (former) Valley of the Unaware</v>
      </c>
      <c r="B59" s="51" t="str">
        <f>IFERROR(__xludf.DUMMYFUNCTION("""COMPUTED_VALUE"""),"Growth Summit")</f>
        <v>Growth Summit</v>
      </c>
      <c r="C59" s="51" t="str">
        <f>IFERROR(__xludf.DUMMYFUNCTION("""COMPUTED_VALUE"""),"Christian Piechnick")</f>
        <v>Christian Piechnick</v>
      </c>
      <c r="D59" s="51" t="str">
        <f>IFERROR(__xludf.DUMMYFUNCTION("""COMPUTED_VALUE"""),"2019/11/06 10:18:00")</f>
        <v>2019/11/06 10:18:00</v>
      </c>
      <c r="E59" s="51" t="str">
        <f>IFERROR(__xludf.DUMMYFUNCTION("""COMPUTED_VALUE"""),"2019/11/06 10:22:00")</f>
        <v>2019/11/06 10:22:00</v>
      </c>
      <c r="F59" s="51" t="str">
        <f>IFERROR(__xludf.DUMMYFUNCTION("""COMPUTED_VALUE"""),"8de81090-a58e-4170-81aa-981df312797f")</f>
        <v>8de81090-a58e-4170-81aa-981df312797f</v>
      </c>
      <c r="G59" s="58">
        <f>IFERROR(__xludf.DUMMYFUNCTION("""COMPUTED_VALUE"""),43775.0)</f>
        <v>43775</v>
      </c>
      <c r="H59" s="60">
        <f>IFERROR(__xludf.DUMMYFUNCTION("""COMPUTED_VALUE"""),0.42916666666666664)</f>
        <v>0.4291666667</v>
      </c>
      <c r="I59" s="58">
        <f>IFERROR(__xludf.DUMMYFUNCTION("""COMPUTED_VALUE"""),43775.0)</f>
        <v>43775</v>
      </c>
      <c r="J59" s="60">
        <f>IFERROR(__xludf.DUMMYFUNCTION("""COMPUTED_VALUE"""),0.43194444444444446)</f>
        <v>0.4319444444</v>
      </c>
      <c r="K59" s="60">
        <f t="shared" si="1"/>
        <v>0.002777777778</v>
      </c>
      <c r="L59" s="51" t="s">
        <v>583</v>
      </c>
      <c r="M59" s="51"/>
      <c r="N59" s="51"/>
      <c r="O59" s="50"/>
      <c r="P59" s="50"/>
      <c r="Q59" s="63"/>
      <c r="R59" s="51"/>
      <c r="S59" s="51"/>
      <c r="T59" s="51"/>
    </row>
    <row r="60">
      <c r="A60" s="51" t="str">
        <f>IFERROR(__xludf.DUMMYFUNCTION("""COMPUTED_VALUE"""),"Wealthtech: Finding our path to success")</f>
        <v>Wealthtech: Finding our path to success</v>
      </c>
      <c r="B60" s="51" t="str">
        <f>IFERROR(__xludf.DUMMYFUNCTION("""COMPUTED_VALUE"""),"Growth Summit")</f>
        <v>Growth Summit</v>
      </c>
      <c r="C60" s="51" t="str">
        <f>IFERROR(__xludf.DUMMYFUNCTION("""COMPUTED_VALUE"""),"Lennart Asshoff")</f>
        <v>Lennart Asshoff</v>
      </c>
      <c r="D60" s="51" t="str">
        <f>IFERROR(__xludf.DUMMYFUNCTION("""COMPUTED_VALUE"""),"2019/11/06 10:22:00")</f>
        <v>2019/11/06 10:22:00</v>
      </c>
      <c r="E60" s="51" t="str">
        <f>IFERROR(__xludf.DUMMYFUNCTION("""COMPUTED_VALUE"""),"2019/11/06 10:26:00")</f>
        <v>2019/11/06 10:26:00</v>
      </c>
      <c r="F60" s="51" t="str">
        <f>IFERROR(__xludf.DUMMYFUNCTION("""COMPUTED_VALUE"""),"b3535b77-bbce-4a95-8901-534a627cae9c")</f>
        <v>b3535b77-bbce-4a95-8901-534a627cae9c</v>
      </c>
      <c r="G60" s="58">
        <f>IFERROR(__xludf.DUMMYFUNCTION("""COMPUTED_VALUE"""),43775.0)</f>
        <v>43775</v>
      </c>
      <c r="H60" s="60">
        <f>IFERROR(__xludf.DUMMYFUNCTION("""COMPUTED_VALUE"""),0.43194444444444446)</f>
        <v>0.4319444444</v>
      </c>
      <c r="I60" s="58">
        <f>IFERROR(__xludf.DUMMYFUNCTION("""COMPUTED_VALUE"""),43775.0)</f>
        <v>43775</v>
      </c>
      <c r="J60" s="60">
        <f>IFERROR(__xludf.DUMMYFUNCTION("""COMPUTED_VALUE"""),0.43472222222222223)</f>
        <v>0.4347222222</v>
      </c>
      <c r="K60" s="60">
        <f t="shared" si="1"/>
        <v>0.002777777778</v>
      </c>
      <c r="L60" s="51" t="s">
        <v>583</v>
      </c>
      <c r="M60" s="51"/>
      <c r="N60" s="51"/>
      <c r="O60" s="50"/>
      <c r="P60" s="50"/>
      <c r="Q60" s="63"/>
      <c r="R60" s="51"/>
      <c r="S60" s="51"/>
      <c r="T60" s="51"/>
    </row>
    <row r="61">
      <c r="A61" s="51" t="str">
        <f>IFERROR(__xludf.DUMMYFUNCTION("""COMPUTED_VALUE"""),"How automation is disrupting the $45bn market research industry")</f>
        <v>How automation is disrupting the $45bn market research industry</v>
      </c>
      <c r="B61" s="51" t="str">
        <f>IFERROR(__xludf.DUMMYFUNCTION("""COMPUTED_VALUE"""),"Growth Summit")</f>
        <v>Growth Summit</v>
      </c>
      <c r="C61" s="51" t="str">
        <f>IFERROR(__xludf.DUMMYFUNCTION("""COMPUTED_VALUE"""),"Peter Aschmoneit")</f>
        <v>Peter Aschmoneit</v>
      </c>
      <c r="D61" s="51" t="str">
        <f>IFERROR(__xludf.DUMMYFUNCTION("""COMPUTED_VALUE"""),"2019/11/06 10:26:00")</f>
        <v>2019/11/06 10:26:00</v>
      </c>
      <c r="E61" s="51" t="str">
        <f>IFERROR(__xludf.DUMMYFUNCTION("""COMPUTED_VALUE"""),"2019/11/06 10:30:00")</f>
        <v>2019/11/06 10:30:00</v>
      </c>
      <c r="F61" s="51" t="str">
        <f>IFERROR(__xludf.DUMMYFUNCTION("""COMPUTED_VALUE"""),"f963458e-e614-448f-9ac7-d67be21e4d2d")</f>
        <v>f963458e-e614-448f-9ac7-d67be21e4d2d</v>
      </c>
      <c r="G61" s="58">
        <f>IFERROR(__xludf.DUMMYFUNCTION("""COMPUTED_VALUE"""),43775.0)</f>
        <v>43775</v>
      </c>
      <c r="H61" s="60">
        <f>IFERROR(__xludf.DUMMYFUNCTION("""COMPUTED_VALUE"""),0.43472222222222223)</f>
        <v>0.4347222222</v>
      </c>
      <c r="I61" s="58">
        <f>IFERROR(__xludf.DUMMYFUNCTION("""COMPUTED_VALUE"""),43775.0)</f>
        <v>43775</v>
      </c>
      <c r="J61" s="60">
        <f>IFERROR(__xludf.DUMMYFUNCTION("""COMPUTED_VALUE"""),0.4375)</f>
        <v>0.4375</v>
      </c>
      <c r="K61" s="60">
        <f t="shared" si="1"/>
        <v>0.002777777778</v>
      </c>
      <c r="L61" s="51" t="s">
        <v>583</v>
      </c>
      <c r="M61" s="51"/>
      <c r="N61" s="51"/>
      <c r="O61" s="50"/>
      <c r="P61" s="50"/>
      <c r="Q61" s="63"/>
      <c r="R61" s="51"/>
      <c r="S61" s="51"/>
      <c r="T61" s="51"/>
    </row>
    <row r="62">
      <c r="A62" s="51" t="str">
        <f>IFERROR(__xludf.DUMMYFUNCTION("""COMPUTED_VALUE"""),"How to rise above digital noise and achieve hypergrowth")</f>
        <v>How to rise above digital noise and achieve hypergrowth</v>
      </c>
      <c r="B62" s="51" t="str">
        <f>IFERROR(__xludf.DUMMYFUNCTION("""COMPUTED_VALUE"""),"Growth Summit")</f>
        <v>Growth Summit</v>
      </c>
      <c r="C62" s="51" t="str">
        <f>IFERROR(__xludf.DUMMYFUNCTION("""COMPUTED_VALUE"""),"Kris Rudeegraap")</f>
        <v>Kris Rudeegraap</v>
      </c>
      <c r="D62" s="51" t="str">
        <f>IFERROR(__xludf.DUMMYFUNCTION("""COMPUTED_VALUE"""),"2019/11/06 10:30:00")</f>
        <v>2019/11/06 10:30:00</v>
      </c>
      <c r="E62" s="51" t="str">
        <f>IFERROR(__xludf.DUMMYFUNCTION("""COMPUTED_VALUE"""),"2019/11/06 10:34:00")</f>
        <v>2019/11/06 10:34:00</v>
      </c>
      <c r="F62" s="51" t="str">
        <f>IFERROR(__xludf.DUMMYFUNCTION("""COMPUTED_VALUE"""),"ea6b06e5-9ca9-4e4b-92e8-bcfdb371ddcf")</f>
        <v>ea6b06e5-9ca9-4e4b-92e8-bcfdb371ddcf</v>
      </c>
      <c r="G62" s="58">
        <f>IFERROR(__xludf.DUMMYFUNCTION("""COMPUTED_VALUE"""),43775.0)</f>
        <v>43775</v>
      </c>
      <c r="H62" s="60">
        <f>IFERROR(__xludf.DUMMYFUNCTION("""COMPUTED_VALUE"""),0.4375)</f>
        <v>0.4375</v>
      </c>
      <c r="I62" s="58">
        <f>IFERROR(__xludf.DUMMYFUNCTION("""COMPUTED_VALUE"""),43775.0)</f>
        <v>43775</v>
      </c>
      <c r="J62" s="60">
        <f>IFERROR(__xludf.DUMMYFUNCTION("""COMPUTED_VALUE"""),0.44027777777777777)</f>
        <v>0.4402777778</v>
      </c>
      <c r="K62" s="60">
        <f t="shared" si="1"/>
        <v>0.002777777778</v>
      </c>
      <c r="L62" s="51" t="s">
        <v>583</v>
      </c>
      <c r="M62" s="51"/>
      <c r="N62" s="51"/>
      <c r="O62" s="50"/>
      <c r="P62" s="50"/>
      <c r="Q62" s="63"/>
      <c r="R62" s="51"/>
      <c r="S62" s="51"/>
      <c r="T62" s="51"/>
    </row>
    <row r="63">
      <c r="A63" s="51" t="str">
        <f>IFERROR(__xludf.DUMMYFUNCTION("""COMPUTED_VALUE"""),"Lessons from 1000 cities - how to achieve growth with limited funding")</f>
        <v>Lessons from 1000 cities - how to achieve growth with limited funding</v>
      </c>
      <c r="B63" s="51" t="str">
        <f>IFERROR(__xludf.DUMMYFUNCTION("""COMPUTED_VALUE"""),"Growth Summit")</f>
        <v>Growth Summit</v>
      </c>
      <c r="C63" s="51" t="str">
        <f>IFERROR(__xludf.DUMMYFUNCTION("""COMPUTED_VALUE"""),"Henry  Joseph-Grant")</f>
        <v>Henry  Joseph-Grant</v>
      </c>
      <c r="D63" s="51" t="str">
        <f>IFERROR(__xludf.DUMMYFUNCTION("""COMPUTED_VALUE"""),"2019/11/06 10:34:00")</f>
        <v>2019/11/06 10:34:00</v>
      </c>
      <c r="E63" s="51" t="str">
        <f>IFERROR(__xludf.DUMMYFUNCTION("""COMPUTED_VALUE"""),"2019/11/06 10:38:00")</f>
        <v>2019/11/06 10:38:00</v>
      </c>
      <c r="F63" s="51" t="str">
        <f>IFERROR(__xludf.DUMMYFUNCTION("""COMPUTED_VALUE"""),"a2851c3f-6ed4-4e78-b0bc-69b6eb5f820d")</f>
        <v>a2851c3f-6ed4-4e78-b0bc-69b6eb5f820d</v>
      </c>
      <c r="G63" s="58">
        <f>IFERROR(__xludf.DUMMYFUNCTION("""COMPUTED_VALUE"""),43775.0)</f>
        <v>43775</v>
      </c>
      <c r="H63" s="60">
        <f>IFERROR(__xludf.DUMMYFUNCTION("""COMPUTED_VALUE"""),0.44027777777777777)</f>
        <v>0.4402777778</v>
      </c>
      <c r="I63" s="58">
        <f>IFERROR(__xludf.DUMMYFUNCTION("""COMPUTED_VALUE"""),43775.0)</f>
        <v>43775</v>
      </c>
      <c r="J63" s="60">
        <f>IFERROR(__xludf.DUMMYFUNCTION("""COMPUTED_VALUE"""),0.44305555555555554)</f>
        <v>0.4430555556</v>
      </c>
      <c r="K63" s="60">
        <f t="shared" si="1"/>
        <v>0.002777777778</v>
      </c>
      <c r="L63" s="51" t="s">
        <v>583</v>
      </c>
      <c r="M63" s="51"/>
      <c r="N63" s="51"/>
      <c r="O63" s="50"/>
      <c r="P63" s="50"/>
      <c r="Q63" s="63"/>
      <c r="R63" s="51"/>
      <c r="S63" s="51"/>
      <c r="T63" s="51"/>
    </row>
    <row r="64">
      <c r="A64" s="51" t="str">
        <f>IFERROR(__xludf.DUMMYFUNCTION("""COMPUTED_VALUE"""),"Breaking down doors with open source ")</f>
        <v>Breaking down doors with open source </v>
      </c>
      <c r="B64" s="51" t="str">
        <f>IFERROR(__xludf.DUMMYFUNCTION("""COMPUTED_VALUE"""),"Growth Summit")</f>
        <v>Growth Summit</v>
      </c>
      <c r="C64" s="51" t="str">
        <f>IFERROR(__xludf.DUMMYFUNCTION("""COMPUTED_VALUE"""),"John A. Entwistle and Kyle Carberry")</f>
        <v>John A. Entwistle and Kyle Carberry</v>
      </c>
      <c r="D64" s="51" t="str">
        <f>IFERROR(__xludf.DUMMYFUNCTION("""COMPUTED_VALUE"""),"2019/11/06 10:38:00")</f>
        <v>2019/11/06 10:38:00</v>
      </c>
      <c r="E64" s="51" t="str">
        <f>IFERROR(__xludf.DUMMYFUNCTION("""COMPUTED_VALUE"""),"2019/11/06 10:42:00")</f>
        <v>2019/11/06 10:42:00</v>
      </c>
      <c r="F64" s="51" t="str">
        <f>IFERROR(__xludf.DUMMYFUNCTION("""COMPUTED_VALUE"""),"9292a315-9472-4fac-8eb8-60425a698d42")</f>
        <v>9292a315-9472-4fac-8eb8-60425a698d42</v>
      </c>
      <c r="G64" s="58">
        <f>IFERROR(__xludf.DUMMYFUNCTION("""COMPUTED_VALUE"""),43775.0)</f>
        <v>43775</v>
      </c>
      <c r="H64" s="60">
        <f>IFERROR(__xludf.DUMMYFUNCTION("""COMPUTED_VALUE"""),0.44305555555555554)</f>
        <v>0.4430555556</v>
      </c>
      <c r="I64" s="58">
        <f>IFERROR(__xludf.DUMMYFUNCTION("""COMPUTED_VALUE"""),43775.0)</f>
        <v>43775</v>
      </c>
      <c r="J64" s="60">
        <f>IFERROR(__xludf.DUMMYFUNCTION("""COMPUTED_VALUE"""),0.44583333333333336)</f>
        <v>0.4458333333</v>
      </c>
      <c r="K64" s="60">
        <f t="shared" si="1"/>
        <v>0.002777777778</v>
      </c>
      <c r="L64" s="51" t="s">
        <v>583</v>
      </c>
      <c r="M64" s="51"/>
      <c r="N64" s="51"/>
      <c r="O64" s="50"/>
      <c r="P64" s="50"/>
      <c r="Q64" s="63"/>
      <c r="R64" s="51"/>
      <c r="S64" s="51"/>
      <c r="T64" s="51"/>
    </row>
    <row r="65">
      <c r="A65" s="51" t="str">
        <f>IFERROR(__xludf.DUMMYFUNCTION("""COMPUTED_VALUE"""),"The future of startup investment")</f>
        <v>The future of startup investment</v>
      </c>
      <c r="B65" s="51" t="str">
        <f>IFERROR(__xludf.DUMMYFUNCTION("""COMPUTED_VALUE"""),"Growth Summit")</f>
        <v>Growth Summit</v>
      </c>
      <c r="C65" s="51" t="str">
        <f>IFERROR(__xludf.DUMMYFUNCTION("""COMPUTED_VALUE"""),"Anthony Rose")</f>
        <v>Anthony Rose</v>
      </c>
      <c r="D65" s="51" t="str">
        <f>IFERROR(__xludf.DUMMYFUNCTION("""COMPUTED_VALUE"""),"2019/11/06 10:42:00")</f>
        <v>2019/11/06 10:42:00</v>
      </c>
      <c r="E65" s="51" t="str">
        <f>IFERROR(__xludf.DUMMYFUNCTION("""COMPUTED_VALUE"""),"2019/11/06 10:46:00")</f>
        <v>2019/11/06 10:46:00</v>
      </c>
      <c r="F65" s="51" t="str">
        <f>IFERROR(__xludf.DUMMYFUNCTION("""COMPUTED_VALUE"""),"210701d5-9b54-4a39-ac67-62a830cf820c")</f>
        <v>210701d5-9b54-4a39-ac67-62a830cf820c</v>
      </c>
      <c r="G65" s="58">
        <f>IFERROR(__xludf.DUMMYFUNCTION("""COMPUTED_VALUE"""),43775.0)</f>
        <v>43775</v>
      </c>
      <c r="H65" s="60">
        <f>IFERROR(__xludf.DUMMYFUNCTION("""COMPUTED_VALUE"""),0.44583333333333336)</f>
        <v>0.4458333333</v>
      </c>
      <c r="I65" s="58">
        <f>IFERROR(__xludf.DUMMYFUNCTION("""COMPUTED_VALUE"""),43775.0)</f>
        <v>43775</v>
      </c>
      <c r="J65" s="60">
        <f>IFERROR(__xludf.DUMMYFUNCTION("""COMPUTED_VALUE"""),0.4486111111111111)</f>
        <v>0.4486111111</v>
      </c>
      <c r="K65" s="60">
        <f t="shared" si="1"/>
        <v>0.002777777778</v>
      </c>
      <c r="L65" s="51" t="s">
        <v>583</v>
      </c>
      <c r="M65" s="51"/>
      <c r="N65" s="51"/>
      <c r="O65" s="50"/>
      <c r="P65" s="50"/>
      <c r="Q65" s="63"/>
      <c r="R65" s="51"/>
      <c r="S65" s="51"/>
      <c r="T65" s="51"/>
    </row>
    <row r="66">
      <c r="A66" s="51" t="str">
        <f>IFERROR(__xludf.DUMMYFUNCTION("""COMPUTED_VALUE"""),"Is your startup really fundable? The hexagon theory of fundraising")</f>
        <v>Is your startup really fundable? The hexagon theory of fundraising</v>
      </c>
      <c r="B66" s="51" t="str">
        <f>IFERROR(__xludf.DUMMYFUNCTION("""COMPUTED_VALUE"""),"Growth Summit")</f>
        <v>Growth Summit</v>
      </c>
      <c r="C66" s="51" t="str">
        <f>IFERROR(__xludf.DUMMYFUNCTION("""COMPUTED_VALUE"""),"Karén Chiftalaryan")</f>
        <v>Karén Chiftalaryan</v>
      </c>
      <c r="D66" s="51" t="str">
        <f>IFERROR(__xludf.DUMMYFUNCTION("""COMPUTED_VALUE"""),"2019/11/06 10:46:00")</f>
        <v>2019/11/06 10:46:00</v>
      </c>
      <c r="E66" s="51" t="str">
        <f>IFERROR(__xludf.DUMMYFUNCTION("""COMPUTED_VALUE"""),"2019/11/06 10:50:00")</f>
        <v>2019/11/06 10:50:00</v>
      </c>
      <c r="F66" s="51" t="str">
        <f>IFERROR(__xludf.DUMMYFUNCTION("""COMPUTED_VALUE"""),"782a807a-0bdf-40fd-bd63-32551cdfc2e5")</f>
        <v>782a807a-0bdf-40fd-bd63-32551cdfc2e5</v>
      </c>
      <c r="G66" s="58">
        <f>IFERROR(__xludf.DUMMYFUNCTION("""COMPUTED_VALUE"""),43775.0)</f>
        <v>43775</v>
      </c>
      <c r="H66" s="60">
        <f>IFERROR(__xludf.DUMMYFUNCTION("""COMPUTED_VALUE"""),0.4486111111111111)</f>
        <v>0.4486111111</v>
      </c>
      <c r="I66" s="58">
        <f>IFERROR(__xludf.DUMMYFUNCTION("""COMPUTED_VALUE"""),43775.0)</f>
        <v>43775</v>
      </c>
      <c r="J66" s="60">
        <f>IFERROR(__xludf.DUMMYFUNCTION("""COMPUTED_VALUE"""),0.4513888888888889)</f>
        <v>0.4513888889</v>
      </c>
      <c r="K66" s="60">
        <f t="shared" si="1"/>
        <v>0.002777777778</v>
      </c>
      <c r="L66" s="51" t="s">
        <v>583</v>
      </c>
      <c r="M66" s="51"/>
      <c r="N66" s="51"/>
      <c r="O66" s="50"/>
      <c r="P66" s="50"/>
      <c r="Q66" s="63"/>
      <c r="R66" s="51"/>
      <c r="S66" s="51"/>
      <c r="T66" s="51"/>
    </row>
    <row r="67">
      <c r="A67" s="51" t="str">
        <f>IFERROR(__xludf.DUMMYFUNCTION("""COMPUTED_VALUE"""),"Diversity for business growth")</f>
        <v>Diversity for business growth</v>
      </c>
      <c r="B67" s="51" t="str">
        <f>IFERROR(__xludf.DUMMYFUNCTION("""COMPUTED_VALUE"""),"Growth Summit")</f>
        <v>Growth Summit</v>
      </c>
      <c r="C67" s="51" t="str">
        <f>IFERROR(__xludf.DUMMYFUNCTION("""COMPUTED_VALUE"""),"Andrey Perfilyev")</f>
        <v>Andrey Perfilyev</v>
      </c>
      <c r="D67" s="51" t="str">
        <f>IFERROR(__xludf.DUMMYFUNCTION("""COMPUTED_VALUE"""),"2019/11/06 10:50:00")</f>
        <v>2019/11/06 10:50:00</v>
      </c>
      <c r="E67" s="51" t="str">
        <f>IFERROR(__xludf.DUMMYFUNCTION("""COMPUTED_VALUE"""),"2019/11/06 10:54:00")</f>
        <v>2019/11/06 10:54:00</v>
      </c>
      <c r="F67" s="51" t="str">
        <f>IFERROR(__xludf.DUMMYFUNCTION("""COMPUTED_VALUE"""),"2427d832-03ee-4809-8128-d9104f522115")</f>
        <v>2427d832-03ee-4809-8128-d9104f522115</v>
      </c>
      <c r="G67" s="58">
        <f>IFERROR(__xludf.DUMMYFUNCTION("""COMPUTED_VALUE"""),43775.0)</f>
        <v>43775</v>
      </c>
      <c r="H67" s="60">
        <f>IFERROR(__xludf.DUMMYFUNCTION("""COMPUTED_VALUE"""),0.4513888888888889)</f>
        <v>0.4513888889</v>
      </c>
      <c r="I67" s="58">
        <f>IFERROR(__xludf.DUMMYFUNCTION("""COMPUTED_VALUE"""),43775.0)</f>
        <v>43775</v>
      </c>
      <c r="J67" s="60">
        <f>IFERROR(__xludf.DUMMYFUNCTION("""COMPUTED_VALUE"""),0.45416666666666666)</f>
        <v>0.4541666667</v>
      </c>
      <c r="K67" s="60">
        <f t="shared" si="1"/>
        <v>0.002777777778</v>
      </c>
      <c r="L67" s="51" t="s">
        <v>583</v>
      </c>
      <c r="M67" s="51"/>
      <c r="N67" s="51"/>
      <c r="O67" s="50"/>
      <c r="P67" s="50"/>
      <c r="Q67" s="63"/>
      <c r="R67" s="51"/>
      <c r="S67" s="51"/>
      <c r="T67" s="51"/>
    </row>
    <row r="68">
      <c r="A68" s="51" t="str">
        <f>IFERROR(__xludf.DUMMYFUNCTION("""COMPUTED_VALUE"""),"Pivot or die: When it’s time to move on")</f>
        <v>Pivot or die: When it’s time to move on</v>
      </c>
      <c r="B68" s="51" t="str">
        <f>IFERROR(__xludf.DUMMYFUNCTION("""COMPUTED_VALUE"""),"Growth Summit")</f>
        <v>Growth Summit</v>
      </c>
      <c r="C68" s="51" t="str">
        <f>IFERROR(__xludf.DUMMYFUNCTION("""COMPUTED_VALUE"""),"Stephan Noller")</f>
        <v>Stephan Noller</v>
      </c>
      <c r="D68" s="51" t="str">
        <f>IFERROR(__xludf.DUMMYFUNCTION("""COMPUTED_VALUE"""),"2019/11/06 10:54:00")</f>
        <v>2019/11/06 10:54:00</v>
      </c>
      <c r="E68" s="51" t="str">
        <f>IFERROR(__xludf.DUMMYFUNCTION("""COMPUTED_VALUE"""),"2019/11/06 10:58:00")</f>
        <v>2019/11/06 10:58:00</v>
      </c>
      <c r="F68" s="51" t="str">
        <f>IFERROR(__xludf.DUMMYFUNCTION("""COMPUTED_VALUE"""),"154214db-f685-43a7-b2e7-d5ea78b00fe4")</f>
        <v>154214db-f685-43a7-b2e7-d5ea78b00fe4</v>
      </c>
      <c r="G68" s="58">
        <f>IFERROR(__xludf.DUMMYFUNCTION("""COMPUTED_VALUE"""),43775.0)</f>
        <v>43775</v>
      </c>
      <c r="H68" s="60">
        <f>IFERROR(__xludf.DUMMYFUNCTION("""COMPUTED_VALUE"""),0.45416666666666666)</f>
        <v>0.4541666667</v>
      </c>
      <c r="I68" s="58">
        <f>IFERROR(__xludf.DUMMYFUNCTION("""COMPUTED_VALUE"""),43775.0)</f>
        <v>43775</v>
      </c>
      <c r="J68" s="60">
        <f>IFERROR(__xludf.DUMMYFUNCTION("""COMPUTED_VALUE"""),0.45694444444444443)</f>
        <v>0.4569444444</v>
      </c>
      <c r="K68" s="60">
        <f t="shared" si="1"/>
        <v>0.002777777778</v>
      </c>
      <c r="L68" s="51" t="s">
        <v>583</v>
      </c>
      <c r="M68" s="51"/>
      <c r="N68" s="51"/>
      <c r="O68" s="50"/>
      <c r="P68" s="50"/>
      <c r="Q68" s="63"/>
      <c r="R68" s="51"/>
      <c r="S68" s="51"/>
      <c r="T68" s="51"/>
    </row>
    <row r="69">
      <c r="A69" s="51" t="str">
        <f>IFERROR(__xludf.DUMMYFUNCTION("""COMPUTED_VALUE"""),"Creating the Android of WiFi networks")</f>
        <v>Creating the Android of WiFi networks</v>
      </c>
      <c r="B69" s="51" t="str">
        <f>IFERROR(__xludf.DUMMYFUNCTION("""COMPUTED_VALUE"""),"Growth Summit")</f>
        <v>Growth Summit</v>
      </c>
      <c r="C69" s="51" t="str">
        <f>IFERROR(__xludf.DUMMYFUNCTION("""COMPUTED_VALUE"""),"Sebastiano Bertani")</f>
        <v>Sebastiano Bertani</v>
      </c>
      <c r="D69" s="51" t="str">
        <f>IFERROR(__xludf.DUMMYFUNCTION("""COMPUTED_VALUE"""),"2019/11/06 10:58:00")</f>
        <v>2019/11/06 10:58:00</v>
      </c>
      <c r="E69" s="51" t="str">
        <f>IFERROR(__xludf.DUMMYFUNCTION("""COMPUTED_VALUE"""),"2019/11/06 11:02:00")</f>
        <v>2019/11/06 11:02:00</v>
      </c>
      <c r="F69" s="51" t="str">
        <f>IFERROR(__xludf.DUMMYFUNCTION("""COMPUTED_VALUE"""),"18d984ca-d851-4f55-b503-6f10cbe565bd")</f>
        <v>18d984ca-d851-4f55-b503-6f10cbe565bd</v>
      </c>
      <c r="G69" s="58">
        <f>IFERROR(__xludf.DUMMYFUNCTION("""COMPUTED_VALUE"""),43775.0)</f>
        <v>43775</v>
      </c>
      <c r="H69" s="60">
        <f>IFERROR(__xludf.DUMMYFUNCTION("""COMPUTED_VALUE"""),0.45694444444444443)</f>
        <v>0.4569444444</v>
      </c>
      <c r="I69" s="58">
        <f>IFERROR(__xludf.DUMMYFUNCTION("""COMPUTED_VALUE"""),43775.0)</f>
        <v>43775</v>
      </c>
      <c r="J69" s="60">
        <f>IFERROR(__xludf.DUMMYFUNCTION("""COMPUTED_VALUE"""),0.4597222222222222)</f>
        <v>0.4597222222</v>
      </c>
      <c r="K69" s="60">
        <f t="shared" si="1"/>
        <v>0.002777777778</v>
      </c>
      <c r="L69" s="51" t="s">
        <v>583</v>
      </c>
      <c r="M69" s="51"/>
      <c r="N69" s="51"/>
      <c r="O69" s="50"/>
      <c r="P69" s="50"/>
      <c r="Q69" s="63"/>
      <c r="R69" s="51"/>
      <c r="S69" s="51"/>
      <c r="T69" s="51"/>
    </row>
    <row r="70">
      <c r="A70" s="51" t="str">
        <f>IFERROR(__xludf.DUMMYFUNCTION("""COMPUTED_VALUE"""),"The importance of secure communications for global growth")</f>
        <v>The importance of secure communications for global growth</v>
      </c>
      <c r="B70" s="51" t="str">
        <f>IFERROR(__xludf.DUMMYFUNCTION("""COMPUTED_VALUE"""),"Growth Summit")</f>
        <v>Growth Summit</v>
      </c>
      <c r="C70" s="51" t="str">
        <f>IFERROR(__xludf.DUMMYFUNCTION("""COMPUTED_VALUE"""),"Fabio Fischer de Aguiar")</f>
        <v>Fabio Fischer de Aguiar</v>
      </c>
      <c r="D70" s="51" t="str">
        <f>IFERROR(__xludf.DUMMYFUNCTION("""COMPUTED_VALUE"""),"2019/11/06 11:02:00")</f>
        <v>2019/11/06 11:02:00</v>
      </c>
      <c r="E70" s="51" t="str">
        <f>IFERROR(__xludf.DUMMYFUNCTION("""COMPUTED_VALUE"""),"2019/11/06 11:06:00")</f>
        <v>2019/11/06 11:06:00</v>
      </c>
      <c r="F70" s="51" t="str">
        <f>IFERROR(__xludf.DUMMYFUNCTION("""COMPUTED_VALUE"""),"9155bfae-4012-4e93-bac9-daea87f8de59")</f>
        <v>9155bfae-4012-4e93-bac9-daea87f8de59</v>
      </c>
      <c r="G70" s="58">
        <f>IFERROR(__xludf.DUMMYFUNCTION("""COMPUTED_VALUE"""),43775.0)</f>
        <v>43775</v>
      </c>
      <c r="H70" s="60">
        <f>IFERROR(__xludf.DUMMYFUNCTION("""COMPUTED_VALUE"""),0.4597222222222222)</f>
        <v>0.4597222222</v>
      </c>
      <c r="I70" s="58">
        <f>IFERROR(__xludf.DUMMYFUNCTION("""COMPUTED_VALUE"""),43775.0)</f>
        <v>43775</v>
      </c>
      <c r="J70" s="60">
        <f>IFERROR(__xludf.DUMMYFUNCTION("""COMPUTED_VALUE"""),0.4625)</f>
        <v>0.4625</v>
      </c>
      <c r="K70" s="60">
        <f t="shared" si="1"/>
        <v>0.002777777778</v>
      </c>
      <c r="L70" s="51" t="s">
        <v>583</v>
      </c>
      <c r="M70" s="51"/>
      <c r="N70" s="51"/>
      <c r="O70" s="50"/>
      <c r="P70" s="50"/>
      <c r="Q70" s="63"/>
      <c r="R70" s="51"/>
      <c r="S70" s="51"/>
      <c r="T70" s="51"/>
    </row>
    <row r="71">
      <c r="A71" s="51" t="str">
        <f>IFERROR(__xludf.DUMMYFUNCTION("""COMPUTED_VALUE"""),"Creating a company genius zone")</f>
        <v>Creating a company genius zone</v>
      </c>
      <c r="B71" s="51" t="str">
        <f>IFERROR(__xludf.DUMMYFUNCTION("""COMPUTED_VALUE"""),"Growth Summit")</f>
        <v>Growth Summit</v>
      </c>
      <c r="C71" s="51" t="str">
        <f>IFERROR(__xludf.DUMMYFUNCTION("""COMPUTED_VALUE"""),"Craig Beddis")</f>
        <v>Craig Beddis</v>
      </c>
      <c r="D71" s="51" t="str">
        <f>IFERROR(__xludf.DUMMYFUNCTION("""COMPUTED_VALUE"""),"2019/11/06 11:06:00")</f>
        <v>2019/11/06 11:06:00</v>
      </c>
      <c r="E71" s="51" t="str">
        <f>IFERROR(__xludf.DUMMYFUNCTION("""COMPUTED_VALUE"""),"2019/11/06 11:10:00")</f>
        <v>2019/11/06 11:10:00</v>
      </c>
      <c r="F71" s="51" t="str">
        <f>IFERROR(__xludf.DUMMYFUNCTION("""COMPUTED_VALUE"""),"7b057a68-4985-4ded-ad0e-2e1ad7ae6343")</f>
        <v>7b057a68-4985-4ded-ad0e-2e1ad7ae6343</v>
      </c>
      <c r="G71" s="58">
        <f>IFERROR(__xludf.DUMMYFUNCTION("""COMPUTED_VALUE"""),43775.0)</f>
        <v>43775</v>
      </c>
      <c r="H71" s="60">
        <f>IFERROR(__xludf.DUMMYFUNCTION("""COMPUTED_VALUE"""),0.4625)</f>
        <v>0.4625</v>
      </c>
      <c r="I71" s="58">
        <f>IFERROR(__xludf.DUMMYFUNCTION("""COMPUTED_VALUE"""),43775.0)</f>
        <v>43775</v>
      </c>
      <c r="J71" s="60">
        <f>IFERROR(__xludf.DUMMYFUNCTION("""COMPUTED_VALUE"""),0.4652777777777778)</f>
        <v>0.4652777778</v>
      </c>
      <c r="K71" s="60">
        <f t="shared" si="1"/>
        <v>0.002777777778</v>
      </c>
      <c r="L71" s="51" t="s">
        <v>583</v>
      </c>
      <c r="M71" s="51"/>
      <c r="N71" s="51"/>
      <c r="O71" s="50"/>
      <c r="P71" s="50"/>
      <c r="Q71" s="63"/>
      <c r="R71" s="51"/>
      <c r="S71" s="51"/>
      <c r="T71" s="51"/>
    </row>
    <row r="72">
      <c r="A72" s="51" t="str">
        <f>IFERROR(__xludf.DUMMYFUNCTION("""COMPUTED_VALUE"""),"One thing you need to make better product decisions ")</f>
        <v>One thing you need to make better product decisions </v>
      </c>
      <c r="B72" s="51" t="str">
        <f>IFERROR(__xludf.DUMMYFUNCTION("""COMPUTED_VALUE"""),"Growth Summit")</f>
        <v>Growth Summit</v>
      </c>
      <c r="C72" s="51" t="str">
        <f>IFERROR(__xludf.DUMMYFUNCTION("""COMPUTED_VALUE"""),"Elad Simon")</f>
        <v>Elad Simon</v>
      </c>
      <c r="D72" s="51" t="str">
        <f>IFERROR(__xludf.DUMMYFUNCTION("""COMPUTED_VALUE"""),"2019/11/06 11:10:00")</f>
        <v>2019/11/06 11:10:00</v>
      </c>
      <c r="E72" s="51" t="str">
        <f>IFERROR(__xludf.DUMMYFUNCTION("""COMPUTED_VALUE"""),"2019/11/06 11:14:00")</f>
        <v>2019/11/06 11:14:00</v>
      </c>
      <c r="F72" s="51" t="str">
        <f>IFERROR(__xludf.DUMMYFUNCTION("""COMPUTED_VALUE"""),"80a06c6c-56c8-4a7a-a1e9-cb596f5bead8")</f>
        <v>80a06c6c-56c8-4a7a-a1e9-cb596f5bead8</v>
      </c>
      <c r="G72" s="58">
        <f>IFERROR(__xludf.DUMMYFUNCTION("""COMPUTED_VALUE"""),43775.0)</f>
        <v>43775</v>
      </c>
      <c r="H72" s="60">
        <f>IFERROR(__xludf.DUMMYFUNCTION("""COMPUTED_VALUE"""),0.4652777777777778)</f>
        <v>0.4652777778</v>
      </c>
      <c r="I72" s="58">
        <f>IFERROR(__xludf.DUMMYFUNCTION("""COMPUTED_VALUE"""),43775.0)</f>
        <v>43775</v>
      </c>
      <c r="J72" s="60">
        <f>IFERROR(__xludf.DUMMYFUNCTION("""COMPUTED_VALUE"""),0.46805555555555556)</f>
        <v>0.4680555556</v>
      </c>
      <c r="K72" s="60">
        <f t="shared" si="1"/>
        <v>0.002777777778</v>
      </c>
      <c r="L72" s="51" t="s">
        <v>583</v>
      </c>
      <c r="M72" s="51"/>
      <c r="N72" s="51"/>
      <c r="O72" s="50"/>
      <c r="P72" s="50"/>
      <c r="Q72" s="63"/>
      <c r="R72" s="51"/>
      <c r="S72" s="51"/>
      <c r="T72" s="51"/>
    </row>
    <row r="73">
      <c r="A73" s="51" t="str">
        <f>IFERROR(__xludf.DUMMYFUNCTION("""COMPUTED_VALUE"""),"AI-based solutions as a driver of growth")</f>
        <v>AI-based solutions as a driver of growth</v>
      </c>
      <c r="B73" s="51" t="str">
        <f>IFERROR(__xludf.DUMMYFUNCTION("""COMPUTED_VALUE"""),"Growth Summit")</f>
        <v>Growth Summit</v>
      </c>
      <c r="C73" s="51" t="str">
        <f>IFERROR(__xludf.DUMMYFUNCTION("""COMPUTED_VALUE"""),"Olga Prikhodko")</f>
        <v>Olga Prikhodko</v>
      </c>
      <c r="D73" s="51" t="str">
        <f>IFERROR(__xludf.DUMMYFUNCTION("""COMPUTED_VALUE"""),"2019/11/06 11:14:00")</f>
        <v>2019/11/06 11:14:00</v>
      </c>
      <c r="E73" s="51" t="str">
        <f>IFERROR(__xludf.DUMMYFUNCTION("""COMPUTED_VALUE"""),"2019/11/06 11:18:00")</f>
        <v>2019/11/06 11:18:00</v>
      </c>
      <c r="F73" s="51" t="str">
        <f>IFERROR(__xludf.DUMMYFUNCTION("""COMPUTED_VALUE"""),"186f7796-f9c0-48be-9e46-af21ceb39db1")</f>
        <v>186f7796-f9c0-48be-9e46-af21ceb39db1</v>
      </c>
      <c r="G73" s="58">
        <f>IFERROR(__xludf.DUMMYFUNCTION("""COMPUTED_VALUE"""),43775.0)</f>
        <v>43775</v>
      </c>
      <c r="H73" s="60">
        <f>IFERROR(__xludf.DUMMYFUNCTION("""COMPUTED_VALUE"""),0.46805555555555556)</f>
        <v>0.4680555556</v>
      </c>
      <c r="I73" s="58">
        <f>IFERROR(__xludf.DUMMYFUNCTION("""COMPUTED_VALUE"""),43775.0)</f>
        <v>43775</v>
      </c>
      <c r="J73" s="60">
        <f>IFERROR(__xludf.DUMMYFUNCTION("""COMPUTED_VALUE"""),0.4708333333333333)</f>
        <v>0.4708333333</v>
      </c>
      <c r="K73" s="60">
        <f t="shared" si="1"/>
        <v>0.002777777778</v>
      </c>
      <c r="L73" s="51" t="s">
        <v>583</v>
      </c>
      <c r="M73" s="51"/>
      <c r="N73" s="51"/>
      <c r="O73" s="50"/>
      <c r="P73" s="50"/>
      <c r="Q73" s="63"/>
      <c r="R73" s="51"/>
      <c r="S73" s="51"/>
      <c r="T73" s="51"/>
    </row>
    <row r="74">
      <c r="A74" s="51" t="str">
        <f>IFERROR(__xludf.DUMMYFUNCTION("""COMPUTED_VALUE"""),"Creating trust in capital markets through disruptive collaboration")</f>
        <v>Creating trust in capital markets through disruptive collaboration</v>
      </c>
      <c r="B74" s="51" t="str">
        <f>IFERROR(__xludf.DUMMYFUNCTION("""COMPUTED_VALUE"""),"Growth Summit")</f>
        <v>Growth Summit</v>
      </c>
      <c r="C74" s="51" t="str">
        <f>IFERROR(__xludf.DUMMYFUNCTION("""COMPUTED_VALUE"""),"Boaz Yaari")</f>
        <v>Boaz Yaari</v>
      </c>
      <c r="D74" s="51" t="str">
        <f>IFERROR(__xludf.DUMMYFUNCTION("""COMPUTED_VALUE"""),"2019/11/06 11:18:00")</f>
        <v>2019/11/06 11:18:00</v>
      </c>
      <c r="E74" s="51" t="str">
        <f>IFERROR(__xludf.DUMMYFUNCTION("""COMPUTED_VALUE"""),"2019/11/06 11:22:00")</f>
        <v>2019/11/06 11:22:00</v>
      </c>
      <c r="F74" s="51" t="str">
        <f>IFERROR(__xludf.DUMMYFUNCTION("""COMPUTED_VALUE"""),"53bc3899-fa38-449c-9767-57c8beb089ae")</f>
        <v>53bc3899-fa38-449c-9767-57c8beb089ae</v>
      </c>
      <c r="G74" s="58">
        <f>IFERROR(__xludf.DUMMYFUNCTION("""COMPUTED_VALUE"""),43775.0)</f>
        <v>43775</v>
      </c>
      <c r="H74" s="60">
        <f>IFERROR(__xludf.DUMMYFUNCTION("""COMPUTED_VALUE"""),0.4708333333333333)</f>
        <v>0.4708333333</v>
      </c>
      <c r="I74" s="58">
        <f>IFERROR(__xludf.DUMMYFUNCTION("""COMPUTED_VALUE"""),43775.0)</f>
        <v>43775</v>
      </c>
      <c r="J74" s="60">
        <f>IFERROR(__xludf.DUMMYFUNCTION("""COMPUTED_VALUE"""),0.4736111111111111)</f>
        <v>0.4736111111</v>
      </c>
      <c r="K74" s="60">
        <f t="shared" si="1"/>
        <v>0.002777777778</v>
      </c>
      <c r="L74" s="51" t="s">
        <v>583</v>
      </c>
      <c r="M74" s="51"/>
      <c r="N74" s="51"/>
      <c r="O74" s="50"/>
      <c r="P74" s="50"/>
      <c r="Q74" s="63"/>
      <c r="R74" s="51"/>
      <c r="S74" s="51"/>
      <c r="T74" s="51"/>
    </row>
    <row r="75">
      <c r="A75" s="51" t="str">
        <f>IFERROR(__xludf.DUMMYFUNCTION("""COMPUTED_VALUE"""),"Product-market fit as a moving target")</f>
        <v>Product-market fit as a moving target</v>
      </c>
      <c r="B75" s="51" t="str">
        <f>IFERROR(__xludf.DUMMYFUNCTION("""COMPUTED_VALUE"""),"Growth Summit")</f>
        <v>Growth Summit</v>
      </c>
      <c r="C75" s="51" t="str">
        <f>IFERROR(__xludf.DUMMYFUNCTION("""COMPUTED_VALUE"""),"Javi Fondevila")</f>
        <v>Javi Fondevila</v>
      </c>
      <c r="D75" s="51" t="str">
        <f>IFERROR(__xludf.DUMMYFUNCTION("""COMPUTED_VALUE"""),"2019/11/06 11:22:00")</f>
        <v>2019/11/06 11:22:00</v>
      </c>
      <c r="E75" s="51" t="str">
        <f>IFERROR(__xludf.DUMMYFUNCTION("""COMPUTED_VALUE"""),"2019/11/06 11:26:00")</f>
        <v>2019/11/06 11:26:00</v>
      </c>
      <c r="F75" s="51" t="str">
        <f>IFERROR(__xludf.DUMMYFUNCTION("""COMPUTED_VALUE"""),"1a0a8cf0-7134-4307-a284-0490adf28472")</f>
        <v>1a0a8cf0-7134-4307-a284-0490adf28472</v>
      </c>
      <c r="G75" s="58">
        <f>IFERROR(__xludf.DUMMYFUNCTION("""COMPUTED_VALUE"""),43775.0)</f>
        <v>43775</v>
      </c>
      <c r="H75" s="60">
        <f>IFERROR(__xludf.DUMMYFUNCTION("""COMPUTED_VALUE"""),0.4736111111111111)</f>
        <v>0.4736111111</v>
      </c>
      <c r="I75" s="58">
        <f>IFERROR(__xludf.DUMMYFUNCTION("""COMPUTED_VALUE"""),43775.0)</f>
        <v>43775</v>
      </c>
      <c r="J75" s="60">
        <f>IFERROR(__xludf.DUMMYFUNCTION("""COMPUTED_VALUE"""),0.47638888888888886)</f>
        <v>0.4763888889</v>
      </c>
      <c r="K75" s="60">
        <f t="shared" si="1"/>
        <v>0.002777777778</v>
      </c>
      <c r="L75" s="51" t="s">
        <v>583</v>
      </c>
      <c r="M75" s="51"/>
      <c r="N75" s="51"/>
      <c r="O75" s="50"/>
      <c r="P75" s="50"/>
      <c r="Q75" s="63"/>
      <c r="R75" s="51"/>
      <c r="S75" s="51"/>
      <c r="T75" s="51"/>
    </row>
    <row r="76">
      <c r="A76" s="51" t="str">
        <f>IFERROR(__xludf.DUMMYFUNCTION("""COMPUTED_VALUE"""),"How to become first when you’re the last one to start")</f>
        <v>How to become first when you’re the last one to start</v>
      </c>
      <c r="B76" s="51" t="str">
        <f>IFERROR(__xludf.DUMMYFUNCTION("""COMPUTED_VALUE"""),"Growth Summit")</f>
        <v>Growth Summit</v>
      </c>
      <c r="C76" s="51" t="str">
        <f>IFERROR(__xludf.DUMMYFUNCTION("""COMPUTED_VALUE"""),"Viktorija Vanagė")</f>
        <v>Viktorija Vanagė</v>
      </c>
      <c r="D76" s="51" t="str">
        <f>IFERROR(__xludf.DUMMYFUNCTION("""COMPUTED_VALUE"""),"2019/11/06 11:26:00")</f>
        <v>2019/11/06 11:26:00</v>
      </c>
      <c r="E76" s="51" t="str">
        <f>IFERROR(__xludf.DUMMYFUNCTION("""COMPUTED_VALUE"""),"2019/11/06 11:30:00")</f>
        <v>2019/11/06 11:30:00</v>
      </c>
      <c r="F76" s="51" t="str">
        <f>IFERROR(__xludf.DUMMYFUNCTION("""COMPUTED_VALUE"""),"dded405d-13cd-4f17-879e-6163a69045d8")</f>
        <v>dded405d-13cd-4f17-879e-6163a69045d8</v>
      </c>
      <c r="G76" s="58">
        <f>IFERROR(__xludf.DUMMYFUNCTION("""COMPUTED_VALUE"""),43775.0)</f>
        <v>43775</v>
      </c>
      <c r="H76" s="60">
        <f>IFERROR(__xludf.DUMMYFUNCTION("""COMPUTED_VALUE"""),0.47638888888888886)</f>
        <v>0.4763888889</v>
      </c>
      <c r="I76" s="58">
        <f>IFERROR(__xludf.DUMMYFUNCTION("""COMPUTED_VALUE"""),43775.0)</f>
        <v>43775</v>
      </c>
      <c r="J76" s="60">
        <f>IFERROR(__xludf.DUMMYFUNCTION("""COMPUTED_VALUE"""),0.4791666666666667)</f>
        <v>0.4791666667</v>
      </c>
      <c r="K76" s="60">
        <f t="shared" si="1"/>
        <v>0.002777777778</v>
      </c>
      <c r="L76" s="51" t="s">
        <v>583</v>
      </c>
      <c r="M76" s="51"/>
      <c r="N76" s="51"/>
      <c r="O76" s="50"/>
      <c r="P76" s="50"/>
      <c r="Q76" s="63"/>
      <c r="R76" s="51"/>
      <c r="S76" s="51"/>
      <c r="T76" s="51"/>
    </row>
    <row r="77">
      <c r="A77" s="51" t="str">
        <f>IFERROR(__xludf.DUMMYFUNCTION("""COMPUTED_VALUE"""),"It's lonely at the top")</f>
        <v>It's lonely at the top</v>
      </c>
      <c r="B77" s="51" t="str">
        <f>IFERROR(__xludf.DUMMYFUNCTION("""COMPUTED_VALUE"""),"Growth Summit")</f>
        <v>Growth Summit</v>
      </c>
      <c r="C77" s="51" t="str">
        <f>IFERROR(__xludf.DUMMYFUNCTION("""COMPUTED_VALUE"""),"Arie Kravtchin")</f>
        <v>Arie Kravtchin</v>
      </c>
      <c r="D77" s="51" t="str">
        <f>IFERROR(__xludf.DUMMYFUNCTION("""COMPUTED_VALUE"""),"2019/11/06 11:30:00")</f>
        <v>2019/11/06 11:30:00</v>
      </c>
      <c r="E77" s="51" t="str">
        <f>IFERROR(__xludf.DUMMYFUNCTION("""COMPUTED_VALUE"""),"2019/11/06 11:34:00")</f>
        <v>2019/11/06 11:34:00</v>
      </c>
      <c r="F77" s="51" t="str">
        <f>IFERROR(__xludf.DUMMYFUNCTION("""COMPUTED_VALUE"""),"b3a49c84-add4-4210-8e47-bf6e20618a30")</f>
        <v>b3a49c84-add4-4210-8e47-bf6e20618a30</v>
      </c>
      <c r="G77" s="58">
        <f>IFERROR(__xludf.DUMMYFUNCTION("""COMPUTED_VALUE"""),43775.0)</f>
        <v>43775</v>
      </c>
      <c r="H77" s="60">
        <f>IFERROR(__xludf.DUMMYFUNCTION("""COMPUTED_VALUE"""),0.4791666666666667)</f>
        <v>0.4791666667</v>
      </c>
      <c r="I77" s="58">
        <f>IFERROR(__xludf.DUMMYFUNCTION("""COMPUTED_VALUE"""),43775.0)</f>
        <v>43775</v>
      </c>
      <c r="J77" s="60">
        <f>IFERROR(__xludf.DUMMYFUNCTION("""COMPUTED_VALUE"""),0.48194444444444445)</f>
        <v>0.4819444444</v>
      </c>
      <c r="K77" s="60">
        <f t="shared" si="1"/>
        <v>0.002777777778</v>
      </c>
      <c r="L77" s="51" t="s">
        <v>583</v>
      </c>
      <c r="M77" s="51"/>
      <c r="N77" s="51"/>
      <c r="O77" s="50"/>
      <c r="P77" s="50"/>
      <c r="Q77" s="63"/>
      <c r="R77" s="51"/>
      <c r="S77" s="51"/>
      <c r="T77" s="51"/>
    </row>
    <row r="78">
      <c r="A78" s="51" t="str">
        <f>IFERROR(__xludf.DUMMYFUNCTION("""COMPUTED_VALUE"""),"Forget retail. Digitising the usage of fashion")</f>
        <v>Forget retail. Digitising the usage of fashion</v>
      </c>
      <c r="B78" s="51" t="str">
        <f>IFERROR(__xludf.DUMMYFUNCTION("""COMPUTED_VALUE"""),"Growth Summit")</f>
        <v>Growth Summit</v>
      </c>
      <c r="C78" s="51" t="str">
        <f>IFERROR(__xludf.DUMMYFUNCTION("""COMPUTED_VALUE"""),"Philipp Seybold")</f>
        <v>Philipp Seybold</v>
      </c>
      <c r="D78" s="51" t="str">
        <f>IFERROR(__xludf.DUMMYFUNCTION("""COMPUTED_VALUE"""),"2019/11/06 11:34:00")</f>
        <v>2019/11/06 11:34:00</v>
      </c>
      <c r="E78" s="51" t="str">
        <f>IFERROR(__xludf.DUMMYFUNCTION("""COMPUTED_VALUE"""),"2019/11/06 11:38:00")</f>
        <v>2019/11/06 11:38:00</v>
      </c>
      <c r="F78" s="51" t="str">
        <f>IFERROR(__xludf.DUMMYFUNCTION("""COMPUTED_VALUE"""),"6e57eb74-efd4-44cd-9f57-82186cc4b890")</f>
        <v>6e57eb74-efd4-44cd-9f57-82186cc4b890</v>
      </c>
      <c r="G78" s="58">
        <f>IFERROR(__xludf.DUMMYFUNCTION("""COMPUTED_VALUE"""),43775.0)</f>
        <v>43775</v>
      </c>
      <c r="H78" s="60">
        <f>IFERROR(__xludf.DUMMYFUNCTION("""COMPUTED_VALUE"""),0.48194444444444445)</f>
        <v>0.4819444444</v>
      </c>
      <c r="I78" s="58">
        <f>IFERROR(__xludf.DUMMYFUNCTION("""COMPUTED_VALUE"""),43775.0)</f>
        <v>43775</v>
      </c>
      <c r="J78" s="60">
        <f>IFERROR(__xludf.DUMMYFUNCTION("""COMPUTED_VALUE"""),0.4847222222222222)</f>
        <v>0.4847222222</v>
      </c>
      <c r="K78" s="60">
        <f t="shared" si="1"/>
        <v>0.002777777778</v>
      </c>
      <c r="L78" s="51" t="s">
        <v>583</v>
      </c>
      <c r="M78" s="51"/>
      <c r="N78" s="51"/>
      <c r="O78" s="50"/>
      <c r="P78" s="50"/>
      <c r="Q78" s="63"/>
      <c r="R78" s="51"/>
      <c r="S78" s="51"/>
      <c r="T78" s="51"/>
    </row>
    <row r="79">
      <c r="A79" s="51" t="str">
        <f>IFERROR(__xludf.DUMMYFUNCTION("""COMPUTED_VALUE"""),"The challenges of growing a B2B AI-based healthtech startup")</f>
        <v>The challenges of growing a B2B AI-based healthtech startup</v>
      </c>
      <c r="B79" s="51" t="str">
        <f>IFERROR(__xludf.DUMMYFUNCTION("""COMPUTED_VALUE"""),"Growth Summit")</f>
        <v>Growth Summit</v>
      </c>
      <c r="C79" s="51" t="str">
        <f>IFERROR(__xludf.DUMMYFUNCTION("""COMPUTED_VALUE"""),"Landon McKenna")</f>
        <v>Landon McKenna</v>
      </c>
      <c r="D79" s="51" t="str">
        <f>IFERROR(__xludf.DUMMYFUNCTION("""COMPUTED_VALUE"""),"2019/11/06 11:38:00")</f>
        <v>2019/11/06 11:38:00</v>
      </c>
      <c r="E79" s="51" t="str">
        <f>IFERROR(__xludf.DUMMYFUNCTION("""COMPUTED_VALUE"""),"2019/11/06 11:42:00")</f>
        <v>2019/11/06 11:42:00</v>
      </c>
      <c r="F79" s="51" t="str">
        <f>IFERROR(__xludf.DUMMYFUNCTION("""COMPUTED_VALUE"""),"9496b3fa-3e90-44e1-87d8-98237be9ace4")</f>
        <v>9496b3fa-3e90-44e1-87d8-98237be9ace4</v>
      </c>
      <c r="G79" s="58">
        <f>IFERROR(__xludf.DUMMYFUNCTION("""COMPUTED_VALUE"""),43775.0)</f>
        <v>43775</v>
      </c>
      <c r="H79" s="60">
        <f>IFERROR(__xludf.DUMMYFUNCTION("""COMPUTED_VALUE"""),0.4847222222222222)</f>
        <v>0.4847222222</v>
      </c>
      <c r="I79" s="58">
        <f>IFERROR(__xludf.DUMMYFUNCTION("""COMPUTED_VALUE"""),43775.0)</f>
        <v>43775</v>
      </c>
      <c r="J79" s="60">
        <f>IFERROR(__xludf.DUMMYFUNCTION("""COMPUTED_VALUE"""),0.4875)</f>
        <v>0.4875</v>
      </c>
      <c r="K79" s="60">
        <f t="shared" si="1"/>
        <v>0.002777777778</v>
      </c>
      <c r="L79" s="51" t="s">
        <v>583</v>
      </c>
      <c r="M79" s="51"/>
      <c r="N79" s="51"/>
      <c r="O79" s="50"/>
      <c r="P79" s="50"/>
      <c r="Q79" s="63"/>
      <c r="R79" s="51"/>
      <c r="S79" s="51"/>
      <c r="T79" s="51"/>
    </row>
    <row r="80">
      <c r="A80" s="51" t="str">
        <f>IFERROR(__xludf.DUMMYFUNCTION("""COMPUTED_VALUE"""),"Inbound sales and data protection")</f>
        <v>Inbound sales and data protection</v>
      </c>
      <c r="B80" s="51" t="str">
        <f>IFERROR(__xludf.DUMMYFUNCTION("""COMPUTED_VALUE"""),"Growth Summit")</f>
        <v>Growth Summit</v>
      </c>
      <c r="C80" s="51" t="str">
        <f>IFERROR(__xludf.DUMMYFUNCTION("""COMPUTED_VALUE"""),"Sylvain Tillon")</f>
        <v>Sylvain Tillon</v>
      </c>
      <c r="D80" s="51" t="str">
        <f>IFERROR(__xludf.DUMMYFUNCTION("""COMPUTED_VALUE"""),"2019/11/06 11:42:00")</f>
        <v>2019/11/06 11:42:00</v>
      </c>
      <c r="E80" s="51" t="str">
        <f>IFERROR(__xludf.DUMMYFUNCTION("""COMPUTED_VALUE"""),"2019/11/06 11:46:00")</f>
        <v>2019/11/06 11:46:00</v>
      </c>
      <c r="F80" s="51" t="str">
        <f>IFERROR(__xludf.DUMMYFUNCTION("""COMPUTED_VALUE"""),"05a729be-6401-4b5c-9b09-d263e20f5f60")</f>
        <v>05a729be-6401-4b5c-9b09-d263e20f5f60</v>
      </c>
      <c r="G80" s="58">
        <f>IFERROR(__xludf.DUMMYFUNCTION("""COMPUTED_VALUE"""),43775.0)</f>
        <v>43775</v>
      </c>
      <c r="H80" s="60">
        <f>IFERROR(__xludf.DUMMYFUNCTION("""COMPUTED_VALUE"""),0.4875)</f>
        <v>0.4875</v>
      </c>
      <c r="I80" s="58">
        <f>IFERROR(__xludf.DUMMYFUNCTION("""COMPUTED_VALUE"""),43775.0)</f>
        <v>43775</v>
      </c>
      <c r="J80" s="60">
        <f>IFERROR(__xludf.DUMMYFUNCTION("""COMPUTED_VALUE"""),0.49027777777777776)</f>
        <v>0.4902777778</v>
      </c>
      <c r="K80" s="60">
        <f t="shared" si="1"/>
        <v>0.002777777778</v>
      </c>
      <c r="L80" s="51" t="s">
        <v>583</v>
      </c>
      <c r="M80" s="51"/>
      <c r="N80" s="51"/>
      <c r="O80" s="50"/>
      <c r="P80" s="50"/>
      <c r="Q80" s="63"/>
      <c r="R80" s="51"/>
      <c r="S80" s="51"/>
      <c r="T80" s="51"/>
    </row>
    <row r="81">
      <c r="A81" s="51" t="str">
        <f>IFERROR(__xludf.DUMMYFUNCTION("""COMPUTED_VALUE"""),"Pivoting your business model to generate growth")</f>
        <v>Pivoting your business model to generate growth</v>
      </c>
      <c r="B81" s="51" t="str">
        <f>IFERROR(__xludf.DUMMYFUNCTION("""COMPUTED_VALUE"""),"Growth Summit")</f>
        <v>Growth Summit</v>
      </c>
      <c r="C81" s="51" t="str">
        <f>IFERROR(__xludf.DUMMYFUNCTION("""COMPUTED_VALUE"""),"Petr Stransky")</f>
        <v>Petr Stransky</v>
      </c>
      <c r="D81" s="51" t="str">
        <f>IFERROR(__xludf.DUMMYFUNCTION("""COMPUTED_VALUE"""),"2019/11/06 11:46:00")</f>
        <v>2019/11/06 11:46:00</v>
      </c>
      <c r="E81" s="51" t="str">
        <f>IFERROR(__xludf.DUMMYFUNCTION("""COMPUTED_VALUE"""),"2019/11/06 11:50:00")</f>
        <v>2019/11/06 11:50:00</v>
      </c>
      <c r="F81" s="51" t="str">
        <f>IFERROR(__xludf.DUMMYFUNCTION("""COMPUTED_VALUE"""),"89533609-89a7-4989-b1af-96b33fd00050")</f>
        <v>89533609-89a7-4989-b1af-96b33fd00050</v>
      </c>
      <c r="G81" s="58">
        <f>IFERROR(__xludf.DUMMYFUNCTION("""COMPUTED_VALUE"""),43775.0)</f>
        <v>43775</v>
      </c>
      <c r="H81" s="60">
        <f>IFERROR(__xludf.DUMMYFUNCTION("""COMPUTED_VALUE"""),0.49027777777777776)</f>
        <v>0.4902777778</v>
      </c>
      <c r="I81" s="58">
        <f>IFERROR(__xludf.DUMMYFUNCTION("""COMPUTED_VALUE"""),43775.0)</f>
        <v>43775</v>
      </c>
      <c r="J81" s="60">
        <f>IFERROR(__xludf.DUMMYFUNCTION("""COMPUTED_VALUE"""),0.4930555555555556)</f>
        <v>0.4930555556</v>
      </c>
      <c r="K81" s="60">
        <f t="shared" si="1"/>
        <v>0.002777777778</v>
      </c>
      <c r="L81" s="51" t="s">
        <v>583</v>
      </c>
      <c r="M81" s="51"/>
      <c r="N81" s="51"/>
      <c r="O81" s="50"/>
      <c r="P81" s="50"/>
      <c r="Q81" s="63"/>
      <c r="R81" s="51"/>
      <c r="S81" s="51"/>
      <c r="T81" s="51"/>
    </row>
    <row r="82">
      <c r="A82" s="51" t="str">
        <f>IFERROR(__xludf.DUMMYFUNCTION("""COMPUTED_VALUE"""),"Lunch break")</f>
        <v>Lunch break</v>
      </c>
      <c r="B82" s="51" t="str">
        <f>IFERROR(__xludf.DUMMYFUNCTION("""COMPUTED_VALUE"""),"Growth Summit")</f>
        <v>Growth Summit</v>
      </c>
      <c r="C82" s="51" t="str">
        <f>IFERROR(__xludf.DUMMYFUNCTION("""COMPUTED_VALUE"""),"")</f>
        <v/>
      </c>
      <c r="D82" s="51" t="str">
        <f>IFERROR(__xludf.DUMMYFUNCTION("""COMPUTED_VALUE"""),"2019/11/06 11:58:00")</f>
        <v>2019/11/06 11:58:00</v>
      </c>
      <c r="E82" s="51" t="str">
        <f>IFERROR(__xludf.DUMMYFUNCTION("""COMPUTED_VALUE"""),"2019/11/06 12:28:00")</f>
        <v>2019/11/06 12:28:00</v>
      </c>
      <c r="F82" s="51" t="str">
        <f>IFERROR(__xludf.DUMMYFUNCTION("""COMPUTED_VALUE"""),"ad321c9f-fcbe-4d6f-95c2-8e0e96d708b3")</f>
        <v>ad321c9f-fcbe-4d6f-95c2-8e0e96d708b3</v>
      </c>
      <c r="G82" s="58">
        <f>IFERROR(__xludf.DUMMYFUNCTION("""COMPUTED_VALUE"""),43775.0)</f>
        <v>43775</v>
      </c>
      <c r="H82" s="60">
        <f>IFERROR(__xludf.DUMMYFUNCTION("""COMPUTED_VALUE"""),0.4986111111111111)</f>
        <v>0.4986111111</v>
      </c>
      <c r="I82" s="58">
        <f>IFERROR(__xludf.DUMMYFUNCTION("""COMPUTED_VALUE"""),43775.0)</f>
        <v>43775</v>
      </c>
      <c r="J82" s="60">
        <f>IFERROR(__xludf.DUMMYFUNCTION("""COMPUTED_VALUE"""),0.5194444444444445)</f>
        <v>0.5194444444</v>
      </c>
      <c r="K82" s="60">
        <f t="shared" si="1"/>
        <v>0.02083333333</v>
      </c>
      <c r="L82" s="51" t="s">
        <v>105</v>
      </c>
      <c r="M82" s="51"/>
      <c r="N82" s="51"/>
      <c r="O82" s="50"/>
      <c r="P82" s="50"/>
      <c r="Q82" s="63"/>
      <c r="R82" s="51"/>
      <c r="S82" s="51"/>
      <c r="T82" s="51"/>
    </row>
    <row r="83">
      <c r="A83" s="51" t="str">
        <f>IFERROR(__xludf.DUMMYFUNCTION("""COMPUTED_VALUE"""),"Opening remarks")</f>
        <v>Opening remarks</v>
      </c>
      <c r="B83" s="51" t="str">
        <f>IFERROR(__xludf.DUMMYFUNCTION("""COMPUTED_VALUE"""),"Growth Summit")</f>
        <v>Growth Summit</v>
      </c>
      <c r="C83" s="51" t="str">
        <f>IFERROR(__xludf.DUMMYFUNCTION("""COMPUTED_VALUE"""),"Brendan Yell")</f>
        <v>Brendan Yell</v>
      </c>
      <c r="D83" s="51" t="str">
        <f>IFERROR(__xludf.DUMMYFUNCTION("""COMPUTED_VALUE"""),"2019/11/06 12:28:00")</f>
        <v>2019/11/06 12:28:00</v>
      </c>
      <c r="E83" s="51" t="str">
        <f>IFERROR(__xludf.DUMMYFUNCTION("""COMPUTED_VALUE"""),"2019/11/06 12:30:00")</f>
        <v>2019/11/06 12:30:00</v>
      </c>
      <c r="F83" s="51" t="str">
        <f>IFERROR(__xludf.DUMMYFUNCTION("""COMPUTED_VALUE"""),"4052c0c2-50ec-4875-ac66-cf28b2014572")</f>
        <v>4052c0c2-50ec-4875-ac66-cf28b2014572</v>
      </c>
      <c r="G83" s="58">
        <f>IFERROR(__xludf.DUMMYFUNCTION("""COMPUTED_VALUE"""),43775.0)</f>
        <v>43775</v>
      </c>
      <c r="H83" s="60">
        <f>IFERROR(__xludf.DUMMYFUNCTION("""COMPUTED_VALUE"""),0.5194444444444445)</f>
        <v>0.5194444444</v>
      </c>
      <c r="I83" s="58">
        <f>IFERROR(__xludf.DUMMYFUNCTION("""COMPUTED_VALUE"""),43775.0)</f>
        <v>43775</v>
      </c>
      <c r="J83" s="60">
        <f>IFERROR(__xludf.DUMMYFUNCTION("""COMPUTED_VALUE"""),0.5208333333333334)</f>
        <v>0.5208333333</v>
      </c>
      <c r="K83" s="60">
        <f t="shared" si="1"/>
        <v>0.001388888889</v>
      </c>
      <c r="L83" s="51" t="s">
        <v>584</v>
      </c>
      <c r="M83" s="51"/>
      <c r="N83" s="51"/>
      <c r="O83" s="50"/>
      <c r="P83" s="50"/>
      <c r="Q83" s="63"/>
      <c r="R83" s="51"/>
      <c r="S83" s="51"/>
      <c r="T83" s="51"/>
    </row>
    <row r="84">
      <c r="A84" s="51" t="str">
        <f>IFERROR(__xludf.DUMMYFUNCTION("""COMPUTED_VALUE"""),"From idea to maturity: Building a startup into a globally trusted partner")</f>
        <v>From idea to maturity: Building a startup into a globally trusted partner</v>
      </c>
      <c r="B84" s="51" t="str">
        <f>IFERROR(__xludf.DUMMYFUNCTION("""COMPUTED_VALUE"""),"Growth Summit")</f>
        <v>Growth Summit</v>
      </c>
      <c r="C84" s="51" t="str">
        <f>IFERROR(__xludf.DUMMYFUNCTION("""COMPUTED_VALUE"""),"Moshe Shlisel")</f>
        <v>Moshe Shlisel</v>
      </c>
      <c r="D84" s="51" t="str">
        <f>IFERROR(__xludf.DUMMYFUNCTION("""COMPUTED_VALUE"""),"2019/11/06 12:30:00")</f>
        <v>2019/11/06 12:30:00</v>
      </c>
      <c r="E84" s="51" t="str">
        <f>IFERROR(__xludf.DUMMYFUNCTION("""COMPUTED_VALUE"""),"2019/11/06 12:41:00")</f>
        <v>2019/11/06 12:41:00</v>
      </c>
      <c r="F84" s="51" t="str">
        <f>IFERROR(__xludf.DUMMYFUNCTION("""COMPUTED_VALUE"""),"69675970-591a-4383-b86d-95c1b39912e8")</f>
        <v>69675970-591a-4383-b86d-95c1b39912e8</v>
      </c>
      <c r="G84" s="58">
        <f>IFERROR(__xludf.DUMMYFUNCTION("""COMPUTED_VALUE"""),43775.0)</f>
        <v>43775</v>
      </c>
      <c r="H84" s="60">
        <f>IFERROR(__xludf.DUMMYFUNCTION("""COMPUTED_VALUE"""),0.5208333333333334)</f>
        <v>0.5208333333</v>
      </c>
      <c r="I84" s="58">
        <f>IFERROR(__xludf.DUMMYFUNCTION("""COMPUTED_VALUE"""),43775.0)</f>
        <v>43775</v>
      </c>
      <c r="J84" s="60">
        <f>IFERROR(__xludf.DUMMYFUNCTION("""COMPUTED_VALUE"""),0.5284722222222222)</f>
        <v>0.5284722222</v>
      </c>
      <c r="K84" s="60">
        <f t="shared" si="1"/>
        <v>0.007638888889</v>
      </c>
      <c r="L84" s="51" t="s">
        <v>585</v>
      </c>
      <c r="M84" s="51"/>
      <c r="N84" s="51"/>
      <c r="O84" s="50"/>
      <c r="P84" s="50"/>
      <c r="Q84" s="63"/>
      <c r="R84" s="51"/>
      <c r="S84" s="51"/>
      <c r="T84" s="51"/>
    </row>
    <row r="85">
      <c r="A85" s="51" t="str">
        <f>IFERROR(__xludf.DUMMYFUNCTION("""COMPUTED_VALUE"""),"Why AI-based decision making will grow your company")</f>
        <v>Why AI-based decision making will grow your company</v>
      </c>
      <c r="B85" s="51" t="str">
        <f>IFERROR(__xludf.DUMMYFUNCTION("""COMPUTED_VALUE"""),"Growth Summit")</f>
        <v>Growth Summit</v>
      </c>
      <c r="C85" s="51" t="str">
        <f>IFERROR(__xludf.DUMMYFUNCTION("""COMPUTED_VALUE"""),"Vishal Chatrath")</f>
        <v>Vishal Chatrath</v>
      </c>
      <c r="D85" s="51" t="str">
        <f>IFERROR(__xludf.DUMMYFUNCTION("""COMPUTED_VALUE"""),"2019/11/06 12:41:00")</f>
        <v>2019/11/06 12:41:00</v>
      </c>
      <c r="E85" s="51" t="str">
        <f>IFERROR(__xludf.DUMMYFUNCTION("""COMPUTED_VALUE"""),"2019/11/06 12:52:00")</f>
        <v>2019/11/06 12:52:00</v>
      </c>
      <c r="F85" s="51" t="str">
        <f>IFERROR(__xludf.DUMMYFUNCTION("""COMPUTED_VALUE"""),"51ae4986-1360-46e7-92eb-2af6e705c8fa")</f>
        <v>51ae4986-1360-46e7-92eb-2af6e705c8fa</v>
      </c>
      <c r="G85" s="58">
        <f>IFERROR(__xludf.DUMMYFUNCTION("""COMPUTED_VALUE"""),43775.0)</f>
        <v>43775</v>
      </c>
      <c r="H85" s="60">
        <f>IFERROR(__xludf.DUMMYFUNCTION("""COMPUTED_VALUE"""),0.5284722222222222)</f>
        <v>0.5284722222</v>
      </c>
      <c r="I85" s="58">
        <f>IFERROR(__xludf.DUMMYFUNCTION("""COMPUTED_VALUE"""),43775.0)</f>
        <v>43775</v>
      </c>
      <c r="J85" s="60">
        <f>IFERROR(__xludf.DUMMYFUNCTION("""COMPUTED_VALUE"""),0.5361111111111111)</f>
        <v>0.5361111111</v>
      </c>
      <c r="K85" s="60">
        <f t="shared" si="1"/>
        <v>0.007638888889</v>
      </c>
      <c r="L85" s="51" t="s">
        <v>585</v>
      </c>
      <c r="M85" s="51"/>
      <c r="N85" s="51"/>
      <c r="O85" s="50"/>
      <c r="P85" s="50"/>
      <c r="Q85" s="63"/>
      <c r="R85" s="51"/>
      <c r="S85" s="51"/>
      <c r="T85" s="51"/>
    </row>
    <row r="86">
      <c r="A86" s="51" t="str">
        <f>IFERROR(__xludf.DUMMYFUNCTION("""COMPUTED_VALUE"""),"It’s all about focus: How to recognise key goals and achieve them")</f>
        <v>It’s all about focus: How to recognise key goals and achieve them</v>
      </c>
      <c r="B86" s="51" t="str">
        <f>IFERROR(__xludf.DUMMYFUNCTION("""COMPUTED_VALUE"""),"Growth Summit")</f>
        <v>Growth Summit</v>
      </c>
      <c r="C86" s="51" t="str">
        <f>IFERROR(__xludf.DUMMYFUNCTION("""COMPUTED_VALUE"""),"Sofie Quidenus Wahlforss")</f>
        <v>Sofie Quidenus Wahlforss</v>
      </c>
      <c r="D86" s="51" t="str">
        <f>IFERROR(__xludf.DUMMYFUNCTION("""COMPUTED_VALUE"""),"2019/11/06 12:52:00")</f>
        <v>2019/11/06 12:52:00</v>
      </c>
      <c r="E86" s="51" t="str">
        <f>IFERROR(__xludf.DUMMYFUNCTION("""COMPUTED_VALUE"""),"2019/11/06 13:03:00")</f>
        <v>2019/11/06 13:03:00</v>
      </c>
      <c r="F86" s="51" t="str">
        <f>IFERROR(__xludf.DUMMYFUNCTION("""COMPUTED_VALUE"""),"b0509794-10e7-44d5-ac2e-a82e86451538")</f>
        <v>b0509794-10e7-44d5-ac2e-a82e86451538</v>
      </c>
      <c r="G86" s="58">
        <f>IFERROR(__xludf.DUMMYFUNCTION("""COMPUTED_VALUE"""),43775.0)</f>
        <v>43775</v>
      </c>
      <c r="H86" s="60">
        <f>IFERROR(__xludf.DUMMYFUNCTION("""COMPUTED_VALUE"""),0.5361111111111111)</f>
        <v>0.5361111111</v>
      </c>
      <c r="I86" s="58">
        <f>IFERROR(__xludf.DUMMYFUNCTION("""COMPUTED_VALUE"""),43775.0)</f>
        <v>43775</v>
      </c>
      <c r="J86" s="60">
        <f>IFERROR(__xludf.DUMMYFUNCTION("""COMPUTED_VALUE"""),0.54375)</f>
        <v>0.54375</v>
      </c>
      <c r="K86" s="60">
        <f t="shared" si="1"/>
        <v>0.007638888889</v>
      </c>
      <c r="L86" s="51" t="s">
        <v>585</v>
      </c>
      <c r="M86" s="51"/>
      <c r="N86" s="51"/>
      <c r="O86" s="50"/>
      <c r="P86" s="50"/>
      <c r="Q86" s="63"/>
      <c r="R86" s="51"/>
      <c r="S86" s="51"/>
      <c r="T86" s="51"/>
    </row>
    <row r="87">
      <c r="A87" s="51" t="str">
        <f>IFERROR(__xludf.DUMMYFUNCTION("""COMPUTED_VALUE"""),"Bridging Africa’s power gap: The disruptive power of clean energy tech")</f>
        <v>Bridging Africa’s power gap: The disruptive power of clean energy tech</v>
      </c>
      <c r="B87" s="51" t="str">
        <f>IFERROR(__xludf.DUMMYFUNCTION("""COMPUTED_VALUE"""),"Growth Summit")</f>
        <v>Growth Summit</v>
      </c>
      <c r="C87" s="51" t="str">
        <f>IFERROR(__xludf.DUMMYFUNCTION("""COMPUTED_VALUE"""),"Olaedo Osoka")</f>
        <v>Olaedo Osoka</v>
      </c>
      <c r="D87" s="51" t="str">
        <f>IFERROR(__xludf.DUMMYFUNCTION("""COMPUTED_VALUE"""),"2019/11/06 13:03:00")</f>
        <v>2019/11/06 13:03:00</v>
      </c>
      <c r="E87" s="51" t="str">
        <f>IFERROR(__xludf.DUMMYFUNCTION("""COMPUTED_VALUE"""),"2019/11/06 13:14:00")</f>
        <v>2019/11/06 13:14:00</v>
      </c>
      <c r="F87" s="51" t="str">
        <f>IFERROR(__xludf.DUMMYFUNCTION("""COMPUTED_VALUE"""),"04eba973-7a52-4779-8ba0-e3a83a9b3198")</f>
        <v>04eba973-7a52-4779-8ba0-e3a83a9b3198</v>
      </c>
      <c r="G87" s="58">
        <f>IFERROR(__xludf.DUMMYFUNCTION("""COMPUTED_VALUE"""),43775.0)</f>
        <v>43775</v>
      </c>
      <c r="H87" s="60">
        <f>IFERROR(__xludf.DUMMYFUNCTION("""COMPUTED_VALUE"""),0.54375)</f>
        <v>0.54375</v>
      </c>
      <c r="I87" s="58">
        <f>IFERROR(__xludf.DUMMYFUNCTION("""COMPUTED_VALUE"""),43775.0)</f>
        <v>43775</v>
      </c>
      <c r="J87" s="60">
        <f>IFERROR(__xludf.DUMMYFUNCTION("""COMPUTED_VALUE"""),0.5513888888888889)</f>
        <v>0.5513888889</v>
      </c>
      <c r="K87" s="60">
        <f t="shared" si="1"/>
        <v>0.007638888889</v>
      </c>
      <c r="L87" s="51" t="s">
        <v>585</v>
      </c>
      <c r="M87" s="51"/>
      <c r="N87" s="51"/>
      <c r="O87" s="50"/>
      <c r="P87" s="50"/>
      <c r="Q87" s="63"/>
      <c r="R87" s="51"/>
      <c r="S87" s="51"/>
      <c r="T87" s="51"/>
    </row>
    <row r="88">
      <c r="A88" s="51" t="str">
        <f>IFERROR(__xludf.DUMMYFUNCTION("""COMPUTED_VALUE"""),"The Appier story: Making business impact with AI")</f>
        <v>The Appier story: Making business impact with AI</v>
      </c>
      <c r="B88" s="51" t="str">
        <f>IFERROR(__xludf.DUMMYFUNCTION("""COMPUTED_VALUE"""),"Growth Summit")</f>
        <v>Growth Summit</v>
      </c>
      <c r="C88" s="51" t="str">
        <f>IFERROR(__xludf.DUMMYFUNCTION("""COMPUTED_VALUE"""),"Winnie Lee")</f>
        <v>Winnie Lee</v>
      </c>
      <c r="D88" s="51" t="str">
        <f>IFERROR(__xludf.DUMMYFUNCTION("""COMPUTED_VALUE"""),"2019/11/06 13:14:00")</f>
        <v>2019/11/06 13:14:00</v>
      </c>
      <c r="E88" s="51" t="str">
        <f>IFERROR(__xludf.DUMMYFUNCTION("""COMPUTED_VALUE"""),"2019/11/06 13:25:00")</f>
        <v>2019/11/06 13:25:00</v>
      </c>
      <c r="F88" s="51" t="str">
        <f>IFERROR(__xludf.DUMMYFUNCTION("""COMPUTED_VALUE"""),"5d494c27-fbd2-4e99-b5e5-c6b46d5aa076")</f>
        <v>5d494c27-fbd2-4e99-b5e5-c6b46d5aa076</v>
      </c>
      <c r="G88" s="58">
        <f>IFERROR(__xludf.DUMMYFUNCTION("""COMPUTED_VALUE"""),43775.0)</f>
        <v>43775</v>
      </c>
      <c r="H88" s="60">
        <f>IFERROR(__xludf.DUMMYFUNCTION("""COMPUTED_VALUE"""),0.5513888888888889)</f>
        <v>0.5513888889</v>
      </c>
      <c r="I88" s="58">
        <f>IFERROR(__xludf.DUMMYFUNCTION("""COMPUTED_VALUE"""),43775.0)</f>
        <v>43775</v>
      </c>
      <c r="J88" s="60">
        <f>IFERROR(__xludf.DUMMYFUNCTION("""COMPUTED_VALUE"""),0.5590277777777778)</f>
        <v>0.5590277778</v>
      </c>
      <c r="K88" s="60">
        <f t="shared" si="1"/>
        <v>0.007638888889</v>
      </c>
      <c r="L88" s="51" t="s">
        <v>585</v>
      </c>
      <c r="M88" s="51"/>
      <c r="N88" s="51"/>
      <c r="O88" s="50"/>
      <c r="P88" s="50"/>
      <c r="Q88" s="63"/>
      <c r="R88" s="51"/>
      <c r="S88" s="51"/>
      <c r="T88" s="51"/>
    </row>
    <row r="89">
      <c r="A89" s="51" t="str">
        <f>IFERROR(__xludf.DUMMYFUNCTION("""COMPUTED_VALUE"""),"The potential of Hardware as a Service in enterprise")</f>
        <v>The potential of Hardware as a Service in enterprise</v>
      </c>
      <c r="B89" s="51" t="str">
        <f>IFERROR(__xludf.DUMMYFUNCTION("""COMPUTED_VALUE"""),"Growth Summit")</f>
        <v>Growth Summit</v>
      </c>
      <c r="C89" s="51" t="str">
        <f>IFERROR(__xludf.DUMMYFUNCTION("""COMPUTED_VALUE"""),"Vince Gaydarzhiev")</f>
        <v>Vince Gaydarzhiev</v>
      </c>
      <c r="D89" s="51" t="str">
        <f>IFERROR(__xludf.DUMMYFUNCTION("""COMPUTED_VALUE"""),"2019/11/06 13:25:00")</f>
        <v>2019/11/06 13:25:00</v>
      </c>
      <c r="E89" s="51" t="str">
        <f>IFERROR(__xludf.DUMMYFUNCTION("""COMPUTED_VALUE"""),"2019/11/06 13:36:00")</f>
        <v>2019/11/06 13:36:00</v>
      </c>
      <c r="F89" s="51" t="str">
        <f>IFERROR(__xludf.DUMMYFUNCTION("""COMPUTED_VALUE"""),"392711dd-98e0-4410-98ac-d8c44eee0a6f")</f>
        <v>392711dd-98e0-4410-98ac-d8c44eee0a6f</v>
      </c>
      <c r="G89" s="58">
        <f>IFERROR(__xludf.DUMMYFUNCTION("""COMPUTED_VALUE"""),43775.0)</f>
        <v>43775</v>
      </c>
      <c r="H89" s="60">
        <f>IFERROR(__xludf.DUMMYFUNCTION("""COMPUTED_VALUE"""),0.5590277777777778)</f>
        <v>0.5590277778</v>
      </c>
      <c r="I89" s="58">
        <f>IFERROR(__xludf.DUMMYFUNCTION("""COMPUTED_VALUE"""),43775.0)</f>
        <v>43775</v>
      </c>
      <c r="J89" s="60">
        <f>IFERROR(__xludf.DUMMYFUNCTION("""COMPUTED_VALUE"""),0.5666666666666667)</f>
        <v>0.5666666667</v>
      </c>
      <c r="K89" s="60">
        <f t="shared" si="1"/>
        <v>0.007638888889</v>
      </c>
      <c r="L89" s="51" t="s">
        <v>585</v>
      </c>
      <c r="M89" s="51"/>
      <c r="N89" s="51"/>
      <c r="O89" s="50"/>
      <c r="P89" s="50"/>
      <c r="Q89" s="63"/>
      <c r="R89" s="51"/>
      <c r="S89" s="51"/>
      <c r="T89" s="51"/>
    </row>
    <row r="90">
      <c r="A90" s="51" t="str">
        <f>IFERROR(__xludf.DUMMYFUNCTION("""COMPUTED_VALUE"""),"Building the future of work with humanness")</f>
        <v>Building the future of work with humanness</v>
      </c>
      <c r="B90" s="51" t="str">
        <f>IFERROR(__xludf.DUMMYFUNCTION("""COMPUTED_VALUE"""),"Growth Summit")</f>
        <v>Growth Summit</v>
      </c>
      <c r="C90" s="51" t="str">
        <f>IFERROR(__xludf.DUMMYFUNCTION("""COMPUTED_VALUE"""),"Parul Gupta")</f>
        <v>Parul Gupta</v>
      </c>
      <c r="D90" s="51" t="str">
        <f>IFERROR(__xludf.DUMMYFUNCTION("""COMPUTED_VALUE"""),"2019/11/06 13:36:00")</f>
        <v>2019/11/06 13:36:00</v>
      </c>
      <c r="E90" s="51" t="str">
        <f>IFERROR(__xludf.DUMMYFUNCTION("""COMPUTED_VALUE"""),"2019/11/06 13:47:00")</f>
        <v>2019/11/06 13:47:00</v>
      </c>
      <c r="F90" s="51" t="str">
        <f>IFERROR(__xludf.DUMMYFUNCTION("""COMPUTED_VALUE"""),"584a298c-7cc3-41f2-a789-553523ed53b3")</f>
        <v>584a298c-7cc3-41f2-a789-553523ed53b3</v>
      </c>
      <c r="G90" s="58">
        <f>IFERROR(__xludf.DUMMYFUNCTION("""COMPUTED_VALUE"""),43775.0)</f>
        <v>43775</v>
      </c>
      <c r="H90" s="60">
        <f>IFERROR(__xludf.DUMMYFUNCTION("""COMPUTED_VALUE"""),0.5666666666666667)</f>
        <v>0.5666666667</v>
      </c>
      <c r="I90" s="58">
        <f>IFERROR(__xludf.DUMMYFUNCTION("""COMPUTED_VALUE"""),43775.0)</f>
        <v>43775</v>
      </c>
      <c r="J90" s="60">
        <f>IFERROR(__xludf.DUMMYFUNCTION("""COMPUTED_VALUE"""),0.5743055555555555)</f>
        <v>0.5743055556</v>
      </c>
      <c r="K90" s="60">
        <f t="shared" si="1"/>
        <v>0.007638888889</v>
      </c>
      <c r="L90" s="51" t="s">
        <v>585</v>
      </c>
      <c r="M90" s="51"/>
      <c r="N90" s="51"/>
      <c r="O90" s="50"/>
      <c r="P90" s="50"/>
      <c r="Q90" s="63"/>
      <c r="R90" s="51"/>
      <c r="S90" s="51"/>
      <c r="T90" s="51"/>
    </row>
    <row r="91">
      <c r="A91" s="51" t="str">
        <f>IFERROR(__xludf.DUMMYFUNCTION("""COMPUTED_VALUE"""),"Freeletics: The importance of continuous change in fitness")</f>
        <v>Freeletics: The importance of continuous change in fitness</v>
      </c>
      <c r="B91" s="51" t="str">
        <f>IFERROR(__xludf.DUMMYFUNCTION("""COMPUTED_VALUE"""),"Growth Summit")</f>
        <v>Growth Summit</v>
      </c>
      <c r="C91" s="51" t="str">
        <f>IFERROR(__xludf.DUMMYFUNCTION("""COMPUTED_VALUE"""),"Daniel Sobhani")</f>
        <v>Daniel Sobhani</v>
      </c>
      <c r="D91" s="51" t="str">
        <f>IFERROR(__xludf.DUMMYFUNCTION("""COMPUTED_VALUE"""),"2019/11/06 13:47:00")</f>
        <v>2019/11/06 13:47:00</v>
      </c>
      <c r="E91" s="51" t="str">
        <f>IFERROR(__xludf.DUMMYFUNCTION("""COMPUTED_VALUE"""),"2019/11/06 13:58:00")</f>
        <v>2019/11/06 13:58:00</v>
      </c>
      <c r="F91" s="51" t="str">
        <f>IFERROR(__xludf.DUMMYFUNCTION("""COMPUTED_VALUE"""),"f2716cba-f93a-4d74-9797-30c1b535c3d6")</f>
        <v>f2716cba-f93a-4d74-9797-30c1b535c3d6</v>
      </c>
      <c r="G91" s="58">
        <f>IFERROR(__xludf.DUMMYFUNCTION("""COMPUTED_VALUE"""),43775.0)</f>
        <v>43775</v>
      </c>
      <c r="H91" s="60">
        <f>IFERROR(__xludf.DUMMYFUNCTION("""COMPUTED_VALUE"""),0.5743055555555555)</f>
        <v>0.5743055556</v>
      </c>
      <c r="I91" s="58">
        <f>IFERROR(__xludf.DUMMYFUNCTION("""COMPUTED_VALUE"""),43775.0)</f>
        <v>43775</v>
      </c>
      <c r="J91" s="60">
        <f>IFERROR(__xludf.DUMMYFUNCTION("""COMPUTED_VALUE"""),0.5819444444444445)</f>
        <v>0.5819444444</v>
      </c>
      <c r="K91" s="60">
        <f t="shared" si="1"/>
        <v>0.007638888889</v>
      </c>
      <c r="L91" s="51" t="s">
        <v>585</v>
      </c>
      <c r="M91" s="51"/>
      <c r="N91" s="51"/>
      <c r="O91" s="50"/>
      <c r="P91" s="50"/>
      <c r="Q91" s="63"/>
      <c r="R91" s="51"/>
      <c r="S91" s="51"/>
      <c r="T91" s="51"/>
    </row>
    <row r="92">
      <c r="A92" s="51" t="str">
        <f>IFERROR(__xludf.DUMMYFUNCTION("""COMPUTED_VALUE"""),"Beyond the Hype: Getting in flow after CryptoKitties")</f>
        <v>Beyond the Hype: Getting in flow after CryptoKitties</v>
      </c>
      <c r="B92" s="51" t="str">
        <f>IFERROR(__xludf.DUMMYFUNCTION("""COMPUTED_VALUE"""),"Growth Summit")</f>
        <v>Growth Summit</v>
      </c>
      <c r="C92" s="51" t="str">
        <f>IFERROR(__xludf.DUMMYFUNCTION("""COMPUTED_VALUE"""),"Roham Gharegozlou")</f>
        <v>Roham Gharegozlou</v>
      </c>
      <c r="D92" s="51" t="str">
        <f>IFERROR(__xludf.DUMMYFUNCTION("""COMPUTED_VALUE"""),"2019/11/06 13:58:00")</f>
        <v>2019/11/06 13:58:00</v>
      </c>
      <c r="E92" s="51" t="str">
        <f>IFERROR(__xludf.DUMMYFUNCTION("""COMPUTED_VALUE"""),"2019/11/06 14:09:00")</f>
        <v>2019/11/06 14:09:00</v>
      </c>
      <c r="F92" s="51" t="str">
        <f>IFERROR(__xludf.DUMMYFUNCTION("""COMPUTED_VALUE"""),"30ca1ec0-026d-4add-9299-721bfb182a97")</f>
        <v>30ca1ec0-026d-4add-9299-721bfb182a97</v>
      </c>
      <c r="G92" s="58">
        <f>IFERROR(__xludf.DUMMYFUNCTION("""COMPUTED_VALUE"""),43775.0)</f>
        <v>43775</v>
      </c>
      <c r="H92" s="60">
        <f>IFERROR(__xludf.DUMMYFUNCTION("""COMPUTED_VALUE"""),0.5819444444444445)</f>
        <v>0.5819444444</v>
      </c>
      <c r="I92" s="58">
        <f>IFERROR(__xludf.DUMMYFUNCTION("""COMPUTED_VALUE"""),43775.0)</f>
        <v>43775</v>
      </c>
      <c r="J92" s="60">
        <f>IFERROR(__xludf.DUMMYFUNCTION("""COMPUTED_VALUE"""),0.5895833333333333)</f>
        <v>0.5895833333</v>
      </c>
      <c r="K92" s="60">
        <f t="shared" si="1"/>
        <v>0.007638888889</v>
      </c>
      <c r="L92" s="51" t="s">
        <v>585</v>
      </c>
      <c r="M92" s="51"/>
      <c r="N92" s="51"/>
      <c r="O92" s="50"/>
      <c r="P92" s="50"/>
      <c r="Q92" s="63"/>
      <c r="R92" s="51"/>
      <c r="S92" s="51"/>
      <c r="T92" s="51"/>
    </row>
    <row r="93">
      <c r="A93" s="51" t="str">
        <f>IFERROR(__xludf.DUMMYFUNCTION("""COMPUTED_VALUE"""),"How decentralised technology will change people's lives in the next 10 years")</f>
        <v>How decentralised technology will change people's lives in the next 10 years</v>
      </c>
      <c r="B93" s="51" t="str">
        <f>IFERROR(__xludf.DUMMYFUNCTION("""COMPUTED_VALUE"""),"Growth Summit")</f>
        <v>Growth Summit</v>
      </c>
      <c r="C93" s="51" t="str">
        <f>IFERROR(__xludf.DUMMYFUNCTION("""COMPUTED_VALUE"""),"Muneeb Ali")</f>
        <v>Muneeb Ali</v>
      </c>
      <c r="D93" s="51" t="str">
        <f>IFERROR(__xludf.DUMMYFUNCTION("""COMPUTED_VALUE"""),"2019/11/06 14:09:00")</f>
        <v>2019/11/06 14:09:00</v>
      </c>
      <c r="E93" s="51" t="str">
        <f>IFERROR(__xludf.DUMMYFUNCTION("""COMPUTED_VALUE"""),"2019/11/06 14:20:00")</f>
        <v>2019/11/06 14:20:00</v>
      </c>
      <c r="F93" s="51" t="str">
        <f>IFERROR(__xludf.DUMMYFUNCTION("""COMPUTED_VALUE"""),"2b9c507f-395e-46f1-a60c-9aeb77cf94ed")</f>
        <v>2b9c507f-395e-46f1-a60c-9aeb77cf94ed</v>
      </c>
      <c r="G93" s="58">
        <f>IFERROR(__xludf.DUMMYFUNCTION("""COMPUTED_VALUE"""),43775.0)</f>
        <v>43775</v>
      </c>
      <c r="H93" s="60">
        <f>IFERROR(__xludf.DUMMYFUNCTION("""COMPUTED_VALUE"""),0.5895833333333333)</f>
        <v>0.5895833333</v>
      </c>
      <c r="I93" s="58">
        <f>IFERROR(__xludf.DUMMYFUNCTION("""COMPUTED_VALUE"""),43775.0)</f>
        <v>43775</v>
      </c>
      <c r="J93" s="60">
        <f>IFERROR(__xludf.DUMMYFUNCTION("""COMPUTED_VALUE"""),0.5972222222222222)</f>
        <v>0.5972222222</v>
      </c>
      <c r="K93" s="60">
        <f t="shared" si="1"/>
        <v>0.007638888889</v>
      </c>
      <c r="L93" s="51" t="s">
        <v>585</v>
      </c>
      <c r="M93" s="51"/>
      <c r="N93" s="51"/>
      <c r="O93" s="50"/>
      <c r="P93" s="50"/>
      <c r="Q93" s="63"/>
      <c r="R93" s="51"/>
      <c r="S93" s="51"/>
      <c r="T93" s="51"/>
    </row>
    <row r="94">
      <c r="A94" s="51" t="str">
        <f>IFERROR(__xludf.DUMMYFUNCTION("""COMPUTED_VALUE"""),"Using technology to push boundaries")</f>
        <v>Using technology to push boundaries</v>
      </c>
      <c r="B94" s="51" t="str">
        <f>IFERROR(__xludf.DUMMYFUNCTION("""COMPUTED_VALUE"""),"Growth Summit")</f>
        <v>Growth Summit</v>
      </c>
      <c r="C94" s="51" t="str">
        <f>IFERROR(__xludf.DUMMYFUNCTION("""COMPUTED_VALUE"""),"Aba Schubert")</f>
        <v>Aba Schubert</v>
      </c>
      <c r="D94" s="51" t="str">
        <f>IFERROR(__xludf.DUMMYFUNCTION("""COMPUTED_VALUE"""),"2019/11/06 14:20:00")</f>
        <v>2019/11/06 14:20:00</v>
      </c>
      <c r="E94" s="51" t="str">
        <f>IFERROR(__xludf.DUMMYFUNCTION("""COMPUTED_VALUE"""),"2019/11/06 14:31:00")</f>
        <v>2019/11/06 14:31:00</v>
      </c>
      <c r="F94" s="51" t="str">
        <f>IFERROR(__xludf.DUMMYFUNCTION("""COMPUTED_VALUE"""),"89c451fb-c4ed-4680-9547-f61fad20ca6d")</f>
        <v>89c451fb-c4ed-4680-9547-f61fad20ca6d</v>
      </c>
      <c r="G94" s="58">
        <f>IFERROR(__xludf.DUMMYFUNCTION("""COMPUTED_VALUE"""),43775.0)</f>
        <v>43775</v>
      </c>
      <c r="H94" s="60">
        <f>IFERROR(__xludf.DUMMYFUNCTION("""COMPUTED_VALUE"""),0.5972222222222222)</f>
        <v>0.5972222222</v>
      </c>
      <c r="I94" s="58">
        <f>IFERROR(__xludf.DUMMYFUNCTION("""COMPUTED_VALUE"""),43775.0)</f>
        <v>43775</v>
      </c>
      <c r="J94" s="60">
        <f>IFERROR(__xludf.DUMMYFUNCTION("""COMPUTED_VALUE"""),0.6048611111111111)</f>
        <v>0.6048611111</v>
      </c>
      <c r="K94" s="60">
        <f t="shared" si="1"/>
        <v>0.007638888889</v>
      </c>
      <c r="L94" s="51" t="s">
        <v>585</v>
      </c>
      <c r="M94" s="51"/>
      <c r="N94" s="51"/>
      <c r="O94" s="50"/>
      <c r="P94" s="50"/>
      <c r="Q94" s="63"/>
      <c r="R94" s="51"/>
      <c r="S94" s="51"/>
      <c r="T94" s="51"/>
    </row>
    <row r="95">
      <c r="A95" s="51" t="str">
        <f>IFERROR(__xludf.DUMMYFUNCTION("""COMPUTED_VALUE"""),"Timing a revolution in computing at Ayar Labs ")</f>
        <v>Timing a revolution in computing at Ayar Labs </v>
      </c>
      <c r="B95" s="51" t="str">
        <f>IFERROR(__xludf.DUMMYFUNCTION("""COMPUTED_VALUE"""),"Growth Summit")</f>
        <v>Growth Summit</v>
      </c>
      <c r="C95" s="51" t="str">
        <f>IFERROR(__xludf.DUMMYFUNCTION("""COMPUTED_VALUE"""),"Alex Wright-Gladstein")</f>
        <v>Alex Wright-Gladstein</v>
      </c>
      <c r="D95" s="51" t="str">
        <f>IFERROR(__xludf.DUMMYFUNCTION("""COMPUTED_VALUE"""),"2019/11/06 14:31:00")</f>
        <v>2019/11/06 14:31:00</v>
      </c>
      <c r="E95" s="51" t="str">
        <f>IFERROR(__xludf.DUMMYFUNCTION("""COMPUTED_VALUE"""),"2019/11/06 14:42:00")</f>
        <v>2019/11/06 14:42:00</v>
      </c>
      <c r="F95" s="51" t="str">
        <f>IFERROR(__xludf.DUMMYFUNCTION("""COMPUTED_VALUE"""),"21e57548-dbd6-4dc2-ad55-1979ab61a4a8")</f>
        <v>21e57548-dbd6-4dc2-ad55-1979ab61a4a8</v>
      </c>
      <c r="G95" s="58">
        <f>IFERROR(__xludf.DUMMYFUNCTION("""COMPUTED_VALUE"""),43775.0)</f>
        <v>43775</v>
      </c>
      <c r="H95" s="60">
        <f>IFERROR(__xludf.DUMMYFUNCTION("""COMPUTED_VALUE"""),0.6048611111111111)</f>
        <v>0.6048611111</v>
      </c>
      <c r="I95" s="58">
        <f>IFERROR(__xludf.DUMMYFUNCTION("""COMPUTED_VALUE"""),43775.0)</f>
        <v>43775</v>
      </c>
      <c r="J95" s="60">
        <f>IFERROR(__xludf.DUMMYFUNCTION("""COMPUTED_VALUE"""),0.6125)</f>
        <v>0.6125</v>
      </c>
      <c r="K95" s="60">
        <f t="shared" si="1"/>
        <v>0.007638888889</v>
      </c>
      <c r="L95" s="51" t="s">
        <v>585</v>
      </c>
      <c r="M95" s="51"/>
      <c r="N95" s="51"/>
      <c r="O95" s="50"/>
      <c r="P95" s="50"/>
      <c r="Q95" s="63"/>
      <c r="R95" s="51"/>
      <c r="S95" s="51"/>
      <c r="T95" s="51"/>
    </row>
    <row r="96">
      <c r="A96" s="51" t="str">
        <f>IFERROR(__xludf.DUMMYFUNCTION("""COMPUTED_VALUE"""),"Feeling the pain: How rage &amp; pain are the key to growth")</f>
        <v>Feeling the pain: How rage &amp; pain are the key to growth</v>
      </c>
      <c r="B96" s="51" t="str">
        <f>IFERROR(__xludf.DUMMYFUNCTION("""COMPUTED_VALUE"""),"Growth Summit")</f>
        <v>Growth Summit</v>
      </c>
      <c r="C96" s="51" t="str">
        <f>IFERROR(__xludf.DUMMYFUNCTION("""COMPUTED_VALUE"""),"Simcha Neumark")</f>
        <v>Simcha Neumark</v>
      </c>
      <c r="D96" s="51" t="str">
        <f>IFERROR(__xludf.DUMMYFUNCTION("""COMPUTED_VALUE"""),"2019/11/06 14:42:00")</f>
        <v>2019/11/06 14:42:00</v>
      </c>
      <c r="E96" s="51" t="str">
        <f>IFERROR(__xludf.DUMMYFUNCTION("""COMPUTED_VALUE"""),"2019/11/06 14:53:00")</f>
        <v>2019/11/06 14:53:00</v>
      </c>
      <c r="F96" s="51" t="str">
        <f>IFERROR(__xludf.DUMMYFUNCTION("""COMPUTED_VALUE"""),"7c0af6de-78d5-4f6b-b2d9-1d3b94cf0974")</f>
        <v>7c0af6de-78d5-4f6b-b2d9-1d3b94cf0974</v>
      </c>
      <c r="G96" s="58">
        <f>IFERROR(__xludf.DUMMYFUNCTION("""COMPUTED_VALUE"""),43775.0)</f>
        <v>43775</v>
      </c>
      <c r="H96" s="60">
        <f>IFERROR(__xludf.DUMMYFUNCTION("""COMPUTED_VALUE"""),0.6125)</f>
        <v>0.6125</v>
      </c>
      <c r="I96" s="58">
        <f>IFERROR(__xludf.DUMMYFUNCTION("""COMPUTED_VALUE"""),43775.0)</f>
        <v>43775</v>
      </c>
      <c r="J96" s="60">
        <f>IFERROR(__xludf.DUMMYFUNCTION("""COMPUTED_VALUE"""),0.6201388888888889)</f>
        <v>0.6201388889</v>
      </c>
      <c r="K96" s="60">
        <f t="shared" si="1"/>
        <v>0.007638888889</v>
      </c>
      <c r="L96" s="51" t="s">
        <v>585</v>
      </c>
      <c r="M96" s="51"/>
      <c r="N96" s="51"/>
      <c r="O96" s="50"/>
      <c r="P96" s="50"/>
      <c r="Q96" s="63"/>
      <c r="R96" s="51"/>
      <c r="S96" s="51"/>
      <c r="T96" s="51"/>
    </row>
    <row r="97">
      <c r="A97" s="51" t="str">
        <f>IFERROR(__xludf.DUMMYFUNCTION("""COMPUTED_VALUE"""),"Navigating the ever-evolving landscape of security and privacy")</f>
        <v>Navigating the ever-evolving landscape of security and privacy</v>
      </c>
      <c r="B97" s="51" t="str">
        <f>IFERROR(__xludf.DUMMYFUNCTION("""COMPUTED_VALUE"""),"Growth Summit")</f>
        <v>Growth Summit</v>
      </c>
      <c r="C97" s="51" t="str">
        <f>IFERROR(__xludf.DUMMYFUNCTION("""COMPUTED_VALUE"""),"Christine Spang")</f>
        <v>Christine Spang</v>
      </c>
      <c r="D97" s="51" t="str">
        <f>IFERROR(__xludf.DUMMYFUNCTION("""COMPUTED_VALUE"""),"2019/11/06 14:53:00")</f>
        <v>2019/11/06 14:53:00</v>
      </c>
      <c r="E97" s="51" t="str">
        <f>IFERROR(__xludf.DUMMYFUNCTION("""COMPUTED_VALUE"""),"2019/11/06 15:04:00")</f>
        <v>2019/11/06 15:04:00</v>
      </c>
      <c r="F97" s="51" t="str">
        <f>IFERROR(__xludf.DUMMYFUNCTION("""COMPUTED_VALUE"""),"76c7561f-3f3f-4df9-9b84-463305abcb4f")</f>
        <v>76c7561f-3f3f-4df9-9b84-463305abcb4f</v>
      </c>
      <c r="G97" s="58">
        <f>IFERROR(__xludf.DUMMYFUNCTION("""COMPUTED_VALUE"""),43775.0)</f>
        <v>43775</v>
      </c>
      <c r="H97" s="60">
        <f>IFERROR(__xludf.DUMMYFUNCTION("""COMPUTED_VALUE"""),0.6201388888888889)</f>
        <v>0.6201388889</v>
      </c>
      <c r="I97" s="58">
        <f>IFERROR(__xludf.DUMMYFUNCTION("""COMPUTED_VALUE"""),43775.0)</f>
        <v>43775</v>
      </c>
      <c r="J97" s="60">
        <f>IFERROR(__xludf.DUMMYFUNCTION("""COMPUTED_VALUE"""),0.6277777777777778)</f>
        <v>0.6277777778</v>
      </c>
      <c r="K97" s="60">
        <f t="shared" si="1"/>
        <v>0.007638888889</v>
      </c>
      <c r="L97" s="51" t="s">
        <v>585</v>
      </c>
      <c r="M97" s="51"/>
      <c r="N97" s="51"/>
      <c r="O97" s="50"/>
      <c r="P97" s="50"/>
      <c r="Q97" s="63"/>
      <c r="R97" s="51"/>
      <c r="S97" s="51"/>
      <c r="T97" s="51"/>
    </row>
    <row r="98">
      <c r="A98" s="51" t="str">
        <f>IFERROR(__xludf.DUMMYFUNCTION("""COMPUTED_VALUE"""),"Hiring that powers high growth businesses")</f>
        <v>Hiring that powers high growth businesses</v>
      </c>
      <c r="B98" s="51" t="str">
        <f>IFERROR(__xludf.DUMMYFUNCTION("""COMPUTED_VALUE"""),"Growth Summit")</f>
        <v>Growth Summit</v>
      </c>
      <c r="C98" s="51" t="str">
        <f>IFERROR(__xludf.DUMMYFUNCTION("""COMPUTED_VALUE"""),"Sarah Nahm")</f>
        <v>Sarah Nahm</v>
      </c>
      <c r="D98" s="51" t="str">
        <f>IFERROR(__xludf.DUMMYFUNCTION("""COMPUTED_VALUE"""),"2019/11/06 15:04:00")</f>
        <v>2019/11/06 15:04:00</v>
      </c>
      <c r="E98" s="51" t="str">
        <f>IFERROR(__xludf.DUMMYFUNCTION("""COMPUTED_VALUE"""),"2019/11/06 15:15:00")</f>
        <v>2019/11/06 15:15:00</v>
      </c>
      <c r="F98" s="51" t="str">
        <f>IFERROR(__xludf.DUMMYFUNCTION("""COMPUTED_VALUE"""),"c3f67edb-937a-44f9-af6d-d6661319d591")</f>
        <v>c3f67edb-937a-44f9-af6d-d6661319d591</v>
      </c>
      <c r="G98" s="58">
        <f>IFERROR(__xludf.DUMMYFUNCTION("""COMPUTED_VALUE"""),43775.0)</f>
        <v>43775</v>
      </c>
      <c r="H98" s="60">
        <f>IFERROR(__xludf.DUMMYFUNCTION("""COMPUTED_VALUE"""),0.6277777777777778)</f>
        <v>0.6277777778</v>
      </c>
      <c r="I98" s="58">
        <f>IFERROR(__xludf.DUMMYFUNCTION("""COMPUTED_VALUE"""),43775.0)</f>
        <v>43775</v>
      </c>
      <c r="J98" s="60">
        <f>IFERROR(__xludf.DUMMYFUNCTION("""COMPUTED_VALUE"""),0.6354166666666666)</f>
        <v>0.6354166667</v>
      </c>
      <c r="K98" s="60">
        <f t="shared" si="1"/>
        <v>0.007638888889</v>
      </c>
      <c r="L98" s="51" t="s">
        <v>585</v>
      </c>
      <c r="M98" s="51"/>
      <c r="N98" s="51"/>
      <c r="O98" s="50"/>
      <c r="P98" s="50"/>
      <c r="Q98" s="63"/>
      <c r="R98" s="51"/>
      <c r="S98" s="51"/>
      <c r="T98" s="51"/>
    </row>
    <row r="99">
      <c r="A99" s="51" t="str">
        <f>IFERROR(__xludf.DUMMYFUNCTION("""COMPUTED_VALUE"""),"Scaling globally while retaining brand integrity")</f>
        <v>Scaling globally while retaining brand integrity</v>
      </c>
      <c r="B99" s="51" t="str">
        <f>IFERROR(__xludf.DUMMYFUNCTION("""COMPUTED_VALUE"""),"Growth Summit")</f>
        <v>Growth Summit</v>
      </c>
      <c r="C99" s="51" t="str">
        <f>IFERROR(__xludf.DUMMYFUNCTION("""COMPUTED_VALUE"""),"Ray Reddy")</f>
        <v>Ray Reddy</v>
      </c>
      <c r="D99" s="51" t="str">
        <f>IFERROR(__xludf.DUMMYFUNCTION("""COMPUTED_VALUE"""),"2019/11/06 15:15:00")</f>
        <v>2019/11/06 15:15:00</v>
      </c>
      <c r="E99" s="51" t="str">
        <f>IFERROR(__xludf.DUMMYFUNCTION("""COMPUTED_VALUE"""),"2019/11/06 15:26:00")</f>
        <v>2019/11/06 15:26:00</v>
      </c>
      <c r="F99" s="51" t="str">
        <f>IFERROR(__xludf.DUMMYFUNCTION("""COMPUTED_VALUE"""),"92fddecb-1225-487b-8a71-f53d852334c6")</f>
        <v>92fddecb-1225-487b-8a71-f53d852334c6</v>
      </c>
      <c r="G99" s="58">
        <f>IFERROR(__xludf.DUMMYFUNCTION("""COMPUTED_VALUE"""),43775.0)</f>
        <v>43775</v>
      </c>
      <c r="H99" s="60">
        <f>IFERROR(__xludf.DUMMYFUNCTION("""COMPUTED_VALUE"""),0.6354166666666666)</f>
        <v>0.6354166667</v>
      </c>
      <c r="I99" s="58">
        <f>IFERROR(__xludf.DUMMYFUNCTION("""COMPUTED_VALUE"""),43775.0)</f>
        <v>43775</v>
      </c>
      <c r="J99" s="60">
        <f>IFERROR(__xludf.DUMMYFUNCTION("""COMPUTED_VALUE"""),0.6430555555555556)</f>
        <v>0.6430555556</v>
      </c>
      <c r="K99" s="60">
        <f t="shared" si="1"/>
        <v>0.007638888889</v>
      </c>
      <c r="L99" s="51" t="s">
        <v>585</v>
      </c>
      <c r="M99" s="51"/>
      <c r="N99" s="51"/>
      <c r="O99" s="50"/>
      <c r="P99" s="50"/>
      <c r="Q99" s="63"/>
      <c r="R99" s="51"/>
      <c r="S99" s="51"/>
      <c r="T99" s="51"/>
    </row>
    <row r="100">
      <c r="A100" s="51" t="str">
        <f>IFERROR(__xludf.DUMMYFUNCTION("""COMPUTED_VALUE"""),"How to build an impossible unicorn")</f>
        <v>How to build an impossible unicorn</v>
      </c>
      <c r="B100" s="51" t="str">
        <f>IFERROR(__xludf.DUMMYFUNCTION("""COMPUTED_VALUE"""),"Growth Summit")</f>
        <v>Growth Summit</v>
      </c>
      <c r="C100" s="51" t="str">
        <f>IFERROR(__xludf.DUMMYFUNCTION("""COMPUTED_VALUE"""),"Jean-Stéphane Arcis")</f>
        <v>Jean-Stéphane Arcis</v>
      </c>
      <c r="D100" s="51" t="str">
        <f>IFERROR(__xludf.DUMMYFUNCTION("""COMPUTED_VALUE"""),"2019/11/06 15:26:00")</f>
        <v>2019/11/06 15:26:00</v>
      </c>
      <c r="E100" s="51" t="str">
        <f>IFERROR(__xludf.DUMMYFUNCTION("""COMPUTED_VALUE"""),"2019/11/06 15:37:00")</f>
        <v>2019/11/06 15:37:00</v>
      </c>
      <c r="F100" s="51" t="str">
        <f>IFERROR(__xludf.DUMMYFUNCTION("""COMPUTED_VALUE"""),"c10e2b75-eaa6-4191-9b04-66834451c9ff")</f>
        <v>c10e2b75-eaa6-4191-9b04-66834451c9ff</v>
      </c>
      <c r="G100" s="58">
        <f>IFERROR(__xludf.DUMMYFUNCTION("""COMPUTED_VALUE"""),43775.0)</f>
        <v>43775</v>
      </c>
      <c r="H100" s="60">
        <f>IFERROR(__xludf.DUMMYFUNCTION("""COMPUTED_VALUE"""),0.6430555555555556)</f>
        <v>0.6430555556</v>
      </c>
      <c r="I100" s="58">
        <f>IFERROR(__xludf.DUMMYFUNCTION("""COMPUTED_VALUE"""),43775.0)</f>
        <v>43775</v>
      </c>
      <c r="J100" s="60">
        <f>IFERROR(__xludf.DUMMYFUNCTION("""COMPUTED_VALUE"""),0.6506944444444445)</f>
        <v>0.6506944444</v>
      </c>
      <c r="K100" s="60">
        <f t="shared" si="1"/>
        <v>0.007638888889</v>
      </c>
      <c r="L100" s="51" t="s">
        <v>585</v>
      </c>
      <c r="M100" s="51"/>
      <c r="N100" s="51"/>
      <c r="O100" s="50"/>
      <c r="P100" s="50"/>
      <c r="Q100" s="63"/>
      <c r="R100" s="51"/>
      <c r="S100" s="51"/>
      <c r="T100" s="51"/>
    </row>
    <row r="101">
      <c r="A101" s="51" t="str">
        <f>IFERROR(__xludf.DUMMYFUNCTION("""COMPUTED_VALUE"""),"Go global or die trying: The changing reality of fintech startups")</f>
        <v>Go global or die trying: The changing reality of fintech startups</v>
      </c>
      <c r="B101" s="51" t="str">
        <f>IFERROR(__xludf.DUMMYFUNCTION("""COMPUTED_VALUE"""),"Growth Summit")</f>
        <v>Growth Summit</v>
      </c>
      <c r="C101" s="51" t="str">
        <f>IFERROR(__xludf.DUMMYFUNCTION("""COMPUTED_VALUE"""),"Austin Kimm")</f>
        <v>Austin Kimm</v>
      </c>
      <c r="D101" s="51" t="str">
        <f>IFERROR(__xludf.DUMMYFUNCTION("""COMPUTED_VALUE"""),"2019/11/06 15:37:00")</f>
        <v>2019/11/06 15:37:00</v>
      </c>
      <c r="E101" s="51" t="str">
        <f>IFERROR(__xludf.DUMMYFUNCTION("""COMPUTED_VALUE"""),"2019/11/06 15:48:00")</f>
        <v>2019/11/06 15:48:00</v>
      </c>
      <c r="F101" s="51" t="str">
        <f>IFERROR(__xludf.DUMMYFUNCTION("""COMPUTED_VALUE"""),"bb7146b2-21a5-4834-9e0f-0eab92c628c9")</f>
        <v>bb7146b2-21a5-4834-9e0f-0eab92c628c9</v>
      </c>
      <c r="G101" s="58">
        <f>IFERROR(__xludf.DUMMYFUNCTION("""COMPUTED_VALUE"""),43775.0)</f>
        <v>43775</v>
      </c>
      <c r="H101" s="60">
        <f>IFERROR(__xludf.DUMMYFUNCTION("""COMPUTED_VALUE"""),0.6506944444444445)</f>
        <v>0.6506944444</v>
      </c>
      <c r="I101" s="58">
        <f>IFERROR(__xludf.DUMMYFUNCTION("""COMPUTED_VALUE"""),43775.0)</f>
        <v>43775</v>
      </c>
      <c r="J101" s="60">
        <f>IFERROR(__xludf.DUMMYFUNCTION("""COMPUTED_VALUE"""),0.6583333333333333)</f>
        <v>0.6583333333</v>
      </c>
      <c r="K101" s="60">
        <f t="shared" si="1"/>
        <v>0.007638888889</v>
      </c>
      <c r="L101" s="51" t="s">
        <v>585</v>
      </c>
      <c r="M101" s="51"/>
      <c r="N101" s="51"/>
      <c r="O101" s="50"/>
      <c r="P101" s="50"/>
      <c r="Q101" s="63"/>
      <c r="R101" s="51"/>
      <c r="S101" s="51"/>
      <c r="T101" s="51"/>
    </row>
    <row r="102">
      <c r="A102" s="51" t="str">
        <f>IFERROR(__xludf.DUMMYFUNCTION("""COMPUTED_VALUE"""),"Leading the way with tech and culture")</f>
        <v>Leading the way with tech and culture</v>
      </c>
      <c r="B102" s="51" t="str">
        <f>IFERROR(__xludf.DUMMYFUNCTION("""COMPUTED_VALUE"""),"Growth Summit")</f>
        <v>Growth Summit</v>
      </c>
      <c r="C102" s="51" t="str">
        <f>IFERROR(__xludf.DUMMYFUNCTION("""COMPUTED_VALUE"""),"Linn Tagesson")</f>
        <v>Linn Tagesson</v>
      </c>
      <c r="D102" s="51" t="str">
        <f>IFERROR(__xludf.DUMMYFUNCTION("""COMPUTED_VALUE"""),"2019/11/06 15:48:00")</f>
        <v>2019/11/06 15:48:00</v>
      </c>
      <c r="E102" s="51" t="str">
        <f>IFERROR(__xludf.DUMMYFUNCTION("""COMPUTED_VALUE"""),"2019/11/06 15:59:00")</f>
        <v>2019/11/06 15:59:00</v>
      </c>
      <c r="F102" s="51" t="str">
        <f>IFERROR(__xludf.DUMMYFUNCTION("""COMPUTED_VALUE"""),"a2c6bf02-513b-4797-8765-37ba76028819")</f>
        <v>a2c6bf02-513b-4797-8765-37ba76028819</v>
      </c>
      <c r="G102" s="58">
        <f>IFERROR(__xludf.DUMMYFUNCTION("""COMPUTED_VALUE"""),43775.0)</f>
        <v>43775</v>
      </c>
      <c r="H102" s="60">
        <f>IFERROR(__xludf.DUMMYFUNCTION("""COMPUTED_VALUE"""),0.6583333333333333)</f>
        <v>0.6583333333</v>
      </c>
      <c r="I102" s="58">
        <f>IFERROR(__xludf.DUMMYFUNCTION("""COMPUTED_VALUE"""),43775.0)</f>
        <v>43775</v>
      </c>
      <c r="J102" s="60">
        <f>IFERROR(__xludf.DUMMYFUNCTION("""COMPUTED_VALUE"""),0.6659722222222222)</f>
        <v>0.6659722222</v>
      </c>
      <c r="K102" s="60">
        <f t="shared" si="1"/>
        <v>0.007638888889</v>
      </c>
      <c r="L102" s="51" t="s">
        <v>585</v>
      </c>
      <c r="M102" s="51"/>
      <c r="N102" s="51"/>
      <c r="O102" s="50"/>
      <c r="P102" s="50"/>
      <c r="Q102" s="63"/>
      <c r="R102" s="51"/>
      <c r="S102" s="51"/>
      <c r="T102" s="51"/>
    </row>
    <row r="103">
      <c r="A103" s="51" t="str">
        <f>IFERROR(__xludf.DUMMYFUNCTION("""COMPUTED_VALUE"""),"How to build the ideal financial service")</f>
        <v>How to build the ideal financial service</v>
      </c>
      <c r="B103" s="51" t="str">
        <f>IFERROR(__xludf.DUMMYFUNCTION("""COMPUTED_VALUE"""),"Growth Summit")</f>
        <v>Growth Summit</v>
      </c>
      <c r="C103" s="51" t="str">
        <f>IFERROR(__xludf.DUMMYFUNCTION("""COMPUTED_VALUE"""),"Lupina Iturriaga")</f>
        <v>Lupina Iturriaga</v>
      </c>
      <c r="D103" s="51" t="str">
        <f>IFERROR(__xludf.DUMMYFUNCTION("""COMPUTED_VALUE"""),"2019/11/06 15:59:00")</f>
        <v>2019/11/06 15:59:00</v>
      </c>
      <c r="E103" s="51" t="str">
        <f>IFERROR(__xludf.DUMMYFUNCTION("""COMPUTED_VALUE"""),"2019/11/06 16:10:00")</f>
        <v>2019/11/06 16:10:00</v>
      </c>
      <c r="F103" s="51" t="str">
        <f>IFERROR(__xludf.DUMMYFUNCTION("""COMPUTED_VALUE"""),"d1d9d030-69c0-49a2-b352-bbfaee7547ca")</f>
        <v>d1d9d030-69c0-49a2-b352-bbfaee7547ca</v>
      </c>
      <c r="G103" s="58">
        <f>IFERROR(__xludf.DUMMYFUNCTION("""COMPUTED_VALUE"""),43775.0)</f>
        <v>43775</v>
      </c>
      <c r="H103" s="60">
        <f>IFERROR(__xludf.DUMMYFUNCTION("""COMPUTED_VALUE"""),0.6659722222222222)</f>
        <v>0.6659722222</v>
      </c>
      <c r="I103" s="58">
        <f>IFERROR(__xludf.DUMMYFUNCTION("""COMPUTED_VALUE"""),43775.0)</f>
        <v>43775</v>
      </c>
      <c r="J103" s="60">
        <f>IFERROR(__xludf.DUMMYFUNCTION("""COMPUTED_VALUE"""),0.6736111111111112)</f>
        <v>0.6736111111</v>
      </c>
      <c r="K103" s="60">
        <f t="shared" si="1"/>
        <v>0.007638888889</v>
      </c>
      <c r="L103" s="51" t="s">
        <v>585</v>
      </c>
      <c r="M103" s="51"/>
      <c r="N103" s="51"/>
      <c r="O103" s="50"/>
      <c r="P103" s="50"/>
      <c r="Q103" s="63"/>
      <c r="R103" s="51"/>
      <c r="S103" s="51"/>
      <c r="T103" s="51"/>
    </row>
    <row r="104">
      <c r="A104" s="51" t="str">
        <f>IFERROR(__xludf.DUMMYFUNCTION("""COMPUTED_VALUE"""),"The future of healthcare")</f>
        <v>The future of healthcare</v>
      </c>
      <c r="B104" s="51" t="str">
        <f>IFERROR(__xludf.DUMMYFUNCTION("""COMPUTED_VALUE"""),"Growth Summit")</f>
        <v>Growth Summit</v>
      </c>
      <c r="C104" s="51" t="str">
        <f>IFERROR(__xludf.DUMMYFUNCTION("""COMPUTED_VALUE"""),"Lisa Alderson")</f>
        <v>Lisa Alderson</v>
      </c>
      <c r="D104" s="51" t="str">
        <f>IFERROR(__xludf.DUMMYFUNCTION("""COMPUTED_VALUE"""),"2019/11/06 16:10:00")</f>
        <v>2019/11/06 16:10:00</v>
      </c>
      <c r="E104" s="51" t="str">
        <f>IFERROR(__xludf.DUMMYFUNCTION("""COMPUTED_VALUE"""),"2019/11/06 16:21:00")</f>
        <v>2019/11/06 16:21:00</v>
      </c>
      <c r="F104" s="51" t="str">
        <f>IFERROR(__xludf.DUMMYFUNCTION("""COMPUTED_VALUE"""),"1bdfa8ad-26d5-4ecc-816f-535f05a18a9f")</f>
        <v>1bdfa8ad-26d5-4ecc-816f-535f05a18a9f</v>
      </c>
      <c r="G104" s="58">
        <f>IFERROR(__xludf.DUMMYFUNCTION("""COMPUTED_VALUE"""),43775.0)</f>
        <v>43775</v>
      </c>
      <c r="H104" s="60">
        <f>IFERROR(__xludf.DUMMYFUNCTION("""COMPUTED_VALUE"""),0.6736111111111112)</f>
        <v>0.6736111111</v>
      </c>
      <c r="I104" s="58">
        <f>IFERROR(__xludf.DUMMYFUNCTION("""COMPUTED_VALUE"""),43775.0)</f>
        <v>43775</v>
      </c>
      <c r="J104" s="60">
        <f>IFERROR(__xludf.DUMMYFUNCTION("""COMPUTED_VALUE"""),0.68125)</f>
        <v>0.68125</v>
      </c>
      <c r="K104" s="60">
        <f t="shared" si="1"/>
        <v>0.007638888889</v>
      </c>
      <c r="L104" s="51" t="s">
        <v>585</v>
      </c>
      <c r="M104" s="51"/>
      <c r="N104" s="51"/>
      <c r="O104" s="50"/>
      <c r="P104" s="50"/>
      <c r="Q104" s="63"/>
      <c r="R104" s="51"/>
      <c r="S104" s="51"/>
      <c r="T104" s="51"/>
    </row>
    <row r="105">
      <c r="A105" s="51" t="str">
        <f>IFERROR(__xludf.DUMMYFUNCTION("""COMPUTED_VALUE"""),"The power of word of mouth is the power of your brand")</f>
        <v>The power of word of mouth is the power of your brand</v>
      </c>
      <c r="B105" s="51" t="str">
        <f>IFERROR(__xludf.DUMMYFUNCTION("""COMPUTED_VALUE"""),"Growth Summit")</f>
        <v>Growth Summit</v>
      </c>
      <c r="C105" s="51" t="str">
        <f>IFERROR(__xludf.DUMMYFUNCTION("""COMPUTED_VALUE"""),"John Wolanin")</f>
        <v>John Wolanin</v>
      </c>
      <c r="D105" s="51" t="str">
        <f>IFERROR(__xludf.DUMMYFUNCTION("""COMPUTED_VALUE"""),"2019/11/06 16:21:00")</f>
        <v>2019/11/06 16:21:00</v>
      </c>
      <c r="E105" s="51" t="str">
        <f>IFERROR(__xludf.DUMMYFUNCTION("""COMPUTED_VALUE"""),"2019/11/06 16:32:00")</f>
        <v>2019/11/06 16:32:00</v>
      </c>
      <c r="F105" s="51" t="str">
        <f>IFERROR(__xludf.DUMMYFUNCTION("""COMPUTED_VALUE"""),"70834900-2bad-4a70-ae6c-a864ab6339f1")</f>
        <v>70834900-2bad-4a70-ae6c-a864ab6339f1</v>
      </c>
      <c r="G105" s="58">
        <f>IFERROR(__xludf.DUMMYFUNCTION("""COMPUTED_VALUE"""),43775.0)</f>
        <v>43775</v>
      </c>
      <c r="H105" s="60">
        <f>IFERROR(__xludf.DUMMYFUNCTION("""COMPUTED_VALUE"""),0.68125)</f>
        <v>0.68125</v>
      </c>
      <c r="I105" s="58">
        <f>IFERROR(__xludf.DUMMYFUNCTION("""COMPUTED_VALUE"""),43775.0)</f>
        <v>43775</v>
      </c>
      <c r="J105" s="60">
        <f>IFERROR(__xludf.DUMMYFUNCTION("""COMPUTED_VALUE"""),0.6888888888888889)</f>
        <v>0.6888888889</v>
      </c>
      <c r="K105" s="60">
        <f t="shared" si="1"/>
        <v>0.007638888889</v>
      </c>
      <c r="L105" s="51" t="s">
        <v>585</v>
      </c>
      <c r="M105" s="51"/>
      <c r="N105" s="51"/>
      <c r="O105" s="50"/>
      <c r="P105" s="50"/>
      <c r="Q105" s="63"/>
      <c r="R105" s="51"/>
      <c r="S105" s="51"/>
      <c r="T105" s="51"/>
    </row>
    <row r="106">
      <c r="A106" s="51" t="str">
        <f>IFERROR(__xludf.DUMMYFUNCTION("""COMPUTED_VALUE"""),"Enabling a cultural movement to power your growth")</f>
        <v>Enabling a cultural movement to power your growth</v>
      </c>
      <c r="B106" s="51" t="str">
        <f>IFERROR(__xludf.DUMMYFUNCTION("""COMPUTED_VALUE"""),"Growth Summit")</f>
        <v>Growth Summit</v>
      </c>
      <c r="C106" s="51" t="str">
        <f>IFERROR(__xludf.DUMMYFUNCTION("""COMPUTED_VALUE"""),"Alexandra Zatarain")</f>
        <v>Alexandra Zatarain</v>
      </c>
      <c r="D106" s="51" t="str">
        <f>IFERROR(__xludf.DUMMYFUNCTION("""COMPUTED_VALUE"""),"2019/11/06 16:32:00")</f>
        <v>2019/11/06 16:32:00</v>
      </c>
      <c r="E106" s="51" t="str">
        <f>IFERROR(__xludf.DUMMYFUNCTION("""COMPUTED_VALUE"""),"2019/11/06 16:43:00")</f>
        <v>2019/11/06 16:43:00</v>
      </c>
      <c r="F106" s="51" t="str">
        <f>IFERROR(__xludf.DUMMYFUNCTION("""COMPUTED_VALUE"""),"d69b7afc-e3db-47cf-8c85-de0f7500cc4a")</f>
        <v>d69b7afc-e3db-47cf-8c85-de0f7500cc4a</v>
      </c>
      <c r="G106" s="58">
        <f>IFERROR(__xludf.DUMMYFUNCTION("""COMPUTED_VALUE"""),43775.0)</f>
        <v>43775</v>
      </c>
      <c r="H106" s="60">
        <f>IFERROR(__xludf.DUMMYFUNCTION("""COMPUTED_VALUE"""),0.6888888888888889)</f>
        <v>0.6888888889</v>
      </c>
      <c r="I106" s="58">
        <f>IFERROR(__xludf.DUMMYFUNCTION("""COMPUTED_VALUE"""),43775.0)</f>
        <v>43775</v>
      </c>
      <c r="J106" s="60">
        <f>IFERROR(__xludf.DUMMYFUNCTION("""COMPUTED_VALUE"""),0.6965277777777777)</f>
        <v>0.6965277778</v>
      </c>
      <c r="K106" s="60">
        <f t="shared" si="1"/>
        <v>0.007638888889</v>
      </c>
      <c r="L106" s="51" t="s">
        <v>585</v>
      </c>
      <c r="M106" s="51"/>
      <c r="N106" s="51"/>
      <c r="O106" s="50"/>
      <c r="P106" s="50"/>
      <c r="Q106" s="63"/>
      <c r="R106" s="51"/>
      <c r="S106" s="51"/>
      <c r="T106" s="51"/>
    </row>
    <row r="107">
      <c r="A107" s="51" t="str">
        <f>IFERROR(__xludf.DUMMYFUNCTION("""COMPUTED_VALUE"""),"Why neglecting culture may kill your business")</f>
        <v>Why neglecting culture may kill your business</v>
      </c>
      <c r="B107" s="51" t="str">
        <f>IFERROR(__xludf.DUMMYFUNCTION("""COMPUTED_VALUE"""),"Growth Summit")</f>
        <v>Growth Summit</v>
      </c>
      <c r="C107" s="51" t="str">
        <f>IFERROR(__xludf.DUMMYFUNCTION("""COMPUTED_VALUE"""),"Mathis Buechi")</f>
        <v>Mathis Buechi</v>
      </c>
      <c r="D107" s="51" t="str">
        <f>IFERROR(__xludf.DUMMYFUNCTION("""COMPUTED_VALUE"""),"2019/11/06 16:43:00")</f>
        <v>2019/11/06 16:43:00</v>
      </c>
      <c r="E107" s="51" t="str">
        <f>IFERROR(__xludf.DUMMYFUNCTION("""COMPUTED_VALUE"""),"2019/11/06 16:54:00")</f>
        <v>2019/11/06 16:54:00</v>
      </c>
      <c r="F107" s="51" t="str">
        <f>IFERROR(__xludf.DUMMYFUNCTION("""COMPUTED_VALUE"""),"35593f54-893a-4b38-bc50-0c1ff0a44dbb")</f>
        <v>35593f54-893a-4b38-bc50-0c1ff0a44dbb</v>
      </c>
      <c r="G107" s="58">
        <f>IFERROR(__xludf.DUMMYFUNCTION("""COMPUTED_VALUE"""),43775.0)</f>
        <v>43775</v>
      </c>
      <c r="H107" s="60">
        <f>IFERROR(__xludf.DUMMYFUNCTION("""COMPUTED_VALUE"""),0.6965277777777777)</f>
        <v>0.6965277778</v>
      </c>
      <c r="I107" s="58">
        <f>IFERROR(__xludf.DUMMYFUNCTION("""COMPUTED_VALUE"""),43775.0)</f>
        <v>43775</v>
      </c>
      <c r="J107" s="60">
        <f>IFERROR(__xludf.DUMMYFUNCTION("""COMPUTED_VALUE"""),0.7041666666666667)</f>
        <v>0.7041666667</v>
      </c>
      <c r="K107" s="60">
        <f t="shared" si="1"/>
        <v>0.007638888889</v>
      </c>
      <c r="L107" s="51" t="s">
        <v>585</v>
      </c>
      <c r="M107" s="51"/>
      <c r="N107" s="51"/>
      <c r="O107" s="50"/>
      <c r="P107" s="50"/>
      <c r="Q107" s="63"/>
      <c r="R107" s="51"/>
      <c r="S107" s="51"/>
      <c r="T107" s="51"/>
    </row>
    <row r="108">
      <c r="A108" s="51" t="str">
        <f>IFERROR(__xludf.DUMMYFUNCTION("""COMPUTED_VALUE"""),"Disrupting the disruptors with cloud management software")</f>
        <v>Disrupting the disruptors with cloud management software</v>
      </c>
      <c r="B108" s="51" t="str">
        <f>IFERROR(__xludf.DUMMYFUNCTION("""COMPUTED_VALUE"""),"Growth Summit")</f>
        <v>Growth Summit</v>
      </c>
      <c r="C108" s="51" t="str">
        <f>IFERROR(__xludf.DUMMYFUNCTION("""COMPUTED_VALUE"""),"Marcelo Lombardo")</f>
        <v>Marcelo Lombardo</v>
      </c>
      <c r="D108" s="51" t="str">
        <f>IFERROR(__xludf.DUMMYFUNCTION("""COMPUTED_VALUE"""),"2019/11/06 16:54:00")</f>
        <v>2019/11/06 16:54:00</v>
      </c>
      <c r="E108" s="51" t="str">
        <f>IFERROR(__xludf.DUMMYFUNCTION("""COMPUTED_VALUE"""),"2019/11/06 17:05:00")</f>
        <v>2019/11/06 17:05:00</v>
      </c>
      <c r="F108" s="51" t="str">
        <f>IFERROR(__xludf.DUMMYFUNCTION("""COMPUTED_VALUE"""),"9464265c-a6fa-45ac-b8f1-19a0d8722d0e")</f>
        <v>9464265c-a6fa-45ac-b8f1-19a0d8722d0e</v>
      </c>
      <c r="G108" s="58">
        <f>IFERROR(__xludf.DUMMYFUNCTION("""COMPUTED_VALUE"""),43775.0)</f>
        <v>43775</v>
      </c>
      <c r="H108" s="60">
        <f>IFERROR(__xludf.DUMMYFUNCTION("""COMPUTED_VALUE"""),0.7041666666666667)</f>
        <v>0.7041666667</v>
      </c>
      <c r="I108" s="58">
        <f>IFERROR(__xludf.DUMMYFUNCTION("""COMPUTED_VALUE"""),43775.0)</f>
        <v>43775</v>
      </c>
      <c r="J108" s="60">
        <f>IFERROR(__xludf.DUMMYFUNCTION("""COMPUTED_VALUE"""),0.7118055555555556)</f>
        <v>0.7118055556</v>
      </c>
      <c r="K108" s="60">
        <f t="shared" si="1"/>
        <v>0.007638888889</v>
      </c>
      <c r="L108" s="51" t="s">
        <v>585</v>
      </c>
      <c r="M108" s="51"/>
      <c r="N108" s="51"/>
      <c r="O108" s="50"/>
      <c r="P108" s="50"/>
      <c r="Q108" s="63"/>
      <c r="R108" s="51"/>
      <c r="S108" s="51"/>
      <c r="T108" s="51"/>
    </row>
    <row r="109">
      <c r="A109" s="51" t="str">
        <f>IFERROR(__xludf.DUMMYFUNCTION("""COMPUTED_VALUE"""),"Uncomfortable growth: be bold &amp; open to failure")</f>
        <v>Uncomfortable growth: be bold &amp; open to failure</v>
      </c>
      <c r="B109" s="51" t="str">
        <f>IFERROR(__xludf.DUMMYFUNCTION("""COMPUTED_VALUE"""),"Growth Summit")</f>
        <v>Growth Summit</v>
      </c>
      <c r="C109" s="51" t="str">
        <f>IFERROR(__xludf.DUMMYFUNCTION("""COMPUTED_VALUE"""),"Rodolphe Ardant")</f>
        <v>Rodolphe Ardant</v>
      </c>
      <c r="D109" s="51" t="str">
        <f>IFERROR(__xludf.DUMMYFUNCTION("""COMPUTED_VALUE"""),"2019/11/06 17:05:00")</f>
        <v>2019/11/06 17:05:00</v>
      </c>
      <c r="E109" s="51" t="str">
        <f>IFERROR(__xludf.DUMMYFUNCTION("""COMPUTED_VALUE"""),"2019/11/06 17:16:00")</f>
        <v>2019/11/06 17:16:00</v>
      </c>
      <c r="F109" s="51" t="str">
        <f>IFERROR(__xludf.DUMMYFUNCTION("""COMPUTED_VALUE"""),"d1c23f05-a6f5-4968-afa3-9c06be68267b")</f>
        <v>d1c23f05-a6f5-4968-afa3-9c06be68267b</v>
      </c>
      <c r="G109" s="58">
        <f>IFERROR(__xludf.DUMMYFUNCTION("""COMPUTED_VALUE"""),43775.0)</f>
        <v>43775</v>
      </c>
      <c r="H109" s="60">
        <f>IFERROR(__xludf.DUMMYFUNCTION("""COMPUTED_VALUE"""),0.7118055555555556)</f>
        <v>0.7118055556</v>
      </c>
      <c r="I109" s="58">
        <f>IFERROR(__xludf.DUMMYFUNCTION("""COMPUTED_VALUE"""),43775.0)</f>
        <v>43775</v>
      </c>
      <c r="J109" s="60">
        <f>IFERROR(__xludf.DUMMYFUNCTION("""COMPUTED_VALUE"""),0.7194444444444444)</f>
        <v>0.7194444444</v>
      </c>
      <c r="K109" s="60">
        <f t="shared" si="1"/>
        <v>0.007638888889</v>
      </c>
      <c r="L109" s="51" t="s">
        <v>585</v>
      </c>
      <c r="M109" s="51"/>
      <c r="N109" s="51"/>
      <c r="O109" s="50"/>
      <c r="P109" s="50"/>
      <c r="Q109" s="63"/>
      <c r="R109" s="51"/>
      <c r="S109" s="51"/>
      <c r="T109" s="51"/>
    </row>
    <row r="110">
      <c r="A110" s="51" t="str">
        <f>IFERROR(__xludf.DUMMYFUNCTION("""COMPUTED_VALUE"""),"Opening remarks")</f>
        <v>Opening remarks</v>
      </c>
      <c r="B110" s="51" t="str">
        <f>IFERROR(__xludf.DUMMYFUNCTION("""COMPUTED_VALUE"""),"Growth Summit")</f>
        <v>Growth Summit</v>
      </c>
      <c r="C110" s="51" t="str">
        <f>IFERROR(__xludf.DUMMYFUNCTION("""COMPUTED_VALUE"""),"Dimple Mukherjee")</f>
        <v>Dimple Mukherjee</v>
      </c>
      <c r="D110" s="51" t="str">
        <f>IFERROR(__xludf.DUMMYFUNCTION("""COMPUTED_VALUE"""),"2019/11/07 10:00:00")</f>
        <v>2019/11/07 10:00:00</v>
      </c>
      <c r="E110" s="51" t="str">
        <f>IFERROR(__xludf.DUMMYFUNCTION("""COMPUTED_VALUE"""),"2019/11/07 10:02:00")</f>
        <v>2019/11/07 10:02:00</v>
      </c>
      <c r="F110" s="51" t="str">
        <f>IFERROR(__xludf.DUMMYFUNCTION("""COMPUTED_VALUE"""),"151d8ffb-af8d-4311-899d-10933c20dc6b")</f>
        <v>151d8ffb-af8d-4311-899d-10933c20dc6b</v>
      </c>
      <c r="G110" s="58">
        <f>IFERROR(__xludf.DUMMYFUNCTION("""COMPUTED_VALUE"""),43776.0)</f>
        <v>43776</v>
      </c>
      <c r="H110" s="60">
        <f>IFERROR(__xludf.DUMMYFUNCTION("""COMPUTED_VALUE"""),0.4166666666666667)</f>
        <v>0.4166666667</v>
      </c>
      <c r="I110" s="58">
        <f>IFERROR(__xludf.DUMMYFUNCTION("""COMPUTED_VALUE"""),43776.0)</f>
        <v>43776</v>
      </c>
      <c r="J110" s="60">
        <f>IFERROR(__xludf.DUMMYFUNCTION("""COMPUTED_VALUE"""),0.41805555555555557)</f>
        <v>0.4180555556</v>
      </c>
      <c r="K110" s="60">
        <f t="shared" si="1"/>
        <v>0.001388888889</v>
      </c>
      <c r="L110" s="51" t="s">
        <v>584</v>
      </c>
      <c r="M110" s="51"/>
      <c r="N110" s="51"/>
      <c r="O110" s="50"/>
      <c r="P110" s="50"/>
      <c r="Q110" s="63"/>
      <c r="R110" s="51"/>
      <c r="S110" s="51"/>
      <c r="T110" s="51"/>
    </row>
    <row r="111">
      <c r="A111" s="51" t="str">
        <f>IFERROR(__xludf.DUMMYFUNCTION("""COMPUTED_VALUE"""),"Influencer marketing: Lessons learned")</f>
        <v>Influencer marketing: Lessons learned</v>
      </c>
      <c r="B111" s="51" t="str">
        <f>IFERROR(__xludf.DUMMYFUNCTION("""COMPUTED_VALUE"""),"Growth Summit")</f>
        <v>Growth Summit</v>
      </c>
      <c r="C111" s="51" t="str">
        <f>IFERROR(__xludf.DUMMYFUNCTION("""COMPUTED_VALUE"""),"Juan Luis Rico")</f>
        <v>Juan Luis Rico</v>
      </c>
      <c r="D111" s="51" t="str">
        <f>IFERROR(__xludf.DUMMYFUNCTION("""COMPUTED_VALUE"""),"2019/11/07 10:02:00")</f>
        <v>2019/11/07 10:02:00</v>
      </c>
      <c r="E111" s="51" t="str">
        <f>IFERROR(__xludf.DUMMYFUNCTION("""COMPUTED_VALUE"""),"2019/11/07 10:06:00")</f>
        <v>2019/11/07 10:06:00</v>
      </c>
      <c r="F111" s="51" t="str">
        <f>IFERROR(__xludf.DUMMYFUNCTION("""COMPUTED_VALUE"""),"3cdb2945-e926-46ce-b334-6ec3f75ccd87")</f>
        <v>3cdb2945-e926-46ce-b334-6ec3f75ccd87</v>
      </c>
      <c r="G111" s="58">
        <f>IFERROR(__xludf.DUMMYFUNCTION("""COMPUTED_VALUE"""),43776.0)</f>
        <v>43776</v>
      </c>
      <c r="H111" s="60">
        <f>IFERROR(__xludf.DUMMYFUNCTION("""COMPUTED_VALUE"""),0.41805555555555557)</f>
        <v>0.4180555556</v>
      </c>
      <c r="I111" s="58">
        <f>IFERROR(__xludf.DUMMYFUNCTION("""COMPUTED_VALUE"""),43776.0)</f>
        <v>43776</v>
      </c>
      <c r="J111" s="60">
        <f>IFERROR(__xludf.DUMMYFUNCTION("""COMPUTED_VALUE"""),0.42083333333333334)</f>
        <v>0.4208333333</v>
      </c>
      <c r="K111" s="60">
        <f t="shared" si="1"/>
        <v>0.002777777778</v>
      </c>
      <c r="L111" s="51" t="s">
        <v>583</v>
      </c>
      <c r="M111" s="51"/>
      <c r="N111" s="51"/>
      <c r="O111" s="50"/>
      <c r="P111" s="50"/>
      <c r="Q111" s="63"/>
      <c r="R111" s="51"/>
      <c r="S111" s="51"/>
      <c r="T111" s="51"/>
    </row>
    <row r="112">
      <c r="A112" s="51" t="str">
        <f>IFERROR(__xludf.DUMMYFUNCTION("""COMPUTED_VALUE"""),"What if your startup was a body?")</f>
        <v>What if your startup was a body?</v>
      </c>
      <c r="B112" s="51" t="str">
        <f>IFERROR(__xludf.DUMMYFUNCTION("""COMPUTED_VALUE"""),"Growth Summit")</f>
        <v>Growth Summit</v>
      </c>
      <c r="C112" s="51" t="str">
        <f>IFERROR(__xludf.DUMMYFUNCTION("""COMPUTED_VALUE"""),"Federico Mattia Dolci")</f>
        <v>Federico Mattia Dolci</v>
      </c>
      <c r="D112" s="51" t="str">
        <f>IFERROR(__xludf.DUMMYFUNCTION("""COMPUTED_VALUE"""),"2019/11/07 10:06:00")</f>
        <v>2019/11/07 10:06:00</v>
      </c>
      <c r="E112" s="51" t="str">
        <f>IFERROR(__xludf.DUMMYFUNCTION("""COMPUTED_VALUE"""),"2019/11/07 10:10:00")</f>
        <v>2019/11/07 10:10:00</v>
      </c>
      <c r="F112" s="51" t="str">
        <f>IFERROR(__xludf.DUMMYFUNCTION("""COMPUTED_VALUE"""),"eda7e768-0a8a-48b1-b7a8-86121c08f575")</f>
        <v>eda7e768-0a8a-48b1-b7a8-86121c08f575</v>
      </c>
      <c r="G112" s="58">
        <f>IFERROR(__xludf.DUMMYFUNCTION("""COMPUTED_VALUE"""),43776.0)</f>
        <v>43776</v>
      </c>
      <c r="H112" s="60">
        <f>IFERROR(__xludf.DUMMYFUNCTION("""COMPUTED_VALUE"""),0.42083333333333334)</f>
        <v>0.4208333333</v>
      </c>
      <c r="I112" s="58">
        <f>IFERROR(__xludf.DUMMYFUNCTION("""COMPUTED_VALUE"""),43776.0)</f>
        <v>43776</v>
      </c>
      <c r="J112" s="60">
        <f>IFERROR(__xludf.DUMMYFUNCTION("""COMPUTED_VALUE"""),0.4236111111111111)</f>
        <v>0.4236111111</v>
      </c>
      <c r="K112" s="60">
        <f t="shared" si="1"/>
        <v>0.002777777778</v>
      </c>
      <c r="L112" s="51" t="s">
        <v>583</v>
      </c>
      <c r="M112" s="51"/>
      <c r="N112" s="51"/>
      <c r="O112" s="50"/>
      <c r="P112" s="50"/>
      <c r="Q112" s="63"/>
      <c r="R112" s="51"/>
      <c r="S112" s="51"/>
      <c r="T112" s="51"/>
    </row>
    <row r="113">
      <c r="A113" s="51" t="str">
        <f>IFERROR(__xludf.DUMMYFUNCTION("""COMPUTED_VALUE"""),"Adjusting communication to grow an online business")</f>
        <v>Adjusting communication to grow an online business</v>
      </c>
      <c r="B113" s="51" t="str">
        <f>IFERROR(__xludf.DUMMYFUNCTION("""COMPUTED_VALUE"""),"Growth Summit")</f>
        <v>Growth Summit</v>
      </c>
      <c r="C113" s="51" t="str">
        <f>IFERROR(__xludf.DUMMYFUNCTION("""COMPUTED_VALUE"""),"Mike Korba")</f>
        <v>Mike Korba</v>
      </c>
      <c r="D113" s="51" t="str">
        <f>IFERROR(__xludf.DUMMYFUNCTION("""COMPUTED_VALUE"""),"2019/11/07 10:10:00")</f>
        <v>2019/11/07 10:10:00</v>
      </c>
      <c r="E113" s="51" t="str">
        <f>IFERROR(__xludf.DUMMYFUNCTION("""COMPUTED_VALUE"""),"2019/11/07 10:14:00")</f>
        <v>2019/11/07 10:14:00</v>
      </c>
      <c r="F113" s="51" t="str">
        <f>IFERROR(__xludf.DUMMYFUNCTION("""COMPUTED_VALUE"""),"52c21009-658c-4a74-89a4-f78368887196")</f>
        <v>52c21009-658c-4a74-89a4-f78368887196</v>
      </c>
      <c r="G113" s="58">
        <f>IFERROR(__xludf.DUMMYFUNCTION("""COMPUTED_VALUE"""),43776.0)</f>
        <v>43776</v>
      </c>
      <c r="H113" s="60">
        <f>IFERROR(__xludf.DUMMYFUNCTION("""COMPUTED_VALUE"""),0.4236111111111111)</f>
        <v>0.4236111111</v>
      </c>
      <c r="I113" s="58">
        <f>IFERROR(__xludf.DUMMYFUNCTION("""COMPUTED_VALUE"""),43776.0)</f>
        <v>43776</v>
      </c>
      <c r="J113" s="60">
        <f>IFERROR(__xludf.DUMMYFUNCTION("""COMPUTED_VALUE"""),0.4263888888888889)</f>
        <v>0.4263888889</v>
      </c>
      <c r="K113" s="60">
        <f t="shared" si="1"/>
        <v>0.002777777778</v>
      </c>
      <c r="L113" s="51" t="s">
        <v>583</v>
      </c>
      <c r="M113" s="51"/>
      <c r="N113" s="51"/>
      <c r="O113" s="50"/>
      <c r="P113" s="50"/>
      <c r="Q113" s="63"/>
      <c r="R113" s="51"/>
      <c r="S113" s="51"/>
      <c r="T113" s="51"/>
    </row>
    <row r="114">
      <c r="A114" s="51" t="str">
        <f>IFERROR(__xludf.DUMMYFUNCTION("""COMPUTED_VALUE"""),"Potential to exponential: The secret to hyper-growth")</f>
        <v>Potential to exponential: The secret to hyper-growth</v>
      </c>
      <c r="B114" s="51" t="str">
        <f>IFERROR(__xludf.DUMMYFUNCTION("""COMPUTED_VALUE"""),"Growth Summit")</f>
        <v>Growth Summit</v>
      </c>
      <c r="C114" s="51" t="str">
        <f>IFERROR(__xludf.DUMMYFUNCTION("""COMPUTED_VALUE"""),"Luis Roque")</f>
        <v>Luis Roque</v>
      </c>
      <c r="D114" s="51" t="str">
        <f>IFERROR(__xludf.DUMMYFUNCTION("""COMPUTED_VALUE"""),"2019/11/07 10:14:00")</f>
        <v>2019/11/07 10:14:00</v>
      </c>
      <c r="E114" s="51" t="str">
        <f>IFERROR(__xludf.DUMMYFUNCTION("""COMPUTED_VALUE"""),"2019/11/07 10:18:00")</f>
        <v>2019/11/07 10:18:00</v>
      </c>
      <c r="F114" s="51" t="str">
        <f>IFERROR(__xludf.DUMMYFUNCTION("""COMPUTED_VALUE"""),"cbf63279-db91-4e5e-8090-8d29237582e1")</f>
        <v>cbf63279-db91-4e5e-8090-8d29237582e1</v>
      </c>
      <c r="G114" s="58">
        <f>IFERROR(__xludf.DUMMYFUNCTION("""COMPUTED_VALUE"""),43776.0)</f>
        <v>43776</v>
      </c>
      <c r="H114" s="60">
        <f>IFERROR(__xludf.DUMMYFUNCTION("""COMPUTED_VALUE"""),0.4263888888888889)</f>
        <v>0.4263888889</v>
      </c>
      <c r="I114" s="58">
        <f>IFERROR(__xludf.DUMMYFUNCTION("""COMPUTED_VALUE"""),43776.0)</f>
        <v>43776</v>
      </c>
      <c r="J114" s="60">
        <f>IFERROR(__xludf.DUMMYFUNCTION("""COMPUTED_VALUE"""),0.42916666666666664)</f>
        <v>0.4291666667</v>
      </c>
      <c r="K114" s="60">
        <f t="shared" si="1"/>
        <v>0.002777777778</v>
      </c>
      <c r="L114" s="51" t="s">
        <v>583</v>
      </c>
      <c r="M114" s="51"/>
      <c r="N114" s="51"/>
      <c r="O114" s="50"/>
      <c r="P114" s="50"/>
      <c r="Q114" s="63"/>
      <c r="R114" s="51"/>
      <c r="S114" s="51"/>
      <c r="T114" s="51"/>
    </row>
    <row r="115">
      <c r="A115" s="51" t="str">
        <f>IFERROR(__xludf.DUMMYFUNCTION("""COMPUTED_VALUE"""),"Boost growth and innovate your business model")</f>
        <v>Boost growth and innovate your business model</v>
      </c>
      <c r="B115" s="51" t="str">
        <f>IFERROR(__xludf.DUMMYFUNCTION("""COMPUTED_VALUE"""),"Growth Summit")</f>
        <v>Growth Summit</v>
      </c>
      <c r="C115" s="51" t="str">
        <f>IFERROR(__xludf.DUMMYFUNCTION("""COMPUTED_VALUE"""),"Benny Willen")</f>
        <v>Benny Willen</v>
      </c>
      <c r="D115" s="51" t="str">
        <f>IFERROR(__xludf.DUMMYFUNCTION("""COMPUTED_VALUE"""),"2019/11/07 10:22:00")</f>
        <v>2019/11/07 10:22:00</v>
      </c>
      <c r="E115" s="51" t="str">
        <f>IFERROR(__xludf.DUMMYFUNCTION("""COMPUTED_VALUE"""),"2019/11/07 10:26:00")</f>
        <v>2019/11/07 10:26:00</v>
      </c>
      <c r="F115" s="51" t="str">
        <f>IFERROR(__xludf.DUMMYFUNCTION("""COMPUTED_VALUE"""),"50311110-4e76-4b9a-a17a-6b0f6f4e9b40")</f>
        <v>50311110-4e76-4b9a-a17a-6b0f6f4e9b40</v>
      </c>
      <c r="G115" s="58">
        <f>IFERROR(__xludf.DUMMYFUNCTION("""COMPUTED_VALUE"""),43776.0)</f>
        <v>43776</v>
      </c>
      <c r="H115" s="60">
        <f>IFERROR(__xludf.DUMMYFUNCTION("""COMPUTED_VALUE"""),0.43194444444444446)</f>
        <v>0.4319444444</v>
      </c>
      <c r="I115" s="58">
        <f>IFERROR(__xludf.DUMMYFUNCTION("""COMPUTED_VALUE"""),43776.0)</f>
        <v>43776</v>
      </c>
      <c r="J115" s="60">
        <f>IFERROR(__xludf.DUMMYFUNCTION("""COMPUTED_VALUE"""),0.43472222222222223)</f>
        <v>0.4347222222</v>
      </c>
      <c r="K115" s="60">
        <f t="shared" si="1"/>
        <v>0.002777777778</v>
      </c>
      <c r="L115" s="51" t="s">
        <v>583</v>
      </c>
      <c r="M115" s="51"/>
      <c r="N115" s="51"/>
      <c r="O115" s="50"/>
      <c r="P115" s="50"/>
      <c r="Q115" s="63"/>
      <c r="R115" s="51"/>
      <c r="S115" s="51"/>
      <c r="T115" s="51"/>
    </row>
    <row r="116">
      <c r="A116" s="51" t="str">
        <f>IFERROR(__xludf.DUMMYFUNCTION("""COMPUTED_VALUE"""),"The future of team collaboration apps")</f>
        <v>The future of team collaboration apps</v>
      </c>
      <c r="B116" s="51" t="str">
        <f>IFERROR(__xludf.DUMMYFUNCTION("""COMPUTED_VALUE"""),"Growth Summit")</f>
        <v>Growth Summit</v>
      </c>
      <c r="C116" s="51" t="str">
        <f>IFERROR(__xludf.DUMMYFUNCTION("""COMPUTED_VALUE"""),"Josh Lee")</f>
        <v>Josh Lee</v>
      </c>
      <c r="D116" s="51" t="str">
        <f>IFERROR(__xludf.DUMMYFUNCTION("""COMPUTED_VALUE"""),"2019/11/07 10:26:00")</f>
        <v>2019/11/07 10:26:00</v>
      </c>
      <c r="E116" s="51" t="str">
        <f>IFERROR(__xludf.DUMMYFUNCTION("""COMPUTED_VALUE"""),"2019/11/07 10:30:00")</f>
        <v>2019/11/07 10:30:00</v>
      </c>
      <c r="F116" s="51" t="str">
        <f>IFERROR(__xludf.DUMMYFUNCTION("""COMPUTED_VALUE"""),"3c24aa5b-3736-4f49-a095-a87f3fcd7426")</f>
        <v>3c24aa5b-3736-4f49-a095-a87f3fcd7426</v>
      </c>
      <c r="G116" s="58">
        <f>IFERROR(__xludf.DUMMYFUNCTION("""COMPUTED_VALUE"""),43776.0)</f>
        <v>43776</v>
      </c>
      <c r="H116" s="60">
        <f>IFERROR(__xludf.DUMMYFUNCTION("""COMPUTED_VALUE"""),0.43472222222222223)</f>
        <v>0.4347222222</v>
      </c>
      <c r="I116" s="58">
        <f>IFERROR(__xludf.DUMMYFUNCTION("""COMPUTED_VALUE"""),43776.0)</f>
        <v>43776</v>
      </c>
      <c r="J116" s="60">
        <f>IFERROR(__xludf.DUMMYFUNCTION("""COMPUTED_VALUE"""),0.4375)</f>
        <v>0.4375</v>
      </c>
      <c r="K116" s="60">
        <f t="shared" si="1"/>
        <v>0.002777777778</v>
      </c>
      <c r="L116" s="51" t="s">
        <v>583</v>
      </c>
      <c r="M116" s="51"/>
      <c r="N116" s="51"/>
      <c r="O116" s="50"/>
      <c r="P116" s="50"/>
      <c r="Q116" s="63"/>
      <c r="R116" s="51"/>
      <c r="S116" s="51"/>
      <c r="T116" s="51"/>
    </row>
    <row r="117">
      <c r="A117" s="51" t="str">
        <f>IFERROR(__xludf.DUMMYFUNCTION("""COMPUTED_VALUE"""),"From quitting my job to raising a Series A")</f>
        <v>From quitting my job to raising a Series A</v>
      </c>
      <c r="B117" s="51" t="str">
        <f>IFERROR(__xludf.DUMMYFUNCTION("""COMPUTED_VALUE"""),"Growth Summit")</f>
        <v>Growth Summit</v>
      </c>
      <c r="C117" s="51" t="str">
        <f>IFERROR(__xludf.DUMMYFUNCTION("""COMPUTED_VALUE"""),"Franz Dörr")</f>
        <v>Franz Dörr</v>
      </c>
      <c r="D117" s="51" t="str">
        <f>IFERROR(__xludf.DUMMYFUNCTION("""COMPUTED_VALUE"""),"2019/11/07 10:30:00")</f>
        <v>2019/11/07 10:30:00</v>
      </c>
      <c r="E117" s="51" t="str">
        <f>IFERROR(__xludf.DUMMYFUNCTION("""COMPUTED_VALUE"""),"2019/11/07 10:34:00")</f>
        <v>2019/11/07 10:34:00</v>
      </c>
      <c r="F117" s="51" t="str">
        <f>IFERROR(__xludf.DUMMYFUNCTION("""COMPUTED_VALUE"""),"19946a2a-d83b-4e81-8649-f59d10791e8b")</f>
        <v>19946a2a-d83b-4e81-8649-f59d10791e8b</v>
      </c>
      <c r="G117" s="58">
        <f>IFERROR(__xludf.DUMMYFUNCTION("""COMPUTED_VALUE"""),43776.0)</f>
        <v>43776</v>
      </c>
      <c r="H117" s="60">
        <f>IFERROR(__xludf.DUMMYFUNCTION("""COMPUTED_VALUE"""),0.4375)</f>
        <v>0.4375</v>
      </c>
      <c r="I117" s="58">
        <f>IFERROR(__xludf.DUMMYFUNCTION("""COMPUTED_VALUE"""),43776.0)</f>
        <v>43776</v>
      </c>
      <c r="J117" s="60">
        <f>IFERROR(__xludf.DUMMYFUNCTION("""COMPUTED_VALUE"""),0.44027777777777777)</f>
        <v>0.4402777778</v>
      </c>
      <c r="K117" s="60">
        <f t="shared" si="1"/>
        <v>0.002777777778</v>
      </c>
      <c r="L117" s="51" t="s">
        <v>583</v>
      </c>
      <c r="M117" s="51"/>
      <c r="N117" s="51"/>
      <c r="O117" s="50"/>
      <c r="P117" s="50"/>
      <c r="Q117" s="63"/>
      <c r="R117" s="51"/>
      <c r="S117" s="51"/>
      <c r="T117" s="51"/>
    </row>
    <row r="118">
      <c r="A118" s="51" t="str">
        <f>IFERROR(__xludf.DUMMYFUNCTION("""COMPUTED_VALUE"""),"Going global")</f>
        <v>Going global</v>
      </c>
      <c r="B118" s="51" t="str">
        <f>IFERROR(__xludf.DUMMYFUNCTION("""COMPUTED_VALUE"""),"Growth Summit")</f>
        <v>Growth Summit</v>
      </c>
      <c r="C118" s="51" t="str">
        <f>IFERROR(__xludf.DUMMYFUNCTION("""COMPUTED_VALUE"""),"Paul Coggins")</f>
        <v>Paul Coggins</v>
      </c>
      <c r="D118" s="51" t="str">
        <f>IFERROR(__xludf.DUMMYFUNCTION("""COMPUTED_VALUE"""),"2019/11/07 10:34:00")</f>
        <v>2019/11/07 10:34:00</v>
      </c>
      <c r="E118" s="51" t="str">
        <f>IFERROR(__xludf.DUMMYFUNCTION("""COMPUTED_VALUE"""),"2019/11/07 10:38:00")</f>
        <v>2019/11/07 10:38:00</v>
      </c>
      <c r="F118" s="51" t="str">
        <f>IFERROR(__xludf.DUMMYFUNCTION("""COMPUTED_VALUE"""),"96b9f7e2-775d-408a-a509-3b78d464126f")</f>
        <v>96b9f7e2-775d-408a-a509-3b78d464126f</v>
      </c>
      <c r="G118" s="58">
        <f>IFERROR(__xludf.DUMMYFUNCTION("""COMPUTED_VALUE"""),43776.0)</f>
        <v>43776</v>
      </c>
      <c r="H118" s="60">
        <f>IFERROR(__xludf.DUMMYFUNCTION("""COMPUTED_VALUE"""),0.44027777777777777)</f>
        <v>0.4402777778</v>
      </c>
      <c r="I118" s="58">
        <f>IFERROR(__xludf.DUMMYFUNCTION("""COMPUTED_VALUE"""),43776.0)</f>
        <v>43776</v>
      </c>
      <c r="J118" s="60">
        <f>IFERROR(__xludf.DUMMYFUNCTION("""COMPUTED_VALUE"""),0.44305555555555554)</f>
        <v>0.4430555556</v>
      </c>
      <c r="K118" s="60">
        <f t="shared" si="1"/>
        <v>0.002777777778</v>
      </c>
      <c r="L118" s="51" t="s">
        <v>583</v>
      </c>
      <c r="M118" s="51"/>
      <c r="N118" s="51"/>
      <c r="O118" s="50"/>
      <c r="P118" s="50"/>
      <c r="Q118" s="63"/>
      <c r="R118" s="51"/>
      <c r="S118" s="51"/>
      <c r="T118" s="51"/>
    </row>
    <row r="119">
      <c r="A119" s="51" t="str">
        <f>IFERROR(__xludf.DUMMYFUNCTION("""COMPUTED_VALUE"""),"The combined impact of blockchain and AI")</f>
        <v>The combined impact of blockchain and AI</v>
      </c>
      <c r="B119" s="51" t="str">
        <f>IFERROR(__xludf.DUMMYFUNCTION("""COMPUTED_VALUE"""),"Growth Summit")</f>
        <v>Growth Summit</v>
      </c>
      <c r="C119" s="51" t="str">
        <f>IFERROR(__xludf.DUMMYFUNCTION("""COMPUTED_VALUE"""),"Mark Arthur")</f>
        <v>Mark Arthur</v>
      </c>
      <c r="D119" s="51" t="str">
        <f>IFERROR(__xludf.DUMMYFUNCTION("""COMPUTED_VALUE"""),"2019/11/07 10:38:00")</f>
        <v>2019/11/07 10:38:00</v>
      </c>
      <c r="E119" s="51" t="str">
        <f>IFERROR(__xludf.DUMMYFUNCTION("""COMPUTED_VALUE"""),"2019/11/07 10:42:00")</f>
        <v>2019/11/07 10:42:00</v>
      </c>
      <c r="F119" s="51" t="str">
        <f>IFERROR(__xludf.DUMMYFUNCTION("""COMPUTED_VALUE"""),"06bcbbe0-4efd-4675-8228-9969940fffa1")</f>
        <v>06bcbbe0-4efd-4675-8228-9969940fffa1</v>
      </c>
      <c r="G119" s="58">
        <f>IFERROR(__xludf.DUMMYFUNCTION("""COMPUTED_VALUE"""),43776.0)</f>
        <v>43776</v>
      </c>
      <c r="H119" s="60">
        <f>IFERROR(__xludf.DUMMYFUNCTION("""COMPUTED_VALUE"""),0.44305555555555554)</f>
        <v>0.4430555556</v>
      </c>
      <c r="I119" s="58">
        <f>IFERROR(__xludf.DUMMYFUNCTION("""COMPUTED_VALUE"""),43776.0)</f>
        <v>43776</v>
      </c>
      <c r="J119" s="60">
        <f>IFERROR(__xludf.DUMMYFUNCTION("""COMPUTED_VALUE"""),0.44583333333333336)</f>
        <v>0.4458333333</v>
      </c>
      <c r="K119" s="60">
        <f t="shared" si="1"/>
        <v>0.002777777778</v>
      </c>
      <c r="L119" s="51" t="s">
        <v>583</v>
      </c>
      <c r="M119" s="51"/>
      <c r="N119" s="51"/>
      <c r="O119" s="50"/>
      <c r="P119" s="50"/>
      <c r="Q119" s="63"/>
      <c r="R119" s="51"/>
      <c r="S119" s="51"/>
      <c r="T119" s="51"/>
    </row>
    <row r="120">
      <c r="A120" s="51" t="str">
        <f>IFERROR(__xludf.DUMMYFUNCTION("""COMPUTED_VALUE"""),"It's rarely sunny in CEO land")</f>
        <v>It's rarely sunny in CEO land</v>
      </c>
      <c r="B120" s="51" t="str">
        <f>IFERROR(__xludf.DUMMYFUNCTION("""COMPUTED_VALUE"""),"Growth Summit")</f>
        <v>Growth Summit</v>
      </c>
      <c r="C120" s="51" t="str">
        <f>IFERROR(__xludf.DUMMYFUNCTION("""COMPUTED_VALUE"""),"Amit Rai")</f>
        <v>Amit Rai</v>
      </c>
      <c r="D120" s="51" t="str">
        <f>IFERROR(__xludf.DUMMYFUNCTION("""COMPUTED_VALUE"""),"2019/11/07 10:42:00")</f>
        <v>2019/11/07 10:42:00</v>
      </c>
      <c r="E120" s="51" t="str">
        <f>IFERROR(__xludf.DUMMYFUNCTION("""COMPUTED_VALUE"""),"2019/11/07 10:46:00")</f>
        <v>2019/11/07 10:46:00</v>
      </c>
      <c r="F120" s="51" t="str">
        <f>IFERROR(__xludf.DUMMYFUNCTION("""COMPUTED_VALUE"""),"c875d00e-4728-4829-ab8d-5b8028022bbd")</f>
        <v>c875d00e-4728-4829-ab8d-5b8028022bbd</v>
      </c>
      <c r="G120" s="58">
        <f>IFERROR(__xludf.DUMMYFUNCTION("""COMPUTED_VALUE"""),43776.0)</f>
        <v>43776</v>
      </c>
      <c r="H120" s="60">
        <f>IFERROR(__xludf.DUMMYFUNCTION("""COMPUTED_VALUE"""),0.44583333333333336)</f>
        <v>0.4458333333</v>
      </c>
      <c r="I120" s="58">
        <f>IFERROR(__xludf.DUMMYFUNCTION("""COMPUTED_VALUE"""),43776.0)</f>
        <v>43776</v>
      </c>
      <c r="J120" s="60">
        <f>IFERROR(__xludf.DUMMYFUNCTION("""COMPUTED_VALUE"""),0.4486111111111111)</f>
        <v>0.4486111111</v>
      </c>
      <c r="K120" s="60">
        <f t="shared" si="1"/>
        <v>0.002777777778</v>
      </c>
      <c r="L120" s="51" t="s">
        <v>583</v>
      </c>
      <c r="M120" s="51"/>
      <c r="N120" s="51"/>
      <c r="O120" s="50"/>
      <c r="P120" s="50"/>
      <c r="Q120" s="63"/>
      <c r="R120" s="51"/>
      <c r="S120" s="51"/>
      <c r="T120" s="51"/>
    </row>
    <row r="121">
      <c r="A121" s="51" t="str">
        <f>IFERROR(__xludf.DUMMYFUNCTION("""COMPUTED_VALUE"""),"Running a people-oriented business remotely")</f>
        <v>Running a people-oriented business remotely</v>
      </c>
      <c r="B121" s="51" t="str">
        <f>IFERROR(__xludf.DUMMYFUNCTION("""COMPUTED_VALUE"""),"Growth Summit")</f>
        <v>Growth Summit</v>
      </c>
      <c r="C121" s="51" t="str">
        <f>IFERROR(__xludf.DUMMYFUNCTION("""COMPUTED_VALUE"""),"Mikhail Marchenko")</f>
        <v>Mikhail Marchenko</v>
      </c>
      <c r="D121" s="51" t="str">
        <f>IFERROR(__xludf.DUMMYFUNCTION("""COMPUTED_VALUE"""),"2019/11/07 10:46:00")</f>
        <v>2019/11/07 10:46:00</v>
      </c>
      <c r="E121" s="51" t="str">
        <f>IFERROR(__xludf.DUMMYFUNCTION("""COMPUTED_VALUE"""),"2019/11/07 10:50:00")</f>
        <v>2019/11/07 10:50:00</v>
      </c>
      <c r="F121" s="51" t="str">
        <f>IFERROR(__xludf.DUMMYFUNCTION("""COMPUTED_VALUE"""),"a6892abc-301c-4767-8da3-470b3a5543cc")</f>
        <v>a6892abc-301c-4767-8da3-470b3a5543cc</v>
      </c>
      <c r="G121" s="58">
        <f>IFERROR(__xludf.DUMMYFUNCTION("""COMPUTED_VALUE"""),43776.0)</f>
        <v>43776</v>
      </c>
      <c r="H121" s="60">
        <f>IFERROR(__xludf.DUMMYFUNCTION("""COMPUTED_VALUE"""),0.4486111111111111)</f>
        <v>0.4486111111</v>
      </c>
      <c r="I121" s="58">
        <f>IFERROR(__xludf.DUMMYFUNCTION("""COMPUTED_VALUE"""),43776.0)</f>
        <v>43776</v>
      </c>
      <c r="J121" s="60">
        <f>IFERROR(__xludf.DUMMYFUNCTION("""COMPUTED_VALUE"""),0.4513888888888889)</f>
        <v>0.4513888889</v>
      </c>
      <c r="K121" s="60">
        <f t="shared" si="1"/>
        <v>0.002777777778</v>
      </c>
      <c r="L121" s="51" t="s">
        <v>583</v>
      </c>
      <c r="M121" s="51"/>
      <c r="N121" s="51"/>
      <c r="O121" s="50"/>
      <c r="P121" s="50"/>
      <c r="Q121" s="63"/>
      <c r="R121" s="51"/>
      <c r="S121" s="51"/>
      <c r="T121" s="51"/>
    </row>
    <row r="122">
      <c r="A122" s="51" t="str">
        <f>IFERROR(__xludf.DUMMYFUNCTION("""COMPUTED_VALUE"""),"How we got corporate treasurers to trust us more than their banks")</f>
        <v>How we got corporate treasurers to trust us more than their banks</v>
      </c>
      <c r="B122" s="51" t="str">
        <f>IFERROR(__xludf.DUMMYFUNCTION("""COMPUTED_VALUE"""),"Growth Summit")</f>
        <v>Growth Summit</v>
      </c>
      <c r="C122" s="51" t="str">
        <f>IFERROR(__xludf.DUMMYFUNCTION("""COMPUTED_VALUE"""),"Anders Nicolai Bakke")</f>
        <v>Anders Nicolai Bakke</v>
      </c>
      <c r="D122" s="51" t="str">
        <f>IFERROR(__xludf.DUMMYFUNCTION("""COMPUTED_VALUE"""),"2019/11/07 10:50:00")</f>
        <v>2019/11/07 10:50:00</v>
      </c>
      <c r="E122" s="51" t="str">
        <f>IFERROR(__xludf.DUMMYFUNCTION("""COMPUTED_VALUE"""),"2019/11/07 10:54:00")</f>
        <v>2019/11/07 10:54:00</v>
      </c>
      <c r="F122" s="51" t="str">
        <f>IFERROR(__xludf.DUMMYFUNCTION("""COMPUTED_VALUE"""),"28dfd30c-11ce-43b7-a067-a820ed35146d")</f>
        <v>28dfd30c-11ce-43b7-a067-a820ed35146d</v>
      </c>
      <c r="G122" s="58">
        <f>IFERROR(__xludf.DUMMYFUNCTION("""COMPUTED_VALUE"""),43776.0)</f>
        <v>43776</v>
      </c>
      <c r="H122" s="60">
        <f>IFERROR(__xludf.DUMMYFUNCTION("""COMPUTED_VALUE"""),0.4513888888888889)</f>
        <v>0.4513888889</v>
      </c>
      <c r="I122" s="58">
        <f>IFERROR(__xludf.DUMMYFUNCTION("""COMPUTED_VALUE"""),43776.0)</f>
        <v>43776</v>
      </c>
      <c r="J122" s="60">
        <f>IFERROR(__xludf.DUMMYFUNCTION("""COMPUTED_VALUE"""),0.45416666666666666)</f>
        <v>0.4541666667</v>
      </c>
      <c r="K122" s="60">
        <f t="shared" si="1"/>
        <v>0.002777777778</v>
      </c>
      <c r="L122" s="51" t="s">
        <v>583</v>
      </c>
      <c r="M122" s="51"/>
      <c r="N122" s="51"/>
      <c r="O122" s="50"/>
      <c r="P122" s="50"/>
      <c r="Q122" s="63"/>
      <c r="R122" s="51"/>
      <c r="S122" s="51"/>
      <c r="T122" s="51"/>
    </row>
    <row r="123">
      <c r="A123" s="51" t="str">
        <f>IFERROR(__xludf.DUMMYFUNCTION("""COMPUTED_VALUE"""),"Data secure passive biometrics")</f>
        <v>Data secure passive biometrics</v>
      </c>
      <c r="B123" s="51" t="str">
        <f>IFERROR(__xludf.DUMMYFUNCTION("""COMPUTED_VALUE"""),"Growth Summit")</f>
        <v>Growth Summit</v>
      </c>
      <c r="C123" s="51" t="str">
        <f>IFERROR(__xludf.DUMMYFUNCTION("""COMPUTED_VALUE"""),"Aleksander Kijek")</f>
        <v>Aleksander Kijek</v>
      </c>
      <c r="D123" s="51" t="str">
        <f>IFERROR(__xludf.DUMMYFUNCTION("""COMPUTED_VALUE"""),"2019/11/07 10:54:00")</f>
        <v>2019/11/07 10:54:00</v>
      </c>
      <c r="E123" s="51" t="str">
        <f>IFERROR(__xludf.DUMMYFUNCTION("""COMPUTED_VALUE"""),"2019/11/07 10:56:00")</f>
        <v>2019/11/07 10:56:00</v>
      </c>
      <c r="F123" s="51" t="str">
        <f>IFERROR(__xludf.DUMMYFUNCTION("""COMPUTED_VALUE"""),"3bc1f9b7-22a8-4953-bf70-84359246d05a")</f>
        <v>3bc1f9b7-22a8-4953-bf70-84359246d05a</v>
      </c>
      <c r="G123" s="58">
        <f>IFERROR(__xludf.DUMMYFUNCTION("""COMPUTED_VALUE"""),43776.0)</f>
        <v>43776</v>
      </c>
      <c r="H123" s="60">
        <f>IFERROR(__xludf.DUMMYFUNCTION("""COMPUTED_VALUE"""),0.45416666666666666)</f>
        <v>0.4541666667</v>
      </c>
      <c r="I123" s="58">
        <f>IFERROR(__xludf.DUMMYFUNCTION("""COMPUTED_VALUE"""),43776.0)</f>
        <v>43776</v>
      </c>
      <c r="J123" s="60">
        <f>IFERROR(__xludf.DUMMYFUNCTION("""COMPUTED_VALUE"""),0.45555555555555555)</f>
        <v>0.4555555556</v>
      </c>
      <c r="K123" s="60">
        <f t="shared" si="1"/>
        <v>0.001388888889</v>
      </c>
      <c r="L123" s="51" t="s">
        <v>584</v>
      </c>
      <c r="M123" s="51"/>
      <c r="N123" s="51"/>
      <c r="O123" s="50"/>
      <c r="P123" s="50"/>
      <c r="Q123" s="63"/>
      <c r="R123" s="51"/>
      <c r="S123" s="51"/>
      <c r="T123" s="51"/>
    </row>
    <row r="124">
      <c r="A124" s="51" t="str">
        <f>IFERROR(__xludf.DUMMYFUNCTION("""COMPUTED_VALUE"""),"Building products at the frontier: Bridging the gap with high and low tech solutions")</f>
        <v>Building products at the frontier: Bridging the gap with high and low tech solutions</v>
      </c>
      <c r="B124" s="51" t="str">
        <f>IFERROR(__xludf.DUMMYFUNCTION("""COMPUTED_VALUE"""),"Growth Summit")</f>
        <v>Growth Summit</v>
      </c>
      <c r="C124" s="51" t="str">
        <f>IFERROR(__xludf.DUMMYFUNCTION("""COMPUTED_VALUE"""),"Jean-Claude Homawoo")</f>
        <v>Jean-Claude Homawoo</v>
      </c>
      <c r="D124" s="51" t="str">
        <f>IFERROR(__xludf.DUMMYFUNCTION("""COMPUTED_VALUE"""),"2019/11/07 10:58:00")</f>
        <v>2019/11/07 10:58:00</v>
      </c>
      <c r="E124" s="51" t="str">
        <f>IFERROR(__xludf.DUMMYFUNCTION("""COMPUTED_VALUE"""),"2019/11/07 11:02:00")</f>
        <v>2019/11/07 11:02:00</v>
      </c>
      <c r="F124" s="51" t="str">
        <f>IFERROR(__xludf.DUMMYFUNCTION("""COMPUTED_VALUE"""),"e34be1ef-3b5c-4ade-93dd-02159e577b66")</f>
        <v>e34be1ef-3b5c-4ade-93dd-02159e577b66</v>
      </c>
      <c r="G124" s="58">
        <f>IFERROR(__xludf.DUMMYFUNCTION("""COMPUTED_VALUE"""),43776.0)</f>
        <v>43776</v>
      </c>
      <c r="H124" s="60">
        <f>IFERROR(__xludf.DUMMYFUNCTION("""COMPUTED_VALUE"""),0.45694444444444443)</f>
        <v>0.4569444444</v>
      </c>
      <c r="I124" s="58">
        <f>IFERROR(__xludf.DUMMYFUNCTION("""COMPUTED_VALUE"""),43776.0)</f>
        <v>43776</v>
      </c>
      <c r="J124" s="60">
        <f>IFERROR(__xludf.DUMMYFUNCTION("""COMPUTED_VALUE"""),0.4597222222222222)</f>
        <v>0.4597222222</v>
      </c>
      <c r="K124" s="60">
        <f t="shared" si="1"/>
        <v>0.002777777778</v>
      </c>
      <c r="L124" s="51" t="s">
        <v>583</v>
      </c>
      <c r="M124" s="51"/>
      <c r="N124" s="51"/>
      <c r="O124" s="50"/>
      <c r="P124" s="50"/>
      <c r="Q124" s="63"/>
      <c r="R124" s="51"/>
      <c r="S124" s="51"/>
      <c r="T124" s="51"/>
    </row>
    <row r="125">
      <c r="A125" s="51" t="str">
        <f>IFERROR(__xludf.DUMMYFUNCTION("""COMPUTED_VALUE"""),"How to grow your presence on mobile from 10,000 to 10m users")</f>
        <v>How to grow your presence on mobile from 10,000 to 10m users</v>
      </c>
      <c r="B125" s="51" t="str">
        <f>IFERROR(__xludf.DUMMYFUNCTION("""COMPUTED_VALUE"""),"Growth Summit")</f>
        <v>Growth Summit</v>
      </c>
      <c r="C125" s="51" t="str">
        <f>IFERROR(__xludf.DUMMYFUNCTION("""COMPUTED_VALUE"""),"Micha Benoliel")</f>
        <v>Micha Benoliel</v>
      </c>
      <c r="D125" s="51" t="str">
        <f>IFERROR(__xludf.DUMMYFUNCTION("""COMPUTED_VALUE"""),"2019/11/07 11:02:00")</f>
        <v>2019/11/07 11:02:00</v>
      </c>
      <c r="E125" s="51" t="str">
        <f>IFERROR(__xludf.DUMMYFUNCTION("""COMPUTED_VALUE"""),"2019/11/07 11:06:00")</f>
        <v>2019/11/07 11:06:00</v>
      </c>
      <c r="F125" s="51" t="str">
        <f>IFERROR(__xludf.DUMMYFUNCTION("""COMPUTED_VALUE"""),"243dfa18-bc62-4eb1-928f-6bdea7b9277b")</f>
        <v>243dfa18-bc62-4eb1-928f-6bdea7b9277b</v>
      </c>
      <c r="G125" s="58">
        <f>IFERROR(__xludf.DUMMYFUNCTION("""COMPUTED_VALUE"""),43776.0)</f>
        <v>43776</v>
      </c>
      <c r="H125" s="60">
        <f>IFERROR(__xludf.DUMMYFUNCTION("""COMPUTED_VALUE"""),0.4597222222222222)</f>
        <v>0.4597222222</v>
      </c>
      <c r="I125" s="58">
        <f>IFERROR(__xludf.DUMMYFUNCTION("""COMPUTED_VALUE"""),43776.0)</f>
        <v>43776</v>
      </c>
      <c r="J125" s="60">
        <f>IFERROR(__xludf.DUMMYFUNCTION("""COMPUTED_VALUE"""),0.4625)</f>
        <v>0.4625</v>
      </c>
      <c r="K125" s="60">
        <f t="shared" si="1"/>
        <v>0.002777777778</v>
      </c>
      <c r="L125" s="51" t="s">
        <v>583</v>
      </c>
      <c r="M125" s="51"/>
      <c r="N125" s="51"/>
      <c r="O125" s="50"/>
      <c r="P125" s="50"/>
      <c r="Q125" s="63"/>
      <c r="R125" s="51"/>
      <c r="S125" s="51"/>
      <c r="T125" s="51"/>
    </row>
    <row r="126">
      <c r="A126" s="51" t="str">
        <f>IFERROR(__xludf.DUMMYFUNCTION("""COMPUTED_VALUE"""),"Partnering for growth")</f>
        <v>Partnering for growth</v>
      </c>
      <c r="B126" s="51" t="str">
        <f>IFERROR(__xludf.DUMMYFUNCTION("""COMPUTED_VALUE"""),"Growth Summit")</f>
        <v>Growth Summit</v>
      </c>
      <c r="C126" s="51" t="str">
        <f>IFERROR(__xludf.DUMMYFUNCTION("""COMPUTED_VALUE"""),"Jay Goldman")</f>
        <v>Jay Goldman</v>
      </c>
      <c r="D126" s="51" t="str">
        <f>IFERROR(__xludf.DUMMYFUNCTION("""COMPUTED_VALUE"""),"2019/11/07 11:06:00")</f>
        <v>2019/11/07 11:06:00</v>
      </c>
      <c r="E126" s="51" t="str">
        <f>IFERROR(__xludf.DUMMYFUNCTION("""COMPUTED_VALUE"""),"2019/11/07 11:10:00")</f>
        <v>2019/11/07 11:10:00</v>
      </c>
      <c r="F126" s="51" t="str">
        <f>IFERROR(__xludf.DUMMYFUNCTION("""COMPUTED_VALUE"""),"38d5c869-1f67-4bf5-be39-57bcac20f6dc")</f>
        <v>38d5c869-1f67-4bf5-be39-57bcac20f6dc</v>
      </c>
      <c r="G126" s="58">
        <f>IFERROR(__xludf.DUMMYFUNCTION("""COMPUTED_VALUE"""),43776.0)</f>
        <v>43776</v>
      </c>
      <c r="H126" s="60">
        <f>IFERROR(__xludf.DUMMYFUNCTION("""COMPUTED_VALUE"""),0.4625)</f>
        <v>0.4625</v>
      </c>
      <c r="I126" s="58">
        <f>IFERROR(__xludf.DUMMYFUNCTION("""COMPUTED_VALUE"""),43776.0)</f>
        <v>43776</v>
      </c>
      <c r="J126" s="60">
        <f>IFERROR(__xludf.DUMMYFUNCTION("""COMPUTED_VALUE"""),0.4652777777777778)</f>
        <v>0.4652777778</v>
      </c>
      <c r="K126" s="60">
        <f t="shared" si="1"/>
        <v>0.002777777778</v>
      </c>
      <c r="L126" s="51" t="s">
        <v>583</v>
      </c>
      <c r="M126" s="51"/>
      <c r="N126" s="51"/>
      <c r="O126" s="50"/>
      <c r="P126" s="50"/>
      <c r="Q126" s="63"/>
      <c r="R126" s="51"/>
      <c r="S126" s="51"/>
      <c r="T126" s="51"/>
    </row>
    <row r="127">
      <c r="A127" s="51" t="str">
        <f>IFERROR(__xludf.DUMMYFUNCTION("""COMPUTED_VALUE"""),"Who will buy insurance in the future, and how?")</f>
        <v>Who will buy insurance in the future, and how?</v>
      </c>
      <c r="B127" s="51" t="str">
        <f>IFERROR(__xludf.DUMMYFUNCTION("""COMPUTED_VALUE"""),"Growth Summit")</f>
        <v>Growth Summit</v>
      </c>
      <c r="C127" s="51" t="str">
        <f>IFERROR(__xludf.DUMMYFUNCTION("""COMPUTED_VALUE"""),"Tim Hardcastle")</f>
        <v>Tim Hardcastle</v>
      </c>
      <c r="D127" s="51" t="str">
        <f>IFERROR(__xludf.DUMMYFUNCTION("""COMPUTED_VALUE"""),"2019/11/07 11:10:00")</f>
        <v>2019/11/07 11:10:00</v>
      </c>
      <c r="E127" s="51" t="str">
        <f>IFERROR(__xludf.DUMMYFUNCTION("""COMPUTED_VALUE"""),"2019/11/07 11:14:00")</f>
        <v>2019/11/07 11:14:00</v>
      </c>
      <c r="F127" s="51" t="str">
        <f>IFERROR(__xludf.DUMMYFUNCTION("""COMPUTED_VALUE"""),"bebe1502-c8f9-4e2d-b676-c4aa86b87ce1")</f>
        <v>bebe1502-c8f9-4e2d-b676-c4aa86b87ce1</v>
      </c>
      <c r="G127" s="58">
        <f>IFERROR(__xludf.DUMMYFUNCTION("""COMPUTED_VALUE"""),43776.0)</f>
        <v>43776</v>
      </c>
      <c r="H127" s="60">
        <f>IFERROR(__xludf.DUMMYFUNCTION("""COMPUTED_VALUE"""),0.4652777777777778)</f>
        <v>0.4652777778</v>
      </c>
      <c r="I127" s="58">
        <f>IFERROR(__xludf.DUMMYFUNCTION("""COMPUTED_VALUE"""),43776.0)</f>
        <v>43776</v>
      </c>
      <c r="J127" s="60">
        <f>IFERROR(__xludf.DUMMYFUNCTION("""COMPUTED_VALUE"""),0.46805555555555556)</f>
        <v>0.4680555556</v>
      </c>
      <c r="K127" s="60">
        <f t="shared" si="1"/>
        <v>0.002777777778</v>
      </c>
      <c r="L127" s="51" t="s">
        <v>583</v>
      </c>
      <c r="M127" s="51"/>
      <c r="N127" s="51"/>
      <c r="O127" s="50"/>
      <c r="P127" s="50"/>
      <c r="Q127" s="63"/>
      <c r="R127" s="51"/>
      <c r="S127" s="51"/>
      <c r="T127" s="51"/>
    </row>
    <row r="128">
      <c r="A128" s="51" t="str">
        <f>IFERROR(__xludf.DUMMYFUNCTION("""COMPUTED_VALUE"""),"Neither blue nor red: Pink ocean")</f>
        <v>Neither blue nor red: Pink ocean</v>
      </c>
      <c r="B128" s="51" t="str">
        <f>IFERROR(__xludf.DUMMYFUNCTION("""COMPUTED_VALUE"""),"Growth Summit")</f>
        <v>Growth Summit</v>
      </c>
      <c r="C128" s="51" t="str">
        <f>IFERROR(__xludf.DUMMYFUNCTION("""COMPUTED_VALUE"""),"Guillermo Vicandi")</f>
        <v>Guillermo Vicandi</v>
      </c>
      <c r="D128" s="51" t="str">
        <f>IFERROR(__xludf.DUMMYFUNCTION("""COMPUTED_VALUE"""),"2019/11/07 11:14:00")</f>
        <v>2019/11/07 11:14:00</v>
      </c>
      <c r="E128" s="51" t="str">
        <f>IFERROR(__xludf.DUMMYFUNCTION("""COMPUTED_VALUE"""),"2019/11/07 11:18:00")</f>
        <v>2019/11/07 11:18:00</v>
      </c>
      <c r="F128" s="51" t="str">
        <f>IFERROR(__xludf.DUMMYFUNCTION("""COMPUTED_VALUE"""),"f67cd1c6-5d17-469f-91f0-6f11195e690b")</f>
        <v>f67cd1c6-5d17-469f-91f0-6f11195e690b</v>
      </c>
      <c r="G128" s="58">
        <f>IFERROR(__xludf.DUMMYFUNCTION("""COMPUTED_VALUE"""),43776.0)</f>
        <v>43776</v>
      </c>
      <c r="H128" s="60">
        <f>IFERROR(__xludf.DUMMYFUNCTION("""COMPUTED_VALUE"""),0.46805555555555556)</f>
        <v>0.4680555556</v>
      </c>
      <c r="I128" s="58">
        <f>IFERROR(__xludf.DUMMYFUNCTION("""COMPUTED_VALUE"""),43776.0)</f>
        <v>43776</v>
      </c>
      <c r="J128" s="60">
        <f>IFERROR(__xludf.DUMMYFUNCTION("""COMPUTED_VALUE"""),0.4708333333333333)</f>
        <v>0.4708333333</v>
      </c>
      <c r="K128" s="60">
        <f t="shared" si="1"/>
        <v>0.002777777778</v>
      </c>
      <c r="L128" s="51" t="s">
        <v>583</v>
      </c>
      <c r="M128" s="51"/>
      <c r="N128" s="51"/>
      <c r="O128" s="50"/>
      <c r="P128" s="50"/>
      <c r="Q128" s="63"/>
      <c r="R128" s="51"/>
      <c r="S128" s="51"/>
      <c r="T128" s="51"/>
    </row>
    <row r="129">
      <c r="A129" s="51" t="str">
        <f>IFERROR(__xludf.DUMMYFUNCTION("""COMPUTED_VALUE"""),"Go-to-market fit")</f>
        <v>Go-to-market fit</v>
      </c>
      <c r="B129" s="51" t="str">
        <f>IFERROR(__xludf.DUMMYFUNCTION("""COMPUTED_VALUE"""),"Growth Summit")</f>
        <v>Growth Summit</v>
      </c>
      <c r="C129" s="51" t="str">
        <f>IFERROR(__xludf.DUMMYFUNCTION("""COMPUTED_VALUE"""),"David Kelso")</f>
        <v>David Kelso</v>
      </c>
      <c r="D129" s="51" t="str">
        <f>IFERROR(__xludf.DUMMYFUNCTION("""COMPUTED_VALUE"""),"2019/11/07 11:18:00")</f>
        <v>2019/11/07 11:18:00</v>
      </c>
      <c r="E129" s="51" t="str">
        <f>IFERROR(__xludf.DUMMYFUNCTION("""COMPUTED_VALUE"""),"2019/11/07 11:22:00")</f>
        <v>2019/11/07 11:22:00</v>
      </c>
      <c r="F129" s="51" t="str">
        <f>IFERROR(__xludf.DUMMYFUNCTION("""COMPUTED_VALUE"""),"2a8b0561-959e-4c2a-b391-aed2af7df1ef")</f>
        <v>2a8b0561-959e-4c2a-b391-aed2af7df1ef</v>
      </c>
      <c r="G129" s="58">
        <f>IFERROR(__xludf.DUMMYFUNCTION("""COMPUTED_VALUE"""),43776.0)</f>
        <v>43776</v>
      </c>
      <c r="H129" s="60">
        <f>IFERROR(__xludf.DUMMYFUNCTION("""COMPUTED_VALUE"""),0.4708333333333333)</f>
        <v>0.4708333333</v>
      </c>
      <c r="I129" s="58">
        <f>IFERROR(__xludf.DUMMYFUNCTION("""COMPUTED_VALUE"""),43776.0)</f>
        <v>43776</v>
      </c>
      <c r="J129" s="60">
        <f>IFERROR(__xludf.DUMMYFUNCTION("""COMPUTED_VALUE"""),0.4736111111111111)</f>
        <v>0.4736111111</v>
      </c>
      <c r="K129" s="60">
        <f t="shared" si="1"/>
        <v>0.002777777778</v>
      </c>
      <c r="L129" s="51" t="s">
        <v>583</v>
      </c>
      <c r="M129" s="51"/>
      <c r="N129" s="51"/>
      <c r="O129" s="50"/>
      <c r="P129" s="50"/>
      <c r="Q129" s="63"/>
      <c r="R129" s="51"/>
      <c r="S129" s="51"/>
      <c r="T129" s="51"/>
    </row>
    <row r="130">
      <c r="A130" s="51" t="str">
        <f>IFERROR(__xludf.DUMMYFUNCTION("""COMPUTED_VALUE"""),"Customer care in a complex connected world")</f>
        <v>Customer care in a complex connected world</v>
      </c>
      <c r="B130" s="51" t="str">
        <f>IFERROR(__xludf.DUMMYFUNCTION("""COMPUTED_VALUE"""),"Growth Summit")</f>
        <v>Growth Summit</v>
      </c>
      <c r="C130" s="51" t="str">
        <f>IFERROR(__xludf.DUMMYFUNCTION("""COMPUTED_VALUE"""),"Alan Coleman")</f>
        <v>Alan Coleman</v>
      </c>
      <c r="D130" s="51" t="str">
        <f>IFERROR(__xludf.DUMMYFUNCTION("""COMPUTED_VALUE"""),"2019/11/07 11:22:00")</f>
        <v>2019/11/07 11:22:00</v>
      </c>
      <c r="E130" s="51" t="str">
        <f>IFERROR(__xludf.DUMMYFUNCTION("""COMPUTED_VALUE"""),"2019/11/07 11:26:00")</f>
        <v>2019/11/07 11:26:00</v>
      </c>
      <c r="F130" s="51" t="str">
        <f>IFERROR(__xludf.DUMMYFUNCTION("""COMPUTED_VALUE"""),"3be139d2-b35d-4b30-ad62-a7672c881a90")</f>
        <v>3be139d2-b35d-4b30-ad62-a7672c881a90</v>
      </c>
      <c r="G130" s="58">
        <f>IFERROR(__xludf.DUMMYFUNCTION("""COMPUTED_VALUE"""),43776.0)</f>
        <v>43776</v>
      </c>
      <c r="H130" s="60">
        <f>IFERROR(__xludf.DUMMYFUNCTION("""COMPUTED_VALUE"""),0.4736111111111111)</f>
        <v>0.4736111111</v>
      </c>
      <c r="I130" s="58">
        <f>IFERROR(__xludf.DUMMYFUNCTION("""COMPUTED_VALUE"""),43776.0)</f>
        <v>43776</v>
      </c>
      <c r="J130" s="60">
        <f>IFERROR(__xludf.DUMMYFUNCTION("""COMPUTED_VALUE"""),0.47638888888888886)</f>
        <v>0.4763888889</v>
      </c>
      <c r="K130" s="60">
        <f t="shared" si="1"/>
        <v>0.002777777778</v>
      </c>
      <c r="L130" s="51" t="s">
        <v>583</v>
      </c>
      <c r="M130" s="51"/>
      <c r="N130" s="51"/>
      <c r="O130" s="50"/>
      <c r="P130" s="50"/>
      <c r="Q130" s="63"/>
      <c r="R130" s="51"/>
      <c r="S130" s="51"/>
      <c r="T130" s="51"/>
    </row>
    <row r="131">
      <c r="A131" s="51" t="str">
        <f>IFERROR(__xludf.DUMMYFUNCTION("""COMPUTED_VALUE"""),"The egg and the chicken: Product-market fit &amp; product-investor fit")</f>
        <v>The egg and the chicken: Product-market fit &amp; product-investor fit</v>
      </c>
      <c r="B131" s="51" t="str">
        <f>IFERROR(__xludf.DUMMYFUNCTION("""COMPUTED_VALUE"""),"Growth Summit")</f>
        <v>Growth Summit</v>
      </c>
      <c r="C131" s="51" t="str">
        <f>IFERROR(__xludf.DUMMYFUNCTION("""COMPUTED_VALUE"""),"Khaled Sehly")</f>
        <v>Khaled Sehly</v>
      </c>
      <c r="D131" s="51" t="str">
        <f>IFERROR(__xludf.DUMMYFUNCTION("""COMPUTED_VALUE"""),"2019/11/07 11:26:00")</f>
        <v>2019/11/07 11:26:00</v>
      </c>
      <c r="E131" s="51" t="str">
        <f>IFERROR(__xludf.DUMMYFUNCTION("""COMPUTED_VALUE"""),"2019/11/07 11:30:00")</f>
        <v>2019/11/07 11:30:00</v>
      </c>
      <c r="F131" s="51" t="str">
        <f>IFERROR(__xludf.DUMMYFUNCTION("""COMPUTED_VALUE"""),"63f9b21c-dcf4-4d78-aff7-6eb09765cf6d")</f>
        <v>63f9b21c-dcf4-4d78-aff7-6eb09765cf6d</v>
      </c>
      <c r="G131" s="58">
        <f>IFERROR(__xludf.DUMMYFUNCTION("""COMPUTED_VALUE"""),43776.0)</f>
        <v>43776</v>
      </c>
      <c r="H131" s="60">
        <f>IFERROR(__xludf.DUMMYFUNCTION("""COMPUTED_VALUE"""),0.47638888888888886)</f>
        <v>0.4763888889</v>
      </c>
      <c r="I131" s="58">
        <f>IFERROR(__xludf.DUMMYFUNCTION("""COMPUTED_VALUE"""),43776.0)</f>
        <v>43776</v>
      </c>
      <c r="J131" s="60">
        <f>IFERROR(__xludf.DUMMYFUNCTION("""COMPUTED_VALUE"""),0.4791666666666667)</f>
        <v>0.4791666667</v>
      </c>
      <c r="K131" s="60">
        <f t="shared" si="1"/>
        <v>0.002777777778</v>
      </c>
      <c r="L131" s="51" t="s">
        <v>583</v>
      </c>
      <c r="M131" s="51"/>
      <c r="N131" s="51"/>
      <c r="O131" s="50"/>
      <c r="P131" s="50"/>
      <c r="Q131" s="63"/>
      <c r="R131" s="51"/>
      <c r="S131" s="51"/>
      <c r="T131" s="51"/>
    </row>
    <row r="132">
      <c r="A132" s="51" t="str">
        <f>IFERROR(__xludf.DUMMYFUNCTION("""COMPUTED_VALUE"""),"Kard: An old school growth story")</f>
        <v>Kard: An old school growth story</v>
      </c>
      <c r="B132" s="51" t="str">
        <f>IFERROR(__xludf.DUMMYFUNCTION("""COMPUTED_VALUE"""),"Growth Summit")</f>
        <v>Growth Summit</v>
      </c>
      <c r="C132" s="51" t="str">
        <f>IFERROR(__xludf.DUMMYFUNCTION("""COMPUTED_VALUE"""),"Scott Gordon")</f>
        <v>Scott Gordon</v>
      </c>
      <c r="D132" s="51" t="str">
        <f>IFERROR(__xludf.DUMMYFUNCTION("""COMPUTED_VALUE"""),"2019/11/07 11:30:00")</f>
        <v>2019/11/07 11:30:00</v>
      </c>
      <c r="E132" s="51" t="str">
        <f>IFERROR(__xludf.DUMMYFUNCTION("""COMPUTED_VALUE"""),"2019/11/07 11:34:00")</f>
        <v>2019/11/07 11:34:00</v>
      </c>
      <c r="F132" s="51" t="str">
        <f>IFERROR(__xludf.DUMMYFUNCTION("""COMPUTED_VALUE"""),"3a31d37f-408b-4df5-a086-b1512a7fda89")</f>
        <v>3a31d37f-408b-4df5-a086-b1512a7fda89</v>
      </c>
      <c r="G132" s="58">
        <f>IFERROR(__xludf.DUMMYFUNCTION("""COMPUTED_VALUE"""),43776.0)</f>
        <v>43776</v>
      </c>
      <c r="H132" s="60">
        <f>IFERROR(__xludf.DUMMYFUNCTION("""COMPUTED_VALUE"""),0.4791666666666667)</f>
        <v>0.4791666667</v>
      </c>
      <c r="I132" s="58">
        <f>IFERROR(__xludf.DUMMYFUNCTION("""COMPUTED_VALUE"""),43776.0)</f>
        <v>43776</v>
      </c>
      <c r="J132" s="60">
        <f>IFERROR(__xludf.DUMMYFUNCTION("""COMPUTED_VALUE"""),0.48194444444444445)</f>
        <v>0.4819444444</v>
      </c>
      <c r="K132" s="60">
        <f t="shared" si="1"/>
        <v>0.002777777778</v>
      </c>
      <c r="L132" s="51" t="s">
        <v>583</v>
      </c>
      <c r="M132" s="51"/>
      <c r="N132" s="51"/>
      <c r="O132" s="50"/>
      <c r="P132" s="50"/>
      <c r="Q132" s="63"/>
      <c r="R132" s="51"/>
      <c r="S132" s="51"/>
      <c r="T132" s="51"/>
    </row>
    <row r="133">
      <c r="A133" s="51" t="str">
        <f>IFERROR(__xludf.DUMMYFUNCTION("""COMPUTED_VALUE"""),"Lunch break")</f>
        <v>Lunch break</v>
      </c>
      <c r="B133" s="51" t="str">
        <f>IFERROR(__xludf.DUMMYFUNCTION("""COMPUTED_VALUE"""),"Growth Summit")</f>
        <v>Growth Summit</v>
      </c>
      <c r="C133" s="51" t="str">
        <f>IFERROR(__xludf.DUMMYFUNCTION("""COMPUTED_VALUE"""),"")</f>
        <v/>
      </c>
      <c r="D133" s="51" t="str">
        <f>IFERROR(__xludf.DUMMYFUNCTION("""COMPUTED_VALUE"""),"2019/11/07 11:58:00")</f>
        <v>2019/11/07 11:58:00</v>
      </c>
      <c r="E133" s="51" t="str">
        <f>IFERROR(__xludf.DUMMYFUNCTION("""COMPUTED_VALUE"""),"2019/11/07 12:28:00")</f>
        <v>2019/11/07 12:28:00</v>
      </c>
      <c r="F133" s="51" t="str">
        <f>IFERROR(__xludf.DUMMYFUNCTION("""COMPUTED_VALUE"""),"514c6bf7-ec02-4796-b76d-c951723f457c")</f>
        <v>514c6bf7-ec02-4796-b76d-c951723f457c</v>
      </c>
      <c r="G133" s="58">
        <f>IFERROR(__xludf.DUMMYFUNCTION("""COMPUTED_VALUE"""),43776.0)</f>
        <v>43776</v>
      </c>
      <c r="H133" s="60">
        <f>IFERROR(__xludf.DUMMYFUNCTION("""COMPUTED_VALUE"""),0.4986111111111111)</f>
        <v>0.4986111111</v>
      </c>
      <c r="I133" s="58">
        <f>IFERROR(__xludf.DUMMYFUNCTION("""COMPUTED_VALUE"""),43776.0)</f>
        <v>43776</v>
      </c>
      <c r="J133" s="60">
        <f>IFERROR(__xludf.DUMMYFUNCTION("""COMPUTED_VALUE"""),0.5194444444444445)</f>
        <v>0.5194444444</v>
      </c>
      <c r="K133" s="60">
        <f t="shared" si="1"/>
        <v>0.02083333333</v>
      </c>
      <c r="L133" s="51" t="s">
        <v>105</v>
      </c>
      <c r="M133" s="51"/>
      <c r="N133" s="51"/>
      <c r="O133" s="50"/>
      <c r="P133" s="50"/>
      <c r="Q133" s="63"/>
      <c r="R133" s="51"/>
      <c r="S133" s="51"/>
      <c r="T133" s="51"/>
    </row>
    <row r="134">
      <c r="A134" s="51" t="str">
        <f>IFERROR(__xludf.DUMMYFUNCTION("""COMPUTED_VALUE"""),"Opening remarks")</f>
        <v>Opening remarks</v>
      </c>
      <c r="B134" s="51" t="str">
        <f>IFERROR(__xludf.DUMMYFUNCTION("""COMPUTED_VALUE"""),"Growth Summit")</f>
        <v>Growth Summit</v>
      </c>
      <c r="C134" s="51" t="str">
        <f>IFERROR(__xludf.DUMMYFUNCTION("""COMPUTED_VALUE"""),"Francisco Alves da Silva")</f>
        <v>Francisco Alves da Silva</v>
      </c>
      <c r="D134" s="51" t="str">
        <f>IFERROR(__xludf.DUMMYFUNCTION("""COMPUTED_VALUE"""),"2019/11/07 12:28:00")</f>
        <v>2019/11/07 12:28:00</v>
      </c>
      <c r="E134" s="51" t="str">
        <f>IFERROR(__xludf.DUMMYFUNCTION("""COMPUTED_VALUE"""),"2019/11/07 12:30:00")</f>
        <v>2019/11/07 12:30:00</v>
      </c>
      <c r="F134" s="51" t="str">
        <f>IFERROR(__xludf.DUMMYFUNCTION("""COMPUTED_VALUE"""),"0e597982-da41-4399-b130-a7ce488655ba")</f>
        <v>0e597982-da41-4399-b130-a7ce488655ba</v>
      </c>
      <c r="G134" s="58">
        <f>IFERROR(__xludf.DUMMYFUNCTION("""COMPUTED_VALUE"""),43776.0)</f>
        <v>43776</v>
      </c>
      <c r="H134" s="60">
        <f>IFERROR(__xludf.DUMMYFUNCTION("""COMPUTED_VALUE"""),0.5194444444444445)</f>
        <v>0.5194444444</v>
      </c>
      <c r="I134" s="58">
        <f>IFERROR(__xludf.DUMMYFUNCTION("""COMPUTED_VALUE"""),43776.0)</f>
        <v>43776</v>
      </c>
      <c r="J134" s="60">
        <f>IFERROR(__xludf.DUMMYFUNCTION("""COMPUTED_VALUE"""),0.5208333333333334)</f>
        <v>0.5208333333</v>
      </c>
      <c r="K134" s="60">
        <f t="shared" si="1"/>
        <v>0.001388888889</v>
      </c>
      <c r="L134" s="51" t="s">
        <v>584</v>
      </c>
      <c r="M134" s="51"/>
      <c r="N134" s="51"/>
      <c r="O134" s="50"/>
      <c r="P134" s="50"/>
      <c r="Q134" s="63"/>
      <c r="R134" s="51"/>
      <c r="S134" s="51"/>
      <c r="T134" s="51"/>
    </row>
    <row r="135">
      <c r="A135" s="51" t="str">
        <f>IFERROR(__xludf.DUMMYFUNCTION("""COMPUTED_VALUE"""),"The bumpy journey to customer love")</f>
        <v>The bumpy journey to customer love</v>
      </c>
      <c r="B135" s="51" t="str">
        <f>IFERROR(__xludf.DUMMYFUNCTION("""COMPUTED_VALUE"""),"Growth Summit")</f>
        <v>Growth Summit</v>
      </c>
      <c r="C135" s="51" t="str">
        <f>IFERROR(__xludf.DUMMYFUNCTION("""COMPUTED_VALUE"""),"")</f>
        <v/>
      </c>
      <c r="D135" s="51" t="str">
        <f>IFERROR(__xludf.DUMMYFUNCTION("""COMPUTED_VALUE"""),"2019/11/07 12:30:00")</f>
        <v>2019/11/07 12:30:00</v>
      </c>
      <c r="E135" s="51" t="str">
        <f>IFERROR(__xludf.DUMMYFUNCTION("""COMPUTED_VALUE"""),"2019/11/07 12:41:00")</f>
        <v>2019/11/07 12:41:00</v>
      </c>
      <c r="F135" s="51" t="str">
        <f>IFERROR(__xludf.DUMMYFUNCTION("""COMPUTED_VALUE"""),"920af7c1-bb34-41bd-bd38-162683af9fd0")</f>
        <v>920af7c1-bb34-41bd-bd38-162683af9fd0</v>
      </c>
      <c r="G135" s="58">
        <f>IFERROR(__xludf.DUMMYFUNCTION("""COMPUTED_VALUE"""),43776.0)</f>
        <v>43776</v>
      </c>
      <c r="H135" s="60">
        <f>IFERROR(__xludf.DUMMYFUNCTION("""COMPUTED_VALUE"""),0.5208333333333334)</f>
        <v>0.5208333333</v>
      </c>
      <c r="I135" s="58">
        <f>IFERROR(__xludf.DUMMYFUNCTION("""COMPUTED_VALUE"""),43776.0)</f>
        <v>43776</v>
      </c>
      <c r="J135" s="60">
        <f>IFERROR(__xludf.DUMMYFUNCTION("""COMPUTED_VALUE"""),0.5284722222222222)</f>
        <v>0.5284722222</v>
      </c>
      <c r="K135" s="60">
        <f t="shared" si="1"/>
        <v>0.007638888889</v>
      </c>
      <c r="L135" s="51" t="s">
        <v>585</v>
      </c>
      <c r="M135" s="51"/>
      <c r="N135" s="51"/>
      <c r="O135" s="50"/>
      <c r="P135" s="50"/>
      <c r="Q135" s="63"/>
      <c r="R135" s="51"/>
      <c r="S135" s="51"/>
      <c r="T135" s="51"/>
    </row>
    <row r="136">
      <c r="A136" s="51" t="str">
        <f>IFERROR(__xludf.DUMMYFUNCTION("""COMPUTED_VALUE"""),"Balancing product and go-to-market: Going from $0 to $100m ARR in 4 Years")</f>
        <v>Balancing product and go-to-market: Going from $0 to $100m ARR in 4 Years</v>
      </c>
      <c r="B136" s="51" t="str">
        <f>IFERROR(__xludf.DUMMYFUNCTION("""COMPUTED_VALUE"""),"Growth Summit")</f>
        <v>Growth Summit</v>
      </c>
      <c r="C136" s="51" t="str">
        <f>IFERROR(__xludf.DUMMYFUNCTION("""COMPUTED_VALUE"""),"Dennis Steele")</f>
        <v>Dennis Steele</v>
      </c>
      <c r="D136" s="51" t="str">
        <f>IFERROR(__xludf.DUMMYFUNCTION("""COMPUTED_VALUE"""),"2019/11/07 12:30:00")</f>
        <v>2019/11/07 12:30:00</v>
      </c>
      <c r="E136" s="51" t="str">
        <f>IFERROR(__xludf.DUMMYFUNCTION("""COMPUTED_VALUE"""),"2019/11/07 12:41:00")</f>
        <v>2019/11/07 12:41:00</v>
      </c>
      <c r="F136" s="51" t="str">
        <f>IFERROR(__xludf.DUMMYFUNCTION("""COMPUTED_VALUE"""),"833691c4-5059-463a-8069-d0fbfc726325")</f>
        <v>833691c4-5059-463a-8069-d0fbfc726325</v>
      </c>
      <c r="G136" s="58">
        <f>IFERROR(__xludf.DUMMYFUNCTION("""COMPUTED_VALUE"""),43776.0)</f>
        <v>43776</v>
      </c>
      <c r="H136" s="60">
        <f>IFERROR(__xludf.DUMMYFUNCTION("""COMPUTED_VALUE"""),0.5208333333333334)</f>
        <v>0.5208333333</v>
      </c>
      <c r="I136" s="58">
        <f>IFERROR(__xludf.DUMMYFUNCTION("""COMPUTED_VALUE"""),43776.0)</f>
        <v>43776</v>
      </c>
      <c r="J136" s="60">
        <f>IFERROR(__xludf.DUMMYFUNCTION("""COMPUTED_VALUE"""),0.5284722222222222)</f>
        <v>0.5284722222</v>
      </c>
      <c r="K136" s="60">
        <f t="shared" si="1"/>
        <v>0.007638888889</v>
      </c>
      <c r="L136" s="51" t="s">
        <v>585</v>
      </c>
      <c r="M136" s="51"/>
      <c r="N136" s="51"/>
      <c r="O136" s="50"/>
      <c r="P136" s="50"/>
      <c r="Q136" s="63"/>
      <c r="R136" s="51"/>
      <c r="S136" s="51"/>
      <c r="T136" s="51"/>
    </row>
    <row r="137">
      <c r="A137" s="51" t="str">
        <f>IFERROR(__xludf.DUMMYFUNCTION("""COMPUTED_VALUE"""),"The secrets behind the largest funding in conversational AI")</f>
        <v>The secrets behind the largest funding in conversational AI</v>
      </c>
      <c r="B137" s="51" t="str">
        <f>IFERROR(__xludf.DUMMYFUNCTION("""COMPUTED_VALUE"""),"Growth Summit")</f>
        <v>Growth Summit</v>
      </c>
      <c r="C137" s="51" t="str">
        <f>IFERROR(__xludf.DUMMYFUNCTION("""COMPUTED_VALUE"""),"Lingjia Tang")</f>
        <v>Lingjia Tang</v>
      </c>
      <c r="D137" s="51" t="str">
        <f>IFERROR(__xludf.DUMMYFUNCTION("""COMPUTED_VALUE"""),"2019/11/07 12:41:00")</f>
        <v>2019/11/07 12:41:00</v>
      </c>
      <c r="E137" s="51" t="str">
        <f>IFERROR(__xludf.DUMMYFUNCTION("""COMPUTED_VALUE"""),"2019/11/07 12:52:00")</f>
        <v>2019/11/07 12:52:00</v>
      </c>
      <c r="F137" s="51" t="str">
        <f>IFERROR(__xludf.DUMMYFUNCTION("""COMPUTED_VALUE"""),"e8048b16-527a-4d38-83f6-987494350d07")</f>
        <v>e8048b16-527a-4d38-83f6-987494350d07</v>
      </c>
      <c r="G137" s="58">
        <f>IFERROR(__xludf.DUMMYFUNCTION("""COMPUTED_VALUE"""),43776.0)</f>
        <v>43776</v>
      </c>
      <c r="H137" s="60">
        <f>IFERROR(__xludf.DUMMYFUNCTION("""COMPUTED_VALUE"""),0.5284722222222222)</f>
        <v>0.5284722222</v>
      </c>
      <c r="I137" s="58">
        <f>IFERROR(__xludf.DUMMYFUNCTION("""COMPUTED_VALUE"""),43776.0)</f>
        <v>43776</v>
      </c>
      <c r="J137" s="60">
        <f>IFERROR(__xludf.DUMMYFUNCTION("""COMPUTED_VALUE"""),0.5361111111111111)</f>
        <v>0.5361111111</v>
      </c>
      <c r="K137" s="60">
        <f t="shared" si="1"/>
        <v>0.007638888889</v>
      </c>
      <c r="L137" s="51" t="s">
        <v>585</v>
      </c>
      <c r="M137" s="51"/>
      <c r="N137" s="51"/>
      <c r="O137" s="50"/>
      <c r="P137" s="50"/>
      <c r="Q137" s="63"/>
      <c r="R137" s="51"/>
      <c r="S137" s="51"/>
      <c r="T137" s="51"/>
    </row>
    <row r="138">
      <c r="A138" s="51" t="str">
        <f>IFERROR(__xludf.DUMMYFUNCTION("""COMPUTED_VALUE"""),"Grin: The fastest growing company in the fastest growing industry ")</f>
        <v>Grin: The fastest growing company in the fastest growing industry </v>
      </c>
      <c r="B138" s="51" t="str">
        <f>IFERROR(__xludf.DUMMYFUNCTION("""COMPUTED_VALUE"""),"Growth Summit")</f>
        <v>Growth Summit</v>
      </c>
      <c r="C138" s="51" t="str">
        <f>IFERROR(__xludf.DUMMYFUNCTION("""COMPUTED_VALUE"""),"Jonathan Lewy")</f>
        <v>Jonathan Lewy</v>
      </c>
      <c r="D138" s="51" t="str">
        <f>IFERROR(__xludf.DUMMYFUNCTION("""COMPUTED_VALUE"""),"2019/11/07 12:52:00")</f>
        <v>2019/11/07 12:52:00</v>
      </c>
      <c r="E138" s="51" t="str">
        <f>IFERROR(__xludf.DUMMYFUNCTION("""COMPUTED_VALUE"""),"2019/11/07 13:03:00")</f>
        <v>2019/11/07 13:03:00</v>
      </c>
      <c r="F138" s="51" t="str">
        <f>IFERROR(__xludf.DUMMYFUNCTION("""COMPUTED_VALUE"""),"072a9b1f-9290-4549-9dc8-f25e97947463")</f>
        <v>072a9b1f-9290-4549-9dc8-f25e97947463</v>
      </c>
      <c r="G138" s="58">
        <f>IFERROR(__xludf.DUMMYFUNCTION("""COMPUTED_VALUE"""),43776.0)</f>
        <v>43776</v>
      </c>
      <c r="H138" s="60">
        <f>IFERROR(__xludf.DUMMYFUNCTION("""COMPUTED_VALUE"""),0.5361111111111111)</f>
        <v>0.5361111111</v>
      </c>
      <c r="I138" s="58">
        <f>IFERROR(__xludf.DUMMYFUNCTION("""COMPUTED_VALUE"""),43776.0)</f>
        <v>43776</v>
      </c>
      <c r="J138" s="60">
        <f>IFERROR(__xludf.DUMMYFUNCTION("""COMPUTED_VALUE"""),0.54375)</f>
        <v>0.54375</v>
      </c>
      <c r="K138" s="60">
        <f t="shared" si="1"/>
        <v>0.007638888889</v>
      </c>
      <c r="L138" s="51" t="s">
        <v>585</v>
      </c>
      <c r="M138" s="51"/>
      <c r="N138" s="51"/>
      <c r="O138" s="50"/>
      <c r="P138" s="50"/>
      <c r="Q138" s="63"/>
      <c r="R138" s="51"/>
      <c r="S138" s="51"/>
      <c r="T138" s="51"/>
    </row>
    <row r="139">
      <c r="A139" s="51" t="str">
        <f>IFERROR(__xludf.DUMMYFUNCTION("""COMPUTED_VALUE"""),"How to build a successful marketplace: The Fairygodboss story")</f>
        <v>How to build a successful marketplace: The Fairygodboss story</v>
      </c>
      <c r="B139" s="51" t="str">
        <f>IFERROR(__xludf.DUMMYFUNCTION("""COMPUTED_VALUE"""),"Growth Summit")</f>
        <v>Growth Summit</v>
      </c>
      <c r="C139" s="51" t="str">
        <f>IFERROR(__xludf.DUMMYFUNCTION("""COMPUTED_VALUE"""),"Georgene Huang")</f>
        <v>Georgene Huang</v>
      </c>
      <c r="D139" s="51" t="str">
        <f>IFERROR(__xludf.DUMMYFUNCTION("""COMPUTED_VALUE"""),"2019/11/07 13:03:00")</f>
        <v>2019/11/07 13:03:00</v>
      </c>
      <c r="E139" s="51" t="str">
        <f>IFERROR(__xludf.DUMMYFUNCTION("""COMPUTED_VALUE"""),"2019/11/07 13:14:00")</f>
        <v>2019/11/07 13:14:00</v>
      </c>
      <c r="F139" s="51" t="str">
        <f>IFERROR(__xludf.DUMMYFUNCTION("""COMPUTED_VALUE"""),"4bc10051-3927-412f-be5b-8fb50fec22af")</f>
        <v>4bc10051-3927-412f-be5b-8fb50fec22af</v>
      </c>
      <c r="G139" s="58">
        <f>IFERROR(__xludf.DUMMYFUNCTION("""COMPUTED_VALUE"""),43776.0)</f>
        <v>43776</v>
      </c>
      <c r="H139" s="60">
        <f>IFERROR(__xludf.DUMMYFUNCTION("""COMPUTED_VALUE"""),0.54375)</f>
        <v>0.54375</v>
      </c>
      <c r="I139" s="58">
        <f>IFERROR(__xludf.DUMMYFUNCTION("""COMPUTED_VALUE"""),43776.0)</f>
        <v>43776</v>
      </c>
      <c r="J139" s="60">
        <f>IFERROR(__xludf.DUMMYFUNCTION("""COMPUTED_VALUE"""),0.5513888888888889)</f>
        <v>0.5513888889</v>
      </c>
      <c r="K139" s="60">
        <f t="shared" si="1"/>
        <v>0.007638888889</v>
      </c>
      <c r="L139" s="51" t="s">
        <v>585</v>
      </c>
      <c r="M139" s="51"/>
      <c r="N139" s="51"/>
      <c r="O139" s="50"/>
      <c r="P139" s="50"/>
      <c r="Q139" s="63"/>
      <c r="R139" s="51"/>
      <c r="S139" s="51"/>
      <c r="T139" s="51"/>
    </row>
    <row r="140">
      <c r="A140" s="51" t="str">
        <f>IFERROR(__xludf.DUMMYFUNCTION("""COMPUTED_VALUE"""),"Building a global ecosystem")</f>
        <v>Building a global ecosystem</v>
      </c>
      <c r="B140" s="51" t="str">
        <f>IFERROR(__xludf.DUMMYFUNCTION("""COMPUTED_VALUE"""),"Growth Summit")</f>
        <v>Growth Summit</v>
      </c>
      <c r="C140" s="51" t="str">
        <f>IFERROR(__xludf.DUMMYFUNCTION("""COMPUTED_VALUE"""),"Sebastien Codeville")</f>
        <v>Sebastien Codeville</v>
      </c>
      <c r="D140" s="51" t="str">
        <f>IFERROR(__xludf.DUMMYFUNCTION("""COMPUTED_VALUE"""),"2019/11/07 13:14:00")</f>
        <v>2019/11/07 13:14:00</v>
      </c>
      <c r="E140" s="51" t="str">
        <f>IFERROR(__xludf.DUMMYFUNCTION("""COMPUTED_VALUE"""),"2019/11/07 13:25:00")</f>
        <v>2019/11/07 13:25:00</v>
      </c>
      <c r="F140" s="51" t="str">
        <f>IFERROR(__xludf.DUMMYFUNCTION("""COMPUTED_VALUE"""),"bb3601e0-eeae-4d54-a99e-a93b6a3d345d")</f>
        <v>bb3601e0-eeae-4d54-a99e-a93b6a3d345d</v>
      </c>
      <c r="G140" s="58">
        <f>IFERROR(__xludf.DUMMYFUNCTION("""COMPUTED_VALUE"""),43776.0)</f>
        <v>43776</v>
      </c>
      <c r="H140" s="60">
        <f>IFERROR(__xludf.DUMMYFUNCTION("""COMPUTED_VALUE"""),0.5513888888888889)</f>
        <v>0.5513888889</v>
      </c>
      <c r="I140" s="58">
        <f>IFERROR(__xludf.DUMMYFUNCTION("""COMPUTED_VALUE"""),43776.0)</f>
        <v>43776</v>
      </c>
      <c r="J140" s="60">
        <f>IFERROR(__xludf.DUMMYFUNCTION("""COMPUTED_VALUE"""),0.5590277777777778)</f>
        <v>0.5590277778</v>
      </c>
      <c r="K140" s="60">
        <f t="shared" si="1"/>
        <v>0.007638888889</v>
      </c>
      <c r="L140" s="51" t="s">
        <v>585</v>
      </c>
      <c r="M140" s="51"/>
      <c r="N140" s="51"/>
      <c r="O140" s="50"/>
      <c r="P140" s="50"/>
      <c r="Q140" s="63"/>
      <c r="R140" s="51"/>
      <c r="S140" s="51"/>
      <c r="T140" s="51"/>
    </row>
    <row r="141">
      <c r="A141" s="51" t="str">
        <f>IFERROR(__xludf.DUMMYFUNCTION("""COMPUTED_VALUE"""),"Next level car ownership or how to tap a future mass market")</f>
        <v>Next level car ownership or how to tap a future mass market</v>
      </c>
      <c r="B141" s="51" t="str">
        <f>IFERROR(__xludf.DUMMYFUNCTION("""COMPUTED_VALUE"""),"Growth Summit")</f>
        <v>Growth Summit</v>
      </c>
      <c r="C141" s="51" t="str">
        <f>IFERROR(__xludf.DUMMYFUNCTION("""COMPUTED_VALUE"""),"Nico Polleti")</f>
        <v>Nico Polleti</v>
      </c>
      <c r="D141" s="51" t="str">
        <f>IFERROR(__xludf.DUMMYFUNCTION("""COMPUTED_VALUE"""),"2019/11/07 13:25:00")</f>
        <v>2019/11/07 13:25:00</v>
      </c>
      <c r="E141" s="51" t="str">
        <f>IFERROR(__xludf.DUMMYFUNCTION("""COMPUTED_VALUE"""),"2019/11/07 13:36:00")</f>
        <v>2019/11/07 13:36:00</v>
      </c>
      <c r="F141" s="51" t="str">
        <f>IFERROR(__xludf.DUMMYFUNCTION("""COMPUTED_VALUE"""),"86373d52-bc38-4724-9f55-61cb9eb03542")</f>
        <v>86373d52-bc38-4724-9f55-61cb9eb03542</v>
      </c>
      <c r="G141" s="58">
        <f>IFERROR(__xludf.DUMMYFUNCTION("""COMPUTED_VALUE"""),43776.0)</f>
        <v>43776</v>
      </c>
      <c r="H141" s="60">
        <f>IFERROR(__xludf.DUMMYFUNCTION("""COMPUTED_VALUE"""),0.5590277777777778)</f>
        <v>0.5590277778</v>
      </c>
      <c r="I141" s="58">
        <f>IFERROR(__xludf.DUMMYFUNCTION("""COMPUTED_VALUE"""),43776.0)</f>
        <v>43776</v>
      </c>
      <c r="J141" s="60">
        <f>IFERROR(__xludf.DUMMYFUNCTION("""COMPUTED_VALUE"""),0.5666666666666667)</f>
        <v>0.5666666667</v>
      </c>
      <c r="K141" s="60">
        <f t="shared" si="1"/>
        <v>0.007638888889</v>
      </c>
      <c r="L141" s="51" t="s">
        <v>585</v>
      </c>
      <c r="M141" s="51"/>
      <c r="N141" s="51"/>
      <c r="O141" s="50"/>
      <c r="P141" s="50"/>
      <c r="Q141" s="63"/>
      <c r="R141" s="51"/>
      <c r="S141" s="51"/>
      <c r="T141" s="51"/>
    </row>
    <row r="142">
      <c r="A142" s="51" t="str">
        <f>IFERROR(__xludf.DUMMYFUNCTION("""COMPUTED_VALUE"""),"Building the company we want to work for: Peakon and a values driven culture")</f>
        <v>Building the company we want to work for: Peakon and a values driven culture</v>
      </c>
      <c r="B142" s="51" t="str">
        <f>IFERROR(__xludf.DUMMYFUNCTION("""COMPUTED_VALUE"""),"Growth Summit")</f>
        <v>Growth Summit</v>
      </c>
      <c r="C142" s="51" t="str">
        <f>IFERROR(__xludf.DUMMYFUNCTION("""COMPUTED_VALUE"""),"Phil Chambers")</f>
        <v>Phil Chambers</v>
      </c>
      <c r="D142" s="51" t="str">
        <f>IFERROR(__xludf.DUMMYFUNCTION("""COMPUTED_VALUE"""),"2019/11/07 13:36:00")</f>
        <v>2019/11/07 13:36:00</v>
      </c>
      <c r="E142" s="51" t="str">
        <f>IFERROR(__xludf.DUMMYFUNCTION("""COMPUTED_VALUE"""),"2019/11/07 13:47:00")</f>
        <v>2019/11/07 13:47:00</v>
      </c>
      <c r="F142" s="51" t="str">
        <f>IFERROR(__xludf.DUMMYFUNCTION("""COMPUTED_VALUE"""),"2e070efe-0b5b-48de-a7cb-32e17e809d15")</f>
        <v>2e070efe-0b5b-48de-a7cb-32e17e809d15</v>
      </c>
      <c r="G142" s="58">
        <f>IFERROR(__xludf.DUMMYFUNCTION("""COMPUTED_VALUE"""),43776.0)</f>
        <v>43776</v>
      </c>
      <c r="H142" s="60">
        <f>IFERROR(__xludf.DUMMYFUNCTION("""COMPUTED_VALUE"""),0.5666666666666667)</f>
        <v>0.5666666667</v>
      </c>
      <c r="I142" s="58">
        <f>IFERROR(__xludf.DUMMYFUNCTION("""COMPUTED_VALUE"""),43776.0)</f>
        <v>43776</v>
      </c>
      <c r="J142" s="60">
        <f>IFERROR(__xludf.DUMMYFUNCTION("""COMPUTED_VALUE"""),0.5743055555555555)</f>
        <v>0.5743055556</v>
      </c>
      <c r="K142" s="60">
        <f t="shared" si="1"/>
        <v>0.007638888889</v>
      </c>
      <c r="L142" s="51" t="s">
        <v>585</v>
      </c>
      <c r="M142" s="51"/>
      <c r="N142" s="51"/>
      <c r="O142" s="50"/>
      <c r="P142" s="50"/>
      <c r="Q142" s="63"/>
      <c r="R142" s="51"/>
      <c r="S142" s="51"/>
      <c r="T142" s="51"/>
    </row>
    <row r="143">
      <c r="A143" s="51" t="str">
        <f>IFERROR(__xludf.DUMMYFUNCTION("""COMPUTED_VALUE"""),"Mawdoo3.com: How quality content and AI made them the world's most visited Arabic website")</f>
        <v>Mawdoo3.com: How quality content and AI made them the world's most visited Arabic website</v>
      </c>
      <c r="B143" s="51" t="str">
        <f>IFERROR(__xludf.DUMMYFUNCTION("""COMPUTED_VALUE"""),"Growth Summit")</f>
        <v>Growth Summit</v>
      </c>
      <c r="C143" s="51" t="str">
        <f>IFERROR(__xludf.DUMMYFUNCTION("""COMPUTED_VALUE"""),"Rami Al-Qawasmi")</f>
        <v>Rami Al-Qawasmi</v>
      </c>
      <c r="D143" s="51" t="str">
        <f>IFERROR(__xludf.DUMMYFUNCTION("""COMPUTED_VALUE"""),"2019/11/07 13:47:00")</f>
        <v>2019/11/07 13:47:00</v>
      </c>
      <c r="E143" s="51" t="str">
        <f>IFERROR(__xludf.DUMMYFUNCTION("""COMPUTED_VALUE"""),"2019/11/07 13:58:00")</f>
        <v>2019/11/07 13:58:00</v>
      </c>
      <c r="F143" s="51" t="str">
        <f>IFERROR(__xludf.DUMMYFUNCTION("""COMPUTED_VALUE"""),"6882af20-c700-49db-96d4-f7b53cbbac7e")</f>
        <v>6882af20-c700-49db-96d4-f7b53cbbac7e</v>
      </c>
      <c r="G143" s="58">
        <f>IFERROR(__xludf.DUMMYFUNCTION("""COMPUTED_VALUE"""),43776.0)</f>
        <v>43776</v>
      </c>
      <c r="H143" s="60">
        <f>IFERROR(__xludf.DUMMYFUNCTION("""COMPUTED_VALUE"""),0.5743055555555555)</f>
        <v>0.5743055556</v>
      </c>
      <c r="I143" s="58">
        <f>IFERROR(__xludf.DUMMYFUNCTION("""COMPUTED_VALUE"""),43776.0)</f>
        <v>43776</v>
      </c>
      <c r="J143" s="60">
        <f>IFERROR(__xludf.DUMMYFUNCTION("""COMPUTED_VALUE"""),0.5819444444444445)</f>
        <v>0.5819444444</v>
      </c>
      <c r="K143" s="60">
        <f t="shared" si="1"/>
        <v>0.007638888889</v>
      </c>
      <c r="L143" s="51" t="s">
        <v>585</v>
      </c>
      <c r="M143" s="51"/>
      <c r="N143" s="51"/>
      <c r="O143" s="50"/>
      <c r="P143" s="50"/>
      <c r="Q143" s="63"/>
      <c r="R143" s="51"/>
      <c r="S143" s="51"/>
      <c r="T143" s="51"/>
    </row>
    <row r="144">
      <c r="A144" s="51" t="str">
        <f>IFERROR(__xludf.DUMMYFUNCTION("""COMPUTED_VALUE"""),"The next generation of CRISPR")</f>
        <v>The next generation of CRISPR</v>
      </c>
      <c r="B144" s="51" t="str">
        <f>IFERROR(__xludf.DUMMYFUNCTION("""COMPUTED_VALUE"""),"Growth Summit")</f>
        <v>Growth Summit</v>
      </c>
      <c r="C144" s="51" t="str">
        <f>IFERROR(__xludf.DUMMYFUNCTION("""COMPUTED_VALUE"""),"Trevor Martin")</f>
        <v>Trevor Martin</v>
      </c>
      <c r="D144" s="51" t="str">
        <f>IFERROR(__xludf.DUMMYFUNCTION("""COMPUTED_VALUE"""),"2019/11/07 13:58:00")</f>
        <v>2019/11/07 13:58:00</v>
      </c>
      <c r="E144" s="51" t="str">
        <f>IFERROR(__xludf.DUMMYFUNCTION("""COMPUTED_VALUE"""),"2019/11/07 14:09:00")</f>
        <v>2019/11/07 14:09:00</v>
      </c>
      <c r="F144" s="51" t="str">
        <f>IFERROR(__xludf.DUMMYFUNCTION("""COMPUTED_VALUE"""),"0f8b290c-0329-4873-b798-cf319141eafd")</f>
        <v>0f8b290c-0329-4873-b798-cf319141eafd</v>
      </c>
      <c r="G144" s="58">
        <f>IFERROR(__xludf.DUMMYFUNCTION("""COMPUTED_VALUE"""),43776.0)</f>
        <v>43776</v>
      </c>
      <c r="H144" s="60">
        <f>IFERROR(__xludf.DUMMYFUNCTION("""COMPUTED_VALUE"""),0.5819444444444445)</f>
        <v>0.5819444444</v>
      </c>
      <c r="I144" s="58">
        <f>IFERROR(__xludf.DUMMYFUNCTION("""COMPUTED_VALUE"""),43776.0)</f>
        <v>43776</v>
      </c>
      <c r="J144" s="60">
        <f>IFERROR(__xludf.DUMMYFUNCTION("""COMPUTED_VALUE"""),0.5895833333333333)</f>
        <v>0.5895833333</v>
      </c>
      <c r="K144" s="60">
        <f t="shared" si="1"/>
        <v>0.007638888889</v>
      </c>
      <c r="L144" s="51" t="s">
        <v>585</v>
      </c>
      <c r="M144" s="51"/>
      <c r="N144" s="51"/>
      <c r="O144" s="50"/>
      <c r="P144" s="50"/>
      <c r="Q144" s="63"/>
      <c r="R144" s="51"/>
      <c r="S144" s="51"/>
      <c r="T144" s="51"/>
    </row>
    <row r="145">
      <c r="A145" s="51" t="str">
        <f>IFERROR(__xludf.DUMMYFUNCTION("""COMPUTED_VALUE"""),"Space within your reach: How micro-satellites will democratise the way we use space")</f>
        <v>Space within your reach: How micro-satellites will democratise the way we use space</v>
      </c>
      <c r="B145" s="51" t="str">
        <f>IFERROR(__xludf.DUMMYFUNCTION("""COMPUTED_VALUE"""),"Growth Summit")</f>
        <v>Growth Summit</v>
      </c>
      <c r="C145" s="51" t="str">
        <f>IFERROR(__xludf.DUMMYFUNCTION("""COMPUTED_VALUE"""),"Yuya Nakamura")</f>
        <v>Yuya Nakamura</v>
      </c>
      <c r="D145" s="51" t="str">
        <f>IFERROR(__xludf.DUMMYFUNCTION("""COMPUTED_VALUE"""),"2019/11/07 14:09:00")</f>
        <v>2019/11/07 14:09:00</v>
      </c>
      <c r="E145" s="51" t="str">
        <f>IFERROR(__xludf.DUMMYFUNCTION("""COMPUTED_VALUE"""),"2019/11/07 14:20:00")</f>
        <v>2019/11/07 14:20:00</v>
      </c>
      <c r="F145" s="51" t="str">
        <f>IFERROR(__xludf.DUMMYFUNCTION("""COMPUTED_VALUE"""),"a347aa86-5ab9-4875-ac16-e6900d8dd0c0")</f>
        <v>a347aa86-5ab9-4875-ac16-e6900d8dd0c0</v>
      </c>
      <c r="G145" s="58">
        <f>IFERROR(__xludf.DUMMYFUNCTION("""COMPUTED_VALUE"""),43776.0)</f>
        <v>43776</v>
      </c>
      <c r="H145" s="60">
        <f>IFERROR(__xludf.DUMMYFUNCTION("""COMPUTED_VALUE"""),0.5895833333333333)</f>
        <v>0.5895833333</v>
      </c>
      <c r="I145" s="58">
        <f>IFERROR(__xludf.DUMMYFUNCTION("""COMPUTED_VALUE"""),43776.0)</f>
        <v>43776</v>
      </c>
      <c r="J145" s="60">
        <f>IFERROR(__xludf.DUMMYFUNCTION("""COMPUTED_VALUE"""),0.5972222222222222)</f>
        <v>0.5972222222</v>
      </c>
      <c r="K145" s="60">
        <f t="shared" si="1"/>
        <v>0.007638888889</v>
      </c>
      <c r="L145" s="51" t="s">
        <v>585</v>
      </c>
      <c r="M145" s="51"/>
      <c r="N145" s="51"/>
      <c r="O145" s="50"/>
      <c r="P145" s="50"/>
      <c r="Q145" s="63"/>
      <c r="R145" s="51"/>
      <c r="S145" s="51"/>
      <c r="T145" s="51"/>
    </row>
    <row r="146">
      <c r="A146" s="51" t="str">
        <f>IFERROR(__xludf.DUMMYFUNCTION("""COMPUTED_VALUE"""),"Exponential growth in traditional markets ")</f>
        <v>Exponential growth in traditional markets </v>
      </c>
      <c r="B146" s="51" t="str">
        <f>IFERROR(__xludf.DUMMYFUNCTION("""COMPUTED_VALUE"""),"Growth Summit")</f>
        <v>Growth Summit</v>
      </c>
      <c r="C146" s="51" t="str">
        <f>IFERROR(__xludf.DUMMYFUNCTION("""COMPUTED_VALUE"""),"Gal Shaul")</f>
        <v>Gal Shaul</v>
      </c>
      <c r="D146" s="51" t="str">
        <f>IFERROR(__xludf.DUMMYFUNCTION("""COMPUTED_VALUE"""),"2019/11/07 14:20:00")</f>
        <v>2019/11/07 14:20:00</v>
      </c>
      <c r="E146" s="51" t="str">
        <f>IFERROR(__xludf.DUMMYFUNCTION("""COMPUTED_VALUE"""),"2019/11/07 14:31:00")</f>
        <v>2019/11/07 14:31:00</v>
      </c>
      <c r="F146" s="51" t="str">
        <f>IFERROR(__xludf.DUMMYFUNCTION("""COMPUTED_VALUE"""),"1c4c7be2-0143-4568-ad7c-441ae6753d71")</f>
        <v>1c4c7be2-0143-4568-ad7c-441ae6753d71</v>
      </c>
      <c r="G146" s="58">
        <f>IFERROR(__xludf.DUMMYFUNCTION("""COMPUTED_VALUE"""),43776.0)</f>
        <v>43776</v>
      </c>
      <c r="H146" s="60">
        <f>IFERROR(__xludf.DUMMYFUNCTION("""COMPUTED_VALUE"""),0.5972222222222222)</f>
        <v>0.5972222222</v>
      </c>
      <c r="I146" s="58">
        <f>IFERROR(__xludf.DUMMYFUNCTION("""COMPUTED_VALUE"""),43776.0)</f>
        <v>43776</v>
      </c>
      <c r="J146" s="60">
        <f>IFERROR(__xludf.DUMMYFUNCTION("""COMPUTED_VALUE"""),0.6048611111111111)</f>
        <v>0.6048611111</v>
      </c>
      <c r="K146" s="60">
        <f t="shared" si="1"/>
        <v>0.007638888889</v>
      </c>
      <c r="L146" s="51" t="s">
        <v>585</v>
      </c>
      <c r="M146" s="51"/>
      <c r="N146" s="51"/>
      <c r="O146" s="50"/>
      <c r="P146" s="50"/>
      <c r="Q146" s="63"/>
      <c r="R146" s="51"/>
      <c r="S146" s="51"/>
      <c r="T146" s="51"/>
    </row>
    <row r="147">
      <c r="A147" s="51" t="str">
        <f>IFERROR(__xludf.DUMMYFUNCTION("""COMPUTED_VALUE"""),"Hypergrowth and climate change")</f>
        <v>Hypergrowth and climate change</v>
      </c>
      <c r="B147" s="51" t="str">
        <f>IFERROR(__xludf.DUMMYFUNCTION("""COMPUTED_VALUE"""),"Growth Summit")</f>
        <v>Growth Summit</v>
      </c>
      <c r="C147" s="51" t="str">
        <f>IFERROR(__xludf.DUMMYFUNCTION("""COMPUTED_VALUE"""),"Hayden Wood")</f>
        <v>Hayden Wood</v>
      </c>
      <c r="D147" s="51" t="str">
        <f>IFERROR(__xludf.DUMMYFUNCTION("""COMPUTED_VALUE"""),"2019/11/07 14:31:00")</f>
        <v>2019/11/07 14:31:00</v>
      </c>
      <c r="E147" s="51" t="str">
        <f>IFERROR(__xludf.DUMMYFUNCTION("""COMPUTED_VALUE"""),"2019/11/07 14:42:00")</f>
        <v>2019/11/07 14:42:00</v>
      </c>
      <c r="F147" s="51" t="str">
        <f>IFERROR(__xludf.DUMMYFUNCTION("""COMPUTED_VALUE"""),"7628220b-6aa2-47b0-9a4d-ea1f7ff60d5b")</f>
        <v>7628220b-6aa2-47b0-9a4d-ea1f7ff60d5b</v>
      </c>
      <c r="G147" s="58">
        <f>IFERROR(__xludf.DUMMYFUNCTION("""COMPUTED_VALUE"""),43776.0)</f>
        <v>43776</v>
      </c>
      <c r="H147" s="60">
        <f>IFERROR(__xludf.DUMMYFUNCTION("""COMPUTED_VALUE"""),0.6048611111111111)</f>
        <v>0.6048611111</v>
      </c>
      <c r="I147" s="58">
        <f>IFERROR(__xludf.DUMMYFUNCTION("""COMPUTED_VALUE"""),43776.0)</f>
        <v>43776</v>
      </c>
      <c r="J147" s="60">
        <f>IFERROR(__xludf.DUMMYFUNCTION("""COMPUTED_VALUE"""),0.6125)</f>
        <v>0.6125</v>
      </c>
      <c r="K147" s="60">
        <f t="shared" si="1"/>
        <v>0.007638888889</v>
      </c>
      <c r="L147" s="51" t="s">
        <v>585</v>
      </c>
      <c r="M147" s="51"/>
      <c r="N147" s="51"/>
      <c r="O147" s="50"/>
      <c r="P147" s="50"/>
      <c r="Q147" s="63"/>
      <c r="R147" s="51"/>
      <c r="S147" s="51"/>
      <c r="T147" s="51"/>
    </row>
    <row r="148">
      <c r="A148" s="51" t="str">
        <f>IFERROR(__xludf.DUMMYFUNCTION("""COMPUTED_VALUE"""),"Building a Gen Z marketplace")</f>
        <v>Building a Gen Z marketplace</v>
      </c>
      <c r="B148" s="51" t="str">
        <f>IFERROR(__xludf.DUMMYFUNCTION("""COMPUTED_VALUE"""),"Growth Summit")</f>
        <v>Growth Summit</v>
      </c>
      <c r="C148" s="51" t="str">
        <f>IFERROR(__xludf.DUMMYFUNCTION("""COMPUTED_VALUE"""),"Maria Raga")</f>
        <v>Maria Raga</v>
      </c>
      <c r="D148" s="51" t="str">
        <f>IFERROR(__xludf.DUMMYFUNCTION("""COMPUTED_VALUE"""),"2019/11/07 14:42:00")</f>
        <v>2019/11/07 14:42:00</v>
      </c>
      <c r="E148" s="51" t="str">
        <f>IFERROR(__xludf.DUMMYFUNCTION("""COMPUTED_VALUE"""),"2019/11/07 14:53:00")</f>
        <v>2019/11/07 14:53:00</v>
      </c>
      <c r="F148" s="51" t="str">
        <f>IFERROR(__xludf.DUMMYFUNCTION("""COMPUTED_VALUE"""),"7409bcaa-3df1-498a-8d79-885b260aad51")</f>
        <v>7409bcaa-3df1-498a-8d79-885b260aad51</v>
      </c>
      <c r="G148" s="58">
        <f>IFERROR(__xludf.DUMMYFUNCTION("""COMPUTED_VALUE"""),43776.0)</f>
        <v>43776</v>
      </c>
      <c r="H148" s="60">
        <f>IFERROR(__xludf.DUMMYFUNCTION("""COMPUTED_VALUE"""),0.6125)</f>
        <v>0.6125</v>
      </c>
      <c r="I148" s="58">
        <f>IFERROR(__xludf.DUMMYFUNCTION("""COMPUTED_VALUE"""),43776.0)</f>
        <v>43776</v>
      </c>
      <c r="J148" s="60">
        <f>IFERROR(__xludf.DUMMYFUNCTION("""COMPUTED_VALUE"""),0.6201388888888889)</f>
        <v>0.6201388889</v>
      </c>
      <c r="K148" s="60">
        <f t="shared" si="1"/>
        <v>0.007638888889</v>
      </c>
      <c r="L148" s="51" t="s">
        <v>585</v>
      </c>
      <c r="M148" s="51"/>
      <c r="N148" s="51"/>
      <c r="O148" s="50"/>
      <c r="P148" s="50"/>
      <c r="Q148" s="63"/>
      <c r="R148" s="51"/>
      <c r="S148" s="51"/>
      <c r="T148" s="51"/>
    </row>
    <row r="149">
      <c r="A149" s="51" t="str">
        <f>IFERROR(__xludf.DUMMYFUNCTION("""COMPUTED_VALUE"""),"Eliminate the Noise")</f>
        <v>Eliminate the Noise</v>
      </c>
      <c r="B149" s="51" t="str">
        <f>IFERROR(__xludf.DUMMYFUNCTION("""COMPUTED_VALUE"""),"Growth Summit")</f>
        <v>Growth Summit</v>
      </c>
      <c r="C149" s="51" t="str">
        <f>IFERROR(__xludf.DUMMYFUNCTION("""COMPUTED_VALUE"""),"Amir Barsoum")</f>
        <v>Amir Barsoum</v>
      </c>
      <c r="D149" s="51" t="str">
        <f>IFERROR(__xludf.DUMMYFUNCTION("""COMPUTED_VALUE"""),"2019/11/07 14:53:00")</f>
        <v>2019/11/07 14:53:00</v>
      </c>
      <c r="E149" s="51" t="str">
        <f>IFERROR(__xludf.DUMMYFUNCTION("""COMPUTED_VALUE"""),"2019/11/07 15:04:00")</f>
        <v>2019/11/07 15:04:00</v>
      </c>
      <c r="F149" s="51" t="str">
        <f>IFERROR(__xludf.DUMMYFUNCTION("""COMPUTED_VALUE"""),"b216ab08-5bd3-4067-87e3-5756a474a249")</f>
        <v>b216ab08-5bd3-4067-87e3-5756a474a249</v>
      </c>
      <c r="G149" s="58">
        <f>IFERROR(__xludf.DUMMYFUNCTION("""COMPUTED_VALUE"""),43776.0)</f>
        <v>43776</v>
      </c>
      <c r="H149" s="60">
        <f>IFERROR(__xludf.DUMMYFUNCTION("""COMPUTED_VALUE"""),0.6201388888888889)</f>
        <v>0.6201388889</v>
      </c>
      <c r="I149" s="58">
        <f>IFERROR(__xludf.DUMMYFUNCTION("""COMPUTED_VALUE"""),43776.0)</f>
        <v>43776</v>
      </c>
      <c r="J149" s="60">
        <f>IFERROR(__xludf.DUMMYFUNCTION("""COMPUTED_VALUE"""),0.6277777777777778)</f>
        <v>0.6277777778</v>
      </c>
      <c r="K149" s="60">
        <f t="shared" si="1"/>
        <v>0.007638888889</v>
      </c>
      <c r="L149" s="51" t="s">
        <v>585</v>
      </c>
      <c r="M149" s="51"/>
      <c r="N149" s="51"/>
      <c r="O149" s="50"/>
      <c r="P149" s="50"/>
      <c r="Q149" s="63"/>
      <c r="R149" s="51"/>
      <c r="S149" s="51"/>
      <c r="T149" s="51"/>
    </row>
    <row r="150">
      <c r="A150" s="51" t="str">
        <f>IFERROR(__xludf.DUMMYFUNCTION("""COMPUTED_VALUE"""),"Four key components: The modern growth marketing strategy")</f>
        <v>Four key components: The modern growth marketing strategy</v>
      </c>
      <c r="B150" s="51" t="str">
        <f>IFERROR(__xludf.DUMMYFUNCTION("""COMPUTED_VALUE"""),"Growth Summit")</f>
        <v>Growth Summit</v>
      </c>
      <c r="C150" s="51" t="str">
        <f>IFERROR(__xludf.DUMMYFUNCTION("""COMPUTED_VALUE"""),"Susan Kuo")</f>
        <v>Susan Kuo</v>
      </c>
      <c r="D150" s="51" t="str">
        <f>IFERROR(__xludf.DUMMYFUNCTION("""COMPUTED_VALUE"""),"2019/11/07 15:04:00")</f>
        <v>2019/11/07 15:04:00</v>
      </c>
      <c r="E150" s="51" t="str">
        <f>IFERROR(__xludf.DUMMYFUNCTION("""COMPUTED_VALUE"""),"2019/11/07 15:15:00")</f>
        <v>2019/11/07 15:15:00</v>
      </c>
      <c r="F150" s="51" t="str">
        <f>IFERROR(__xludf.DUMMYFUNCTION("""COMPUTED_VALUE"""),"5c234518-ff3f-4dcb-ade9-0188febd7d55")</f>
        <v>5c234518-ff3f-4dcb-ade9-0188febd7d55</v>
      </c>
      <c r="G150" s="58">
        <f>IFERROR(__xludf.DUMMYFUNCTION("""COMPUTED_VALUE"""),43776.0)</f>
        <v>43776</v>
      </c>
      <c r="H150" s="60">
        <f>IFERROR(__xludf.DUMMYFUNCTION("""COMPUTED_VALUE"""),0.6277777777777778)</f>
        <v>0.6277777778</v>
      </c>
      <c r="I150" s="58">
        <f>IFERROR(__xludf.DUMMYFUNCTION("""COMPUTED_VALUE"""),43776.0)</f>
        <v>43776</v>
      </c>
      <c r="J150" s="60">
        <f>IFERROR(__xludf.DUMMYFUNCTION("""COMPUTED_VALUE"""),0.6354166666666666)</f>
        <v>0.6354166667</v>
      </c>
      <c r="K150" s="60">
        <f t="shared" si="1"/>
        <v>0.007638888889</v>
      </c>
      <c r="L150" s="51" t="s">
        <v>585</v>
      </c>
      <c r="M150" s="51"/>
      <c r="N150" s="51"/>
      <c r="O150" s="50"/>
      <c r="P150" s="50"/>
      <c r="Q150" s="63"/>
      <c r="R150" s="51"/>
      <c r="S150" s="51"/>
      <c r="T150" s="51"/>
    </row>
    <row r="151">
      <c r="A151" s="51" t="str">
        <f>IFERROR(__xludf.DUMMYFUNCTION("""COMPUTED_VALUE"""),"Crowdsourcing is the future of beauty")</f>
        <v>Crowdsourcing is the future of beauty</v>
      </c>
      <c r="B151" s="51" t="str">
        <f>IFERROR(__xludf.DUMMYFUNCTION("""COMPUTED_VALUE"""),"Growth Summit")</f>
        <v>Growth Summit</v>
      </c>
      <c r="C151" s="51" t="str">
        <f>IFERROR(__xludf.DUMMYFUNCTION("""COMPUTED_VALUE"""),"Mariya Nurislamova")</f>
        <v>Mariya Nurislamova</v>
      </c>
      <c r="D151" s="51" t="str">
        <f>IFERROR(__xludf.DUMMYFUNCTION("""COMPUTED_VALUE"""),"2019/11/07 15:15:00")</f>
        <v>2019/11/07 15:15:00</v>
      </c>
      <c r="E151" s="51" t="str">
        <f>IFERROR(__xludf.DUMMYFUNCTION("""COMPUTED_VALUE"""),"2019/11/07 15:26:00")</f>
        <v>2019/11/07 15:26:00</v>
      </c>
      <c r="F151" s="51" t="str">
        <f>IFERROR(__xludf.DUMMYFUNCTION("""COMPUTED_VALUE"""),"23e74f82-23c4-4b53-a988-85427bff99ea")</f>
        <v>23e74f82-23c4-4b53-a988-85427bff99ea</v>
      </c>
      <c r="G151" s="58">
        <f>IFERROR(__xludf.DUMMYFUNCTION("""COMPUTED_VALUE"""),43776.0)</f>
        <v>43776</v>
      </c>
      <c r="H151" s="60">
        <f>IFERROR(__xludf.DUMMYFUNCTION("""COMPUTED_VALUE"""),0.6354166666666666)</f>
        <v>0.6354166667</v>
      </c>
      <c r="I151" s="58">
        <f>IFERROR(__xludf.DUMMYFUNCTION("""COMPUTED_VALUE"""),43776.0)</f>
        <v>43776</v>
      </c>
      <c r="J151" s="60">
        <f>IFERROR(__xludf.DUMMYFUNCTION("""COMPUTED_VALUE"""),0.6430555555555556)</f>
        <v>0.6430555556</v>
      </c>
      <c r="K151" s="60">
        <f t="shared" si="1"/>
        <v>0.007638888889</v>
      </c>
      <c r="L151" s="51" t="s">
        <v>585</v>
      </c>
      <c r="M151" s="51"/>
      <c r="N151" s="51"/>
      <c r="O151" s="50"/>
      <c r="P151" s="50"/>
      <c r="Q151" s="63"/>
      <c r="R151" s="51"/>
      <c r="S151" s="51"/>
      <c r="T151" s="51"/>
    </row>
    <row r="152">
      <c r="A152" s="51" t="str">
        <f>IFERROR(__xludf.DUMMYFUNCTION("""COMPUTED_VALUE"""),"Don't lose sight of the customer")</f>
        <v>Don't lose sight of the customer</v>
      </c>
      <c r="B152" s="51" t="str">
        <f>IFERROR(__xludf.DUMMYFUNCTION("""COMPUTED_VALUE"""),"Growth Summit")</f>
        <v>Growth Summit</v>
      </c>
      <c r="C152" s="51" t="str">
        <f>IFERROR(__xludf.DUMMYFUNCTION("""COMPUTED_VALUE"""),"Joshua Brewer")</f>
        <v>Joshua Brewer</v>
      </c>
      <c r="D152" s="51" t="str">
        <f>IFERROR(__xludf.DUMMYFUNCTION("""COMPUTED_VALUE"""),"2019/11/07 15:26:00")</f>
        <v>2019/11/07 15:26:00</v>
      </c>
      <c r="E152" s="51" t="str">
        <f>IFERROR(__xludf.DUMMYFUNCTION("""COMPUTED_VALUE"""),"2019/11/07 15:37:00")</f>
        <v>2019/11/07 15:37:00</v>
      </c>
      <c r="F152" s="51" t="str">
        <f>IFERROR(__xludf.DUMMYFUNCTION("""COMPUTED_VALUE"""),"b201e2f6-b942-48ae-a4bb-133b45500eeb")</f>
        <v>b201e2f6-b942-48ae-a4bb-133b45500eeb</v>
      </c>
      <c r="G152" s="58">
        <f>IFERROR(__xludf.DUMMYFUNCTION("""COMPUTED_VALUE"""),43776.0)</f>
        <v>43776</v>
      </c>
      <c r="H152" s="60">
        <f>IFERROR(__xludf.DUMMYFUNCTION("""COMPUTED_VALUE"""),0.6430555555555556)</f>
        <v>0.6430555556</v>
      </c>
      <c r="I152" s="58">
        <f>IFERROR(__xludf.DUMMYFUNCTION("""COMPUTED_VALUE"""),43776.0)</f>
        <v>43776</v>
      </c>
      <c r="J152" s="60">
        <f>IFERROR(__xludf.DUMMYFUNCTION("""COMPUTED_VALUE"""),0.6506944444444445)</f>
        <v>0.6506944444</v>
      </c>
      <c r="K152" s="60">
        <f t="shared" si="1"/>
        <v>0.007638888889</v>
      </c>
      <c r="L152" s="51" t="s">
        <v>585</v>
      </c>
      <c r="M152" s="51"/>
      <c r="N152" s="51"/>
      <c r="O152" s="50"/>
      <c r="P152" s="50"/>
      <c r="Q152" s="63"/>
      <c r="R152" s="51"/>
      <c r="S152" s="51"/>
      <c r="T152" s="51"/>
    </row>
    <row r="153">
      <c r="A153" s="51" t="str">
        <f>IFERROR(__xludf.DUMMYFUNCTION("""COMPUTED_VALUE"""),"Tech startups &amp; the case for regulation")</f>
        <v>Tech startups &amp; the case for regulation</v>
      </c>
      <c r="B153" s="51" t="str">
        <f>IFERROR(__xludf.DUMMYFUNCTION("""COMPUTED_VALUE"""),"Growth Summit")</f>
        <v>Growth Summit</v>
      </c>
      <c r="C153" s="51" t="str">
        <f>IFERROR(__xludf.DUMMYFUNCTION("""COMPUTED_VALUE"""),"Fredrik Hjelm")</f>
        <v>Fredrik Hjelm</v>
      </c>
      <c r="D153" s="51" t="str">
        <f>IFERROR(__xludf.DUMMYFUNCTION("""COMPUTED_VALUE"""),"2019/11/07 15:37:00")</f>
        <v>2019/11/07 15:37:00</v>
      </c>
      <c r="E153" s="51" t="str">
        <f>IFERROR(__xludf.DUMMYFUNCTION("""COMPUTED_VALUE"""),"2019/11/07 15:48:00")</f>
        <v>2019/11/07 15:48:00</v>
      </c>
      <c r="F153" s="51" t="str">
        <f>IFERROR(__xludf.DUMMYFUNCTION("""COMPUTED_VALUE"""),"40956abc-cd65-4df3-b9a0-499b89905732")</f>
        <v>40956abc-cd65-4df3-b9a0-499b89905732</v>
      </c>
      <c r="G153" s="58">
        <f>IFERROR(__xludf.DUMMYFUNCTION("""COMPUTED_VALUE"""),43776.0)</f>
        <v>43776</v>
      </c>
      <c r="H153" s="60">
        <f>IFERROR(__xludf.DUMMYFUNCTION("""COMPUTED_VALUE"""),0.6506944444444445)</f>
        <v>0.6506944444</v>
      </c>
      <c r="I153" s="58">
        <f>IFERROR(__xludf.DUMMYFUNCTION("""COMPUTED_VALUE"""),43776.0)</f>
        <v>43776</v>
      </c>
      <c r="J153" s="60">
        <f>IFERROR(__xludf.DUMMYFUNCTION("""COMPUTED_VALUE"""),0.6583333333333333)</f>
        <v>0.6583333333</v>
      </c>
      <c r="K153" s="60">
        <f t="shared" si="1"/>
        <v>0.007638888889</v>
      </c>
      <c r="L153" s="51" t="s">
        <v>585</v>
      </c>
      <c r="M153" s="51"/>
      <c r="N153" s="51"/>
      <c r="O153" s="50"/>
      <c r="P153" s="50"/>
      <c r="Q153" s="63"/>
      <c r="R153" s="51"/>
      <c r="S153" s="51"/>
      <c r="T153" s="51"/>
    </row>
    <row r="154">
      <c r="A154" s="51" t="str">
        <f>IFERROR(__xludf.DUMMYFUNCTION("""COMPUTED_VALUE"""),"Building a unicorn in 48 months")</f>
        <v>Building a unicorn in 48 months</v>
      </c>
      <c r="B154" s="51" t="str">
        <f>IFERROR(__xludf.DUMMYFUNCTION("""COMPUTED_VALUE"""),"Growth Summit")</f>
        <v>Growth Summit</v>
      </c>
      <c r="C154" s="51" t="str">
        <f>IFERROR(__xludf.DUMMYFUNCTION("""COMPUTED_VALUE"""),"Mostafa Kandil")</f>
        <v>Mostafa Kandil</v>
      </c>
      <c r="D154" s="51" t="str">
        <f>IFERROR(__xludf.DUMMYFUNCTION("""COMPUTED_VALUE"""),"2019/11/07 15:48:00")</f>
        <v>2019/11/07 15:48:00</v>
      </c>
      <c r="E154" s="51" t="str">
        <f>IFERROR(__xludf.DUMMYFUNCTION("""COMPUTED_VALUE"""),"2019/11/07 15:59:00")</f>
        <v>2019/11/07 15:59:00</v>
      </c>
      <c r="F154" s="51" t="str">
        <f>IFERROR(__xludf.DUMMYFUNCTION("""COMPUTED_VALUE"""),"cacc34f7-2a9a-4f44-99fb-4183b368745b")</f>
        <v>cacc34f7-2a9a-4f44-99fb-4183b368745b</v>
      </c>
      <c r="G154" s="58">
        <f>IFERROR(__xludf.DUMMYFUNCTION("""COMPUTED_VALUE"""),43776.0)</f>
        <v>43776</v>
      </c>
      <c r="H154" s="60">
        <f>IFERROR(__xludf.DUMMYFUNCTION("""COMPUTED_VALUE"""),0.6583333333333333)</f>
        <v>0.6583333333</v>
      </c>
      <c r="I154" s="58">
        <f>IFERROR(__xludf.DUMMYFUNCTION("""COMPUTED_VALUE"""),43776.0)</f>
        <v>43776</v>
      </c>
      <c r="J154" s="60">
        <f>IFERROR(__xludf.DUMMYFUNCTION("""COMPUTED_VALUE"""),0.6659722222222222)</f>
        <v>0.6659722222</v>
      </c>
      <c r="K154" s="60">
        <f t="shared" si="1"/>
        <v>0.007638888889</v>
      </c>
      <c r="L154" s="51" t="s">
        <v>585</v>
      </c>
      <c r="M154" s="51"/>
      <c r="N154" s="51"/>
      <c r="O154" s="50"/>
      <c r="P154" s="50"/>
      <c r="Q154" s="63"/>
      <c r="R154" s="51"/>
      <c r="S154" s="51"/>
      <c r="T154" s="51"/>
    </row>
    <row r="155">
      <c r="A155" s="51" t="str">
        <f>IFERROR(__xludf.DUMMYFUNCTION("""COMPUTED_VALUE"""),"Lessons from 3000 days of struggle")</f>
        <v>Lessons from 3000 days of struggle</v>
      </c>
      <c r="B155" s="51" t="str">
        <f>IFERROR(__xludf.DUMMYFUNCTION("""COMPUTED_VALUE"""),"Growth Summit")</f>
        <v>Growth Summit</v>
      </c>
      <c r="C155" s="51" t="str">
        <f>IFERROR(__xludf.DUMMYFUNCTION("""COMPUTED_VALUE"""),"Marco Palladino")</f>
        <v>Marco Palladino</v>
      </c>
      <c r="D155" s="51" t="str">
        <f>IFERROR(__xludf.DUMMYFUNCTION("""COMPUTED_VALUE"""),"2019/11/07 15:59:00")</f>
        <v>2019/11/07 15:59:00</v>
      </c>
      <c r="E155" s="51" t="str">
        <f>IFERROR(__xludf.DUMMYFUNCTION("""COMPUTED_VALUE"""),"2019/11/07 16:10:00")</f>
        <v>2019/11/07 16:10:00</v>
      </c>
      <c r="F155" s="51" t="str">
        <f>IFERROR(__xludf.DUMMYFUNCTION("""COMPUTED_VALUE"""),"97fb1a87-6575-4dd8-9f7c-e0193c799658")</f>
        <v>97fb1a87-6575-4dd8-9f7c-e0193c799658</v>
      </c>
      <c r="G155" s="58">
        <f>IFERROR(__xludf.DUMMYFUNCTION("""COMPUTED_VALUE"""),43776.0)</f>
        <v>43776</v>
      </c>
      <c r="H155" s="60">
        <f>IFERROR(__xludf.DUMMYFUNCTION("""COMPUTED_VALUE"""),0.6659722222222222)</f>
        <v>0.6659722222</v>
      </c>
      <c r="I155" s="58">
        <f>IFERROR(__xludf.DUMMYFUNCTION("""COMPUTED_VALUE"""),43776.0)</f>
        <v>43776</v>
      </c>
      <c r="J155" s="60">
        <f>IFERROR(__xludf.DUMMYFUNCTION("""COMPUTED_VALUE"""),0.6736111111111112)</f>
        <v>0.6736111111</v>
      </c>
      <c r="K155" s="60">
        <f t="shared" si="1"/>
        <v>0.007638888889</v>
      </c>
      <c r="L155" s="51" t="s">
        <v>585</v>
      </c>
      <c r="M155" s="51"/>
      <c r="N155" s="51"/>
      <c r="O155" s="50"/>
      <c r="P155" s="50"/>
      <c r="Q155" s="63"/>
      <c r="R155" s="51"/>
      <c r="S155" s="51"/>
      <c r="T155" s="51"/>
    </row>
    <row r="156">
      <c r="A156" s="51"/>
      <c r="B156" s="51"/>
      <c r="C156" s="51"/>
      <c r="D156" s="51"/>
      <c r="E156" s="51"/>
      <c r="F156" s="51"/>
      <c r="G156" s="51" t="str">
        <f>IFERROR(__xludf.DUMMYFUNCTION("""COMPUTED_VALUE"""),"#VALUE!")</f>
        <v>#VALUE!</v>
      </c>
      <c r="H156" s="51" t="str">
        <f>IFERROR(__xludf.DUMMYFUNCTION("""COMPUTED_VALUE"""),"")</f>
        <v/>
      </c>
      <c r="I156" s="51" t="str">
        <f>IFERROR(__xludf.DUMMYFUNCTION("""COMPUTED_VALUE"""),"#VALUE!")</f>
        <v>#VALUE!</v>
      </c>
      <c r="J156" s="51" t="str">
        <f>IFERROR(__xludf.DUMMYFUNCTION("""COMPUTED_VALUE"""),"")</f>
        <v/>
      </c>
      <c r="K156" s="51">
        <f t="shared" si="1"/>
        <v>0</v>
      </c>
      <c r="L156" s="51" t="s">
        <v>257</v>
      </c>
      <c r="M156" s="51"/>
      <c r="N156" s="51"/>
      <c r="O156" s="51"/>
      <c r="P156" s="51"/>
      <c r="Q156" s="51"/>
      <c r="R156" s="51"/>
      <c r="S156" s="51"/>
      <c r="T156" s="51"/>
    </row>
    <row r="157">
      <c r="A157" s="51"/>
      <c r="B157" s="51"/>
      <c r="C157" s="51"/>
      <c r="D157" s="51"/>
      <c r="E157" s="51"/>
      <c r="F157" s="51"/>
      <c r="G157" s="51" t="str">
        <f>IFERROR(__xludf.DUMMYFUNCTION("""COMPUTED_VALUE"""),"#VALUE!")</f>
        <v>#VALUE!</v>
      </c>
      <c r="H157" s="51" t="str">
        <f>IFERROR(__xludf.DUMMYFUNCTION("""COMPUTED_VALUE"""),"")</f>
        <v/>
      </c>
      <c r="I157" s="51" t="str">
        <f>IFERROR(__xludf.DUMMYFUNCTION("""COMPUTED_VALUE"""),"#VALUE!")</f>
        <v>#VALUE!</v>
      </c>
      <c r="J157" s="51" t="str">
        <f>IFERROR(__xludf.DUMMYFUNCTION("""COMPUTED_VALUE"""),"")</f>
        <v/>
      </c>
      <c r="K157" s="51">
        <f t="shared" si="1"/>
        <v>0</v>
      </c>
      <c r="L157" s="51" t="s">
        <v>257</v>
      </c>
      <c r="M157" s="51"/>
      <c r="N157" s="51"/>
      <c r="O157" s="51"/>
      <c r="P157" s="51"/>
      <c r="Q157" s="51"/>
      <c r="R157" s="51"/>
      <c r="S157" s="51"/>
      <c r="T157" s="51"/>
    </row>
    <row r="158">
      <c r="A158" s="51"/>
      <c r="B158" s="51"/>
      <c r="C158" s="51"/>
      <c r="D158" s="51"/>
      <c r="E158" s="51"/>
      <c r="F158" s="51"/>
      <c r="G158" s="51" t="str">
        <f>IFERROR(__xludf.DUMMYFUNCTION("""COMPUTED_VALUE"""),"#VALUE!")</f>
        <v>#VALUE!</v>
      </c>
      <c r="H158" s="51" t="str">
        <f>IFERROR(__xludf.DUMMYFUNCTION("""COMPUTED_VALUE"""),"")</f>
        <v/>
      </c>
      <c r="I158" s="51" t="str">
        <f>IFERROR(__xludf.DUMMYFUNCTION("""COMPUTED_VALUE"""),"#VALUE!")</f>
        <v>#VALUE!</v>
      </c>
      <c r="J158" s="51" t="str">
        <f>IFERROR(__xludf.DUMMYFUNCTION("""COMPUTED_VALUE"""),"")</f>
        <v/>
      </c>
      <c r="K158" s="51">
        <f t="shared" si="1"/>
        <v>0</v>
      </c>
      <c r="L158" s="51" t="s">
        <v>257</v>
      </c>
      <c r="M158" s="51"/>
      <c r="N158" s="51"/>
      <c r="O158" s="51"/>
      <c r="P158" s="51"/>
      <c r="Q158" s="51"/>
      <c r="R158" s="51"/>
      <c r="S158" s="51"/>
      <c r="T158" s="51"/>
    </row>
    <row r="159">
      <c r="A159" s="51"/>
      <c r="B159" s="51"/>
      <c r="C159" s="51"/>
      <c r="D159" s="51"/>
      <c r="E159" s="51"/>
      <c r="F159" s="51"/>
      <c r="G159" s="51" t="str">
        <f>IFERROR(__xludf.DUMMYFUNCTION("""COMPUTED_VALUE"""),"#VALUE!")</f>
        <v>#VALUE!</v>
      </c>
      <c r="H159" s="51" t="str">
        <f>IFERROR(__xludf.DUMMYFUNCTION("""COMPUTED_VALUE"""),"")</f>
        <v/>
      </c>
      <c r="I159" s="51" t="str">
        <f>IFERROR(__xludf.DUMMYFUNCTION("""COMPUTED_VALUE"""),"#VALUE!")</f>
        <v>#VALUE!</v>
      </c>
      <c r="J159" s="51" t="str">
        <f>IFERROR(__xludf.DUMMYFUNCTION("""COMPUTED_VALUE"""),"")</f>
        <v/>
      </c>
      <c r="K159" s="51">
        <f t="shared" si="1"/>
        <v>0</v>
      </c>
      <c r="L159" s="51" t="s">
        <v>257</v>
      </c>
      <c r="M159" s="51"/>
      <c r="N159" s="51"/>
      <c r="O159" s="51"/>
      <c r="P159" s="51"/>
      <c r="Q159" s="51"/>
      <c r="R159" s="51"/>
      <c r="S159" s="51"/>
      <c r="T159" s="51"/>
    </row>
    <row r="160">
      <c r="A160" s="51"/>
      <c r="B160" s="51"/>
      <c r="C160" s="51"/>
      <c r="D160" s="51"/>
      <c r="E160" s="51"/>
      <c r="F160" s="51"/>
      <c r="G160" s="51" t="str">
        <f>IFERROR(__xludf.DUMMYFUNCTION("""COMPUTED_VALUE"""),"#VALUE!")</f>
        <v>#VALUE!</v>
      </c>
      <c r="H160" s="51" t="str">
        <f>IFERROR(__xludf.DUMMYFUNCTION("""COMPUTED_VALUE"""),"")</f>
        <v/>
      </c>
      <c r="I160" s="51" t="str">
        <f>IFERROR(__xludf.DUMMYFUNCTION("""COMPUTED_VALUE"""),"#VALUE!")</f>
        <v>#VALUE!</v>
      </c>
      <c r="J160" s="51" t="str">
        <f>IFERROR(__xludf.DUMMYFUNCTION("""COMPUTED_VALUE"""),"")</f>
        <v/>
      </c>
      <c r="K160" s="51">
        <f t="shared" si="1"/>
        <v>0</v>
      </c>
      <c r="L160" s="51" t="s">
        <v>257</v>
      </c>
      <c r="M160" s="51"/>
      <c r="N160" s="51"/>
      <c r="O160" s="51"/>
      <c r="P160" s="51"/>
      <c r="Q160" s="51"/>
      <c r="R160" s="51"/>
      <c r="S160" s="51"/>
      <c r="T160" s="51"/>
    </row>
    <row r="161">
      <c r="A161" s="51"/>
      <c r="B161" s="51"/>
      <c r="C161" s="51"/>
      <c r="D161" s="51"/>
      <c r="E161" s="51"/>
      <c r="F161" s="51"/>
      <c r="G161" s="51" t="str">
        <f>IFERROR(__xludf.DUMMYFUNCTION("""COMPUTED_VALUE"""),"#VALUE!")</f>
        <v>#VALUE!</v>
      </c>
      <c r="H161" s="51" t="str">
        <f>IFERROR(__xludf.DUMMYFUNCTION("""COMPUTED_VALUE"""),"")</f>
        <v/>
      </c>
      <c r="I161" s="51" t="str">
        <f>IFERROR(__xludf.DUMMYFUNCTION("""COMPUTED_VALUE"""),"#VALUE!")</f>
        <v>#VALUE!</v>
      </c>
      <c r="J161" s="51" t="str">
        <f>IFERROR(__xludf.DUMMYFUNCTION("""COMPUTED_VALUE"""),"")</f>
        <v/>
      </c>
      <c r="K161" s="51">
        <f t="shared" si="1"/>
        <v>0</v>
      </c>
      <c r="L161" s="51" t="s">
        <v>257</v>
      </c>
      <c r="M161" s="51"/>
      <c r="N161" s="51"/>
      <c r="O161" s="51"/>
      <c r="P161" s="51"/>
      <c r="Q161" s="51"/>
      <c r="R161" s="51"/>
      <c r="S161" s="51"/>
      <c r="T161" s="51"/>
    </row>
    <row r="162">
      <c r="A162" s="51"/>
      <c r="B162" s="51"/>
      <c r="C162" s="51"/>
      <c r="D162" s="51"/>
      <c r="E162" s="51"/>
      <c r="F162" s="51"/>
      <c r="G162" s="51" t="str">
        <f>IFERROR(__xludf.DUMMYFUNCTION("""COMPUTED_VALUE"""),"#VALUE!")</f>
        <v>#VALUE!</v>
      </c>
      <c r="H162" s="51" t="str">
        <f>IFERROR(__xludf.DUMMYFUNCTION("""COMPUTED_VALUE"""),"")</f>
        <v/>
      </c>
      <c r="I162" s="51" t="str">
        <f>IFERROR(__xludf.DUMMYFUNCTION("""COMPUTED_VALUE"""),"#VALUE!")</f>
        <v>#VALUE!</v>
      </c>
      <c r="J162" s="51" t="str">
        <f>IFERROR(__xludf.DUMMYFUNCTION("""COMPUTED_VALUE"""),"")</f>
        <v/>
      </c>
      <c r="K162" s="51">
        <f t="shared" si="1"/>
        <v>0</v>
      </c>
      <c r="L162" s="51" t="s">
        <v>257</v>
      </c>
      <c r="M162" s="51"/>
      <c r="N162" s="51"/>
      <c r="O162" s="51"/>
      <c r="P162" s="51"/>
      <c r="Q162" s="51"/>
      <c r="R162" s="51"/>
      <c r="S162" s="51"/>
      <c r="T162" s="51"/>
    </row>
    <row r="163">
      <c r="A163" s="51"/>
      <c r="B163" s="51"/>
      <c r="C163" s="51"/>
      <c r="D163" s="51"/>
      <c r="E163" s="51"/>
      <c r="F163" s="51"/>
      <c r="G163" s="51" t="str">
        <f>IFERROR(__xludf.DUMMYFUNCTION("""COMPUTED_VALUE"""),"#VALUE!")</f>
        <v>#VALUE!</v>
      </c>
      <c r="H163" s="51" t="str">
        <f>IFERROR(__xludf.DUMMYFUNCTION("""COMPUTED_VALUE"""),"")</f>
        <v/>
      </c>
      <c r="I163" s="51" t="str">
        <f>IFERROR(__xludf.DUMMYFUNCTION("""COMPUTED_VALUE"""),"#VALUE!")</f>
        <v>#VALUE!</v>
      </c>
      <c r="J163" s="51" t="str">
        <f>IFERROR(__xludf.DUMMYFUNCTION("""COMPUTED_VALUE"""),"")</f>
        <v/>
      </c>
      <c r="K163" s="51">
        <f t="shared" si="1"/>
        <v>0</v>
      </c>
      <c r="L163" s="51" t="s">
        <v>257</v>
      </c>
      <c r="M163" s="51"/>
      <c r="N163" s="51"/>
      <c r="O163" s="51"/>
      <c r="P163" s="51"/>
      <c r="Q163" s="51"/>
      <c r="R163" s="51"/>
      <c r="S163" s="51"/>
      <c r="T163" s="51"/>
    </row>
    <row r="164">
      <c r="A164" s="51"/>
      <c r="B164" s="51"/>
      <c r="C164" s="51"/>
      <c r="D164" s="51"/>
      <c r="E164" s="51"/>
      <c r="F164" s="51"/>
      <c r="G164" s="51" t="str">
        <f>IFERROR(__xludf.DUMMYFUNCTION("""COMPUTED_VALUE"""),"#VALUE!")</f>
        <v>#VALUE!</v>
      </c>
      <c r="H164" s="51" t="str">
        <f>IFERROR(__xludf.DUMMYFUNCTION("""COMPUTED_VALUE"""),"")</f>
        <v/>
      </c>
      <c r="I164" s="51" t="str">
        <f>IFERROR(__xludf.DUMMYFUNCTION("""COMPUTED_VALUE"""),"#VALUE!")</f>
        <v>#VALUE!</v>
      </c>
      <c r="J164" s="51" t="str">
        <f>IFERROR(__xludf.DUMMYFUNCTION("""COMPUTED_VALUE"""),"")</f>
        <v/>
      </c>
      <c r="K164" s="51">
        <f t="shared" si="1"/>
        <v>0</v>
      </c>
      <c r="L164" s="51" t="s">
        <v>257</v>
      </c>
      <c r="M164" s="51"/>
      <c r="N164" s="51"/>
      <c r="O164" s="51"/>
      <c r="P164" s="51"/>
      <c r="Q164" s="51"/>
      <c r="R164" s="51"/>
      <c r="S164" s="51"/>
      <c r="T164" s="51"/>
    </row>
    <row r="165">
      <c r="A165" s="51"/>
      <c r="B165" s="51"/>
      <c r="C165" s="51"/>
      <c r="D165" s="51"/>
      <c r="E165" s="51"/>
      <c r="F165" s="51"/>
      <c r="G165" s="51" t="str">
        <f>IFERROR(__xludf.DUMMYFUNCTION("""COMPUTED_VALUE"""),"#VALUE!")</f>
        <v>#VALUE!</v>
      </c>
      <c r="H165" s="51" t="str">
        <f>IFERROR(__xludf.DUMMYFUNCTION("""COMPUTED_VALUE"""),"")</f>
        <v/>
      </c>
      <c r="I165" s="51" t="str">
        <f>IFERROR(__xludf.DUMMYFUNCTION("""COMPUTED_VALUE"""),"#VALUE!")</f>
        <v>#VALUE!</v>
      </c>
      <c r="J165" s="51" t="str">
        <f>IFERROR(__xludf.DUMMYFUNCTION("""COMPUTED_VALUE"""),"")</f>
        <v/>
      </c>
      <c r="K165" s="51"/>
      <c r="L165" s="51" t="s">
        <v>257</v>
      </c>
      <c r="M165" s="51"/>
      <c r="N165" s="51"/>
      <c r="O165" s="51"/>
      <c r="P165" s="51"/>
      <c r="Q165" s="51"/>
      <c r="R165" s="51"/>
      <c r="S165" s="51"/>
      <c r="T165" s="51"/>
    </row>
    <row r="166">
      <c r="A166" s="51"/>
      <c r="B166" s="51"/>
      <c r="C166" s="51"/>
      <c r="D166" s="51"/>
      <c r="E166" s="51"/>
      <c r="F166" s="51"/>
      <c r="G166" s="51" t="str">
        <f>IFERROR(__xludf.DUMMYFUNCTION("""COMPUTED_VALUE"""),"#VALUE!")</f>
        <v>#VALUE!</v>
      </c>
      <c r="H166" s="51" t="str">
        <f>IFERROR(__xludf.DUMMYFUNCTION("""COMPUTED_VALUE"""),"")</f>
        <v/>
      </c>
      <c r="I166" s="51" t="str">
        <f>IFERROR(__xludf.DUMMYFUNCTION("""COMPUTED_VALUE"""),"#VALUE!")</f>
        <v>#VALUE!</v>
      </c>
      <c r="J166" s="51" t="str">
        <f>IFERROR(__xludf.DUMMYFUNCTION("""COMPUTED_VALUE"""),"")</f>
        <v/>
      </c>
      <c r="K166" s="51"/>
      <c r="L166" s="51" t="s">
        <v>257</v>
      </c>
      <c r="M166" s="51"/>
      <c r="N166" s="51"/>
      <c r="O166" s="51"/>
      <c r="P166" s="51"/>
      <c r="Q166" s="51"/>
      <c r="R166" s="51"/>
      <c r="S166" s="51"/>
      <c r="T166" s="51"/>
    </row>
    <row r="167">
      <c r="A167" s="51"/>
      <c r="B167" s="51"/>
      <c r="C167" s="51"/>
      <c r="D167" s="51"/>
      <c r="E167" s="51"/>
      <c r="F167" s="51"/>
      <c r="G167" s="51" t="str">
        <f>IFERROR(__xludf.DUMMYFUNCTION("""COMPUTED_VALUE"""),"#VALUE!")</f>
        <v>#VALUE!</v>
      </c>
      <c r="H167" s="51" t="str">
        <f>IFERROR(__xludf.DUMMYFUNCTION("""COMPUTED_VALUE"""),"")</f>
        <v/>
      </c>
      <c r="I167" s="51" t="str">
        <f>IFERROR(__xludf.DUMMYFUNCTION("""COMPUTED_VALUE"""),"#VALUE!")</f>
        <v>#VALUE!</v>
      </c>
      <c r="J167" s="51" t="str">
        <f>IFERROR(__xludf.DUMMYFUNCTION("""COMPUTED_VALUE"""),"")</f>
        <v/>
      </c>
      <c r="K167" s="51"/>
      <c r="L167" s="51" t="s">
        <v>257</v>
      </c>
      <c r="M167" s="51"/>
      <c r="N167" s="51"/>
      <c r="O167" s="51"/>
      <c r="P167" s="51"/>
      <c r="Q167" s="51"/>
      <c r="R167" s="51"/>
      <c r="S167" s="51"/>
      <c r="T167" s="51"/>
    </row>
    <row r="168">
      <c r="A168" s="51"/>
      <c r="B168" s="51"/>
      <c r="C168" s="51"/>
      <c r="D168" s="51"/>
      <c r="E168" s="51"/>
      <c r="F168" s="51"/>
      <c r="G168" s="51" t="str">
        <f>IFERROR(__xludf.DUMMYFUNCTION("""COMPUTED_VALUE"""),"#VALUE!")</f>
        <v>#VALUE!</v>
      </c>
      <c r="H168" s="51" t="str">
        <f>IFERROR(__xludf.DUMMYFUNCTION("""COMPUTED_VALUE"""),"")</f>
        <v/>
      </c>
      <c r="I168" s="51" t="str">
        <f>IFERROR(__xludf.DUMMYFUNCTION("""COMPUTED_VALUE"""),"#VALUE!")</f>
        <v>#VALUE!</v>
      </c>
      <c r="J168" s="51" t="str">
        <f>IFERROR(__xludf.DUMMYFUNCTION("""COMPUTED_VALUE"""),"")</f>
        <v/>
      </c>
      <c r="K168" s="51"/>
      <c r="L168" s="51" t="s">
        <v>257</v>
      </c>
      <c r="M168" s="51"/>
      <c r="N168" s="51"/>
      <c r="O168" s="51"/>
      <c r="P168" s="51"/>
      <c r="Q168" s="51"/>
      <c r="R168" s="51"/>
      <c r="S168" s="51"/>
      <c r="T168" s="51"/>
    </row>
    <row r="169">
      <c r="A169" s="51"/>
      <c r="B169" s="51"/>
      <c r="C169" s="51"/>
      <c r="D169" s="51"/>
      <c r="E169" s="51"/>
      <c r="F169" s="51"/>
      <c r="G169" s="51" t="str">
        <f>IFERROR(__xludf.DUMMYFUNCTION("""COMPUTED_VALUE"""),"#VALUE!")</f>
        <v>#VALUE!</v>
      </c>
      <c r="H169" s="51" t="str">
        <f>IFERROR(__xludf.DUMMYFUNCTION("""COMPUTED_VALUE"""),"")</f>
        <v/>
      </c>
      <c r="I169" s="51" t="str">
        <f>IFERROR(__xludf.DUMMYFUNCTION("""COMPUTED_VALUE"""),"#VALUE!")</f>
        <v>#VALUE!</v>
      </c>
      <c r="J169" s="51" t="str">
        <f>IFERROR(__xludf.DUMMYFUNCTION("""COMPUTED_VALUE"""),"")</f>
        <v/>
      </c>
      <c r="K169" s="51"/>
      <c r="L169" s="51" t="s">
        <v>257</v>
      </c>
      <c r="M169" s="51"/>
      <c r="N169" s="51"/>
      <c r="O169" s="51"/>
      <c r="P169" s="51"/>
      <c r="Q169" s="51"/>
      <c r="R169" s="51"/>
      <c r="S169" s="51"/>
      <c r="T169" s="51"/>
    </row>
    <row r="170">
      <c r="A170" s="51"/>
      <c r="B170" s="51"/>
      <c r="C170" s="51"/>
      <c r="D170" s="51"/>
      <c r="E170" s="51"/>
      <c r="F170" s="51"/>
      <c r="G170" s="51" t="str">
        <f>IFERROR(__xludf.DUMMYFUNCTION("""COMPUTED_VALUE"""),"#VALUE!")</f>
        <v>#VALUE!</v>
      </c>
      <c r="H170" s="51" t="str">
        <f>IFERROR(__xludf.DUMMYFUNCTION("""COMPUTED_VALUE"""),"")</f>
        <v/>
      </c>
      <c r="I170" s="51" t="str">
        <f>IFERROR(__xludf.DUMMYFUNCTION("""COMPUTED_VALUE"""),"#VALUE!")</f>
        <v>#VALUE!</v>
      </c>
      <c r="J170" s="51" t="str">
        <f>IFERROR(__xludf.DUMMYFUNCTION("""COMPUTED_VALUE"""),"")</f>
        <v/>
      </c>
      <c r="K170" s="51"/>
      <c r="L170" s="51" t="s">
        <v>257</v>
      </c>
      <c r="M170" s="51"/>
      <c r="N170" s="51"/>
      <c r="O170" s="51"/>
      <c r="P170" s="51"/>
      <c r="Q170" s="51"/>
      <c r="R170" s="51"/>
      <c r="S170" s="51"/>
      <c r="T170" s="51"/>
    </row>
    <row r="171">
      <c r="A171" s="51"/>
      <c r="B171" s="51"/>
      <c r="C171" s="51"/>
      <c r="D171" s="51"/>
      <c r="E171" s="51"/>
      <c r="F171" s="51"/>
      <c r="G171" s="51" t="str">
        <f>IFERROR(__xludf.DUMMYFUNCTION("""COMPUTED_VALUE"""),"#VALUE!")</f>
        <v>#VALUE!</v>
      </c>
      <c r="H171" s="51" t="str">
        <f>IFERROR(__xludf.DUMMYFUNCTION("""COMPUTED_VALUE"""),"")</f>
        <v/>
      </c>
      <c r="I171" s="51" t="str">
        <f>IFERROR(__xludf.DUMMYFUNCTION("""COMPUTED_VALUE"""),"#VALUE!")</f>
        <v>#VALUE!</v>
      </c>
      <c r="J171" s="51" t="str">
        <f>IFERROR(__xludf.DUMMYFUNCTION("""COMPUTED_VALUE"""),"")</f>
        <v/>
      </c>
      <c r="K171" s="51"/>
      <c r="L171" s="51" t="s">
        <v>257</v>
      </c>
      <c r="M171" s="51"/>
      <c r="N171" s="51"/>
      <c r="O171" s="51"/>
      <c r="P171" s="51"/>
      <c r="Q171" s="51"/>
      <c r="R171" s="51"/>
      <c r="S171" s="51"/>
      <c r="T171" s="51"/>
    </row>
    <row r="172">
      <c r="A172" s="51"/>
      <c r="B172" s="51"/>
      <c r="C172" s="51"/>
      <c r="D172" s="51"/>
      <c r="E172" s="51"/>
      <c r="F172" s="51"/>
      <c r="G172" s="51" t="str">
        <f>IFERROR(__xludf.DUMMYFUNCTION("""COMPUTED_VALUE"""),"#VALUE!")</f>
        <v>#VALUE!</v>
      </c>
      <c r="H172" s="51" t="str">
        <f>IFERROR(__xludf.DUMMYFUNCTION("""COMPUTED_VALUE"""),"")</f>
        <v/>
      </c>
      <c r="I172" s="51" t="str">
        <f>IFERROR(__xludf.DUMMYFUNCTION("""COMPUTED_VALUE"""),"#VALUE!")</f>
        <v>#VALUE!</v>
      </c>
      <c r="J172" s="51" t="str">
        <f>IFERROR(__xludf.DUMMYFUNCTION("""COMPUTED_VALUE"""),"")</f>
        <v/>
      </c>
      <c r="K172" s="51"/>
      <c r="L172" s="51" t="s">
        <v>257</v>
      </c>
      <c r="M172" s="51"/>
      <c r="N172" s="51"/>
      <c r="O172" s="51"/>
      <c r="P172" s="51"/>
      <c r="Q172" s="51"/>
      <c r="R172" s="51"/>
      <c r="S172" s="51"/>
      <c r="T172" s="51"/>
    </row>
    <row r="173">
      <c r="A173" s="51"/>
      <c r="B173" s="51"/>
      <c r="C173" s="51"/>
      <c r="D173" s="51"/>
      <c r="E173" s="51"/>
      <c r="F173" s="51"/>
      <c r="G173" s="51" t="str">
        <f>IFERROR(__xludf.DUMMYFUNCTION("""COMPUTED_VALUE"""),"#VALUE!")</f>
        <v>#VALUE!</v>
      </c>
      <c r="H173" s="51" t="str">
        <f>IFERROR(__xludf.DUMMYFUNCTION("""COMPUTED_VALUE"""),"")</f>
        <v/>
      </c>
      <c r="I173" s="51" t="str">
        <f>IFERROR(__xludf.DUMMYFUNCTION("""COMPUTED_VALUE"""),"#VALUE!")</f>
        <v>#VALUE!</v>
      </c>
      <c r="J173" s="51" t="str">
        <f>IFERROR(__xludf.DUMMYFUNCTION("""COMPUTED_VALUE"""),"")</f>
        <v/>
      </c>
      <c r="K173" s="51"/>
      <c r="L173" s="51" t="s">
        <v>257</v>
      </c>
      <c r="M173" s="51"/>
      <c r="N173" s="51"/>
      <c r="O173" s="51"/>
      <c r="P173" s="51"/>
      <c r="Q173" s="51"/>
      <c r="R173" s="51"/>
      <c r="S173" s="51"/>
      <c r="T173" s="51"/>
    </row>
    <row r="174">
      <c r="A174" s="51"/>
      <c r="B174" s="51"/>
      <c r="C174" s="51"/>
      <c r="D174" s="51"/>
      <c r="E174" s="51"/>
      <c r="F174" s="51"/>
      <c r="G174" s="51" t="str">
        <f>IFERROR(__xludf.DUMMYFUNCTION("""COMPUTED_VALUE"""),"#VALUE!")</f>
        <v>#VALUE!</v>
      </c>
      <c r="H174" s="51" t="str">
        <f>IFERROR(__xludf.DUMMYFUNCTION("""COMPUTED_VALUE"""),"")</f>
        <v/>
      </c>
      <c r="I174" s="51" t="str">
        <f>IFERROR(__xludf.DUMMYFUNCTION("""COMPUTED_VALUE"""),"#VALUE!")</f>
        <v>#VALUE!</v>
      </c>
      <c r="J174" s="51" t="str">
        <f>IFERROR(__xludf.DUMMYFUNCTION("""COMPUTED_VALUE"""),"")</f>
        <v/>
      </c>
      <c r="K174" s="51"/>
      <c r="L174" s="51" t="s">
        <v>257</v>
      </c>
      <c r="M174" s="51"/>
      <c r="N174" s="51"/>
      <c r="O174" s="51"/>
      <c r="P174" s="51"/>
      <c r="Q174" s="51"/>
      <c r="R174" s="51"/>
      <c r="S174" s="51"/>
      <c r="T174" s="51"/>
    </row>
    <row r="175">
      <c r="A175" s="51"/>
      <c r="B175" s="51"/>
      <c r="C175" s="51"/>
      <c r="D175" s="51"/>
      <c r="E175" s="51"/>
      <c r="F175" s="51"/>
      <c r="G175" s="51" t="str">
        <f>IFERROR(__xludf.DUMMYFUNCTION("""COMPUTED_VALUE"""),"#VALUE!")</f>
        <v>#VALUE!</v>
      </c>
      <c r="H175" s="51" t="str">
        <f>IFERROR(__xludf.DUMMYFUNCTION("""COMPUTED_VALUE"""),"")</f>
        <v/>
      </c>
      <c r="I175" s="51" t="str">
        <f>IFERROR(__xludf.DUMMYFUNCTION("""COMPUTED_VALUE"""),"#VALUE!")</f>
        <v>#VALUE!</v>
      </c>
      <c r="J175" s="51" t="str">
        <f>IFERROR(__xludf.DUMMYFUNCTION("""COMPUTED_VALUE"""),"")</f>
        <v/>
      </c>
      <c r="K175" s="51"/>
      <c r="L175" s="51" t="s">
        <v>257</v>
      </c>
      <c r="M175" s="51"/>
      <c r="N175" s="51"/>
      <c r="O175" s="51"/>
      <c r="P175" s="51"/>
      <c r="Q175" s="51"/>
      <c r="R175" s="51"/>
      <c r="S175" s="51"/>
      <c r="T175" s="51"/>
    </row>
    <row r="176">
      <c r="A176" s="51"/>
      <c r="B176" s="51"/>
      <c r="C176" s="51"/>
      <c r="D176" s="51"/>
      <c r="E176" s="51"/>
      <c r="F176" s="51"/>
      <c r="G176" s="51" t="str">
        <f>IFERROR(__xludf.DUMMYFUNCTION("""COMPUTED_VALUE"""),"#VALUE!")</f>
        <v>#VALUE!</v>
      </c>
      <c r="H176" s="51" t="str">
        <f>IFERROR(__xludf.DUMMYFUNCTION("""COMPUTED_VALUE"""),"")</f>
        <v/>
      </c>
      <c r="I176" s="51" t="str">
        <f>IFERROR(__xludf.DUMMYFUNCTION("""COMPUTED_VALUE"""),"#VALUE!")</f>
        <v>#VALUE!</v>
      </c>
      <c r="J176" s="51" t="str">
        <f>IFERROR(__xludf.DUMMYFUNCTION("""COMPUTED_VALUE"""),"")</f>
        <v/>
      </c>
      <c r="K176" s="51"/>
      <c r="L176" s="51" t="s">
        <v>257</v>
      </c>
      <c r="M176" s="51"/>
      <c r="N176" s="51"/>
      <c r="O176" s="51"/>
      <c r="P176" s="51"/>
      <c r="Q176" s="51"/>
      <c r="R176" s="51"/>
      <c r="S176" s="51"/>
      <c r="T176" s="51"/>
    </row>
    <row r="177">
      <c r="A177" s="51"/>
      <c r="B177" s="51"/>
      <c r="C177" s="51"/>
      <c r="D177" s="51"/>
      <c r="E177" s="51"/>
      <c r="F177" s="51"/>
      <c r="G177" s="51" t="str">
        <f>IFERROR(__xludf.DUMMYFUNCTION("""COMPUTED_VALUE"""),"#VALUE!")</f>
        <v>#VALUE!</v>
      </c>
      <c r="H177" s="51" t="str">
        <f>IFERROR(__xludf.DUMMYFUNCTION("""COMPUTED_VALUE"""),"")</f>
        <v/>
      </c>
      <c r="I177" s="51" t="str">
        <f>IFERROR(__xludf.DUMMYFUNCTION("""COMPUTED_VALUE"""),"#VALUE!")</f>
        <v>#VALUE!</v>
      </c>
      <c r="J177" s="51" t="str">
        <f>IFERROR(__xludf.DUMMYFUNCTION("""COMPUTED_VALUE"""),"")</f>
        <v/>
      </c>
      <c r="K177" s="51"/>
      <c r="L177" s="51" t="s">
        <v>257</v>
      </c>
      <c r="M177" s="51"/>
      <c r="N177" s="51"/>
      <c r="O177" s="51"/>
      <c r="P177" s="51"/>
      <c r="Q177" s="51"/>
      <c r="R177" s="51"/>
      <c r="S177" s="51"/>
      <c r="T177" s="51"/>
    </row>
    <row r="178">
      <c r="A178" s="51"/>
      <c r="B178" s="51"/>
      <c r="C178" s="51"/>
      <c r="D178" s="51"/>
      <c r="E178" s="51"/>
      <c r="F178" s="51"/>
      <c r="G178" s="51" t="str">
        <f>IFERROR(__xludf.DUMMYFUNCTION("""COMPUTED_VALUE"""),"#VALUE!")</f>
        <v>#VALUE!</v>
      </c>
      <c r="H178" s="51" t="str">
        <f>IFERROR(__xludf.DUMMYFUNCTION("""COMPUTED_VALUE"""),"")</f>
        <v/>
      </c>
      <c r="I178" s="51" t="str">
        <f>IFERROR(__xludf.DUMMYFUNCTION("""COMPUTED_VALUE"""),"#VALUE!")</f>
        <v>#VALUE!</v>
      </c>
      <c r="J178" s="51" t="str">
        <f>IFERROR(__xludf.DUMMYFUNCTION("""COMPUTED_VALUE"""),"")</f>
        <v/>
      </c>
      <c r="K178" s="51"/>
      <c r="L178" s="51" t="s">
        <v>257</v>
      </c>
      <c r="M178" s="51"/>
      <c r="N178" s="51"/>
      <c r="O178" s="51"/>
      <c r="P178" s="51"/>
      <c r="Q178" s="51"/>
      <c r="R178" s="51"/>
      <c r="S178" s="51"/>
      <c r="T178" s="51"/>
    </row>
    <row r="179">
      <c r="A179" s="51"/>
      <c r="B179" s="51"/>
      <c r="C179" s="51"/>
      <c r="D179" s="51"/>
      <c r="E179" s="51"/>
      <c r="F179" s="51"/>
      <c r="G179" s="51" t="str">
        <f>IFERROR(__xludf.DUMMYFUNCTION("""COMPUTED_VALUE"""),"#VALUE!")</f>
        <v>#VALUE!</v>
      </c>
      <c r="H179" s="51" t="str">
        <f>IFERROR(__xludf.DUMMYFUNCTION("""COMPUTED_VALUE"""),"")</f>
        <v/>
      </c>
      <c r="I179" s="51" t="str">
        <f>IFERROR(__xludf.DUMMYFUNCTION("""COMPUTED_VALUE"""),"#VALUE!")</f>
        <v>#VALUE!</v>
      </c>
      <c r="J179" s="51" t="str">
        <f>IFERROR(__xludf.DUMMYFUNCTION("""COMPUTED_VALUE"""),"")</f>
        <v/>
      </c>
      <c r="K179" s="51"/>
      <c r="L179" s="51" t="s">
        <v>257</v>
      </c>
      <c r="M179" s="51"/>
      <c r="N179" s="51"/>
      <c r="O179" s="51"/>
      <c r="P179" s="51"/>
      <c r="Q179" s="51"/>
      <c r="R179" s="51"/>
      <c r="S179" s="51"/>
      <c r="T179" s="51"/>
    </row>
    <row r="180">
      <c r="A180" s="51"/>
      <c r="B180" s="51"/>
      <c r="C180" s="51"/>
      <c r="D180" s="51"/>
      <c r="E180" s="51"/>
      <c r="F180" s="51"/>
      <c r="G180" s="51" t="str">
        <f>IFERROR(__xludf.DUMMYFUNCTION("""COMPUTED_VALUE"""),"#VALUE!")</f>
        <v>#VALUE!</v>
      </c>
      <c r="H180" s="51" t="str">
        <f>IFERROR(__xludf.DUMMYFUNCTION("""COMPUTED_VALUE"""),"")</f>
        <v/>
      </c>
      <c r="I180" s="51" t="str">
        <f>IFERROR(__xludf.DUMMYFUNCTION("""COMPUTED_VALUE"""),"#VALUE!")</f>
        <v>#VALUE!</v>
      </c>
      <c r="J180" s="51" t="str">
        <f>IFERROR(__xludf.DUMMYFUNCTION("""COMPUTED_VALUE"""),"")</f>
        <v/>
      </c>
      <c r="K180" s="51"/>
      <c r="L180" s="51" t="s">
        <v>257</v>
      </c>
      <c r="M180" s="51"/>
      <c r="N180" s="51"/>
      <c r="O180" s="51"/>
      <c r="P180" s="51"/>
      <c r="Q180" s="51"/>
      <c r="R180" s="51"/>
      <c r="S180" s="51"/>
      <c r="T180" s="51"/>
    </row>
    <row r="181">
      <c r="A181" s="51"/>
      <c r="B181" s="51"/>
      <c r="C181" s="51"/>
      <c r="D181" s="51"/>
      <c r="E181" s="51"/>
      <c r="F181" s="51"/>
      <c r="G181" s="51" t="str">
        <f>IFERROR(__xludf.DUMMYFUNCTION("""COMPUTED_VALUE"""),"#VALUE!")</f>
        <v>#VALUE!</v>
      </c>
      <c r="H181" s="51" t="str">
        <f>IFERROR(__xludf.DUMMYFUNCTION("""COMPUTED_VALUE"""),"")</f>
        <v/>
      </c>
      <c r="I181" s="51" t="str">
        <f>IFERROR(__xludf.DUMMYFUNCTION("""COMPUTED_VALUE"""),"#VALUE!")</f>
        <v>#VALUE!</v>
      </c>
      <c r="J181" s="51" t="str">
        <f>IFERROR(__xludf.DUMMYFUNCTION("""COMPUTED_VALUE"""),"")</f>
        <v/>
      </c>
      <c r="K181" s="51"/>
      <c r="L181" s="51" t="s">
        <v>257</v>
      </c>
      <c r="M181" s="51"/>
      <c r="N181" s="51"/>
      <c r="O181" s="51"/>
      <c r="P181" s="51"/>
      <c r="Q181" s="51"/>
      <c r="R181" s="51"/>
      <c r="S181" s="51"/>
      <c r="T181" s="51"/>
    </row>
    <row r="182">
      <c r="A182" s="51"/>
      <c r="B182" s="51"/>
      <c r="C182" s="51"/>
      <c r="D182" s="51"/>
      <c r="E182" s="51"/>
      <c r="F182" s="51"/>
      <c r="G182" s="51" t="str">
        <f>IFERROR(__xludf.DUMMYFUNCTION("""COMPUTED_VALUE"""),"#VALUE!")</f>
        <v>#VALUE!</v>
      </c>
      <c r="H182" s="51" t="str">
        <f>IFERROR(__xludf.DUMMYFUNCTION("""COMPUTED_VALUE"""),"")</f>
        <v/>
      </c>
      <c r="I182" s="51" t="str">
        <f>IFERROR(__xludf.DUMMYFUNCTION("""COMPUTED_VALUE"""),"#VALUE!")</f>
        <v>#VALUE!</v>
      </c>
      <c r="J182" s="51" t="str">
        <f>IFERROR(__xludf.DUMMYFUNCTION("""COMPUTED_VALUE"""),"")</f>
        <v/>
      </c>
      <c r="K182" s="51"/>
      <c r="L182" s="51" t="s">
        <v>257</v>
      </c>
      <c r="M182" s="51"/>
      <c r="N182" s="51"/>
      <c r="O182" s="51"/>
      <c r="P182" s="51"/>
      <c r="Q182" s="51"/>
      <c r="R182" s="51"/>
      <c r="S182" s="51"/>
      <c r="T182" s="51"/>
    </row>
    <row r="183">
      <c r="A183" s="51"/>
      <c r="B183" s="51"/>
      <c r="C183" s="51"/>
      <c r="D183" s="51"/>
      <c r="E183" s="51"/>
      <c r="F183" s="51"/>
      <c r="G183" s="51" t="str">
        <f>IFERROR(__xludf.DUMMYFUNCTION("""COMPUTED_VALUE"""),"#VALUE!")</f>
        <v>#VALUE!</v>
      </c>
      <c r="H183" s="51" t="str">
        <f>IFERROR(__xludf.DUMMYFUNCTION("""COMPUTED_VALUE"""),"")</f>
        <v/>
      </c>
      <c r="I183" s="51" t="str">
        <f>IFERROR(__xludf.DUMMYFUNCTION("""COMPUTED_VALUE"""),"#VALUE!")</f>
        <v>#VALUE!</v>
      </c>
      <c r="J183" s="51" t="str">
        <f>IFERROR(__xludf.DUMMYFUNCTION("""COMPUTED_VALUE"""),"")</f>
        <v/>
      </c>
      <c r="K183" s="51"/>
      <c r="L183" s="51" t="s">
        <v>257</v>
      </c>
      <c r="M183" s="51"/>
      <c r="N183" s="51"/>
      <c r="O183" s="51"/>
      <c r="P183" s="51"/>
      <c r="Q183" s="51"/>
      <c r="R183" s="51"/>
      <c r="S183" s="51"/>
      <c r="T183" s="51"/>
    </row>
    <row r="184">
      <c r="A184" s="51"/>
      <c r="B184" s="51"/>
      <c r="C184" s="51"/>
      <c r="D184" s="51"/>
      <c r="E184" s="51"/>
      <c r="F184" s="51"/>
      <c r="G184" s="51" t="str">
        <f>IFERROR(__xludf.DUMMYFUNCTION("""COMPUTED_VALUE"""),"#VALUE!")</f>
        <v>#VALUE!</v>
      </c>
      <c r="H184" s="51" t="str">
        <f>IFERROR(__xludf.DUMMYFUNCTION("""COMPUTED_VALUE"""),"")</f>
        <v/>
      </c>
      <c r="I184" s="51" t="str">
        <f>IFERROR(__xludf.DUMMYFUNCTION("""COMPUTED_VALUE"""),"#VALUE!")</f>
        <v>#VALUE!</v>
      </c>
      <c r="J184" s="51" t="str">
        <f>IFERROR(__xludf.DUMMYFUNCTION("""COMPUTED_VALUE"""),"")</f>
        <v/>
      </c>
      <c r="K184" s="51"/>
      <c r="L184" s="51" t="s">
        <v>257</v>
      </c>
      <c r="M184" s="51"/>
      <c r="N184" s="51"/>
      <c r="O184" s="51"/>
      <c r="P184" s="51"/>
      <c r="Q184" s="51"/>
      <c r="R184" s="51"/>
      <c r="S184" s="51"/>
      <c r="T184" s="51"/>
    </row>
    <row r="185">
      <c r="A185" s="51"/>
      <c r="B185" s="51"/>
      <c r="C185" s="51"/>
      <c r="D185" s="51"/>
      <c r="E185" s="51"/>
      <c r="F185" s="51"/>
      <c r="G185" s="51" t="str">
        <f>IFERROR(__xludf.DUMMYFUNCTION("""COMPUTED_VALUE"""),"#VALUE!")</f>
        <v>#VALUE!</v>
      </c>
      <c r="H185" s="51" t="str">
        <f>IFERROR(__xludf.DUMMYFUNCTION("""COMPUTED_VALUE"""),"")</f>
        <v/>
      </c>
      <c r="I185" s="51" t="str">
        <f>IFERROR(__xludf.DUMMYFUNCTION("""COMPUTED_VALUE"""),"#VALUE!")</f>
        <v>#VALUE!</v>
      </c>
      <c r="J185" s="51" t="str">
        <f>IFERROR(__xludf.DUMMYFUNCTION("""COMPUTED_VALUE"""),"")</f>
        <v/>
      </c>
      <c r="K185" s="51"/>
      <c r="L185" s="51" t="s">
        <v>257</v>
      </c>
      <c r="M185" s="51"/>
      <c r="N185" s="51"/>
      <c r="O185" s="51"/>
      <c r="P185" s="51"/>
      <c r="Q185" s="51"/>
      <c r="R185" s="51"/>
      <c r="S185" s="51"/>
      <c r="T185" s="51"/>
    </row>
    <row r="186">
      <c r="A186" s="51"/>
      <c r="B186" s="51"/>
      <c r="C186" s="51"/>
      <c r="D186" s="51"/>
      <c r="E186" s="51"/>
      <c r="F186" s="51"/>
      <c r="G186" s="51" t="str">
        <f>IFERROR(__xludf.DUMMYFUNCTION("""COMPUTED_VALUE"""),"#VALUE!")</f>
        <v>#VALUE!</v>
      </c>
      <c r="H186" s="51" t="str">
        <f>IFERROR(__xludf.DUMMYFUNCTION("""COMPUTED_VALUE"""),"")</f>
        <v/>
      </c>
      <c r="I186" s="51" t="str">
        <f>IFERROR(__xludf.DUMMYFUNCTION("""COMPUTED_VALUE"""),"#VALUE!")</f>
        <v>#VALUE!</v>
      </c>
      <c r="J186" s="51" t="str">
        <f>IFERROR(__xludf.DUMMYFUNCTION("""COMPUTED_VALUE"""),"")</f>
        <v/>
      </c>
      <c r="K186" s="51"/>
      <c r="L186" s="51" t="s">
        <v>257</v>
      </c>
      <c r="M186" s="51"/>
      <c r="N186" s="51"/>
      <c r="O186" s="51"/>
      <c r="P186" s="51"/>
      <c r="Q186" s="51"/>
      <c r="R186" s="51"/>
      <c r="S186" s="51"/>
      <c r="T186" s="51"/>
    </row>
    <row r="187">
      <c r="A187" s="51"/>
      <c r="B187" s="51"/>
      <c r="C187" s="51"/>
      <c r="D187" s="51"/>
      <c r="E187" s="51"/>
      <c r="F187" s="51"/>
      <c r="G187" s="51" t="str">
        <f>IFERROR(__xludf.DUMMYFUNCTION("""COMPUTED_VALUE"""),"#VALUE!")</f>
        <v>#VALUE!</v>
      </c>
      <c r="H187" s="51" t="str">
        <f>IFERROR(__xludf.DUMMYFUNCTION("""COMPUTED_VALUE"""),"")</f>
        <v/>
      </c>
      <c r="I187" s="51" t="str">
        <f>IFERROR(__xludf.DUMMYFUNCTION("""COMPUTED_VALUE"""),"#VALUE!")</f>
        <v>#VALUE!</v>
      </c>
      <c r="J187" s="51" t="str">
        <f>IFERROR(__xludf.DUMMYFUNCTION("""COMPUTED_VALUE"""),"")</f>
        <v/>
      </c>
      <c r="K187" s="51"/>
      <c r="L187" s="51" t="s">
        <v>257</v>
      </c>
      <c r="M187" s="51"/>
      <c r="N187" s="51"/>
      <c r="O187" s="51"/>
      <c r="P187" s="51"/>
      <c r="Q187" s="51"/>
      <c r="R187" s="51"/>
      <c r="S187" s="51"/>
      <c r="T187" s="51"/>
    </row>
    <row r="188">
      <c r="A188" s="51"/>
      <c r="B188" s="51"/>
      <c r="C188" s="51"/>
      <c r="D188" s="51"/>
      <c r="E188" s="51"/>
      <c r="F188" s="51"/>
      <c r="G188" s="51" t="str">
        <f>IFERROR(__xludf.DUMMYFUNCTION("""COMPUTED_VALUE"""),"#VALUE!")</f>
        <v>#VALUE!</v>
      </c>
      <c r="H188" s="51" t="str">
        <f>IFERROR(__xludf.DUMMYFUNCTION("""COMPUTED_VALUE"""),"")</f>
        <v/>
      </c>
      <c r="I188" s="51" t="str">
        <f>IFERROR(__xludf.DUMMYFUNCTION("""COMPUTED_VALUE"""),"#VALUE!")</f>
        <v>#VALUE!</v>
      </c>
      <c r="J188" s="51" t="str">
        <f>IFERROR(__xludf.DUMMYFUNCTION("""COMPUTED_VALUE"""),"")</f>
        <v/>
      </c>
      <c r="K188" s="51"/>
      <c r="L188" s="51" t="s">
        <v>257</v>
      </c>
      <c r="M188" s="51"/>
      <c r="N188" s="51"/>
      <c r="O188" s="51"/>
      <c r="P188" s="51"/>
      <c r="Q188" s="51"/>
      <c r="R188" s="51"/>
      <c r="S188" s="51"/>
      <c r="T188" s="51"/>
    </row>
    <row r="189">
      <c r="A189" s="51"/>
      <c r="B189" s="51"/>
      <c r="C189" s="51"/>
      <c r="D189" s="51"/>
      <c r="E189" s="51"/>
      <c r="F189" s="51"/>
      <c r="G189" s="51" t="str">
        <f>IFERROR(__xludf.DUMMYFUNCTION("""COMPUTED_VALUE"""),"#VALUE!")</f>
        <v>#VALUE!</v>
      </c>
      <c r="H189" s="51" t="str">
        <f>IFERROR(__xludf.DUMMYFUNCTION("""COMPUTED_VALUE"""),"")</f>
        <v/>
      </c>
      <c r="I189" s="51" t="str">
        <f>IFERROR(__xludf.DUMMYFUNCTION("""COMPUTED_VALUE"""),"#VALUE!")</f>
        <v>#VALUE!</v>
      </c>
      <c r="J189" s="51" t="str">
        <f>IFERROR(__xludf.DUMMYFUNCTION("""COMPUTED_VALUE"""),"")</f>
        <v/>
      </c>
      <c r="K189" s="51"/>
      <c r="L189" s="51" t="s">
        <v>257</v>
      </c>
      <c r="M189" s="51"/>
      <c r="N189" s="51"/>
      <c r="O189" s="51"/>
      <c r="P189" s="51"/>
      <c r="Q189" s="51"/>
      <c r="R189" s="51"/>
      <c r="S189" s="51"/>
      <c r="T189" s="51"/>
    </row>
    <row r="190">
      <c r="A190" s="51"/>
      <c r="B190" s="51"/>
      <c r="C190" s="51"/>
      <c r="D190" s="51"/>
      <c r="E190" s="51"/>
      <c r="F190" s="51"/>
      <c r="G190" s="51" t="str">
        <f>IFERROR(__xludf.DUMMYFUNCTION("""COMPUTED_VALUE"""),"#VALUE!")</f>
        <v>#VALUE!</v>
      </c>
      <c r="H190" s="51" t="str">
        <f>IFERROR(__xludf.DUMMYFUNCTION("""COMPUTED_VALUE"""),"")</f>
        <v/>
      </c>
      <c r="I190" s="51" t="str">
        <f>IFERROR(__xludf.DUMMYFUNCTION("""COMPUTED_VALUE"""),"#VALUE!")</f>
        <v>#VALUE!</v>
      </c>
      <c r="J190" s="51" t="str">
        <f>IFERROR(__xludf.DUMMYFUNCTION("""COMPUTED_VALUE"""),"")</f>
        <v/>
      </c>
      <c r="K190" s="51"/>
      <c r="L190" s="51" t="s">
        <v>257</v>
      </c>
      <c r="M190" s="51"/>
      <c r="N190" s="51"/>
      <c r="O190" s="51"/>
      <c r="P190" s="51"/>
      <c r="Q190" s="51"/>
      <c r="R190" s="51"/>
      <c r="S190" s="51"/>
      <c r="T190" s="51"/>
    </row>
    <row r="191">
      <c r="A191" s="51"/>
      <c r="B191" s="51"/>
      <c r="C191" s="51"/>
      <c r="D191" s="51"/>
      <c r="E191" s="51"/>
      <c r="F191" s="51"/>
      <c r="G191" s="51" t="str">
        <f>IFERROR(__xludf.DUMMYFUNCTION("""COMPUTED_VALUE"""),"#VALUE!")</f>
        <v>#VALUE!</v>
      </c>
      <c r="H191" s="51" t="str">
        <f>IFERROR(__xludf.DUMMYFUNCTION("""COMPUTED_VALUE"""),"")</f>
        <v/>
      </c>
      <c r="I191" s="51" t="str">
        <f>IFERROR(__xludf.DUMMYFUNCTION("""COMPUTED_VALUE"""),"#VALUE!")</f>
        <v>#VALUE!</v>
      </c>
      <c r="J191" s="51" t="str">
        <f>IFERROR(__xludf.DUMMYFUNCTION("""COMPUTED_VALUE"""),"")</f>
        <v/>
      </c>
      <c r="K191" s="51"/>
      <c r="L191" s="51" t="s">
        <v>257</v>
      </c>
      <c r="M191" s="51"/>
      <c r="N191" s="51"/>
      <c r="O191" s="51"/>
      <c r="P191" s="51"/>
      <c r="Q191" s="51"/>
      <c r="R191" s="51"/>
      <c r="S191" s="51"/>
      <c r="T191" s="51"/>
    </row>
    <row r="192">
      <c r="A192" s="51"/>
      <c r="B192" s="51"/>
      <c r="C192" s="51"/>
      <c r="D192" s="51"/>
      <c r="E192" s="51"/>
      <c r="F192" s="51"/>
      <c r="G192" s="51" t="str">
        <f>IFERROR(__xludf.DUMMYFUNCTION("""COMPUTED_VALUE"""),"#VALUE!")</f>
        <v>#VALUE!</v>
      </c>
      <c r="H192" s="51" t="str">
        <f>IFERROR(__xludf.DUMMYFUNCTION("""COMPUTED_VALUE"""),"")</f>
        <v/>
      </c>
      <c r="I192" s="51" t="str">
        <f>IFERROR(__xludf.DUMMYFUNCTION("""COMPUTED_VALUE"""),"#VALUE!")</f>
        <v>#VALUE!</v>
      </c>
      <c r="J192" s="51" t="str">
        <f>IFERROR(__xludf.DUMMYFUNCTION("""COMPUTED_VALUE"""),"")</f>
        <v/>
      </c>
      <c r="K192" s="51"/>
      <c r="L192" s="51" t="s">
        <v>257</v>
      </c>
      <c r="M192" s="51"/>
      <c r="N192" s="51"/>
      <c r="O192" s="51"/>
      <c r="P192" s="51"/>
      <c r="Q192" s="51"/>
      <c r="R192" s="51"/>
      <c r="S192" s="51"/>
      <c r="T192" s="51"/>
    </row>
    <row r="193">
      <c r="A193" s="51"/>
      <c r="B193" s="51"/>
      <c r="C193" s="51"/>
      <c r="D193" s="51"/>
      <c r="E193" s="51"/>
      <c r="F193" s="51"/>
      <c r="G193" s="51" t="str">
        <f>IFERROR(__xludf.DUMMYFUNCTION("""COMPUTED_VALUE"""),"#VALUE!")</f>
        <v>#VALUE!</v>
      </c>
      <c r="H193" s="51" t="str">
        <f>IFERROR(__xludf.DUMMYFUNCTION("""COMPUTED_VALUE"""),"")</f>
        <v/>
      </c>
      <c r="I193" s="51" t="str">
        <f>IFERROR(__xludf.DUMMYFUNCTION("""COMPUTED_VALUE"""),"#VALUE!")</f>
        <v>#VALUE!</v>
      </c>
      <c r="J193" s="51" t="str">
        <f>IFERROR(__xludf.DUMMYFUNCTION("""COMPUTED_VALUE"""),"")</f>
        <v/>
      </c>
      <c r="K193" s="51"/>
      <c r="L193" s="51" t="s">
        <v>257</v>
      </c>
      <c r="M193" s="51"/>
      <c r="N193" s="51"/>
      <c r="O193" s="51"/>
      <c r="P193" s="51"/>
      <c r="Q193" s="51"/>
      <c r="R193" s="51"/>
      <c r="S193" s="51"/>
      <c r="T193" s="51"/>
    </row>
    <row r="194">
      <c r="A194" s="51"/>
      <c r="B194" s="51"/>
      <c r="C194" s="51"/>
      <c r="D194" s="51"/>
      <c r="E194" s="51"/>
      <c r="F194" s="51"/>
      <c r="G194" s="51" t="str">
        <f>IFERROR(__xludf.DUMMYFUNCTION("""COMPUTED_VALUE"""),"#VALUE!")</f>
        <v>#VALUE!</v>
      </c>
      <c r="H194" s="51" t="str">
        <f>IFERROR(__xludf.DUMMYFUNCTION("""COMPUTED_VALUE"""),"")</f>
        <v/>
      </c>
      <c r="I194" s="51" t="str">
        <f>IFERROR(__xludf.DUMMYFUNCTION("""COMPUTED_VALUE"""),"#VALUE!")</f>
        <v>#VALUE!</v>
      </c>
      <c r="J194" s="51" t="str">
        <f>IFERROR(__xludf.DUMMYFUNCTION("""COMPUTED_VALUE"""),"")</f>
        <v/>
      </c>
      <c r="K194" s="51"/>
      <c r="L194" s="51" t="s">
        <v>257</v>
      </c>
      <c r="M194" s="51"/>
      <c r="N194" s="51"/>
      <c r="O194" s="51"/>
      <c r="P194" s="51"/>
      <c r="Q194" s="51"/>
      <c r="R194" s="51"/>
      <c r="S194" s="51"/>
      <c r="T194" s="51"/>
    </row>
    <row r="195">
      <c r="A195" s="51"/>
      <c r="B195" s="51"/>
      <c r="C195" s="51"/>
      <c r="D195" s="51"/>
      <c r="E195" s="51"/>
      <c r="F195" s="51"/>
      <c r="G195" s="51" t="str">
        <f>IFERROR(__xludf.DUMMYFUNCTION("""COMPUTED_VALUE"""),"#VALUE!")</f>
        <v>#VALUE!</v>
      </c>
      <c r="H195" s="51" t="str">
        <f>IFERROR(__xludf.DUMMYFUNCTION("""COMPUTED_VALUE"""),"")</f>
        <v/>
      </c>
      <c r="I195" s="51" t="str">
        <f>IFERROR(__xludf.DUMMYFUNCTION("""COMPUTED_VALUE"""),"#VALUE!")</f>
        <v>#VALUE!</v>
      </c>
      <c r="J195" s="51" t="str">
        <f>IFERROR(__xludf.DUMMYFUNCTION("""COMPUTED_VALUE"""),"")</f>
        <v/>
      </c>
      <c r="K195" s="51"/>
      <c r="L195" s="51" t="s">
        <v>257</v>
      </c>
      <c r="M195" s="51"/>
      <c r="N195" s="51"/>
      <c r="O195" s="51"/>
      <c r="P195" s="51"/>
      <c r="Q195" s="51"/>
      <c r="R195" s="51"/>
      <c r="S195" s="51"/>
      <c r="T195" s="51"/>
    </row>
    <row r="196">
      <c r="A196" s="51"/>
      <c r="B196" s="51"/>
      <c r="C196" s="51"/>
      <c r="D196" s="51"/>
      <c r="E196" s="51"/>
      <c r="F196" s="51"/>
      <c r="G196" s="51" t="str">
        <f>IFERROR(__xludf.DUMMYFUNCTION("""COMPUTED_VALUE"""),"#VALUE!")</f>
        <v>#VALUE!</v>
      </c>
      <c r="H196" s="51" t="str">
        <f>IFERROR(__xludf.DUMMYFUNCTION("""COMPUTED_VALUE"""),"")</f>
        <v/>
      </c>
      <c r="I196" s="51" t="str">
        <f>IFERROR(__xludf.DUMMYFUNCTION("""COMPUTED_VALUE"""),"#VALUE!")</f>
        <v>#VALUE!</v>
      </c>
      <c r="J196" s="51" t="str">
        <f>IFERROR(__xludf.DUMMYFUNCTION("""COMPUTED_VALUE"""),"")</f>
        <v/>
      </c>
      <c r="K196" s="51"/>
      <c r="L196" s="51" t="s">
        <v>257</v>
      </c>
      <c r="M196" s="51"/>
      <c r="N196" s="51"/>
      <c r="O196" s="51"/>
      <c r="P196" s="51"/>
      <c r="Q196" s="51"/>
      <c r="R196" s="51"/>
      <c r="S196" s="51"/>
      <c r="T196" s="51"/>
    </row>
    <row r="197">
      <c r="A197" s="51"/>
      <c r="B197" s="51"/>
      <c r="C197" s="51"/>
      <c r="D197" s="51"/>
      <c r="E197" s="51"/>
      <c r="F197" s="51"/>
      <c r="G197" s="51" t="str">
        <f>IFERROR(__xludf.DUMMYFUNCTION("""COMPUTED_VALUE"""),"#VALUE!")</f>
        <v>#VALUE!</v>
      </c>
      <c r="H197" s="51" t="str">
        <f>IFERROR(__xludf.DUMMYFUNCTION("""COMPUTED_VALUE"""),"")</f>
        <v/>
      </c>
      <c r="I197" s="51" t="str">
        <f>IFERROR(__xludf.DUMMYFUNCTION("""COMPUTED_VALUE"""),"#VALUE!")</f>
        <v>#VALUE!</v>
      </c>
      <c r="J197" s="51" t="str">
        <f>IFERROR(__xludf.DUMMYFUNCTION("""COMPUTED_VALUE"""),"")</f>
        <v/>
      </c>
      <c r="K197" s="51"/>
      <c r="L197" s="51" t="s">
        <v>257</v>
      </c>
      <c r="M197" s="51"/>
      <c r="N197" s="51"/>
      <c r="O197" s="51"/>
      <c r="P197" s="51"/>
      <c r="Q197" s="51"/>
      <c r="R197" s="51"/>
      <c r="S197" s="51"/>
      <c r="T197" s="51"/>
    </row>
  </sheetData>
  <conditionalFormatting sqref="O2:O155">
    <cfRule type="containsText" dxfId="4" priority="1" operator="containsText" text="YES">
      <formula>NOT(ISERROR(SEARCH(("YES"),(O2))))</formula>
    </cfRule>
  </conditionalFormatting>
  <conditionalFormatting sqref="O2:O155">
    <cfRule type="cellIs" dxfId="5" priority="2" operator="equal">
      <formula>"NO"</formula>
    </cfRule>
  </conditionalFormatting>
  <conditionalFormatting sqref="P2:P155">
    <cfRule type="cellIs" dxfId="4" priority="3" operator="equal">
      <formula>"AVAILABLE"</formula>
    </cfRule>
  </conditionalFormatting>
  <conditionalFormatting sqref="P2:P155">
    <cfRule type="cellIs" dxfId="5" priority="4" operator="equal">
      <formula>"NOT AVAILABLE"</formula>
    </cfRule>
  </conditionalFormatting>
  <conditionalFormatting sqref="Q2:Q155">
    <cfRule type="cellIs" dxfId="4" priority="5" operator="equal">
      <formula>"AVAILABLE"</formula>
    </cfRule>
  </conditionalFormatting>
  <conditionalFormatting sqref="Q2:Q155">
    <cfRule type="cellIs" dxfId="6" priority="6" operator="equal">
      <formula>"UPLOADING"</formula>
    </cfRule>
  </conditionalFormatting>
  <conditionalFormatting sqref="Q2:Q155">
    <cfRule type="cellIs" dxfId="5" priority="7" operator="equal">
      <formula>"NOT AVAILABLE"</formula>
    </cfRule>
  </conditionalFormatting>
  <dataValidations>
    <dataValidation type="list" allowBlank="1" sqref="O2:O155">
      <formula1>"YES,NO"</formula1>
    </dataValidation>
    <dataValidation type="list" allowBlank="1" sqref="P2:P155">
      <formula1>"AVAILABLE,NOT AVAILABLE"</formula1>
    </dataValidation>
    <dataValidation type="list" allowBlank="1" sqref="Q2:Q155">
      <formula1>"AVAILABLE,UPLOADING,NOT AVAILABLE"</formula1>
    </dataValidation>
  </dataValidations>
  <drawing r:id="rId1"/>
  <tableParts count="1">
    <tablePart r:id="rId3"/>
  </tableParts>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4.43" defaultRowHeight="15.75"/>
  <cols>
    <col customWidth="1" min="3" max="3" width="41.0"/>
    <col hidden="1" min="4" max="5" width="14.43"/>
    <col hidden="1" min="9" max="9" width="14.43"/>
  </cols>
  <sheetData>
    <row r="1">
      <c r="A1" s="47" t="s">
        <v>79</v>
      </c>
      <c r="B1" s="47" t="s">
        <v>80</v>
      </c>
      <c r="C1" s="67" t="s">
        <v>81</v>
      </c>
      <c r="D1" s="47" t="s">
        <v>82</v>
      </c>
      <c r="E1" s="47" t="s">
        <v>83</v>
      </c>
      <c r="F1" s="47" t="s">
        <v>84</v>
      </c>
      <c r="G1" s="47" t="s">
        <v>85</v>
      </c>
      <c r="H1" s="47" t="s">
        <v>86</v>
      </c>
      <c r="I1" s="47" t="s">
        <v>87</v>
      </c>
      <c r="J1" s="47" t="s">
        <v>88</v>
      </c>
      <c r="K1" s="47" t="s">
        <v>89</v>
      </c>
      <c r="L1" s="47" t="s">
        <v>90</v>
      </c>
      <c r="M1" s="46" t="s">
        <v>91</v>
      </c>
      <c r="N1" s="46" t="s">
        <v>92</v>
      </c>
      <c r="O1" s="50" t="s">
        <v>93</v>
      </c>
      <c r="P1" s="50" t="s">
        <v>94</v>
      </c>
      <c r="Q1" s="50" t="s">
        <v>95</v>
      </c>
    </row>
    <row r="2">
      <c r="A2" s="91" t="s">
        <v>586</v>
      </c>
      <c r="B2" s="52" t="s">
        <v>587</v>
      </c>
      <c r="C2" s="68" t="s">
        <v>588</v>
      </c>
      <c r="G2" s="57">
        <v>43774.0</v>
      </c>
      <c r="H2" s="55">
        <v>0.3854166666666667</v>
      </c>
      <c r="J2" s="55">
        <v>0.4270833333333333</v>
      </c>
      <c r="K2" s="59">
        <f t="shared" ref="K2:K8" si="1">J2-H2</f>
        <v>0.04166666667</v>
      </c>
      <c r="L2" s="2" t="str">
        <f t="array" ref="L2:L8">TEXT(K2:K8,"hhmmss")</f>
        <v>010000</v>
      </c>
      <c r="M2" s="87" t="s">
        <v>590</v>
      </c>
      <c r="N2" s="62" t="str">
        <f t="shared" ref="N2:N8" si="2">CONCATENATE(M2,"_",F2,"_","000000_000000.mp4")</f>
        <v>P3_5_1__000000_000000.mp4</v>
      </c>
      <c r="O2" s="50"/>
      <c r="P2" s="50"/>
      <c r="Q2" s="63"/>
    </row>
    <row r="3">
      <c r="A3" s="52" t="s">
        <v>591</v>
      </c>
      <c r="B3" s="52" t="s">
        <v>587</v>
      </c>
      <c r="C3" s="68" t="s">
        <v>592</v>
      </c>
      <c r="G3" s="57">
        <v>43774.0</v>
      </c>
      <c r="H3" s="55">
        <v>0.4270833333333333</v>
      </c>
      <c r="J3" s="55">
        <v>0.46875</v>
      </c>
      <c r="K3" s="59">
        <f t="shared" si="1"/>
        <v>0.04166666667</v>
      </c>
      <c r="L3" s="4" t="s">
        <v>236</v>
      </c>
      <c r="M3" s="62" t="s">
        <v>593</v>
      </c>
      <c r="N3" s="62" t="str">
        <f t="shared" si="2"/>
        <v>P3_5_2__000000_000000.mp4</v>
      </c>
      <c r="O3" s="50"/>
      <c r="P3" s="50"/>
      <c r="Q3" s="63"/>
    </row>
    <row r="4">
      <c r="A4" s="52" t="s">
        <v>594</v>
      </c>
      <c r="B4" s="52" t="s">
        <v>587</v>
      </c>
      <c r="C4" s="68" t="s">
        <v>595</v>
      </c>
      <c r="G4" s="57">
        <v>43774.0</v>
      </c>
      <c r="H4" s="55">
        <v>0.46875</v>
      </c>
      <c r="J4" s="55">
        <v>0.5104166666666666</v>
      </c>
      <c r="K4" s="59">
        <f t="shared" si="1"/>
        <v>0.04166666667</v>
      </c>
      <c r="L4" s="4" t="s">
        <v>236</v>
      </c>
      <c r="M4" s="62" t="s">
        <v>596</v>
      </c>
      <c r="N4" s="62" t="str">
        <f t="shared" si="2"/>
        <v>P3_5_3__000000_000000.mp4</v>
      </c>
      <c r="O4" s="50"/>
      <c r="P4" s="50"/>
      <c r="Q4" s="63"/>
    </row>
    <row r="5">
      <c r="A5" s="52" t="s">
        <v>597</v>
      </c>
      <c r="B5" s="52" t="s">
        <v>587</v>
      </c>
      <c r="C5" s="68" t="s">
        <v>598</v>
      </c>
      <c r="G5" s="57">
        <v>43774.0</v>
      </c>
      <c r="H5" s="55">
        <v>0.5104166666666666</v>
      </c>
      <c r="J5" s="55">
        <v>0.5520833333333334</v>
      </c>
      <c r="K5" s="59">
        <f t="shared" si="1"/>
        <v>0.04166666667</v>
      </c>
      <c r="L5" s="4" t="s">
        <v>236</v>
      </c>
      <c r="M5" s="62" t="s">
        <v>600</v>
      </c>
      <c r="N5" s="62" t="str">
        <f t="shared" si="2"/>
        <v>P3_5_4__000000_000000.mp4</v>
      </c>
      <c r="O5" s="50"/>
      <c r="P5" s="50"/>
      <c r="Q5" s="63"/>
    </row>
    <row r="6">
      <c r="A6" s="52" t="s">
        <v>601</v>
      </c>
      <c r="B6" s="52" t="s">
        <v>587</v>
      </c>
      <c r="C6" s="68" t="s">
        <v>602</v>
      </c>
      <c r="G6" s="57">
        <v>43774.0</v>
      </c>
      <c r="H6" s="55">
        <v>0.5833333333333334</v>
      </c>
      <c r="J6" s="55">
        <v>0.625</v>
      </c>
      <c r="K6" s="59">
        <f t="shared" si="1"/>
        <v>0.04166666667</v>
      </c>
      <c r="L6" s="4" t="s">
        <v>236</v>
      </c>
      <c r="M6" s="62" t="s">
        <v>603</v>
      </c>
      <c r="N6" s="62" t="str">
        <f t="shared" si="2"/>
        <v>P3_5_5__000000_000000.mp4</v>
      </c>
      <c r="O6" s="50"/>
      <c r="P6" s="50"/>
      <c r="Q6" s="63"/>
    </row>
    <row r="7">
      <c r="A7" s="52" t="s">
        <v>605</v>
      </c>
      <c r="B7" s="52" t="s">
        <v>587</v>
      </c>
      <c r="C7" s="68" t="s">
        <v>606</v>
      </c>
      <c r="G7" s="57">
        <v>43774.0</v>
      </c>
      <c r="H7" s="55">
        <v>0.625</v>
      </c>
      <c r="J7" s="55">
        <v>0.6666666666666666</v>
      </c>
      <c r="K7" s="59">
        <f t="shared" si="1"/>
        <v>0.04166666667</v>
      </c>
      <c r="L7" s="4" t="s">
        <v>236</v>
      </c>
      <c r="M7" s="62" t="s">
        <v>607</v>
      </c>
      <c r="N7" s="62" t="str">
        <f t="shared" si="2"/>
        <v>P3_5_6__000000_000000.mp4</v>
      </c>
      <c r="O7" s="50"/>
      <c r="P7" s="50"/>
      <c r="Q7" s="63"/>
    </row>
    <row r="8">
      <c r="A8" s="92" t="s">
        <v>609</v>
      </c>
      <c r="B8" s="52" t="s">
        <v>587</v>
      </c>
      <c r="C8" s="68" t="s">
        <v>613</v>
      </c>
      <c r="G8" s="57">
        <v>43774.0</v>
      </c>
      <c r="H8" s="55">
        <v>0.6770833333333334</v>
      </c>
      <c r="J8" s="55">
        <v>0.7291666666666666</v>
      </c>
      <c r="K8" s="59">
        <f t="shared" si="1"/>
        <v>0.05208333333</v>
      </c>
      <c r="L8" s="4" t="s">
        <v>488</v>
      </c>
      <c r="M8" s="62" t="s">
        <v>615</v>
      </c>
      <c r="N8" s="62" t="str">
        <f t="shared" si="2"/>
        <v>P3_5_7__000000_000000.mp4</v>
      </c>
      <c r="O8" s="50"/>
      <c r="P8" s="50"/>
      <c r="Q8" s="63"/>
    </row>
  </sheetData>
  <conditionalFormatting sqref="O2:O8">
    <cfRule type="containsText" dxfId="4" priority="1" operator="containsText" text="YES">
      <formula>NOT(ISERROR(SEARCH(("YES"),(O2))))</formula>
    </cfRule>
  </conditionalFormatting>
  <conditionalFormatting sqref="O2:O8">
    <cfRule type="cellIs" dxfId="5" priority="2" operator="equal">
      <formula>"NO"</formula>
    </cfRule>
  </conditionalFormatting>
  <conditionalFormatting sqref="P2:P8">
    <cfRule type="cellIs" dxfId="4" priority="3" operator="equal">
      <formula>"AVAILABLE"</formula>
    </cfRule>
  </conditionalFormatting>
  <conditionalFormatting sqref="P2:P8">
    <cfRule type="cellIs" dxfId="5" priority="4" operator="equal">
      <formula>"NOT AVAILABLE"</formula>
    </cfRule>
  </conditionalFormatting>
  <conditionalFormatting sqref="Q2:Q8">
    <cfRule type="cellIs" dxfId="4" priority="5" operator="equal">
      <formula>"AVAILABLE"</formula>
    </cfRule>
  </conditionalFormatting>
  <conditionalFormatting sqref="Q2:Q8">
    <cfRule type="cellIs" dxfId="6" priority="6" operator="equal">
      <formula>"UPLOADING"</formula>
    </cfRule>
  </conditionalFormatting>
  <conditionalFormatting sqref="Q2:Q8">
    <cfRule type="cellIs" dxfId="5" priority="7" operator="equal">
      <formula>"NOT AVAILABLE"</formula>
    </cfRule>
  </conditionalFormatting>
  <dataValidations>
    <dataValidation type="list" allowBlank="1" sqref="O2:O8">
      <formula1>"YES,NO"</formula1>
    </dataValidation>
    <dataValidation type="list" allowBlank="1" sqref="P2:P8">
      <formula1>"AVAILABLE,NOT AVAILABLE"</formula1>
    </dataValidation>
    <dataValidation type="list" allowBlank="1" sqref="Q2:Q8">
      <formula1>"AVAILABLE,UPLOADING,NOT AVAILABLE"</formula1>
    </dataValidation>
  </dataValidations>
  <drawing r:id="rId1"/>
  <tableParts count="1">
    <tablePart r:id="rId3"/>
  </tableParts>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91D63"/>
    <outlinePr summaryBelow="0" summaryRight="0"/>
  </sheetPr>
  <sheetViews>
    <sheetView workbookViewId="0"/>
  </sheetViews>
  <sheetFormatPr customHeight="1" defaultColWidth="14.43" defaultRowHeight="15.75"/>
  <cols>
    <col customWidth="1" min="1" max="1" width="42.43"/>
    <col customWidth="1" min="2" max="2" width="22.14"/>
    <col hidden="1" min="4" max="5" width="14.43"/>
    <col customWidth="1" min="6" max="6" width="5.86"/>
    <col hidden="1" min="9" max="9" width="14.43"/>
  </cols>
  <sheetData>
    <row r="1">
      <c r="A1" s="46" t="s">
        <v>79</v>
      </c>
      <c r="B1" s="46" t="s">
        <v>80</v>
      </c>
      <c r="C1" s="46" t="s">
        <v>81</v>
      </c>
      <c r="D1" s="46" t="s">
        <v>82</v>
      </c>
      <c r="E1" s="46" t="s">
        <v>83</v>
      </c>
      <c r="F1" s="46" t="s">
        <v>84</v>
      </c>
      <c r="G1" s="46" t="s">
        <v>85</v>
      </c>
      <c r="H1" s="46" t="s">
        <v>86</v>
      </c>
      <c r="I1" s="46" t="s">
        <v>87</v>
      </c>
      <c r="J1" s="46" t="s">
        <v>88</v>
      </c>
      <c r="K1" s="46" t="s">
        <v>89</v>
      </c>
      <c r="L1" s="46" t="s">
        <v>90</v>
      </c>
      <c r="M1" s="46" t="s">
        <v>91</v>
      </c>
      <c r="N1" s="46" t="s">
        <v>92</v>
      </c>
      <c r="O1" s="50" t="s">
        <v>93</v>
      </c>
      <c r="P1" s="50" t="s">
        <v>94</v>
      </c>
      <c r="Q1" s="50" t="s">
        <v>95</v>
      </c>
      <c r="R1" s="51"/>
      <c r="S1" s="51"/>
      <c r="T1" s="51"/>
    </row>
    <row r="2">
      <c r="A2" s="77" t="s">
        <v>25</v>
      </c>
      <c r="B2" s="62" t="s">
        <v>64</v>
      </c>
      <c r="C2" s="88" t="s">
        <v>589</v>
      </c>
      <c r="D2" s="51"/>
      <c r="E2" s="51"/>
      <c r="F2" s="51"/>
      <c r="G2" s="89">
        <v>43775.0</v>
      </c>
      <c r="H2" s="81">
        <v>0.4270833333333333</v>
      </c>
      <c r="I2" s="54" t="str">
        <f>IFERROR(__xludf.DUMMYFUNCTION("ARRAYFORMULA(SPLIT(E2:E12,"" ""))"),"#VALUE!")</f>
        <v>#VALUE!</v>
      </c>
      <c r="J2" s="81">
        <v>0.46875</v>
      </c>
      <c r="K2" s="60">
        <f t="shared" ref="K2:K12" si="1">J2-H2</f>
        <v>0.04166666667</v>
      </c>
      <c r="L2" s="54" t="str">
        <f t="array" ref="L2:L12">TEXT(K2:K12,"hhmmss")</f>
        <v>010000</v>
      </c>
      <c r="M2" s="62" t="s">
        <v>599</v>
      </c>
      <c r="N2" s="62" t="str">
        <f t="shared" ref="N2:N12" si="2">CONCATENATE(M2,"_",F2,"_","000000_000000.mp4")</f>
        <v>SS13_6_1__000000_000000.mp4</v>
      </c>
      <c r="O2" s="50"/>
      <c r="P2" s="50"/>
      <c r="Q2" s="63"/>
      <c r="R2" s="51"/>
      <c r="S2" s="51"/>
      <c r="T2" s="51"/>
    </row>
    <row r="3">
      <c r="A3" s="77" t="s">
        <v>40</v>
      </c>
      <c r="B3" s="62" t="s">
        <v>64</v>
      </c>
      <c r="C3" s="88" t="s">
        <v>604</v>
      </c>
      <c r="D3" s="51"/>
      <c r="E3" s="51"/>
      <c r="F3" s="51"/>
      <c r="G3" s="83">
        <v>43775.0</v>
      </c>
      <c r="H3" s="81">
        <v>0.46875</v>
      </c>
      <c r="I3" s="51" t="str">
        <f>IFERROR(__xludf.DUMMYFUNCTION("""COMPUTED_VALUE"""),"#VALUE!")</f>
        <v>#VALUE!</v>
      </c>
      <c r="J3" s="81">
        <v>0.5104166666666666</v>
      </c>
      <c r="K3" s="60">
        <f t="shared" si="1"/>
        <v>0.04166666667</v>
      </c>
      <c r="L3" s="51" t="s">
        <v>236</v>
      </c>
      <c r="M3" s="62" t="s">
        <v>608</v>
      </c>
      <c r="N3" s="62" t="str">
        <f t="shared" si="2"/>
        <v>SS13_6_2__000000_000000.mp4</v>
      </c>
      <c r="O3" s="50"/>
      <c r="P3" s="50"/>
      <c r="Q3" s="63"/>
      <c r="R3" s="51"/>
      <c r="S3" s="51"/>
      <c r="T3" s="51"/>
    </row>
    <row r="4">
      <c r="A4" s="77" t="s">
        <v>64</v>
      </c>
      <c r="B4" s="62" t="s">
        <v>64</v>
      </c>
      <c r="C4" s="88" t="s">
        <v>610</v>
      </c>
      <c r="D4" s="51"/>
      <c r="E4" s="51"/>
      <c r="F4" s="51"/>
      <c r="G4" s="83">
        <v>43775.0</v>
      </c>
      <c r="H4" s="81">
        <v>0.5104166666666666</v>
      </c>
      <c r="I4" s="51" t="str">
        <f>IFERROR(__xludf.DUMMYFUNCTION("""COMPUTED_VALUE"""),"#VALUE!")</f>
        <v>#VALUE!</v>
      </c>
      <c r="J4" s="81">
        <v>0.5520833333333334</v>
      </c>
      <c r="K4" s="60">
        <f t="shared" si="1"/>
        <v>0.04166666667</v>
      </c>
      <c r="L4" s="51" t="s">
        <v>236</v>
      </c>
      <c r="M4" s="62" t="s">
        <v>611</v>
      </c>
      <c r="N4" s="62" t="str">
        <f t="shared" si="2"/>
        <v>SS13_6_3__000000_000000.mp4</v>
      </c>
      <c r="O4" s="50"/>
      <c r="P4" s="50"/>
      <c r="Q4" s="63"/>
      <c r="R4" s="51"/>
      <c r="S4" s="51"/>
      <c r="T4" s="51"/>
    </row>
    <row r="5">
      <c r="A5" s="77" t="s">
        <v>491</v>
      </c>
      <c r="B5" s="62" t="s">
        <v>64</v>
      </c>
      <c r="C5" s="88" t="s">
        <v>612</v>
      </c>
      <c r="D5" s="51"/>
      <c r="E5" s="51"/>
      <c r="F5" s="51"/>
      <c r="G5" s="83">
        <v>43775.0</v>
      </c>
      <c r="H5" s="81">
        <v>0.59375</v>
      </c>
      <c r="I5" s="51" t="str">
        <f>IFERROR(__xludf.DUMMYFUNCTION("""COMPUTED_VALUE"""),"#VALUE!")</f>
        <v>#VALUE!</v>
      </c>
      <c r="J5" s="81">
        <v>0.6354166666666666</v>
      </c>
      <c r="K5" s="60">
        <f t="shared" si="1"/>
        <v>0.04166666667</v>
      </c>
      <c r="L5" s="51" t="s">
        <v>236</v>
      </c>
      <c r="M5" s="62" t="s">
        <v>614</v>
      </c>
      <c r="N5" s="62" t="str">
        <f t="shared" si="2"/>
        <v>SS13_6_4__000000_000000.mp4</v>
      </c>
      <c r="O5" s="50"/>
      <c r="P5" s="50"/>
      <c r="Q5" s="63"/>
      <c r="R5" s="51"/>
      <c r="S5" s="51"/>
      <c r="T5" s="51"/>
    </row>
    <row r="6">
      <c r="A6" s="77" t="s">
        <v>492</v>
      </c>
      <c r="B6" s="62" t="s">
        <v>64</v>
      </c>
      <c r="C6" s="88" t="s">
        <v>616</v>
      </c>
      <c r="D6" s="51"/>
      <c r="E6" s="51"/>
      <c r="F6" s="51"/>
      <c r="G6" s="83">
        <v>43775.0</v>
      </c>
      <c r="H6" s="81">
        <v>0.6354166666666666</v>
      </c>
      <c r="I6" s="51" t="str">
        <f>IFERROR(__xludf.DUMMYFUNCTION("""COMPUTED_VALUE"""),"#VALUE!")</f>
        <v>#VALUE!</v>
      </c>
      <c r="J6" s="81">
        <v>0.6770833333333334</v>
      </c>
      <c r="K6" s="60">
        <f t="shared" si="1"/>
        <v>0.04166666667</v>
      </c>
      <c r="L6" s="51" t="s">
        <v>236</v>
      </c>
      <c r="M6" s="62" t="s">
        <v>617</v>
      </c>
      <c r="N6" s="62" t="str">
        <f t="shared" si="2"/>
        <v>SS13_6_5__000000_000000.mp4</v>
      </c>
      <c r="O6" s="50"/>
      <c r="P6" s="50"/>
      <c r="Q6" s="63"/>
      <c r="R6" s="51"/>
      <c r="S6" s="51"/>
      <c r="T6" s="51"/>
    </row>
    <row r="7">
      <c r="A7" s="77" t="s">
        <v>493</v>
      </c>
      <c r="B7" s="62" t="s">
        <v>64</v>
      </c>
      <c r="C7" s="88" t="s">
        <v>618</v>
      </c>
      <c r="D7" s="51"/>
      <c r="E7" s="51"/>
      <c r="F7" s="51"/>
      <c r="G7" s="83">
        <v>43776.0</v>
      </c>
      <c r="H7" s="81">
        <v>0.4270833333333333</v>
      </c>
      <c r="I7" s="51" t="str">
        <f>IFERROR(__xludf.DUMMYFUNCTION("""COMPUTED_VALUE"""),"#VALUE!")</f>
        <v>#VALUE!</v>
      </c>
      <c r="J7" s="81">
        <v>0.46875</v>
      </c>
      <c r="K7" s="60">
        <f t="shared" si="1"/>
        <v>0.04166666667</v>
      </c>
      <c r="L7" s="51" t="s">
        <v>236</v>
      </c>
      <c r="M7" s="62" t="s">
        <v>619</v>
      </c>
      <c r="N7" s="62" t="str">
        <f t="shared" si="2"/>
        <v>SS13_7_1__000000_000000.mp4</v>
      </c>
      <c r="O7" s="50"/>
      <c r="P7" s="50"/>
      <c r="Q7" s="63"/>
      <c r="R7" s="51"/>
      <c r="S7" s="51"/>
      <c r="T7" s="51"/>
    </row>
    <row r="8">
      <c r="A8" s="77" t="s">
        <v>494</v>
      </c>
      <c r="B8" s="62" t="s">
        <v>64</v>
      </c>
      <c r="C8" s="88" t="s">
        <v>620</v>
      </c>
      <c r="D8" s="51"/>
      <c r="E8" s="51"/>
      <c r="F8" s="51"/>
      <c r="G8" s="83">
        <v>43776.0</v>
      </c>
      <c r="H8" s="81">
        <v>0.46875</v>
      </c>
      <c r="I8" s="51" t="str">
        <f>IFERROR(__xludf.DUMMYFUNCTION("""COMPUTED_VALUE"""),"#VALUE!")</f>
        <v>#VALUE!</v>
      </c>
      <c r="J8" s="81">
        <v>0.5104166666666666</v>
      </c>
      <c r="K8" s="60">
        <f t="shared" si="1"/>
        <v>0.04166666667</v>
      </c>
      <c r="L8" s="51" t="s">
        <v>236</v>
      </c>
      <c r="M8" s="62" t="s">
        <v>621</v>
      </c>
      <c r="N8" s="62" t="str">
        <f t="shared" si="2"/>
        <v>SS13_7_2__000000_000000.mp4</v>
      </c>
      <c r="O8" s="50"/>
      <c r="P8" s="50"/>
      <c r="Q8" s="63"/>
      <c r="R8" s="51"/>
      <c r="S8" s="51"/>
      <c r="T8" s="51"/>
    </row>
    <row r="9">
      <c r="A9" s="77" t="s">
        <v>495</v>
      </c>
      <c r="B9" s="62" t="s">
        <v>64</v>
      </c>
      <c r="C9" s="88" t="s">
        <v>622</v>
      </c>
      <c r="D9" s="51"/>
      <c r="E9" s="51"/>
      <c r="F9" s="51"/>
      <c r="G9" s="83">
        <v>43776.0</v>
      </c>
      <c r="H9" s="81">
        <v>0.5104166666666666</v>
      </c>
      <c r="I9" s="51" t="str">
        <f>IFERROR(__xludf.DUMMYFUNCTION("""COMPUTED_VALUE"""),"#VALUE!")</f>
        <v>#VALUE!</v>
      </c>
      <c r="J9" s="81">
        <v>0.5520833333333334</v>
      </c>
      <c r="K9" s="60">
        <f t="shared" si="1"/>
        <v>0.04166666667</v>
      </c>
      <c r="L9" s="51" t="s">
        <v>236</v>
      </c>
      <c r="M9" s="62" t="s">
        <v>623</v>
      </c>
      <c r="N9" s="62" t="str">
        <f t="shared" si="2"/>
        <v>SS13_7_3__000000_000000.mp4</v>
      </c>
      <c r="O9" s="50"/>
      <c r="P9" s="50"/>
      <c r="Q9" s="63"/>
      <c r="R9" s="51"/>
      <c r="S9" s="51"/>
      <c r="T9" s="51"/>
    </row>
    <row r="10">
      <c r="A10" s="77" t="s">
        <v>496</v>
      </c>
      <c r="B10" s="62" t="s">
        <v>64</v>
      </c>
      <c r="C10" s="88" t="s">
        <v>624</v>
      </c>
      <c r="D10" s="51"/>
      <c r="E10" s="51"/>
      <c r="F10" s="51"/>
      <c r="G10" s="83">
        <v>43776.0</v>
      </c>
      <c r="H10" s="81">
        <v>0.59375</v>
      </c>
      <c r="I10" s="51" t="str">
        <f>IFERROR(__xludf.DUMMYFUNCTION("""COMPUTED_VALUE"""),"#VALUE!")</f>
        <v>#VALUE!</v>
      </c>
      <c r="J10" s="81">
        <v>0.6354166666666666</v>
      </c>
      <c r="K10" s="60">
        <f t="shared" si="1"/>
        <v>0.04166666667</v>
      </c>
      <c r="L10" s="51" t="s">
        <v>236</v>
      </c>
      <c r="M10" s="62" t="s">
        <v>625</v>
      </c>
      <c r="N10" s="62" t="str">
        <f t="shared" si="2"/>
        <v>SS13_7_4__000000_000000.mp4</v>
      </c>
      <c r="O10" s="50"/>
      <c r="P10" s="50"/>
      <c r="Q10" s="63"/>
      <c r="R10" s="51"/>
      <c r="S10" s="51"/>
      <c r="T10" s="51"/>
    </row>
    <row r="11">
      <c r="A11" s="77" t="s">
        <v>497</v>
      </c>
      <c r="B11" s="62" t="s">
        <v>64</v>
      </c>
      <c r="C11" s="88" t="s">
        <v>626</v>
      </c>
      <c r="D11" s="51"/>
      <c r="E11" s="51"/>
      <c r="F11" s="51"/>
      <c r="G11" s="83">
        <v>43776.0</v>
      </c>
      <c r="H11" s="81">
        <v>0.6354166666666666</v>
      </c>
      <c r="I11" s="51" t="str">
        <f>IFERROR(__xludf.DUMMYFUNCTION("""COMPUTED_VALUE"""),"#VALUE!")</f>
        <v>#VALUE!</v>
      </c>
      <c r="J11" s="81">
        <v>0.6770833333333334</v>
      </c>
      <c r="K11" s="60">
        <f t="shared" si="1"/>
        <v>0.04166666667</v>
      </c>
      <c r="L11" s="51" t="s">
        <v>236</v>
      </c>
      <c r="M11" s="62" t="s">
        <v>627</v>
      </c>
      <c r="N11" s="62" t="str">
        <f t="shared" si="2"/>
        <v>SS13_7_5__000000_000000.mp4</v>
      </c>
      <c r="O11" s="50"/>
      <c r="P11" s="50"/>
      <c r="Q11" s="63"/>
      <c r="R11" s="51"/>
      <c r="S11" s="51"/>
      <c r="T11" s="51"/>
    </row>
    <row r="12">
      <c r="A12" s="77" t="s">
        <v>628</v>
      </c>
      <c r="B12" s="62" t="s">
        <v>64</v>
      </c>
      <c r="C12" s="88" t="s">
        <v>629</v>
      </c>
      <c r="D12" s="51"/>
      <c r="E12" s="51"/>
      <c r="F12" s="51"/>
      <c r="G12" s="83">
        <v>43776.0</v>
      </c>
      <c r="H12" s="81">
        <v>0.6770833333333334</v>
      </c>
      <c r="I12" s="51" t="str">
        <f>IFERROR(__xludf.DUMMYFUNCTION("""COMPUTED_VALUE"""),"#VALUE!")</f>
        <v>#VALUE!</v>
      </c>
      <c r="J12" s="81">
        <v>0.71875</v>
      </c>
      <c r="K12" s="60">
        <f t="shared" si="1"/>
        <v>0.04166666667</v>
      </c>
      <c r="L12" s="51" t="s">
        <v>236</v>
      </c>
      <c r="M12" s="62" t="s">
        <v>630</v>
      </c>
      <c r="N12" s="62" t="str">
        <f t="shared" si="2"/>
        <v>SS13_7_6__000000_000000.mp4</v>
      </c>
      <c r="O12" s="50"/>
      <c r="P12" s="50"/>
      <c r="Q12" s="63"/>
      <c r="R12" s="51"/>
      <c r="S12" s="51"/>
      <c r="T12" s="51"/>
    </row>
  </sheetData>
  <conditionalFormatting sqref="O2:O12">
    <cfRule type="containsText" dxfId="4" priority="1" operator="containsText" text="YES">
      <formula>NOT(ISERROR(SEARCH(("YES"),(O2))))</formula>
    </cfRule>
  </conditionalFormatting>
  <conditionalFormatting sqref="O2:O12">
    <cfRule type="cellIs" dxfId="5" priority="2" operator="equal">
      <formula>"NO"</formula>
    </cfRule>
  </conditionalFormatting>
  <conditionalFormatting sqref="P2:P12">
    <cfRule type="cellIs" dxfId="4" priority="3" operator="equal">
      <formula>"AVAILABLE"</formula>
    </cfRule>
  </conditionalFormatting>
  <conditionalFormatting sqref="P2:P12">
    <cfRule type="cellIs" dxfId="5" priority="4" operator="equal">
      <formula>"NOT AVAILABLE"</formula>
    </cfRule>
  </conditionalFormatting>
  <conditionalFormatting sqref="Q2:Q12">
    <cfRule type="cellIs" dxfId="4" priority="5" operator="equal">
      <formula>"AVAILABLE"</formula>
    </cfRule>
  </conditionalFormatting>
  <conditionalFormatting sqref="Q2:Q12">
    <cfRule type="cellIs" dxfId="6" priority="6" operator="equal">
      <formula>"UPLOADING"</formula>
    </cfRule>
  </conditionalFormatting>
  <conditionalFormatting sqref="Q2:Q12">
    <cfRule type="cellIs" dxfId="5" priority="7" operator="equal">
      <formula>"NOT AVAILABLE"</formula>
    </cfRule>
  </conditionalFormatting>
  <dataValidations>
    <dataValidation type="list" allowBlank="1" sqref="O2:O12">
      <formula1>"YES,NO"</formula1>
    </dataValidation>
    <dataValidation type="list" allowBlank="1" sqref="P2:P12">
      <formula1>"AVAILABLE,NOT AVAILABLE"</formula1>
    </dataValidation>
    <dataValidation type="list" allowBlank="1" sqref="Q2:Q12">
      <formula1>"AVAILABLE,UPLOADING,NOT AVAILABLE"</formula1>
    </dataValidation>
  </dataValidations>
  <drawing r:id="rId1"/>
  <tableParts count="1">
    <tablePart r:id="rId3"/>
  </tableParts>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2.43"/>
    <col customWidth="1" min="3" max="3" width="27.14"/>
    <col hidden="1" min="4" max="5" width="14.43"/>
    <col customWidth="1" min="6" max="6" width="35.71"/>
    <col hidden="1" min="9" max="9" width="14.43"/>
  </cols>
  <sheetData>
    <row r="1">
      <c r="A1" s="46" t="s">
        <v>79</v>
      </c>
      <c r="B1" s="46" t="s">
        <v>80</v>
      </c>
      <c r="C1" s="48" t="s">
        <v>81</v>
      </c>
      <c r="D1" s="46" t="s">
        <v>82</v>
      </c>
      <c r="E1" s="46" t="s">
        <v>83</v>
      </c>
      <c r="F1" s="46" t="s">
        <v>84</v>
      </c>
      <c r="G1" s="46" t="s">
        <v>85</v>
      </c>
      <c r="H1" s="46" t="s">
        <v>86</v>
      </c>
      <c r="I1" s="46" t="s">
        <v>87</v>
      </c>
      <c r="J1" s="46" t="s">
        <v>88</v>
      </c>
      <c r="K1" s="46" t="s">
        <v>89</v>
      </c>
      <c r="L1" s="46" t="s">
        <v>90</v>
      </c>
      <c r="M1" s="46" t="s">
        <v>91</v>
      </c>
      <c r="N1" s="46" t="s">
        <v>92</v>
      </c>
      <c r="O1" s="50" t="s">
        <v>93</v>
      </c>
      <c r="P1" s="50" t="s">
        <v>94</v>
      </c>
      <c r="Q1" s="50" t="s">
        <v>95</v>
      </c>
      <c r="R1" s="51"/>
      <c r="S1" s="51"/>
      <c r="T1" s="51"/>
    </row>
    <row r="2">
      <c r="A2" s="54" t="str">
        <f>IFERROR(__xludf.DUMMYFUNCTION("QUERY(Master!A:H,""SELECT A,C,D,F,G,H where C = 'Auto/Tech &amp; TalkRobot' ORDER BY F"")"),"How our first million connected vehicles and machines support our customers’ business")</f>
        <v>How our first million connected vehicles and machines support our customers’ business</v>
      </c>
      <c r="B2" s="51" t="str">
        <f>IFERROR(__xludf.DUMMYFUNCTION("""COMPUTED_VALUE"""),"Auto/Tech &amp; TalkRobot")</f>
        <v>Auto/Tech &amp; TalkRobot</v>
      </c>
      <c r="C2" s="56" t="str">
        <f>IFERROR(__xludf.DUMMYFUNCTION("""COMPUTED_VALUE"""),"Anna Westerberg")</f>
        <v>Anna Westerberg</v>
      </c>
      <c r="D2" s="51" t="str">
        <f>IFERROR(__xludf.DUMMYFUNCTION("""COMPUTED_VALUE"""),"2019/11/05 10:45:00")</f>
        <v>2019/11/05 10:45:00</v>
      </c>
      <c r="E2" s="51" t="str">
        <f>IFERROR(__xludf.DUMMYFUNCTION("""COMPUTED_VALUE"""),"2019/11/05 11:00:00")</f>
        <v>2019/11/05 11:00:00</v>
      </c>
      <c r="F2" s="51" t="str">
        <f>IFERROR(__xludf.DUMMYFUNCTION("""COMPUTED_VALUE"""),"aa45042f-9e31-402a-954f-b94a0f7d0aa2")</f>
        <v>aa45042f-9e31-402a-954f-b94a0f7d0aa2</v>
      </c>
      <c r="G2" s="61">
        <f>IFERROR(__xludf.DUMMYFUNCTION("ARRAYFORMULA(SPLIT(D2:D565,"" ""))"),43774.0)</f>
        <v>43774</v>
      </c>
      <c r="H2" s="60">
        <f>IFERROR(__xludf.DUMMYFUNCTION("""COMPUTED_VALUE"""),0.4479166666666667)</f>
        <v>0.4479166667</v>
      </c>
      <c r="I2" s="61">
        <f>IFERROR(__xludf.DUMMYFUNCTION("ARRAYFORMULA(SPLIT(E2:E565,"" ""))"),43774.0)</f>
        <v>43774</v>
      </c>
      <c r="J2" s="60">
        <f>IFERROR(__xludf.DUMMYFUNCTION("""COMPUTED_VALUE"""),0.4583333333333333)</f>
        <v>0.4583333333</v>
      </c>
      <c r="K2" s="60">
        <f t="shared" ref="K2:K64" si="1">J2-H2</f>
        <v>0.01041666667</v>
      </c>
      <c r="L2" s="54" t="str">
        <f t="array" ref="L2:L565">TEXT(K2:K565,"hhmmss")</f>
        <v>001500</v>
      </c>
      <c r="M2" s="62" t="s">
        <v>631</v>
      </c>
      <c r="N2" s="62" t="str">
        <f t="shared" ref="N2:N48" si="2">CONCATENATE(M2,"_",F2,"_","000000_000000.mp4")</f>
        <v>AT_5_1_aa45042f-9e31-402a-954f-b94a0f7d0aa2_000000_000000.mp4</v>
      </c>
      <c r="O2" s="50"/>
      <c r="P2" s="50"/>
      <c r="Q2" s="63"/>
      <c r="R2" s="51"/>
      <c r="S2" s="51"/>
      <c r="T2" s="51"/>
    </row>
    <row r="3">
      <c r="A3" s="51" t="str">
        <f>IFERROR(__xludf.DUMMYFUNCTION("""COMPUTED_VALUE"""),"Looking at mobility's new viability")</f>
        <v>Looking at mobility's new viability</v>
      </c>
      <c r="B3" s="51" t="str">
        <f>IFERROR(__xludf.DUMMYFUNCTION("""COMPUTED_VALUE"""),"Auto/Tech &amp; TalkRobot")</f>
        <v>Auto/Tech &amp; TalkRobot</v>
      </c>
      <c r="C3" s="56" t="str">
        <f>IFERROR(__xludf.DUMMYFUNCTION("""COMPUTED_VALUE"""),"Yan Li and Leisha Santorelli")</f>
        <v>Yan Li and Leisha Santorelli</v>
      </c>
      <c r="D3" s="51" t="str">
        <f>IFERROR(__xludf.DUMMYFUNCTION("""COMPUTED_VALUE"""),"2019/11/05 11:00:00")</f>
        <v>2019/11/05 11:00:00</v>
      </c>
      <c r="E3" s="51" t="str">
        <f>IFERROR(__xludf.DUMMYFUNCTION("""COMPUTED_VALUE"""),"2019/11/05 11:20:00")</f>
        <v>2019/11/05 11:20:00</v>
      </c>
      <c r="F3" s="51" t="str">
        <f>IFERROR(__xludf.DUMMYFUNCTION("""COMPUTED_VALUE"""),"be71a662-b8b7-460f-8bd2-abd1415f3e5c")</f>
        <v>be71a662-b8b7-460f-8bd2-abd1415f3e5c</v>
      </c>
      <c r="G3" s="58">
        <f>IFERROR(__xludf.DUMMYFUNCTION("""COMPUTED_VALUE"""),43774.0)</f>
        <v>43774</v>
      </c>
      <c r="H3" s="60">
        <f>IFERROR(__xludf.DUMMYFUNCTION("""COMPUTED_VALUE"""),0.4583333333333333)</f>
        <v>0.4583333333</v>
      </c>
      <c r="I3" s="58">
        <f>IFERROR(__xludf.DUMMYFUNCTION("""COMPUTED_VALUE"""),43774.0)</f>
        <v>43774</v>
      </c>
      <c r="J3" s="60">
        <f>IFERROR(__xludf.DUMMYFUNCTION("""COMPUTED_VALUE"""),0.4722222222222222)</f>
        <v>0.4722222222</v>
      </c>
      <c r="K3" s="60">
        <f t="shared" si="1"/>
        <v>0.01388888889</v>
      </c>
      <c r="L3" s="51" t="s">
        <v>111</v>
      </c>
      <c r="M3" s="62" t="s">
        <v>632</v>
      </c>
      <c r="N3" s="62" t="str">
        <f t="shared" si="2"/>
        <v>AT_5_2_be71a662-b8b7-460f-8bd2-abd1415f3e5c_000000_000000.mp4</v>
      </c>
      <c r="O3" s="50"/>
      <c r="P3" s="50"/>
      <c r="Q3" s="63"/>
      <c r="R3" s="51"/>
      <c r="S3" s="51"/>
      <c r="T3" s="51"/>
    </row>
    <row r="4">
      <c r="A4" s="51" t="str">
        <f>IFERROR(__xludf.DUMMYFUNCTION("""COMPUTED_VALUE"""),"Let's play: gaming in the auto industry")</f>
        <v>Let's play: gaming in the auto industry</v>
      </c>
      <c r="B4" s="51" t="str">
        <f>IFERROR(__xludf.DUMMYFUNCTION("""COMPUTED_VALUE"""),"Auto/Tech &amp; TalkRobot")</f>
        <v>Auto/Tech &amp; TalkRobot</v>
      </c>
      <c r="C4" s="56" t="str">
        <f>IFERROR(__xludf.DUMMYFUNCTION("""COMPUTED_VALUE"""),"Tim Smith")</f>
        <v>Tim Smith</v>
      </c>
      <c r="D4" s="51" t="str">
        <f>IFERROR(__xludf.DUMMYFUNCTION("""COMPUTED_VALUE"""),"2019/11/05 11:20:00")</f>
        <v>2019/11/05 11:20:00</v>
      </c>
      <c r="E4" s="51" t="str">
        <f>IFERROR(__xludf.DUMMYFUNCTION("""COMPUTED_VALUE"""),"2019/11/05 11:40:00")</f>
        <v>2019/11/05 11:40:00</v>
      </c>
      <c r="F4" s="51" t="str">
        <f>IFERROR(__xludf.DUMMYFUNCTION("""COMPUTED_VALUE"""),"7e3f0b84-3f7c-4706-bad3-dc5adf4c32b7")</f>
        <v>7e3f0b84-3f7c-4706-bad3-dc5adf4c32b7</v>
      </c>
      <c r="G4" s="58">
        <f>IFERROR(__xludf.DUMMYFUNCTION("""COMPUTED_VALUE"""),43774.0)</f>
        <v>43774</v>
      </c>
      <c r="H4" s="60">
        <f>IFERROR(__xludf.DUMMYFUNCTION("""COMPUTED_VALUE"""),0.4722222222222222)</f>
        <v>0.4722222222</v>
      </c>
      <c r="I4" s="58">
        <f>IFERROR(__xludf.DUMMYFUNCTION("""COMPUTED_VALUE"""),43774.0)</f>
        <v>43774</v>
      </c>
      <c r="J4" s="60">
        <f>IFERROR(__xludf.DUMMYFUNCTION("""COMPUTED_VALUE"""),0.4861111111111111)</f>
        <v>0.4861111111</v>
      </c>
      <c r="K4" s="60">
        <f t="shared" si="1"/>
        <v>0.01388888889</v>
      </c>
      <c r="L4" s="51" t="s">
        <v>111</v>
      </c>
      <c r="M4" s="62" t="s">
        <v>633</v>
      </c>
      <c r="N4" s="62" t="str">
        <f t="shared" si="2"/>
        <v>AT_5_3_7e3f0b84-3f7c-4706-bad3-dc5adf4c32b7_000000_000000.mp4</v>
      </c>
      <c r="O4" s="50"/>
      <c r="P4" s="50"/>
      <c r="Q4" s="63"/>
      <c r="R4" s="51"/>
      <c r="S4" s="51"/>
      <c r="T4" s="51"/>
    </row>
    <row r="5">
      <c r="A5" s="51" t="str">
        <f>IFERROR(__xludf.DUMMYFUNCTION("""COMPUTED_VALUE"""),"How we're going to travel in 2025?")</f>
        <v>How we're going to travel in 2025?</v>
      </c>
      <c r="B5" s="51" t="str">
        <f>IFERROR(__xludf.DUMMYFUNCTION("""COMPUTED_VALUE"""),"Auto/Tech &amp; TalkRobot")</f>
        <v>Auto/Tech &amp; TalkRobot</v>
      </c>
      <c r="C5" s="56" t="str">
        <f>IFERROR(__xludf.DUMMYFUNCTION("""COMPUTED_VALUE"""),"Jan Rezab, Meagen Eisenberg, Philipp Mintchin and Emil Protalinski")</f>
        <v>Jan Rezab, Meagen Eisenberg, Philipp Mintchin and Emil Protalinski</v>
      </c>
      <c r="D5" s="51" t="str">
        <f>IFERROR(__xludf.DUMMYFUNCTION("""COMPUTED_VALUE"""),"2019/11/05 11:40:00")</f>
        <v>2019/11/05 11:40:00</v>
      </c>
      <c r="E5" s="51" t="str">
        <f>IFERROR(__xludf.DUMMYFUNCTION("""COMPUTED_VALUE"""),"2019/11/05 12:00:00")</f>
        <v>2019/11/05 12:00:00</v>
      </c>
      <c r="F5" s="51" t="str">
        <f>IFERROR(__xludf.DUMMYFUNCTION("""COMPUTED_VALUE"""),"33bad70e-de0a-49a2-8e31-0d94525bb5b5")</f>
        <v>33bad70e-de0a-49a2-8e31-0d94525bb5b5</v>
      </c>
      <c r="G5" s="58">
        <f>IFERROR(__xludf.DUMMYFUNCTION("""COMPUTED_VALUE"""),43774.0)</f>
        <v>43774</v>
      </c>
      <c r="H5" s="60">
        <f>IFERROR(__xludf.DUMMYFUNCTION("""COMPUTED_VALUE"""),0.4861111111111111)</f>
        <v>0.4861111111</v>
      </c>
      <c r="I5" s="58">
        <f>IFERROR(__xludf.DUMMYFUNCTION("""COMPUTED_VALUE"""),43774.0)</f>
        <v>43774</v>
      </c>
      <c r="J5" s="60">
        <f>IFERROR(__xludf.DUMMYFUNCTION("""COMPUTED_VALUE"""),0.5)</f>
        <v>0.5</v>
      </c>
      <c r="K5" s="60">
        <f t="shared" si="1"/>
        <v>0.01388888889</v>
      </c>
      <c r="L5" s="51" t="s">
        <v>111</v>
      </c>
      <c r="M5" s="62" t="s">
        <v>635</v>
      </c>
      <c r="N5" s="62" t="str">
        <f t="shared" si="2"/>
        <v>AT_5_4_33bad70e-de0a-49a2-8e31-0d94525bb5b5_000000_000000.mp4</v>
      </c>
      <c r="O5" s="50"/>
      <c r="P5" s="50"/>
      <c r="Q5" s="63"/>
      <c r="R5" s="51"/>
      <c r="S5" s="51"/>
      <c r="T5" s="51"/>
    </row>
    <row r="6">
      <c r="A6" s="51" t="str">
        <f>IFERROR(__xludf.DUMMYFUNCTION("""COMPUTED_VALUE"""),"AI and decision intelligence")</f>
        <v>AI and decision intelligence</v>
      </c>
      <c r="B6" s="51" t="str">
        <f>IFERROR(__xludf.DUMMYFUNCTION("""COMPUTED_VALUE"""),"Auto/Tech &amp; TalkRobot")</f>
        <v>Auto/Tech &amp; TalkRobot</v>
      </c>
      <c r="C6" s="56" t="str">
        <f>IFERROR(__xludf.DUMMYFUNCTION("""COMPUTED_VALUE"""),"Cassie Kozyrkov")</f>
        <v>Cassie Kozyrkov</v>
      </c>
      <c r="D6" s="51" t="str">
        <f>IFERROR(__xludf.DUMMYFUNCTION("""COMPUTED_VALUE"""),"2019/11/05 12:00:00")</f>
        <v>2019/11/05 12:00:00</v>
      </c>
      <c r="E6" s="51" t="str">
        <f>IFERROR(__xludf.DUMMYFUNCTION("""COMPUTED_VALUE"""),"2019/11/05 12:20:00")</f>
        <v>2019/11/05 12:20:00</v>
      </c>
      <c r="F6" s="51" t="str">
        <f>IFERROR(__xludf.DUMMYFUNCTION("""COMPUTED_VALUE"""),"2c378424-194e-4a32-b56e-a1e8f521fe0f")</f>
        <v>2c378424-194e-4a32-b56e-a1e8f521fe0f</v>
      </c>
      <c r="G6" s="58">
        <f>IFERROR(__xludf.DUMMYFUNCTION("""COMPUTED_VALUE"""),43774.0)</f>
        <v>43774</v>
      </c>
      <c r="H6" s="60">
        <f>IFERROR(__xludf.DUMMYFUNCTION("""COMPUTED_VALUE"""),0.5)</f>
        <v>0.5</v>
      </c>
      <c r="I6" s="58">
        <f>IFERROR(__xludf.DUMMYFUNCTION("""COMPUTED_VALUE"""),43774.0)</f>
        <v>43774</v>
      </c>
      <c r="J6" s="60">
        <f>IFERROR(__xludf.DUMMYFUNCTION("""COMPUTED_VALUE"""),0.5138888888888888)</f>
        <v>0.5138888889</v>
      </c>
      <c r="K6" s="60">
        <f t="shared" si="1"/>
        <v>0.01388888889</v>
      </c>
      <c r="L6" s="51" t="s">
        <v>111</v>
      </c>
      <c r="M6" s="62" t="s">
        <v>637</v>
      </c>
      <c r="N6" s="62" t="str">
        <f t="shared" si="2"/>
        <v>AT_5_5_2c378424-194e-4a32-b56e-a1e8f521fe0f_000000_000000.mp4</v>
      </c>
      <c r="O6" s="50"/>
      <c r="P6" s="50"/>
      <c r="Q6" s="63"/>
      <c r="R6" s="51"/>
      <c r="S6" s="51"/>
      <c r="T6" s="51"/>
    </row>
    <row r="7">
      <c r="A7" s="51" t="str">
        <f>IFERROR(__xludf.DUMMYFUNCTION("""COMPUTED_VALUE"""),"Re-imagining the global transport ecosystem")</f>
        <v>Re-imagining the global transport ecosystem</v>
      </c>
      <c r="B7" s="51" t="str">
        <f>IFERROR(__xludf.DUMMYFUNCTION("""COMPUTED_VALUE"""),"Auto/Tech &amp; TalkRobot")</f>
        <v>Auto/Tech &amp; TalkRobot</v>
      </c>
      <c r="C7" s="56" t="str">
        <f>IFERROR(__xludf.DUMMYFUNCTION("""COMPUTED_VALUE"""),"Markus Villig, Carlos Moyses and Tim Stevens")</f>
        <v>Markus Villig, Carlos Moyses and Tim Stevens</v>
      </c>
      <c r="D7" s="51" t="str">
        <f>IFERROR(__xludf.DUMMYFUNCTION("""COMPUTED_VALUE"""),"2019/11/05 12:20:00")</f>
        <v>2019/11/05 12:20:00</v>
      </c>
      <c r="E7" s="51" t="str">
        <f>IFERROR(__xludf.DUMMYFUNCTION("""COMPUTED_VALUE"""),"2019/11/05 12:40:00")</f>
        <v>2019/11/05 12:40:00</v>
      </c>
      <c r="F7" s="51" t="str">
        <f>IFERROR(__xludf.DUMMYFUNCTION("""COMPUTED_VALUE"""),"90cdbb60-825d-4005-87ff-0852810ba234")</f>
        <v>90cdbb60-825d-4005-87ff-0852810ba234</v>
      </c>
      <c r="G7" s="58">
        <f>IFERROR(__xludf.DUMMYFUNCTION("""COMPUTED_VALUE"""),43774.0)</f>
        <v>43774</v>
      </c>
      <c r="H7" s="60">
        <f>IFERROR(__xludf.DUMMYFUNCTION("""COMPUTED_VALUE"""),0.5138888888888888)</f>
        <v>0.5138888889</v>
      </c>
      <c r="I7" s="58">
        <f>IFERROR(__xludf.DUMMYFUNCTION("""COMPUTED_VALUE"""),43774.0)</f>
        <v>43774</v>
      </c>
      <c r="J7" s="60">
        <f>IFERROR(__xludf.DUMMYFUNCTION("""COMPUTED_VALUE"""),0.5277777777777778)</f>
        <v>0.5277777778</v>
      </c>
      <c r="K7" s="60">
        <f t="shared" si="1"/>
        <v>0.01388888889</v>
      </c>
      <c r="L7" s="51" t="s">
        <v>111</v>
      </c>
      <c r="M7" s="62" t="s">
        <v>639</v>
      </c>
      <c r="N7" s="62" t="str">
        <f t="shared" si="2"/>
        <v>AT_5_6_90cdbb60-825d-4005-87ff-0852810ba234_000000_000000.mp4</v>
      </c>
      <c r="O7" s="50"/>
      <c r="P7" s="50"/>
      <c r="Q7" s="63"/>
      <c r="R7" s="51"/>
      <c r="S7" s="51"/>
      <c r="T7" s="51"/>
    </row>
    <row r="8">
      <c r="A8" s="51" t="str">
        <f>IFERROR(__xludf.DUMMYFUNCTION("""COMPUTED_VALUE"""),"Is AI really that intelligent?")</f>
        <v>Is AI really that intelligent?</v>
      </c>
      <c r="B8" s="51" t="str">
        <f>IFERROR(__xludf.DUMMYFUNCTION("""COMPUTED_VALUE"""),"Auto/Tech &amp; TalkRobot")</f>
        <v>Auto/Tech &amp; TalkRobot</v>
      </c>
      <c r="C8" s="56" t="str">
        <f>IFERROR(__xludf.DUMMYFUNCTION("""COMPUTED_VALUE"""),"Frida Polli and Javier Zamora")</f>
        <v>Frida Polli and Javier Zamora</v>
      </c>
      <c r="D8" s="51" t="str">
        <f>IFERROR(__xludf.DUMMYFUNCTION("""COMPUTED_VALUE"""),"2019/11/05 12:40:00")</f>
        <v>2019/11/05 12:40:00</v>
      </c>
      <c r="E8" s="51" t="str">
        <f>IFERROR(__xludf.DUMMYFUNCTION("""COMPUTED_VALUE"""),"2019/11/05 13:00:00")</f>
        <v>2019/11/05 13:00:00</v>
      </c>
      <c r="F8" s="51" t="str">
        <f>IFERROR(__xludf.DUMMYFUNCTION("""COMPUTED_VALUE"""),"6b69d4cb-163a-4f72-a06a-733873508a7e")</f>
        <v>6b69d4cb-163a-4f72-a06a-733873508a7e</v>
      </c>
      <c r="G8" s="58">
        <f>IFERROR(__xludf.DUMMYFUNCTION("""COMPUTED_VALUE"""),43774.0)</f>
        <v>43774</v>
      </c>
      <c r="H8" s="60">
        <f>IFERROR(__xludf.DUMMYFUNCTION("""COMPUTED_VALUE"""),0.5277777777777778)</f>
        <v>0.5277777778</v>
      </c>
      <c r="I8" s="58">
        <f>IFERROR(__xludf.DUMMYFUNCTION("""COMPUTED_VALUE"""),43774.0)</f>
        <v>43774</v>
      </c>
      <c r="J8" s="60">
        <f>IFERROR(__xludf.DUMMYFUNCTION("""COMPUTED_VALUE"""),0.5416666666666666)</f>
        <v>0.5416666667</v>
      </c>
      <c r="K8" s="60">
        <f t="shared" si="1"/>
        <v>0.01388888889</v>
      </c>
      <c r="L8" s="51" t="s">
        <v>111</v>
      </c>
      <c r="M8" s="62" t="s">
        <v>640</v>
      </c>
      <c r="N8" s="62" t="str">
        <f t="shared" si="2"/>
        <v>AT_5_7_6b69d4cb-163a-4f72-a06a-733873508a7e_000000_000000.mp4</v>
      </c>
      <c r="O8" s="50"/>
      <c r="P8" s="50"/>
      <c r="Q8" s="63"/>
      <c r="R8" s="51"/>
      <c r="S8" s="51"/>
      <c r="T8" s="51"/>
    </row>
    <row r="9">
      <c r="A9" s="51" t="str">
        <f>IFERROR(__xludf.DUMMYFUNCTION("""COMPUTED_VALUE"""),"Porsche's vision for mobility")</f>
        <v>Porsche's vision for mobility</v>
      </c>
      <c r="B9" s="51" t="str">
        <f>IFERROR(__xludf.DUMMYFUNCTION("""COMPUTED_VALUE"""),"Auto/Tech &amp; TalkRobot")</f>
        <v>Auto/Tech &amp; TalkRobot</v>
      </c>
      <c r="C9" s="56" t="str">
        <f>IFERROR(__xludf.DUMMYFUNCTION("""COMPUTED_VALUE"""),"Nils Wollny, Christian Knörle, Laurens Laudowicz and Alison Griswold")</f>
        <v>Nils Wollny, Christian Knörle, Laurens Laudowicz and Alison Griswold</v>
      </c>
      <c r="D9" s="51" t="str">
        <f>IFERROR(__xludf.DUMMYFUNCTION("""COMPUTED_VALUE"""),"2019/11/05 13:00:00")</f>
        <v>2019/11/05 13:00:00</v>
      </c>
      <c r="E9" s="51" t="str">
        <f>IFERROR(__xludf.DUMMYFUNCTION("""COMPUTED_VALUE"""),"2019/11/05 13:20:00")</f>
        <v>2019/11/05 13:20:00</v>
      </c>
      <c r="F9" s="51" t="str">
        <f>IFERROR(__xludf.DUMMYFUNCTION("""COMPUTED_VALUE"""),"0d4c2baf-2227-4339-9e95-89fb976d3579")</f>
        <v>0d4c2baf-2227-4339-9e95-89fb976d3579</v>
      </c>
      <c r="G9" s="58">
        <f>IFERROR(__xludf.DUMMYFUNCTION("""COMPUTED_VALUE"""),43774.0)</f>
        <v>43774</v>
      </c>
      <c r="H9" s="60">
        <f>IFERROR(__xludf.DUMMYFUNCTION("""COMPUTED_VALUE"""),0.5416666666666666)</f>
        <v>0.5416666667</v>
      </c>
      <c r="I9" s="58">
        <f>IFERROR(__xludf.DUMMYFUNCTION("""COMPUTED_VALUE"""),43774.0)</f>
        <v>43774</v>
      </c>
      <c r="J9" s="60">
        <f>IFERROR(__xludf.DUMMYFUNCTION("""COMPUTED_VALUE"""),0.5555555555555556)</f>
        <v>0.5555555556</v>
      </c>
      <c r="K9" s="60">
        <f t="shared" si="1"/>
        <v>0.01388888889</v>
      </c>
      <c r="L9" s="51" t="s">
        <v>111</v>
      </c>
      <c r="M9" s="62" t="s">
        <v>642</v>
      </c>
      <c r="N9" s="62" t="str">
        <f t="shared" si="2"/>
        <v>AT_5_8_0d4c2baf-2227-4339-9e95-89fb976d3579_000000_000000.mp4</v>
      </c>
      <c r="O9" s="50"/>
      <c r="P9" s="50"/>
      <c r="Q9" s="63"/>
      <c r="R9" s="51"/>
      <c r="S9" s="51"/>
      <c r="T9" s="51"/>
    </row>
    <row r="10">
      <c r="A10" s="51" t="str">
        <f>IFERROR(__xludf.DUMMYFUNCTION("""COMPUTED_VALUE"""),"Lunch break")</f>
        <v>Lunch break</v>
      </c>
      <c r="B10" s="51" t="str">
        <f>IFERROR(__xludf.DUMMYFUNCTION("""COMPUTED_VALUE"""),"Auto/Tech &amp; TalkRobot")</f>
        <v>Auto/Tech &amp; TalkRobot</v>
      </c>
      <c r="C10" s="56" t="str">
        <f>IFERROR(__xludf.DUMMYFUNCTION("""COMPUTED_VALUE"""),"")</f>
        <v/>
      </c>
      <c r="D10" s="51" t="str">
        <f>IFERROR(__xludf.DUMMYFUNCTION("""COMPUTED_VALUE"""),"2019/11/05 13:20:00")</f>
        <v>2019/11/05 13:20:00</v>
      </c>
      <c r="E10" s="51" t="str">
        <f>IFERROR(__xludf.DUMMYFUNCTION("""COMPUTED_VALUE"""),"2019/11/05 14:05:00")</f>
        <v>2019/11/05 14:05:00</v>
      </c>
      <c r="F10" s="51" t="str">
        <f>IFERROR(__xludf.DUMMYFUNCTION("""COMPUTED_VALUE"""),"3d27d484-34eb-41a7-b86c-b4aeec184dcf")</f>
        <v>3d27d484-34eb-41a7-b86c-b4aeec184dcf</v>
      </c>
      <c r="G10" s="58">
        <f>IFERROR(__xludf.DUMMYFUNCTION("""COMPUTED_VALUE"""),43774.0)</f>
        <v>43774</v>
      </c>
      <c r="H10" s="60">
        <f>IFERROR(__xludf.DUMMYFUNCTION("""COMPUTED_VALUE"""),0.5555555555555556)</f>
        <v>0.5555555556</v>
      </c>
      <c r="I10" s="58">
        <f>IFERROR(__xludf.DUMMYFUNCTION("""COMPUTED_VALUE"""),43774.0)</f>
        <v>43774</v>
      </c>
      <c r="J10" s="60">
        <f>IFERROR(__xludf.DUMMYFUNCTION("""COMPUTED_VALUE"""),0.5868055555555556)</f>
        <v>0.5868055556</v>
      </c>
      <c r="K10" s="60">
        <f t="shared" si="1"/>
        <v>0.03125</v>
      </c>
      <c r="L10" s="51" t="s">
        <v>131</v>
      </c>
      <c r="M10" s="51"/>
      <c r="N10" s="62" t="str">
        <f t="shared" si="2"/>
        <v>_3d27d484-34eb-41a7-b86c-b4aeec184dcf_000000_000000.mp4</v>
      </c>
      <c r="O10" s="50"/>
      <c r="P10" s="50"/>
      <c r="Q10" s="63"/>
      <c r="R10" s="51"/>
      <c r="S10" s="51"/>
      <c r="T10" s="51"/>
    </row>
    <row r="11">
      <c r="A11" s="51" t="str">
        <f>IFERROR(__xludf.DUMMYFUNCTION("""COMPUTED_VALUE"""),"Cells to space to salads: what's a robot good for?")</f>
        <v>Cells to space to salads: what's a robot good for?</v>
      </c>
      <c r="B11" s="51" t="str">
        <f>IFERROR(__xludf.DUMMYFUNCTION("""COMPUTED_VALUE"""),"Auto/Tech &amp; TalkRobot")</f>
        <v>Auto/Tech &amp; TalkRobot</v>
      </c>
      <c r="C11" s="56" t="str">
        <f>IFERROR(__xludf.DUMMYFUNCTION("""COMPUTED_VALUE"""),"Kaigham Gabriel")</f>
        <v>Kaigham Gabriel</v>
      </c>
      <c r="D11" s="51" t="str">
        <f>IFERROR(__xludf.DUMMYFUNCTION("""COMPUTED_VALUE"""),"2019/11/05 14:05:00")</f>
        <v>2019/11/05 14:05:00</v>
      </c>
      <c r="E11" s="51" t="str">
        <f>IFERROR(__xludf.DUMMYFUNCTION("""COMPUTED_VALUE"""),"2019/11/05 14:25:00")</f>
        <v>2019/11/05 14:25:00</v>
      </c>
      <c r="F11" s="51" t="str">
        <f>IFERROR(__xludf.DUMMYFUNCTION("""COMPUTED_VALUE"""),"8ded08dc-0720-4e17-a17d-2b5d3b1c3c27")</f>
        <v>8ded08dc-0720-4e17-a17d-2b5d3b1c3c27</v>
      </c>
      <c r="G11" s="58">
        <f>IFERROR(__xludf.DUMMYFUNCTION("""COMPUTED_VALUE"""),43774.0)</f>
        <v>43774</v>
      </c>
      <c r="H11" s="60">
        <f>IFERROR(__xludf.DUMMYFUNCTION("""COMPUTED_VALUE"""),0.5868055555555556)</f>
        <v>0.5868055556</v>
      </c>
      <c r="I11" s="58">
        <f>IFERROR(__xludf.DUMMYFUNCTION("""COMPUTED_VALUE"""),43774.0)</f>
        <v>43774</v>
      </c>
      <c r="J11" s="60">
        <f>IFERROR(__xludf.DUMMYFUNCTION("""COMPUTED_VALUE"""),0.6006944444444444)</f>
        <v>0.6006944444</v>
      </c>
      <c r="K11" s="60">
        <f t="shared" si="1"/>
        <v>0.01388888889</v>
      </c>
      <c r="L11" s="51" t="s">
        <v>111</v>
      </c>
      <c r="M11" s="62" t="s">
        <v>645</v>
      </c>
      <c r="N11" s="62" t="str">
        <f t="shared" si="2"/>
        <v>AT_5_9_8ded08dc-0720-4e17-a17d-2b5d3b1c3c27_000000_000000.mp4</v>
      </c>
      <c r="O11" s="50"/>
      <c r="P11" s="50"/>
      <c r="Q11" s="63"/>
      <c r="R11" s="51"/>
      <c r="S11" s="51"/>
      <c r="T11" s="51"/>
    </row>
    <row r="12">
      <c r="A12" s="51" t="str">
        <f>IFERROR(__xludf.DUMMYFUNCTION("""COMPUTED_VALUE"""),"How shared &amp; electric mobility transforms the city: a world tour")</f>
        <v>How shared &amp; electric mobility transforms the city: a world tour</v>
      </c>
      <c r="B12" s="51" t="str">
        <f>IFERROR(__xludf.DUMMYFUNCTION("""COMPUTED_VALUE"""),"Auto/Tech &amp; TalkRobot")</f>
        <v>Auto/Tech &amp; TalkRobot</v>
      </c>
      <c r="C12" s="56" t="str">
        <f>IFERROR(__xludf.DUMMYFUNCTION("""COMPUTED_VALUE"""),"Gregory Ducongé")</f>
        <v>Gregory Ducongé</v>
      </c>
      <c r="D12" s="51" t="str">
        <f>IFERROR(__xludf.DUMMYFUNCTION("""COMPUTED_VALUE"""),"2019/11/05 14:25:00")</f>
        <v>2019/11/05 14:25:00</v>
      </c>
      <c r="E12" s="51" t="str">
        <f>IFERROR(__xludf.DUMMYFUNCTION("""COMPUTED_VALUE"""),"2019/11/05 14:45:00")</f>
        <v>2019/11/05 14:45:00</v>
      </c>
      <c r="F12" s="51" t="str">
        <f>IFERROR(__xludf.DUMMYFUNCTION("""COMPUTED_VALUE"""),"99306970-1d82-4d33-876d-df4916c6025e")</f>
        <v>99306970-1d82-4d33-876d-df4916c6025e</v>
      </c>
      <c r="G12" s="58">
        <f>IFERROR(__xludf.DUMMYFUNCTION("""COMPUTED_VALUE"""),43774.0)</f>
        <v>43774</v>
      </c>
      <c r="H12" s="60">
        <f>IFERROR(__xludf.DUMMYFUNCTION("""COMPUTED_VALUE"""),0.6006944444444444)</f>
        <v>0.6006944444</v>
      </c>
      <c r="I12" s="58">
        <f>IFERROR(__xludf.DUMMYFUNCTION("""COMPUTED_VALUE"""),43774.0)</f>
        <v>43774</v>
      </c>
      <c r="J12" s="60">
        <f>IFERROR(__xludf.DUMMYFUNCTION("""COMPUTED_VALUE"""),0.6145833333333334)</f>
        <v>0.6145833333</v>
      </c>
      <c r="K12" s="60">
        <f t="shared" si="1"/>
        <v>0.01388888889</v>
      </c>
      <c r="L12" s="51" t="s">
        <v>111</v>
      </c>
      <c r="M12" s="62" t="s">
        <v>647</v>
      </c>
      <c r="N12" s="62" t="str">
        <f t="shared" si="2"/>
        <v>AT_5_10_99306970-1d82-4d33-876d-df4916c6025e_000000_000000.mp4</v>
      </c>
      <c r="O12" s="50"/>
      <c r="P12" s="50"/>
      <c r="Q12" s="63"/>
      <c r="R12" s="51"/>
      <c r="S12" s="51"/>
      <c r="T12" s="51"/>
    </row>
    <row r="13">
      <c r="A13" s="51" t="str">
        <f>IFERROR(__xludf.DUMMYFUNCTION("""COMPUTED_VALUE"""),"It takes a village to build a city")</f>
        <v>It takes a village to build a city</v>
      </c>
      <c r="B13" s="51" t="str">
        <f>IFERROR(__xludf.DUMMYFUNCTION("""COMPUTED_VALUE"""),"Auto/Tech &amp; TalkRobot")</f>
        <v>Auto/Tech &amp; TalkRobot</v>
      </c>
      <c r="C13" s="56" t="str">
        <f>IFERROR(__xludf.DUMMYFUNCTION("""COMPUTED_VALUE"""),"Micah Kotch, Pasquale Romano, Ro Gupta, Carrie Shuler and Jim Motavalli")</f>
        <v>Micah Kotch, Pasquale Romano, Ro Gupta, Carrie Shuler and Jim Motavalli</v>
      </c>
      <c r="D13" s="51" t="str">
        <f>IFERROR(__xludf.DUMMYFUNCTION("""COMPUTED_VALUE"""),"2019/11/05 14:45:00")</f>
        <v>2019/11/05 14:45:00</v>
      </c>
      <c r="E13" s="51" t="str">
        <f>IFERROR(__xludf.DUMMYFUNCTION("""COMPUTED_VALUE"""),"2019/11/05 15:05:00")</f>
        <v>2019/11/05 15:05:00</v>
      </c>
      <c r="F13" s="51" t="str">
        <f>IFERROR(__xludf.DUMMYFUNCTION("""COMPUTED_VALUE"""),"6b611ede-e5a2-4d94-bac4-6649abd4aaef")</f>
        <v>6b611ede-e5a2-4d94-bac4-6649abd4aaef</v>
      </c>
      <c r="G13" s="58">
        <f>IFERROR(__xludf.DUMMYFUNCTION("""COMPUTED_VALUE"""),43774.0)</f>
        <v>43774</v>
      </c>
      <c r="H13" s="60">
        <f>IFERROR(__xludf.DUMMYFUNCTION("""COMPUTED_VALUE"""),0.6145833333333334)</f>
        <v>0.6145833333</v>
      </c>
      <c r="I13" s="58">
        <f>IFERROR(__xludf.DUMMYFUNCTION("""COMPUTED_VALUE"""),43774.0)</f>
        <v>43774</v>
      </c>
      <c r="J13" s="60">
        <f>IFERROR(__xludf.DUMMYFUNCTION("""COMPUTED_VALUE"""),0.6284722222222222)</f>
        <v>0.6284722222</v>
      </c>
      <c r="K13" s="60">
        <f t="shared" si="1"/>
        <v>0.01388888889</v>
      </c>
      <c r="L13" s="51" t="s">
        <v>111</v>
      </c>
      <c r="M13" s="62" t="s">
        <v>649</v>
      </c>
      <c r="N13" s="62" t="str">
        <f t="shared" si="2"/>
        <v>AT_5_11_6b611ede-e5a2-4d94-bac4-6649abd4aaef_000000_000000.mp4</v>
      </c>
      <c r="O13" s="50"/>
      <c r="P13" s="50"/>
      <c r="Q13" s="63"/>
      <c r="R13" s="51"/>
      <c r="S13" s="51"/>
      <c r="T13" s="51"/>
    </row>
    <row r="14">
      <c r="A14" s="51" t="str">
        <f>IFERROR(__xludf.DUMMYFUNCTION("""COMPUTED_VALUE"""),"Building an empire from your garage")</f>
        <v>Building an empire from your garage</v>
      </c>
      <c r="B14" s="51" t="str">
        <f>IFERROR(__xludf.DUMMYFUNCTION("""COMPUTED_VALUE"""),"Auto/Tech &amp; TalkRobot")</f>
        <v>Auto/Tech &amp; TalkRobot</v>
      </c>
      <c r="C14" s="56" t="str">
        <f>IFERROR(__xludf.DUMMYFUNCTION("""COMPUTED_VALUE"""),"Halldora von Koenigsegg")</f>
        <v>Halldora von Koenigsegg</v>
      </c>
      <c r="D14" s="51" t="str">
        <f>IFERROR(__xludf.DUMMYFUNCTION("""COMPUTED_VALUE"""),"2019/11/05 15:05:00")</f>
        <v>2019/11/05 15:05:00</v>
      </c>
      <c r="E14" s="51" t="str">
        <f>IFERROR(__xludf.DUMMYFUNCTION("""COMPUTED_VALUE"""),"2019/11/05 15:25:00")</f>
        <v>2019/11/05 15:25:00</v>
      </c>
      <c r="F14" s="51" t="str">
        <f>IFERROR(__xludf.DUMMYFUNCTION("""COMPUTED_VALUE"""),"64ef74ee-7a05-48e7-b330-5edc2a0f563f")</f>
        <v>64ef74ee-7a05-48e7-b330-5edc2a0f563f</v>
      </c>
      <c r="G14" s="58">
        <f>IFERROR(__xludf.DUMMYFUNCTION("""COMPUTED_VALUE"""),43774.0)</f>
        <v>43774</v>
      </c>
      <c r="H14" s="60">
        <f>IFERROR(__xludf.DUMMYFUNCTION("""COMPUTED_VALUE"""),0.6284722222222222)</f>
        <v>0.6284722222</v>
      </c>
      <c r="I14" s="58">
        <f>IFERROR(__xludf.DUMMYFUNCTION("""COMPUTED_VALUE"""),43774.0)</f>
        <v>43774</v>
      </c>
      <c r="J14" s="60">
        <f>IFERROR(__xludf.DUMMYFUNCTION("""COMPUTED_VALUE"""),0.6423611111111112)</f>
        <v>0.6423611111</v>
      </c>
      <c r="K14" s="60">
        <f t="shared" si="1"/>
        <v>0.01388888889</v>
      </c>
      <c r="L14" s="51" t="s">
        <v>111</v>
      </c>
      <c r="M14" s="62" t="s">
        <v>650</v>
      </c>
      <c r="N14" s="62" t="str">
        <f t="shared" si="2"/>
        <v>AT_5_12_64ef74ee-7a05-48e7-b330-5edc2a0f563f_000000_000000.mp4</v>
      </c>
      <c r="O14" s="50"/>
      <c r="P14" s="50"/>
      <c r="Q14" s="63"/>
      <c r="R14" s="51"/>
      <c r="S14" s="51"/>
      <c r="T14" s="51"/>
    </row>
    <row r="15">
      <c r="A15" s="51" t="str">
        <f>IFERROR(__xludf.DUMMYFUNCTION("""COMPUTED_VALUE"""),"Our future doesn't have to be a boring dystopia")</f>
        <v>Our future doesn't have to be a boring dystopia</v>
      </c>
      <c r="B15" s="51" t="str">
        <f>IFERROR(__xludf.DUMMYFUNCTION("""COMPUTED_VALUE"""),"Auto/Tech &amp; TalkRobot")</f>
        <v>Auto/Tech &amp; TalkRobot</v>
      </c>
      <c r="C15" s="56" t="str">
        <f>IFERROR(__xludf.DUMMYFUNCTION("""COMPUTED_VALUE"""),"Falon Fatemi, Wendy Queen, Fouzia Adjailia and Emil Protalinski")</f>
        <v>Falon Fatemi, Wendy Queen, Fouzia Adjailia and Emil Protalinski</v>
      </c>
      <c r="D15" s="51" t="str">
        <f>IFERROR(__xludf.DUMMYFUNCTION("""COMPUTED_VALUE"""),"2019/11/05 15:25:00")</f>
        <v>2019/11/05 15:25:00</v>
      </c>
      <c r="E15" s="51" t="str">
        <f>IFERROR(__xludf.DUMMYFUNCTION("""COMPUTED_VALUE"""),"2019/11/05 15:45:00")</f>
        <v>2019/11/05 15:45:00</v>
      </c>
      <c r="F15" s="51" t="str">
        <f>IFERROR(__xludf.DUMMYFUNCTION("""COMPUTED_VALUE"""),"1a5a3ff0-7fd7-439c-bf0c-160aeec22399")</f>
        <v>1a5a3ff0-7fd7-439c-bf0c-160aeec22399</v>
      </c>
      <c r="G15" s="58">
        <f>IFERROR(__xludf.DUMMYFUNCTION("""COMPUTED_VALUE"""),43774.0)</f>
        <v>43774</v>
      </c>
      <c r="H15" s="60">
        <f>IFERROR(__xludf.DUMMYFUNCTION("""COMPUTED_VALUE"""),0.6423611111111112)</f>
        <v>0.6423611111</v>
      </c>
      <c r="I15" s="58">
        <f>IFERROR(__xludf.DUMMYFUNCTION("""COMPUTED_VALUE"""),43774.0)</f>
        <v>43774</v>
      </c>
      <c r="J15" s="60">
        <f>IFERROR(__xludf.DUMMYFUNCTION("""COMPUTED_VALUE"""),0.65625)</f>
        <v>0.65625</v>
      </c>
      <c r="K15" s="60">
        <f t="shared" si="1"/>
        <v>0.01388888889</v>
      </c>
      <c r="L15" s="51" t="s">
        <v>111</v>
      </c>
      <c r="M15" s="62" t="s">
        <v>652</v>
      </c>
      <c r="N15" s="62" t="str">
        <f t="shared" si="2"/>
        <v>AT_5_13_1a5a3ff0-7fd7-439c-bf0c-160aeec22399_000000_000000.mp4</v>
      </c>
      <c r="O15" s="50"/>
      <c r="P15" s="50"/>
      <c r="Q15" s="63"/>
      <c r="R15" s="51"/>
      <c r="S15" s="51"/>
      <c r="T15" s="51"/>
    </row>
    <row r="16">
      <c r="A16" s="51" t="str">
        <f>IFERROR(__xludf.DUMMYFUNCTION("""COMPUTED_VALUE"""),"How to be a leader in the autotech space")</f>
        <v>How to be a leader in the autotech space</v>
      </c>
      <c r="B16" s="51" t="str">
        <f>IFERROR(__xludf.DUMMYFUNCTION("""COMPUTED_VALUE"""),"Auto/Tech &amp; TalkRobot")</f>
        <v>Auto/Tech &amp; TalkRobot</v>
      </c>
      <c r="C16" s="56" t="str">
        <f>IFERROR(__xludf.DUMMYFUNCTION("""COMPUTED_VALUE"""),"Corinne Vigreux, Nicolas Brusson and Jonathan Weber")</f>
        <v>Corinne Vigreux, Nicolas Brusson and Jonathan Weber</v>
      </c>
      <c r="D16" s="51" t="str">
        <f>IFERROR(__xludf.DUMMYFUNCTION("""COMPUTED_VALUE"""),"2019/11/05 15:45:00")</f>
        <v>2019/11/05 15:45:00</v>
      </c>
      <c r="E16" s="51" t="str">
        <f>IFERROR(__xludf.DUMMYFUNCTION("""COMPUTED_VALUE"""),"2019/11/05 16:05:00")</f>
        <v>2019/11/05 16:05:00</v>
      </c>
      <c r="F16" s="51" t="str">
        <f>IFERROR(__xludf.DUMMYFUNCTION("""COMPUTED_VALUE"""),"cfe33ce2-e349-4ac0-bee4-a1132de86dd3")</f>
        <v>cfe33ce2-e349-4ac0-bee4-a1132de86dd3</v>
      </c>
      <c r="G16" s="58">
        <f>IFERROR(__xludf.DUMMYFUNCTION("""COMPUTED_VALUE"""),43774.0)</f>
        <v>43774</v>
      </c>
      <c r="H16" s="60">
        <f>IFERROR(__xludf.DUMMYFUNCTION("""COMPUTED_VALUE"""),0.65625)</f>
        <v>0.65625</v>
      </c>
      <c r="I16" s="58">
        <f>IFERROR(__xludf.DUMMYFUNCTION("""COMPUTED_VALUE"""),43774.0)</f>
        <v>43774</v>
      </c>
      <c r="J16" s="60">
        <f>IFERROR(__xludf.DUMMYFUNCTION("""COMPUTED_VALUE"""),0.6701388888888888)</f>
        <v>0.6701388889</v>
      </c>
      <c r="K16" s="60">
        <f t="shared" si="1"/>
        <v>0.01388888889</v>
      </c>
      <c r="L16" s="51" t="s">
        <v>111</v>
      </c>
      <c r="M16" s="62" t="s">
        <v>654</v>
      </c>
      <c r="N16" s="62" t="str">
        <f t="shared" si="2"/>
        <v>AT_5_14_cfe33ce2-e349-4ac0-bee4-a1132de86dd3_000000_000000.mp4</v>
      </c>
      <c r="O16" s="50"/>
      <c r="P16" s="50"/>
      <c r="Q16" s="63"/>
      <c r="R16" s="51"/>
      <c r="S16" s="51"/>
      <c r="T16" s="51"/>
    </row>
    <row r="17">
      <c r="A17" s="51" t="str">
        <f>IFERROR(__xludf.DUMMYFUNCTION("""COMPUTED_VALUE"""),"Privacy meets innovation in a global marketplace")</f>
        <v>Privacy meets innovation in a global marketplace</v>
      </c>
      <c r="B17" s="51" t="str">
        <f>IFERROR(__xludf.DUMMYFUNCTION("""COMPUTED_VALUE"""),"Auto/Tech &amp; TalkRobot")</f>
        <v>Auto/Tech &amp; TalkRobot</v>
      </c>
      <c r="C17" s="56" t="str">
        <f>IFERROR(__xludf.DUMMYFUNCTION("""COMPUTED_VALUE"""),"Ruby Zefo and Charlie Warzel")</f>
        <v>Ruby Zefo and Charlie Warzel</v>
      </c>
      <c r="D17" s="51" t="str">
        <f>IFERROR(__xludf.DUMMYFUNCTION("""COMPUTED_VALUE"""),"2019/11/05 16:05:00")</f>
        <v>2019/11/05 16:05:00</v>
      </c>
      <c r="E17" s="51" t="str">
        <f>IFERROR(__xludf.DUMMYFUNCTION("""COMPUTED_VALUE"""),"2019/11/05 16:25:00")</f>
        <v>2019/11/05 16:25:00</v>
      </c>
      <c r="F17" s="51" t="str">
        <f>IFERROR(__xludf.DUMMYFUNCTION("""COMPUTED_VALUE"""),"eb050208-6dbc-428f-893b-caf9613dce08")</f>
        <v>eb050208-6dbc-428f-893b-caf9613dce08</v>
      </c>
      <c r="G17" s="58">
        <f>IFERROR(__xludf.DUMMYFUNCTION("""COMPUTED_VALUE"""),43774.0)</f>
        <v>43774</v>
      </c>
      <c r="H17" s="60">
        <f>IFERROR(__xludf.DUMMYFUNCTION("""COMPUTED_VALUE"""),0.6701388888888888)</f>
        <v>0.6701388889</v>
      </c>
      <c r="I17" s="58">
        <f>IFERROR(__xludf.DUMMYFUNCTION("""COMPUTED_VALUE"""),43774.0)</f>
        <v>43774</v>
      </c>
      <c r="J17" s="60">
        <f>IFERROR(__xludf.DUMMYFUNCTION("""COMPUTED_VALUE"""),0.6840277777777778)</f>
        <v>0.6840277778</v>
      </c>
      <c r="K17" s="60">
        <f t="shared" si="1"/>
        <v>0.01388888889</v>
      </c>
      <c r="L17" s="51" t="s">
        <v>111</v>
      </c>
      <c r="M17" s="62" t="s">
        <v>656</v>
      </c>
      <c r="N17" s="62" t="str">
        <f t="shared" si="2"/>
        <v>AT_5_15_eb050208-6dbc-428f-893b-caf9613dce08_000000_000000.mp4</v>
      </c>
      <c r="O17" s="50"/>
      <c r="P17" s="50"/>
      <c r="Q17" s="63"/>
      <c r="R17" s="51"/>
      <c r="S17" s="51"/>
      <c r="T17" s="51"/>
    </row>
    <row r="18">
      <c r="A18" s="51" t="str">
        <f>IFERROR(__xludf.DUMMYFUNCTION("""COMPUTED_VALUE"""),"Drones and food delivery: A marriage made in heaven")</f>
        <v>Drones and food delivery: A marriage made in heaven</v>
      </c>
      <c r="B18" s="51" t="str">
        <f>IFERROR(__xludf.DUMMYFUNCTION("""COMPUTED_VALUE"""),"Auto/Tech &amp; TalkRobot")</f>
        <v>Auto/Tech &amp; TalkRobot</v>
      </c>
      <c r="C18" s="56" t="str">
        <f>IFERROR(__xludf.DUMMYFUNCTION("""COMPUTED_VALUE"""),"Bobby Healy")</f>
        <v>Bobby Healy</v>
      </c>
      <c r="D18" s="51" t="str">
        <f>IFERROR(__xludf.DUMMYFUNCTION("""COMPUTED_VALUE"""),"2019/11/06 11:00:00")</f>
        <v>2019/11/06 11:00:00</v>
      </c>
      <c r="E18" s="51" t="str">
        <f>IFERROR(__xludf.DUMMYFUNCTION("""COMPUTED_VALUE"""),"2019/11/06 11:15:00")</f>
        <v>2019/11/06 11:15:00</v>
      </c>
      <c r="F18" s="51" t="str">
        <f>IFERROR(__xludf.DUMMYFUNCTION("""COMPUTED_VALUE"""),"2995ac8d-f975-4e2b-a3aa-cc39ebebe916")</f>
        <v>2995ac8d-f975-4e2b-a3aa-cc39ebebe916</v>
      </c>
      <c r="G18" s="58">
        <f>IFERROR(__xludf.DUMMYFUNCTION("""COMPUTED_VALUE"""),43775.0)</f>
        <v>43775</v>
      </c>
      <c r="H18" s="60">
        <f>IFERROR(__xludf.DUMMYFUNCTION("""COMPUTED_VALUE"""),0.4583333333333333)</f>
        <v>0.4583333333</v>
      </c>
      <c r="I18" s="58">
        <f>IFERROR(__xludf.DUMMYFUNCTION("""COMPUTED_VALUE"""),43775.0)</f>
        <v>43775</v>
      </c>
      <c r="J18" s="60">
        <f>IFERROR(__xludf.DUMMYFUNCTION("""COMPUTED_VALUE"""),0.46875)</f>
        <v>0.46875</v>
      </c>
      <c r="K18" s="60">
        <f t="shared" si="1"/>
        <v>0.01041666667</v>
      </c>
      <c r="L18" s="51" t="s">
        <v>116</v>
      </c>
      <c r="M18" s="62" t="s">
        <v>658</v>
      </c>
      <c r="N18" s="62" t="str">
        <f t="shared" si="2"/>
        <v>AT_6_1_2995ac8d-f975-4e2b-a3aa-cc39ebebe916_000000_000000.mp4</v>
      </c>
      <c r="O18" s="50"/>
      <c r="P18" s="50"/>
      <c r="Q18" s="63"/>
      <c r="R18" s="51"/>
      <c r="S18" s="51"/>
      <c r="T18" s="51"/>
    </row>
    <row r="19">
      <c r="A19" s="51" t="str">
        <f>IFERROR(__xludf.DUMMYFUNCTION("""COMPUTED_VALUE"""),"How startups can collaborate with the big players")</f>
        <v>How startups can collaborate with the big players</v>
      </c>
      <c r="B19" s="51" t="str">
        <f>IFERROR(__xludf.DUMMYFUNCTION("""COMPUTED_VALUE"""),"Auto/Tech &amp; TalkRobot")</f>
        <v>Auto/Tech &amp; TalkRobot</v>
      </c>
      <c r="C19" s="56" t="str">
        <f>IFERROR(__xludf.DUMMYFUNCTION("""COMPUTED_VALUE"""),"Christian Knörle, Jörg Rheinboldt and Tim Stevens")</f>
        <v>Christian Knörle, Jörg Rheinboldt and Tim Stevens</v>
      </c>
      <c r="D19" s="51" t="str">
        <f>IFERROR(__xludf.DUMMYFUNCTION("""COMPUTED_VALUE"""),"2019/11/06 11:15:00")</f>
        <v>2019/11/06 11:15:00</v>
      </c>
      <c r="E19" s="51" t="str">
        <f>IFERROR(__xludf.DUMMYFUNCTION("""COMPUTED_VALUE"""),"2019/11/06 11:35:00")</f>
        <v>2019/11/06 11:35:00</v>
      </c>
      <c r="F19" s="51" t="str">
        <f>IFERROR(__xludf.DUMMYFUNCTION("""COMPUTED_VALUE"""),"75d20622-3324-4d75-a824-e9e51d547416")</f>
        <v>75d20622-3324-4d75-a824-e9e51d547416</v>
      </c>
      <c r="G19" s="58">
        <f>IFERROR(__xludf.DUMMYFUNCTION("""COMPUTED_VALUE"""),43775.0)</f>
        <v>43775</v>
      </c>
      <c r="H19" s="60">
        <f>IFERROR(__xludf.DUMMYFUNCTION("""COMPUTED_VALUE"""),0.46875)</f>
        <v>0.46875</v>
      </c>
      <c r="I19" s="58">
        <f>IFERROR(__xludf.DUMMYFUNCTION("""COMPUTED_VALUE"""),43775.0)</f>
        <v>43775</v>
      </c>
      <c r="J19" s="60">
        <f>IFERROR(__xludf.DUMMYFUNCTION("""COMPUTED_VALUE"""),0.4826388888888889)</f>
        <v>0.4826388889</v>
      </c>
      <c r="K19" s="60">
        <f t="shared" si="1"/>
        <v>0.01388888889</v>
      </c>
      <c r="L19" s="51" t="s">
        <v>111</v>
      </c>
      <c r="M19" s="62" t="s">
        <v>660</v>
      </c>
      <c r="N19" s="62" t="str">
        <f t="shared" si="2"/>
        <v>AT_6_2_75d20622-3324-4d75-a824-e9e51d547416_000000_000000.mp4</v>
      </c>
      <c r="O19" s="50"/>
      <c r="P19" s="50"/>
      <c r="Q19" s="63"/>
      <c r="R19" s="51"/>
      <c r="S19" s="51"/>
      <c r="T19" s="51"/>
    </row>
    <row r="20">
      <c r="A20" s="51" t="str">
        <f>IFERROR(__xludf.DUMMYFUNCTION("""COMPUTED_VALUE"""),"The rise of the flying car")</f>
        <v>The rise of the flying car</v>
      </c>
      <c r="B20" s="51" t="str">
        <f>IFERROR(__xludf.DUMMYFUNCTION("""COMPUTED_VALUE"""),"Auto/Tech &amp; TalkRobot")</f>
        <v>Auto/Tech &amp; TalkRobot</v>
      </c>
      <c r="C20" s="56" t="str">
        <f>IFERROR(__xludf.DUMMYFUNCTION("""COMPUTED_VALUE"""),"Alexander Zosel")</f>
        <v>Alexander Zosel</v>
      </c>
      <c r="D20" s="51" t="str">
        <f>IFERROR(__xludf.DUMMYFUNCTION("""COMPUTED_VALUE"""),"2019/11/06 11:35:00")</f>
        <v>2019/11/06 11:35:00</v>
      </c>
      <c r="E20" s="51" t="str">
        <f>IFERROR(__xludf.DUMMYFUNCTION("""COMPUTED_VALUE"""),"2019/11/06 11:55:00")</f>
        <v>2019/11/06 11:55:00</v>
      </c>
      <c r="F20" s="51" t="str">
        <f>IFERROR(__xludf.DUMMYFUNCTION("""COMPUTED_VALUE"""),"4a81895b-4cb8-4975-9492-4d63d1963cc5")</f>
        <v>4a81895b-4cb8-4975-9492-4d63d1963cc5</v>
      </c>
      <c r="G20" s="58">
        <f>IFERROR(__xludf.DUMMYFUNCTION("""COMPUTED_VALUE"""),43775.0)</f>
        <v>43775</v>
      </c>
      <c r="H20" s="60">
        <f>IFERROR(__xludf.DUMMYFUNCTION("""COMPUTED_VALUE"""),0.4826388888888889)</f>
        <v>0.4826388889</v>
      </c>
      <c r="I20" s="58">
        <f>IFERROR(__xludf.DUMMYFUNCTION("""COMPUTED_VALUE"""),43775.0)</f>
        <v>43775</v>
      </c>
      <c r="J20" s="60">
        <f>IFERROR(__xludf.DUMMYFUNCTION("""COMPUTED_VALUE"""),0.4965277777777778)</f>
        <v>0.4965277778</v>
      </c>
      <c r="K20" s="60">
        <f t="shared" si="1"/>
        <v>0.01388888889</v>
      </c>
      <c r="L20" s="51" t="s">
        <v>111</v>
      </c>
      <c r="M20" s="62" t="s">
        <v>663</v>
      </c>
      <c r="N20" s="62" t="str">
        <f t="shared" si="2"/>
        <v>AT_6_3_4a81895b-4cb8-4975-9492-4d63d1963cc5_000000_000000.mp4</v>
      </c>
      <c r="O20" s="50"/>
      <c r="P20" s="50"/>
      <c r="Q20" s="63"/>
      <c r="R20" s="51"/>
      <c r="S20" s="51"/>
      <c r="T20" s="51"/>
    </row>
    <row r="21">
      <c r="A21" s="51" t="str">
        <f>IFERROR(__xludf.DUMMYFUNCTION("""COMPUTED_VALUE"""),"No downside to the sharing economy")</f>
        <v>No downside to the sharing economy</v>
      </c>
      <c r="B21" s="51" t="str">
        <f>IFERROR(__xludf.DUMMYFUNCTION("""COMPUTED_VALUE"""),"Auto/Tech &amp; TalkRobot")</f>
        <v>Auto/Tech &amp; TalkRobot</v>
      </c>
      <c r="C21" s="56" t="str">
        <f>IFERROR(__xludf.DUMMYFUNCTION("""COMPUTED_VALUE"""),"Sam Zaid, Scott Painter and Alyssa Newcomb")</f>
        <v>Sam Zaid, Scott Painter and Alyssa Newcomb</v>
      </c>
      <c r="D21" s="51" t="str">
        <f>IFERROR(__xludf.DUMMYFUNCTION("""COMPUTED_VALUE"""),"2019/11/06 11:55:00")</f>
        <v>2019/11/06 11:55:00</v>
      </c>
      <c r="E21" s="51" t="str">
        <f>IFERROR(__xludf.DUMMYFUNCTION("""COMPUTED_VALUE"""),"2019/11/06 12:15:00")</f>
        <v>2019/11/06 12:15:00</v>
      </c>
      <c r="F21" s="51" t="str">
        <f>IFERROR(__xludf.DUMMYFUNCTION("""COMPUTED_VALUE"""),"bb57d8d9-330b-4704-bd3d-6983c7c0465f")</f>
        <v>bb57d8d9-330b-4704-bd3d-6983c7c0465f</v>
      </c>
      <c r="G21" s="58">
        <f>IFERROR(__xludf.DUMMYFUNCTION("""COMPUTED_VALUE"""),43775.0)</f>
        <v>43775</v>
      </c>
      <c r="H21" s="60">
        <f>IFERROR(__xludf.DUMMYFUNCTION("""COMPUTED_VALUE"""),0.4965277777777778)</f>
        <v>0.4965277778</v>
      </c>
      <c r="I21" s="58">
        <f>IFERROR(__xludf.DUMMYFUNCTION("""COMPUTED_VALUE"""),43775.0)</f>
        <v>43775</v>
      </c>
      <c r="J21" s="60">
        <f>IFERROR(__xludf.DUMMYFUNCTION("""COMPUTED_VALUE"""),0.5104166666666666)</f>
        <v>0.5104166667</v>
      </c>
      <c r="K21" s="60">
        <f t="shared" si="1"/>
        <v>0.01388888889</v>
      </c>
      <c r="L21" s="51" t="s">
        <v>111</v>
      </c>
      <c r="M21" s="62" t="s">
        <v>667</v>
      </c>
      <c r="N21" s="62" t="str">
        <f t="shared" si="2"/>
        <v>AT_6_4_bb57d8d9-330b-4704-bd3d-6983c7c0465f_000000_000000.mp4</v>
      </c>
      <c r="O21" s="50"/>
      <c r="P21" s="50"/>
      <c r="Q21" s="63"/>
      <c r="R21" s="51"/>
      <c r="S21" s="51"/>
      <c r="T21" s="51"/>
    </row>
    <row r="22">
      <c r="A22" s="51" t="str">
        <f>IFERROR(__xludf.DUMMYFUNCTION("""COMPUTED_VALUE"""),"Freight's new autonomous journey")</f>
        <v>Freight's new autonomous journey</v>
      </c>
      <c r="B22" s="51" t="str">
        <f>IFERROR(__xludf.DUMMYFUNCTION("""COMPUTED_VALUE"""),"Auto/Tech &amp; TalkRobot")</f>
        <v>Auto/Tech &amp; TalkRobot</v>
      </c>
      <c r="C22" s="56" t="str">
        <f>IFERROR(__xludf.DUMMYFUNCTION("""COMPUTED_VALUE"""),"Xiaodi Hou")</f>
        <v>Xiaodi Hou</v>
      </c>
      <c r="D22" s="51" t="str">
        <f>IFERROR(__xludf.DUMMYFUNCTION("""COMPUTED_VALUE"""),"2019/11/06 12:15:00")</f>
        <v>2019/11/06 12:15:00</v>
      </c>
      <c r="E22" s="51" t="str">
        <f>IFERROR(__xludf.DUMMYFUNCTION("""COMPUTED_VALUE"""),"2019/11/06 12:35:00")</f>
        <v>2019/11/06 12:35:00</v>
      </c>
      <c r="F22" s="51" t="str">
        <f>IFERROR(__xludf.DUMMYFUNCTION("""COMPUTED_VALUE"""),"7517f303-8897-4621-90d5-bff273efa63e")</f>
        <v>7517f303-8897-4621-90d5-bff273efa63e</v>
      </c>
      <c r="G22" s="58">
        <f>IFERROR(__xludf.DUMMYFUNCTION("""COMPUTED_VALUE"""),43775.0)</f>
        <v>43775</v>
      </c>
      <c r="H22" s="60">
        <f>IFERROR(__xludf.DUMMYFUNCTION("""COMPUTED_VALUE"""),0.5104166666666666)</f>
        <v>0.5104166667</v>
      </c>
      <c r="I22" s="58">
        <f>IFERROR(__xludf.DUMMYFUNCTION("""COMPUTED_VALUE"""),43775.0)</f>
        <v>43775</v>
      </c>
      <c r="J22" s="60">
        <f>IFERROR(__xludf.DUMMYFUNCTION("""COMPUTED_VALUE"""),0.5243055555555556)</f>
        <v>0.5243055556</v>
      </c>
      <c r="K22" s="60">
        <f t="shared" si="1"/>
        <v>0.01388888889</v>
      </c>
      <c r="L22" s="51" t="s">
        <v>111</v>
      </c>
      <c r="M22" s="62" t="s">
        <v>669</v>
      </c>
      <c r="N22" s="62" t="str">
        <f t="shared" si="2"/>
        <v>AT_6_5_7517f303-8897-4621-90d5-bff273efa63e_000000_000000.mp4</v>
      </c>
      <c r="O22" s="50"/>
      <c r="P22" s="50"/>
      <c r="Q22" s="63"/>
      <c r="R22" s="51"/>
      <c r="S22" s="51"/>
      <c r="T22" s="51"/>
    </row>
    <row r="23">
      <c r="A23" s="51" t="str">
        <f>IFERROR(__xludf.DUMMYFUNCTION("""COMPUTED_VALUE"""),"The moon, for your next-level business ")</f>
        <v>The moon, for your next-level business </v>
      </c>
      <c r="B23" s="51" t="str">
        <f>IFERROR(__xludf.DUMMYFUNCTION("""COMPUTED_VALUE"""),"Auto/Tech &amp; TalkRobot")</f>
        <v>Auto/Tech &amp; TalkRobot</v>
      </c>
      <c r="C23" s="56" t="str">
        <f>IFERROR(__xludf.DUMMYFUNCTION("""COMPUTED_VALUE"""),"Takeshi Hakamada")</f>
        <v>Takeshi Hakamada</v>
      </c>
      <c r="D23" s="51" t="str">
        <f>IFERROR(__xludf.DUMMYFUNCTION("""COMPUTED_VALUE"""),"2019/11/06 12:35:00")</f>
        <v>2019/11/06 12:35:00</v>
      </c>
      <c r="E23" s="51" t="str">
        <f>IFERROR(__xludf.DUMMYFUNCTION("""COMPUTED_VALUE"""),"2019/11/06 12:55:00")</f>
        <v>2019/11/06 12:55:00</v>
      </c>
      <c r="F23" s="51" t="str">
        <f>IFERROR(__xludf.DUMMYFUNCTION("""COMPUTED_VALUE"""),"2d2605c0-2036-4e02-a704-55fb46ddbf1b")</f>
        <v>2d2605c0-2036-4e02-a704-55fb46ddbf1b</v>
      </c>
      <c r="G23" s="58">
        <f>IFERROR(__xludf.DUMMYFUNCTION("""COMPUTED_VALUE"""),43775.0)</f>
        <v>43775</v>
      </c>
      <c r="H23" s="60">
        <f>IFERROR(__xludf.DUMMYFUNCTION("""COMPUTED_VALUE"""),0.5243055555555556)</f>
        <v>0.5243055556</v>
      </c>
      <c r="I23" s="58">
        <f>IFERROR(__xludf.DUMMYFUNCTION("""COMPUTED_VALUE"""),43775.0)</f>
        <v>43775</v>
      </c>
      <c r="J23" s="60">
        <f>IFERROR(__xludf.DUMMYFUNCTION("""COMPUTED_VALUE"""),0.5381944444444444)</f>
        <v>0.5381944444</v>
      </c>
      <c r="K23" s="60">
        <f t="shared" si="1"/>
        <v>0.01388888889</v>
      </c>
      <c r="L23" s="51" t="s">
        <v>111</v>
      </c>
      <c r="M23" s="62" t="s">
        <v>670</v>
      </c>
      <c r="N23" s="62" t="str">
        <f t="shared" si="2"/>
        <v>AT_6_6_2d2605c0-2036-4e02-a704-55fb46ddbf1b_000000_000000.mp4</v>
      </c>
      <c r="O23" s="50"/>
      <c r="P23" s="50"/>
      <c r="Q23" s="63"/>
      <c r="R23" s="51"/>
      <c r="S23" s="51"/>
      <c r="T23" s="51"/>
    </row>
    <row r="24">
      <c r="A24" s="51" t="str">
        <f>IFERROR(__xludf.DUMMYFUNCTION("""COMPUTED_VALUE"""),"Do androids dream of electric sheep?")</f>
        <v>Do androids dream of electric sheep?</v>
      </c>
      <c r="B24" s="51" t="str">
        <f>IFERROR(__xludf.DUMMYFUNCTION("""COMPUTED_VALUE"""),"Auto/Tech &amp; TalkRobot")</f>
        <v>Auto/Tech &amp; TalkRobot</v>
      </c>
      <c r="C24" s="56" t="str">
        <f>IFERROR(__xludf.DUMMYFUNCTION("""COMPUTED_VALUE"""),"Ben Goertzel")</f>
        <v>Ben Goertzel</v>
      </c>
      <c r="D24" s="51" t="str">
        <f>IFERROR(__xludf.DUMMYFUNCTION("""COMPUTED_VALUE"""),"2019/11/06 12:55:00")</f>
        <v>2019/11/06 12:55:00</v>
      </c>
      <c r="E24" s="51" t="str">
        <f>IFERROR(__xludf.DUMMYFUNCTION("""COMPUTED_VALUE"""),"2019/11/06 13:15:00")</f>
        <v>2019/11/06 13:15:00</v>
      </c>
      <c r="F24" s="51" t="str">
        <f>IFERROR(__xludf.DUMMYFUNCTION("""COMPUTED_VALUE"""),"e36cd054-3b0b-4eab-b359-039a2a7694c3")</f>
        <v>e36cd054-3b0b-4eab-b359-039a2a7694c3</v>
      </c>
      <c r="G24" s="58">
        <f>IFERROR(__xludf.DUMMYFUNCTION("""COMPUTED_VALUE"""),43775.0)</f>
        <v>43775</v>
      </c>
      <c r="H24" s="60">
        <f>IFERROR(__xludf.DUMMYFUNCTION("""COMPUTED_VALUE"""),0.5381944444444444)</f>
        <v>0.5381944444</v>
      </c>
      <c r="I24" s="58">
        <f>IFERROR(__xludf.DUMMYFUNCTION("""COMPUTED_VALUE"""),43775.0)</f>
        <v>43775</v>
      </c>
      <c r="J24" s="60">
        <f>IFERROR(__xludf.DUMMYFUNCTION("""COMPUTED_VALUE"""),0.5520833333333334)</f>
        <v>0.5520833333</v>
      </c>
      <c r="K24" s="60">
        <f t="shared" si="1"/>
        <v>0.01388888889</v>
      </c>
      <c r="L24" s="51" t="s">
        <v>111</v>
      </c>
      <c r="M24" s="62" t="s">
        <v>673</v>
      </c>
      <c r="N24" s="62" t="str">
        <f t="shared" si="2"/>
        <v>AT_6_7_e36cd054-3b0b-4eab-b359-039a2a7694c3_000000_000000.mp4</v>
      </c>
      <c r="O24" s="50"/>
      <c r="P24" s="50"/>
      <c r="Q24" s="63"/>
      <c r="R24" s="51"/>
      <c r="S24" s="51"/>
      <c r="T24" s="51"/>
    </row>
    <row r="25">
      <c r="A25" s="51" t="str">
        <f>IFERROR(__xludf.DUMMYFUNCTION("""COMPUTED_VALUE"""),"Lunch break")</f>
        <v>Lunch break</v>
      </c>
      <c r="B25" s="51" t="str">
        <f>IFERROR(__xludf.DUMMYFUNCTION("""COMPUTED_VALUE"""),"Auto/Tech &amp; TalkRobot")</f>
        <v>Auto/Tech &amp; TalkRobot</v>
      </c>
      <c r="C25" s="56" t="str">
        <f>IFERROR(__xludf.DUMMYFUNCTION("""COMPUTED_VALUE"""),"")</f>
        <v/>
      </c>
      <c r="D25" s="51" t="str">
        <f>IFERROR(__xludf.DUMMYFUNCTION("""COMPUTED_VALUE"""),"2019/11/06 13:15:00")</f>
        <v>2019/11/06 13:15:00</v>
      </c>
      <c r="E25" s="51" t="str">
        <f>IFERROR(__xludf.DUMMYFUNCTION("""COMPUTED_VALUE"""),"2019/11/06 14:00:00")</f>
        <v>2019/11/06 14:00:00</v>
      </c>
      <c r="F25" s="51" t="str">
        <f>IFERROR(__xludf.DUMMYFUNCTION("""COMPUTED_VALUE"""),"2ac7eaf8-3025-400b-aa2a-ae1c008fc618")</f>
        <v>2ac7eaf8-3025-400b-aa2a-ae1c008fc618</v>
      </c>
      <c r="G25" s="58">
        <f>IFERROR(__xludf.DUMMYFUNCTION("""COMPUTED_VALUE"""),43775.0)</f>
        <v>43775</v>
      </c>
      <c r="H25" s="60">
        <f>IFERROR(__xludf.DUMMYFUNCTION("""COMPUTED_VALUE"""),0.5520833333333334)</f>
        <v>0.5520833333</v>
      </c>
      <c r="I25" s="58">
        <f>IFERROR(__xludf.DUMMYFUNCTION("""COMPUTED_VALUE"""),43775.0)</f>
        <v>43775</v>
      </c>
      <c r="J25" s="60">
        <f>IFERROR(__xludf.DUMMYFUNCTION("""COMPUTED_VALUE"""),0.5833333333333334)</f>
        <v>0.5833333333</v>
      </c>
      <c r="K25" s="60">
        <f t="shared" si="1"/>
        <v>0.03125</v>
      </c>
      <c r="L25" s="51" t="s">
        <v>131</v>
      </c>
      <c r="M25" s="51"/>
      <c r="N25" s="62" t="str">
        <f t="shared" si="2"/>
        <v>_2ac7eaf8-3025-400b-aa2a-ae1c008fc618_000000_000000.mp4</v>
      </c>
      <c r="O25" s="50"/>
      <c r="P25" s="50"/>
      <c r="Q25" s="63"/>
      <c r="R25" s="51"/>
      <c r="S25" s="51"/>
      <c r="T25" s="51"/>
    </row>
    <row r="26">
      <c r="A26" s="51" t="str">
        <f>IFERROR(__xludf.DUMMYFUNCTION("""COMPUTED_VALUE"""),"In conversation with Lime's Brad Bao")</f>
        <v>In conversation with Lime's Brad Bao</v>
      </c>
      <c r="B26" s="51" t="str">
        <f>IFERROR(__xludf.DUMMYFUNCTION("""COMPUTED_VALUE"""),"Auto/Tech &amp; TalkRobot")</f>
        <v>Auto/Tech &amp; TalkRobot</v>
      </c>
      <c r="C26" s="56" t="str">
        <f>IFERROR(__xludf.DUMMYFUNCTION("""COMPUTED_VALUE"""),"Brad Bao and Alison Griswold")</f>
        <v>Brad Bao and Alison Griswold</v>
      </c>
      <c r="D26" s="51" t="str">
        <f>IFERROR(__xludf.DUMMYFUNCTION("""COMPUTED_VALUE"""),"2019/11/06 14:00:00")</f>
        <v>2019/11/06 14:00:00</v>
      </c>
      <c r="E26" s="51" t="str">
        <f>IFERROR(__xludf.DUMMYFUNCTION("""COMPUTED_VALUE"""),"2019/11/06 14:20:00")</f>
        <v>2019/11/06 14:20:00</v>
      </c>
      <c r="F26" s="51" t="str">
        <f>IFERROR(__xludf.DUMMYFUNCTION("""COMPUTED_VALUE"""),"29ef26ef-8606-410b-9f6e-29982d4f9b12")</f>
        <v>29ef26ef-8606-410b-9f6e-29982d4f9b12</v>
      </c>
      <c r="G26" s="58">
        <f>IFERROR(__xludf.DUMMYFUNCTION("""COMPUTED_VALUE"""),43775.0)</f>
        <v>43775</v>
      </c>
      <c r="H26" s="60">
        <f>IFERROR(__xludf.DUMMYFUNCTION("""COMPUTED_VALUE"""),0.5833333333333334)</f>
        <v>0.5833333333</v>
      </c>
      <c r="I26" s="58">
        <f>IFERROR(__xludf.DUMMYFUNCTION("""COMPUTED_VALUE"""),43775.0)</f>
        <v>43775</v>
      </c>
      <c r="J26" s="60">
        <f>IFERROR(__xludf.DUMMYFUNCTION("""COMPUTED_VALUE"""),0.5972222222222222)</f>
        <v>0.5972222222</v>
      </c>
      <c r="K26" s="60">
        <f t="shared" si="1"/>
        <v>0.01388888889</v>
      </c>
      <c r="L26" s="51" t="s">
        <v>111</v>
      </c>
      <c r="M26" s="62" t="s">
        <v>677</v>
      </c>
      <c r="N26" s="62" t="str">
        <f t="shared" si="2"/>
        <v>AT_6_8_29ef26ef-8606-410b-9f6e-29982d4f9b12_000000_000000.mp4</v>
      </c>
      <c r="O26" s="50"/>
      <c r="P26" s="50"/>
      <c r="Q26" s="63"/>
      <c r="R26" s="51"/>
      <c r="S26" s="51"/>
      <c r="T26" s="51"/>
    </row>
    <row r="27">
      <c r="A27" s="51" t="str">
        <f>IFERROR(__xludf.DUMMYFUNCTION("""COMPUTED_VALUE"""),"How do investors look at mobility?")</f>
        <v>How do investors look at mobility?</v>
      </c>
      <c r="B27" s="51" t="str">
        <f>IFERROR(__xludf.DUMMYFUNCTION("""COMPUTED_VALUE"""),"Auto/Tech &amp; TalkRobot")</f>
        <v>Auto/Tech &amp; TalkRobot</v>
      </c>
      <c r="C27" s="56" t="str">
        <f>IFERROR(__xludf.DUMMYFUNCTION("""COMPUTED_VALUE"""),"Philipp von Hagen, Olaf Sakkers and Kimberly Weisul")</f>
        <v>Philipp von Hagen, Olaf Sakkers and Kimberly Weisul</v>
      </c>
      <c r="D27" s="51" t="str">
        <f>IFERROR(__xludf.DUMMYFUNCTION("""COMPUTED_VALUE"""),"2019/11/06 14:20:00")</f>
        <v>2019/11/06 14:20:00</v>
      </c>
      <c r="E27" s="51" t="str">
        <f>IFERROR(__xludf.DUMMYFUNCTION("""COMPUTED_VALUE"""),"2019/11/06 14:40:00")</f>
        <v>2019/11/06 14:40:00</v>
      </c>
      <c r="F27" s="51" t="str">
        <f>IFERROR(__xludf.DUMMYFUNCTION("""COMPUTED_VALUE"""),"a38698a7-a96b-48c2-baef-5bae369c2ef3")</f>
        <v>a38698a7-a96b-48c2-baef-5bae369c2ef3</v>
      </c>
      <c r="G27" s="58">
        <f>IFERROR(__xludf.DUMMYFUNCTION("""COMPUTED_VALUE"""),43775.0)</f>
        <v>43775</v>
      </c>
      <c r="H27" s="60">
        <f>IFERROR(__xludf.DUMMYFUNCTION("""COMPUTED_VALUE"""),0.5972222222222222)</f>
        <v>0.5972222222</v>
      </c>
      <c r="I27" s="58">
        <f>IFERROR(__xludf.DUMMYFUNCTION("""COMPUTED_VALUE"""),43775.0)</f>
        <v>43775</v>
      </c>
      <c r="J27" s="60">
        <f>IFERROR(__xludf.DUMMYFUNCTION("""COMPUTED_VALUE"""),0.6111111111111112)</f>
        <v>0.6111111111</v>
      </c>
      <c r="K27" s="60">
        <f t="shared" si="1"/>
        <v>0.01388888889</v>
      </c>
      <c r="L27" s="51" t="s">
        <v>111</v>
      </c>
      <c r="M27" s="62" t="s">
        <v>680</v>
      </c>
      <c r="N27" s="62" t="str">
        <f t="shared" si="2"/>
        <v>AT_6_9_a38698a7-a96b-48c2-baef-5bae369c2ef3_000000_000000.mp4</v>
      </c>
      <c r="O27" s="50"/>
      <c r="P27" s="50"/>
      <c r="Q27" s="63"/>
      <c r="R27" s="51"/>
      <c r="S27" s="51"/>
      <c r="T27" s="51"/>
    </row>
    <row r="28">
      <c r="A28" s="51" t="str">
        <f>IFERROR(__xludf.DUMMYFUNCTION("""COMPUTED_VALUE"""),"Are our cars smart enough?")</f>
        <v>Are our cars smart enough?</v>
      </c>
      <c r="B28" s="51" t="str">
        <f>IFERROR(__xludf.DUMMYFUNCTION("""COMPUTED_VALUE"""),"Auto/Tech &amp; TalkRobot")</f>
        <v>Auto/Tech &amp; TalkRobot</v>
      </c>
      <c r="C28" s="56" t="str">
        <f>IFERROR(__xludf.DUMMYFUNCTION("""COMPUTED_VALUE"""),"Christopher Heiser, Karlheinz Wurm, Dieter May and Jim Motavalli")</f>
        <v>Christopher Heiser, Karlheinz Wurm, Dieter May and Jim Motavalli</v>
      </c>
      <c r="D28" s="51" t="str">
        <f>IFERROR(__xludf.DUMMYFUNCTION("""COMPUTED_VALUE"""),"2019/11/06 14:40:00")</f>
        <v>2019/11/06 14:40:00</v>
      </c>
      <c r="E28" s="51" t="str">
        <f>IFERROR(__xludf.DUMMYFUNCTION("""COMPUTED_VALUE"""),"2019/11/06 15:00:00")</f>
        <v>2019/11/06 15:00:00</v>
      </c>
      <c r="F28" s="51" t="str">
        <f>IFERROR(__xludf.DUMMYFUNCTION("""COMPUTED_VALUE"""),"0fdbfb24-a37b-4cbc-b2f1-5bb73dd1471e")</f>
        <v>0fdbfb24-a37b-4cbc-b2f1-5bb73dd1471e</v>
      </c>
      <c r="G28" s="58">
        <f>IFERROR(__xludf.DUMMYFUNCTION("""COMPUTED_VALUE"""),43775.0)</f>
        <v>43775</v>
      </c>
      <c r="H28" s="60">
        <f>IFERROR(__xludf.DUMMYFUNCTION("""COMPUTED_VALUE"""),0.6111111111111112)</f>
        <v>0.6111111111</v>
      </c>
      <c r="I28" s="58">
        <f>IFERROR(__xludf.DUMMYFUNCTION("""COMPUTED_VALUE"""),43775.0)</f>
        <v>43775</v>
      </c>
      <c r="J28" s="60">
        <f>IFERROR(__xludf.DUMMYFUNCTION("""COMPUTED_VALUE"""),0.625)</f>
        <v>0.625</v>
      </c>
      <c r="K28" s="60">
        <f t="shared" si="1"/>
        <v>0.01388888889</v>
      </c>
      <c r="L28" s="51" t="s">
        <v>111</v>
      </c>
      <c r="M28" s="62" t="s">
        <v>683</v>
      </c>
      <c r="N28" s="62" t="str">
        <f t="shared" si="2"/>
        <v>AT_6_10_0fdbfb24-a37b-4cbc-b2f1-5bb73dd1471e_000000_000000.mp4</v>
      </c>
      <c r="O28" s="50"/>
      <c r="P28" s="50"/>
      <c r="Q28" s="63"/>
      <c r="R28" s="51"/>
      <c r="S28" s="51"/>
      <c r="T28" s="51"/>
    </row>
    <row r="29">
      <c r="A29" s="51" t="str">
        <f>IFERROR(__xludf.DUMMYFUNCTION("""COMPUTED_VALUE"""),"The drive for 5: Where is level 5 autonomy?")</f>
        <v>The drive for 5: Where is level 5 autonomy?</v>
      </c>
      <c r="B29" s="51" t="str">
        <f>IFERROR(__xludf.DUMMYFUNCTION("""COMPUTED_VALUE"""),"Auto/Tech &amp; TalkRobot")</f>
        <v>Auto/Tech &amp; TalkRobot</v>
      </c>
      <c r="C29" s="56" t="str">
        <f>IFERROR(__xludf.DUMMYFUNCTION("""COMPUTED_VALUE"""),"Moshe Shlisel, Ransom Wuller and Tom Honeyands")</f>
        <v>Moshe Shlisel, Ransom Wuller and Tom Honeyands</v>
      </c>
      <c r="D29" s="51" t="str">
        <f>IFERROR(__xludf.DUMMYFUNCTION("""COMPUTED_VALUE"""),"2019/11/06 15:00:00")</f>
        <v>2019/11/06 15:00:00</v>
      </c>
      <c r="E29" s="51" t="str">
        <f>IFERROR(__xludf.DUMMYFUNCTION("""COMPUTED_VALUE"""),"2019/11/06 15:20:00")</f>
        <v>2019/11/06 15:20:00</v>
      </c>
      <c r="F29" s="51" t="str">
        <f>IFERROR(__xludf.DUMMYFUNCTION("""COMPUTED_VALUE"""),"1fc1cef6-0141-46b2-8350-76391099c092")</f>
        <v>1fc1cef6-0141-46b2-8350-76391099c092</v>
      </c>
      <c r="G29" s="58">
        <f>IFERROR(__xludf.DUMMYFUNCTION("""COMPUTED_VALUE"""),43775.0)</f>
        <v>43775</v>
      </c>
      <c r="H29" s="60">
        <f>IFERROR(__xludf.DUMMYFUNCTION("""COMPUTED_VALUE"""),0.625)</f>
        <v>0.625</v>
      </c>
      <c r="I29" s="58">
        <f>IFERROR(__xludf.DUMMYFUNCTION("""COMPUTED_VALUE"""),43775.0)</f>
        <v>43775</v>
      </c>
      <c r="J29" s="60">
        <f>IFERROR(__xludf.DUMMYFUNCTION("""COMPUTED_VALUE"""),0.6388888888888888)</f>
        <v>0.6388888889</v>
      </c>
      <c r="K29" s="60">
        <f t="shared" si="1"/>
        <v>0.01388888889</v>
      </c>
      <c r="L29" s="51" t="s">
        <v>111</v>
      </c>
      <c r="M29" s="62" t="s">
        <v>685</v>
      </c>
      <c r="N29" s="62" t="str">
        <f t="shared" si="2"/>
        <v>AT_6_11_1fc1cef6-0141-46b2-8350-76391099c092_000000_000000.mp4</v>
      </c>
      <c r="O29" s="50"/>
      <c r="P29" s="50"/>
      <c r="Q29" s="63"/>
      <c r="R29" s="51"/>
      <c r="S29" s="51"/>
      <c r="T29" s="51"/>
    </row>
    <row r="30">
      <c r="A30" s="51" t="str">
        <f>IFERROR(__xludf.DUMMYFUNCTION("""COMPUTED_VALUE"""),"A bold move? Insights from our journey to be a leading multiservice mobility provider in Europe")</f>
        <v>A bold move? Insights from our journey to be a leading multiservice mobility provider in Europe</v>
      </c>
      <c r="B30" s="51" t="str">
        <f>IFERROR(__xludf.DUMMYFUNCTION("""COMPUTED_VALUE"""),"Auto/Tech &amp; TalkRobot")</f>
        <v>Auto/Tech &amp; TalkRobot</v>
      </c>
      <c r="C30" s="56" t="str">
        <f>IFERROR(__xludf.DUMMYFUNCTION("""COMPUTED_VALUE"""),"Marc Berg")</f>
        <v>Marc Berg</v>
      </c>
      <c r="D30" s="51" t="str">
        <f>IFERROR(__xludf.DUMMYFUNCTION("""COMPUTED_VALUE"""),"2019/11/06 15:20:00")</f>
        <v>2019/11/06 15:20:00</v>
      </c>
      <c r="E30" s="51" t="str">
        <f>IFERROR(__xludf.DUMMYFUNCTION("""COMPUTED_VALUE"""),"2019/11/06 15:40:00")</f>
        <v>2019/11/06 15:40:00</v>
      </c>
      <c r="F30" s="51" t="str">
        <f>IFERROR(__xludf.DUMMYFUNCTION("""COMPUTED_VALUE"""),"dd043b4c-6000-47fb-a67c-6547b28e85af")</f>
        <v>dd043b4c-6000-47fb-a67c-6547b28e85af</v>
      </c>
      <c r="G30" s="58">
        <f>IFERROR(__xludf.DUMMYFUNCTION("""COMPUTED_VALUE"""),43775.0)</f>
        <v>43775</v>
      </c>
      <c r="H30" s="60">
        <f>IFERROR(__xludf.DUMMYFUNCTION("""COMPUTED_VALUE"""),0.6388888888888888)</f>
        <v>0.6388888889</v>
      </c>
      <c r="I30" s="58">
        <f>IFERROR(__xludf.DUMMYFUNCTION("""COMPUTED_VALUE"""),43775.0)</f>
        <v>43775</v>
      </c>
      <c r="J30" s="60">
        <f>IFERROR(__xludf.DUMMYFUNCTION("""COMPUTED_VALUE"""),0.6527777777777778)</f>
        <v>0.6527777778</v>
      </c>
      <c r="K30" s="60">
        <f t="shared" si="1"/>
        <v>0.01388888889</v>
      </c>
      <c r="L30" s="51" t="s">
        <v>111</v>
      </c>
      <c r="M30" s="62" t="s">
        <v>688</v>
      </c>
      <c r="N30" s="62" t="str">
        <f t="shared" si="2"/>
        <v>AT_6_12_dd043b4c-6000-47fb-a67c-6547b28e85af_000000_000000.mp4</v>
      </c>
      <c r="O30" s="50"/>
      <c r="P30" s="50"/>
      <c r="Q30" s="63"/>
      <c r="R30" s="51"/>
      <c r="S30" s="51"/>
      <c r="T30" s="51"/>
    </row>
    <row r="31">
      <c r="A31" s="51" t="str">
        <f>IFERROR(__xludf.DUMMYFUNCTION("""COMPUTED_VALUE"""),"Taking your fare to the air: The flying taxi's new reality")</f>
        <v>Taking your fare to the air: The flying taxi's new reality</v>
      </c>
      <c r="B31" s="51" t="str">
        <f>IFERROR(__xludf.DUMMYFUNCTION("""COMPUTED_VALUE"""),"Auto/Tech &amp; TalkRobot")</f>
        <v>Auto/Tech &amp; TalkRobot</v>
      </c>
      <c r="C31" s="56" t="str">
        <f>IFERROR(__xludf.DUMMYFUNCTION("""COMPUTED_VALUE"""),"Daniel Wiegand and Steve Ranger")</f>
        <v>Daniel Wiegand and Steve Ranger</v>
      </c>
      <c r="D31" s="51" t="str">
        <f>IFERROR(__xludf.DUMMYFUNCTION("""COMPUTED_VALUE"""),"2019/11/06 15:40:00")</f>
        <v>2019/11/06 15:40:00</v>
      </c>
      <c r="E31" s="51" t="str">
        <f>IFERROR(__xludf.DUMMYFUNCTION("""COMPUTED_VALUE"""),"2019/11/06 16:00:00")</f>
        <v>2019/11/06 16:00:00</v>
      </c>
      <c r="F31" s="51" t="str">
        <f>IFERROR(__xludf.DUMMYFUNCTION("""COMPUTED_VALUE"""),"57c773b4-debd-417b-90eb-ed96a3e269f9")</f>
        <v>57c773b4-debd-417b-90eb-ed96a3e269f9</v>
      </c>
      <c r="G31" s="58">
        <f>IFERROR(__xludf.DUMMYFUNCTION("""COMPUTED_VALUE"""),43775.0)</f>
        <v>43775</v>
      </c>
      <c r="H31" s="60">
        <f>IFERROR(__xludf.DUMMYFUNCTION("""COMPUTED_VALUE"""),0.6527777777777778)</f>
        <v>0.6527777778</v>
      </c>
      <c r="I31" s="58">
        <f>IFERROR(__xludf.DUMMYFUNCTION("""COMPUTED_VALUE"""),43775.0)</f>
        <v>43775</v>
      </c>
      <c r="J31" s="60">
        <f>IFERROR(__xludf.DUMMYFUNCTION("""COMPUTED_VALUE"""),0.6666666666666666)</f>
        <v>0.6666666667</v>
      </c>
      <c r="K31" s="60">
        <f t="shared" si="1"/>
        <v>0.01388888889</v>
      </c>
      <c r="L31" s="51" t="s">
        <v>111</v>
      </c>
      <c r="M31" s="62" t="s">
        <v>689</v>
      </c>
      <c r="N31" s="62" t="str">
        <f t="shared" si="2"/>
        <v>AT_6_13_57c773b4-debd-417b-90eb-ed96a3e269f9_000000_000000.mp4</v>
      </c>
      <c r="O31" s="50"/>
      <c r="P31" s="50"/>
      <c r="Q31" s="63"/>
      <c r="R31" s="51"/>
      <c r="S31" s="51"/>
      <c r="T31" s="51"/>
    </row>
    <row r="32">
      <c r="A32" s="51" t="str">
        <f>IFERROR(__xludf.DUMMYFUNCTION("""COMPUTED_VALUE"""),"Preventing crashes by predicting the future")</f>
        <v>Preventing crashes by predicting the future</v>
      </c>
      <c r="B32" s="51" t="str">
        <f>IFERROR(__xludf.DUMMYFUNCTION("""COMPUTED_VALUE"""),"Auto/Tech &amp; TalkRobot")</f>
        <v>Auto/Tech &amp; TalkRobot</v>
      </c>
      <c r="C32" s="56" t="str">
        <f>IFERROR(__xludf.DUMMYFUNCTION("""COMPUTED_VALUE"""),"Jennifer Haroon, Stefan Heck and Jim Motavalli")</f>
        <v>Jennifer Haroon, Stefan Heck and Jim Motavalli</v>
      </c>
      <c r="D32" s="51" t="str">
        <f>IFERROR(__xludf.DUMMYFUNCTION("""COMPUTED_VALUE"""),"2019/11/06 16:00:00")</f>
        <v>2019/11/06 16:00:00</v>
      </c>
      <c r="E32" s="51" t="str">
        <f>IFERROR(__xludf.DUMMYFUNCTION("""COMPUTED_VALUE"""),"2019/11/06 16:20:00")</f>
        <v>2019/11/06 16:20:00</v>
      </c>
      <c r="F32" s="51" t="str">
        <f>IFERROR(__xludf.DUMMYFUNCTION("""COMPUTED_VALUE"""),"c71dc235-d1c7-4e31-8fbb-69a91eceb87a")</f>
        <v>c71dc235-d1c7-4e31-8fbb-69a91eceb87a</v>
      </c>
      <c r="G32" s="58">
        <f>IFERROR(__xludf.DUMMYFUNCTION("""COMPUTED_VALUE"""),43775.0)</f>
        <v>43775</v>
      </c>
      <c r="H32" s="60">
        <f>IFERROR(__xludf.DUMMYFUNCTION("""COMPUTED_VALUE"""),0.6666666666666666)</f>
        <v>0.6666666667</v>
      </c>
      <c r="I32" s="58">
        <f>IFERROR(__xludf.DUMMYFUNCTION("""COMPUTED_VALUE"""),43775.0)</f>
        <v>43775</v>
      </c>
      <c r="J32" s="60">
        <f>IFERROR(__xludf.DUMMYFUNCTION("""COMPUTED_VALUE"""),0.6805555555555556)</f>
        <v>0.6805555556</v>
      </c>
      <c r="K32" s="60">
        <f t="shared" si="1"/>
        <v>0.01388888889</v>
      </c>
      <c r="L32" s="51" t="s">
        <v>111</v>
      </c>
      <c r="M32" s="62" t="s">
        <v>691</v>
      </c>
      <c r="N32" s="62" t="str">
        <f t="shared" si="2"/>
        <v>AT_6_14_c71dc235-d1c7-4e31-8fbb-69a91eceb87a_000000_000000.mp4</v>
      </c>
      <c r="O32" s="50"/>
      <c r="P32" s="50"/>
      <c r="Q32" s="63"/>
      <c r="R32" s="51"/>
      <c r="S32" s="51"/>
      <c r="T32" s="51"/>
    </row>
    <row r="33">
      <c r="A33" s="51" t="str">
        <f>IFERROR(__xludf.DUMMYFUNCTION("""COMPUTED_VALUE"""),"Good in the Machine: Engineering Ethical AI")</f>
        <v>Good in the Machine: Engineering Ethical AI</v>
      </c>
      <c r="B33" s="51" t="str">
        <f>IFERROR(__xludf.DUMMYFUNCTION("""COMPUTED_VALUE"""),"Auto/Tech &amp; TalkRobot")</f>
        <v>Auto/Tech &amp; TalkRobot</v>
      </c>
      <c r="C33" s="56" t="str">
        <f>IFERROR(__xludf.DUMMYFUNCTION("""COMPUTED_VALUE"""),"Carolyn Herzog")</f>
        <v>Carolyn Herzog</v>
      </c>
      <c r="D33" s="51" t="str">
        <f>IFERROR(__xludf.DUMMYFUNCTION("""COMPUTED_VALUE"""),"2019/11/06 16:20:00")</f>
        <v>2019/11/06 16:20:00</v>
      </c>
      <c r="E33" s="51" t="str">
        <f>IFERROR(__xludf.DUMMYFUNCTION("""COMPUTED_VALUE"""),"2019/11/06 16:40:00")</f>
        <v>2019/11/06 16:40:00</v>
      </c>
      <c r="F33" s="51" t="str">
        <f>IFERROR(__xludf.DUMMYFUNCTION("""COMPUTED_VALUE"""),"5c721e31-d86a-4ed5-95c4-6adf1c523ba2")</f>
        <v>5c721e31-d86a-4ed5-95c4-6adf1c523ba2</v>
      </c>
      <c r="G33" s="58">
        <f>IFERROR(__xludf.DUMMYFUNCTION("""COMPUTED_VALUE"""),43775.0)</f>
        <v>43775</v>
      </c>
      <c r="H33" s="60">
        <f>IFERROR(__xludf.DUMMYFUNCTION("""COMPUTED_VALUE"""),0.6805555555555556)</f>
        <v>0.6805555556</v>
      </c>
      <c r="I33" s="58">
        <f>IFERROR(__xludf.DUMMYFUNCTION("""COMPUTED_VALUE"""),43775.0)</f>
        <v>43775</v>
      </c>
      <c r="J33" s="60">
        <f>IFERROR(__xludf.DUMMYFUNCTION("""COMPUTED_VALUE"""),0.6944444444444444)</f>
        <v>0.6944444444</v>
      </c>
      <c r="K33" s="60">
        <f t="shared" si="1"/>
        <v>0.01388888889</v>
      </c>
      <c r="L33" s="51" t="s">
        <v>111</v>
      </c>
      <c r="M33" s="62" t="s">
        <v>693</v>
      </c>
      <c r="N33" s="62" t="str">
        <f t="shared" si="2"/>
        <v>AT_6_15_5c721e31-d86a-4ed5-95c4-6adf1c523ba2_000000_000000.mp4</v>
      </c>
      <c r="O33" s="50"/>
      <c r="P33" s="50"/>
      <c r="Q33" s="63"/>
      <c r="R33" s="51"/>
      <c r="S33" s="51"/>
      <c r="T33" s="51"/>
    </row>
    <row r="34">
      <c r="A34" s="51" t="str">
        <f>IFERROR(__xludf.DUMMYFUNCTION("""COMPUTED_VALUE"""),"Opening remarks")</f>
        <v>Opening remarks</v>
      </c>
      <c r="B34" s="51" t="str">
        <f>IFERROR(__xludf.DUMMYFUNCTION("""COMPUTED_VALUE"""),"Auto/Tech &amp; TalkRobot")</f>
        <v>Auto/Tech &amp; TalkRobot</v>
      </c>
      <c r="C34" s="56" t="str">
        <f>IFERROR(__xludf.DUMMYFUNCTION("""COMPUTED_VALUE"""),"João Azevedo Coutinho")</f>
        <v>João Azevedo Coutinho</v>
      </c>
      <c r="D34" s="51" t="str">
        <f>IFERROR(__xludf.DUMMYFUNCTION("""COMPUTED_VALUE"""),"2019/11/07 11:00:00")</f>
        <v>2019/11/07 11:00:00</v>
      </c>
      <c r="E34" s="51" t="str">
        <f>IFERROR(__xludf.DUMMYFUNCTION("""COMPUTED_VALUE"""),"2019/11/07 11:15:00")</f>
        <v>2019/11/07 11:15:00</v>
      </c>
      <c r="F34" s="51" t="str">
        <f>IFERROR(__xludf.DUMMYFUNCTION("""COMPUTED_VALUE"""),"88eb473d-6fb5-41b8-9ef9-860b01fbf65c")</f>
        <v>88eb473d-6fb5-41b8-9ef9-860b01fbf65c</v>
      </c>
      <c r="G34" s="58">
        <f>IFERROR(__xludf.DUMMYFUNCTION("""COMPUTED_VALUE"""),43776.0)</f>
        <v>43776</v>
      </c>
      <c r="H34" s="60">
        <f>IFERROR(__xludf.DUMMYFUNCTION("""COMPUTED_VALUE"""),0.4583333333333333)</f>
        <v>0.4583333333</v>
      </c>
      <c r="I34" s="58">
        <f>IFERROR(__xludf.DUMMYFUNCTION("""COMPUTED_VALUE"""),43776.0)</f>
        <v>43776</v>
      </c>
      <c r="J34" s="60">
        <f>IFERROR(__xludf.DUMMYFUNCTION("""COMPUTED_VALUE"""),0.46875)</f>
        <v>0.46875</v>
      </c>
      <c r="K34" s="60">
        <f t="shared" si="1"/>
        <v>0.01041666667</v>
      </c>
      <c r="L34" s="51" t="s">
        <v>116</v>
      </c>
      <c r="M34" s="62" t="s">
        <v>695</v>
      </c>
      <c r="N34" s="62" t="str">
        <f t="shared" si="2"/>
        <v>AT_7_1_88eb473d-6fb5-41b8-9ef9-860b01fbf65c_000000_000000.mp4</v>
      </c>
      <c r="O34" s="50"/>
      <c r="P34" s="50"/>
      <c r="Q34" s="63"/>
      <c r="R34" s="51"/>
      <c r="S34" s="51"/>
      <c r="T34" s="51"/>
    </row>
    <row r="35">
      <c r="A35" s="51" t="str">
        <f>IFERROR(__xludf.DUMMYFUNCTION("""COMPUTED_VALUE"""),"What is driving innovation?")</f>
        <v>What is driving innovation?</v>
      </c>
      <c r="B35" s="51" t="str">
        <f>IFERROR(__xludf.DUMMYFUNCTION("""COMPUTED_VALUE"""),"Auto/Tech &amp; TalkRobot")</f>
        <v>Auto/Tech &amp; TalkRobot</v>
      </c>
      <c r="C35" s="56" t="str">
        <f>IFERROR(__xludf.DUMMYFUNCTION("""COMPUTED_VALUE"""),"Teemu Moisala, Alain Visser, Felix Leuschner and Jim Motavalli")</f>
        <v>Teemu Moisala, Alain Visser, Felix Leuschner and Jim Motavalli</v>
      </c>
      <c r="D35" s="51" t="str">
        <f>IFERROR(__xludf.DUMMYFUNCTION("""COMPUTED_VALUE"""),"2019/11/07 11:15:00")</f>
        <v>2019/11/07 11:15:00</v>
      </c>
      <c r="E35" s="51" t="str">
        <f>IFERROR(__xludf.DUMMYFUNCTION("""COMPUTED_VALUE"""),"2019/11/07 11:35:00")</f>
        <v>2019/11/07 11:35:00</v>
      </c>
      <c r="F35" s="51" t="str">
        <f>IFERROR(__xludf.DUMMYFUNCTION("""COMPUTED_VALUE"""),"e844abbb-1a5d-477e-a3e7-8770e387c3f5")</f>
        <v>e844abbb-1a5d-477e-a3e7-8770e387c3f5</v>
      </c>
      <c r="G35" s="58">
        <f>IFERROR(__xludf.DUMMYFUNCTION("""COMPUTED_VALUE"""),43776.0)</f>
        <v>43776</v>
      </c>
      <c r="H35" s="60">
        <f>IFERROR(__xludf.DUMMYFUNCTION("""COMPUTED_VALUE"""),0.46875)</f>
        <v>0.46875</v>
      </c>
      <c r="I35" s="58">
        <f>IFERROR(__xludf.DUMMYFUNCTION("""COMPUTED_VALUE"""),43776.0)</f>
        <v>43776</v>
      </c>
      <c r="J35" s="60">
        <f>IFERROR(__xludf.DUMMYFUNCTION("""COMPUTED_VALUE"""),0.4826388888888889)</f>
        <v>0.4826388889</v>
      </c>
      <c r="K35" s="60">
        <f t="shared" si="1"/>
        <v>0.01388888889</v>
      </c>
      <c r="L35" s="51" t="s">
        <v>111</v>
      </c>
      <c r="M35" s="62" t="s">
        <v>697</v>
      </c>
      <c r="N35" s="62" t="str">
        <f t="shared" si="2"/>
        <v>AT_7_2_e844abbb-1a5d-477e-a3e7-8770e387c3f5_000000_000000.mp4</v>
      </c>
      <c r="O35" s="50"/>
      <c r="P35" s="50"/>
      <c r="Q35" s="63"/>
      <c r="R35" s="51"/>
      <c r="S35" s="51"/>
      <c r="T35" s="51"/>
    </row>
    <row r="36">
      <c r="A36" s="51" t="str">
        <f>IFERROR(__xludf.DUMMYFUNCTION("""COMPUTED_VALUE"""),"The future of mobility is bigger than cars: disruption is coming to city transport")</f>
        <v>The future of mobility is bigger than cars: disruption is coming to city transport</v>
      </c>
      <c r="B36" s="51" t="str">
        <f>IFERROR(__xludf.DUMMYFUNCTION("""COMPUTED_VALUE"""),"Auto/Tech &amp; TalkRobot")</f>
        <v>Auto/Tech &amp; TalkRobot</v>
      </c>
      <c r="C36" s="56" t="str">
        <f>IFERROR(__xludf.DUMMYFUNCTION("""COMPUTED_VALUE"""),"Sabrina Soussan")</f>
        <v>Sabrina Soussan</v>
      </c>
      <c r="D36" s="51" t="str">
        <f>IFERROR(__xludf.DUMMYFUNCTION("""COMPUTED_VALUE"""),"2019/11/07 11:35:00")</f>
        <v>2019/11/07 11:35:00</v>
      </c>
      <c r="E36" s="51" t="str">
        <f>IFERROR(__xludf.DUMMYFUNCTION("""COMPUTED_VALUE"""),"2019/11/07 11:55:00")</f>
        <v>2019/11/07 11:55:00</v>
      </c>
      <c r="F36" s="51" t="str">
        <f>IFERROR(__xludf.DUMMYFUNCTION("""COMPUTED_VALUE"""),"8ebf9bd5-877b-4433-a33a-0c84c37d997b")</f>
        <v>8ebf9bd5-877b-4433-a33a-0c84c37d997b</v>
      </c>
      <c r="G36" s="58">
        <f>IFERROR(__xludf.DUMMYFUNCTION("""COMPUTED_VALUE"""),43776.0)</f>
        <v>43776</v>
      </c>
      <c r="H36" s="60">
        <f>IFERROR(__xludf.DUMMYFUNCTION("""COMPUTED_VALUE"""),0.4826388888888889)</f>
        <v>0.4826388889</v>
      </c>
      <c r="I36" s="58">
        <f>IFERROR(__xludf.DUMMYFUNCTION("""COMPUTED_VALUE"""),43776.0)</f>
        <v>43776</v>
      </c>
      <c r="J36" s="60">
        <f>IFERROR(__xludf.DUMMYFUNCTION("""COMPUTED_VALUE"""),0.4965277777777778)</f>
        <v>0.4965277778</v>
      </c>
      <c r="K36" s="60">
        <f t="shared" si="1"/>
        <v>0.01388888889</v>
      </c>
      <c r="L36" s="51" t="s">
        <v>111</v>
      </c>
      <c r="M36" s="62" t="s">
        <v>699</v>
      </c>
      <c r="N36" s="62" t="str">
        <f t="shared" si="2"/>
        <v>AT_7_3_8ebf9bd5-877b-4433-a33a-0c84c37d997b_000000_000000.mp4</v>
      </c>
      <c r="O36" s="50"/>
      <c r="P36" s="50"/>
      <c r="Q36" s="63"/>
      <c r="R36" s="51"/>
      <c r="S36" s="51"/>
      <c r="T36" s="51"/>
    </row>
    <row r="37">
      <c r="A37" s="51" t="str">
        <f>IFERROR(__xludf.DUMMYFUNCTION("""COMPUTED_VALUE"""),"The promise of personal robots is closer than you think")</f>
        <v>The promise of personal robots is closer than you think</v>
      </c>
      <c r="B37" s="51" t="str">
        <f>IFERROR(__xludf.DUMMYFUNCTION("""COMPUTED_VALUE"""),"Auto/Tech &amp; TalkRobot")</f>
        <v>Auto/Tech &amp; TalkRobot</v>
      </c>
      <c r="C37" s="56" t="str">
        <f>IFERROR(__xludf.DUMMYFUNCTION("""COMPUTED_VALUE"""),"Ian Bernstein and Tim Bradshaw")</f>
        <v>Ian Bernstein and Tim Bradshaw</v>
      </c>
      <c r="D37" s="51" t="str">
        <f>IFERROR(__xludf.DUMMYFUNCTION("""COMPUTED_VALUE"""),"2019/11/07 11:55:00")</f>
        <v>2019/11/07 11:55:00</v>
      </c>
      <c r="E37" s="51" t="str">
        <f>IFERROR(__xludf.DUMMYFUNCTION("""COMPUTED_VALUE"""),"2019/11/07 12:15:00")</f>
        <v>2019/11/07 12:15:00</v>
      </c>
      <c r="F37" s="51" t="str">
        <f>IFERROR(__xludf.DUMMYFUNCTION("""COMPUTED_VALUE"""),"706d18d3-daa5-49c3-a497-62acce51c3da")</f>
        <v>706d18d3-daa5-49c3-a497-62acce51c3da</v>
      </c>
      <c r="G37" s="58">
        <f>IFERROR(__xludf.DUMMYFUNCTION("""COMPUTED_VALUE"""),43776.0)</f>
        <v>43776</v>
      </c>
      <c r="H37" s="60">
        <f>IFERROR(__xludf.DUMMYFUNCTION("""COMPUTED_VALUE"""),0.4965277777777778)</f>
        <v>0.4965277778</v>
      </c>
      <c r="I37" s="58">
        <f>IFERROR(__xludf.DUMMYFUNCTION("""COMPUTED_VALUE"""),43776.0)</f>
        <v>43776</v>
      </c>
      <c r="J37" s="60">
        <f>IFERROR(__xludf.DUMMYFUNCTION("""COMPUTED_VALUE"""),0.5104166666666666)</f>
        <v>0.5104166667</v>
      </c>
      <c r="K37" s="60">
        <f t="shared" si="1"/>
        <v>0.01388888889</v>
      </c>
      <c r="L37" s="51" t="s">
        <v>111</v>
      </c>
      <c r="M37" s="62" t="s">
        <v>701</v>
      </c>
      <c r="N37" s="62" t="str">
        <f t="shared" si="2"/>
        <v>AT_7_4_706d18d3-daa5-49c3-a497-62acce51c3da_000000_000000.mp4</v>
      </c>
      <c r="O37" s="50"/>
      <c r="P37" s="50"/>
      <c r="Q37" s="63"/>
      <c r="R37" s="51"/>
      <c r="S37" s="51"/>
      <c r="T37" s="51"/>
    </row>
    <row r="38">
      <c r="A38" s="51" t="str">
        <f>IFERROR(__xludf.DUMMYFUNCTION("""COMPUTED_VALUE"""),"Why redefining cars isn't enough")</f>
        <v>Why redefining cars isn't enough</v>
      </c>
      <c r="B38" s="51" t="str">
        <f>IFERROR(__xludf.DUMMYFUNCTION("""COMPUTED_VALUE"""),"Auto/Tech &amp; TalkRobot")</f>
        <v>Auto/Tech &amp; TalkRobot</v>
      </c>
      <c r="C38" s="56" t="str">
        <f>IFERROR(__xludf.DUMMYFUNCTION("""COMPUTED_VALUE"""),"Andreas Schaaf")</f>
        <v>Andreas Schaaf</v>
      </c>
      <c r="D38" s="51" t="str">
        <f>IFERROR(__xludf.DUMMYFUNCTION("""COMPUTED_VALUE"""),"2019/11/07 12:15:00")</f>
        <v>2019/11/07 12:15:00</v>
      </c>
      <c r="E38" s="51" t="str">
        <f>IFERROR(__xludf.DUMMYFUNCTION("""COMPUTED_VALUE"""),"2019/11/07 12:35:00")</f>
        <v>2019/11/07 12:35:00</v>
      </c>
      <c r="F38" s="51" t="str">
        <f>IFERROR(__xludf.DUMMYFUNCTION("""COMPUTED_VALUE"""),"6a813eed-5f83-4aee-81e7-0883257bd1a6")</f>
        <v>6a813eed-5f83-4aee-81e7-0883257bd1a6</v>
      </c>
      <c r="G38" s="58">
        <f>IFERROR(__xludf.DUMMYFUNCTION("""COMPUTED_VALUE"""),43776.0)</f>
        <v>43776</v>
      </c>
      <c r="H38" s="60">
        <f>IFERROR(__xludf.DUMMYFUNCTION("""COMPUTED_VALUE"""),0.5104166666666666)</f>
        <v>0.5104166667</v>
      </c>
      <c r="I38" s="58">
        <f>IFERROR(__xludf.DUMMYFUNCTION("""COMPUTED_VALUE"""),43776.0)</f>
        <v>43776</v>
      </c>
      <c r="J38" s="60">
        <f>IFERROR(__xludf.DUMMYFUNCTION("""COMPUTED_VALUE"""),0.5243055555555556)</f>
        <v>0.5243055556</v>
      </c>
      <c r="K38" s="60">
        <f t="shared" si="1"/>
        <v>0.01388888889</v>
      </c>
      <c r="L38" s="51" t="s">
        <v>111</v>
      </c>
      <c r="M38" s="62" t="s">
        <v>703</v>
      </c>
      <c r="N38" s="62" t="str">
        <f t="shared" si="2"/>
        <v>AT_7_5_6a813eed-5f83-4aee-81e7-0883257bd1a6_000000_000000.mp4</v>
      </c>
      <c r="O38" s="50"/>
      <c r="P38" s="50"/>
      <c r="Q38" s="63"/>
      <c r="R38" s="51"/>
      <c r="S38" s="51"/>
      <c r="T38" s="51"/>
    </row>
    <row r="39">
      <c r="A39" s="51" t="str">
        <f>IFERROR(__xludf.DUMMYFUNCTION("""COMPUTED_VALUE"""),"No driver, no problem ")</f>
        <v>No driver, no problem </v>
      </c>
      <c r="B39" s="51" t="str">
        <f>IFERROR(__xludf.DUMMYFUNCTION("""COMPUTED_VALUE"""),"Auto/Tech &amp; TalkRobot")</f>
        <v>Auto/Tech &amp; TalkRobot</v>
      </c>
      <c r="C39" s="56" t="str">
        <f>IFERROR(__xludf.DUMMYFUNCTION("""COMPUTED_VALUE"""),"Lucas Di Grassi, Bryn Balcombe, Avinash Rugoobur and Jim Motavalli")</f>
        <v>Lucas Di Grassi, Bryn Balcombe, Avinash Rugoobur and Jim Motavalli</v>
      </c>
      <c r="D39" s="51" t="str">
        <f>IFERROR(__xludf.DUMMYFUNCTION("""COMPUTED_VALUE"""),"2019/11/07 12:35:00")</f>
        <v>2019/11/07 12:35:00</v>
      </c>
      <c r="E39" s="51" t="str">
        <f>IFERROR(__xludf.DUMMYFUNCTION("""COMPUTED_VALUE"""),"2019/11/07 12:55:00")</f>
        <v>2019/11/07 12:55:00</v>
      </c>
      <c r="F39" s="51" t="str">
        <f>IFERROR(__xludf.DUMMYFUNCTION("""COMPUTED_VALUE"""),"58dd8772-6df4-47bd-892c-ea741579c005")</f>
        <v>58dd8772-6df4-47bd-892c-ea741579c005</v>
      </c>
      <c r="G39" s="58">
        <f>IFERROR(__xludf.DUMMYFUNCTION("""COMPUTED_VALUE"""),43776.0)</f>
        <v>43776</v>
      </c>
      <c r="H39" s="60">
        <f>IFERROR(__xludf.DUMMYFUNCTION("""COMPUTED_VALUE"""),0.5243055555555556)</f>
        <v>0.5243055556</v>
      </c>
      <c r="I39" s="58">
        <f>IFERROR(__xludf.DUMMYFUNCTION("""COMPUTED_VALUE"""),43776.0)</f>
        <v>43776</v>
      </c>
      <c r="J39" s="60">
        <f>IFERROR(__xludf.DUMMYFUNCTION("""COMPUTED_VALUE"""),0.5381944444444444)</f>
        <v>0.5381944444</v>
      </c>
      <c r="K39" s="60">
        <f t="shared" si="1"/>
        <v>0.01388888889</v>
      </c>
      <c r="L39" s="51" t="s">
        <v>111</v>
      </c>
      <c r="M39" s="62" t="s">
        <v>704</v>
      </c>
      <c r="N39" s="62" t="str">
        <f t="shared" si="2"/>
        <v>AT_7_6_58dd8772-6df4-47bd-892c-ea741579c005_000000_000000.mp4</v>
      </c>
      <c r="O39" s="50"/>
      <c r="P39" s="50"/>
      <c r="Q39" s="63"/>
      <c r="R39" s="51"/>
      <c r="S39" s="51"/>
      <c r="T39" s="51"/>
    </row>
    <row r="40">
      <c r="A40" s="51" t="str">
        <f>IFERROR(__xludf.DUMMYFUNCTION("""COMPUTED_VALUE"""),"Burn the  maps: Re-inventing navigation... again")</f>
        <v>Burn the  maps: Re-inventing navigation... again</v>
      </c>
      <c r="B40" s="51" t="str">
        <f>IFERROR(__xludf.DUMMYFUNCTION("""COMPUTED_VALUE"""),"Auto/Tech &amp; TalkRobot")</f>
        <v>Auto/Tech &amp; TalkRobot</v>
      </c>
      <c r="C40" s="56" t="str">
        <f>IFERROR(__xludf.DUMMYFUNCTION("""COMPUTED_VALUE"""),"Risto Vahtra, Gideon van Dijk, Jan Feiling and Steve Ranger")</f>
        <v>Risto Vahtra, Gideon van Dijk, Jan Feiling and Steve Ranger</v>
      </c>
      <c r="D40" s="51" t="str">
        <f>IFERROR(__xludf.DUMMYFUNCTION("""COMPUTED_VALUE"""),"2019/11/07 12:55:00")</f>
        <v>2019/11/07 12:55:00</v>
      </c>
      <c r="E40" s="51" t="str">
        <f>IFERROR(__xludf.DUMMYFUNCTION("""COMPUTED_VALUE"""),"2019/11/07 13:15:00")</f>
        <v>2019/11/07 13:15:00</v>
      </c>
      <c r="F40" s="51" t="str">
        <f>IFERROR(__xludf.DUMMYFUNCTION("""COMPUTED_VALUE"""),"8bd1d885-2ccb-4623-80fc-170eab4eb74f")</f>
        <v>8bd1d885-2ccb-4623-80fc-170eab4eb74f</v>
      </c>
      <c r="G40" s="58">
        <f>IFERROR(__xludf.DUMMYFUNCTION("""COMPUTED_VALUE"""),43776.0)</f>
        <v>43776</v>
      </c>
      <c r="H40" s="60">
        <f>IFERROR(__xludf.DUMMYFUNCTION("""COMPUTED_VALUE"""),0.5381944444444444)</f>
        <v>0.5381944444</v>
      </c>
      <c r="I40" s="58">
        <f>IFERROR(__xludf.DUMMYFUNCTION("""COMPUTED_VALUE"""),43776.0)</f>
        <v>43776</v>
      </c>
      <c r="J40" s="60">
        <f>IFERROR(__xludf.DUMMYFUNCTION("""COMPUTED_VALUE"""),0.5520833333333334)</f>
        <v>0.5520833333</v>
      </c>
      <c r="K40" s="60">
        <f t="shared" si="1"/>
        <v>0.01388888889</v>
      </c>
      <c r="L40" s="51" t="s">
        <v>111</v>
      </c>
      <c r="M40" s="62" t="s">
        <v>705</v>
      </c>
      <c r="N40" s="62" t="str">
        <f t="shared" si="2"/>
        <v>AT_7_7_8bd1d885-2ccb-4623-80fc-170eab4eb74f_000000_000000.mp4</v>
      </c>
      <c r="O40" s="50"/>
      <c r="P40" s="50"/>
      <c r="Q40" s="63"/>
      <c r="R40" s="51"/>
      <c r="S40" s="51"/>
      <c r="T40" s="51"/>
    </row>
    <row r="41">
      <c r="A41" s="51" t="str">
        <f>IFERROR(__xludf.DUMMYFUNCTION("""COMPUTED_VALUE"""),"Lunch break")</f>
        <v>Lunch break</v>
      </c>
      <c r="B41" s="51" t="str">
        <f>IFERROR(__xludf.DUMMYFUNCTION("""COMPUTED_VALUE"""),"Auto/Tech &amp; TalkRobot")</f>
        <v>Auto/Tech &amp; TalkRobot</v>
      </c>
      <c r="C41" s="56" t="str">
        <f>IFERROR(__xludf.DUMMYFUNCTION("""COMPUTED_VALUE"""),"")</f>
        <v/>
      </c>
      <c r="D41" s="51" t="str">
        <f>IFERROR(__xludf.DUMMYFUNCTION("""COMPUTED_VALUE"""),"2019/11/07 13:15:00")</f>
        <v>2019/11/07 13:15:00</v>
      </c>
      <c r="E41" s="51" t="str">
        <f>IFERROR(__xludf.DUMMYFUNCTION("""COMPUTED_VALUE"""),"2019/11/07 14:00:00")</f>
        <v>2019/11/07 14:00:00</v>
      </c>
      <c r="F41" s="51" t="str">
        <f>IFERROR(__xludf.DUMMYFUNCTION("""COMPUTED_VALUE"""),"2329764e-2047-4a7c-bf60-96b7010adea9")</f>
        <v>2329764e-2047-4a7c-bf60-96b7010adea9</v>
      </c>
      <c r="G41" s="58">
        <f>IFERROR(__xludf.DUMMYFUNCTION("""COMPUTED_VALUE"""),43776.0)</f>
        <v>43776</v>
      </c>
      <c r="H41" s="60">
        <f>IFERROR(__xludf.DUMMYFUNCTION("""COMPUTED_VALUE"""),0.5520833333333334)</f>
        <v>0.5520833333</v>
      </c>
      <c r="I41" s="58">
        <f>IFERROR(__xludf.DUMMYFUNCTION("""COMPUTED_VALUE"""),43776.0)</f>
        <v>43776</v>
      </c>
      <c r="J41" s="60">
        <f>IFERROR(__xludf.DUMMYFUNCTION("""COMPUTED_VALUE"""),0.5833333333333334)</f>
        <v>0.5833333333</v>
      </c>
      <c r="K41" s="60">
        <f t="shared" si="1"/>
        <v>0.03125</v>
      </c>
      <c r="L41" s="51" t="s">
        <v>131</v>
      </c>
      <c r="M41" s="51"/>
      <c r="N41" s="62" t="str">
        <f t="shared" si="2"/>
        <v>_2329764e-2047-4a7c-bf60-96b7010adea9_000000_000000.mp4</v>
      </c>
      <c r="O41" s="50"/>
      <c r="P41" s="50"/>
      <c r="Q41" s="63"/>
      <c r="R41" s="51"/>
      <c r="S41" s="51"/>
      <c r="T41" s="51"/>
    </row>
    <row r="42">
      <c r="A42" s="51" t="str">
        <f>IFERROR(__xludf.DUMMYFUNCTION("""COMPUTED_VALUE"""),"The post-digital era is upon us")</f>
        <v>The post-digital era is upon us</v>
      </c>
      <c r="B42" s="51" t="str">
        <f>IFERROR(__xludf.DUMMYFUNCTION("""COMPUTED_VALUE"""),"Auto/Tech &amp; TalkRobot")</f>
        <v>Auto/Tech &amp; TalkRobot</v>
      </c>
      <c r="C42" s="56" t="str">
        <f>IFERROR(__xludf.DUMMYFUNCTION("""COMPUTED_VALUE"""),"Yves Bernaert")</f>
        <v>Yves Bernaert</v>
      </c>
      <c r="D42" s="51" t="str">
        <f>IFERROR(__xludf.DUMMYFUNCTION("""COMPUTED_VALUE"""),"2019/11/07 14:00:00")</f>
        <v>2019/11/07 14:00:00</v>
      </c>
      <c r="E42" s="51" t="str">
        <f>IFERROR(__xludf.DUMMYFUNCTION("""COMPUTED_VALUE"""),"2019/11/07 14:15:00")</f>
        <v>2019/11/07 14:15:00</v>
      </c>
      <c r="F42" s="51" t="str">
        <f>IFERROR(__xludf.DUMMYFUNCTION("""COMPUTED_VALUE"""),"1d46df38-c3dc-4da4-9ff8-6abc2f27e67f")</f>
        <v>1d46df38-c3dc-4da4-9ff8-6abc2f27e67f</v>
      </c>
      <c r="G42" s="58">
        <f>IFERROR(__xludf.DUMMYFUNCTION("""COMPUTED_VALUE"""),43776.0)</f>
        <v>43776</v>
      </c>
      <c r="H42" s="60">
        <f>IFERROR(__xludf.DUMMYFUNCTION("""COMPUTED_VALUE"""),0.5833333333333334)</f>
        <v>0.5833333333</v>
      </c>
      <c r="I42" s="58">
        <f>IFERROR(__xludf.DUMMYFUNCTION("""COMPUTED_VALUE"""),43776.0)</f>
        <v>43776</v>
      </c>
      <c r="J42" s="60">
        <f>IFERROR(__xludf.DUMMYFUNCTION("""COMPUTED_VALUE"""),0.59375)</f>
        <v>0.59375</v>
      </c>
      <c r="K42" s="60">
        <f t="shared" si="1"/>
        <v>0.01041666667</v>
      </c>
      <c r="L42" s="51" t="s">
        <v>116</v>
      </c>
      <c r="M42" s="62" t="s">
        <v>706</v>
      </c>
      <c r="N42" s="62" t="str">
        <f t="shared" si="2"/>
        <v>AT_7_8_1d46df38-c3dc-4da4-9ff8-6abc2f27e67f_000000_000000.mp4</v>
      </c>
      <c r="O42" s="50"/>
      <c r="P42" s="50"/>
      <c r="Q42" s="63"/>
      <c r="R42" s="51"/>
      <c r="S42" s="51"/>
      <c r="T42" s="51"/>
    </row>
    <row r="43">
      <c r="A43" s="51" t="str">
        <f>IFERROR(__xludf.DUMMYFUNCTION("""COMPUTED_VALUE"""),"Helping robots to make smarter decisions")</f>
        <v>Helping robots to make smarter decisions</v>
      </c>
      <c r="B43" s="51" t="str">
        <f>IFERROR(__xludf.DUMMYFUNCTION("""COMPUTED_VALUE"""),"Auto/Tech &amp; TalkRobot")</f>
        <v>Auto/Tech &amp; TalkRobot</v>
      </c>
      <c r="C43" s="56" t="str">
        <f>IFERROR(__xludf.DUMMYFUNCTION("""COMPUTED_VALUE"""),"Dor Skuler, Patrick Sobalvarro and Eamonn Carey")</f>
        <v>Dor Skuler, Patrick Sobalvarro and Eamonn Carey</v>
      </c>
      <c r="D43" s="51" t="str">
        <f>IFERROR(__xludf.DUMMYFUNCTION("""COMPUTED_VALUE"""),"2019/11/07 14:00:00")</f>
        <v>2019/11/07 14:00:00</v>
      </c>
      <c r="E43" s="51" t="str">
        <f>IFERROR(__xludf.DUMMYFUNCTION("""COMPUTED_VALUE"""),"2019/11/07 14:15:00")</f>
        <v>2019/11/07 14:15:00</v>
      </c>
      <c r="F43" s="51" t="str">
        <f>IFERROR(__xludf.DUMMYFUNCTION("""COMPUTED_VALUE"""),"e8988775-c079-450b-b1e7-61849bb48a62")</f>
        <v>e8988775-c079-450b-b1e7-61849bb48a62</v>
      </c>
      <c r="G43" s="58">
        <f>IFERROR(__xludf.DUMMYFUNCTION("""COMPUTED_VALUE"""),43776.0)</f>
        <v>43776</v>
      </c>
      <c r="H43" s="60">
        <f>IFERROR(__xludf.DUMMYFUNCTION("""COMPUTED_VALUE"""),0.5833333333333334)</f>
        <v>0.5833333333</v>
      </c>
      <c r="I43" s="58">
        <f>IFERROR(__xludf.DUMMYFUNCTION("""COMPUTED_VALUE"""),43776.0)</f>
        <v>43776</v>
      </c>
      <c r="J43" s="60">
        <f>IFERROR(__xludf.DUMMYFUNCTION("""COMPUTED_VALUE"""),0.59375)</f>
        <v>0.59375</v>
      </c>
      <c r="K43" s="60">
        <f t="shared" si="1"/>
        <v>0.01041666667</v>
      </c>
      <c r="L43" s="51" t="s">
        <v>116</v>
      </c>
      <c r="M43" s="62" t="s">
        <v>707</v>
      </c>
      <c r="N43" s="62" t="str">
        <f t="shared" si="2"/>
        <v>AT_7_9_e8988775-c079-450b-b1e7-61849bb48a62_000000_000000.mp4</v>
      </c>
      <c r="O43" s="50"/>
      <c r="P43" s="50"/>
      <c r="Q43" s="63"/>
      <c r="R43" s="51"/>
      <c r="S43" s="51"/>
      <c r="T43" s="51"/>
    </row>
    <row r="44">
      <c r="A44" s="51" t="str">
        <f>IFERROR(__xludf.DUMMYFUNCTION("""COMPUTED_VALUE"""),"The middle mile - breaking american car culture")</f>
        <v>The middle mile - breaking american car culture</v>
      </c>
      <c r="B44" s="51" t="str">
        <f>IFERROR(__xludf.DUMMYFUNCTION("""COMPUTED_VALUE"""),"Auto/Tech &amp; TalkRobot")</f>
        <v>Auto/Tech &amp; TalkRobot</v>
      </c>
      <c r="C44" s="56" t="str">
        <f>IFERROR(__xludf.DUMMYFUNCTION("""COMPUTED_VALUE"""),"Frank Reig")</f>
        <v>Frank Reig</v>
      </c>
      <c r="D44" s="51" t="str">
        <f>IFERROR(__xludf.DUMMYFUNCTION("""COMPUTED_VALUE"""),"2019/11/07 14:30:00")</f>
        <v>2019/11/07 14:30:00</v>
      </c>
      <c r="E44" s="51" t="str">
        <f>IFERROR(__xludf.DUMMYFUNCTION("""COMPUTED_VALUE"""),"2019/11/07 14:50:00")</f>
        <v>2019/11/07 14:50:00</v>
      </c>
      <c r="F44" s="51" t="str">
        <f>IFERROR(__xludf.DUMMYFUNCTION("""COMPUTED_VALUE"""),"a0cf0658-f16a-4c4c-a816-d9a93784684d")</f>
        <v>a0cf0658-f16a-4c4c-a816-d9a93784684d</v>
      </c>
      <c r="G44" s="58">
        <f>IFERROR(__xludf.DUMMYFUNCTION("""COMPUTED_VALUE"""),43776.0)</f>
        <v>43776</v>
      </c>
      <c r="H44" s="60">
        <f>IFERROR(__xludf.DUMMYFUNCTION("""COMPUTED_VALUE"""),0.6041666666666666)</f>
        <v>0.6041666667</v>
      </c>
      <c r="I44" s="58">
        <f>IFERROR(__xludf.DUMMYFUNCTION("""COMPUTED_VALUE"""),43776.0)</f>
        <v>43776</v>
      </c>
      <c r="J44" s="60">
        <f>IFERROR(__xludf.DUMMYFUNCTION("""COMPUTED_VALUE"""),0.6180555555555556)</f>
        <v>0.6180555556</v>
      </c>
      <c r="K44" s="60">
        <f t="shared" si="1"/>
        <v>0.01388888889</v>
      </c>
      <c r="L44" s="51" t="s">
        <v>111</v>
      </c>
      <c r="M44" s="62" t="s">
        <v>708</v>
      </c>
      <c r="N44" s="62" t="str">
        <f t="shared" si="2"/>
        <v>AT_7_10_a0cf0658-f16a-4c4c-a816-d9a93784684d_000000_000000.mp4</v>
      </c>
      <c r="O44" s="50"/>
      <c r="P44" s="50"/>
      <c r="Q44" s="63"/>
      <c r="R44" s="51"/>
      <c r="S44" s="51"/>
      <c r="T44" s="51"/>
    </row>
    <row r="45">
      <c r="A45" s="51" t="str">
        <f>IFERROR(__xludf.DUMMYFUNCTION("""COMPUTED_VALUE"""),"Looking at the new face of hypercars")</f>
        <v>Looking at the new face of hypercars</v>
      </c>
      <c r="B45" s="51" t="str">
        <f>IFERROR(__xludf.DUMMYFUNCTION("""COMPUTED_VALUE"""),"Auto/Tech &amp; TalkRobot")</f>
        <v>Auto/Tech &amp; TalkRobot</v>
      </c>
      <c r="C45" s="56" t="str">
        <f>IFERROR(__xludf.DUMMYFUNCTION("""COMPUTED_VALUE"""),"Tim Richardson")</f>
        <v>Tim Richardson</v>
      </c>
      <c r="D45" s="51" t="str">
        <f>IFERROR(__xludf.DUMMYFUNCTION("""COMPUTED_VALUE"""),"2019/11/07 14:50:00")</f>
        <v>2019/11/07 14:50:00</v>
      </c>
      <c r="E45" s="51" t="str">
        <f>IFERROR(__xludf.DUMMYFUNCTION("""COMPUTED_VALUE"""),"2019/11/07 15:10:00")</f>
        <v>2019/11/07 15:10:00</v>
      </c>
      <c r="F45" s="51" t="str">
        <f>IFERROR(__xludf.DUMMYFUNCTION("""COMPUTED_VALUE"""),"4f6e9231-2160-4443-b7db-9933415ddd50")</f>
        <v>4f6e9231-2160-4443-b7db-9933415ddd50</v>
      </c>
      <c r="G45" s="58">
        <f>IFERROR(__xludf.DUMMYFUNCTION("""COMPUTED_VALUE"""),43776.0)</f>
        <v>43776</v>
      </c>
      <c r="H45" s="60">
        <f>IFERROR(__xludf.DUMMYFUNCTION("""COMPUTED_VALUE"""),0.6180555555555556)</f>
        <v>0.6180555556</v>
      </c>
      <c r="I45" s="58">
        <f>IFERROR(__xludf.DUMMYFUNCTION("""COMPUTED_VALUE"""),43776.0)</f>
        <v>43776</v>
      </c>
      <c r="J45" s="60">
        <f>IFERROR(__xludf.DUMMYFUNCTION("""COMPUTED_VALUE"""),0.6319444444444444)</f>
        <v>0.6319444444</v>
      </c>
      <c r="K45" s="60">
        <f t="shared" si="1"/>
        <v>0.01388888889</v>
      </c>
      <c r="L45" s="51" t="s">
        <v>111</v>
      </c>
      <c r="M45" s="62" t="s">
        <v>709</v>
      </c>
      <c r="N45" s="62" t="str">
        <f t="shared" si="2"/>
        <v>AT_7_11_4f6e9231-2160-4443-b7db-9933415ddd50_000000_000000.mp4</v>
      </c>
      <c r="O45" s="50"/>
      <c r="P45" s="50"/>
      <c r="Q45" s="63"/>
      <c r="R45" s="51"/>
      <c r="S45" s="51"/>
      <c r="T45" s="51"/>
    </row>
    <row r="46">
      <c r="A46" s="51" t="str">
        <f>IFERROR(__xludf.DUMMYFUNCTION("""COMPUTED_VALUE"""),"Beyond the hype: Why everything you hear about technology is wrong")</f>
        <v>Beyond the hype: Why everything you hear about technology is wrong</v>
      </c>
      <c r="B46" s="51" t="str">
        <f>IFERROR(__xludf.DUMMYFUNCTION("""COMPUTED_VALUE"""),"Auto/Tech &amp; TalkRobot")</f>
        <v>Auto/Tech &amp; TalkRobot</v>
      </c>
      <c r="C46" s="56" t="str">
        <f>IFERROR(__xludf.DUMMYFUNCTION("""COMPUTED_VALUE"""),"Arthur Hu")</f>
        <v>Arthur Hu</v>
      </c>
      <c r="D46" s="51" t="str">
        <f>IFERROR(__xludf.DUMMYFUNCTION("""COMPUTED_VALUE"""),"2019/11/07 15:10:00")</f>
        <v>2019/11/07 15:10:00</v>
      </c>
      <c r="E46" s="51" t="str">
        <f>IFERROR(__xludf.DUMMYFUNCTION("""COMPUTED_VALUE"""),"2019/11/07 15:30:00")</f>
        <v>2019/11/07 15:30:00</v>
      </c>
      <c r="F46" s="51" t="str">
        <f>IFERROR(__xludf.DUMMYFUNCTION("""COMPUTED_VALUE"""),"d3ae6007-4ef3-40d9-9ce1-d9f59c9e330d")</f>
        <v>d3ae6007-4ef3-40d9-9ce1-d9f59c9e330d</v>
      </c>
      <c r="G46" s="58">
        <f>IFERROR(__xludf.DUMMYFUNCTION("""COMPUTED_VALUE"""),43776.0)</f>
        <v>43776</v>
      </c>
      <c r="H46" s="60">
        <f>IFERROR(__xludf.DUMMYFUNCTION("""COMPUTED_VALUE"""),0.6319444444444444)</f>
        <v>0.6319444444</v>
      </c>
      <c r="I46" s="58">
        <f>IFERROR(__xludf.DUMMYFUNCTION("""COMPUTED_VALUE"""),43776.0)</f>
        <v>43776</v>
      </c>
      <c r="J46" s="60">
        <f>IFERROR(__xludf.DUMMYFUNCTION("""COMPUTED_VALUE"""),0.6458333333333334)</f>
        <v>0.6458333333</v>
      </c>
      <c r="K46" s="60">
        <f t="shared" si="1"/>
        <v>0.01388888889</v>
      </c>
      <c r="L46" s="51" t="s">
        <v>111</v>
      </c>
      <c r="M46" s="62" t="s">
        <v>710</v>
      </c>
      <c r="N46" s="62" t="str">
        <f t="shared" si="2"/>
        <v>AT_7_12_d3ae6007-4ef3-40d9-9ce1-d9f59c9e330d_000000_000000.mp4</v>
      </c>
      <c r="O46" s="50"/>
      <c r="P46" s="50"/>
      <c r="Q46" s="63"/>
      <c r="R46" s="51"/>
      <c r="S46" s="51"/>
      <c r="T46" s="51"/>
    </row>
    <row r="47">
      <c r="A47" s="51" t="str">
        <f>IFERROR(__xludf.DUMMYFUNCTION("""COMPUTED_VALUE"""),"The auto industry's diversity problem")</f>
        <v>The auto industry's diversity problem</v>
      </c>
      <c r="B47" s="51" t="str">
        <f>IFERROR(__xludf.DUMMYFUNCTION("""COMPUTED_VALUE"""),"Auto/Tech &amp; TalkRobot")</f>
        <v>Auto/Tech &amp; TalkRobot</v>
      </c>
      <c r="C47" s="56" t="str">
        <f>IFERROR(__xludf.DUMMYFUNCTION("""COMPUTED_VALUE"""),"Michelle Fang and Jared Lindzon")</f>
        <v>Michelle Fang and Jared Lindzon</v>
      </c>
      <c r="D47" s="51" t="str">
        <f>IFERROR(__xludf.DUMMYFUNCTION("""COMPUTED_VALUE"""),"2019/11/07 15:30:00")</f>
        <v>2019/11/07 15:30:00</v>
      </c>
      <c r="E47" s="51" t="str">
        <f>IFERROR(__xludf.DUMMYFUNCTION("""COMPUTED_VALUE"""),"2019/11/07 15:50:00")</f>
        <v>2019/11/07 15:50:00</v>
      </c>
      <c r="F47" s="51" t="str">
        <f>IFERROR(__xludf.DUMMYFUNCTION("""COMPUTED_VALUE"""),"9c700166-004f-4324-ae90-fd1e121b58f0")</f>
        <v>9c700166-004f-4324-ae90-fd1e121b58f0</v>
      </c>
      <c r="G47" s="58">
        <f>IFERROR(__xludf.DUMMYFUNCTION("""COMPUTED_VALUE"""),43776.0)</f>
        <v>43776</v>
      </c>
      <c r="H47" s="60">
        <f>IFERROR(__xludf.DUMMYFUNCTION("""COMPUTED_VALUE"""),0.6458333333333334)</f>
        <v>0.6458333333</v>
      </c>
      <c r="I47" s="58">
        <f>IFERROR(__xludf.DUMMYFUNCTION("""COMPUTED_VALUE"""),43776.0)</f>
        <v>43776</v>
      </c>
      <c r="J47" s="60">
        <f>IFERROR(__xludf.DUMMYFUNCTION("""COMPUTED_VALUE"""),0.6597222222222222)</f>
        <v>0.6597222222</v>
      </c>
      <c r="K47" s="60">
        <f t="shared" si="1"/>
        <v>0.01388888889</v>
      </c>
      <c r="L47" s="51" t="s">
        <v>111</v>
      </c>
      <c r="M47" s="62" t="s">
        <v>711</v>
      </c>
      <c r="N47" s="62" t="str">
        <f t="shared" si="2"/>
        <v>AT_7_13_9c700166-004f-4324-ae90-fd1e121b58f0_000000_000000.mp4</v>
      </c>
      <c r="O47" s="50"/>
      <c r="P47" s="50"/>
      <c r="Q47" s="63"/>
      <c r="R47" s="51"/>
      <c r="S47" s="51"/>
      <c r="T47" s="51"/>
    </row>
    <row r="48">
      <c r="A48" s="51" t="str">
        <f>IFERROR(__xludf.DUMMYFUNCTION("""COMPUTED_VALUE"""),"Learn to win")</f>
        <v>Learn to win</v>
      </c>
      <c r="B48" s="51" t="str">
        <f>IFERROR(__xludf.DUMMYFUNCTION("""COMPUTED_VALUE"""),"Auto/Tech &amp; TalkRobot")</f>
        <v>Auto/Tech &amp; TalkRobot</v>
      </c>
      <c r="C48" s="56" t="str">
        <f>IFERROR(__xludf.DUMMYFUNCTION("""COMPUTED_VALUE"""),"Martin Brandenburg")</f>
        <v>Martin Brandenburg</v>
      </c>
      <c r="D48" s="51" t="str">
        <f>IFERROR(__xludf.DUMMYFUNCTION("""COMPUTED_VALUE"""),"2019/11/07 15:50:00")</f>
        <v>2019/11/07 15:50:00</v>
      </c>
      <c r="E48" s="51" t="str">
        <f>IFERROR(__xludf.DUMMYFUNCTION("""COMPUTED_VALUE"""),"2019/11/07 16:10:00")</f>
        <v>2019/11/07 16:10:00</v>
      </c>
      <c r="F48" s="51" t="str">
        <f>IFERROR(__xludf.DUMMYFUNCTION("""COMPUTED_VALUE"""),"47c37516-18b2-413f-a57b-54950f924c2c")</f>
        <v>47c37516-18b2-413f-a57b-54950f924c2c</v>
      </c>
      <c r="G48" s="58">
        <f>IFERROR(__xludf.DUMMYFUNCTION("""COMPUTED_VALUE"""),43776.0)</f>
        <v>43776</v>
      </c>
      <c r="H48" s="60">
        <f>IFERROR(__xludf.DUMMYFUNCTION("""COMPUTED_VALUE"""),0.6597222222222222)</f>
        <v>0.6597222222</v>
      </c>
      <c r="I48" s="58">
        <f>IFERROR(__xludf.DUMMYFUNCTION("""COMPUTED_VALUE"""),43776.0)</f>
        <v>43776</v>
      </c>
      <c r="J48" s="60">
        <f>IFERROR(__xludf.DUMMYFUNCTION("""COMPUTED_VALUE"""),0.6736111111111112)</f>
        <v>0.6736111111</v>
      </c>
      <c r="K48" s="60">
        <f t="shared" si="1"/>
        <v>0.01388888889</v>
      </c>
      <c r="L48" s="51" t="s">
        <v>111</v>
      </c>
      <c r="M48" s="62" t="s">
        <v>712</v>
      </c>
      <c r="N48" s="62" t="str">
        <f t="shared" si="2"/>
        <v>AT_7_14_47c37516-18b2-413f-a57b-54950f924c2c_000000_000000.mp4</v>
      </c>
      <c r="O48" s="50"/>
      <c r="P48" s="50"/>
      <c r="Q48" s="63"/>
      <c r="R48" s="51"/>
      <c r="S48" s="51"/>
      <c r="T48" s="51"/>
    </row>
    <row r="49">
      <c r="A49" s="51"/>
      <c r="B49" s="51"/>
      <c r="C49" s="56"/>
      <c r="D49" s="51"/>
      <c r="E49" s="51"/>
      <c r="F49" s="51"/>
      <c r="G49" s="51" t="str">
        <f>IFERROR(__xludf.DUMMYFUNCTION("""COMPUTED_VALUE"""),"#VALUE!")</f>
        <v>#VALUE!</v>
      </c>
      <c r="H49" s="51" t="str">
        <f>IFERROR(__xludf.DUMMYFUNCTION("""COMPUTED_VALUE"""),"")</f>
        <v/>
      </c>
      <c r="I49" s="51" t="str">
        <f>IFERROR(__xludf.DUMMYFUNCTION("""COMPUTED_VALUE"""),"#VALUE!")</f>
        <v>#VALUE!</v>
      </c>
      <c r="J49" s="51" t="str">
        <f>IFERROR(__xludf.DUMMYFUNCTION("""COMPUTED_VALUE"""),"")</f>
        <v/>
      </c>
      <c r="K49" s="51">
        <f t="shared" si="1"/>
        <v>0</v>
      </c>
      <c r="L49" s="51" t="s">
        <v>257</v>
      </c>
      <c r="M49" s="51"/>
      <c r="N49" s="51"/>
      <c r="O49" s="51"/>
      <c r="P49" s="51"/>
      <c r="Q49" s="51"/>
      <c r="R49" s="51"/>
      <c r="S49" s="51"/>
      <c r="T49" s="51"/>
    </row>
    <row r="50">
      <c r="A50" s="51"/>
      <c r="B50" s="51"/>
      <c r="C50" s="56"/>
      <c r="D50" s="51"/>
      <c r="E50" s="51"/>
      <c r="F50" s="51"/>
      <c r="G50" s="51" t="str">
        <f>IFERROR(__xludf.DUMMYFUNCTION("""COMPUTED_VALUE"""),"#VALUE!")</f>
        <v>#VALUE!</v>
      </c>
      <c r="H50" s="51" t="str">
        <f>IFERROR(__xludf.DUMMYFUNCTION("""COMPUTED_VALUE"""),"")</f>
        <v/>
      </c>
      <c r="I50" s="51" t="str">
        <f>IFERROR(__xludf.DUMMYFUNCTION("""COMPUTED_VALUE"""),"#VALUE!")</f>
        <v>#VALUE!</v>
      </c>
      <c r="J50" s="51" t="str">
        <f>IFERROR(__xludf.DUMMYFUNCTION("""COMPUTED_VALUE"""),"")</f>
        <v/>
      </c>
      <c r="K50" s="51">
        <f t="shared" si="1"/>
        <v>0</v>
      </c>
      <c r="L50" s="51" t="s">
        <v>257</v>
      </c>
      <c r="M50" s="51"/>
      <c r="N50" s="51"/>
      <c r="O50" s="51"/>
      <c r="P50" s="51"/>
      <c r="Q50" s="51"/>
      <c r="R50" s="51"/>
      <c r="S50" s="51"/>
      <c r="T50" s="51"/>
    </row>
    <row r="51">
      <c r="A51" s="51"/>
      <c r="B51" s="51"/>
      <c r="C51" s="56"/>
      <c r="D51" s="51"/>
      <c r="E51" s="51"/>
      <c r="F51" s="51"/>
      <c r="G51" s="51" t="str">
        <f>IFERROR(__xludf.DUMMYFUNCTION("""COMPUTED_VALUE"""),"#VALUE!")</f>
        <v>#VALUE!</v>
      </c>
      <c r="H51" s="51" t="str">
        <f>IFERROR(__xludf.DUMMYFUNCTION("""COMPUTED_VALUE"""),"")</f>
        <v/>
      </c>
      <c r="I51" s="51" t="str">
        <f>IFERROR(__xludf.DUMMYFUNCTION("""COMPUTED_VALUE"""),"#VALUE!")</f>
        <v>#VALUE!</v>
      </c>
      <c r="J51" s="51" t="str">
        <f>IFERROR(__xludf.DUMMYFUNCTION("""COMPUTED_VALUE"""),"")</f>
        <v/>
      </c>
      <c r="K51" s="51">
        <f t="shared" si="1"/>
        <v>0</v>
      </c>
      <c r="L51" s="51" t="s">
        <v>257</v>
      </c>
      <c r="M51" s="51"/>
      <c r="N51" s="51"/>
      <c r="O51" s="51"/>
      <c r="P51" s="51"/>
      <c r="Q51" s="51"/>
      <c r="R51" s="51"/>
      <c r="S51" s="51"/>
      <c r="T51" s="51"/>
    </row>
    <row r="52">
      <c r="A52" s="51"/>
      <c r="B52" s="51"/>
      <c r="C52" s="56"/>
      <c r="D52" s="51"/>
      <c r="E52" s="51"/>
      <c r="F52" s="51"/>
      <c r="G52" s="51" t="str">
        <f>IFERROR(__xludf.DUMMYFUNCTION("""COMPUTED_VALUE"""),"#VALUE!")</f>
        <v>#VALUE!</v>
      </c>
      <c r="H52" s="51" t="str">
        <f>IFERROR(__xludf.DUMMYFUNCTION("""COMPUTED_VALUE"""),"")</f>
        <v/>
      </c>
      <c r="I52" s="51" t="str">
        <f>IFERROR(__xludf.DUMMYFUNCTION("""COMPUTED_VALUE"""),"#VALUE!")</f>
        <v>#VALUE!</v>
      </c>
      <c r="J52" s="51" t="str">
        <f>IFERROR(__xludf.DUMMYFUNCTION("""COMPUTED_VALUE"""),"")</f>
        <v/>
      </c>
      <c r="K52" s="51">
        <f t="shared" si="1"/>
        <v>0</v>
      </c>
      <c r="L52" s="51" t="s">
        <v>257</v>
      </c>
      <c r="M52" s="51"/>
      <c r="N52" s="51"/>
      <c r="O52" s="51"/>
      <c r="P52" s="51"/>
      <c r="Q52" s="51"/>
      <c r="R52" s="51"/>
      <c r="S52" s="51"/>
      <c r="T52" s="51"/>
    </row>
    <row r="53">
      <c r="A53" s="51"/>
      <c r="B53" s="51"/>
      <c r="C53" s="56"/>
      <c r="D53" s="51"/>
      <c r="E53" s="51"/>
      <c r="F53" s="51"/>
      <c r="G53" s="51" t="str">
        <f>IFERROR(__xludf.DUMMYFUNCTION("""COMPUTED_VALUE"""),"#VALUE!")</f>
        <v>#VALUE!</v>
      </c>
      <c r="H53" s="51" t="str">
        <f>IFERROR(__xludf.DUMMYFUNCTION("""COMPUTED_VALUE"""),"")</f>
        <v/>
      </c>
      <c r="I53" s="51" t="str">
        <f>IFERROR(__xludf.DUMMYFUNCTION("""COMPUTED_VALUE"""),"#VALUE!")</f>
        <v>#VALUE!</v>
      </c>
      <c r="J53" s="51" t="str">
        <f>IFERROR(__xludf.DUMMYFUNCTION("""COMPUTED_VALUE"""),"")</f>
        <v/>
      </c>
      <c r="K53" s="51">
        <f t="shared" si="1"/>
        <v>0</v>
      </c>
      <c r="L53" s="51" t="s">
        <v>257</v>
      </c>
      <c r="M53" s="51"/>
      <c r="N53" s="51"/>
      <c r="O53" s="51"/>
      <c r="P53" s="51"/>
      <c r="Q53" s="51"/>
      <c r="R53" s="51"/>
      <c r="S53" s="51"/>
      <c r="T53" s="51"/>
    </row>
    <row r="54">
      <c r="A54" s="51"/>
      <c r="B54" s="51"/>
      <c r="C54" s="56"/>
      <c r="D54" s="51"/>
      <c r="E54" s="51"/>
      <c r="F54" s="51"/>
      <c r="G54" s="51" t="str">
        <f>IFERROR(__xludf.DUMMYFUNCTION("""COMPUTED_VALUE"""),"#VALUE!")</f>
        <v>#VALUE!</v>
      </c>
      <c r="H54" s="51" t="str">
        <f>IFERROR(__xludf.DUMMYFUNCTION("""COMPUTED_VALUE"""),"")</f>
        <v/>
      </c>
      <c r="I54" s="51" t="str">
        <f>IFERROR(__xludf.DUMMYFUNCTION("""COMPUTED_VALUE"""),"#VALUE!")</f>
        <v>#VALUE!</v>
      </c>
      <c r="J54" s="51" t="str">
        <f>IFERROR(__xludf.DUMMYFUNCTION("""COMPUTED_VALUE"""),"")</f>
        <v/>
      </c>
      <c r="K54" s="51">
        <f t="shared" si="1"/>
        <v>0</v>
      </c>
      <c r="L54" s="51" t="s">
        <v>257</v>
      </c>
      <c r="M54" s="51"/>
      <c r="N54" s="51"/>
      <c r="O54" s="51"/>
      <c r="P54" s="51"/>
      <c r="Q54" s="51"/>
      <c r="R54" s="51"/>
      <c r="S54" s="51"/>
      <c r="T54" s="51"/>
    </row>
    <row r="55">
      <c r="A55" s="51"/>
      <c r="B55" s="51"/>
      <c r="C55" s="56"/>
      <c r="D55" s="51"/>
      <c r="E55" s="51"/>
      <c r="F55" s="51"/>
      <c r="G55" s="51" t="str">
        <f>IFERROR(__xludf.DUMMYFUNCTION("""COMPUTED_VALUE"""),"#VALUE!")</f>
        <v>#VALUE!</v>
      </c>
      <c r="H55" s="51" t="str">
        <f>IFERROR(__xludf.DUMMYFUNCTION("""COMPUTED_VALUE"""),"")</f>
        <v/>
      </c>
      <c r="I55" s="51" t="str">
        <f>IFERROR(__xludf.DUMMYFUNCTION("""COMPUTED_VALUE"""),"#VALUE!")</f>
        <v>#VALUE!</v>
      </c>
      <c r="J55" s="51" t="str">
        <f>IFERROR(__xludf.DUMMYFUNCTION("""COMPUTED_VALUE"""),"")</f>
        <v/>
      </c>
      <c r="K55" s="51">
        <f t="shared" si="1"/>
        <v>0</v>
      </c>
      <c r="L55" s="51" t="s">
        <v>257</v>
      </c>
      <c r="M55" s="51"/>
      <c r="N55" s="51"/>
      <c r="O55" s="51"/>
      <c r="P55" s="51"/>
      <c r="Q55" s="51"/>
      <c r="R55" s="51"/>
      <c r="S55" s="51"/>
      <c r="T55" s="51"/>
    </row>
    <row r="56">
      <c r="A56" s="51"/>
      <c r="B56" s="51"/>
      <c r="C56" s="56"/>
      <c r="D56" s="51"/>
      <c r="E56" s="51"/>
      <c r="F56" s="51"/>
      <c r="G56" s="51" t="str">
        <f>IFERROR(__xludf.DUMMYFUNCTION("""COMPUTED_VALUE"""),"#VALUE!")</f>
        <v>#VALUE!</v>
      </c>
      <c r="H56" s="51" t="str">
        <f>IFERROR(__xludf.DUMMYFUNCTION("""COMPUTED_VALUE"""),"")</f>
        <v/>
      </c>
      <c r="I56" s="51" t="str">
        <f>IFERROR(__xludf.DUMMYFUNCTION("""COMPUTED_VALUE"""),"#VALUE!")</f>
        <v>#VALUE!</v>
      </c>
      <c r="J56" s="51" t="str">
        <f>IFERROR(__xludf.DUMMYFUNCTION("""COMPUTED_VALUE"""),"")</f>
        <v/>
      </c>
      <c r="K56" s="51">
        <f t="shared" si="1"/>
        <v>0</v>
      </c>
      <c r="L56" s="51" t="s">
        <v>257</v>
      </c>
      <c r="M56" s="51"/>
      <c r="N56" s="51"/>
      <c r="O56" s="51"/>
      <c r="P56" s="51"/>
      <c r="Q56" s="51"/>
      <c r="R56" s="51"/>
      <c r="S56" s="51"/>
      <c r="T56" s="51"/>
    </row>
    <row r="57">
      <c r="A57" s="51"/>
      <c r="B57" s="51"/>
      <c r="C57" s="56"/>
      <c r="D57" s="51"/>
      <c r="E57" s="51"/>
      <c r="F57" s="51"/>
      <c r="G57" s="51" t="str">
        <f>IFERROR(__xludf.DUMMYFUNCTION("""COMPUTED_VALUE"""),"#VALUE!")</f>
        <v>#VALUE!</v>
      </c>
      <c r="H57" s="51" t="str">
        <f>IFERROR(__xludf.DUMMYFUNCTION("""COMPUTED_VALUE"""),"")</f>
        <v/>
      </c>
      <c r="I57" s="51" t="str">
        <f>IFERROR(__xludf.DUMMYFUNCTION("""COMPUTED_VALUE"""),"#VALUE!")</f>
        <v>#VALUE!</v>
      </c>
      <c r="J57" s="51" t="str">
        <f>IFERROR(__xludf.DUMMYFUNCTION("""COMPUTED_VALUE"""),"")</f>
        <v/>
      </c>
      <c r="K57" s="51">
        <f t="shared" si="1"/>
        <v>0</v>
      </c>
      <c r="L57" s="51" t="s">
        <v>257</v>
      </c>
      <c r="M57" s="51"/>
      <c r="N57" s="51"/>
      <c r="O57" s="51"/>
      <c r="P57" s="51"/>
      <c r="Q57" s="51"/>
      <c r="R57" s="51"/>
      <c r="S57" s="51"/>
      <c r="T57" s="51"/>
    </row>
    <row r="58">
      <c r="A58" s="51"/>
      <c r="B58" s="51"/>
      <c r="C58" s="56"/>
      <c r="D58" s="51"/>
      <c r="E58" s="51"/>
      <c r="F58" s="51"/>
      <c r="G58" s="51" t="str">
        <f>IFERROR(__xludf.DUMMYFUNCTION("""COMPUTED_VALUE"""),"#VALUE!")</f>
        <v>#VALUE!</v>
      </c>
      <c r="H58" s="51" t="str">
        <f>IFERROR(__xludf.DUMMYFUNCTION("""COMPUTED_VALUE"""),"")</f>
        <v/>
      </c>
      <c r="I58" s="51" t="str">
        <f>IFERROR(__xludf.DUMMYFUNCTION("""COMPUTED_VALUE"""),"#VALUE!")</f>
        <v>#VALUE!</v>
      </c>
      <c r="J58" s="51" t="str">
        <f>IFERROR(__xludf.DUMMYFUNCTION("""COMPUTED_VALUE"""),"")</f>
        <v/>
      </c>
      <c r="K58" s="51">
        <f t="shared" si="1"/>
        <v>0</v>
      </c>
      <c r="L58" s="51" t="s">
        <v>257</v>
      </c>
      <c r="M58" s="51"/>
      <c r="N58" s="51"/>
      <c r="O58" s="51"/>
      <c r="P58" s="51"/>
      <c r="Q58" s="51"/>
      <c r="R58" s="51"/>
      <c r="S58" s="51"/>
      <c r="T58" s="51"/>
    </row>
    <row r="59">
      <c r="A59" s="51"/>
      <c r="B59" s="51"/>
      <c r="C59" s="56"/>
      <c r="D59" s="51"/>
      <c r="E59" s="51"/>
      <c r="F59" s="51"/>
      <c r="G59" s="51" t="str">
        <f>IFERROR(__xludf.DUMMYFUNCTION("""COMPUTED_VALUE"""),"#VALUE!")</f>
        <v>#VALUE!</v>
      </c>
      <c r="H59" s="51" t="str">
        <f>IFERROR(__xludf.DUMMYFUNCTION("""COMPUTED_VALUE"""),"")</f>
        <v/>
      </c>
      <c r="I59" s="51" t="str">
        <f>IFERROR(__xludf.DUMMYFUNCTION("""COMPUTED_VALUE"""),"#VALUE!")</f>
        <v>#VALUE!</v>
      </c>
      <c r="J59" s="51" t="str">
        <f>IFERROR(__xludf.DUMMYFUNCTION("""COMPUTED_VALUE"""),"")</f>
        <v/>
      </c>
      <c r="K59" s="51">
        <f t="shared" si="1"/>
        <v>0</v>
      </c>
      <c r="L59" s="51" t="s">
        <v>257</v>
      </c>
      <c r="M59" s="51"/>
      <c r="N59" s="51"/>
      <c r="O59" s="51"/>
      <c r="P59" s="51"/>
      <c r="Q59" s="51"/>
      <c r="R59" s="51"/>
      <c r="S59" s="51"/>
      <c r="T59" s="51"/>
    </row>
    <row r="60">
      <c r="A60" s="51"/>
      <c r="B60" s="51"/>
      <c r="C60" s="56"/>
      <c r="D60" s="51"/>
      <c r="E60" s="51"/>
      <c r="F60" s="51"/>
      <c r="G60" s="51" t="str">
        <f>IFERROR(__xludf.DUMMYFUNCTION("""COMPUTED_VALUE"""),"#VALUE!")</f>
        <v>#VALUE!</v>
      </c>
      <c r="H60" s="51" t="str">
        <f>IFERROR(__xludf.DUMMYFUNCTION("""COMPUTED_VALUE"""),"")</f>
        <v/>
      </c>
      <c r="I60" s="51" t="str">
        <f>IFERROR(__xludf.DUMMYFUNCTION("""COMPUTED_VALUE"""),"#VALUE!")</f>
        <v>#VALUE!</v>
      </c>
      <c r="J60" s="51" t="str">
        <f>IFERROR(__xludf.DUMMYFUNCTION("""COMPUTED_VALUE"""),"")</f>
        <v/>
      </c>
      <c r="K60" s="51">
        <f t="shared" si="1"/>
        <v>0</v>
      </c>
      <c r="L60" s="51" t="s">
        <v>257</v>
      </c>
      <c r="M60" s="51"/>
      <c r="N60" s="51"/>
      <c r="O60" s="51"/>
      <c r="P60" s="51"/>
      <c r="Q60" s="51"/>
      <c r="R60" s="51"/>
      <c r="S60" s="51"/>
      <c r="T60" s="51"/>
    </row>
    <row r="61">
      <c r="A61" s="51"/>
      <c r="B61" s="51"/>
      <c r="C61" s="56"/>
      <c r="D61" s="51"/>
      <c r="E61" s="51"/>
      <c r="F61" s="51"/>
      <c r="G61" s="51" t="str">
        <f>IFERROR(__xludf.DUMMYFUNCTION("""COMPUTED_VALUE"""),"#VALUE!")</f>
        <v>#VALUE!</v>
      </c>
      <c r="H61" s="51" t="str">
        <f>IFERROR(__xludf.DUMMYFUNCTION("""COMPUTED_VALUE"""),"")</f>
        <v/>
      </c>
      <c r="I61" s="51" t="str">
        <f>IFERROR(__xludf.DUMMYFUNCTION("""COMPUTED_VALUE"""),"#VALUE!")</f>
        <v>#VALUE!</v>
      </c>
      <c r="J61" s="51" t="str">
        <f>IFERROR(__xludf.DUMMYFUNCTION("""COMPUTED_VALUE"""),"")</f>
        <v/>
      </c>
      <c r="K61" s="51">
        <f t="shared" si="1"/>
        <v>0</v>
      </c>
      <c r="L61" s="51" t="s">
        <v>257</v>
      </c>
      <c r="M61" s="51"/>
      <c r="N61" s="51"/>
      <c r="O61" s="51"/>
      <c r="P61" s="51"/>
      <c r="Q61" s="51"/>
      <c r="R61" s="51"/>
      <c r="S61" s="51"/>
      <c r="T61" s="51"/>
    </row>
    <row r="62">
      <c r="A62" s="51"/>
      <c r="B62" s="51"/>
      <c r="C62" s="56"/>
      <c r="D62" s="51"/>
      <c r="E62" s="51"/>
      <c r="F62" s="51"/>
      <c r="G62" s="51" t="str">
        <f>IFERROR(__xludf.DUMMYFUNCTION("""COMPUTED_VALUE"""),"#VALUE!")</f>
        <v>#VALUE!</v>
      </c>
      <c r="H62" s="51" t="str">
        <f>IFERROR(__xludf.DUMMYFUNCTION("""COMPUTED_VALUE"""),"")</f>
        <v/>
      </c>
      <c r="I62" s="51" t="str">
        <f>IFERROR(__xludf.DUMMYFUNCTION("""COMPUTED_VALUE"""),"#VALUE!")</f>
        <v>#VALUE!</v>
      </c>
      <c r="J62" s="51" t="str">
        <f>IFERROR(__xludf.DUMMYFUNCTION("""COMPUTED_VALUE"""),"")</f>
        <v/>
      </c>
      <c r="K62" s="51">
        <f t="shared" si="1"/>
        <v>0</v>
      </c>
      <c r="L62" s="51" t="s">
        <v>257</v>
      </c>
      <c r="M62" s="51"/>
      <c r="N62" s="51"/>
      <c r="O62" s="51"/>
      <c r="P62" s="51"/>
      <c r="Q62" s="51"/>
      <c r="R62" s="51"/>
      <c r="S62" s="51"/>
      <c r="T62" s="51"/>
    </row>
    <row r="63">
      <c r="A63" s="51"/>
      <c r="B63" s="51"/>
      <c r="C63" s="56"/>
      <c r="D63" s="51"/>
      <c r="E63" s="51"/>
      <c r="F63" s="51"/>
      <c r="G63" s="51" t="str">
        <f>IFERROR(__xludf.DUMMYFUNCTION("""COMPUTED_VALUE"""),"#VALUE!")</f>
        <v>#VALUE!</v>
      </c>
      <c r="H63" s="51" t="str">
        <f>IFERROR(__xludf.DUMMYFUNCTION("""COMPUTED_VALUE"""),"")</f>
        <v/>
      </c>
      <c r="I63" s="51" t="str">
        <f>IFERROR(__xludf.DUMMYFUNCTION("""COMPUTED_VALUE"""),"#VALUE!")</f>
        <v>#VALUE!</v>
      </c>
      <c r="J63" s="51" t="str">
        <f>IFERROR(__xludf.DUMMYFUNCTION("""COMPUTED_VALUE"""),"")</f>
        <v/>
      </c>
      <c r="K63" s="51">
        <f t="shared" si="1"/>
        <v>0</v>
      </c>
      <c r="L63" s="51" t="s">
        <v>257</v>
      </c>
      <c r="M63" s="51"/>
      <c r="N63" s="51"/>
      <c r="O63" s="51"/>
      <c r="P63" s="51"/>
      <c r="Q63" s="51"/>
      <c r="R63" s="51"/>
      <c r="S63" s="51"/>
      <c r="T63" s="51"/>
    </row>
    <row r="64">
      <c r="A64" s="51"/>
      <c r="B64" s="51"/>
      <c r="C64" s="56"/>
      <c r="D64" s="51"/>
      <c r="E64" s="51"/>
      <c r="F64" s="51"/>
      <c r="G64" s="51" t="str">
        <f>IFERROR(__xludf.DUMMYFUNCTION("""COMPUTED_VALUE"""),"#VALUE!")</f>
        <v>#VALUE!</v>
      </c>
      <c r="H64" s="51" t="str">
        <f>IFERROR(__xludf.DUMMYFUNCTION("""COMPUTED_VALUE"""),"")</f>
        <v/>
      </c>
      <c r="I64" s="51" t="str">
        <f>IFERROR(__xludf.DUMMYFUNCTION("""COMPUTED_VALUE"""),"#VALUE!")</f>
        <v>#VALUE!</v>
      </c>
      <c r="J64" s="51" t="str">
        <f>IFERROR(__xludf.DUMMYFUNCTION("""COMPUTED_VALUE"""),"")</f>
        <v/>
      </c>
      <c r="K64" s="51">
        <f t="shared" si="1"/>
        <v>0</v>
      </c>
      <c r="L64" s="51" t="s">
        <v>257</v>
      </c>
      <c r="M64" s="51"/>
      <c r="N64" s="51"/>
      <c r="O64" s="51"/>
      <c r="P64" s="51"/>
      <c r="Q64" s="51"/>
      <c r="R64" s="51"/>
      <c r="S64" s="51"/>
      <c r="T64" s="51"/>
    </row>
    <row r="65">
      <c r="A65" s="51"/>
      <c r="B65" s="51"/>
      <c r="C65" s="56"/>
      <c r="D65" s="51"/>
      <c r="E65" s="51"/>
      <c r="F65" s="51"/>
      <c r="G65" s="51" t="str">
        <f>IFERROR(__xludf.DUMMYFUNCTION("""COMPUTED_VALUE"""),"#VALUE!")</f>
        <v>#VALUE!</v>
      </c>
      <c r="H65" s="51" t="str">
        <f>IFERROR(__xludf.DUMMYFUNCTION("""COMPUTED_VALUE"""),"")</f>
        <v/>
      </c>
      <c r="I65" s="51" t="str">
        <f>IFERROR(__xludf.DUMMYFUNCTION("""COMPUTED_VALUE"""),"#VALUE!")</f>
        <v>#VALUE!</v>
      </c>
      <c r="J65" s="51" t="str">
        <f>IFERROR(__xludf.DUMMYFUNCTION("""COMPUTED_VALUE"""),"")</f>
        <v/>
      </c>
      <c r="K65" s="51"/>
      <c r="L65" s="51" t="s">
        <v>257</v>
      </c>
      <c r="M65" s="51"/>
      <c r="N65" s="51"/>
      <c r="O65" s="51"/>
      <c r="P65" s="51"/>
      <c r="Q65" s="51"/>
      <c r="R65" s="51"/>
      <c r="S65" s="51"/>
      <c r="T65" s="51"/>
    </row>
    <row r="66">
      <c r="A66" s="51"/>
      <c r="B66" s="51"/>
      <c r="C66" s="56"/>
      <c r="D66" s="51"/>
      <c r="E66" s="51"/>
      <c r="F66" s="51"/>
      <c r="G66" s="51" t="str">
        <f>IFERROR(__xludf.DUMMYFUNCTION("""COMPUTED_VALUE"""),"#VALUE!")</f>
        <v>#VALUE!</v>
      </c>
      <c r="H66" s="51" t="str">
        <f>IFERROR(__xludf.DUMMYFUNCTION("""COMPUTED_VALUE"""),"")</f>
        <v/>
      </c>
      <c r="I66" s="51" t="str">
        <f>IFERROR(__xludf.DUMMYFUNCTION("""COMPUTED_VALUE"""),"#VALUE!")</f>
        <v>#VALUE!</v>
      </c>
      <c r="J66" s="51" t="str">
        <f>IFERROR(__xludf.DUMMYFUNCTION("""COMPUTED_VALUE"""),"")</f>
        <v/>
      </c>
      <c r="K66" s="51"/>
      <c r="L66" s="51" t="s">
        <v>257</v>
      </c>
      <c r="M66" s="51"/>
      <c r="N66" s="51"/>
      <c r="O66" s="51"/>
      <c r="P66" s="51"/>
      <c r="Q66" s="51"/>
      <c r="R66" s="51"/>
      <c r="S66" s="51"/>
      <c r="T66" s="51"/>
    </row>
    <row r="67">
      <c r="A67" s="51"/>
      <c r="B67" s="51"/>
      <c r="C67" s="56"/>
      <c r="D67" s="51"/>
      <c r="E67" s="51"/>
      <c r="F67" s="51"/>
      <c r="G67" s="51" t="str">
        <f>IFERROR(__xludf.DUMMYFUNCTION("""COMPUTED_VALUE"""),"#VALUE!")</f>
        <v>#VALUE!</v>
      </c>
      <c r="H67" s="51" t="str">
        <f>IFERROR(__xludf.DUMMYFUNCTION("""COMPUTED_VALUE"""),"")</f>
        <v/>
      </c>
      <c r="I67" s="51" t="str">
        <f>IFERROR(__xludf.DUMMYFUNCTION("""COMPUTED_VALUE"""),"#VALUE!")</f>
        <v>#VALUE!</v>
      </c>
      <c r="J67" s="51" t="str">
        <f>IFERROR(__xludf.DUMMYFUNCTION("""COMPUTED_VALUE"""),"")</f>
        <v/>
      </c>
      <c r="K67" s="51"/>
      <c r="L67" s="51" t="s">
        <v>257</v>
      </c>
      <c r="M67" s="51"/>
      <c r="N67" s="51"/>
      <c r="O67" s="51"/>
      <c r="P67" s="51"/>
      <c r="Q67" s="51"/>
      <c r="R67" s="51"/>
      <c r="S67" s="51"/>
      <c r="T67" s="51"/>
    </row>
    <row r="68">
      <c r="A68" s="51"/>
      <c r="B68" s="51"/>
      <c r="C68" s="56"/>
      <c r="D68" s="51"/>
      <c r="E68" s="51"/>
      <c r="F68" s="51"/>
      <c r="G68" s="51" t="str">
        <f>IFERROR(__xludf.DUMMYFUNCTION("""COMPUTED_VALUE"""),"#VALUE!")</f>
        <v>#VALUE!</v>
      </c>
      <c r="H68" s="51" t="str">
        <f>IFERROR(__xludf.DUMMYFUNCTION("""COMPUTED_VALUE"""),"")</f>
        <v/>
      </c>
      <c r="I68" s="51" t="str">
        <f>IFERROR(__xludf.DUMMYFUNCTION("""COMPUTED_VALUE"""),"#VALUE!")</f>
        <v>#VALUE!</v>
      </c>
      <c r="J68" s="51" t="str">
        <f>IFERROR(__xludf.DUMMYFUNCTION("""COMPUTED_VALUE"""),"")</f>
        <v/>
      </c>
      <c r="K68" s="51"/>
      <c r="L68" s="51" t="s">
        <v>257</v>
      </c>
      <c r="M68" s="51"/>
      <c r="N68" s="51"/>
      <c r="O68" s="51"/>
      <c r="P68" s="51"/>
      <c r="Q68" s="51"/>
      <c r="R68" s="51"/>
      <c r="S68" s="51"/>
      <c r="T68" s="51"/>
    </row>
    <row r="69">
      <c r="A69" s="51"/>
      <c r="B69" s="51"/>
      <c r="C69" s="56"/>
      <c r="D69" s="51"/>
      <c r="E69" s="51"/>
      <c r="F69" s="51"/>
      <c r="G69" s="51" t="str">
        <f>IFERROR(__xludf.DUMMYFUNCTION("""COMPUTED_VALUE"""),"#VALUE!")</f>
        <v>#VALUE!</v>
      </c>
      <c r="H69" s="51" t="str">
        <f>IFERROR(__xludf.DUMMYFUNCTION("""COMPUTED_VALUE"""),"")</f>
        <v/>
      </c>
      <c r="I69" s="51" t="str">
        <f>IFERROR(__xludf.DUMMYFUNCTION("""COMPUTED_VALUE"""),"#VALUE!")</f>
        <v>#VALUE!</v>
      </c>
      <c r="J69" s="51" t="str">
        <f>IFERROR(__xludf.DUMMYFUNCTION("""COMPUTED_VALUE"""),"")</f>
        <v/>
      </c>
      <c r="K69" s="51"/>
      <c r="L69" s="51" t="s">
        <v>257</v>
      </c>
      <c r="M69" s="51"/>
      <c r="N69" s="51"/>
      <c r="O69" s="51"/>
      <c r="P69" s="51"/>
      <c r="Q69" s="51"/>
      <c r="R69" s="51"/>
      <c r="S69" s="51"/>
      <c r="T69" s="51"/>
    </row>
    <row r="70">
      <c r="A70" s="51"/>
      <c r="B70" s="51"/>
      <c r="C70" s="56"/>
      <c r="D70" s="51"/>
      <c r="E70" s="51"/>
      <c r="F70" s="51"/>
      <c r="G70" s="51" t="str">
        <f>IFERROR(__xludf.DUMMYFUNCTION("""COMPUTED_VALUE"""),"#VALUE!")</f>
        <v>#VALUE!</v>
      </c>
      <c r="H70" s="51" t="str">
        <f>IFERROR(__xludf.DUMMYFUNCTION("""COMPUTED_VALUE"""),"")</f>
        <v/>
      </c>
      <c r="I70" s="51" t="str">
        <f>IFERROR(__xludf.DUMMYFUNCTION("""COMPUTED_VALUE"""),"#VALUE!")</f>
        <v>#VALUE!</v>
      </c>
      <c r="J70" s="51" t="str">
        <f>IFERROR(__xludf.DUMMYFUNCTION("""COMPUTED_VALUE"""),"")</f>
        <v/>
      </c>
      <c r="K70" s="51"/>
      <c r="L70" s="51" t="s">
        <v>257</v>
      </c>
      <c r="M70" s="51"/>
      <c r="N70" s="51"/>
      <c r="O70" s="51"/>
      <c r="P70" s="51"/>
      <c r="Q70" s="51"/>
      <c r="R70" s="51"/>
      <c r="S70" s="51"/>
      <c r="T70" s="51"/>
    </row>
    <row r="71">
      <c r="A71" s="51"/>
      <c r="B71" s="51"/>
      <c r="C71" s="56"/>
      <c r="D71" s="51"/>
      <c r="E71" s="51"/>
      <c r="F71" s="51"/>
      <c r="G71" s="51" t="str">
        <f>IFERROR(__xludf.DUMMYFUNCTION("""COMPUTED_VALUE"""),"#VALUE!")</f>
        <v>#VALUE!</v>
      </c>
      <c r="H71" s="51" t="str">
        <f>IFERROR(__xludf.DUMMYFUNCTION("""COMPUTED_VALUE"""),"")</f>
        <v/>
      </c>
      <c r="I71" s="51" t="str">
        <f>IFERROR(__xludf.DUMMYFUNCTION("""COMPUTED_VALUE"""),"#VALUE!")</f>
        <v>#VALUE!</v>
      </c>
      <c r="J71" s="51" t="str">
        <f>IFERROR(__xludf.DUMMYFUNCTION("""COMPUTED_VALUE"""),"")</f>
        <v/>
      </c>
      <c r="K71" s="51"/>
      <c r="L71" s="51" t="s">
        <v>257</v>
      </c>
      <c r="M71" s="51"/>
      <c r="N71" s="51"/>
      <c r="O71" s="51"/>
      <c r="P71" s="51"/>
      <c r="Q71" s="51"/>
      <c r="R71" s="51"/>
      <c r="S71" s="51"/>
      <c r="T71" s="51"/>
    </row>
    <row r="72">
      <c r="A72" s="51"/>
      <c r="B72" s="51"/>
      <c r="C72" s="56"/>
      <c r="D72" s="51"/>
      <c r="E72" s="51"/>
      <c r="F72" s="51"/>
      <c r="G72" s="51" t="str">
        <f>IFERROR(__xludf.DUMMYFUNCTION("""COMPUTED_VALUE"""),"#VALUE!")</f>
        <v>#VALUE!</v>
      </c>
      <c r="H72" s="51" t="str">
        <f>IFERROR(__xludf.DUMMYFUNCTION("""COMPUTED_VALUE"""),"")</f>
        <v/>
      </c>
      <c r="I72" s="51" t="str">
        <f>IFERROR(__xludf.DUMMYFUNCTION("""COMPUTED_VALUE"""),"#VALUE!")</f>
        <v>#VALUE!</v>
      </c>
      <c r="J72" s="51" t="str">
        <f>IFERROR(__xludf.DUMMYFUNCTION("""COMPUTED_VALUE"""),"")</f>
        <v/>
      </c>
      <c r="K72" s="51"/>
      <c r="L72" s="51" t="s">
        <v>257</v>
      </c>
      <c r="M72" s="51"/>
      <c r="N72" s="51"/>
      <c r="O72" s="51"/>
      <c r="P72" s="51"/>
      <c r="Q72" s="51"/>
      <c r="R72" s="51"/>
      <c r="S72" s="51"/>
      <c r="T72" s="51"/>
    </row>
    <row r="73">
      <c r="A73" s="51"/>
      <c r="B73" s="51"/>
      <c r="C73" s="56"/>
      <c r="D73" s="51"/>
      <c r="E73" s="51"/>
      <c r="F73" s="51"/>
      <c r="G73" s="51" t="str">
        <f>IFERROR(__xludf.DUMMYFUNCTION("""COMPUTED_VALUE"""),"#VALUE!")</f>
        <v>#VALUE!</v>
      </c>
      <c r="H73" s="51" t="str">
        <f>IFERROR(__xludf.DUMMYFUNCTION("""COMPUTED_VALUE"""),"")</f>
        <v/>
      </c>
      <c r="I73" s="51" t="str">
        <f>IFERROR(__xludf.DUMMYFUNCTION("""COMPUTED_VALUE"""),"#VALUE!")</f>
        <v>#VALUE!</v>
      </c>
      <c r="J73" s="51" t="str">
        <f>IFERROR(__xludf.DUMMYFUNCTION("""COMPUTED_VALUE"""),"")</f>
        <v/>
      </c>
      <c r="K73" s="51"/>
      <c r="L73" s="51" t="s">
        <v>257</v>
      </c>
      <c r="M73" s="51"/>
      <c r="N73" s="51"/>
      <c r="O73" s="51"/>
      <c r="P73" s="51"/>
      <c r="Q73" s="51"/>
      <c r="R73" s="51"/>
      <c r="S73" s="51"/>
      <c r="T73" s="51"/>
    </row>
    <row r="74">
      <c r="A74" s="51"/>
      <c r="B74" s="51"/>
      <c r="C74" s="56"/>
      <c r="D74" s="51"/>
      <c r="E74" s="51"/>
      <c r="F74" s="51"/>
      <c r="G74" s="51" t="str">
        <f>IFERROR(__xludf.DUMMYFUNCTION("""COMPUTED_VALUE"""),"#VALUE!")</f>
        <v>#VALUE!</v>
      </c>
      <c r="H74" s="51" t="str">
        <f>IFERROR(__xludf.DUMMYFUNCTION("""COMPUTED_VALUE"""),"")</f>
        <v/>
      </c>
      <c r="I74" s="51" t="str">
        <f>IFERROR(__xludf.DUMMYFUNCTION("""COMPUTED_VALUE"""),"#VALUE!")</f>
        <v>#VALUE!</v>
      </c>
      <c r="J74" s="51" t="str">
        <f>IFERROR(__xludf.DUMMYFUNCTION("""COMPUTED_VALUE"""),"")</f>
        <v/>
      </c>
      <c r="K74" s="51"/>
      <c r="L74" s="51" t="s">
        <v>257</v>
      </c>
      <c r="M74" s="51"/>
      <c r="N74" s="51"/>
      <c r="O74" s="51"/>
      <c r="P74" s="51"/>
      <c r="Q74" s="51"/>
      <c r="R74" s="51"/>
      <c r="S74" s="51"/>
      <c r="T74" s="51"/>
    </row>
    <row r="75">
      <c r="A75" s="51"/>
      <c r="B75" s="51"/>
      <c r="C75" s="56"/>
      <c r="D75" s="51"/>
      <c r="E75" s="51"/>
      <c r="F75" s="51"/>
      <c r="G75" s="51" t="str">
        <f>IFERROR(__xludf.DUMMYFUNCTION("""COMPUTED_VALUE"""),"#VALUE!")</f>
        <v>#VALUE!</v>
      </c>
      <c r="H75" s="51" t="str">
        <f>IFERROR(__xludf.DUMMYFUNCTION("""COMPUTED_VALUE"""),"")</f>
        <v/>
      </c>
      <c r="I75" s="51" t="str">
        <f>IFERROR(__xludf.DUMMYFUNCTION("""COMPUTED_VALUE"""),"#VALUE!")</f>
        <v>#VALUE!</v>
      </c>
      <c r="J75" s="51" t="str">
        <f>IFERROR(__xludf.DUMMYFUNCTION("""COMPUTED_VALUE"""),"")</f>
        <v/>
      </c>
      <c r="K75" s="51"/>
      <c r="L75" s="51" t="s">
        <v>257</v>
      </c>
      <c r="M75" s="51"/>
      <c r="N75" s="51"/>
      <c r="O75" s="51"/>
      <c r="P75" s="51"/>
      <c r="Q75" s="51"/>
      <c r="R75" s="51"/>
      <c r="S75" s="51"/>
      <c r="T75" s="51"/>
    </row>
    <row r="76">
      <c r="A76" s="51"/>
      <c r="B76" s="51"/>
      <c r="C76" s="56"/>
      <c r="D76" s="51"/>
      <c r="E76" s="51"/>
      <c r="F76" s="51"/>
      <c r="G76" s="51" t="str">
        <f>IFERROR(__xludf.DUMMYFUNCTION("""COMPUTED_VALUE"""),"#VALUE!")</f>
        <v>#VALUE!</v>
      </c>
      <c r="H76" s="51" t="str">
        <f>IFERROR(__xludf.DUMMYFUNCTION("""COMPUTED_VALUE"""),"")</f>
        <v/>
      </c>
      <c r="I76" s="51" t="str">
        <f>IFERROR(__xludf.DUMMYFUNCTION("""COMPUTED_VALUE"""),"#VALUE!")</f>
        <v>#VALUE!</v>
      </c>
      <c r="J76" s="51" t="str">
        <f>IFERROR(__xludf.DUMMYFUNCTION("""COMPUTED_VALUE"""),"")</f>
        <v/>
      </c>
      <c r="K76" s="51"/>
      <c r="L76" s="51" t="s">
        <v>257</v>
      </c>
      <c r="M76" s="51"/>
      <c r="N76" s="51"/>
      <c r="O76" s="51"/>
      <c r="P76" s="51"/>
      <c r="Q76" s="51"/>
      <c r="R76" s="51"/>
      <c r="S76" s="51"/>
      <c r="T76" s="51"/>
    </row>
    <row r="77">
      <c r="A77" s="51"/>
      <c r="B77" s="51"/>
      <c r="C77" s="56"/>
      <c r="D77" s="51"/>
      <c r="E77" s="51"/>
      <c r="F77" s="51"/>
      <c r="G77" s="51" t="str">
        <f>IFERROR(__xludf.DUMMYFUNCTION("""COMPUTED_VALUE"""),"#VALUE!")</f>
        <v>#VALUE!</v>
      </c>
      <c r="H77" s="51" t="str">
        <f>IFERROR(__xludf.DUMMYFUNCTION("""COMPUTED_VALUE"""),"")</f>
        <v/>
      </c>
      <c r="I77" s="51" t="str">
        <f>IFERROR(__xludf.DUMMYFUNCTION("""COMPUTED_VALUE"""),"#VALUE!")</f>
        <v>#VALUE!</v>
      </c>
      <c r="J77" s="51" t="str">
        <f>IFERROR(__xludf.DUMMYFUNCTION("""COMPUTED_VALUE"""),"")</f>
        <v/>
      </c>
      <c r="K77" s="51"/>
      <c r="L77" s="51" t="s">
        <v>257</v>
      </c>
      <c r="M77" s="51"/>
      <c r="N77" s="51"/>
      <c r="O77" s="51"/>
      <c r="P77" s="51"/>
      <c r="Q77" s="51"/>
      <c r="R77" s="51"/>
      <c r="S77" s="51"/>
      <c r="T77" s="51"/>
    </row>
    <row r="78">
      <c r="A78" s="51"/>
      <c r="B78" s="51"/>
      <c r="C78" s="56"/>
      <c r="D78" s="51"/>
      <c r="E78" s="51"/>
      <c r="F78" s="51"/>
      <c r="G78" s="51" t="str">
        <f>IFERROR(__xludf.DUMMYFUNCTION("""COMPUTED_VALUE"""),"#VALUE!")</f>
        <v>#VALUE!</v>
      </c>
      <c r="H78" s="51" t="str">
        <f>IFERROR(__xludf.DUMMYFUNCTION("""COMPUTED_VALUE"""),"")</f>
        <v/>
      </c>
      <c r="I78" s="51" t="str">
        <f>IFERROR(__xludf.DUMMYFUNCTION("""COMPUTED_VALUE"""),"#VALUE!")</f>
        <v>#VALUE!</v>
      </c>
      <c r="J78" s="51" t="str">
        <f>IFERROR(__xludf.DUMMYFUNCTION("""COMPUTED_VALUE"""),"")</f>
        <v/>
      </c>
      <c r="K78" s="51"/>
      <c r="L78" s="51" t="s">
        <v>257</v>
      </c>
      <c r="M78" s="51"/>
      <c r="N78" s="51"/>
      <c r="O78" s="51"/>
      <c r="P78" s="51"/>
      <c r="Q78" s="51"/>
      <c r="R78" s="51"/>
      <c r="S78" s="51"/>
      <c r="T78" s="51"/>
    </row>
    <row r="79">
      <c r="A79" s="51"/>
      <c r="B79" s="51"/>
      <c r="C79" s="56"/>
      <c r="D79" s="51"/>
      <c r="E79" s="51"/>
      <c r="F79" s="51"/>
      <c r="G79" s="51" t="str">
        <f>IFERROR(__xludf.DUMMYFUNCTION("""COMPUTED_VALUE"""),"#VALUE!")</f>
        <v>#VALUE!</v>
      </c>
      <c r="H79" s="51" t="str">
        <f>IFERROR(__xludf.DUMMYFUNCTION("""COMPUTED_VALUE"""),"")</f>
        <v/>
      </c>
      <c r="I79" s="51" t="str">
        <f>IFERROR(__xludf.DUMMYFUNCTION("""COMPUTED_VALUE"""),"#VALUE!")</f>
        <v>#VALUE!</v>
      </c>
      <c r="J79" s="51" t="str">
        <f>IFERROR(__xludf.DUMMYFUNCTION("""COMPUTED_VALUE"""),"")</f>
        <v/>
      </c>
      <c r="K79" s="51"/>
      <c r="L79" s="51" t="s">
        <v>257</v>
      </c>
      <c r="M79" s="51"/>
      <c r="N79" s="51"/>
      <c r="O79" s="51"/>
      <c r="P79" s="51"/>
      <c r="Q79" s="51"/>
      <c r="R79" s="51"/>
      <c r="S79" s="51"/>
      <c r="T79" s="51"/>
    </row>
    <row r="80">
      <c r="A80" s="51"/>
      <c r="B80" s="51"/>
      <c r="C80" s="56"/>
      <c r="D80" s="51"/>
      <c r="E80" s="51"/>
      <c r="F80" s="51"/>
      <c r="G80" s="51" t="str">
        <f>IFERROR(__xludf.DUMMYFUNCTION("""COMPUTED_VALUE"""),"#VALUE!")</f>
        <v>#VALUE!</v>
      </c>
      <c r="H80" s="51" t="str">
        <f>IFERROR(__xludf.DUMMYFUNCTION("""COMPUTED_VALUE"""),"")</f>
        <v/>
      </c>
      <c r="I80" s="51" t="str">
        <f>IFERROR(__xludf.DUMMYFUNCTION("""COMPUTED_VALUE"""),"#VALUE!")</f>
        <v>#VALUE!</v>
      </c>
      <c r="J80" s="51" t="str">
        <f>IFERROR(__xludf.DUMMYFUNCTION("""COMPUTED_VALUE"""),"")</f>
        <v/>
      </c>
      <c r="K80" s="51"/>
      <c r="L80" s="51" t="s">
        <v>257</v>
      </c>
      <c r="M80" s="51"/>
      <c r="N80" s="51"/>
      <c r="O80" s="51"/>
      <c r="P80" s="51"/>
      <c r="Q80" s="51"/>
      <c r="R80" s="51"/>
      <c r="S80" s="51"/>
      <c r="T80" s="51"/>
    </row>
    <row r="81">
      <c r="A81" s="51"/>
      <c r="B81" s="51"/>
      <c r="C81" s="56"/>
      <c r="D81" s="51"/>
      <c r="E81" s="51"/>
      <c r="F81" s="51"/>
      <c r="G81" s="51" t="str">
        <f>IFERROR(__xludf.DUMMYFUNCTION("""COMPUTED_VALUE"""),"#VALUE!")</f>
        <v>#VALUE!</v>
      </c>
      <c r="H81" s="51" t="str">
        <f>IFERROR(__xludf.DUMMYFUNCTION("""COMPUTED_VALUE"""),"")</f>
        <v/>
      </c>
      <c r="I81" s="51" t="str">
        <f>IFERROR(__xludf.DUMMYFUNCTION("""COMPUTED_VALUE"""),"#VALUE!")</f>
        <v>#VALUE!</v>
      </c>
      <c r="J81" s="51" t="str">
        <f>IFERROR(__xludf.DUMMYFUNCTION("""COMPUTED_VALUE"""),"")</f>
        <v/>
      </c>
      <c r="K81" s="51"/>
      <c r="L81" s="51" t="s">
        <v>257</v>
      </c>
      <c r="M81" s="51"/>
      <c r="N81" s="51"/>
      <c r="O81" s="51"/>
      <c r="P81" s="51"/>
      <c r="Q81" s="51"/>
      <c r="R81" s="51"/>
      <c r="S81" s="51"/>
      <c r="T81" s="51"/>
    </row>
    <row r="82">
      <c r="A82" s="51"/>
      <c r="B82" s="51"/>
      <c r="C82" s="56"/>
      <c r="D82" s="51"/>
      <c r="E82" s="51"/>
      <c r="F82" s="51"/>
      <c r="G82" s="51" t="str">
        <f>IFERROR(__xludf.DUMMYFUNCTION("""COMPUTED_VALUE"""),"#VALUE!")</f>
        <v>#VALUE!</v>
      </c>
      <c r="H82" s="51" t="str">
        <f>IFERROR(__xludf.DUMMYFUNCTION("""COMPUTED_VALUE"""),"")</f>
        <v/>
      </c>
      <c r="I82" s="51" t="str">
        <f>IFERROR(__xludf.DUMMYFUNCTION("""COMPUTED_VALUE"""),"#VALUE!")</f>
        <v>#VALUE!</v>
      </c>
      <c r="J82" s="51" t="str">
        <f>IFERROR(__xludf.DUMMYFUNCTION("""COMPUTED_VALUE"""),"")</f>
        <v/>
      </c>
      <c r="K82" s="51"/>
      <c r="L82" s="51" t="s">
        <v>257</v>
      </c>
      <c r="M82" s="51"/>
      <c r="N82" s="51"/>
      <c r="O82" s="51"/>
      <c r="P82" s="51"/>
      <c r="Q82" s="51"/>
      <c r="R82" s="51"/>
      <c r="S82" s="51"/>
      <c r="T82" s="51"/>
    </row>
    <row r="83">
      <c r="A83" s="51"/>
      <c r="B83" s="51"/>
      <c r="C83" s="56"/>
      <c r="D83" s="51"/>
      <c r="E83" s="51"/>
      <c r="F83" s="51"/>
      <c r="G83" s="51" t="str">
        <f>IFERROR(__xludf.DUMMYFUNCTION("""COMPUTED_VALUE"""),"#VALUE!")</f>
        <v>#VALUE!</v>
      </c>
      <c r="H83" s="51" t="str">
        <f>IFERROR(__xludf.DUMMYFUNCTION("""COMPUTED_VALUE"""),"")</f>
        <v/>
      </c>
      <c r="I83" s="51" t="str">
        <f>IFERROR(__xludf.DUMMYFUNCTION("""COMPUTED_VALUE"""),"#VALUE!")</f>
        <v>#VALUE!</v>
      </c>
      <c r="J83" s="51" t="str">
        <f>IFERROR(__xludf.DUMMYFUNCTION("""COMPUTED_VALUE"""),"")</f>
        <v/>
      </c>
      <c r="K83" s="51"/>
      <c r="L83" s="51" t="s">
        <v>257</v>
      </c>
      <c r="M83" s="51"/>
      <c r="N83" s="51"/>
      <c r="O83" s="51"/>
      <c r="P83" s="51"/>
      <c r="Q83" s="51"/>
      <c r="R83" s="51"/>
      <c r="S83" s="51"/>
      <c r="T83" s="51"/>
    </row>
    <row r="84">
      <c r="A84" s="51"/>
      <c r="B84" s="51"/>
      <c r="C84" s="56"/>
      <c r="D84" s="51"/>
      <c r="E84" s="51"/>
      <c r="F84" s="51"/>
      <c r="G84" s="51" t="str">
        <f>IFERROR(__xludf.DUMMYFUNCTION("""COMPUTED_VALUE"""),"#VALUE!")</f>
        <v>#VALUE!</v>
      </c>
      <c r="H84" s="51" t="str">
        <f>IFERROR(__xludf.DUMMYFUNCTION("""COMPUTED_VALUE"""),"")</f>
        <v/>
      </c>
      <c r="I84" s="51" t="str">
        <f>IFERROR(__xludf.DUMMYFUNCTION("""COMPUTED_VALUE"""),"#VALUE!")</f>
        <v>#VALUE!</v>
      </c>
      <c r="J84" s="51" t="str">
        <f>IFERROR(__xludf.DUMMYFUNCTION("""COMPUTED_VALUE"""),"")</f>
        <v/>
      </c>
      <c r="K84" s="51"/>
      <c r="L84" s="51" t="s">
        <v>257</v>
      </c>
      <c r="M84" s="51"/>
      <c r="N84" s="51"/>
      <c r="O84" s="51"/>
      <c r="P84" s="51"/>
      <c r="Q84" s="51"/>
      <c r="R84" s="51"/>
      <c r="S84" s="51"/>
      <c r="T84" s="51"/>
    </row>
    <row r="85">
      <c r="A85" s="51"/>
      <c r="B85" s="51"/>
      <c r="C85" s="56"/>
      <c r="D85" s="51"/>
      <c r="E85" s="51"/>
      <c r="F85" s="51"/>
      <c r="G85" s="51" t="str">
        <f>IFERROR(__xludf.DUMMYFUNCTION("""COMPUTED_VALUE"""),"#VALUE!")</f>
        <v>#VALUE!</v>
      </c>
      <c r="H85" s="51" t="str">
        <f>IFERROR(__xludf.DUMMYFUNCTION("""COMPUTED_VALUE"""),"")</f>
        <v/>
      </c>
      <c r="I85" s="51" t="str">
        <f>IFERROR(__xludf.DUMMYFUNCTION("""COMPUTED_VALUE"""),"#VALUE!")</f>
        <v>#VALUE!</v>
      </c>
      <c r="J85" s="51" t="str">
        <f>IFERROR(__xludf.DUMMYFUNCTION("""COMPUTED_VALUE"""),"")</f>
        <v/>
      </c>
      <c r="K85" s="51"/>
      <c r="L85" s="51" t="s">
        <v>257</v>
      </c>
      <c r="M85" s="51"/>
      <c r="N85" s="51"/>
      <c r="O85" s="51"/>
      <c r="P85" s="51"/>
      <c r="Q85" s="51"/>
      <c r="R85" s="51"/>
      <c r="S85" s="51"/>
      <c r="T85" s="51"/>
    </row>
    <row r="86">
      <c r="A86" s="51"/>
      <c r="B86" s="51"/>
      <c r="C86" s="56"/>
      <c r="D86" s="51"/>
      <c r="E86" s="51"/>
      <c r="F86" s="51"/>
      <c r="G86" s="51" t="str">
        <f>IFERROR(__xludf.DUMMYFUNCTION("""COMPUTED_VALUE"""),"#VALUE!")</f>
        <v>#VALUE!</v>
      </c>
      <c r="H86" s="51" t="str">
        <f>IFERROR(__xludf.DUMMYFUNCTION("""COMPUTED_VALUE"""),"")</f>
        <v/>
      </c>
      <c r="I86" s="51" t="str">
        <f>IFERROR(__xludf.DUMMYFUNCTION("""COMPUTED_VALUE"""),"#VALUE!")</f>
        <v>#VALUE!</v>
      </c>
      <c r="J86" s="51" t="str">
        <f>IFERROR(__xludf.DUMMYFUNCTION("""COMPUTED_VALUE"""),"")</f>
        <v/>
      </c>
      <c r="K86" s="51"/>
      <c r="L86" s="51" t="s">
        <v>257</v>
      </c>
      <c r="M86" s="51"/>
      <c r="N86" s="51"/>
      <c r="O86" s="51"/>
      <c r="P86" s="51"/>
      <c r="Q86" s="51"/>
      <c r="R86" s="51"/>
      <c r="S86" s="51"/>
      <c r="T86" s="51"/>
    </row>
    <row r="87">
      <c r="A87" s="51"/>
      <c r="B87" s="51"/>
      <c r="C87" s="56"/>
      <c r="D87" s="51"/>
      <c r="E87" s="51"/>
      <c r="F87" s="51"/>
      <c r="G87" s="51" t="str">
        <f>IFERROR(__xludf.DUMMYFUNCTION("""COMPUTED_VALUE"""),"#VALUE!")</f>
        <v>#VALUE!</v>
      </c>
      <c r="H87" s="51" t="str">
        <f>IFERROR(__xludf.DUMMYFUNCTION("""COMPUTED_VALUE"""),"")</f>
        <v/>
      </c>
      <c r="I87" s="51" t="str">
        <f>IFERROR(__xludf.DUMMYFUNCTION("""COMPUTED_VALUE"""),"#VALUE!")</f>
        <v>#VALUE!</v>
      </c>
      <c r="J87" s="51" t="str">
        <f>IFERROR(__xludf.DUMMYFUNCTION("""COMPUTED_VALUE"""),"")</f>
        <v/>
      </c>
      <c r="K87" s="51"/>
      <c r="L87" s="51" t="s">
        <v>257</v>
      </c>
      <c r="M87" s="51"/>
      <c r="N87" s="51"/>
      <c r="O87" s="51"/>
      <c r="P87" s="51"/>
      <c r="Q87" s="51"/>
      <c r="R87" s="51"/>
      <c r="S87" s="51"/>
      <c r="T87" s="51"/>
    </row>
    <row r="88">
      <c r="A88" s="51"/>
      <c r="B88" s="51"/>
      <c r="C88" s="56"/>
      <c r="D88" s="51"/>
      <c r="E88" s="51"/>
      <c r="F88" s="51"/>
      <c r="G88" s="51" t="str">
        <f>IFERROR(__xludf.DUMMYFUNCTION("""COMPUTED_VALUE"""),"#VALUE!")</f>
        <v>#VALUE!</v>
      </c>
      <c r="H88" s="51" t="str">
        <f>IFERROR(__xludf.DUMMYFUNCTION("""COMPUTED_VALUE"""),"")</f>
        <v/>
      </c>
      <c r="I88" s="51" t="str">
        <f>IFERROR(__xludf.DUMMYFUNCTION("""COMPUTED_VALUE"""),"#VALUE!")</f>
        <v>#VALUE!</v>
      </c>
      <c r="J88" s="51" t="str">
        <f>IFERROR(__xludf.DUMMYFUNCTION("""COMPUTED_VALUE"""),"")</f>
        <v/>
      </c>
      <c r="K88" s="51"/>
      <c r="L88" s="51" t="s">
        <v>257</v>
      </c>
      <c r="M88" s="51"/>
      <c r="N88" s="51"/>
      <c r="O88" s="51"/>
      <c r="P88" s="51"/>
      <c r="Q88" s="51"/>
      <c r="R88" s="51"/>
      <c r="S88" s="51"/>
      <c r="T88" s="51"/>
    </row>
    <row r="89">
      <c r="A89" s="51"/>
      <c r="B89" s="51"/>
      <c r="C89" s="56"/>
      <c r="D89" s="51"/>
      <c r="E89" s="51"/>
      <c r="F89" s="51"/>
      <c r="G89" s="51" t="str">
        <f>IFERROR(__xludf.DUMMYFUNCTION("""COMPUTED_VALUE"""),"#VALUE!")</f>
        <v>#VALUE!</v>
      </c>
      <c r="H89" s="51" t="str">
        <f>IFERROR(__xludf.DUMMYFUNCTION("""COMPUTED_VALUE"""),"")</f>
        <v/>
      </c>
      <c r="I89" s="51" t="str">
        <f>IFERROR(__xludf.DUMMYFUNCTION("""COMPUTED_VALUE"""),"#VALUE!")</f>
        <v>#VALUE!</v>
      </c>
      <c r="J89" s="51" t="str">
        <f>IFERROR(__xludf.DUMMYFUNCTION("""COMPUTED_VALUE"""),"")</f>
        <v/>
      </c>
      <c r="K89" s="51"/>
      <c r="L89" s="51" t="s">
        <v>257</v>
      </c>
      <c r="M89" s="51"/>
      <c r="N89" s="51"/>
      <c r="O89" s="51"/>
      <c r="P89" s="51"/>
      <c r="Q89" s="51"/>
      <c r="R89" s="51"/>
      <c r="S89" s="51"/>
      <c r="T89" s="51"/>
    </row>
    <row r="90">
      <c r="A90" s="51"/>
      <c r="B90" s="51"/>
      <c r="C90" s="56"/>
      <c r="D90" s="51"/>
      <c r="E90" s="51"/>
      <c r="F90" s="51"/>
      <c r="G90" s="51" t="str">
        <f>IFERROR(__xludf.DUMMYFUNCTION("""COMPUTED_VALUE"""),"#VALUE!")</f>
        <v>#VALUE!</v>
      </c>
      <c r="H90" s="51" t="str">
        <f>IFERROR(__xludf.DUMMYFUNCTION("""COMPUTED_VALUE"""),"")</f>
        <v/>
      </c>
      <c r="I90" s="51" t="str">
        <f>IFERROR(__xludf.DUMMYFUNCTION("""COMPUTED_VALUE"""),"#VALUE!")</f>
        <v>#VALUE!</v>
      </c>
      <c r="J90" s="51" t="str">
        <f>IFERROR(__xludf.DUMMYFUNCTION("""COMPUTED_VALUE"""),"")</f>
        <v/>
      </c>
      <c r="K90" s="51"/>
      <c r="L90" s="51" t="s">
        <v>257</v>
      </c>
      <c r="M90" s="51"/>
      <c r="N90" s="51"/>
      <c r="O90" s="51"/>
      <c r="P90" s="51"/>
      <c r="Q90" s="51"/>
      <c r="R90" s="51"/>
      <c r="S90" s="51"/>
      <c r="T90" s="51"/>
    </row>
    <row r="91">
      <c r="A91" s="51"/>
      <c r="B91" s="51"/>
      <c r="C91" s="56"/>
      <c r="D91" s="51"/>
      <c r="E91" s="51"/>
      <c r="F91" s="51"/>
      <c r="G91" s="51" t="str">
        <f>IFERROR(__xludf.DUMMYFUNCTION("""COMPUTED_VALUE"""),"#VALUE!")</f>
        <v>#VALUE!</v>
      </c>
      <c r="H91" s="51" t="str">
        <f>IFERROR(__xludf.DUMMYFUNCTION("""COMPUTED_VALUE"""),"")</f>
        <v/>
      </c>
      <c r="I91" s="51" t="str">
        <f>IFERROR(__xludf.DUMMYFUNCTION("""COMPUTED_VALUE"""),"#VALUE!")</f>
        <v>#VALUE!</v>
      </c>
      <c r="J91" s="51" t="str">
        <f>IFERROR(__xludf.DUMMYFUNCTION("""COMPUTED_VALUE"""),"")</f>
        <v/>
      </c>
      <c r="K91" s="51"/>
      <c r="L91" s="51" t="s">
        <v>257</v>
      </c>
      <c r="M91" s="51"/>
      <c r="N91" s="51"/>
      <c r="O91" s="51"/>
      <c r="P91" s="51"/>
      <c r="Q91" s="51"/>
      <c r="R91" s="51"/>
      <c r="S91" s="51"/>
      <c r="T91" s="51"/>
    </row>
    <row r="92">
      <c r="A92" s="51"/>
      <c r="B92" s="51"/>
      <c r="C92" s="56"/>
      <c r="D92" s="51"/>
      <c r="E92" s="51"/>
      <c r="F92" s="51"/>
      <c r="G92" s="51" t="str">
        <f>IFERROR(__xludf.DUMMYFUNCTION("""COMPUTED_VALUE"""),"#VALUE!")</f>
        <v>#VALUE!</v>
      </c>
      <c r="H92" s="51" t="str">
        <f>IFERROR(__xludf.DUMMYFUNCTION("""COMPUTED_VALUE"""),"")</f>
        <v/>
      </c>
      <c r="I92" s="51" t="str">
        <f>IFERROR(__xludf.DUMMYFUNCTION("""COMPUTED_VALUE"""),"#VALUE!")</f>
        <v>#VALUE!</v>
      </c>
      <c r="J92" s="51" t="str">
        <f>IFERROR(__xludf.DUMMYFUNCTION("""COMPUTED_VALUE"""),"")</f>
        <v/>
      </c>
      <c r="K92" s="51"/>
      <c r="L92" s="51" t="s">
        <v>257</v>
      </c>
      <c r="M92" s="51"/>
      <c r="N92" s="51"/>
      <c r="O92" s="51"/>
      <c r="P92" s="51"/>
      <c r="Q92" s="51"/>
      <c r="R92" s="51"/>
      <c r="S92" s="51"/>
      <c r="T92" s="51"/>
    </row>
    <row r="93">
      <c r="A93" s="51"/>
      <c r="B93" s="51"/>
      <c r="C93" s="56"/>
      <c r="D93" s="51"/>
      <c r="E93" s="51"/>
      <c r="F93" s="51"/>
      <c r="G93" s="51" t="str">
        <f>IFERROR(__xludf.DUMMYFUNCTION("""COMPUTED_VALUE"""),"#VALUE!")</f>
        <v>#VALUE!</v>
      </c>
      <c r="H93" s="51" t="str">
        <f>IFERROR(__xludf.DUMMYFUNCTION("""COMPUTED_VALUE"""),"")</f>
        <v/>
      </c>
      <c r="I93" s="51" t="str">
        <f>IFERROR(__xludf.DUMMYFUNCTION("""COMPUTED_VALUE"""),"#VALUE!")</f>
        <v>#VALUE!</v>
      </c>
      <c r="J93" s="51" t="str">
        <f>IFERROR(__xludf.DUMMYFUNCTION("""COMPUTED_VALUE"""),"")</f>
        <v/>
      </c>
      <c r="K93" s="51"/>
      <c r="L93" s="51" t="s">
        <v>257</v>
      </c>
      <c r="M93" s="51"/>
      <c r="N93" s="51"/>
      <c r="O93" s="51"/>
      <c r="P93" s="51"/>
      <c r="Q93" s="51"/>
      <c r="R93" s="51"/>
      <c r="S93" s="51"/>
      <c r="T93" s="51"/>
    </row>
    <row r="94">
      <c r="A94" s="51"/>
      <c r="B94" s="51"/>
      <c r="C94" s="56"/>
      <c r="D94" s="51"/>
      <c r="E94" s="51"/>
      <c r="F94" s="51"/>
      <c r="G94" s="51" t="str">
        <f>IFERROR(__xludf.DUMMYFUNCTION("""COMPUTED_VALUE"""),"#VALUE!")</f>
        <v>#VALUE!</v>
      </c>
      <c r="H94" s="51" t="str">
        <f>IFERROR(__xludf.DUMMYFUNCTION("""COMPUTED_VALUE"""),"")</f>
        <v/>
      </c>
      <c r="I94" s="51" t="str">
        <f>IFERROR(__xludf.DUMMYFUNCTION("""COMPUTED_VALUE"""),"#VALUE!")</f>
        <v>#VALUE!</v>
      </c>
      <c r="J94" s="51" t="str">
        <f>IFERROR(__xludf.DUMMYFUNCTION("""COMPUTED_VALUE"""),"")</f>
        <v/>
      </c>
      <c r="K94" s="51"/>
      <c r="L94" s="51" t="s">
        <v>257</v>
      </c>
      <c r="M94" s="51"/>
      <c r="N94" s="51"/>
      <c r="O94" s="51"/>
      <c r="P94" s="51"/>
      <c r="Q94" s="51"/>
      <c r="R94" s="51"/>
      <c r="S94" s="51"/>
      <c r="T94" s="51"/>
    </row>
    <row r="95">
      <c r="A95" s="51"/>
      <c r="B95" s="51"/>
      <c r="C95" s="56"/>
      <c r="D95" s="51"/>
      <c r="E95" s="51"/>
      <c r="F95" s="51"/>
      <c r="G95" s="51" t="str">
        <f>IFERROR(__xludf.DUMMYFUNCTION("""COMPUTED_VALUE"""),"#VALUE!")</f>
        <v>#VALUE!</v>
      </c>
      <c r="H95" s="51" t="str">
        <f>IFERROR(__xludf.DUMMYFUNCTION("""COMPUTED_VALUE"""),"")</f>
        <v/>
      </c>
      <c r="I95" s="51" t="str">
        <f>IFERROR(__xludf.DUMMYFUNCTION("""COMPUTED_VALUE"""),"#VALUE!")</f>
        <v>#VALUE!</v>
      </c>
      <c r="J95" s="51" t="str">
        <f>IFERROR(__xludf.DUMMYFUNCTION("""COMPUTED_VALUE"""),"")</f>
        <v/>
      </c>
      <c r="K95" s="51"/>
      <c r="L95" s="51" t="s">
        <v>257</v>
      </c>
      <c r="M95" s="51"/>
      <c r="N95" s="51"/>
      <c r="O95" s="51"/>
      <c r="P95" s="51"/>
      <c r="Q95" s="51"/>
      <c r="R95" s="51"/>
      <c r="S95" s="51"/>
      <c r="T95" s="51"/>
    </row>
    <row r="96">
      <c r="A96" s="51"/>
      <c r="B96" s="51"/>
      <c r="C96" s="56"/>
      <c r="D96" s="51"/>
      <c r="E96" s="51"/>
      <c r="F96" s="51"/>
      <c r="G96" s="51" t="str">
        <f>IFERROR(__xludf.DUMMYFUNCTION("""COMPUTED_VALUE"""),"#VALUE!")</f>
        <v>#VALUE!</v>
      </c>
      <c r="H96" s="51" t="str">
        <f>IFERROR(__xludf.DUMMYFUNCTION("""COMPUTED_VALUE"""),"")</f>
        <v/>
      </c>
      <c r="I96" s="51" t="str">
        <f>IFERROR(__xludf.DUMMYFUNCTION("""COMPUTED_VALUE"""),"#VALUE!")</f>
        <v>#VALUE!</v>
      </c>
      <c r="J96" s="51" t="str">
        <f>IFERROR(__xludf.DUMMYFUNCTION("""COMPUTED_VALUE"""),"")</f>
        <v/>
      </c>
      <c r="K96" s="51"/>
      <c r="L96" s="51" t="s">
        <v>257</v>
      </c>
      <c r="M96" s="51"/>
      <c r="N96" s="51"/>
      <c r="O96" s="51"/>
      <c r="P96" s="51"/>
      <c r="Q96" s="51"/>
      <c r="R96" s="51"/>
      <c r="S96" s="51"/>
      <c r="T96" s="51"/>
    </row>
    <row r="97">
      <c r="A97" s="51"/>
      <c r="B97" s="51"/>
      <c r="C97" s="56"/>
      <c r="D97" s="51"/>
      <c r="E97" s="51"/>
      <c r="F97" s="51"/>
      <c r="G97" s="51" t="str">
        <f>IFERROR(__xludf.DUMMYFUNCTION("""COMPUTED_VALUE"""),"#VALUE!")</f>
        <v>#VALUE!</v>
      </c>
      <c r="H97" s="51" t="str">
        <f>IFERROR(__xludf.DUMMYFUNCTION("""COMPUTED_VALUE"""),"")</f>
        <v/>
      </c>
      <c r="I97" s="51" t="str">
        <f>IFERROR(__xludf.DUMMYFUNCTION("""COMPUTED_VALUE"""),"#VALUE!")</f>
        <v>#VALUE!</v>
      </c>
      <c r="J97" s="51" t="str">
        <f>IFERROR(__xludf.DUMMYFUNCTION("""COMPUTED_VALUE"""),"")</f>
        <v/>
      </c>
      <c r="K97" s="51"/>
      <c r="L97" s="51" t="s">
        <v>257</v>
      </c>
      <c r="M97" s="51"/>
      <c r="N97" s="51"/>
      <c r="O97" s="51"/>
      <c r="P97" s="51"/>
      <c r="Q97" s="51"/>
      <c r="R97" s="51"/>
      <c r="S97" s="51"/>
      <c r="T97" s="51"/>
    </row>
    <row r="98">
      <c r="A98" s="51"/>
      <c r="B98" s="51"/>
      <c r="C98" s="56"/>
      <c r="D98" s="51"/>
      <c r="E98" s="51"/>
      <c r="F98" s="51"/>
      <c r="G98" s="51" t="str">
        <f>IFERROR(__xludf.DUMMYFUNCTION("""COMPUTED_VALUE"""),"#VALUE!")</f>
        <v>#VALUE!</v>
      </c>
      <c r="H98" s="51" t="str">
        <f>IFERROR(__xludf.DUMMYFUNCTION("""COMPUTED_VALUE"""),"")</f>
        <v/>
      </c>
      <c r="I98" s="51" t="str">
        <f>IFERROR(__xludf.DUMMYFUNCTION("""COMPUTED_VALUE"""),"#VALUE!")</f>
        <v>#VALUE!</v>
      </c>
      <c r="J98" s="51" t="str">
        <f>IFERROR(__xludf.DUMMYFUNCTION("""COMPUTED_VALUE"""),"")</f>
        <v/>
      </c>
      <c r="K98" s="51"/>
      <c r="L98" s="51" t="s">
        <v>257</v>
      </c>
      <c r="M98" s="51"/>
      <c r="N98" s="51"/>
      <c r="O98" s="51"/>
      <c r="P98" s="51"/>
      <c r="Q98" s="51"/>
      <c r="R98" s="51"/>
      <c r="S98" s="51"/>
      <c r="T98" s="51"/>
    </row>
    <row r="99">
      <c r="A99" s="51"/>
      <c r="B99" s="51"/>
      <c r="C99" s="56"/>
      <c r="D99" s="51"/>
      <c r="E99" s="51"/>
      <c r="F99" s="51"/>
      <c r="G99" s="51" t="str">
        <f>IFERROR(__xludf.DUMMYFUNCTION("""COMPUTED_VALUE"""),"#VALUE!")</f>
        <v>#VALUE!</v>
      </c>
      <c r="H99" s="51" t="str">
        <f>IFERROR(__xludf.DUMMYFUNCTION("""COMPUTED_VALUE"""),"")</f>
        <v/>
      </c>
      <c r="I99" s="51" t="str">
        <f>IFERROR(__xludf.DUMMYFUNCTION("""COMPUTED_VALUE"""),"#VALUE!")</f>
        <v>#VALUE!</v>
      </c>
      <c r="J99" s="51" t="str">
        <f>IFERROR(__xludf.DUMMYFUNCTION("""COMPUTED_VALUE"""),"")</f>
        <v/>
      </c>
      <c r="K99" s="51"/>
      <c r="L99" s="51" t="s">
        <v>257</v>
      </c>
      <c r="M99" s="51"/>
      <c r="N99" s="51"/>
      <c r="O99" s="51"/>
      <c r="P99" s="51"/>
      <c r="Q99" s="51"/>
      <c r="R99" s="51"/>
      <c r="S99" s="51"/>
      <c r="T99" s="51"/>
    </row>
    <row r="100">
      <c r="A100" s="51"/>
      <c r="B100" s="51"/>
      <c r="C100" s="56"/>
      <c r="D100" s="51"/>
      <c r="E100" s="51"/>
      <c r="F100" s="51"/>
      <c r="G100" s="51" t="str">
        <f>IFERROR(__xludf.DUMMYFUNCTION("""COMPUTED_VALUE"""),"#VALUE!")</f>
        <v>#VALUE!</v>
      </c>
      <c r="H100" s="51" t="str">
        <f>IFERROR(__xludf.DUMMYFUNCTION("""COMPUTED_VALUE"""),"")</f>
        <v/>
      </c>
      <c r="I100" s="51" t="str">
        <f>IFERROR(__xludf.DUMMYFUNCTION("""COMPUTED_VALUE"""),"#VALUE!")</f>
        <v>#VALUE!</v>
      </c>
      <c r="J100" s="51" t="str">
        <f>IFERROR(__xludf.DUMMYFUNCTION("""COMPUTED_VALUE"""),"")</f>
        <v/>
      </c>
      <c r="K100" s="51"/>
      <c r="L100" s="51" t="s">
        <v>257</v>
      </c>
      <c r="M100" s="51"/>
      <c r="N100" s="51"/>
      <c r="O100" s="51"/>
      <c r="P100" s="51"/>
      <c r="Q100" s="51"/>
      <c r="R100" s="51"/>
      <c r="S100" s="51"/>
      <c r="T100" s="51"/>
    </row>
    <row r="101">
      <c r="A101" s="51"/>
      <c r="B101" s="51"/>
      <c r="C101" s="56"/>
      <c r="D101" s="51"/>
      <c r="E101" s="51"/>
      <c r="F101" s="51"/>
      <c r="G101" s="51" t="str">
        <f>IFERROR(__xludf.DUMMYFUNCTION("""COMPUTED_VALUE"""),"#VALUE!")</f>
        <v>#VALUE!</v>
      </c>
      <c r="H101" s="51" t="str">
        <f>IFERROR(__xludf.DUMMYFUNCTION("""COMPUTED_VALUE"""),"")</f>
        <v/>
      </c>
      <c r="I101" s="51" t="str">
        <f>IFERROR(__xludf.DUMMYFUNCTION("""COMPUTED_VALUE"""),"#VALUE!")</f>
        <v>#VALUE!</v>
      </c>
      <c r="J101" s="51" t="str">
        <f>IFERROR(__xludf.DUMMYFUNCTION("""COMPUTED_VALUE"""),"")</f>
        <v/>
      </c>
      <c r="K101" s="51"/>
      <c r="L101" s="51" t="s">
        <v>257</v>
      </c>
      <c r="M101" s="51"/>
      <c r="N101" s="51"/>
      <c r="O101" s="51"/>
      <c r="P101" s="51"/>
      <c r="Q101" s="51"/>
      <c r="R101" s="51"/>
      <c r="S101" s="51"/>
      <c r="T101" s="51"/>
    </row>
    <row r="102">
      <c r="A102" s="51"/>
      <c r="B102" s="51"/>
      <c r="C102" s="56"/>
      <c r="D102" s="51"/>
      <c r="E102" s="51"/>
      <c r="F102" s="51"/>
      <c r="G102" s="51" t="str">
        <f>IFERROR(__xludf.DUMMYFUNCTION("""COMPUTED_VALUE"""),"#VALUE!")</f>
        <v>#VALUE!</v>
      </c>
      <c r="H102" s="51" t="str">
        <f>IFERROR(__xludf.DUMMYFUNCTION("""COMPUTED_VALUE"""),"")</f>
        <v/>
      </c>
      <c r="I102" s="51" t="str">
        <f>IFERROR(__xludf.DUMMYFUNCTION("""COMPUTED_VALUE"""),"#VALUE!")</f>
        <v>#VALUE!</v>
      </c>
      <c r="J102" s="51" t="str">
        <f>IFERROR(__xludf.DUMMYFUNCTION("""COMPUTED_VALUE"""),"")</f>
        <v/>
      </c>
      <c r="K102" s="51"/>
      <c r="L102" s="51" t="s">
        <v>257</v>
      </c>
      <c r="M102" s="51"/>
      <c r="N102" s="51"/>
      <c r="O102" s="51"/>
      <c r="P102" s="51"/>
      <c r="Q102" s="51"/>
      <c r="R102" s="51"/>
      <c r="S102" s="51"/>
      <c r="T102" s="51"/>
    </row>
    <row r="103">
      <c r="A103" s="51"/>
      <c r="B103" s="51"/>
      <c r="C103" s="56"/>
      <c r="D103" s="51"/>
      <c r="E103" s="51"/>
      <c r="F103" s="51"/>
      <c r="G103" s="51" t="str">
        <f>IFERROR(__xludf.DUMMYFUNCTION("""COMPUTED_VALUE"""),"#VALUE!")</f>
        <v>#VALUE!</v>
      </c>
      <c r="H103" s="51" t="str">
        <f>IFERROR(__xludf.DUMMYFUNCTION("""COMPUTED_VALUE"""),"")</f>
        <v/>
      </c>
      <c r="I103" s="51" t="str">
        <f>IFERROR(__xludf.DUMMYFUNCTION("""COMPUTED_VALUE"""),"#VALUE!")</f>
        <v>#VALUE!</v>
      </c>
      <c r="J103" s="51" t="str">
        <f>IFERROR(__xludf.DUMMYFUNCTION("""COMPUTED_VALUE"""),"")</f>
        <v/>
      </c>
      <c r="K103" s="51"/>
      <c r="L103" s="51" t="s">
        <v>257</v>
      </c>
      <c r="M103" s="51"/>
      <c r="N103" s="51"/>
      <c r="O103" s="51"/>
      <c r="P103" s="51"/>
      <c r="Q103" s="51"/>
      <c r="R103" s="51"/>
      <c r="S103" s="51"/>
      <c r="T103" s="51"/>
    </row>
    <row r="104">
      <c r="A104" s="51"/>
      <c r="B104" s="51"/>
      <c r="C104" s="56"/>
      <c r="D104" s="51"/>
      <c r="E104" s="51"/>
      <c r="F104" s="51"/>
      <c r="G104" s="51" t="str">
        <f>IFERROR(__xludf.DUMMYFUNCTION("""COMPUTED_VALUE"""),"#VALUE!")</f>
        <v>#VALUE!</v>
      </c>
      <c r="H104" s="51" t="str">
        <f>IFERROR(__xludf.DUMMYFUNCTION("""COMPUTED_VALUE"""),"")</f>
        <v/>
      </c>
      <c r="I104" s="51" t="str">
        <f>IFERROR(__xludf.DUMMYFUNCTION("""COMPUTED_VALUE"""),"#VALUE!")</f>
        <v>#VALUE!</v>
      </c>
      <c r="J104" s="51" t="str">
        <f>IFERROR(__xludf.DUMMYFUNCTION("""COMPUTED_VALUE"""),"")</f>
        <v/>
      </c>
      <c r="K104" s="51"/>
      <c r="L104" s="51" t="s">
        <v>257</v>
      </c>
      <c r="M104" s="51"/>
      <c r="N104" s="51"/>
      <c r="O104" s="51"/>
      <c r="P104" s="51"/>
      <c r="Q104" s="51"/>
      <c r="R104" s="51"/>
      <c r="S104" s="51"/>
      <c r="T104" s="51"/>
    </row>
    <row r="105">
      <c r="A105" s="51"/>
      <c r="B105" s="51"/>
      <c r="C105" s="56"/>
      <c r="D105" s="51"/>
      <c r="E105" s="51"/>
      <c r="F105" s="51"/>
      <c r="G105" s="51" t="str">
        <f>IFERROR(__xludf.DUMMYFUNCTION("""COMPUTED_VALUE"""),"#VALUE!")</f>
        <v>#VALUE!</v>
      </c>
      <c r="H105" s="51" t="str">
        <f>IFERROR(__xludf.DUMMYFUNCTION("""COMPUTED_VALUE"""),"")</f>
        <v/>
      </c>
      <c r="I105" s="51" t="str">
        <f>IFERROR(__xludf.DUMMYFUNCTION("""COMPUTED_VALUE"""),"#VALUE!")</f>
        <v>#VALUE!</v>
      </c>
      <c r="J105" s="51" t="str">
        <f>IFERROR(__xludf.DUMMYFUNCTION("""COMPUTED_VALUE"""),"")</f>
        <v/>
      </c>
      <c r="K105" s="51"/>
      <c r="L105" s="51" t="s">
        <v>257</v>
      </c>
      <c r="M105" s="51"/>
      <c r="N105" s="51"/>
      <c r="O105" s="51"/>
      <c r="P105" s="51"/>
      <c r="Q105" s="51"/>
      <c r="R105" s="51"/>
      <c r="S105" s="51"/>
      <c r="T105" s="51"/>
    </row>
    <row r="106">
      <c r="A106" s="51"/>
      <c r="B106" s="51"/>
      <c r="C106" s="56"/>
      <c r="D106" s="51"/>
      <c r="E106" s="51"/>
      <c r="F106" s="51"/>
      <c r="G106" s="51" t="str">
        <f>IFERROR(__xludf.DUMMYFUNCTION("""COMPUTED_VALUE"""),"#VALUE!")</f>
        <v>#VALUE!</v>
      </c>
      <c r="H106" s="51" t="str">
        <f>IFERROR(__xludf.DUMMYFUNCTION("""COMPUTED_VALUE"""),"")</f>
        <v/>
      </c>
      <c r="I106" s="51" t="str">
        <f>IFERROR(__xludf.DUMMYFUNCTION("""COMPUTED_VALUE"""),"#VALUE!")</f>
        <v>#VALUE!</v>
      </c>
      <c r="J106" s="51" t="str">
        <f>IFERROR(__xludf.DUMMYFUNCTION("""COMPUTED_VALUE"""),"")</f>
        <v/>
      </c>
      <c r="K106" s="51"/>
      <c r="L106" s="51" t="s">
        <v>257</v>
      </c>
      <c r="M106" s="51"/>
      <c r="N106" s="51"/>
      <c r="O106" s="51"/>
      <c r="P106" s="51"/>
      <c r="Q106" s="51"/>
      <c r="R106" s="51"/>
      <c r="S106" s="51"/>
      <c r="T106" s="51"/>
    </row>
    <row r="107">
      <c r="A107" s="51"/>
      <c r="B107" s="51"/>
      <c r="C107" s="56"/>
      <c r="D107" s="51"/>
      <c r="E107" s="51"/>
      <c r="F107" s="51"/>
      <c r="G107" s="51" t="str">
        <f>IFERROR(__xludf.DUMMYFUNCTION("""COMPUTED_VALUE"""),"#VALUE!")</f>
        <v>#VALUE!</v>
      </c>
      <c r="H107" s="51" t="str">
        <f>IFERROR(__xludf.DUMMYFUNCTION("""COMPUTED_VALUE"""),"")</f>
        <v/>
      </c>
      <c r="I107" s="51" t="str">
        <f>IFERROR(__xludf.DUMMYFUNCTION("""COMPUTED_VALUE"""),"#VALUE!")</f>
        <v>#VALUE!</v>
      </c>
      <c r="J107" s="51" t="str">
        <f>IFERROR(__xludf.DUMMYFUNCTION("""COMPUTED_VALUE"""),"")</f>
        <v/>
      </c>
      <c r="K107" s="51"/>
      <c r="L107" s="51" t="s">
        <v>257</v>
      </c>
      <c r="M107" s="51"/>
      <c r="N107" s="51"/>
      <c r="O107" s="51"/>
      <c r="P107" s="51"/>
      <c r="Q107" s="51"/>
      <c r="R107" s="51"/>
      <c r="S107" s="51"/>
      <c r="T107" s="51"/>
    </row>
    <row r="108">
      <c r="A108" s="51"/>
      <c r="B108" s="51"/>
      <c r="C108" s="56"/>
      <c r="D108" s="51"/>
      <c r="E108" s="51"/>
      <c r="F108" s="51"/>
      <c r="G108" s="51" t="str">
        <f>IFERROR(__xludf.DUMMYFUNCTION("""COMPUTED_VALUE"""),"#VALUE!")</f>
        <v>#VALUE!</v>
      </c>
      <c r="H108" s="51" t="str">
        <f>IFERROR(__xludf.DUMMYFUNCTION("""COMPUTED_VALUE"""),"")</f>
        <v/>
      </c>
      <c r="I108" s="51" t="str">
        <f>IFERROR(__xludf.DUMMYFUNCTION("""COMPUTED_VALUE"""),"#VALUE!")</f>
        <v>#VALUE!</v>
      </c>
      <c r="J108" s="51" t="str">
        <f>IFERROR(__xludf.DUMMYFUNCTION("""COMPUTED_VALUE"""),"")</f>
        <v/>
      </c>
      <c r="K108" s="51"/>
      <c r="L108" s="51" t="s">
        <v>257</v>
      </c>
      <c r="M108" s="51"/>
      <c r="N108" s="51"/>
      <c r="O108" s="51"/>
      <c r="P108" s="51"/>
      <c r="Q108" s="51"/>
      <c r="R108" s="51"/>
      <c r="S108" s="51"/>
      <c r="T108" s="51"/>
    </row>
    <row r="109">
      <c r="A109" s="51"/>
      <c r="B109" s="51"/>
      <c r="C109" s="56"/>
      <c r="D109" s="51"/>
      <c r="E109" s="51"/>
      <c r="F109" s="51"/>
      <c r="G109" s="51" t="str">
        <f>IFERROR(__xludf.DUMMYFUNCTION("""COMPUTED_VALUE"""),"#VALUE!")</f>
        <v>#VALUE!</v>
      </c>
      <c r="H109" s="51" t="str">
        <f>IFERROR(__xludf.DUMMYFUNCTION("""COMPUTED_VALUE"""),"")</f>
        <v/>
      </c>
      <c r="I109" s="51" t="str">
        <f>IFERROR(__xludf.DUMMYFUNCTION("""COMPUTED_VALUE"""),"#VALUE!")</f>
        <v>#VALUE!</v>
      </c>
      <c r="J109" s="51" t="str">
        <f>IFERROR(__xludf.DUMMYFUNCTION("""COMPUTED_VALUE"""),"")</f>
        <v/>
      </c>
      <c r="K109" s="51"/>
      <c r="L109" s="51" t="s">
        <v>257</v>
      </c>
      <c r="M109" s="51"/>
      <c r="N109" s="51"/>
      <c r="O109" s="51"/>
      <c r="P109" s="51"/>
      <c r="Q109" s="51"/>
      <c r="R109" s="51"/>
      <c r="S109" s="51"/>
      <c r="T109" s="51"/>
    </row>
    <row r="110">
      <c r="A110" s="51"/>
      <c r="B110" s="51"/>
      <c r="C110" s="56"/>
      <c r="D110" s="51"/>
      <c r="E110" s="51"/>
      <c r="F110" s="51"/>
      <c r="G110" s="51" t="str">
        <f>IFERROR(__xludf.DUMMYFUNCTION("""COMPUTED_VALUE"""),"#VALUE!")</f>
        <v>#VALUE!</v>
      </c>
      <c r="H110" s="51" t="str">
        <f>IFERROR(__xludf.DUMMYFUNCTION("""COMPUTED_VALUE"""),"")</f>
        <v/>
      </c>
      <c r="I110" s="51" t="str">
        <f>IFERROR(__xludf.DUMMYFUNCTION("""COMPUTED_VALUE"""),"#VALUE!")</f>
        <v>#VALUE!</v>
      </c>
      <c r="J110" s="51" t="str">
        <f>IFERROR(__xludf.DUMMYFUNCTION("""COMPUTED_VALUE"""),"")</f>
        <v/>
      </c>
      <c r="K110" s="51"/>
      <c r="L110" s="51" t="s">
        <v>257</v>
      </c>
      <c r="M110" s="51"/>
      <c r="N110" s="51"/>
      <c r="O110" s="51"/>
      <c r="P110" s="51"/>
      <c r="Q110" s="51"/>
      <c r="R110" s="51"/>
      <c r="S110" s="51"/>
      <c r="T110" s="51"/>
    </row>
    <row r="111">
      <c r="A111" s="51"/>
      <c r="B111" s="51"/>
      <c r="C111" s="56"/>
      <c r="D111" s="51"/>
      <c r="E111" s="51"/>
      <c r="F111" s="51"/>
      <c r="G111" s="51" t="str">
        <f>IFERROR(__xludf.DUMMYFUNCTION("""COMPUTED_VALUE"""),"#VALUE!")</f>
        <v>#VALUE!</v>
      </c>
      <c r="H111" s="51" t="str">
        <f>IFERROR(__xludf.DUMMYFUNCTION("""COMPUTED_VALUE"""),"")</f>
        <v/>
      </c>
      <c r="I111" s="51" t="str">
        <f>IFERROR(__xludf.DUMMYFUNCTION("""COMPUTED_VALUE"""),"#VALUE!")</f>
        <v>#VALUE!</v>
      </c>
      <c r="J111" s="51" t="str">
        <f>IFERROR(__xludf.DUMMYFUNCTION("""COMPUTED_VALUE"""),"")</f>
        <v/>
      </c>
      <c r="K111" s="51"/>
      <c r="L111" s="51" t="s">
        <v>257</v>
      </c>
      <c r="M111" s="51"/>
      <c r="N111" s="51"/>
      <c r="O111" s="51"/>
      <c r="P111" s="51"/>
      <c r="Q111" s="51"/>
      <c r="R111" s="51"/>
      <c r="S111" s="51"/>
      <c r="T111" s="51"/>
    </row>
    <row r="112">
      <c r="A112" s="51"/>
      <c r="B112" s="51"/>
      <c r="C112" s="56"/>
      <c r="D112" s="51"/>
      <c r="E112" s="51"/>
      <c r="F112" s="51"/>
      <c r="G112" s="51" t="str">
        <f>IFERROR(__xludf.DUMMYFUNCTION("""COMPUTED_VALUE"""),"#VALUE!")</f>
        <v>#VALUE!</v>
      </c>
      <c r="H112" s="51" t="str">
        <f>IFERROR(__xludf.DUMMYFUNCTION("""COMPUTED_VALUE"""),"")</f>
        <v/>
      </c>
      <c r="I112" s="51" t="str">
        <f>IFERROR(__xludf.DUMMYFUNCTION("""COMPUTED_VALUE"""),"#VALUE!")</f>
        <v>#VALUE!</v>
      </c>
      <c r="J112" s="51" t="str">
        <f>IFERROR(__xludf.DUMMYFUNCTION("""COMPUTED_VALUE"""),"")</f>
        <v/>
      </c>
      <c r="K112" s="51"/>
      <c r="L112" s="51" t="s">
        <v>257</v>
      </c>
      <c r="M112" s="51"/>
      <c r="N112" s="51"/>
      <c r="O112" s="51"/>
      <c r="P112" s="51"/>
      <c r="Q112" s="51"/>
      <c r="R112" s="51"/>
      <c r="S112" s="51"/>
      <c r="T112" s="51"/>
    </row>
    <row r="113">
      <c r="A113" s="51"/>
      <c r="B113" s="51"/>
      <c r="C113" s="56"/>
      <c r="D113" s="51"/>
      <c r="E113" s="51"/>
      <c r="F113" s="51"/>
      <c r="G113" s="51" t="str">
        <f>IFERROR(__xludf.DUMMYFUNCTION("""COMPUTED_VALUE"""),"#VALUE!")</f>
        <v>#VALUE!</v>
      </c>
      <c r="H113" s="51" t="str">
        <f>IFERROR(__xludf.DUMMYFUNCTION("""COMPUTED_VALUE"""),"")</f>
        <v/>
      </c>
      <c r="I113" s="51" t="str">
        <f>IFERROR(__xludf.DUMMYFUNCTION("""COMPUTED_VALUE"""),"#VALUE!")</f>
        <v>#VALUE!</v>
      </c>
      <c r="J113" s="51" t="str">
        <f>IFERROR(__xludf.DUMMYFUNCTION("""COMPUTED_VALUE"""),"")</f>
        <v/>
      </c>
      <c r="K113" s="51"/>
      <c r="L113" s="51" t="s">
        <v>257</v>
      </c>
      <c r="M113" s="51"/>
      <c r="N113" s="51"/>
      <c r="O113" s="51"/>
      <c r="P113" s="51"/>
      <c r="Q113" s="51"/>
      <c r="R113" s="51"/>
      <c r="S113" s="51"/>
      <c r="T113" s="51"/>
    </row>
    <row r="114">
      <c r="A114" s="51"/>
      <c r="B114" s="51"/>
      <c r="C114" s="56"/>
      <c r="D114" s="51"/>
      <c r="E114" s="51"/>
      <c r="F114" s="51"/>
      <c r="G114" s="51" t="str">
        <f>IFERROR(__xludf.DUMMYFUNCTION("""COMPUTED_VALUE"""),"#VALUE!")</f>
        <v>#VALUE!</v>
      </c>
      <c r="H114" s="51" t="str">
        <f>IFERROR(__xludf.DUMMYFUNCTION("""COMPUTED_VALUE"""),"")</f>
        <v/>
      </c>
      <c r="I114" s="51" t="str">
        <f>IFERROR(__xludf.DUMMYFUNCTION("""COMPUTED_VALUE"""),"#VALUE!")</f>
        <v>#VALUE!</v>
      </c>
      <c r="J114" s="51" t="str">
        <f>IFERROR(__xludf.DUMMYFUNCTION("""COMPUTED_VALUE"""),"")</f>
        <v/>
      </c>
      <c r="K114" s="51"/>
      <c r="L114" s="51" t="s">
        <v>257</v>
      </c>
      <c r="M114" s="51"/>
      <c r="N114" s="51"/>
      <c r="O114" s="51"/>
      <c r="P114" s="51"/>
      <c r="Q114" s="51"/>
      <c r="R114" s="51"/>
      <c r="S114" s="51"/>
      <c r="T114" s="51"/>
    </row>
    <row r="115">
      <c r="A115" s="51"/>
      <c r="B115" s="51"/>
      <c r="C115" s="56"/>
      <c r="D115" s="51"/>
      <c r="E115" s="51"/>
      <c r="F115" s="51"/>
      <c r="G115" s="51" t="str">
        <f>IFERROR(__xludf.DUMMYFUNCTION("""COMPUTED_VALUE"""),"#VALUE!")</f>
        <v>#VALUE!</v>
      </c>
      <c r="H115" s="51" t="str">
        <f>IFERROR(__xludf.DUMMYFUNCTION("""COMPUTED_VALUE"""),"")</f>
        <v/>
      </c>
      <c r="I115" s="51" t="str">
        <f>IFERROR(__xludf.DUMMYFUNCTION("""COMPUTED_VALUE"""),"#VALUE!")</f>
        <v>#VALUE!</v>
      </c>
      <c r="J115" s="51" t="str">
        <f>IFERROR(__xludf.DUMMYFUNCTION("""COMPUTED_VALUE"""),"")</f>
        <v/>
      </c>
      <c r="K115" s="51"/>
      <c r="L115" s="51" t="s">
        <v>257</v>
      </c>
      <c r="M115" s="51"/>
      <c r="N115" s="51"/>
      <c r="O115" s="51"/>
      <c r="P115" s="51"/>
      <c r="Q115" s="51"/>
      <c r="R115" s="51"/>
      <c r="S115" s="51"/>
      <c r="T115" s="51"/>
    </row>
    <row r="116">
      <c r="A116" s="51"/>
      <c r="B116" s="51"/>
      <c r="C116" s="56"/>
      <c r="D116" s="51"/>
      <c r="E116" s="51"/>
      <c r="F116" s="51"/>
      <c r="G116" s="51" t="str">
        <f>IFERROR(__xludf.DUMMYFUNCTION("""COMPUTED_VALUE"""),"#VALUE!")</f>
        <v>#VALUE!</v>
      </c>
      <c r="H116" s="51" t="str">
        <f>IFERROR(__xludf.DUMMYFUNCTION("""COMPUTED_VALUE"""),"")</f>
        <v/>
      </c>
      <c r="I116" s="51" t="str">
        <f>IFERROR(__xludf.DUMMYFUNCTION("""COMPUTED_VALUE"""),"#VALUE!")</f>
        <v>#VALUE!</v>
      </c>
      <c r="J116" s="51" t="str">
        <f>IFERROR(__xludf.DUMMYFUNCTION("""COMPUTED_VALUE"""),"")</f>
        <v/>
      </c>
      <c r="K116" s="51"/>
      <c r="L116" s="51" t="s">
        <v>257</v>
      </c>
      <c r="M116" s="51"/>
      <c r="N116" s="51"/>
      <c r="O116" s="51"/>
      <c r="P116" s="51"/>
      <c r="Q116" s="51"/>
      <c r="R116" s="51"/>
      <c r="S116" s="51"/>
      <c r="T116" s="51"/>
    </row>
    <row r="117">
      <c r="A117" s="51"/>
      <c r="B117" s="51"/>
      <c r="C117" s="56"/>
      <c r="D117" s="51"/>
      <c r="E117" s="51"/>
      <c r="F117" s="51"/>
      <c r="G117" s="51" t="str">
        <f>IFERROR(__xludf.DUMMYFUNCTION("""COMPUTED_VALUE"""),"#VALUE!")</f>
        <v>#VALUE!</v>
      </c>
      <c r="H117" s="51" t="str">
        <f>IFERROR(__xludf.DUMMYFUNCTION("""COMPUTED_VALUE"""),"")</f>
        <v/>
      </c>
      <c r="I117" s="51" t="str">
        <f>IFERROR(__xludf.DUMMYFUNCTION("""COMPUTED_VALUE"""),"#VALUE!")</f>
        <v>#VALUE!</v>
      </c>
      <c r="J117" s="51" t="str">
        <f>IFERROR(__xludf.DUMMYFUNCTION("""COMPUTED_VALUE"""),"")</f>
        <v/>
      </c>
      <c r="K117" s="51"/>
      <c r="L117" s="51" t="s">
        <v>257</v>
      </c>
      <c r="M117" s="51"/>
      <c r="N117" s="51"/>
      <c r="O117" s="51"/>
      <c r="P117" s="51"/>
      <c r="Q117" s="51"/>
      <c r="R117" s="51"/>
      <c r="S117" s="51"/>
      <c r="T117" s="51"/>
    </row>
    <row r="118">
      <c r="A118" s="51"/>
      <c r="B118" s="51"/>
      <c r="C118" s="56"/>
      <c r="D118" s="51"/>
      <c r="E118" s="51"/>
      <c r="F118" s="51"/>
      <c r="G118" s="51" t="str">
        <f>IFERROR(__xludf.DUMMYFUNCTION("""COMPUTED_VALUE"""),"#VALUE!")</f>
        <v>#VALUE!</v>
      </c>
      <c r="H118" s="51" t="str">
        <f>IFERROR(__xludf.DUMMYFUNCTION("""COMPUTED_VALUE"""),"")</f>
        <v/>
      </c>
      <c r="I118" s="51" t="str">
        <f>IFERROR(__xludf.DUMMYFUNCTION("""COMPUTED_VALUE"""),"#VALUE!")</f>
        <v>#VALUE!</v>
      </c>
      <c r="J118" s="51" t="str">
        <f>IFERROR(__xludf.DUMMYFUNCTION("""COMPUTED_VALUE"""),"")</f>
        <v/>
      </c>
      <c r="K118" s="51"/>
      <c r="L118" s="51" t="s">
        <v>257</v>
      </c>
      <c r="M118" s="51"/>
      <c r="N118" s="51"/>
      <c r="O118" s="51"/>
      <c r="P118" s="51"/>
      <c r="Q118" s="51"/>
      <c r="R118" s="51"/>
      <c r="S118" s="51"/>
      <c r="T118" s="51"/>
    </row>
    <row r="119">
      <c r="A119" s="51"/>
      <c r="B119" s="51"/>
      <c r="C119" s="56"/>
      <c r="D119" s="51"/>
      <c r="E119" s="51"/>
      <c r="F119" s="51"/>
      <c r="G119" s="51" t="str">
        <f>IFERROR(__xludf.DUMMYFUNCTION("""COMPUTED_VALUE"""),"#VALUE!")</f>
        <v>#VALUE!</v>
      </c>
      <c r="H119" s="51" t="str">
        <f>IFERROR(__xludf.DUMMYFUNCTION("""COMPUTED_VALUE"""),"")</f>
        <v/>
      </c>
      <c r="I119" s="51" t="str">
        <f>IFERROR(__xludf.DUMMYFUNCTION("""COMPUTED_VALUE"""),"#VALUE!")</f>
        <v>#VALUE!</v>
      </c>
      <c r="J119" s="51" t="str">
        <f>IFERROR(__xludf.DUMMYFUNCTION("""COMPUTED_VALUE"""),"")</f>
        <v/>
      </c>
      <c r="K119" s="51"/>
      <c r="L119" s="51" t="s">
        <v>257</v>
      </c>
      <c r="M119" s="51"/>
      <c r="N119" s="51"/>
      <c r="O119" s="51"/>
      <c r="P119" s="51"/>
      <c r="Q119" s="51"/>
      <c r="R119" s="51"/>
      <c r="S119" s="51"/>
      <c r="T119" s="51"/>
    </row>
    <row r="120">
      <c r="A120" s="51"/>
      <c r="B120" s="51"/>
      <c r="C120" s="56"/>
      <c r="D120" s="51"/>
      <c r="E120" s="51"/>
      <c r="F120" s="51"/>
      <c r="G120" s="51" t="str">
        <f>IFERROR(__xludf.DUMMYFUNCTION("""COMPUTED_VALUE"""),"#VALUE!")</f>
        <v>#VALUE!</v>
      </c>
      <c r="H120" s="51" t="str">
        <f>IFERROR(__xludf.DUMMYFUNCTION("""COMPUTED_VALUE"""),"")</f>
        <v/>
      </c>
      <c r="I120" s="51" t="str">
        <f>IFERROR(__xludf.DUMMYFUNCTION("""COMPUTED_VALUE"""),"#VALUE!")</f>
        <v>#VALUE!</v>
      </c>
      <c r="J120" s="51" t="str">
        <f>IFERROR(__xludf.DUMMYFUNCTION("""COMPUTED_VALUE"""),"")</f>
        <v/>
      </c>
      <c r="K120" s="51"/>
      <c r="L120" s="51" t="s">
        <v>257</v>
      </c>
      <c r="M120" s="51"/>
      <c r="N120" s="51"/>
      <c r="O120" s="51"/>
      <c r="P120" s="51"/>
      <c r="Q120" s="51"/>
      <c r="R120" s="51"/>
      <c r="S120" s="51"/>
      <c r="T120" s="51"/>
    </row>
    <row r="121">
      <c r="A121" s="51"/>
      <c r="B121" s="51"/>
      <c r="C121" s="56"/>
      <c r="D121" s="51"/>
      <c r="E121" s="51"/>
      <c r="F121" s="51"/>
      <c r="G121" s="51" t="str">
        <f>IFERROR(__xludf.DUMMYFUNCTION("""COMPUTED_VALUE"""),"#VALUE!")</f>
        <v>#VALUE!</v>
      </c>
      <c r="H121" s="51" t="str">
        <f>IFERROR(__xludf.DUMMYFUNCTION("""COMPUTED_VALUE"""),"")</f>
        <v/>
      </c>
      <c r="I121" s="51" t="str">
        <f>IFERROR(__xludf.DUMMYFUNCTION("""COMPUTED_VALUE"""),"#VALUE!")</f>
        <v>#VALUE!</v>
      </c>
      <c r="J121" s="51" t="str">
        <f>IFERROR(__xludf.DUMMYFUNCTION("""COMPUTED_VALUE"""),"")</f>
        <v/>
      </c>
      <c r="K121" s="51"/>
      <c r="L121" s="51" t="s">
        <v>257</v>
      </c>
      <c r="M121" s="51"/>
      <c r="N121" s="51"/>
      <c r="O121" s="51"/>
      <c r="P121" s="51"/>
      <c r="Q121" s="51"/>
      <c r="R121" s="51"/>
      <c r="S121" s="51"/>
      <c r="T121" s="51"/>
    </row>
    <row r="122">
      <c r="A122" s="51"/>
      <c r="B122" s="51"/>
      <c r="C122" s="56"/>
      <c r="D122" s="51"/>
      <c r="E122" s="51"/>
      <c r="F122" s="51"/>
      <c r="G122" s="51" t="str">
        <f>IFERROR(__xludf.DUMMYFUNCTION("""COMPUTED_VALUE"""),"#VALUE!")</f>
        <v>#VALUE!</v>
      </c>
      <c r="H122" s="51" t="str">
        <f>IFERROR(__xludf.DUMMYFUNCTION("""COMPUTED_VALUE"""),"")</f>
        <v/>
      </c>
      <c r="I122" s="51" t="str">
        <f>IFERROR(__xludf.DUMMYFUNCTION("""COMPUTED_VALUE"""),"#VALUE!")</f>
        <v>#VALUE!</v>
      </c>
      <c r="J122" s="51" t="str">
        <f>IFERROR(__xludf.DUMMYFUNCTION("""COMPUTED_VALUE"""),"")</f>
        <v/>
      </c>
      <c r="K122" s="51"/>
      <c r="L122" s="51" t="s">
        <v>257</v>
      </c>
      <c r="M122" s="51"/>
      <c r="N122" s="51"/>
      <c r="O122" s="51"/>
      <c r="P122" s="51"/>
      <c r="Q122" s="51"/>
      <c r="R122" s="51"/>
      <c r="S122" s="51"/>
      <c r="T122" s="51"/>
    </row>
    <row r="123">
      <c r="A123" s="51"/>
      <c r="B123" s="51"/>
      <c r="C123" s="56"/>
      <c r="D123" s="51"/>
      <c r="E123" s="51"/>
      <c r="F123" s="51"/>
      <c r="G123" s="51" t="str">
        <f>IFERROR(__xludf.DUMMYFUNCTION("""COMPUTED_VALUE"""),"#VALUE!")</f>
        <v>#VALUE!</v>
      </c>
      <c r="H123" s="51" t="str">
        <f>IFERROR(__xludf.DUMMYFUNCTION("""COMPUTED_VALUE"""),"")</f>
        <v/>
      </c>
      <c r="I123" s="51" t="str">
        <f>IFERROR(__xludf.DUMMYFUNCTION("""COMPUTED_VALUE"""),"#VALUE!")</f>
        <v>#VALUE!</v>
      </c>
      <c r="J123" s="51" t="str">
        <f>IFERROR(__xludf.DUMMYFUNCTION("""COMPUTED_VALUE"""),"")</f>
        <v/>
      </c>
      <c r="K123" s="51"/>
      <c r="L123" s="51" t="s">
        <v>257</v>
      </c>
      <c r="M123" s="51"/>
      <c r="N123" s="51"/>
      <c r="O123" s="51"/>
      <c r="P123" s="51"/>
      <c r="Q123" s="51"/>
      <c r="R123" s="51"/>
      <c r="S123" s="51"/>
      <c r="T123" s="51"/>
    </row>
    <row r="124">
      <c r="A124" s="51"/>
      <c r="B124" s="51"/>
      <c r="C124" s="56"/>
      <c r="D124" s="51"/>
      <c r="E124" s="51"/>
      <c r="F124" s="51"/>
      <c r="G124" s="51" t="str">
        <f>IFERROR(__xludf.DUMMYFUNCTION("""COMPUTED_VALUE"""),"#VALUE!")</f>
        <v>#VALUE!</v>
      </c>
      <c r="H124" s="51" t="str">
        <f>IFERROR(__xludf.DUMMYFUNCTION("""COMPUTED_VALUE"""),"")</f>
        <v/>
      </c>
      <c r="I124" s="51" t="str">
        <f>IFERROR(__xludf.DUMMYFUNCTION("""COMPUTED_VALUE"""),"#VALUE!")</f>
        <v>#VALUE!</v>
      </c>
      <c r="J124" s="51" t="str">
        <f>IFERROR(__xludf.DUMMYFUNCTION("""COMPUTED_VALUE"""),"")</f>
        <v/>
      </c>
      <c r="K124" s="51"/>
      <c r="L124" s="51" t="s">
        <v>257</v>
      </c>
      <c r="M124" s="51"/>
      <c r="N124" s="51"/>
      <c r="O124" s="51"/>
      <c r="P124" s="51"/>
      <c r="Q124" s="51"/>
      <c r="R124" s="51"/>
      <c r="S124" s="51"/>
      <c r="T124" s="51"/>
    </row>
    <row r="125">
      <c r="A125" s="51"/>
      <c r="B125" s="51"/>
      <c r="C125" s="56"/>
      <c r="D125" s="51"/>
      <c r="E125" s="51"/>
      <c r="F125" s="51"/>
      <c r="G125" s="51" t="str">
        <f>IFERROR(__xludf.DUMMYFUNCTION("""COMPUTED_VALUE"""),"#VALUE!")</f>
        <v>#VALUE!</v>
      </c>
      <c r="H125" s="51" t="str">
        <f>IFERROR(__xludf.DUMMYFUNCTION("""COMPUTED_VALUE"""),"")</f>
        <v/>
      </c>
      <c r="I125" s="51" t="str">
        <f>IFERROR(__xludf.DUMMYFUNCTION("""COMPUTED_VALUE"""),"#VALUE!")</f>
        <v>#VALUE!</v>
      </c>
      <c r="J125" s="51" t="str">
        <f>IFERROR(__xludf.DUMMYFUNCTION("""COMPUTED_VALUE"""),"")</f>
        <v/>
      </c>
      <c r="K125" s="51"/>
      <c r="L125" s="51" t="s">
        <v>257</v>
      </c>
      <c r="M125" s="51"/>
      <c r="N125" s="51"/>
      <c r="O125" s="51"/>
      <c r="P125" s="51"/>
      <c r="Q125" s="51"/>
      <c r="R125" s="51"/>
      <c r="S125" s="51"/>
      <c r="T125" s="51"/>
    </row>
    <row r="126">
      <c r="A126" s="51"/>
      <c r="B126" s="51"/>
      <c r="C126" s="56"/>
      <c r="D126" s="51"/>
      <c r="E126" s="51"/>
      <c r="F126" s="51"/>
      <c r="G126" s="51" t="str">
        <f>IFERROR(__xludf.DUMMYFUNCTION("""COMPUTED_VALUE"""),"#VALUE!")</f>
        <v>#VALUE!</v>
      </c>
      <c r="H126" s="51" t="str">
        <f>IFERROR(__xludf.DUMMYFUNCTION("""COMPUTED_VALUE"""),"")</f>
        <v/>
      </c>
      <c r="I126" s="51" t="str">
        <f>IFERROR(__xludf.DUMMYFUNCTION("""COMPUTED_VALUE"""),"#VALUE!")</f>
        <v>#VALUE!</v>
      </c>
      <c r="J126" s="51" t="str">
        <f>IFERROR(__xludf.DUMMYFUNCTION("""COMPUTED_VALUE"""),"")</f>
        <v/>
      </c>
      <c r="K126" s="51"/>
      <c r="L126" s="51" t="s">
        <v>257</v>
      </c>
      <c r="M126" s="51"/>
      <c r="N126" s="51"/>
      <c r="O126" s="51"/>
      <c r="P126" s="51"/>
      <c r="Q126" s="51"/>
      <c r="R126" s="51"/>
      <c r="S126" s="51"/>
      <c r="T126" s="51"/>
    </row>
    <row r="127">
      <c r="A127" s="51"/>
      <c r="B127" s="51"/>
      <c r="C127" s="56"/>
      <c r="D127" s="51"/>
      <c r="E127" s="51"/>
      <c r="F127" s="51"/>
      <c r="G127" s="51" t="str">
        <f>IFERROR(__xludf.DUMMYFUNCTION("""COMPUTED_VALUE"""),"#VALUE!")</f>
        <v>#VALUE!</v>
      </c>
      <c r="H127" s="51" t="str">
        <f>IFERROR(__xludf.DUMMYFUNCTION("""COMPUTED_VALUE"""),"")</f>
        <v/>
      </c>
      <c r="I127" s="51" t="str">
        <f>IFERROR(__xludf.DUMMYFUNCTION("""COMPUTED_VALUE"""),"#VALUE!")</f>
        <v>#VALUE!</v>
      </c>
      <c r="J127" s="51" t="str">
        <f>IFERROR(__xludf.DUMMYFUNCTION("""COMPUTED_VALUE"""),"")</f>
        <v/>
      </c>
      <c r="K127" s="51"/>
      <c r="L127" s="51" t="s">
        <v>257</v>
      </c>
      <c r="M127" s="51"/>
      <c r="N127" s="51"/>
      <c r="O127" s="51"/>
      <c r="P127" s="51"/>
      <c r="Q127" s="51"/>
      <c r="R127" s="51"/>
      <c r="S127" s="51"/>
      <c r="T127" s="51"/>
    </row>
    <row r="128">
      <c r="A128" s="51"/>
      <c r="B128" s="51"/>
      <c r="C128" s="56"/>
      <c r="D128" s="51"/>
      <c r="E128" s="51"/>
      <c r="F128" s="51"/>
      <c r="G128" s="51" t="str">
        <f>IFERROR(__xludf.DUMMYFUNCTION("""COMPUTED_VALUE"""),"#VALUE!")</f>
        <v>#VALUE!</v>
      </c>
      <c r="H128" s="51" t="str">
        <f>IFERROR(__xludf.DUMMYFUNCTION("""COMPUTED_VALUE"""),"")</f>
        <v/>
      </c>
      <c r="I128" s="51" t="str">
        <f>IFERROR(__xludf.DUMMYFUNCTION("""COMPUTED_VALUE"""),"#VALUE!")</f>
        <v>#VALUE!</v>
      </c>
      <c r="J128" s="51" t="str">
        <f>IFERROR(__xludf.DUMMYFUNCTION("""COMPUTED_VALUE"""),"")</f>
        <v/>
      </c>
      <c r="K128" s="51"/>
      <c r="L128" s="51" t="s">
        <v>257</v>
      </c>
      <c r="M128" s="51"/>
      <c r="N128" s="51"/>
      <c r="O128" s="51"/>
      <c r="P128" s="51"/>
      <c r="Q128" s="51"/>
      <c r="R128" s="51"/>
      <c r="S128" s="51"/>
      <c r="T128" s="51"/>
    </row>
    <row r="129">
      <c r="A129" s="51"/>
      <c r="B129" s="51"/>
      <c r="C129" s="56"/>
      <c r="D129" s="51"/>
      <c r="E129" s="51"/>
      <c r="F129" s="51"/>
      <c r="G129" s="51" t="str">
        <f>IFERROR(__xludf.DUMMYFUNCTION("""COMPUTED_VALUE"""),"#VALUE!")</f>
        <v>#VALUE!</v>
      </c>
      <c r="H129" s="51" t="str">
        <f>IFERROR(__xludf.DUMMYFUNCTION("""COMPUTED_VALUE"""),"")</f>
        <v/>
      </c>
      <c r="I129" s="51" t="str">
        <f>IFERROR(__xludf.DUMMYFUNCTION("""COMPUTED_VALUE"""),"#VALUE!")</f>
        <v>#VALUE!</v>
      </c>
      <c r="J129" s="51" t="str">
        <f>IFERROR(__xludf.DUMMYFUNCTION("""COMPUTED_VALUE"""),"")</f>
        <v/>
      </c>
      <c r="K129" s="51"/>
      <c r="L129" s="51" t="s">
        <v>257</v>
      </c>
      <c r="M129" s="51"/>
      <c r="N129" s="51"/>
      <c r="O129" s="51"/>
      <c r="P129" s="51"/>
      <c r="Q129" s="51"/>
      <c r="R129" s="51"/>
      <c r="S129" s="51"/>
      <c r="T129" s="51"/>
    </row>
    <row r="130">
      <c r="A130" s="51"/>
      <c r="B130" s="51"/>
      <c r="C130" s="56"/>
      <c r="D130" s="51"/>
      <c r="E130" s="51"/>
      <c r="F130" s="51"/>
      <c r="G130" s="51" t="str">
        <f>IFERROR(__xludf.DUMMYFUNCTION("""COMPUTED_VALUE"""),"#VALUE!")</f>
        <v>#VALUE!</v>
      </c>
      <c r="H130" s="51" t="str">
        <f>IFERROR(__xludf.DUMMYFUNCTION("""COMPUTED_VALUE"""),"")</f>
        <v/>
      </c>
      <c r="I130" s="51" t="str">
        <f>IFERROR(__xludf.DUMMYFUNCTION("""COMPUTED_VALUE"""),"#VALUE!")</f>
        <v>#VALUE!</v>
      </c>
      <c r="J130" s="51" t="str">
        <f>IFERROR(__xludf.DUMMYFUNCTION("""COMPUTED_VALUE"""),"")</f>
        <v/>
      </c>
      <c r="K130" s="51"/>
      <c r="L130" s="51" t="s">
        <v>257</v>
      </c>
      <c r="M130" s="51"/>
      <c r="N130" s="51"/>
      <c r="O130" s="51"/>
      <c r="P130" s="51"/>
      <c r="Q130" s="51"/>
      <c r="R130" s="51"/>
      <c r="S130" s="51"/>
      <c r="T130" s="51"/>
    </row>
    <row r="131">
      <c r="A131" s="51"/>
      <c r="B131" s="51"/>
      <c r="C131" s="56"/>
      <c r="D131" s="51"/>
      <c r="E131" s="51"/>
      <c r="F131" s="51"/>
      <c r="G131" s="51" t="str">
        <f>IFERROR(__xludf.DUMMYFUNCTION("""COMPUTED_VALUE"""),"#VALUE!")</f>
        <v>#VALUE!</v>
      </c>
      <c r="H131" s="51" t="str">
        <f>IFERROR(__xludf.DUMMYFUNCTION("""COMPUTED_VALUE"""),"")</f>
        <v/>
      </c>
      <c r="I131" s="51" t="str">
        <f>IFERROR(__xludf.DUMMYFUNCTION("""COMPUTED_VALUE"""),"#VALUE!")</f>
        <v>#VALUE!</v>
      </c>
      <c r="J131" s="51" t="str">
        <f>IFERROR(__xludf.DUMMYFUNCTION("""COMPUTED_VALUE"""),"")</f>
        <v/>
      </c>
      <c r="K131" s="51"/>
      <c r="L131" s="51" t="s">
        <v>257</v>
      </c>
      <c r="M131" s="51"/>
      <c r="N131" s="51"/>
      <c r="O131" s="51"/>
      <c r="P131" s="51"/>
      <c r="Q131" s="51"/>
      <c r="R131" s="51"/>
      <c r="S131" s="51"/>
      <c r="T131" s="51"/>
    </row>
    <row r="132">
      <c r="A132" s="51"/>
      <c r="B132" s="51"/>
      <c r="C132" s="56"/>
      <c r="D132" s="51"/>
      <c r="E132" s="51"/>
      <c r="F132" s="51"/>
      <c r="G132" s="51" t="str">
        <f>IFERROR(__xludf.DUMMYFUNCTION("""COMPUTED_VALUE"""),"#VALUE!")</f>
        <v>#VALUE!</v>
      </c>
      <c r="H132" s="51" t="str">
        <f>IFERROR(__xludf.DUMMYFUNCTION("""COMPUTED_VALUE"""),"")</f>
        <v/>
      </c>
      <c r="I132" s="51" t="str">
        <f>IFERROR(__xludf.DUMMYFUNCTION("""COMPUTED_VALUE"""),"#VALUE!")</f>
        <v>#VALUE!</v>
      </c>
      <c r="J132" s="51" t="str">
        <f>IFERROR(__xludf.DUMMYFUNCTION("""COMPUTED_VALUE"""),"")</f>
        <v/>
      </c>
      <c r="K132" s="51"/>
      <c r="L132" s="51" t="s">
        <v>257</v>
      </c>
      <c r="M132" s="51"/>
      <c r="N132" s="51"/>
      <c r="O132" s="51"/>
      <c r="P132" s="51"/>
      <c r="Q132" s="51"/>
      <c r="R132" s="51"/>
      <c r="S132" s="51"/>
      <c r="T132" s="51"/>
    </row>
    <row r="133">
      <c r="A133" s="51"/>
      <c r="B133" s="51"/>
      <c r="C133" s="56"/>
      <c r="D133" s="51"/>
      <c r="E133" s="51"/>
      <c r="F133" s="51"/>
      <c r="G133" s="51" t="str">
        <f>IFERROR(__xludf.DUMMYFUNCTION("""COMPUTED_VALUE"""),"#VALUE!")</f>
        <v>#VALUE!</v>
      </c>
      <c r="H133" s="51" t="str">
        <f>IFERROR(__xludf.DUMMYFUNCTION("""COMPUTED_VALUE"""),"")</f>
        <v/>
      </c>
      <c r="I133" s="51" t="str">
        <f>IFERROR(__xludf.DUMMYFUNCTION("""COMPUTED_VALUE"""),"#VALUE!")</f>
        <v>#VALUE!</v>
      </c>
      <c r="J133" s="51" t="str">
        <f>IFERROR(__xludf.DUMMYFUNCTION("""COMPUTED_VALUE"""),"")</f>
        <v/>
      </c>
      <c r="K133" s="51"/>
      <c r="L133" s="51" t="s">
        <v>257</v>
      </c>
      <c r="M133" s="51"/>
      <c r="N133" s="51"/>
      <c r="O133" s="51"/>
      <c r="P133" s="51"/>
      <c r="Q133" s="51"/>
      <c r="R133" s="51"/>
      <c r="S133" s="51"/>
      <c r="T133" s="51"/>
    </row>
    <row r="134">
      <c r="A134" s="51"/>
      <c r="B134" s="51"/>
      <c r="C134" s="56"/>
      <c r="D134" s="51"/>
      <c r="E134" s="51"/>
      <c r="F134" s="51"/>
      <c r="G134" s="51" t="str">
        <f>IFERROR(__xludf.DUMMYFUNCTION("""COMPUTED_VALUE"""),"#VALUE!")</f>
        <v>#VALUE!</v>
      </c>
      <c r="H134" s="51" t="str">
        <f>IFERROR(__xludf.DUMMYFUNCTION("""COMPUTED_VALUE"""),"")</f>
        <v/>
      </c>
      <c r="I134" s="51" t="str">
        <f>IFERROR(__xludf.DUMMYFUNCTION("""COMPUTED_VALUE"""),"#VALUE!")</f>
        <v>#VALUE!</v>
      </c>
      <c r="J134" s="51" t="str">
        <f>IFERROR(__xludf.DUMMYFUNCTION("""COMPUTED_VALUE"""),"")</f>
        <v/>
      </c>
      <c r="K134" s="51"/>
      <c r="L134" s="51" t="s">
        <v>257</v>
      </c>
      <c r="M134" s="51"/>
      <c r="N134" s="51"/>
      <c r="O134" s="51"/>
      <c r="P134" s="51"/>
      <c r="Q134" s="51"/>
      <c r="R134" s="51"/>
      <c r="S134" s="51"/>
      <c r="T134" s="51"/>
    </row>
    <row r="135">
      <c r="A135" s="51"/>
      <c r="B135" s="51"/>
      <c r="C135" s="56"/>
      <c r="D135" s="51"/>
      <c r="E135" s="51"/>
      <c r="F135" s="51"/>
      <c r="G135" s="51" t="str">
        <f>IFERROR(__xludf.DUMMYFUNCTION("""COMPUTED_VALUE"""),"#VALUE!")</f>
        <v>#VALUE!</v>
      </c>
      <c r="H135" s="51" t="str">
        <f>IFERROR(__xludf.DUMMYFUNCTION("""COMPUTED_VALUE"""),"")</f>
        <v/>
      </c>
      <c r="I135" s="51" t="str">
        <f>IFERROR(__xludf.DUMMYFUNCTION("""COMPUTED_VALUE"""),"#VALUE!")</f>
        <v>#VALUE!</v>
      </c>
      <c r="J135" s="51" t="str">
        <f>IFERROR(__xludf.DUMMYFUNCTION("""COMPUTED_VALUE"""),"")</f>
        <v/>
      </c>
      <c r="K135" s="51"/>
      <c r="L135" s="51" t="s">
        <v>257</v>
      </c>
      <c r="M135" s="51"/>
      <c r="N135" s="51"/>
      <c r="O135" s="51"/>
      <c r="P135" s="51"/>
      <c r="Q135" s="51"/>
      <c r="R135" s="51"/>
      <c r="S135" s="51"/>
      <c r="T135" s="51"/>
    </row>
    <row r="136">
      <c r="A136" s="51"/>
      <c r="B136" s="51"/>
      <c r="C136" s="56"/>
      <c r="D136" s="51"/>
      <c r="E136" s="51"/>
      <c r="F136" s="51"/>
      <c r="G136" s="51" t="str">
        <f>IFERROR(__xludf.DUMMYFUNCTION("""COMPUTED_VALUE"""),"#VALUE!")</f>
        <v>#VALUE!</v>
      </c>
      <c r="H136" s="51" t="str">
        <f>IFERROR(__xludf.DUMMYFUNCTION("""COMPUTED_VALUE"""),"")</f>
        <v/>
      </c>
      <c r="I136" s="51" t="str">
        <f>IFERROR(__xludf.DUMMYFUNCTION("""COMPUTED_VALUE"""),"#VALUE!")</f>
        <v>#VALUE!</v>
      </c>
      <c r="J136" s="51" t="str">
        <f>IFERROR(__xludf.DUMMYFUNCTION("""COMPUTED_VALUE"""),"")</f>
        <v/>
      </c>
      <c r="K136" s="51"/>
      <c r="L136" s="51" t="s">
        <v>257</v>
      </c>
      <c r="M136" s="51"/>
      <c r="N136" s="51"/>
      <c r="O136" s="51"/>
      <c r="P136" s="51"/>
      <c r="Q136" s="51"/>
      <c r="R136" s="51"/>
      <c r="S136" s="51"/>
      <c r="T136" s="51"/>
    </row>
    <row r="137">
      <c r="A137" s="51"/>
      <c r="B137" s="51"/>
      <c r="C137" s="56"/>
      <c r="D137" s="51"/>
      <c r="E137" s="51"/>
      <c r="F137" s="51"/>
      <c r="G137" s="51" t="str">
        <f>IFERROR(__xludf.DUMMYFUNCTION("""COMPUTED_VALUE"""),"#VALUE!")</f>
        <v>#VALUE!</v>
      </c>
      <c r="H137" s="51" t="str">
        <f>IFERROR(__xludf.DUMMYFUNCTION("""COMPUTED_VALUE"""),"")</f>
        <v/>
      </c>
      <c r="I137" s="51" t="str">
        <f>IFERROR(__xludf.DUMMYFUNCTION("""COMPUTED_VALUE"""),"#VALUE!")</f>
        <v>#VALUE!</v>
      </c>
      <c r="J137" s="51" t="str">
        <f>IFERROR(__xludf.DUMMYFUNCTION("""COMPUTED_VALUE"""),"")</f>
        <v/>
      </c>
      <c r="K137" s="51"/>
      <c r="L137" s="51" t="s">
        <v>257</v>
      </c>
      <c r="M137" s="51"/>
      <c r="N137" s="51"/>
      <c r="O137" s="51"/>
      <c r="P137" s="51"/>
      <c r="Q137" s="51"/>
      <c r="R137" s="51"/>
      <c r="S137" s="51"/>
      <c r="T137" s="51"/>
    </row>
    <row r="138">
      <c r="A138" s="51"/>
      <c r="B138" s="51"/>
      <c r="C138" s="56"/>
      <c r="D138" s="51"/>
      <c r="E138" s="51"/>
      <c r="F138" s="51"/>
      <c r="G138" s="51" t="str">
        <f>IFERROR(__xludf.DUMMYFUNCTION("""COMPUTED_VALUE"""),"#VALUE!")</f>
        <v>#VALUE!</v>
      </c>
      <c r="H138" s="51" t="str">
        <f>IFERROR(__xludf.DUMMYFUNCTION("""COMPUTED_VALUE"""),"")</f>
        <v/>
      </c>
      <c r="I138" s="51" t="str">
        <f>IFERROR(__xludf.DUMMYFUNCTION("""COMPUTED_VALUE"""),"#VALUE!")</f>
        <v>#VALUE!</v>
      </c>
      <c r="J138" s="51" t="str">
        <f>IFERROR(__xludf.DUMMYFUNCTION("""COMPUTED_VALUE"""),"")</f>
        <v/>
      </c>
      <c r="K138" s="51"/>
      <c r="L138" s="51" t="s">
        <v>257</v>
      </c>
      <c r="M138" s="51"/>
      <c r="N138" s="51"/>
      <c r="O138" s="51"/>
      <c r="P138" s="51"/>
      <c r="Q138" s="51"/>
      <c r="R138" s="51"/>
      <c r="S138" s="51"/>
      <c r="T138" s="51"/>
    </row>
    <row r="139">
      <c r="A139" s="51"/>
      <c r="B139" s="51"/>
      <c r="C139" s="56"/>
      <c r="D139" s="51"/>
      <c r="E139" s="51"/>
      <c r="F139" s="51"/>
      <c r="G139" s="51" t="str">
        <f>IFERROR(__xludf.DUMMYFUNCTION("""COMPUTED_VALUE"""),"#VALUE!")</f>
        <v>#VALUE!</v>
      </c>
      <c r="H139" s="51" t="str">
        <f>IFERROR(__xludf.DUMMYFUNCTION("""COMPUTED_VALUE"""),"")</f>
        <v/>
      </c>
      <c r="I139" s="51" t="str">
        <f>IFERROR(__xludf.DUMMYFUNCTION("""COMPUTED_VALUE"""),"#VALUE!")</f>
        <v>#VALUE!</v>
      </c>
      <c r="J139" s="51" t="str">
        <f>IFERROR(__xludf.DUMMYFUNCTION("""COMPUTED_VALUE"""),"")</f>
        <v/>
      </c>
      <c r="K139" s="51"/>
      <c r="L139" s="51" t="s">
        <v>257</v>
      </c>
      <c r="M139" s="51"/>
      <c r="N139" s="51"/>
      <c r="O139" s="51"/>
      <c r="P139" s="51"/>
      <c r="Q139" s="51"/>
      <c r="R139" s="51"/>
      <c r="S139" s="51"/>
      <c r="T139" s="51"/>
    </row>
    <row r="140">
      <c r="A140" s="51"/>
      <c r="B140" s="51"/>
      <c r="C140" s="56"/>
      <c r="D140" s="51"/>
      <c r="E140" s="51"/>
      <c r="F140" s="51"/>
      <c r="G140" s="51" t="str">
        <f>IFERROR(__xludf.DUMMYFUNCTION("""COMPUTED_VALUE"""),"#VALUE!")</f>
        <v>#VALUE!</v>
      </c>
      <c r="H140" s="51" t="str">
        <f>IFERROR(__xludf.DUMMYFUNCTION("""COMPUTED_VALUE"""),"")</f>
        <v/>
      </c>
      <c r="I140" s="51" t="str">
        <f>IFERROR(__xludf.DUMMYFUNCTION("""COMPUTED_VALUE"""),"#VALUE!")</f>
        <v>#VALUE!</v>
      </c>
      <c r="J140" s="51" t="str">
        <f>IFERROR(__xludf.DUMMYFUNCTION("""COMPUTED_VALUE"""),"")</f>
        <v/>
      </c>
      <c r="K140" s="51"/>
      <c r="L140" s="51" t="s">
        <v>257</v>
      </c>
      <c r="M140" s="51"/>
      <c r="N140" s="51"/>
      <c r="O140" s="51"/>
      <c r="P140" s="51"/>
      <c r="Q140" s="51"/>
      <c r="R140" s="51"/>
      <c r="S140" s="51"/>
      <c r="T140" s="51"/>
    </row>
    <row r="141">
      <c r="A141" s="51"/>
      <c r="B141" s="51"/>
      <c r="C141" s="56"/>
      <c r="D141" s="51"/>
      <c r="E141" s="51"/>
      <c r="F141" s="51"/>
      <c r="G141" s="51" t="str">
        <f>IFERROR(__xludf.DUMMYFUNCTION("""COMPUTED_VALUE"""),"#VALUE!")</f>
        <v>#VALUE!</v>
      </c>
      <c r="H141" s="51" t="str">
        <f>IFERROR(__xludf.DUMMYFUNCTION("""COMPUTED_VALUE"""),"")</f>
        <v/>
      </c>
      <c r="I141" s="51" t="str">
        <f>IFERROR(__xludf.DUMMYFUNCTION("""COMPUTED_VALUE"""),"#VALUE!")</f>
        <v>#VALUE!</v>
      </c>
      <c r="J141" s="51" t="str">
        <f>IFERROR(__xludf.DUMMYFUNCTION("""COMPUTED_VALUE"""),"")</f>
        <v/>
      </c>
      <c r="K141" s="51"/>
      <c r="L141" s="51" t="s">
        <v>257</v>
      </c>
      <c r="M141" s="51"/>
      <c r="N141" s="51"/>
      <c r="O141" s="51"/>
      <c r="P141" s="51"/>
      <c r="Q141" s="51"/>
      <c r="R141" s="51"/>
      <c r="S141" s="51"/>
      <c r="T141" s="51"/>
    </row>
    <row r="142">
      <c r="A142" s="51"/>
      <c r="B142" s="51"/>
      <c r="C142" s="56"/>
      <c r="D142" s="51"/>
      <c r="E142" s="51"/>
      <c r="F142" s="51"/>
      <c r="G142" s="51" t="str">
        <f>IFERROR(__xludf.DUMMYFUNCTION("""COMPUTED_VALUE"""),"#VALUE!")</f>
        <v>#VALUE!</v>
      </c>
      <c r="H142" s="51" t="str">
        <f>IFERROR(__xludf.DUMMYFUNCTION("""COMPUTED_VALUE"""),"")</f>
        <v/>
      </c>
      <c r="I142" s="51" t="str">
        <f>IFERROR(__xludf.DUMMYFUNCTION("""COMPUTED_VALUE"""),"#VALUE!")</f>
        <v>#VALUE!</v>
      </c>
      <c r="J142" s="51" t="str">
        <f>IFERROR(__xludf.DUMMYFUNCTION("""COMPUTED_VALUE"""),"")</f>
        <v/>
      </c>
      <c r="K142" s="51"/>
      <c r="L142" s="51" t="s">
        <v>257</v>
      </c>
      <c r="M142" s="51"/>
      <c r="N142" s="51"/>
      <c r="O142" s="51"/>
      <c r="P142" s="51"/>
      <c r="Q142" s="51"/>
      <c r="R142" s="51"/>
      <c r="S142" s="51"/>
      <c r="T142" s="51"/>
    </row>
    <row r="143">
      <c r="A143" s="51"/>
      <c r="B143" s="51"/>
      <c r="C143" s="56"/>
      <c r="D143" s="51"/>
      <c r="E143" s="51"/>
      <c r="F143" s="51"/>
      <c r="G143" s="51" t="str">
        <f>IFERROR(__xludf.DUMMYFUNCTION("""COMPUTED_VALUE"""),"#VALUE!")</f>
        <v>#VALUE!</v>
      </c>
      <c r="H143" s="51" t="str">
        <f>IFERROR(__xludf.DUMMYFUNCTION("""COMPUTED_VALUE"""),"")</f>
        <v/>
      </c>
      <c r="I143" s="51" t="str">
        <f>IFERROR(__xludf.DUMMYFUNCTION("""COMPUTED_VALUE"""),"#VALUE!")</f>
        <v>#VALUE!</v>
      </c>
      <c r="J143" s="51" t="str">
        <f>IFERROR(__xludf.DUMMYFUNCTION("""COMPUTED_VALUE"""),"")</f>
        <v/>
      </c>
      <c r="K143" s="51"/>
      <c r="L143" s="51" t="s">
        <v>257</v>
      </c>
      <c r="M143" s="51"/>
      <c r="N143" s="51"/>
      <c r="O143" s="51"/>
      <c r="P143" s="51"/>
      <c r="Q143" s="51"/>
      <c r="R143" s="51"/>
      <c r="S143" s="51"/>
      <c r="T143" s="51"/>
    </row>
    <row r="144">
      <c r="A144" s="51"/>
      <c r="B144" s="51"/>
      <c r="C144" s="56"/>
      <c r="D144" s="51"/>
      <c r="E144" s="51"/>
      <c r="F144" s="51"/>
      <c r="G144" s="51" t="str">
        <f>IFERROR(__xludf.DUMMYFUNCTION("""COMPUTED_VALUE"""),"#VALUE!")</f>
        <v>#VALUE!</v>
      </c>
      <c r="H144" s="51" t="str">
        <f>IFERROR(__xludf.DUMMYFUNCTION("""COMPUTED_VALUE"""),"")</f>
        <v/>
      </c>
      <c r="I144" s="51" t="str">
        <f>IFERROR(__xludf.DUMMYFUNCTION("""COMPUTED_VALUE"""),"#VALUE!")</f>
        <v>#VALUE!</v>
      </c>
      <c r="J144" s="51" t="str">
        <f>IFERROR(__xludf.DUMMYFUNCTION("""COMPUTED_VALUE"""),"")</f>
        <v/>
      </c>
      <c r="K144" s="51"/>
      <c r="L144" s="51" t="s">
        <v>257</v>
      </c>
      <c r="M144" s="51"/>
      <c r="N144" s="51"/>
      <c r="O144" s="51"/>
      <c r="P144" s="51"/>
      <c r="Q144" s="51"/>
      <c r="R144" s="51"/>
      <c r="S144" s="51"/>
      <c r="T144" s="51"/>
    </row>
    <row r="145">
      <c r="A145" s="51"/>
      <c r="B145" s="51"/>
      <c r="C145" s="56"/>
      <c r="D145" s="51"/>
      <c r="E145" s="51"/>
      <c r="F145" s="51"/>
      <c r="G145" s="51" t="str">
        <f>IFERROR(__xludf.DUMMYFUNCTION("""COMPUTED_VALUE"""),"#VALUE!")</f>
        <v>#VALUE!</v>
      </c>
      <c r="H145" s="51" t="str">
        <f>IFERROR(__xludf.DUMMYFUNCTION("""COMPUTED_VALUE"""),"")</f>
        <v/>
      </c>
      <c r="I145" s="51" t="str">
        <f>IFERROR(__xludf.DUMMYFUNCTION("""COMPUTED_VALUE"""),"#VALUE!")</f>
        <v>#VALUE!</v>
      </c>
      <c r="J145" s="51" t="str">
        <f>IFERROR(__xludf.DUMMYFUNCTION("""COMPUTED_VALUE"""),"")</f>
        <v/>
      </c>
      <c r="K145" s="51"/>
      <c r="L145" s="51" t="s">
        <v>257</v>
      </c>
      <c r="M145" s="51"/>
      <c r="N145" s="51"/>
      <c r="O145" s="51"/>
      <c r="P145" s="51"/>
      <c r="Q145" s="51"/>
      <c r="R145" s="51"/>
      <c r="S145" s="51"/>
      <c r="T145" s="51"/>
    </row>
    <row r="146">
      <c r="A146" s="51"/>
      <c r="B146" s="51"/>
      <c r="C146" s="56"/>
      <c r="D146" s="51"/>
      <c r="E146" s="51"/>
      <c r="F146" s="51"/>
      <c r="G146" s="51" t="str">
        <f>IFERROR(__xludf.DUMMYFUNCTION("""COMPUTED_VALUE"""),"#VALUE!")</f>
        <v>#VALUE!</v>
      </c>
      <c r="H146" s="51" t="str">
        <f>IFERROR(__xludf.DUMMYFUNCTION("""COMPUTED_VALUE"""),"")</f>
        <v/>
      </c>
      <c r="I146" s="51" t="str">
        <f>IFERROR(__xludf.DUMMYFUNCTION("""COMPUTED_VALUE"""),"#VALUE!")</f>
        <v>#VALUE!</v>
      </c>
      <c r="J146" s="51" t="str">
        <f>IFERROR(__xludf.DUMMYFUNCTION("""COMPUTED_VALUE"""),"")</f>
        <v/>
      </c>
      <c r="K146" s="51"/>
      <c r="L146" s="51" t="s">
        <v>257</v>
      </c>
      <c r="M146" s="51"/>
      <c r="N146" s="51"/>
      <c r="O146" s="51"/>
      <c r="P146" s="51"/>
      <c r="Q146" s="51"/>
      <c r="R146" s="51"/>
      <c r="S146" s="51"/>
      <c r="T146" s="51"/>
    </row>
    <row r="147">
      <c r="A147" s="51"/>
      <c r="B147" s="51"/>
      <c r="C147" s="56"/>
      <c r="D147" s="51"/>
      <c r="E147" s="51"/>
      <c r="F147" s="51"/>
      <c r="G147" s="51" t="str">
        <f>IFERROR(__xludf.DUMMYFUNCTION("""COMPUTED_VALUE"""),"#VALUE!")</f>
        <v>#VALUE!</v>
      </c>
      <c r="H147" s="51" t="str">
        <f>IFERROR(__xludf.DUMMYFUNCTION("""COMPUTED_VALUE"""),"")</f>
        <v/>
      </c>
      <c r="I147" s="51" t="str">
        <f>IFERROR(__xludf.DUMMYFUNCTION("""COMPUTED_VALUE"""),"#VALUE!")</f>
        <v>#VALUE!</v>
      </c>
      <c r="J147" s="51" t="str">
        <f>IFERROR(__xludf.DUMMYFUNCTION("""COMPUTED_VALUE"""),"")</f>
        <v/>
      </c>
      <c r="K147" s="51"/>
      <c r="L147" s="51" t="s">
        <v>257</v>
      </c>
      <c r="M147" s="51"/>
      <c r="N147" s="51"/>
      <c r="O147" s="51"/>
      <c r="P147" s="51"/>
      <c r="Q147" s="51"/>
      <c r="R147" s="51"/>
      <c r="S147" s="51"/>
      <c r="T147" s="51"/>
    </row>
    <row r="148">
      <c r="A148" s="51"/>
      <c r="B148" s="51"/>
      <c r="C148" s="56"/>
      <c r="D148" s="51"/>
      <c r="E148" s="51"/>
      <c r="F148" s="51"/>
      <c r="G148" s="51" t="str">
        <f>IFERROR(__xludf.DUMMYFUNCTION("""COMPUTED_VALUE"""),"#VALUE!")</f>
        <v>#VALUE!</v>
      </c>
      <c r="H148" s="51" t="str">
        <f>IFERROR(__xludf.DUMMYFUNCTION("""COMPUTED_VALUE"""),"")</f>
        <v/>
      </c>
      <c r="I148" s="51" t="str">
        <f>IFERROR(__xludf.DUMMYFUNCTION("""COMPUTED_VALUE"""),"#VALUE!")</f>
        <v>#VALUE!</v>
      </c>
      <c r="J148" s="51" t="str">
        <f>IFERROR(__xludf.DUMMYFUNCTION("""COMPUTED_VALUE"""),"")</f>
        <v/>
      </c>
      <c r="K148" s="51"/>
      <c r="L148" s="51" t="s">
        <v>257</v>
      </c>
      <c r="M148" s="51"/>
      <c r="N148" s="51"/>
      <c r="O148" s="51"/>
      <c r="P148" s="51"/>
      <c r="Q148" s="51"/>
      <c r="R148" s="51"/>
      <c r="S148" s="51"/>
      <c r="T148" s="51"/>
    </row>
    <row r="149">
      <c r="A149" s="51"/>
      <c r="B149" s="51"/>
      <c r="C149" s="56"/>
      <c r="D149" s="51"/>
      <c r="E149" s="51"/>
      <c r="F149" s="51"/>
      <c r="G149" s="51" t="str">
        <f>IFERROR(__xludf.DUMMYFUNCTION("""COMPUTED_VALUE"""),"#VALUE!")</f>
        <v>#VALUE!</v>
      </c>
      <c r="H149" s="51" t="str">
        <f>IFERROR(__xludf.DUMMYFUNCTION("""COMPUTED_VALUE"""),"")</f>
        <v/>
      </c>
      <c r="I149" s="51" t="str">
        <f>IFERROR(__xludf.DUMMYFUNCTION("""COMPUTED_VALUE"""),"#VALUE!")</f>
        <v>#VALUE!</v>
      </c>
      <c r="J149" s="51" t="str">
        <f>IFERROR(__xludf.DUMMYFUNCTION("""COMPUTED_VALUE"""),"")</f>
        <v/>
      </c>
      <c r="K149" s="51"/>
      <c r="L149" s="51" t="s">
        <v>257</v>
      </c>
      <c r="M149" s="51"/>
      <c r="N149" s="51"/>
      <c r="O149" s="51"/>
      <c r="P149" s="51"/>
      <c r="Q149" s="51"/>
      <c r="R149" s="51"/>
      <c r="S149" s="51"/>
      <c r="T149" s="51"/>
    </row>
    <row r="150">
      <c r="A150" s="51"/>
      <c r="B150" s="51"/>
      <c r="C150" s="56"/>
      <c r="D150" s="51"/>
      <c r="E150" s="51"/>
      <c r="F150" s="51"/>
      <c r="G150" s="51" t="str">
        <f>IFERROR(__xludf.DUMMYFUNCTION("""COMPUTED_VALUE"""),"#VALUE!")</f>
        <v>#VALUE!</v>
      </c>
      <c r="H150" s="51" t="str">
        <f>IFERROR(__xludf.DUMMYFUNCTION("""COMPUTED_VALUE"""),"")</f>
        <v/>
      </c>
      <c r="I150" s="51" t="str">
        <f>IFERROR(__xludf.DUMMYFUNCTION("""COMPUTED_VALUE"""),"#VALUE!")</f>
        <v>#VALUE!</v>
      </c>
      <c r="J150" s="51" t="str">
        <f>IFERROR(__xludf.DUMMYFUNCTION("""COMPUTED_VALUE"""),"")</f>
        <v/>
      </c>
      <c r="K150" s="51"/>
      <c r="L150" s="51" t="s">
        <v>257</v>
      </c>
      <c r="M150" s="51"/>
      <c r="N150" s="51"/>
      <c r="O150" s="51"/>
      <c r="P150" s="51"/>
      <c r="Q150" s="51"/>
      <c r="R150" s="51"/>
      <c r="S150" s="51"/>
      <c r="T150" s="51"/>
    </row>
    <row r="151">
      <c r="A151" s="51"/>
      <c r="B151" s="51"/>
      <c r="C151" s="56"/>
      <c r="D151" s="51"/>
      <c r="E151" s="51"/>
      <c r="F151" s="51"/>
      <c r="G151" s="51" t="str">
        <f>IFERROR(__xludf.DUMMYFUNCTION("""COMPUTED_VALUE"""),"#VALUE!")</f>
        <v>#VALUE!</v>
      </c>
      <c r="H151" s="51" t="str">
        <f>IFERROR(__xludf.DUMMYFUNCTION("""COMPUTED_VALUE"""),"")</f>
        <v/>
      </c>
      <c r="I151" s="51" t="str">
        <f>IFERROR(__xludf.DUMMYFUNCTION("""COMPUTED_VALUE"""),"#VALUE!")</f>
        <v>#VALUE!</v>
      </c>
      <c r="J151" s="51" t="str">
        <f>IFERROR(__xludf.DUMMYFUNCTION("""COMPUTED_VALUE"""),"")</f>
        <v/>
      </c>
      <c r="K151" s="51"/>
      <c r="L151" s="51" t="s">
        <v>257</v>
      </c>
      <c r="M151" s="51"/>
      <c r="N151" s="51"/>
      <c r="O151" s="51"/>
      <c r="P151" s="51"/>
      <c r="Q151" s="51"/>
      <c r="R151" s="51"/>
      <c r="S151" s="51"/>
      <c r="T151" s="51"/>
    </row>
    <row r="152">
      <c r="A152" s="51"/>
      <c r="B152" s="51"/>
      <c r="C152" s="56"/>
      <c r="D152" s="51"/>
      <c r="E152" s="51"/>
      <c r="F152" s="51"/>
      <c r="G152" s="51" t="str">
        <f>IFERROR(__xludf.DUMMYFUNCTION("""COMPUTED_VALUE"""),"#VALUE!")</f>
        <v>#VALUE!</v>
      </c>
      <c r="H152" s="51" t="str">
        <f>IFERROR(__xludf.DUMMYFUNCTION("""COMPUTED_VALUE"""),"")</f>
        <v/>
      </c>
      <c r="I152" s="51" t="str">
        <f>IFERROR(__xludf.DUMMYFUNCTION("""COMPUTED_VALUE"""),"#VALUE!")</f>
        <v>#VALUE!</v>
      </c>
      <c r="J152" s="51" t="str">
        <f>IFERROR(__xludf.DUMMYFUNCTION("""COMPUTED_VALUE"""),"")</f>
        <v/>
      </c>
      <c r="K152" s="51"/>
      <c r="L152" s="51" t="s">
        <v>257</v>
      </c>
      <c r="M152" s="51"/>
      <c r="N152" s="51"/>
      <c r="O152" s="51"/>
      <c r="P152" s="51"/>
      <c r="Q152" s="51"/>
      <c r="R152" s="51"/>
      <c r="S152" s="51"/>
      <c r="T152" s="51"/>
    </row>
    <row r="153">
      <c r="A153" s="51"/>
      <c r="B153" s="51"/>
      <c r="C153" s="56"/>
      <c r="D153" s="51"/>
      <c r="E153" s="51"/>
      <c r="F153" s="51"/>
      <c r="G153" s="51" t="str">
        <f>IFERROR(__xludf.DUMMYFUNCTION("""COMPUTED_VALUE"""),"#VALUE!")</f>
        <v>#VALUE!</v>
      </c>
      <c r="H153" s="51" t="str">
        <f>IFERROR(__xludf.DUMMYFUNCTION("""COMPUTED_VALUE"""),"")</f>
        <v/>
      </c>
      <c r="I153" s="51" t="str">
        <f>IFERROR(__xludf.DUMMYFUNCTION("""COMPUTED_VALUE"""),"#VALUE!")</f>
        <v>#VALUE!</v>
      </c>
      <c r="J153" s="51" t="str">
        <f>IFERROR(__xludf.DUMMYFUNCTION("""COMPUTED_VALUE"""),"")</f>
        <v/>
      </c>
      <c r="K153" s="51"/>
      <c r="L153" s="51" t="s">
        <v>257</v>
      </c>
      <c r="M153" s="51"/>
      <c r="N153" s="51"/>
      <c r="O153" s="51"/>
      <c r="P153" s="51"/>
      <c r="Q153" s="51"/>
      <c r="R153" s="51"/>
      <c r="S153" s="51"/>
      <c r="T153" s="51"/>
    </row>
    <row r="154">
      <c r="A154" s="51"/>
      <c r="B154" s="51"/>
      <c r="C154" s="56"/>
      <c r="D154" s="51"/>
      <c r="E154" s="51"/>
      <c r="F154" s="51"/>
      <c r="G154" s="51" t="str">
        <f>IFERROR(__xludf.DUMMYFUNCTION("""COMPUTED_VALUE"""),"#VALUE!")</f>
        <v>#VALUE!</v>
      </c>
      <c r="H154" s="51" t="str">
        <f>IFERROR(__xludf.DUMMYFUNCTION("""COMPUTED_VALUE"""),"")</f>
        <v/>
      </c>
      <c r="I154" s="51" t="str">
        <f>IFERROR(__xludf.DUMMYFUNCTION("""COMPUTED_VALUE"""),"#VALUE!")</f>
        <v>#VALUE!</v>
      </c>
      <c r="J154" s="51" t="str">
        <f>IFERROR(__xludf.DUMMYFUNCTION("""COMPUTED_VALUE"""),"")</f>
        <v/>
      </c>
      <c r="K154" s="51"/>
      <c r="L154" s="51" t="s">
        <v>257</v>
      </c>
      <c r="M154" s="51"/>
      <c r="N154" s="51"/>
      <c r="O154" s="51"/>
      <c r="P154" s="51"/>
      <c r="Q154" s="51"/>
      <c r="R154" s="51"/>
      <c r="S154" s="51"/>
      <c r="T154" s="51"/>
    </row>
    <row r="155">
      <c r="A155" s="51"/>
      <c r="B155" s="51"/>
      <c r="C155" s="56"/>
      <c r="D155" s="51"/>
      <c r="E155" s="51"/>
      <c r="F155" s="51"/>
      <c r="G155" s="51" t="str">
        <f>IFERROR(__xludf.DUMMYFUNCTION("""COMPUTED_VALUE"""),"#VALUE!")</f>
        <v>#VALUE!</v>
      </c>
      <c r="H155" s="51" t="str">
        <f>IFERROR(__xludf.DUMMYFUNCTION("""COMPUTED_VALUE"""),"")</f>
        <v/>
      </c>
      <c r="I155" s="51" t="str">
        <f>IFERROR(__xludf.DUMMYFUNCTION("""COMPUTED_VALUE"""),"#VALUE!")</f>
        <v>#VALUE!</v>
      </c>
      <c r="J155" s="51" t="str">
        <f>IFERROR(__xludf.DUMMYFUNCTION("""COMPUTED_VALUE"""),"")</f>
        <v/>
      </c>
      <c r="K155" s="51"/>
      <c r="L155" s="51" t="s">
        <v>257</v>
      </c>
      <c r="M155" s="51"/>
      <c r="N155" s="51"/>
      <c r="O155" s="51"/>
      <c r="P155" s="51"/>
      <c r="Q155" s="51"/>
      <c r="R155" s="51"/>
      <c r="S155" s="51"/>
      <c r="T155" s="51"/>
    </row>
    <row r="156">
      <c r="A156" s="51"/>
      <c r="B156" s="51"/>
      <c r="C156" s="56"/>
      <c r="D156" s="51"/>
      <c r="E156" s="51"/>
      <c r="F156" s="51"/>
      <c r="G156" s="51" t="str">
        <f>IFERROR(__xludf.DUMMYFUNCTION("""COMPUTED_VALUE"""),"#VALUE!")</f>
        <v>#VALUE!</v>
      </c>
      <c r="H156" s="51" t="str">
        <f>IFERROR(__xludf.DUMMYFUNCTION("""COMPUTED_VALUE"""),"")</f>
        <v/>
      </c>
      <c r="I156" s="51" t="str">
        <f>IFERROR(__xludf.DUMMYFUNCTION("""COMPUTED_VALUE"""),"#VALUE!")</f>
        <v>#VALUE!</v>
      </c>
      <c r="J156" s="51" t="str">
        <f>IFERROR(__xludf.DUMMYFUNCTION("""COMPUTED_VALUE"""),"")</f>
        <v/>
      </c>
      <c r="K156" s="51"/>
      <c r="L156" s="51" t="s">
        <v>257</v>
      </c>
      <c r="M156" s="51"/>
      <c r="N156" s="51"/>
      <c r="O156" s="51"/>
      <c r="P156" s="51"/>
      <c r="Q156" s="51"/>
      <c r="R156" s="51"/>
      <c r="S156" s="51"/>
      <c r="T156" s="51"/>
    </row>
    <row r="157">
      <c r="A157" s="51"/>
      <c r="B157" s="51"/>
      <c r="C157" s="56"/>
      <c r="D157" s="51"/>
      <c r="E157" s="51"/>
      <c r="F157" s="51"/>
      <c r="G157" s="51" t="str">
        <f>IFERROR(__xludf.DUMMYFUNCTION("""COMPUTED_VALUE"""),"#VALUE!")</f>
        <v>#VALUE!</v>
      </c>
      <c r="H157" s="51" t="str">
        <f>IFERROR(__xludf.DUMMYFUNCTION("""COMPUTED_VALUE"""),"")</f>
        <v/>
      </c>
      <c r="I157" s="51" t="str">
        <f>IFERROR(__xludf.DUMMYFUNCTION("""COMPUTED_VALUE"""),"#VALUE!")</f>
        <v>#VALUE!</v>
      </c>
      <c r="J157" s="51" t="str">
        <f>IFERROR(__xludf.DUMMYFUNCTION("""COMPUTED_VALUE"""),"")</f>
        <v/>
      </c>
      <c r="K157" s="51"/>
      <c r="L157" s="51" t="s">
        <v>257</v>
      </c>
      <c r="M157" s="51"/>
      <c r="N157" s="51"/>
      <c r="O157" s="51"/>
      <c r="P157" s="51"/>
      <c r="Q157" s="51"/>
      <c r="R157" s="51"/>
      <c r="S157" s="51"/>
      <c r="T157" s="51"/>
    </row>
    <row r="158">
      <c r="A158" s="51"/>
      <c r="B158" s="51"/>
      <c r="C158" s="56"/>
      <c r="D158" s="51"/>
      <c r="E158" s="51"/>
      <c r="F158" s="51"/>
      <c r="G158" s="51" t="str">
        <f>IFERROR(__xludf.DUMMYFUNCTION("""COMPUTED_VALUE"""),"#VALUE!")</f>
        <v>#VALUE!</v>
      </c>
      <c r="H158" s="51" t="str">
        <f>IFERROR(__xludf.DUMMYFUNCTION("""COMPUTED_VALUE"""),"")</f>
        <v/>
      </c>
      <c r="I158" s="51" t="str">
        <f>IFERROR(__xludf.DUMMYFUNCTION("""COMPUTED_VALUE"""),"#VALUE!")</f>
        <v>#VALUE!</v>
      </c>
      <c r="J158" s="51" t="str">
        <f>IFERROR(__xludf.DUMMYFUNCTION("""COMPUTED_VALUE"""),"")</f>
        <v/>
      </c>
      <c r="K158" s="51"/>
      <c r="L158" s="51" t="s">
        <v>257</v>
      </c>
      <c r="M158" s="51"/>
      <c r="N158" s="51"/>
      <c r="O158" s="51"/>
      <c r="P158" s="51"/>
      <c r="Q158" s="51"/>
      <c r="R158" s="51"/>
      <c r="S158" s="51"/>
      <c r="T158" s="51"/>
    </row>
    <row r="159">
      <c r="A159" s="51"/>
      <c r="B159" s="51"/>
      <c r="C159" s="56"/>
      <c r="D159" s="51"/>
      <c r="E159" s="51"/>
      <c r="F159" s="51"/>
      <c r="G159" s="51" t="str">
        <f>IFERROR(__xludf.DUMMYFUNCTION("""COMPUTED_VALUE"""),"#VALUE!")</f>
        <v>#VALUE!</v>
      </c>
      <c r="H159" s="51" t="str">
        <f>IFERROR(__xludf.DUMMYFUNCTION("""COMPUTED_VALUE"""),"")</f>
        <v/>
      </c>
      <c r="I159" s="51" t="str">
        <f>IFERROR(__xludf.DUMMYFUNCTION("""COMPUTED_VALUE"""),"#VALUE!")</f>
        <v>#VALUE!</v>
      </c>
      <c r="J159" s="51" t="str">
        <f>IFERROR(__xludf.DUMMYFUNCTION("""COMPUTED_VALUE"""),"")</f>
        <v/>
      </c>
      <c r="K159" s="51"/>
      <c r="L159" s="51" t="s">
        <v>257</v>
      </c>
      <c r="M159" s="51"/>
      <c r="N159" s="51"/>
      <c r="O159" s="51"/>
      <c r="P159" s="51"/>
      <c r="Q159" s="51"/>
      <c r="R159" s="51"/>
      <c r="S159" s="51"/>
      <c r="T159" s="51"/>
    </row>
    <row r="160">
      <c r="A160" s="51"/>
      <c r="B160" s="51"/>
      <c r="C160" s="56"/>
      <c r="D160" s="51"/>
      <c r="E160" s="51"/>
      <c r="F160" s="51"/>
      <c r="G160" s="51" t="str">
        <f>IFERROR(__xludf.DUMMYFUNCTION("""COMPUTED_VALUE"""),"#VALUE!")</f>
        <v>#VALUE!</v>
      </c>
      <c r="H160" s="51" t="str">
        <f>IFERROR(__xludf.DUMMYFUNCTION("""COMPUTED_VALUE"""),"")</f>
        <v/>
      </c>
      <c r="I160" s="51" t="str">
        <f>IFERROR(__xludf.DUMMYFUNCTION("""COMPUTED_VALUE"""),"#VALUE!")</f>
        <v>#VALUE!</v>
      </c>
      <c r="J160" s="51" t="str">
        <f>IFERROR(__xludf.DUMMYFUNCTION("""COMPUTED_VALUE"""),"")</f>
        <v/>
      </c>
      <c r="K160" s="51"/>
      <c r="L160" s="51" t="s">
        <v>257</v>
      </c>
      <c r="M160" s="51"/>
      <c r="N160" s="51"/>
      <c r="O160" s="51"/>
      <c r="P160" s="51"/>
      <c r="Q160" s="51"/>
      <c r="R160" s="51"/>
      <c r="S160" s="51"/>
      <c r="T160" s="51"/>
    </row>
    <row r="161">
      <c r="A161" s="51"/>
      <c r="B161" s="51"/>
      <c r="C161" s="56"/>
      <c r="D161" s="51"/>
      <c r="E161" s="51"/>
      <c r="F161" s="51"/>
      <c r="G161" s="51" t="str">
        <f>IFERROR(__xludf.DUMMYFUNCTION("""COMPUTED_VALUE"""),"#VALUE!")</f>
        <v>#VALUE!</v>
      </c>
      <c r="H161" s="51" t="str">
        <f>IFERROR(__xludf.DUMMYFUNCTION("""COMPUTED_VALUE"""),"")</f>
        <v/>
      </c>
      <c r="I161" s="51" t="str">
        <f>IFERROR(__xludf.DUMMYFUNCTION("""COMPUTED_VALUE"""),"#VALUE!")</f>
        <v>#VALUE!</v>
      </c>
      <c r="J161" s="51" t="str">
        <f>IFERROR(__xludf.DUMMYFUNCTION("""COMPUTED_VALUE"""),"")</f>
        <v/>
      </c>
      <c r="K161" s="51"/>
      <c r="L161" s="51" t="s">
        <v>257</v>
      </c>
      <c r="M161" s="51"/>
      <c r="N161" s="51"/>
      <c r="O161" s="51"/>
      <c r="P161" s="51"/>
      <c r="Q161" s="51"/>
      <c r="R161" s="51"/>
      <c r="S161" s="51"/>
      <c r="T161" s="51"/>
    </row>
    <row r="162">
      <c r="A162" s="51"/>
      <c r="B162" s="51"/>
      <c r="C162" s="56"/>
      <c r="D162" s="51"/>
      <c r="E162" s="51"/>
      <c r="F162" s="51"/>
      <c r="G162" s="51" t="str">
        <f>IFERROR(__xludf.DUMMYFUNCTION("""COMPUTED_VALUE"""),"#VALUE!")</f>
        <v>#VALUE!</v>
      </c>
      <c r="H162" s="51" t="str">
        <f>IFERROR(__xludf.DUMMYFUNCTION("""COMPUTED_VALUE"""),"")</f>
        <v/>
      </c>
      <c r="I162" s="51" t="str">
        <f>IFERROR(__xludf.DUMMYFUNCTION("""COMPUTED_VALUE"""),"#VALUE!")</f>
        <v>#VALUE!</v>
      </c>
      <c r="J162" s="51" t="str">
        <f>IFERROR(__xludf.DUMMYFUNCTION("""COMPUTED_VALUE"""),"")</f>
        <v/>
      </c>
      <c r="K162" s="51"/>
      <c r="L162" s="51" t="s">
        <v>257</v>
      </c>
      <c r="M162" s="51"/>
      <c r="N162" s="51"/>
      <c r="O162" s="51"/>
      <c r="P162" s="51"/>
      <c r="Q162" s="51"/>
      <c r="R162" s="51"/>
      <c r="S162" s="51"/>
      <c r="T162" s="51"/>
    </row>
    <row r="163">
      <c r="A163" s="51"/>
      <c r="B163" s="51"/>
      <c r="C163" s="56"/>
      <c r="D163" s="51"/>
      <c r="E163" s="51"/>
      <c r="F163" s="51"/>
      <c r="G163" s="51" t="str">
        <f>IFERROR(__xludf.DUMMYFUNCTION("""COMPUTED_VALUE"""),"#VALUE!")</f>
        <v>#VALUE!</v>
      </c>
      <c r="H163" s="51" t="str">
        <f>IFERROR(__xludf.DUMMYFUNCTION("""COMPUTED_VALUE"""),"")</f>
        <v/>
      </c>
      <c r="I163" s="51" t="str">
        <f>IFERROR(__xludf.DUMMYFUNCTION("""COMPUTED_VALUE"""),"#VALUE!")</f>
        <v>#VALUE!</v>
      </c>
      <c r="J163" s="51" t="str">
        <f>IFERROR(__xludf.DUMMYFUNCTION("""COMPUTED_VALUE"""),"")</f>
        <v/>
      </c>
      <c r="K163" s="51"/>
      <c r="L163" s="51" t="s">
        <v>257</v>
      </c>
      <c r="M163" s="51"/>
      <c r="N163" s="51"/>
      <c r="O163" s="51"/>
      <c r="P163" s="51"/>
      <c r="Q163" s="51"/>
      <c r="R163" s="51"/>
      <c r="S163" s="51"/>
      <c r="T163" s="51"/>
    </row>
    <row r="164">
      <c r="A164" s="51"/>
      <c r="B164" s="51"/>
      <c r="C164" s="56"/>
      <c r="D164" s="51"/>
      <c r="E164" s="51"/>
      <c r="F164" s="51"/>
      <c r="G164" s="51" t="str">
        <f>IFERROR(__xludf.DUMMYFUNCTION("""COMPUTED_VALUE"""),"#VALUE!")</f>
        <v>#VALUE!</v>
      </c>
      <c r="H164" s="51" t="str">
        <f>IFERROR(__xludf.DUMMYFUNCTION("""COMPUTED_VALUE"""),"")</f>
        <v/>
      </c>
      <c r="I164" s="51" t="str">
        <f>IFERROR(__xludf.DUMMYFUNCTION("""COMPUTED_VALUE"""),"#VALUE!")</f>
        <v>#VALUE!</v>
      </c>
      <c r="J164" s="51" t="str">
        <f>IFERROR(__xludf.DUMMYFUNCTION("""COMPUTED_VALUE"""),"")</f>
        <v/>
      </c>
      <c r="K164" s="51"/>
      <c r="L164" s="51" t="s">
        <v>257</v>
      </c>
      <c r="M164" s="51"/>
      <c r="N164" s="51"/>
      <c r="O164" s="51"/>
      <c r="P164" s="51"/>
      <c r="Q164" s="51"/>
      <c r="R164" s="51"/>
      <c r="S164" s="51"/>
      <c r="T164" s="51"/>
    </row>
    <row r="165">
      <c r="A165" s="51"/>
      <c r="B165" s="51"/>
      <c r="C165" s="56"/>
      <c r="D165" s="51"/>
      <c r="E165" s="51"/>
      <c r="F165" s="51"/>
      <c r="G165" s="51" t="str">
        <f>IFERROR(__xludf.DUMMYFUNCTION("""COMPUTED_VALUE"""),"#VALUE!")</f>
        <v>#VALUE!</v>
      </c>
      <c r="H165" s="51" t="str">
        <f>IFERROR(__xludf.DUMMYFUNCTION("""COMPUTED_VALUE"""),"")</f>
        <v/>
      </c>
      <c r="I165" s="51" t="str">
        <f>IFERROR(__xludf.DUMMYFUNCTION("""COMPUTED_VALUE"""),"#VALUE!")</f>
        <v>#VALUE!</v>
      </c>
      <c r="J165" s="51" t="str">
        <f>IFERROR(__xludf.DUMMYFUNCTION("""COMPUTED_VALUE"""),"")</f>
        <v/>
      </c>
      <c r="K165" s="51"/>
      <c r="L165" s="51" t="s">
        <v>257</v>
      </c>
      <c r="M165" s="51"/>
      <c r="N165" s="51"/>
      <c r="O165" s="51"/>
      <c r="P165" s="51"/>
      <c r="Q165" s="51"/>
      <c r="R165" s="51"/>
      <c r="S165" s="51"/>
      <c r="T165" s="51"/>
    </row>
    <row r="166">
      <c r="A166" s="51"/>
      <c r="B166" s="51"/>
      <c r="C166" s="56"/>
      <c r="D166" s="51"/>
      <c r="E166" s="51"/>
      <c r="F166" s="51"/>
      <c r="G166" s="51" t="str">
        <f>IFERROR(__xludf.DUMMYFUNCTION("""COMPUTED_VALUE"""),"#VALUE!")</f>
        <v>#VALUE!</v>
      </c>
      <c r="H166" s="51" t="str">
        <f>IFERROR(__xludf.DUMMYFUNCTION("""COMPUTED_VALUE"""),"")</f>
        <v/>
      </c>
      <c r="I166" s="51" t="str">
        <f>IFERROR(__xludf.DUMMYFUNCTION("""COMPUTED_VALUE"""),"#VALUE!")</f>
        <v>#VALUE!</v>
      </c>
      <c r="J166" s="51" t="str">
        <f>IFERROR(__xludf.DUMMYFUNCTION("""COMPUTED_VALUE"""),"")</f>
        <v/>
      </c>
      <c r="K166" s="51"/>
      <c r="L166" s="51" t="s">
        <v>257</v>
      </c>
      <c r="M166" s="51"/>
      <c r="N166" s="51"/>
      <c r="O166" s="51"/>
      <c r="P166" s="51"/>
      <c r="Q166" s="51"/>
      <c r="R166" s="51"/>
      <c r="S166" s="51"/>
      <c r="T166" s="51"/>
    </row>
    <row r="167">
      <c r="A167" s="51"/>
      <c r="B167" s="51"/>
      <c r="C167" s="56"/>
      <c r="D167" s="51"/>
      <c r="E167" s="51"/>
      <c r="F167" s="51"/>
      <c r="G167" s="51" t="str">
        <f>IFERROR(__xludf.DUMMYFUNCTION("""COMPUTED_VALUE"""),"#VALUE!")</f>
        <v>#VALUE!</v>
      </c>
      <c r="H167" s="51" t="str">
        <f>IFERROR(__xludf.DUMMYFUNCTION("""COMPUTED_VALUE"""),"")</f>
        <v/>
      </c>
      <c r="I167" s="51" t="str">
        <f>IFERROR(__xludf.DUMMYFUNCTION("""COMPUTED_VALUE"""),"#VALUE!")</f>
        <v>#VALUE!</v>
      </c>
      <c r="J167" s="51" t="str">
        <f>IFERROR(__xludf.DUMMYFUNCTION("""COMPUTED_VALUE"""),"")</f>
        <v/>
      </c>
      <c r="K167" s="51"/>
      <c r="L167" s="51" t="s">
        <v>257</v>
      </c>
      <c r="M167" s="51"/>
      <c r="N167" s="51"/>
      <c r="O167" s="51"/>
      <c r="P167" s="51"/>
      <c r="Q167" s="51"/>
      <c r="R167" s="51"/>
      <c r="S167" s="51"/>
      <c r="T167" s="51"/>
    </row>
    <row r="168">
      <c r="A168" s="51"/>
      <c r="B168" s="51"/>
      <c r="C168" s="56"/>
      <c r="D168" s="51"/>
      <c r="E168" s="51"/>
      <c r="F168" s="51"/>
      <c r="G168" s="51" t="str">
        <f>IFERROR(__xludf.DUMMYFUNCTION("""COMPUTED_VALUE"""),"#VALUE!")</f>
        <v>#VALUE!</v>
      </c>
      <c r="H168" s="51" t="str">
        <f>IFERROR(__xludf.DUMMYFUNCTION("""COMPUTED_VALUE"""),"")</f>
        <v/>
      </c>
      <c r="I168" s="51" t="str">
        <f>IFERROR(__xludf.DUMMYFUNCTION("""COMPUTED_VALUE"""),"#VALUE!")</f>
        <v>#VALUE!</v>
      </c>
      <c r="J168" s="51" t="str">
        <f>IFERROR(__xludf.DUMMYFUNCTION("""COMPUTED_VALUE"""),"")</f>
        <v/>
      </c>
      <c r="K168" s="51"/>
      <c r="L168" s="51" t="s">
        <v>257</v>
      </c>
      <c r="M168" s="51"/>
      <c r="N168" s="51"/>
      <c r="O168" s="51"/>
      <c r="P168" s="51"/>
      <c r="Q168" s="51"/>
      <c r="R168" s="51"/>
      <c r="S168" s="51"/>
      <c r="T168" s="51"/>
    </row>
    <row r="169">
      <c r="A169" s="51"/>
      <c r="B169" s="51"/>
      <c r="C169" s="56"/>
      <c r="D169" s="51"/>
      <c r="E169" s="51"/>
      <c r="F169" s="51"/>
      <c r="G169" s="51" t="str">
        <f>IFERROR(__xludf.DUMMYFUNCTION("""COMPUTED_VALUE"""),"#VALUE!")</f>
        <v>#VALUE!</v>
      </c>
      <c r="H169" s="51" t="str">
        <f>IFERROR(__xludf.DUMMYFUNCTION("""COMPUTED_VALUE"""),"")</f>
        <v/>
      </c>
      <c r="I169" s="51" t="str">
        <f>IFERROR(__xludf.DUMMYFUNCTION("""COMPUTED_VALUE"""),"#VALUE!")</f>
        <v>#VALUE!</v>
      </c>
      <c r="J169" s="51" t="str">
        <f>IFERROR(__xludf.DUMMYFUNCTION("""COMPUTED_VALUE"""),"")</f>
        <v/>
      </c>
      <c r="K169" s="51"/>
      <c r="L169" s="51" t="s">
        <v>257</v>
      </c>
      <c r="M169" s="51"/>
      <c r="N169" s="51"/>
      <c r="O169" s="51"/>
      <c r="P169" s="51"/>
      <c r="Q169" s="51"/>
      <c r="R169" s="51"/>
      <c r="S169" s="51"/>
      <c r="T169" s="51"/>
    </row>
    <row r="170">
      <c r="A170" s="51"/>
      <c r="B170" s="51"/>
      <c r="C170" s="56"/>
      <c r="D170" s="51"/>
      <c r="E170" s="51"/>
      <c r="F170" s="51"/>
      <c r="G170" s="51" t="str">
        <f>IFERROR(__xludf.DUMMYFUNCTION("""COMPUTED_VALUE"""),"#VALUE!")</f>
        <v>#VALUE!</v>
      </c>
      <c r="H170" s="51" t="str">
        <f>IFERROR(__xludf.DUMMYFUNCTION("""COMPUTED_VALUE"""),"")</f>
        <v/>
      </c>
      <c r="I170" s="51" t="str">
        <f>IFERROR(__xludf.DUMMYFUNCTION("""COMPUTED_VALUE"""),"#VALUE!")</f>
        <v>#VALUE!</v>
      </c>
      <c r="J170" s="51" t="str">
        <f>IFERROR(__xludf.DUMMYFUNCTION("""COMPUTED_VALUE"""),"")</f>
        <v/>
      </c>
      <c r="K170" s="51"/>
      <c r="L170" s="51" t="s">
        <v>257</v>
      </c>
      <c r="M170" s="51"/>
      <c r="N170" s="51"/>
      <c r="O170" s="51"/>
      <c r="P170" s="51"/>
      <c r="Q170" s="51"/>
      <c r="R170" s="51"/>
      <c r="S170" s="51"/>
      <c r="T170" s="51"/>
    </row>
    <row r="171">
      <c r="A171" s="51"/>
      <c r="B171" s="51"/>
      <c r="C171" s="56"/>
      <c r="D171" s="51"/>
      <c r="E171" s="51"/>
      <c r="F171" s="51"/>
      <c r="G171" s="51" t="str">
        <f>IFERROR(__xludf.DUMMYFUNCTION("""COMPUTED_VALUE"""),"#VALUE!")</f>
        <v>#VALUE!</v>
      </c>
      <c r="H171" s="51" t="str">
        <f>IFERROR(__xludf.DUMMYFUNCTION("""COMPUTED_VALUE"""),"")</f>
        <v/>
      </c>
      <c r="I171" s="51" t="str">
        <f>IFERROR(__xludf.DUMMYFUNCTION("""COMPUTED_VALUE"""),"#VALUE!")</f>
        <v>#VALUE!</v>
      </c>
      <c r="J171" s="51" t="str">
        <f>IFERROR(__xludf.DUMMYFUNCTION("""COMPUTED_VALUE"""),"")</f>
        <v/>
      </c>
      <c r="K171" s="51"/>
      <c r="L171" s="51" t="s">
        <v>257</v>
      </c>
      <c r="M171" s="51"/>
      <c r="N171" s="51"/>
      <c r="O171" s="51"/>
      <c r="P171" s="51"/>
      <c r="Q171" s="51"/>
      <c r="R171" s="51"/>
      <c r="S171" s="51"/>
      <c r="T171" s="51"/>
    </row>
    <row r="172">
      <c r="A172" s="51"/>
      <c r="B172" s="51"/>
      <c r="C172" s="56"/>
      <c r="D172" s="51"/>
      <c r="E172" s="51"/>
      <c r="F172" s="51"/>
      <c r="G172" s="51" t="str">
        <f>IFERROR(__xludf.DUMMYFUNCTION("""COMPUTED_VALUE"""),"#VALUE!")</f>
        <v>#VALUE!</v>
      </c>
      <c r="H172" s="51" t="str">
        <f>IFERROR(__xludf.DUMMYFUNCTION("""COMPUTED_VALUE"""),"")</f>
        <v/>
      </c>
      <c r="I172" s="51" t="str">
        <f>IFERROR(__xludf.DUMMYFUNCTION("""COMPUTED_VALUE"""),"#VALUE!")</f>
        <v>#VALUE!</v>
      </c>
      <c r="J172" s="51" t="str">
        <f>IFERROR(__xludf.DUMMYFUNCTION("""COMPUTED_VALUE"""),"")</f>
        <v/>
      </c>
      <c r="K172" s="51"/>
      <c r="L172" s="51" t="s">
        <v>257</v>
      </c>
      <c r="M172" s="51"/>
      <c r="N172" s="51"/>
      <c r="O172" s="51"/>
      <c r="P172" s="51"/>
      <c r="Q172" s="51"/>
      <c r="R172" s="51"/>
      <c r="S172" s="51"/>
      <c r="T172" s="51"/>
    </row>
    <row r="173">
      <c r="A173" s="51"/>
      <c r="B173" s="51"/>
      <c r="C173" s="56"/>
      <c r="D173" s="51"/>
      <c r="E173" s="51"/>
      <c r="F173" s="51"/>
      <c r="G173" s="51" t="str">
        <f>IFERROR(__xludf.DUMMYFUNCTION("""COMPUTED_VALUE"""),"#VALUE!")</f>
        <v>#VALUE!</v>
      </c>
      <c r="H173" s="51" t="str">
        <f>IFERROR(__xludf.DUMMYFUNCTION("""COMPUTED_VALUE"""),"")</f>
        <v/>
      </c>
      <c r="I173" s="51" t="str">
        <f>IFERROR(__xludf.DUMMYFUNCTION("""COMPUTED_VALUE"""),"#VALUE!")</f>
        <v>#VALUE!</v>
      </c>
      <c r="J173" s="51" t="str">
        <f>IFERROR(__xludf.DUMMYFUNCTION("""COMPUTED_VALUE"""),"")</f>
        <v/>
      </c>
      <c r="K173" s="51"/>
      <c r="L173" s="51" t="s">
        <v>257</v>
      </c>
      <c r="M173" s="51"/>
      <c r="N173" s="51"/>
      <c r="O173" s="51"/>
      <c r="P173" s="51"/>
      <c r="Q173" s="51"/>
      <c r="R173" s="51"/>
      <c r="S173" s="51"/>
      <c r="T173" s="51"/>
    </row>
    <row r="174">
      <c r="A174" s="51"/>
      <c r="B174" s="51"/>
      <c r="C174" s="56"/>
      <c r="D174" s="51"/>
      <c r="E174" s="51"/>
      <c r="F174" s="51"/>
      <c r="G174" s="51" t="str">
        <f>IFERROR(__xludf.DUMMYFUNCTION("""COMPUTED_VALUE"""),"#VALUE!")</f>
        <v>#VALUE!</v>
      </c>
      <c r="H174" s="51" t="str">
        <f>IFERROR(__xludf.DUMMYFUNCTION("""COMPUTED_VALUE"""),"")</f>
        <v/>
      </c>
      <c r="I174" s="51" t="str">
        <f>IFERROR(__xludf.DUMMYFUNCTION("""COMPUTED_VALUE"""),"#VALUE!")</f>
        <v>#VALUE!</v>
      </c>
      <c r="J174" s="51" t="str">
        <f>IFERROR(__xludf.DUMMYFUNCTION("""COMPUTED_VALUE"""),"")</f>
        <v/>
      </c>
      <c r="K174" s="51"/>
      <c r="L174" s="51" t="s">
        <v>257</v>
      </c>
      <c r="M174" s="51"/>
      <c r="N174" s="51"/>
      <c r="O174" s="51"/>
      <c r="P174" s="51"/>
      <c r="Q174" s="51"/>
      <c r="R174" s="51"/>
      <c r="S174" s="51"/>
      <c r="T174" s="51"/>
    </row>
    <row r="175">
      <c r="A175" s="51"/>
      <c r="B175" s="51"/>
      <c r="C175" s="56"/>
      <c r="D175" s="51"/>
      <c r="E175" s="51"/>
      <c r="F175" s="51"/>
      <c r="G175" s="51" t="str">
        <f>IFERROR(__xludf.DUMMYFUNCTION("""COMPUTED_VALUE"""),"#VALUE!")</f>
        <v>#VALUE!</v>
      </c>
      <c r="H175" s="51" t="str">
        <f>IFERROR(__xludf.DUMMYFUNCTION("""COMPUTED_VALUE"""),"")</f>
        <v/>
      </c>
      <c r="I175" s="51" t="str">
        <f>IFERROR(__xludf.DUMMYFUNCTION("""COMPUTED_VALUE"""),"#VALUE!")</f>
        <v>#VALUE!</v>
      </c>
      <c r="J175" s="51" t="str">
        <f>IFERROR(__xludf.DUMMYFUNCTION("""COMPUTED_VALUE"""),"")</f>
        <v/>
      </c>
      <c r="K175" s="51"/>
      <c r="L175" s="51" t="s">
        <v>257</v>
      </c>
      <c r="M175" s="51"/>
      <c r="N175" s="51"/>
      <c r="O175" s="51"/>
      <c r="P175" s="51"/>
      <c r="Q175" s="51"/>
      <c r="R175" s="51"/>
      <c r="S175" s="51"/>
      <c r="T175" s="51"/>
    </row>
    <row r="176">
      <c r="A176" s="51"/>
      <c r="B176" s="51"/>
      <c r="C176" s="56"/>
      <c r="D176" s="51"/>
      <c r="E176" s="51"/>
      <c r="F176" s="51"/>
      <c r="G176" s="51" t="str">
        <f>IFERROR(__xludf.DUMMYFUNCTION("""COMPUTED_VALUE"""),"#VALUE!")</f>
        <v>#VALUE!</v>
      </c>
      <c r="H176" s="51" t="str">
        <f>IFERROR(__xludf.DUMMYFUNCTION("""COMPUTED_VALUE"""),"")</f>
        <v/>
      </c>
      <c r="I176" s="51" t="str">
        <f>IFERROR(__xludf.DUMMYFUNCTION("""COMPUTED_VALUE"""),"#VALUE!")</f>
        <v>#VALUE!</v>
      </c>
      <c r="J176" s="51" t="str">
        <f>IFERROR(__xludf.DUMMYFUNCTION("""COMPUTED_VALUE"""),"")</f>
        <v/>
      </c>
      <c r="K176" s="51"/>
      <c r="L176" s="51" t="s">
        <v>257</v>
      </c>
      <c r="M176" s="51"/>
      <c r="N176" s="51"/>
      <c r="O176" s="51"/>
      <c r="P176" s="51"/>
      <c r="Q176" s="51"/>
      <c r="R176" s="51"/>
      <c r="S176" s="51"/>
      <c r="T176" s="51"/>
    </row>
    <row r="177">
      <c r="A177" s="51"/>
      <c r="B177" s="51"/>
      <c r="C177" s="56"/>
      <c r="D177" s="51"/>
      <c r="E177" s="51"/>
      <c r="F177" s="51"/>
      <c r="G177" s="51" t="str">
        <f>IFERROR(__xludf.DUMMYFUNCTION("""COMPUTED_VALUE"""),"#VALUE!")</f>
        <v>#VALUE!</v>
      </c>
      <c r="H177" s="51" t="str">
        <f>IFERROR(__xludf.DUMMYFUNCTION("""COMPUTED_VALUE"""),"")</f>
        <v/>
      </c>
      <c r="I177" s="51" t="str">
        <f>IFERROR(__xludf.DUMMYFUNCTION("""COMPUTED_VALUE"""),"#VALUE!")</f>
        <v>#VALUE!</v>
      </c>
      <c r="J177" s="51" t="str">
        <f>IFERROR(__xludf.DUMMYFUNCTION("""COMPUTED_VALUE"""),"")</f>
        <v/>
      </c>
      <c r="K177" s="51"/>
      <c r="L177" s="51" t="s">
        <v>257</v>
      </c>
      <c r="M177" s="51"/>
      <c r="N177" s="51"/>
      <c r="O177" s="51"/>
      <c r="P177" s="51"/>
      <c r="Q177" s="51"/>
      <c r="R177" s="51"/>
      <c r="S177" s="51"/>
      <c r="T177" s="51"/>
    </row>
    <row r="178">
      <c r="A178" s="51"/>
      <c r="B178" s="51"/>
      <c r="C178" s="56"/>
      <c r="D178" s="51"/>
      <c r="E178" s="51"/>
      <c r="F178" s="51"/>
      <c r="G178" s="51" t="str">
        <f>IFERROR(__xludf.DUMMYFUNCTION("""COMPUTED_VALUE"""),"#VALUE!")</f>
        <v>#VALUE!</v>
      </c>
      <c r="H178" s="51" t="str">
        <f>IFERROR(__xludf.DUMMYFUNCTION("""COMPUTED_VALUE"""),"")</f>
        <v/>
      </c>
      <c r="I178" s="51" t="str">
        <f>IFERROR(__xludf.DUMMYFUNCTION("""COMPUTED_VALUE"""),"#VALUE!")</f>
        <v>#VALUE!</v>
      </c>
      <c r="J178" s="51" t="str">
        <f>IFERROR(__xludf.DUMMYFUNCTION("""COMPUTED_VALUE"""),"")</f>
        <v/>
      </c>
      <c r="K178" s="51"/>
      <c r="L178" s="51" t="s">
        <v>257</v>
      </c>
      <c r="M178" s="51"/>
      <c r="N178" s="51"/>
      <c r="O178" s="51"/>
      <c r="P178" s="51"/>
      <c r="Q178" s="51"/>
      <c r="R178" s="51"/>
      <c r="S178" s="51"/>
      <c r="T178" s="51"/>
    </row>
    <row r="179">
      <c r="A179" s="51"/>
      <c r="B179" s="51"/>
      <c r="C179" s="56"/>
      <c r="D179" s="51"/>
      <c r="E179" s="51"/>
      <c r="F179" s="51"/>
      <c r="G179" s="51" t="str">
        <f>IFERROR(__xludf.DUMMYFUNCTION("""COMPUTED_VALUE"""),"#VALUE!")</f>
        <v>#VALUE!</v>
      </c>
      <c r="H179" s="51" t="str">
        <f>IFERROR(__xludf.DUMMYFUNCTION("""COMPUTED_VALUE"""),"")</f>
        <v/>
      </c>
      <c r="I179" s="51" t="str">
        <f>IFERROR(__xludf.DUMMYFUNCTION("""COMPUTED_VALUE"""),"#VALUE!")</f>
        <v>#VALUE!</v>
      </c>
      <c r="J179" s="51" t="str">
        <f>IFERROR(__xludf.DUMMYFUNCTION("""COMPUTED_VALUE"""),"")</f>
        <v/>
      </c>
      <c r="K179" s="51"/>
      <c r="L179" s="51" t="s">
        <v>257</v>
      </c>
      <c r="M179" s="51"/>
      <c r="N179" s="51"/>
      <c r="O179" s="51"/>
      <c r="P179" s="51"/>
      <c r="Q179" s="51"/>
      <c r="R179" s="51"/>
      <c r="S179" s="51"/>
      <c r="T179" s="51"/>
    </row>
    <row r="180">
      <c r="A180" s="51"/>
      <c r="B180" s="51"/>
      <c r="C180" s="56"/>
      <c r="D180" s="51"/>
      <c r="E180" s="51"/>
      <c r="F180" s="51"/>
      <c r="G180" s="51" t="str">
        <f>IFERROR(__xludf.DUMMYFUNCTION("""COMPUTED_VALUE"""),"#VALUE!")</f>
        <v>#VALUE!</v>
      </c>
      <c r="H180" s="51" t="str">
        <f>IFERROR(__xludf.DUMMYFUNCTION("""COMPUTED_VALUE"""),"")</f>
        <v/>
      </c>
      <c r="I180" s="51" t="str">
        <f>IFERROR(__xludf.DUMMYFUNCTION("""COMPUTED_VALUE"""),"#VALUE!")</f>
        <v>#VALUE!</v>
      </c>
      <c r="J180" s="51" t="str">
        <f>IFERROR(__xludf.DUMMYFUNCTION("""COMPUTED_VALUE"""),"")</f>
        <v/>
      </c>
      <c r="K180" s="51"/>
      <c r="L180" s="51" t="s">
        <v>257</v>
      </c>
      <c r="M180" s="51"/>
      <c r="N180" s="51"/>
      <c r="O180" s="51"/>
      <c r="P180" s="51"/>
      <c r="Q180" s="51"/>
      <c r="R180" s="51"/>
      <c r="S180" s="51"/>
      <c r="T180" s="51"/>
    </row>
    <row r="181">
      <c r="A181" s="51"/>
      <c r="B181" s="51"/>
      <c r="C181" s="56"/>
      <c r="D181" s="51"/>
      <c r="E181" s="51"/>
      <c r="F181" s="51"/>
      <c r="G181" s="51" t="str">
        <f>IFERROR(__xludf.DUMMYFUNCTION("""COMPUTED_VALUE"""),"#VALUE!")</f>
        <v>#VALUE!</v>
      </c>
      <c r="H181" s="51" t="str">
        <f>IFERROR(__xludf.DUMMYFUNCTION("""COMPUTED_VALUE"""),"")</f>
        <v/>
      </c>
      <c r="I181" s="51" t="str">
        <f>IFERROR(__xludf.DUMMYFUNCTION("""COMPUTED_VALUE"""),"#VALUE!")</f>
        <v>#VALUE!</v>
      </c>
      <c r="J181" s="51" t="str">
        <f>IFERROR(__xludf.DUMMYFUNCTION("""COMPUTED_VALUE"""),"")</f>
        <v/>
      </c>
      <c r="K181" s="51"/>
      <c r="L181" s="51" t="s">
        <v>257</v>
      </c>
      <c r="M181" s="51"/>
      <c r="N181" s="51"/>
      <c r="O181" s="51"/>
      <c r="P181" s="51"/>
      <c r="Q181" s="51"/>
      <c r="R181" s="51"/>
      <c r="S181" s="51"/>
      <c r="T181" s="51"/>
    </row>
    <row r="182">
      <c r="A182" s="51"/>
      <c r="B182" s="51"/>
      <c r="C182" s="56"/>
      <c r="D182" s="51"/>
      <c r="E182" s="51"/>
      <c r="F182" s="51"/>
      <c r="G182" s="51" t="str">
        <f>IFERROR(__xludf.DUMMYFUNCTION("""COMPUTED_VALUE"""),"#VALUE!")</f>
        <v>#VALUE!</v>
      </c>
      <c r="H182" s="51" t="str">
        <f>IFERROR(__xludf.DUMMYFUNCTION("""COMPUTED_VALUE"""),"")</f>
        <v/>
      </c>
      <c r="I182" s="51" t="str">
        <f>IFERROR(__xludf.DUMMYFUNCTION("""COMPUTED_VALUE"""),"#VALUE!")</f>
        <v>#VALUE!</v>
      </c>
      <c r="J182" s="51" t="str">
        <f>IFERROR(__xludf.DUMMYFUNCTION("""COMPUTED_VALUE"""),"")</f>
        <v/>
      </c>
      <c r="K182" s="51"/>
      <c r="L182" s="51" t="s">
        <v>257</v>
      </c>
      <c r="M182" s="51"/>
      <c r="N182" s="51"/>
      <c r="O182" s="51"/>
      <c r="P182" s="51"/>
      <c r="Q182" s="51"/>
      <c r="R182" s="51"/>
      <c r="S182" s="51"/>
      <c r="T182" s="51"/>
    </row>
    <row r="183">
      <c r="A183" s="51"/>
      <c r="B183" s="51"/>
      <c r="C183" s="56"/>
      <c r="D183" s="51"/>
      <c r="E183" s="51"/>
      <c r="F183" s="51"/>
      <c r="G183" s="51" t="str">
        <f>IFERROR(__xludf.DUMMYFUNCTION("""COMPUTED_VALUE"""),"#VALUE!")</f>
        <v>#VALUE!</v>
      </c>
      <c r="H183" s="51" t="str">
        <f>IFERROR(__xludf.DUMMYFUNCTION("""COMPUTED_VALUE"""),"")</f>
        <v/>
      </c>
      <c r="I183" s="51" t="str">
        <f>IFERROR(__xludf.DUMMYFUNCTION("""COMPUTED_VALUE"""),"#VALUE!")</f>
        <v>#VALUE!</v>
      </c>
      <c r="J183" s="51" t="str">
        <f>IFERROR(__xludf.DUMMYFUNCTION("""COMPUTED_VALUE"""),"")</f>
        <v/>
      </c>
      <c r="K183" s="51"/>
      <c r="L183" s="51" t="s">
        <v>257</v>
      </c>
      <c r="M183" s="51"/>
      <c r="N183" s="51"/>
      <c r="O183" s="51"/>
      <c r="P183" s="51"/>
      <c r="Q183" s="51"/>
      <c r="R183" s="51"/>
      <c r="S183" s="51"/>
      <c r="T183" s="51"/>
    </row>
    <row r="184">
      <c r="A184" s="51"/>
      <c r="B184" s="51"/>
      <c r="C184" s="56"/>
      <c r="D184" s="51"/>
      <c r="E184" s="51"/>
      <c r="F184" s="51"/>
      <c r="G184" s="51" t="str">
        <f>IFERROR(__xludf.DUMMYFUNCTION("""COMPUTED_VALUE"""),"#VALUE!")</f>
        <v>#VALUE!</v>
      </c>
      <c r="H184" s="51" t="str">
        <f>IFERROR(__xludf.DUMMYFUNCTION("""COMPUTED_VALUE"""),"")</f>
        <v/>
      </c>
      <c r="I184" s="51" t="str">
        <f>IFERROR(__xludf.DUMMYFUNCTION("""COMPUTED_VALUE"""),"#VALUE!")</f>
        <v>#VALUE!</v>
      </c>
      <c r="J184" s="51" t="str">
        <f>IFERROR(__xludf.DUMMYFUNCTION("""COMPUTED_VALUE"""),"")</f>
        <v/>
      </c>
      <c r="K184" s="51"/>
      <c r="L184" s="51" t="s">
        <v>257</v>
      </c>
      <c r="M184" s="51"/>
      <c r="N184" s="51"/>
      <c r="O184" s="51"/>
      <c r="P184" s="51"/>
      <c r="Q184" s="51"/>
      <c r="R184" s="51"/>
      <c r="S184" s="51"/>
      <c r="T184" s="51"/>
    </row>
    <row r="185">
      <c r="A185" s="51"/>
      <c r="B185" s="51"/>
      <c r="C185" s="56"/>
      <c r="D185" s="51"/>
      <c r="E185" s="51"/>
      <c r="F185" s="51"/>
      <c r="G185" s="51" t="str">
        <f>IFERROR(__xludf.DUMMYFUNCTION("""COMPUTED_VALUE"""),"#VALUE!")</f>
        <v>#VALUE!</v>
      </c>
      <c r="H185" s="51" t="str">
        <f>IFERROR(__xludf.DUMMYFUNCTION("""COMPUTED_VALUE"""),"")</f>
        <v/>
      </c>
      <c r="I185" s="51" t="str">
        <f>IFERROR(__xludf.DUMMYFUNCTION("""COMPUTED_VALUE"""),"#VALUE!")</f>
        <v>#VALUE!</v>
      </c>
      <c r="J185" s="51" t="str">
        <f>IFERROR(__xludf.DUMMYFUNCTION("""COMPUTED_VALUE"""),"")</f>
        <v/>
      </c>
      <c r="K185" s="51"/>
      <c r="L185" s="51" t="s">
        <v>257</v>
      </c>
      <c r="M185" s="51"/>
      <c r="N185" s="51"/>
      <c r="O185" s="51"/>
      <c r="P185" s="51"/>
      <c r="Q185" s="51"/>
      <c r="R185" s="51"/>
      <c r="S185" s="51"/>
      <c r="T185" s="51"/>
    </row>
    <row r="186">
      <c r="A186" s="51"/>
      <c r="B186" s="51"/>
      <c r="C186" s="56"/>
      <c r="D186" s="51"/>
      <c r="E186" s="51"/>
      <c r="F186" s="51"/>
      <c r="G186" s="51" t="str">
        <f>IFERROR(__xludf.DUMMYFUNCTION("""COMPUTED_VALUE"""),"#VALUE!")</f>
        <v>#VALUE!</v>
      </c>
      <c r="H186" s="51" t="str">
        <f>IFERROR(__xludf.DUMMYFUNCTION("""COMPUTED_VALUE"""),"")</f>
        <v/>
      </c>
      <c r="I186" s="51" t="str">
        <f>IFERROR(__xludf.DUMMYFUNCTION("""COMPUTED_VALUE"""),"#VALUE!")</f>
        <v>#VALUE!</v>
      </c>
      <c r="J186" s="51" t="str">
        <f>IFERROR(__xludf.DUMMYFUNCTION("""COMPUTED_VALUE"""),"")</f>
        <v/>
      </c>
      <c r="K186" s="51"/>
      <c r="L186" s="51" t="s">
        <v>257</v>
      </c>
      <c r="M186" s="51"/>
      <c r="N186" s="51"/>
      <c r="O186" s="51"/>
      <c r="P186" s="51"/>
      <c r="Q186" s="51"/>
      <c r="R186" s="51"/>
      <c r="S186" s="51"/>
      <c r="T186" s="51"/>
    </row>
    <row r="187">
      <c r="A187" s="51"/>
      <c r="B187" s="51"/>
      <c r="C187" s="56"/>
      <c r="D187" s="51"/>
      <c r="E187" s="51"/>
      <c r="F187" s="51"/>
      <c r="G187" s="51" t="str">
        <f>IFERROR(__xludf.DUMMYFUNCTION("""COMPUTED_VALUE"""),"#VALUE!")</f>
        <v>#VALUE!</v>
      </c>
      <c r="H187" s="51" t="str">
        <f>IFERROR(__xludf.DUMMYFUNCTION("""COMPUTED_VALUE"""),"")</f>
        <v/>
      </c>
      <c r="I187" s="51" t="str">
        <f>IFERROR(__xludf.DUMMYFUNCTION("""COMPUTED_VALUE"""),"#VALUE!")</f>
        <v>#VALUE!</v>
      </c>
      <c r="J187" s="51" t="str">
        <f>IFERROR(__xludf.DUMMYFUNCTION("""COMPUTED_VALUE"""),"")</f>
        <v/>
      </c>
      <c r="K187" s="51"/>
      <c r="L187" s="51" t="s">
        <v>257</v>
      </c>
      <c r="M187" s="51"/>
      <c r="N187" s="51"/>
      <c r="O187" s="51"/>
      <c r="P187" s="51"/>
      <c r="Q187" s="51"/>
      <c r="R187" s="51"/>
      <c r="S187" s="51"/>
      <c r="T187" s="51"/>
    </row>
    <row r="188">
      <c r="A188" s="51"/>
      <c r="B188" s="51"/>
      <c r="C188" s="56"/>
      <c r="D188" s="51"/>
      <c r="E188" s="51"/>
      <c r="F188" s="51"/>
      <c r="G188" s="51" t="str">
        <f>IFERROR(__xludf.DUMMYFUNCTION("""COMPUTED_VALUE"""),"#VALUE!")</f>
        <v>#VALUE!</v>
      </c>
      <c r="H188" s="51" t="str">
        <f>IFERROR(__xludf.DUMMYFUNCTION("""COMPUTED_VALUE"""),"")</f>
        <v/>
      </c>
      <c r="I188" s="51" t="str">
        <f>IFERROR(__xludf.DUMMYFUNCTION("""COMPUTED_VALUE"""),"#VALUE!")</f>
        <v>#VALUE!</v>
      </c>
      <c r="J188" s="51" t="str">
        <f>IFERROR(__xludf.DUMMYFUNCTION("""COMPUTED_VALUE"""),"")</f>
        <v/>
      </c>
      <c r="K188" s="51"/>
      <c r="L188" s="51" t="s">
        <v>257</v>
      </c>
      <c r="M188" s="51"/>
      <c r="N188" s="51"/>
      <c r="O188" s="51"/>
      <c r="P188" s="51"/>
      <c r="Q188" s="51"/>
      <c r="R188" s="51"/>
      <c r="S188" s="51"/>
      <c r="T188" s="51"/>
    </row>
    <row r="189">
      <c r="A189" s="51"/>
      <c r="B189" s="51"/>
      <c r="C189" s="56"/>
      <c r="D189" s="51"/>
      <c r="E189" s="51"/>
      <c r="F189" s="51"/>
      <c r="G189" s="51" t="str">
        <f>IFERROR(__xludf.DUMMYFUNCTION("""COMPUTED_VALUE"""),"#VALUE!")</f>
        <v>#VALUE!</v>
      </c>
      <c r="H189" s="51" t="str">
        <f>IFERROR(__xludf.DUMMYFUNCTION("""COMPUTED_VALUE"""),"")</f>
        <v/>
      </c>
      <c r="I189" s="51" t="str">
        <f>IFERROR(__xludf.DUMMYFUNCTION("""COMPUTED_VALUE"""),"#VALUE!")</f>
        <v>#VALUE!</v>
      </c>
      <c r="J189" s="51" t="str">
        <f>IFERROR(__xludf.DUMMYFUNCTION("""COMPUTED_VALUE"""),"")</f>
        <v/>
      </c>
      <c r="K189" s="51"/>
      <c r="L189" s="51" t="s">
        <v>257</v>
      </c>
      <c r="M189" s="51"/>
      <c r="N189" s="51"/>
      <c r="O189" s="51"/>
      <c r="P189" s="51"/>
      <c r="Q189" s="51"/>
      <c r="R189" s="51"/>
      <c r="S189" s="51"/>
      <c r="T189" s="51"/>
    </row>
    <row r="190">
      <c r="A190" s="51"/>
      <c r="B190" s="51"/>
      <c r="C190" s="56"/>
      <c r="D190" s="51"/>
      <c r="E190" s="51"/>
      <c r="F190" s="51"/>
      <c r="G190" s="51" t="str">
        <f>IFERROR(__xludf.DUMMYFUNCTION("""COMPUTED_VALUE"""),"#VALUE!")</f>
        <v>#VALUE!</v>
      </c>
      <c r="H190" s="51" t="str">
        <f>IFERROR(__xludf.DUMMYFUNCTION("""COMPUTED_VALUE"""),"")</f>
        <v/>
      </c>
      <c r="I190" s="51" t="str">
        <f>IFERROR(__xludf.DUMMYFUNCTION("""COMPUTED_VALUE"""),"#VALUE!")</f>
        <v>#VALUE!</v>
      </c>
      <c r="J190" s="51" t="str">
        <f>IFERROR(__xludf.DUMMYFUNCTION("""COMPUTED_VALUE"""),"")</f>
        <v/>
      </c>
      <c r="K190" s="51"/>
      <c r="L190" s="51" t="s">
        <v>257</v>
      </c>
      <c r="M190" s="51"/>
      <c r="N190" s="51"/>
      <c r="O190" s="51"/>
      <c r="P190" s="51"/>
      <c r="Q190" s="51"/>
      <c r="R190" s="51"/>
      <c r="S190" s="51"/>
      <c r="T190" s="51"/>
    </row>
    <row r="191">
      <c r="A191" s="51"/>
      <c r="B191" s="51"/>
      <c r="C191" s="56"/>
      <c r="D191" s="51"/>
      <c r="E191" s="51"/>
      <c r="F191" s="51"/>
      <c r="G191" s="51" t="str">
        <f>IFERROR(__xludf.DUMMYFUNCTION("""COMPUTED_VALUE"""),"#VALUE!")</f>
        <v>#VALUE!</v>
      </c>
      <c r="H191" s="51" t="str">
        <f>IFERROR(__xludf.DUMMYFUNCTION("""COMPUTED_VALUE"""),"")</f>
        <v/>
      </c>
      <c r="I191" s="51" t="str">
        <f>IFERROR(__xludf.DUMMYFUNCTION("""COMPUTED_VALUE"""),"#VALUE!")</f>
        <v>#VALUE!</v>
      </c>
      <c r="J191" s="51" t="str">
        <f>IFERROR(__xludf.DUMMYFUNCTION("""COMPUTED_VALUE"""),"")</f>
        <v/>
      </c>
      <c r="K191" s="51"/>
      <c r="L191" s="51" t="s">
        <v>257</v>
      </c>
      <c r="M191" s="51"/>
      <c r="N191" s="51"/>
      <c r="O191" s="51"/>
      <c r="P191" s="51"/>
      <c r="Q191" s="51"/>
      <c r="R191" s="51"/>
      <c r="S191" s="51"/>
      <c r="T191" s="51"/>
    </row>
    <row r="192">
      <c r="A192" s="51"/>
      <c r="B192" s="51"/>
      <c r="C192" s="56"/>
      <c r="D192" s="51"/>
      <c r="E192" s="51"/>
      <c r="F192" s="51"/>
      <c r="G192" s="51" t="str">
        <f>IFERROR(__xludf.DUMMYFUNCTION("""COMPUTED_VALUE"""),"#VALUE!")</f>
        <v>#VALUE!</v>
      </c>
      <c r="H192" s="51" t="str">
        <f>IFERROR(__xludf.DUMMYFUNCTION("""COMPUTED_VALUE"""),"")</f>
        <v/>
      </c>
      <c r="I192" s="51" t="str">
        <f>IFERROR(__xludf.DUMMYFUNCTION("""COMPUTED_VALUE"""),"#VALUE!")</f>
        <v>#VALUE!</v>
      </c>
      <c r="J192" s="51" t="str">
        <f>IFERROR(__xludf.DUMMYFUNCTION("""COMPUTED_VALUE"""),"")</f>
        <v/>
      </c>
      <c r="K192" s="51"/>
      <c r="L192" s="51" t="s">
        <v>257</v>
      </c>
      <c r="M192" s="51"/>
      <c r="N192" s="51"/>
      <c r="O192" s="51"/>
      <c r="P192" s="51"/>
      <c r="Q192" s="51"/>
      <c r="R192" s="51"/>
      <c r="S192" s="51"/>
      <c r="T192" s="51"/>
    </row>
    <row r="193">
      <c r="A193" s="51"/>
      <c r="B193" s="51"/>
      <c r="C193" s="56"/>
      <c r="D193" s="51"/>
      <c r="E193" s="51"/>
      <c r="F193" s="51"/>
      <c r="G193" s="51" t="str">
        <f>IFERROR(__xludf.DUMMYFUNCTION("""COMPUTED_VALUE"""),"#VALUE!")</f>
        <v>#VALUE!</v>
      </c>
      <c r="H193" s="51" t="str">
        <f>IFERROR(__xludf.DUMMYFUNCTION("""COMPUTED_VALUE"""),"")</f>
        <v/>
      </c>
      <c r="I193" s="51" t="str">
        <f>IFERROR(__xludf.DUMMYFUNCTION("""COMPUTED_VALUE"""),"#VALUE!")</f>
        <v>#VALUE!</v>
      </c>
      <c r="J193" s="51" t="str">
        <f>IFERROR(__xludf.DUMMYFUNCTION("""COMPUTED_VALUE"""),"")</f>
        <v/>
      </c>
      <c r="K193" s="51"/>
      <c r="L193" s="51" t="s">
        <v>257</v>
      </c>
      <c r="M193" s="51"/>
      <c r="N193" s="51"/>
      <c r="O193" s="51"/>
      <c r="P193" s="51"/>
      <c r="Q193" s="51"/>
      <c r="R193" s="51"/>
      <c r="S193" s="51"/>
      <c r="T193" s="51"/>
    </row>
    <row r="194">
      <c r="A194" s="51"/>
      <c r="B194" s="51"/>
      <c r="C194" s="56"/>
      <c r="D194" s="51"/>
      <c r="E194" s="51"/>
      <c r="F194" s="51"/>
      <c r="G194" s="51" t="str">
        <f>IFERROR(__xludf.DUMMYFUNCTION("""COMPUTED_VALUE"""),"#VALUE!")</f>
        <v>#VALUE!</v>
      </c>
      <c r="H194" s="51" t="str">
        <f>IFERROR(__xludf.DUMMYFUNCTION("""COMPUTED_VALUE"""),"")</f>
        <v/>
      </c>
      <c r="I194" s="51" t="str">
        <f>IFERROR(__xludf.DUMMYFUNCTION("""COMPUTED_VALUE"""),"#VALUE!")</f>
        <v>#VALUE!</v>
      </c>
      <c r="J194" s="51" t="str">
        <f>IFERROR(__xludf.DUMMYFUNCTION("""COMPUTED_VALUE"""),"")</f>
        <v/>
      </c>
      <c r="K194" s="51"/>
      <c r="L194" s="51" t="s">
        <v>257</v>
      </c>
      <c r="M194" s="51"/>
      <c r="N194" s="51"/>
      <c r="O194" s="51"/>
      <c r="P194" s="51"/>
      <c r="Q194" s="51"/>
      <c r="R194" s="51"/>
      <c r="S194" s="51"/>
      <c r="T194" s="51"/>
    </row>
    <row r="195">
      <c r="A195" s="51"/>
      <c r="B195" s="51"/>
      <c r="C195" s="56"/>
      <c r="D195" s="51"/>
      <c r="E195" s="51"/>
      <c r="F195" s="51"/>
      <c r="G195" s="51" t="str">
        <f>IFERROR(__xludf.DUMMYFUNCTION("""COMPUTED_VALUE"""),"#VALUE!")</f>
        <v>#VALUE!</v>
      </c>
      <c r="H195" s="51" t="str">
        <f>IFERROR(__xludf.DUMMYFUNCTION("""COMPUTED_VALUE"""),"")</f>
        <v/>
      </c>
      <c r="I195" s="51" t="str">
        <f>IFERROR(__xludf.DUMMYFUNCTION("""COMPUTED_VALUE"""),"#VALUE!")</f>
        <v>#VALUE!</v>
      </c>
      <c r="J195" s="51" t="str">
        <f>IFERROR(__xludf.DUMMYFUNCTION("""COMPUTED_VALUE"""),"")</f>
        <v/>
      </c>
      <c r="K195" s="51"/>
      <c r="L195" s="51" t="s">
        <v>257</v>
      </c>
      <c r="M195" s="51"/>
      <c r="N195" s="51"/>
      <c r="O195" s="51"/>
      <c r="P195" s="51"/>
      <c r="Q195" s="51"/>
      <c r="R195" s="51"/>
      <c r="S195" s="51"/>
      <c r="T195" s="51"/>
    </row>
    <row r="196">
      <c r="A196" s="51"/>
      <c r="B196" s="51"/>
      <c r="C196" s="56"/>
      <c r="D196" s="51"/>
      <c r="E196" s="51"/>
      <c r="F196" s="51"/>
      <c r="G196" s="51" t="str">
        <f>IFERROR(__xludf.DUMMYFUNCTION("""COMPUTED_VALUE"""),"#VALUE!")</f>
        <v>#VALUE!</v>
      </c>
      <c r="H196" s="51" t="str">
        <f>IFERROR(__xludf.DUMMYFUNCTION("""COMPUTED_VALUE"""),"")</f>
        <v/>
      </c>
      <c r="I196" s="51" t="str">
        <f>IFERROR(__xludf.DUMMYFUNCTION("""COMPUTED_VALUE"""),"#VALUE!")</f>
        <v>#VALUE!</v>
      </c>
      <c r="J196" s="51" t="str">
        <f>IFERROR(__xludf.DUMMYFUNCTION("""COMPUTED_VALUE"""),"")</f>
        <v/>
      </c>
      <c r="K196" s="51"/>
      <c r="L196" s="51" t="s">
        <v>257</v>
      </c>
      <c r="M196" s="51"/>
      <c r="N196" s="51"/>
      <c r="O196" s="51"/>
      <c r="P196" s="51"/>
      <c r="Q196" s="51"/>
      <c r="R196" s="51"/>
      <c r="S196" s="51"/>
      <c r="T196" s="51"/>
    </row>
    <row r="197">
      <c r="A197" s="51"/>
      <c r="B197" s="51"/>
      <c r="C197" s="56"/>
      <c r="D197" s="51"/>
      <c r="E197" s="51"/>
      <c r="F197" s="51"/>
      <c r="G197" s="51" t="str">
        <f>IFERROR(__xludf.DUMMYFUNCTION("""COMPUTED_VALUE"""),"#VALUE!")</f>
        <v>#VALUE!</v>
      </c>
      <c r="H197" s="51" t="str">
        <f>IFERROR(__xludf.DUMMYFUNCTION("""COMPUTED_VALUE"""),"")</f>
        <v/>
      </c>
      <c r="I197" s="51" t="str">
        <f>IFERROR(__xludf.DUMMYFUNCTION("""COMPUTED_VALUE"""),"#VALUE!")</f>
        <v>#VALUE!</v>
      </c>
      <c r="J197" s="51" t="str">
        <f>IFERROR(__xludf.DUMMYFUNCTION("""COMPUTED_VALUE"""),"")</f>
        <v/>
      </c>
      <c r="K197" s="51"/>
      <c r="L197" s="51" t="s">
        <v>257</v>
      </c>
      <c r="M197" s="51"/>
      <c r="N197" s="51"/>
      <c r="O197" s="51"/>
      <c r="P197" s="51"/>
      <c r="Q197" s="51"/>
      <c r="R197" s="51"/>
      <c r="S197" s="51"/>
      <c r="T197" s="51"/>
    </row>
    <row r="198">
      <c r="A198" s="51"/>
      <c r="B198" s="51"/>
      <c r="C198" s="56"/>
      <c r="D198" s="51"/>
      <c r="E198" s="51"/>
      <c r="F198" s="51"/>
      <c r="G198" s="51" t="str">
        <f>IFERROR(__xludf.DUMMYFUNCTION("""COMPUTED_VALUE"""),"#VALUE!")</f>
        <v>#VALUE!</v>
      </c>
      <c r="H198" s="51" t="str">
        <f>IFERROR(__xludf.DUMMYFUNCTION("""COMPUTED_VALUE"""),"")</f>
        <v/>
      </c>
      <c r="I198" s="51" t="str">
        <f>IFERROR(__xludf.DUMMYFUNCTION("""COMPUTED_VALUE"""),"#VALUE!")</f>
        <v>#VALUE!</v>
      </c>
      <c r="J198" s="51" t="str">
        <f>IFERROR(__xludf.DUMMYFUNCTION("""COMPUTED_VALUE"""),"")</f>
        <v/>
      </c>
      <c r="K198" s="51"/>
      <c r="L198" s="51" t="s">
        <v>257</v>
      </c>
      <c r="M198" s="51"/>
      <c r="N198" s="51"/>
      <c r="O198" s="51"/>
      <c r="P198" s="51"/>
      <c r="Q198" s="51"/>
      <c r="R198" s="51"/>
      <c r="S198" s="51"/>
      <c r="T198" s="51"/>
    </row>
    <row r="199">
      <c r="A199" s="51"/>
      <c r="B199" s="51"/>
      <c r="C199" s="56"/>
      <c r="D199" s="51"/>
      <c r="E199" s="51"/>
      <c r="F199" s="51"/>
      <c r="G199" s="51" t="str">
        <f>IFERROR(__xludf.DUMMYFUNCTION("""COMPUTED_VALUE"""),"#VALUE!")</f>
        <v>#VALUE!</v>
      </c>
      <c r="H199" s="51" t="str">
        <f>IFERROR(__xludf.DUMMYFUNCTION("""COMPUTED_VALUE"""),"")</f>
        <v/>
      </c>
      <c r="I199" s="51" t="str">
        <f>IFERROR(__xludf.DUMMYFUNCTION("""COMPUTED_VALUE"""),"#VALUE!")</f>
        <v>#VALUE!</v>
      </c>
      <c r="J199" s="51" t="str">
        <f>IFERROR(__xludf.DUMMYFUNCTION("""COMPUTED_VALUE"""),"")</f>
        <v/>
      </c>
      <c r="K199" s="51"/>
      <c r="L199" s="51" t="s">
        <v>257</v>
      </c>
      <c r="M199" s="51"/>
      <c r="N199" s="51"/>
      <c r="O199" s="51"/>
      <c r="P199" s="51"/>
      <c r="Q199" s="51"/>
      <c r="R199" s="51"/>
      <c r="S199" s="51"/>
      <c r="T199" s="51"/>
    </row>
    <row r="200">
      <c r="A200" s="51"/>
      <c r="B200" s="51"/>
      <c r="C200" s="56"/>
      <c r="D200" s="51"/>
      <c r="E200" s="51"/>
      <c r="F200" s="51"/>
      <c r="G200" s="51" t="str">
        <f>IFERROR(__xludf.DUMMYFUNCTION("""COMPUTED_VALUE"""),"#VALUE!")</f>
        <v>#VALUE!</v>
      </c>
      <c r="H200" s="51" t="str">
        <f>IFERROR(__xludf.DUMMYFUNCTION("""COMPUTED_VALUE"""),"")</f>
        <v/>
      </c>
      <c r="I200" s="51" t="str">
        <f>IFERROR(__xludf.DUMMYFUNCTION("""COMPUTED_VALUE"""),"#VALUE!")</f>
        <v>#VALUE!</v>
      </c>
      <c r="J200" s="51" t="str">
        <f>IFERROR(__xludf.DUMMYFUNCTION("""COMPUTED_VALUE"""),"")</f>
        <v/>
      </c>
      <c r="K200" s="51"/>
      <c r="L200" s="51" t="s">
        <v>257</v>
      </c>
      <c r="M200" s="51"/>
      <c r="N200" s="51"/>
      <c r="O200" s="51"/>
      <c r="P200" s="51"/>
      <c r="Q200" s="51"/>
      <c r="R200" s="51"/>
      <c r="S200" s="51"/>
      <c r="T200" s="51"/>
    </row>
    <row r="201">
      <c r="A201" s="51"/>
      <c r="B201" s="51"/>
      <c r="C201" s="56"/>
      <c r="D201" s="51"/>
      <c r="E201" s="51"/>
      <c r="F201" s="51"/>
      <c r="G201" s="51" t="str">
        <f>IFERROR(__xludf.DUMMYFUNCTION("""COMPUTED_VALUE"""),"#VALUE!")</f>
        <v>#VALUE!</v>
      </c>
      <c r="H201" s="51" t="str">
        <f>IFERROR(__xludf.DUMMYFUNCTION("""COMPUTED_VALUE"""),"")</f>
        <v/>
      </c>
      <c r="I201" s="51" t="str">
        <f>IFERROR(__xludf.DUMMYFUNCTION("""COMPUTED_VALUE"""),"#VALUE!")</f>
        <v>#VALUE!</v>
      </c>
      <c r="J201" s="51" t="str">
        <f>IFERROR(__xludf.DUMMYFUNCTION("""COMPUTED_VALUE"""),"")</f>
        <v/>
      </c>
      <c r="K201" s="51"/>
      <c r="L201" s="51" t="s">
        <v>257</v>
      </c>
      <c r="M201" s="51"/>
      <c r="N201" s="51"/>
      <c r="O201" s="51"/>
      <c r="P201" s="51"/>
      <c r="Q201" s="51"/>
      <c r="R201" s="51"/>
      <c r="S201" s="51"/>
      <c r="T201" s="51"/>
    </row>
    <row r="202">
      <c r="A202" s="51"/>
      <c r="B202" s="51"/>
      <c r="C202" s="56"/>
      <c r="D202" s="51"/>
      <c r="E202" s="51"/>
      <c r="F202" s="51"/>
      <c r="G202" s="51" t="str">
        <f>IFERROR(__xludf.DUMMYFUNCTION("""COMPUTED_VALUE"""),"#VALUE!")</f>
        <v>#VALUE!</v>
      </c>
      <c r="H202" s="51" t="str">
        <f>IFERROR(__xludf.DUMMYFUNCTION("""COMPUTED_VALUE"""),"")</f>
        <v/>
      </c>
      <c r="I202" s="51" t="str">
        <f>IFERROR(__xludf.DUMMYFUNCTION("""COMPUTED_VALUE"""),"#VALUE!")</f>
        <v>#VALUE!</v>
      </c>
      <c r="J202" s="51" t="str">
        <f>IFERROR(__xludf.DUMMYFUNCTION("""COMPUTED_VALUE"""),"")</f>
        <v/>
      </c>
      <c r="K202" s="51"/>
      <c r="L202" s="51" t="s">
        <v>257</v>
      </c>
      <c r="M202" s="51"/>
      <c r="N202" s="51"/>
      <c r="O202" s="51"/>
      <c r="P202" s="51"/>
      <c r="Q202" s="51"/>
      <c r="R202" s="51"/>
      <c r="S202" s="51"/>
      <c r="T202" s="51"/>
    </row>
    <row r="203">
      <c r="A203" s="51"/>
      <c r="B203" s="51"/>
      <c r="C203" s="56"/>
      <c r="D203" s="51"/>
      <c r="E203" s="51"/>
      <c r="F203" s="51"/>
      <c r="G203" s="51" t="str">
        <f>IFERROR(__xludf.DUMMYFUNCTION("""COMPUTED_VALUE"""),"#VALUE!")</f>
        <v>#VALUE!</v>
      </c>
      <c r="H203" s="51" t="str">
        <f>IFERROR(__xludf.DUMMYFUNCTION("""COMPUTED_VALUE"""),"")</f>
        <v/>
      </c>
      <c r="I203" s="51" t="str">
        <f>IFERROR(__xludf.DUMMYFUNCTION("""COMPUTED_VALUE"""),"#VALUE!")</f>
        <v>#VALUE!</v>
      </c>
      <c r="J203" s="51" t="str">
        <f>IFERROR(__xludf.DUMMYFUNCTION("""COMPUTED_VALUE"""),"")</f>
        <v/>
      </c>
      <c r="K203" s="51"/>
      <c r="L203" s="51" t="s">
        <v>257</v>
      </c>
      <c r="M203" s="51"/>
      <c r="N203" s="51"/>
      <c r="O203" s="51"/>
      <c r="P203" s="51"/>
      <c r="Q203" s="51"/>
      <c r="R203" s="51"/>
      <c r="S203" s="51"/>
      <c r="T203" s="51"/>
    </row>
    <row r="204">
      <c r="A204" s="51"/>
      <c r="B204" s="51"/>
      <c r="C204" s="56"/>
      <c r="D204" s="51"/>
      <c r="E204" s="51"/>
      <c r="F204" s="51"/>
      <c r="G204" s="51" t="str">
        <f>IFERROR(__xludf.DUMMYFUNCTION("""COMPUTED_VALUE"""),"#VALUE!")</f>
        <v>#VALUE!</v>
      </c>
      <c r="H204" s="51" t="str">
        <f>IFERROR(__xludf.DUMMYFUNCTION("""COMPUTED_VALUE"""),"")</f>
        <v/>
      </c>
      <c r="I204" s="51" t="str">
        <f>IFERROR(__xludf.DUMMYFUNCTION("""COMPUTED_VALUE"""),"#VALUE!")</f>
        <v>#VALUE!</v>
      </c>
      <c r="J204" s="51" t="str">
        <f>IFERROR(__xludf.DUMMYFUNCTION("""COMPUTED_VALUE"""),"")</f>
        <v/>
      </c>
      <c r="K204" s="51"/>
      <c r="L204" s="51" t="s">
        <v>257</v>
      </c>
      <c r="M204" s="51"/>
      <c r="N204" s="51"/>
      <c r="O204" s="51"/>
      <c r="P204" s="51"/>
      <c r="Q204" s="51"/>
      <c r="R204" s="51"/>
      <c r="S204" s="51"/>
      <c r="T204" s="51"/>
    </row>
    <row r="205">
      <c r="A205" s="51"/>
      <c r="B205" s="51"/>
      <c r="C205" s="56"/>
      <c r="D205" s="51"/>
      <c r="E205" s="51"/>
      <c r="F205" s="51"/>
      <c r="G205" s="51" t="str">
        <f>IFERROR(__xludf.DUMMYFUNCTION("""COMPUTED_VALUE"""),"#VALUE!")</f>
        <v>#VALUE!</v>
      </c>
      <c r="H205" s="51" t="str">
        <f>IFERROR(__xludf.DUMMYFUNCTION("""COMPUTED_VALUE"""),"")</f>
        <v/>
      </c>
      <c r="I205" s="51" t="str">
        <f>IFERROR(__xludf.DUMMYFUNCTION("""COMPUTED_VALUE"""),"#VALUE!")</f>
        <v>#VALUE!</v>
      </c>
      <c r="J205" s="51" t="str">
        <f>IFERROR(__xludf.DUMMYFUNCTION("""COMPUTED_VALUE"""),"")</f>
        <v/>
      </c>
      <c r="K205" s="51"/>
      <c r="L205" s="51" t="s">
        <v>257</v>
      </c>
      <c r="M205" s="51"/>
      <c r="N205" s="51"/>
      <c r="O205" s="51"/>
      <c r="P205" s="51"/>
      <c r="Q205" s="51"/>
      <c r="R205" s="51"/>
      <c r="S205" s="51"/>
      <c r="T205" s="51"/>
    </row>
    <row r="206">
      <c r="A206" s="51"/>
      <c r="B206" s="51"/>
      <c r="C206" s="56"/>
      <c r="D206" s="51"/>
      <c r="E206" s="51"/>
      <c r="F206" s="51"/>
      <c r="G206" s="51" t="str">
        <f>IFERROR(__xludf.DUMMYFUNCTION("""COMPUTED_VALUE"""),"#VALUE!")</f>
        <v>#VALUE!</v>
      </c>
      <c r="H206" s="51" t="str">
        <f>IFERROR(__xludf.DUMMYFUNCTION("""COMPUTED_VALUE"""),"")</f>
        <v/>
      </c>
      <c r="I206" s="51" t="str">
        <f>IFERROR(__xludf.DUMMYFUNCTION("""COMPUTED_VALUE"""),"#VALUE!")</f>
        <v>#VALUE!</v>
      </c>
      <c r="J206" s="51" t="str">
        <f>IFERROR(__xludf.DUMMYFUNCTION("""COMPUTED_VALUE"""),"")</f>
        <v/>
      </c>
      <c r="K206" s="51"/>
      <c r="L206" s="51" t="s">
        <v>257</v>
      </c>
      <c r="M206" s="51"/>
      <c r="N206" s="51"/>
      <c r="O206" s="51"/>
      <c r="P206" s="51"/>
      <c r="Q206" s="51"/>
      <c r="R206" s="51"/>
      <c r="S206" s="51"/>
      <c r="T206" s="51"/>
    </row>
    <row r="207">
      <c r="A207" s="51"/>
      <c r="B207" s="51"/>
      <c r="C207" s="56"/>
      <c r="D207" s="51"/>
      <c r="E207" s="51"/>
      <c r="F207" s="51"/>
      <c r="G207" s="51" t="str">
        <f>IFERROR(__xludf.DUMMYFUNCTION("""COMPUTED_VALUE"""),"#VALUE!")</f>
        <v>#VALUE!</v>
      </c>
      <c r="H207" s="51" t="str">
        <f>IFERROR(__xludf.DUMMYFUNCTION("""COMPUTED_VALUE"""),"")</f>
        <v/>
      </c>
      <c r="I207" s="51" t="str">
        <f>IFERROR(__xludf.DUMMYFUNCTION("""COMPUTED_VALUE"""),"#VALUE!")</f>
        <v>#VALUE!</v>
      </c>
      <c r="J207" s="51" t="str">
        <f>IFERROR(__xludf.DUMMYFUNCTION("""COMPUTED_VALUE"""),"")</f>
        <v/>
      </c>
      <c r="K207" s="51"/>
      <c r="L207" s="51" t="s">
        <v>257</v>
      </c>
      <c r="M207" s="51"/>
      <c r="N207" s="51"/>
      <c r="O207" s="51"/>
      <c r="P207" s="51"/>
      <c r="Q207" s="51"/>
      <c r="R207" s="51"/>
      <c r="S207" s="51"/>
      <c r="T207" s="51"/>
    </row>
    <row r="208">
      <c r="A208" s="51"/>
      <c r="B208" s="51"/>
      <c r="C208" s="56"/>
      <c r="D208" s="51"/>
      <c r="E208" s="51"/>
      <c r="F208" s="51"/>
      <c r="G208" s="51" t="str">
        <f>IFERROR(__xludf.DUMMYFUNCTION("""COMPUTED_VALUE"""),"#VALUE!")</f>
        <v>#VALUE!</v>
      </c>
      <c r="H208" s="51" t="str">
        <f>IFERROR(__xludf.DUMMYFUNCTION("""COMPUTED_VALUE"""),"")</f>
        <v/>
      </c>
      <c r="I208" s="51" t="str">
        <f>IFERROR(__xludf.DUMMYFUNCTION("""COMPUTED_VALUE"""),"#VALUE!")</f>
        <v>#VALUE!</v>
      </c>
      <c r="J208" s="51" t="str">
        <f>IFERROR(__xludf.DUMMYFUNCTION("""COMPUTED_VALUE"""),"")</f>
        <v/>
      </c>
      <c r="K208" s="51"/>
      <c r="L208" s="51" t="s">
        <v>257</v>
      </c>
      <c r="M208" s="51"/>
      <c r="N208" s="51"/>
      <c r="O208" s="51"/>
      <c r="P208" s="51"/>
      <c r="Q208" s="51"/>
      <c r="R208" s="51"/>
      <c r="S208" s="51"/>
      <c r="T208" s="51"/>
    </row>
    <row r="209">
      <c r="A209" s="51"/>
      <c r="B209" s="51"/>
      <c r="C209" s="56"/>
      <c r="D209" s="51"/>
      <c r="E209" s="51"/>
      <c r="F209" s="51"/>
      <c r="G209" s="51" t="str">
        <f>IFERROR(__xludf.DUMMYFUNCTION("""COMPUTED_VALUE"""),"#VALUE!")</f>
        <v>#VALUE!</v>
      </c>
      <c r="H209" s="51" t="str">
        <f>IFERROR(__xludf.DUMMYFUNCTION("""COMPUTED_VALUE"""),"")</f>
        <v/>
      </c>
      <c r="I209" s="51" t="str">
        <f>IFERROR(__xludf.DUMMYFUNCTION("""COMPUTED_VALUE"""),"#VALUE!")</f>
        <v>#VALUE!</v>
      </c>
      <c r="J209" s="51" t="str">
        <f>IFERROR(__xludf.DUMMYFUNCTION("""COMPUTED_VALUE"""),"")</f>
        <v/>
      </c>
      <c r="K209" s="51"/>
      <c r="L209" s="51" t="s">
        <v>257</v>
      </c>
      <c r="M209" s="51"/>
      <c r="N209" s="51"/>
      <c r="O209" s="51"/>
      <c r="P209" s="51"/>
      <c r="Q209" s="51"/>
      <c r="R209" s="51"/>
      <c r="S209" s="51"/>
      <c r="T209" s="51"/>
    </row>
    <row r="210">
      <c r="A210" s="51"/>
      <c r="B210" s="51"/>
      <c r="C210" s="56"/>
      <c r="D210" s="51"/>
      <c r="E210" s="51"/>
      <c r="F210" s="51"/>
      <c r="G210" s="51" t="str">
        <f>IFERROR(__xludf.DUMMYFUNCTION("""COMPUTED_VALUE"""),"#VALUE!")</f>
        <v>#VALUE!</v>
      </c>
      <c r="H210" s="51" t="str">
        <f>IFERROR(__xludf.DUMMYFUNCTION("""COMPUTED_VALUE"""),"")</f>
        <v/>
      </c>
      <c r="I210" s="51" t="str">
        <f>IFERROR(__xludf.DUMMYFUNCTION("""COMPUTED_VALUE"""),"#VALUE!")</f>
        <v>#VALUE!</v>
      </c>
      <c r="J210" s="51" t="str">
        <f>IFERROR(__xludf.DUMMYFUNCTION("""COMPUTED_VALUE"""),"")</f>
        <v/>
      </c>
      <c r="K210" s="51"/>
      <c r="L210" s="51" t="s">
        <v>257</v>
      </c>
      <c r="M210" s="51"/>
      <c r="N210" s="51"/>
      <c r="O210" s="51"/>
      <c r="P210" s="51"/>
      <c r="Q210" s="51"/>
      <c r="R210" s="51"/>
      <c r="S210" s="51"/>
      <c r="T210" s="51"/>
    </row>
    <row r="211">
      <c r="A211" s="51"/>
      <c r="B211" s="51"/>
      <c r="C211" s="56"/>
      <c r="D211" s="51"/>
      <c r="E211" s="51"/>
      <c r="F211" s="51"/>
      <c r="G211" s="51" t="str">
        <f>IFERROR(__xludf.DUMMYFUNCTION("""COMPUTED_VALUE"""),"#VALUE!")</f>
        <v>#VALUE!</v>
      </c>
      <c r="H211" s="51" t="str">
        <f>IFERROR(__xludf.DUMMYFUNCTION("""COMPUTED_VALUE"""),"")</f>
        <v/>
      </c>
      <c r="I211" s="51" t="str">
        <f>IFERROR(__xludf.DUMMYFUNCTION("""COMPUTED_VALUE"""),"#VALUE!")</f>
        <v>#VALUE!</v>
      </c>
      <c r="J211" s="51" t="str">
        <f>IFERROR(__xludf.DUMMYFUNCTION("""COMPUTED_VALUE"""),"")</f>
        <v/>
      </c>
      <c r="K211" s="51"/>
      <c r="L211" s="51" t="s">
        <v>257</v>
      </c>
      <c r="M211" s="51"/>
      <c r="N211" s="51"/>
      <c r="O211" s="51"/>
      <c r="P211" s="51"/>
      <c r="Q211" s="51"/>
      <c r="R211" s="51"/>
      <c r="S211" s="51"/>
      <c r="T211" s="51"/>
    </row>
    <row r="212">
      <c r="A212" s="51"/>
      <c r="B212" s="51"/>
      <c r="C212" s="56"/>
      <c r="D212" s="51"/>
      <c r="E212" s="51"/>
      <c r="F212" s="51"/>
      <c r="G212" s="51" t="str">
        <f>IFERROR(__xludf.DUMMYFUNCTION("""COMPUTED_VALUE"""),"#VALUE!")</f>
        <v>#VALUE!</v>
      </c>
      <c r="H212" s="51" t="str">
        <f>IFERROR(__xludf.DUMMYFUNCTION("""COMPUTED_VALUE"""),"")</f>
        <v/>
      </c>
      <c r="I212" s="51" t="str">
        <f>IFERROR(__xludf.DUMMYFUNCTION("""COMPUTED_VALUE"""),"#VALUE!")</f>
        <v>#VALUE!</v>
      </c>
      <c r="J212" s="51" t="str">
        <f>IFERROR(__xludf.DUMMYFUNCTION("""COMPUTED_VALUE"""),"")</f>
        <v/>
      </c>
      <c r="K212" s="51"/>
      <c r="L212" s="51" t="s">
        <v>257</v>
      </c>
      <c r="M212" s="51"/>
      <c r="N212" s="51"/>
      <c r="O212" s="51"/>
      <c r="P212" s="51"/>
      <c r="Q212" s="51"/>
      <c r="R212" s="51"/>
      <c r="S212" s="51"/>
      <c r="T212" s="51"/>
    </row>
    <row r="213">
      <c r="A213" s="51"/>
      <c r="B213" s="51"/>
      <c r="C213" s="56"/>
      <c r="D213" s="51"/>
      <c r="E213" s="51"/>
      <c r="F213" s="51"/>
      <c r="G213" s="51" t="str">
        <f>IFERROR(__xludf.DUMMYFUNCTION("""COMPUTED_VALUE"""),"#VALUE!")</f>
        <v>#VALUE!</v>
      </c>
      <c r="H213" s="51" t="str">
        <f>IFERROR(__xludf.DUMMYFUNCTION("""COMPUTED_VALUE"""),"")</f>
        <v/>
      </c>
      <c r="I213" s="51" t="str">
        <f>IFERROR(__xludf.DUMMYFUNCTION("""COMPUTED_VALUE"""),"#VALUE!")</f>
        <v>#VALUE!</v>
      </c>
      <c r="J213" s="51" t="str">
        <f>IFERROR(__xludf.DUMMYFUNCTION("""COMPUTED_VALUE"""),"")</f>
        <v/>
      </c>
      <c r="K213" s="51"/>
      <c r="L213" s="51" t="s">
        <v>257</v>
      </c>
      <c r="M213" s="51"/>
      <c r="N213" s="51"/>
      <c r="O213" s="51"/>
      <c r="P213" s="51"/>
      <c r="Q213" s="51"/>
      <c r="R213" s="51"/>
      <c r="S213" s="51"/>
      <c r="T213" s="51"/>
    </row>
    <row r="214">
      <c r="A214" s="51"/>
      <c r="B214" s="51"/>
      <c r="C214" s="56"/>
      <c r="D214" s="51"/>
      <c r="E214" s="51"/>
      <c r="F214" s="51"/>
      <c r="G214" s="51" t="str">
        <f>IFERROR(__xludf.DUMMYFUNCTION("""COMPUTED_VALUE"""),"#VALUE!")</f>
        <v>#VALUE!</v>
      </c>
      <c r="H214" s="51" t="str">
        <f>IFERROR(__xludf.DUMMYFUNCTION("""COMPUTED_VALUE"""),"")</f>
        <v/>
      </c>
      <c r="I214" s="51" t="str">
        <f>IFERROR(__xludf.DUMMYFUNCTION("""COMPUTED_VALUE"""),"#VALUE!")</f>
        <v>#VALUE!</v>
      </c>
      <c r="J214" s="51" t="str">
        <f>IFERROR(__xludf.DUMMYFUNCTION("""COMPUTED_VALUE"""),"")</f>
        <v/>
      </c>
      <c r="K214" s="51"/>
      <c r="L214" s="51" t="s">
        <v>257</v>
      </c>
      <c r="M214" s="51"/>
      <c r="N214" s="51"/>
      <c r="O214" s="51"/>
      <c r="P214" s="51"/>
      <c r="Q214" s="51"/>
      <c r="R214" s="51"/>
      <c r="S214" s="51"/>
      <c r="T214" s="51"/>
    </row>
    <row r="215">
      <c r="A215" s="51"/>
      <c r="B215" s="51"/>
      <c r="C215" s="56"/>
      <c r="D215" s="51"/>
      <c r="E215" s="51"/>
      <c r="F215" s="51"/>
      <c r="G215" s="51" t="str">
        <f>IFERROR(__xludf.DUMMYFUNCTION("""COMPUTED_VALUE"""),"#VALUE!")</f>
        <v>#VALUE!</v>
      </c>
      <c r="H215" s="51" t="str">
        <f>IFERROR(__xludf.DUMMYFUNCTION("""COMPUTED_VALUE"""),"")</f>
        <v/>
      </c>
      <c r="I215" s="51" t="str">
        <f>IFERROR(__xludf.DUMMYFUNCTION("""COMPUTED_VALUE"""),"#VALUE!")</f>
        <v>#VALUE!</v>
      </c>
      <c r="J215" s="51" t="str">
        <f>IFERROR(__xludf.DUMMYFUNCTION("""COMPUTED_VALUE"""),"")</f>
        <v/>
      </c>
      <c r="K215" s="51"/>
      <c r="L215" s="51" t="s">
        <v>257</v>
      </c>
      <c r="M215" s="51"/>
      <c r="N215" s="51"/>
      <c r="O215" s="51"/>
      <c r="P215" s="51"/>
      <c r="Q215" s="51"/>
      <c r="R215" s="51"/>
      <c r="S215" s="51"/>
      <c r="T215" s="51"/>
    </row>
    <row r="216">
      <c r="A216" s="51"/>
      <c r="B216" s="51"/>
      <c r="C216" s="56"/>
      <c r="D216" s="51"/>
      <c r="E216" s="51"/>
      <c r="F216" s="51"/>
      <c r="G216" s="51" t="str">
        <f>IFERROR(__xludf.DUMMYFUNCTION("""COMPUTED_VALUE"""),"#VALUE!")</f>
        <v>#VALUE!</v>
      </c>
      <c r="H216" s="51" t="str">
        <f>IFERROR(__xludf.DUMMYFUNCTION("""COMPUTED_VALUE"""),"")</f>
        <v/>
      </c>
      <c r="I216" s="51" t="str">
        <f>IFERROR(__xludf.DUMMYFUNCTION("""COMPUTED_VALUE"""),"#VALUE!")</f>
        <v>#VALUE!</v>
      </c>
      <c r="J216" s="51" t="str">
        <f>IFERROR(__xludf.DUMMYFUNCTION("""COMPUTED_VALUE"""),"")</f>
        <v/>
      </c>
      <c r="K216" s="51"/>
      <c r="L216" s="51" t="s">
        <v>257</v>
      </c>
      <c r="M216" s="51"/>
      <c r="N216" s="51"/>
      <c r="O216" s="51"/>
      <c r="P216" s="51"/>
      <c r="Q216" s="51"/>
      <c r="R216" s="51"/>
      <c r="S216" s="51"/>
      <c r="T216" s="51"/>
    </row>
    <row r="217">
      <c r="A217" s="51"/>
      <c r="B217" s="51"/>
      <c r="C217" s="56"/>
      <c r="D217" s="51"/>
      <c r="E217" s="51"/>
      <c r="F217" s="51"/>
      <c r="G217" s="51" t="str">
        <f>IFERROR(__xludf.DUMMYFUNCTION("""COMPUTED_VALUE"""),"#VALUE!")</f>
        <v>#VALUE!</v>
      </c>
      <c r="H217" s="51" t="str">
        <f>IFERROR(__xludf.DUMMYFUNCTION("""COMPUTED_VALUE"""),"")</f>
        <v/>
      </c>
      <c r="I217" s="51" t="str">
        <f>IFERROR(__xludf.DUMMYFUNCTION("""COMPUTED_VALUE"""),"#VALUE!")</f>
        <v>#VALUE!</v>
      </c>
      <c r="J217" s="51" t="str">
        <f>IFERROR(__xludf.DUMMYFUNCTION("""COMPUTED_VALUE"""),"")</f>
        <v/>
      </c>
      <c r="K217" s="51"/>
      <c r="L217" s="51" t="s">
        <v>257</v>
      </c>
      <c r="M217" s="51"/>
      <c r="N217" s="51"/>
      <c r="O217" s="51"/>
      <c r="P217" s="51"/>
      <c r="Q217" s="51"/>
      <c r="R217" s="51"/>
      <c r="S217" s="51"/>
      <c r="T217" s="51"/>
    </row>
    <row r="218">
      <c r="A218" s="51"/>
      <c r="B218" s="51"/>
      <c r="C218" s="56"/>
      <c r="D218" s="51"/>
      <c r="E218" s="51"/>
      <c r="F218" s="51"/>
      <c r="G218" s="51" t="str">
        <f>IFERROR(__xludf.DUMMYFUNCTION("""COMPUTED_VALUE"""),"#VALUE!")</f>
        <v>#VALUE!</v>
      </c>
      <c r="H218" s="51" t="str">
        <f>IFERROR(__xludf.DUMMYFUNCTION("""COMPUTED_VALUE"""),"")</f>
        <v/>
      </c>
      <c r="I218" s="51" t="str">
        <f>IFERROR(__xludf.DUMMYFUNCTION("""COMPUTED_VALUE"""),"#VALUE!")</f>
        <v>#VALUE!</v>
      </c>
      <c r="J218" s="51" t="str">
        <f>IFERROR(__xludf.DUMMYFUNCTION("""COMPUTED_VALUE"""),"")</f>
        <v/>
      </c>
      <c r="K218" s="51"/>
      <c r="L218" s="51" t="s">
        <v>257</v>
      </c>
      <c r="M218" s="51"/>
      <c r="N218" s="51"/>
      <c r="O218" s="51"/>
      <c r="P218" s="51"/>
      <c r="Q218" s="51"/>
      <c r="R218" s="51"/>
      <c r="S218" s="51"/>
      <c r="T218" s="51"/>
    </row>
    <row r="219">
      <c r="A219" s="51"/>
      <c r="B219" s="51"/>
      <c r="C219" s="56"/>
      <c r="D219" s="51"/>
      <c r="E219" s="51"/>
      <c r="F219" s="51"/>
      <c r="G219" s="51" t="str">
        <f>IFERROR(__xludf.DUMMYFUNCTION("""COMPUTED_VALUE"""),"#VALUE!")</f>
        <v>#VALUE!</v>
      </c>
      <c r="H219" s="51" t="str">
        <f>IFERROR(__xludf.DUMMYFUNCTION("""COMPUTED_VALUE"""),"")</f>
        <v/>
      </c>
      <c r="I219" s="51" t="str">
        <f>IFERROR(__xludf.DUMMYFUNCTION("""COMPUTED_VALUE"""),"#VALUE!")</f>
        <v>#VALUE!</v>
      </c>
      <c r="J219" s="51" t="str">
        <f>IFERROR(__xludf.DUMMYFUNCTION("""COMPUTED_VALUE"""),"")</f>
        <v/>
      </c>
      <c r="K219" s="51"/>
      <c r="L219" s="51" t="s">
        <v>257</v>
      </c>
      <c r="M219" s="51"/>
      <c r="N219" s="51"/>
      <c r="O219" s="51"/>
      <c r="P219" s="51"/>
      <c r="Q219" s="51"/>
      <c r="R219" s="51"/>
      <c r="S219" s="51"/>
      <c r="T219" s="51"/>
    </row>
    <row r="220">
      <c r="A220" s="51"/>
      <c r="B220" s="51"/>
      <c r="C220" s="56"/>
      <c r="D220" s="51"/>
      <c r="E220" s="51"/>
      <c r="F220" s="51"/>
      <c r="G220" s="51" t="str">
        <f>IFERROR(__xludf.DUMMYFUNCTION("""COMPUTED_VALUE"""),"#VALUE!")</f>
        <v>#VALUE!</v>
      </c>
      <c r="H220" s="51" t="str">
        <f>IFERROR(__xludf.DUMMYFUNCTION("""COMPUTED_VALUE"""),"")</f>
        <v/>
      </c>
      <c r="I220" s="51" t="str">
        <f>IFERROR(__xludf.DUMMYFUNCTION("""COMPUTED_VALUE"""),"#VALUE!")</f>
        <v>#VALUE!</v>
      </c>
      <c r="J220" s="51" t="str">
        <f>IFERROR(__xludf.DUMMYFUNCTION("""COMPUTED_VALUE"""),"")</f>
        <v/>
      </c>
      <c r="K220" s="51"/>
      <c r="L220" s="51" t="s">
        <v>257</v>
      </c>
      <c r="M220" s="51"/>
      <c r="N220" s="51"/>
      <c r="O220" s="51"/>
      <c r="P220" s="51"/>
      <c r="Q220" s="51"/>
      <c r="R220" s="51"/>
      <c r="S220" s="51"/>
      <c r="T220" s="51"/>
    </row>
    <row r="221">
      <c r="A221" s="51"/>
      <c r="B221" s="51"/>
      <c r="C221" s="56"/>
      <c r="D221" s="51"/>
      <c r="E221" s="51"/>
      <c r="F221" s="51"/>
      <c r="G221" s="51" t="str">
        <f>IFERROR(__xludf.DUMMYFUNCTION("""COMPUTED_VALUE"""),"#VALUE!")</f>
        <v>#VALUE!</v>
      </c>
      <c r="H221" s="51" t="str">
        <f>IFERROR(__xludf.DUMMYFUNCTION("""COMPUTED_VALUE"""),"")</f>
        <v/>
      </c>
      <c r="I221" s="51" t="str">
        <f>IFERROR(__xludf.DUMMYFUNCTION("""COMPUTED_VALUE"""),"#VALUE!")</f>
        <v>#VALUE!</v>
      </c>
      <c r="J221" s="51" t="str">
        <f>IFERROR(__xludf.DUMMYFUNCTION("""COMPUTED_VALUE"""),"")</f>
        <v/>
      </c>
      <c r="K221" s="51"/>
      <c r="L221" s="51" t="s">
        <v>257</v>
      </c>
      <c r="M221" s="51"/>
      <c r="N221" s="51"/>
      <c r="O221" s="51"/>
      <c r="P221" s="51"/>
      <c r="Q221" s="51"/>
      <c r="R221" s="51"/>
      <c r="S221" s="51"/>
      <c r="T221" s="51"/>
    </row>
    <row r="222">
      <c r="A222" s="51"/>
      <c r="B222" s="51"/>
      <c r="C222" s="56"/>
      <c r="D222" s="51"/>
      <c r="E222" s="51"/>
      <c r="F222" s="51"/>
      <c r="G222" s="51" t="str">
        <f>IFERROR(__xludf.DUMMYFUNCTION("""COMPUTED_VALUE"""),"#VALUE!")</f>
        <v>#VALUE!</v>
      </c>
      <c r="H222" s="51" t="str">
        <f>IFERROR(__xludf.DUMMYFUNCTION("""COMPUTED_VALUE"""),"")</f>
        <v/>
      </c>
      <c r="I222" s="51" t="str">
        <f>IFERROR(__xludf.DUMMYFUNCTION("""COMPUTED_VALUE"""),"#VALUE!")</f>
        <v>#VALUE!</v>
      </c>
      <c r="J222" s="51" t="str">
        <f>IFERROR(__xludf.DUMMYFUNCTION("""COMPUTED_VALUE"""),"")</f>
        <v/>
      </c>
      <c r="K222" s="51"/>
      <c r="L222" s="51" t="s">
        <v>257</v>
      </c>
      <c r="M222" s="51"/>
      <c r="N222" s="51"/>
      <c r="O222" s="51"/>
      <c r="P222" s="51"/>
      <c r="Q222" s="51"/>
      <c r="R222" s="51"/>
      <c r="S222" s="51"/>
      <c r="T222" s="51"/>
    </row>
    <row r="223">
      <c r="A223" s="51"/>
      <c r="B223" s="51"/>
      <c r="C223" s="56"/>
      <c r="D223" s="51"/>
      <c r="E223" s="51"/>
      <c r="F223" s="51"/>
      <c r="G223" s="51" t="str">
        <f>IFERROR(__xludf.DUMMYFUNCTION("""COMPUTED_VALUE"""),"#VALUE!")</f>
        <v>#VALUE!</v>
      </c>
      <c r="H223" s="51" t="str">
        <f>IFERROR(__xludf.DUMMYFUNCTION("""COMPUTED_VALUE"""),"")</f>
        <v/>
      </c>
      <c r="I223" s="51" t="str">
        <f>IFERROR(__xludf.DUMMYFUNCTION("""COMPUTED_VALUE"""),"#VALUE!")</f>
        <v>#VALUE!</v>
      </c>
      <c r="J223" s="51" t="str">
        <f>IFERROR(__xludf.DUMMYFUNCTION("""COMPUTED_VALUE"""),"")</f>
        <v/>
      </c>
      <c r="K223" s="51"/>
      <c r="L223" s="51" t="s">
        <v>257</v>
      </c>
      <c r="M223" s="51"/>
      <c r="N223" s="51"/>
      <c r="O223" s="51"/>
      <c r="P223" s="51"/>
      <c r="Q223" s="51"/>
      <c r="R223" s="51"/>
      <c r="S223" s="51"/>
      <c r="T223" s="51"/>
    </row>
    <row r="224">
      <c r="A224" s="51"/>
      <c r="B224" s="51"/>
      <c r="C224" s="56"/>
      <c r="D224" s="51"/>
      <c r="E224" s="51"/>
      <c r="F224" s="51"/>
      <c r="G224" s="51" t="str">
        <f>IFERROR(__xludf.DUMMYFUNCTION("""COMPUTED_VALUE"""),"#VALUE!")</f>
        <v>#VALUE!</v>
      </c>
      <c r="H224" s="51" t="str">
        <f>IFERROR(__xludf.DUMMYFUNCTION("""COMPUTED_VALUE"""),"")</f>
        <v/>
      </c>
      <c r="I224" s="51" t="str">
        <f>IFERROR(__xludf.DUMMYFUNCTION("""COMPUTED_VALUE"""),"#VALUE!")</f>
        <v>#VALUE!</v>
      </c>
      <c r="J224" s="51" t="str">
        <f>IFERROR(__xludf.DUMMYFUNCTION("""COMPUTED_VALUE"""),"")</f>
        <v/>
      </c>
      <c r="K224" s="51"/>
      <c r="L224" s="51" t="s">
        <v>257</v>
      </c>
      <c r="M224" s="51"/>
      <c r="N224" s="51"/>
      <c r="O224" s="51"/>
      <c r="P224" s="51"/>
      <c r="Q224" s="51"/>
      <c r="R224" s="51"/>
      <c r="S224" s="51"/>
      <c r="T224" s="51"/>
    </row>
    <row r="225">
      <c r="A225" s="51"/>
      <c r="B225" s="51"/>
      <c r="C225" s="56"/>
      <c r="D225" s="51"/>
      <c r="E225" s="51"/>
      <c r="F225" s="51"/>
      <c r="G225" s="51" t="str">
        <f>IFERROR(__xludf.DUMMYFUNCTION("""COMPUTED_VALUE"""),"#VALUE!")</f>
        <v>#VALUE!</v>
      </c>
      <c r="H225" s="51" t="str">
        <f>IFERROR(__xludf.DUMMYFUNCTION("""COMPUTED_VALUE"""),"")</f>
        <v/>
      </c>
      <c r="I225" s="51" t="str">
        <f>IFERROR(__xludf.DUMMYFUNCTION("""COMPUTED_VALUE"""),"#VALUE!")</f>
        <v>#VALUE!</v>
      </c>
      <c r="J225" s="51" t="str">
        <f>IFERROR(__xludf.DUMMYFUNCTION("""COMPUTED_VALUE"""),"")</f>
        <v/>
      </c>
      <c r="K225" s="51"/>
      <c r="L225" s="51" t="s">
        <v>257</v>
      </c>
      <c r="M225" s="51"/>
      <c r="N225" s="51"/>
      <c r="O225" s="51"/>
      <c r="P225" s="51"/>
      <c r="Q225" s="51"/>
      <c r="R225" s="51"/>
      <c r="S225" s="51"/>
      <c r="T225" s="51"/>
    </row>
    <row r="226">
      <c r="A226" s="51"/>
      <c r="B226" s="51"/>
      <c r="C226" s="56"/>
      <c r="D226" s="51"/>
      <c r="E226" s="51"/>
      <c r="F226" s="51"/>
      <c r="G226" s="51" t="str">
        <f>IFERROR(__xludf.DUMMYFUNCTION("""COMPUTED_VALUE"""),"#VALUE!")</f>
        <v>#VALUE!</v>
      </c>
      <c r="H226" s="51" t="str">
        <f>IFERROR(__xludf.DUMMYFUNCTION("""COMPUTED_VALUE"""),"")</f>
        <v/>
      </c>
      <c r="I226" s="51" t="str">
        <f>IFERROR(__xludf.DUMMYFUNCTION("""COMPUTED_VALUE"""),"#VALUE!")</f>
        <v>#VALUE!</v>
      </c>
      <c r="J226" s="51" t="str">
        <f>IFERROR(__xludf.DUMMYFUNCTION("""COMPUTED_VALUE"""),"")</f>
        <v/>
      </c>
      <c r="K226" s="51"/>
      <c r="L226" s="51" t="s">
        <v>257</v>
      </c>
      <c r="M226" s="51"/>
      <c r="N226" s="51"/>
      <c r="O226" s="51"/>
      <c r="P226" s="51"/>
      <c r="Q226" s="51"/>
      <c r="R226" s="51"/>
      <c r="S226" s="51"/>
      <c r="T226" s="51"/>
    </row>
    <row r="227">
      <c r="A227" s="51"/>
      <c r="B227" s="51"/>
      <c r="C227" s="56"/>
      <c r="D227" s="51"/>
      <c r="E227" s="51"/>
      <c r="F227" s="51"/>
      <c r="G227" s="51" t="str">
        <f>IFERROR(__xludf.DUMMYFUNCTION("""COMPUTED_VALUE"""),"#VALUE!")</f>
        <v>#VALUE!</v>
      </c>
      <c r="H227" s="51" t="str">
        <f>IFERROR(__xludf.DUMMYFUNCTION("""COMPUTED_VALUE"""),"")</f>
        <v/>
      </c>
      <c r="I227" s="51" t="str">
        <f>IFERROR(__xludf.DUMMYFUNCTION("""COMPUTED_VALUE"""),"#VALUE!")</f>
        <v>#VALUE!</v>
      </c>
      <c r="J227" s="51" t="str">
        <f>IFERROR(__xludf.DUMMYFUNCTION("""COMPUTED_VALUE"""),"")</f>
        <v/>
      </c>
      <c r="K227" s="51"/>
      <c r="L227" s="51" t="s">
        <v>257</v>
      </c>
      <c r="M227" s="51"/>
      <c r="N227" s="51"/>
      <c r="O227" s="51"/>
      <c r="P227" s="51"/>
      <c r="Q227" s="51"/>
      <c r="R227" s="51"/>
      <c r="S227" s="51"/>
      <c r="T227" s="51"/>
    </row>
    <row r="228">
      <c r="A228" s="51"/>
      <c r="B228" s="51"/>
      <c r="C228" s="56"/>
      <c r="D228" s="51"/>
      <c r="E228" s="51"/>
      <c r="F228" s="51"/>
      <c r="G228" s="51" t="str">
        <f>IFERROR(__xludf.DUMMYFUNCTION("""COMPUTED_VALUE"""),"#VALUE!")</f>
        <v>#VALUE!</v>
      </c>
      <c r="H228" s="51" t="str">
        <f>IFERROR(__xludf.DUMMYFUNCTION("""COMPUTED_VALUE"""),"")</f>
        <v/>
      </c>
      <c r="I228" s="51" t="str">
        <f>IFERROR(__xludf.DUMMYFUNCTION("""COMPUTED_VALUE"""),"#VALUE!")</f>
        <v>#VALUE!</v>
      </c>
      <c r="J228" s="51" t="str">
        <f>IFERROR(__xludf.DUMMYFUNCTION("""COMPUTED_VALUE"""),"")</f>
        <v/>
      </c>
      <c r="K228" s="51"/>
      <c r="L228" s="51" t="s">
        <v>257</v>
      </c>
      <c r="M228" s="51"/>
      <c r="N228" s="51"/>
      <c r="O228" s="51"/>
      <c r="P228" s="51"/>
      <c r="Q228" s="51"/>
      <c r="R228" s="51"/>
      <c r="S228" s="51"/>
      <c r="T228" s="51"/>
    </row>
    <row r="229">
      <c r="A229" s="51"/>
      <c r="B229" s="51"/>
      <c r="C229" s="56"/>
      <c r="D229" s="51"/>
      <c r="E229" s="51"/>
      <c r="F229" s="51"/>
      <c r="G229" s="51" t="str">
        <f>IFERROR(__xludf.DUMMYFUNCTION("""COMPUTED_VALUE"""),"#VALUE!")</f>
        <v>#VALUE!</v>
      </c>
      <c r="H229" s="51" t="str">
        <f>IFERROR(__xludf.DUMMYFUNCTION("""COMPUTED_VALUE"""),"")</f>
        <v/>
      </c>
      <c r="I229" s="51" t="str">
        <f>IFERROR(__xludf.DUMMYFUNCTION("""COMPUTED_VALUE"""),"#VALUE!")</f>
        <v>#VALUE!</v>
      </c>
      <c r="J229" s="51" t="str">
        <f>IFERROR(__xludf.DUMMYFUNCTION("""COMPUTED_VALUE"""),"")</f>
        <v/>
      </c>
      <c r="K229" s="51"/>
      <c r="L229" s="51" t="s">
        <v>257</v>
      </c>
      <c r="M229" s="51"/>
      <c r="N229" s="51"/>
      <c r="O229" s="51"/>
      <c r="P229" s="51"/>
      <c r="Q229" s="51"/>
      <c r="R229" s="51"/>
      <c r="S229" s="51"/>
      <c r="T229" s="51"/>
    </row>
    <row r="230">
      <c r="A230" s="51"/>
      <c r="B230" s="51"/>
      <c r="C230" s="56"/>
      <c r="D230" s="51"/>
      <c r="E230" s="51"/>
      <c r="F230" s="51"/>
      <c r="G230" s="51" t="str">
        <f>IFERROR(__xludf.DUMMYFUNCTION("""COMPUTED_VALUE"""),"#VALUE!")</f>
        <v>#VALUE!</v>
      </c>
      <c r="H230" s="51" t="str">
        <f>IFERROR(__xludf.DUMMYFUNCTION("""COMPUTED_VALUE"""),"")</f>
        <v/>
      </c>
      <c r="I230" s="51" t="str">
        <f>IFERROR(__xludf.DUMMYFUNCTION("""COMPUTED_VALUE"""),"#VALUE!")</f>
        <v>#VALUE!</v>
      </c>
      <c r="J230" s="51" t="str">
        <f>IFERROR(__xludf.DUMMYFUNCTION("""COMPUTED_VALUE"""),"")</f>
        <v/>
      </c>
      <c r="K230" s="51"/>
      <c r="L230" s="51" t="s">
        <v>257</v>
      </c>
      <c r="M230" s="51"/>
      <c r="N230" s="51"/>
      <c r="O230" s="51"/>
      <c r="P230" s="51"/>
      <c r="Q230" s="51"/>
      <c r="R230" s="51"/>
      <c r="S230" s="51"/>
      <c r="T230" s="51"/>
    </row>
    <row r="231">
      <c r="A231" s="51"/>
      <c r="B231" s="51"/>
      <c r="C231" s="56"/>
      <c r="D231" s="51"/>
      <c r="E231" s="51"/>
      <c r="F231" s="51"/>
      <c r="G231" s="51" t="str">
        <f>IFERROR(__xludf.DUMMYFUNCTION("""COMPUTED_VALUE"""),"#VALUE!")</f>
        <v>#VALUE!</v>
      </c>
      <c r="H231" s="51" t="str">
        <f>IFERROR(__xludf.DUMMYFUNCTION("""COMPUTED_VALUE"""),"")</f>
        <v/>
      </c>
      <c r="I231" s="51" t="str">
        <f>IFERROR(__xludf.DUMMYFUNCTION("""COMPUTED_VALUE"""),"#VALUE!")</f>
        <v>#VALUE!</v>
      </c>
      <c r="J231" s="51" t="str">
        <f>IFERROR(__xludf.DUMMYFUNCTION("""COMPUTED_VALUE"""),"")</f>
        <v/>
      </c>
      <c r="K231" s="51"/>
      <c r="L231" s="51" t="s">
        <v>257</v>
      </c>
      <c r="M231" s="51"/>
      <c r="N231" s="51"/>
      <c r="O231" s="51"/>
      <c r="P231" s="51"/>
      <c r="Q231" s="51"/>
      <c r="R231" s="51"/>
      <c r="S231" s="51"/>
      <c r="T231" s="51"/>
    </row>
    <row r="232">
      <c r="A232" s="51"/>
      <c r="B232" s="51"/>
      <c r="C232" s="56"/>
      <c r="D232" s="51"/>
      <c r="E232" s="51"/>
      <c r="F232" s="51"/>
      <c r="G232" s="51" t="str">
        <f>IFERROR(__xludf.DUMMYFUNCTION("""COMPUTED_VALUE"""),"#VALUE!")</f>
        <v>#VALUE!</v>
      </c>
      <c r="H232" s="51" t="str">
        <f>IFERROR(__xludf.DUMMYFUNCTION("""COMPUTED_VALUE"""),"")</f>
        <v/>
      </c>
      <c r="I232" s="51" t="str">
        <f>IFERROR(__xludf.DUMMYFUNCTION("""COMPUTED_VALUE"""),"#VALUE!")</f>
        <v>#VALUE!</v>
      </c>
      <c r="J232" s="51" t="str">
        <f>IFERROR(__xludf.DUMMYFUNCTION("""COMPUTED_VALUE"""),"")</f>
        <v/>
      </c>
      <c r="K232" s="51"/>
      <c r="L232" s="51" t="s">
        <v>257</v>
      </c>
      <c r="M232" s="51"/>
      <c r="N232" s="51"/>
      <c r="O232" s="51"/>
      <c r="P232" s="51"/>
      <c r="Q232" s="51"/>
      <c r="R232" s="51"/>
      <c r="S232" s="51"/>
      <c r="T232" s="51"/>
    </row>
    <row r="233">
      <c r="A233" s="51"/>
      <c r="B233" s="51"/>
      <c r="C233" s="56"/>
      <c r="D233" s="51"/>
      <c r="E233" s="51"/>
      <c r="F233" s="51"/>
      <c r="G233" s="51" t="str">
        <f>IFERROR(__xludf.DUMMYFUNCTION("""COMPUTED_VALUE"""),"#VALUE!")</f>
        <v>#VALUE!</v>
      </c>
      <c r="H233" s="51" t="str">
        <f>IFERROR(__xludf.DUMMYFUNCTION("""COMPUTED_VALUE"""),"")</f>
        <v/>
      </c>
      <c r="I233" s="51" t="str">
        <f>IFERROR(__xludf.DUMMYFUNCTION("""COMPUTED_VALUE"""),"#VALUE!")</f>
        <v>#VALUE!</v>
      </c>
      <c r="J233" s="51" t="str">
        <f>IFERROR(__xludf.DUMMYFUNCTION("""COMPUTED_VALUE"""),"")</f>
        <v/>
      </c>
      <c r="K233" s="51"/>
      <c r="L233" s="51" t="s">
        <v>257</v>
      </c>
      <c r="M233" s="51"/>
      <c r="N233" s="51"/>
      <c r="O233" s="51"/>
      <c r="P233" s="51"/>
      <c r="Q233" s="51"/>
      <c r="R233" s="51"/>
      <c r="S233" s="51"/>
      <c r="T233" s="51"/>
    </row>
    <row r="234">
      <c r="A234" s="51"/>
      <c r="B234" s="51"/>
      <c r="C234" s="56"/>
      <c r="D234" s="51"/>
      <c r="E234" s="51"/>
      <c r="F234" s="51"/>
      <c r="G234" s="51" t="str">
        <f>IFERROR(__xludf.DUMMYFUNCTION("""COMPUTED_VALUE"""),"#VALUE!")</f>
        <v>#VALUE!</v>
      </c>
      <c r="H234" s="51" t="str">
        <f>IFERROR(__xludf.DUMMYFUNCTION("""COMPUTED_VALUE"""),"")</f>
        <v/>
      </c>
      <c r="I234" s="51" t="str">
        <f>IFERROR(__xludf.DUMMYFUNCTION("""COMPUTED_VALUE"""),"#VALUE!")</f>
        <v>#VALUE!</v>
      </c>
      <c r="J234" s="51" t="str">
        <f>IFERROR(__xludf.DUMMYFUNCTION("""COMPUTED_VALUE"""),"")</f>
        <v/>
      </c>
      <c r="K234" s="51"/>
      <c r="L234" s="51" t="s">
        <v>257</v>
      </c>
      <c r="M234" s="51"/>
      <c r="N234" s="51"/>
      <c r="O234" s="51"/>
      <c r="P234" s="51"/>
      <c r="Q234" s="51"/>
      <c r="R234" s="51"/>
      <c r="S234" s="51"/>
      <c r="T234" s="51"/>
    </row>
    <row r="235">
      <c r="A235" s="51"/>
      <c r="B235" s="51"/>
      <c r="C235" s="56"/>
      <c r="D235" s="51"/>
      <c r="E235" s="51"/>
      <c r="F235" s="51"/>
      <c r="G235" s="51" t="str">
        <f>IFERROR(__xludf.DUMMYFUNCTION("""COMPUTED_VALUE"""),"#VALUE!")</f>
        <v>#VALUE!</v>
      </c>
      <c r="H235" s="51" t="str">
        <f>IFERROR(__xludf.DUMMYFUNCTION("""COMPUTED_VALUE"""),"")</f>
        <v/>
      </c>
      <c r="I235" s="51" t="str">
        <f>IFERROR(__xludf.DUMMYFUNCTION("""COMPUTED_VALUE"""),"#VALUE!")</f>
        <v>#VALUE!</v>
      </c>
      <c r="J235" s="51" t="str">
        <f>IFERROR(__xludf.DUMMYFUNCTION("""COMPUTED_VALUE"""),"")</f>
        <v/>
      </c>
      <c r="K235" s="51"/>
      <c r="L235" s="51" t="s">
        <v>257</v>
      </c>
      <c r="M235" s="51"/>
      <c r="N235" s="51"/>
      <c r="O235" s="51"/>
      <c r="P235" s="51"/>
      <c r="Q235" s="51"/>
      <c r="R235" s="51"/>
      <c r="S235" s="51"/>
      <c r="T235" s="51"/>
    </row>
    <row r="236">
      <c r="A236" s="51"/>
      <c r="B236" s="51"/>
      <c r="C236" s="56"/>
      <c r="D236" s="51"/>
      <c r="E236" s="51"/>
      <c r="F236" s="51"/>
      <c r="G236" s="51" t="str">
        <f>IFERROR(__xludf.DUMMYFUNCTION("""COMPUTED_VALUE"""),"#VALUE!")</f>
        <v>#VALUE!</v>
      </c>
      <c r="H236" s="51" t="str">
        <f>IFERROR(__xludf.DUMMYFUNCTION("""COMPUTED_VALUE"""),"")</f>
        <v/>
      </c>
      <c r="I236" s="51" t="str">
        <f>IFERROR(__xludf.DUMMYFUNCTION("""COMPUTED_VALUE"""),"#VALUE!")</f>
        <v>#VALUE!</v>
      </c>
      <c r="J236" s="51" t="str">
        <f>IFERROR(__xludf.DUMMYFUNCTION("""COMPUTED_VALUE"""),"")</f>
        <v/>
      </c>
      <c r="K236" s="51"/>
      <c r="L236" s="51" t="s">
        <v>257</v>
      </c>
      <c r="M236" s="51"/>
      <c r="N236" s="51"/>
      <c r="O236" s="51"/>
      <c r="P236" s="51"/>
      <c r="Q236" s="51"/>
      <c r="R236" s="51"/>
      <c r="S236" s="51"/>
      <c r="T236" s="51"/>
    </row>
    <row r="237">
      <c r="A237" s="51"/>
      <c r="B237" s="51"/>
      <c r="C237" s="56"/>
      <c r="D237" s="51"/>
      <c r="E237" s="51"/>
      <c r="F237" s="51"/>
      <c r="G237" s="51" t="str">
        <f>IFERROR(__xludf.DUMMYFUNCTION("""COMPUTED_VALUE"""),"#VALUE!")</f>
        <v>#VALUE!</v>
      </c>
      <c r="H237" s="51" t="str">
        <f>IFERROR(__xludf.DUMMYFUNCTION("""COMPUTED_VALUE"""),"")</f>
        <v/>
      </c>
      <c r="I237" s="51" t="str">
        <f>IFERROR(__xludf.DUMMYFUNCTION("""COMPUTED_VALUE"""),"#VALUE!")</f>
        <v>#VALUE!</v>
      </c>
      <c r="J237" s="51" t="str">
        <f>IFERROR(__xludf.DUMMYFUNCTION("""COMPUTED_VALUE"""),"")</f>
        <v/>
      </c>
      <c r="K237" s="51"/>
      <c r="L237" s="51" t="s">
        <v>257</v>
      </c>
      <c r="M237" s="51"/>
      <c r="N237" s="51"/>
      <c r="O237" s="51"/>
      <c r="P237" s="51"/>
      <c r="Q237" s="51"/>
      <c r="R237" s="51"/>
      <c r="S237" s="51"/>
      <c r="T237" s="51"/>
    </row>
    <row r="238">
      <c r="A238" s="51"/>
      <c r="B238" s="51"/>
      <c r="C238" s="56"/>
      <c r="D238" s="51"/>
      <c r="E238" s="51"/>
      <c r="F238" s="51"/>
      <c r="G238" s="51" t="str">
        <f>IFERROR(__xludf.DUMMYFUNCTION("""COMPUTED_VALUE"""),"#VALUE!")</f>
        <v>#VALUE!</v>
      </c>
      <c r="H238" s="51" t="str">
        <f>IFERROR(__xludf.DUMMYFUNCTION("""COMPUTED_VALUE"""),"")</f>
        <v/>
      </c>
      <c r="I238" s="51" t="str">
        <f>IFERROR(__xludf.DUMMYFUNCTION("""COMPUTED_VALUE"""),"#VALUE!")</f>
        <v>#VALUE!</v>
      </c>
      <c r="J238" s="51" t="str">
        <f>IFERROR(__xludf.DUMMYFUNCTION("""COMPUTED_VALUE"""),"")</f>
        <v/>
      </c>
      <c r="K238" s="51"/>
      <c r="L238" s="51" t="s">
        <v>257</v>
      </c>
      <c r="M238" s="51"/>
      <c r="N238" s="51"/>
      <c r="O238" s="51"/>
      <c r="P238" s="51"/>
      <c r="Q238" s="51"/>
      <c r="R238" s="51"/>
      <c r="S238" s="51"/>
      <c r="T238" s="51"/>
    </row>
    <row r="239">
      <c r="A239" s="51"/>
      <c r="B239" s="51"/>
      <c r="C239" s="56"/>
      <c r="D239" s="51"/>
      <c r="E239" s="51"/>
      <c r="F239" s="51"/>
      <c r="G239" s="51" t="str">
        <f>IFERROR(__xludf.DUMMYFUNCTION("""COMPUTED_VALUE"""),"#VALUE!")</f>
        <v>#VALUE!</v>
      </c>
      <c r="H239" s="51" t="str">
        <f>IFERROR(__xludf.DUMMYFUNCTION("""COMPUTED_VALUE"""),"")</f>
        <v/>
      </c>
      <c r="I239" s="51" t="str">
        <f>IFERROR(__xludf.DUMMYFUNCTION("""COMPUTED_VALUE"""),"#VALUE!")</f>
        <v>#VALUE!</v>
      </c>
      <c r="J239" s="51" t="str">
        <f>IFERROR(__xludf.DUMMYFUNCTION("""COMPUTED_VALUE"""),"")</f>
        <v/>
      </c>
      <c r="K239" s="51"/>
      <c r="L239" s="51" t="s">
        <v>257</v>
      </c>
      <c r="M239" s="51"/>
      <c r="N239" s="51"/>
      <c r="O239" s="51"/>
      <c r="P239" s="51"/>
      <c r="Q239" s="51"/>
      <c r="R239" s="51"/>
      <c r="S239" s="51"/>
      <c r="T239" s="51"/>
    </row>
    <row r="240">
      <c r="A240" s="51"/>
      <c r="B240" s="51"/>
      <c r="C240" s="56"/>
      <c r="D240" s="51"/>
      <c r="E240" s="51"/>
      <c r="F240" s="51"/>
      <c r="G240" s="51" t="str">
        <f>IFERROR(__xludf.DUMMYFUNCTION("""COMPUTED_VALUE"""),"#VALUE!")</f>
        <v>#VALUE!</v>
      </c>
      <c r="H240" s="51" t="str">
        <f>IFERROR(__xludf.DUMMYFUNCTION("""COMPUTED_VALUE"""),"")</f>
        <v/>
      </c>
      <c r="I240" s="51" t="str">
        <f>IFERROR(__xludf.DUMMYFUNCTION("""COMPUTED_VALUE"""),"#VALUE!")</f>
        <v>#VALUE!</v>
      </c>
      <c r="J240" s="51" t="str">
        <f>IFERROR(__xludf.DUMMYFUNCTION("""COMPUTED_VALUE"""),"")</f>
        <v/>
      </c>
      <c r="K240" s="51"/>
      <c r="L240" s="51" t="s">
        <v>257</v>
      </c>
      <c r="M240" s="51"/>
      <c r="N240" s="51"/>
      <c r="O240" s="51"/>
      <c r="P240" s="51"/>
      <c r="Q240" s="51"/>
      <c r="R240" s="51"/>
      <c r="S240" s="51"/>
      <c r="T240" s="51"/>
    </row>
    <row r="241">
      <c r="A241" s="51"/>
      <c r="B241" s="51"/>
      <c r="C241" s="56"/>
      <c r="D241" s="51"/>
      <c r="E241" s="51"/>
      <c r="F241" s="51"/>
      <c r="G241" s="51" t="str">
        <f>IFERROR(__xludf.DUMMYFUNCTION("""COMPUTED_VALUE"""),"#VALUE!")</f>
        <v>#VALUE!</v>
      </c>
      <c r="H241" s="51" t="str">
        <f>IFERROR(__xludf.DUMMYFUNCTION("""COMPUTED_VALUE"""),"")</f>
        <v/>
      </c>
      <c r="I241" s="51" t="str">
        <f>IFERROR(__xludf.DUMMYFUNCTION("""COMPUTED_VALUE"""),"#VALUE!")</f>
        <v>#VALUE!</v>
      </c>
      <c r="J241" s="51" t="str">
        <f>IFERROR(__xludf.DUMMYFUNCTION("""COMPUTED_VALUE"""),"")</f>
        <v/>
      </c>
      <c r="K241" s="51"/>
      <c r="L241" s="51" t="s">
        <v>257</v>
      </c>
      <c r="M241" s="51"/>
      <c r="N241" s="51"/>
      <c r="O241" s="51"/>
      <c r="P241" s="51"/>
      <c r="Q241" s="51"/>
      <c r="R241" s="51"/>
      <c r="S241" s="51"/>
      <c r="T241" s="51"/>
    </row>
    <row r="242">
      <c r="A242" s="51"/>
      <c r="B242" s="51"/>
      <c r="C242" s="56"/>
      <c r="D242" s="51"/>
      <c r="E242" s="51"/>
      <c r="F242" s="51"/>
      <c r="G242" s="51" t="str">
        <f>IFERROR(__xludf.DUMMYFUNCTION("""COMPUTED_VALUE"""),"#VALUE!")</f>
        <v>#VALUE!</v>
      </c>
      <c r="H242" s="51" t="str">
        <f>IFERROR(__xludf.DUMMYFUNCTION("""COMPUTED_VALUE"""),"")</f>
        <v/>
      </c>
      <c r="I242" s="51" t="str">
        <f>IFERROR(__xludf.DUMMYFUNCTION("""COMPUTED_VALUE"""),"#VALUE!")</f>
        <v>#VALUE!</v>
      </c>
      <c r="J242" s="51" t="str">
        <f>IFERROR(__xludf.DUMMYFUNCTION("""COMPUTED_VALUE"""),"")</f>
        <v/>
      </c>
      <c r="K242" s="51"/>
      <c r="L242" s="51" t="s">
        <v>257</v>
      </c>
      <c r="M242" s="51"/>
      <c r="N242" s="51"/>
      <c r="O242" s="51"/>
      <c r="P242" s="51"/>
      <c r="Q242" s="51"/>
      <c r="R242" s="51"/>
      <c r="S242" s="51"/>
      <c r="T242" s="51"/>
    </row>
    <row r="243">
      <c r="A243" s="51"/>
      <c r="B243" s="51"/>
      <c r="C243" s="56"/>
      <c r="D243" s="51"/>
      <c r="E243" s="51"/>
      <c r="F243" s="51"/>
      <c r="G243" s="51" t="str">
        <f>IFERROR(__xludf.DUMMYFUNCTION("""COMPUTED_VALUE"""),"#VALUE!")</f>
        <v>#VALUE!</v>
      </c>
      <c r="H243" s="51" t="str">
        <f>IFERROR(__xludf.DUMMYFUNCTION("""COMPUTED_VALUE"""),"")</f>
        <v/>
      </c>
      <c r="I243" s="51" t="str">
        <f>IFERROR(__xludf.DUMMYFUNCTION("""COMPUTED_VALUE"""),"#VALUE!")</f>
        <v>#VALUE!</v>
      </c>
      <c r="J243" s="51" t="str">
        <f>IFERROR(__xludf.DUMMYFUNCTION("""COMPUTED_VALUE"""),"")</f>
        <v/>
      </c>
      <c r="K243" s="51"/>
      <c r="L243" s="51" t="s">
        <v>257</v>
      </c>
      <c r="M243" s="51"/>
      <c r="N243" s="51"/>
      <c r="O243" s="51"/>
      <c r="P243" s="51"/>
      <c r="Q243" s="51"/>
      <c r="R243" s="51"/>
      <c r="S243" s="51"/>
      <c r="T243" s="51"/>
    </row>
    <row r="244">
      <c r="A244" s="51"/>
      <c r="B244" s="51"/>
      <c r="C244" s="56"/>
      <c r="D244" s="51"/>
      <c r="E244" s="51"/>
      <c r="F244" s="51"/>
      <c r="G244" s="51" t="str">
        <f>IFERROR(__xludf.DUMMYFUNCTION("""COMPUTED_VALUE"""),"#VALUE!")</f>
        <v>#VALUE!</v>
      </c>
      <c r="H244" s="51" t="str">
        <f>IFERROR(__xludf.DUMMYFUNCTION("""COMPUTED_VALUE"""),"")</f>
        <v/>
      </c>
      <c r="I244" s="51" t="str">
        <f>IFERROR(__xludf.DUMMYFUNCTION("""COMPUTED_VALUE"""),"#VALUE!")</f>
        <v>#VALUE!</v>
      </c>
      <c r="J244" s="51" t="str">
        <f>IFERROR(__xludf.DUMMYFUNCTION("""COMPUTED_VALUE"""),"")</f>
        <v/>
      </c>
      <c r="K244" s="51"/>
      <c r="L244" s="51" t="s">
        <v>257</v>
      </c>
      <c r="M244" s="51"/>
      <c r="N244" s="51"/>
      <c r="O244" s="51"/>
      <c r="P244" s="51"/>
      <c r="Q244" s="51"/>
      <c r="R244" s="51"/>
      <c r="S244" s="51"/>
      <c r="T244" s="51"/>
    </row>
    <row r="245">
      <c r="A245" s="51"/>
      <c r="B245" s="51"/>
      <c r="C245" s="56"/>
      <c r="D245" s="51"/>
      <c r="E245" s="51"/>
      <c r="F245" s="51"/>
      <c r="G245" s="51" t="str">
        <f>IFERROR(__xludf.DUMMYFUNCTION("""COMPUTED_VALUE"""),"#VALUE!")</f>
        <v>#VALUE!</v>
      </c>
      <c r="H245" s="51" t="str">
        <f>IFERROR(__xludf.DUMMYFUNCTION("""COMPUTED_VALUE"""),"")</f>
        <v/>
      </c>
      <c r="I245" s="51" t="str">
        <f>IFERROR(__xludf.DUMMYFUNCTION("""COMPUTED_VALUE"""),"#VALUE!")</f>
        <v>#VALUE!</v>
      </c>
      <c r="J245" s="51" t="str">
        <f>IFERROR(__xludf.DUMMYFUNCTION("""COMPUTED_VALUE"""),"")</f>
        <v/>
      </c>
      <c r="K245" s="51"/>
      <c r="L245" s="51" t="s">
        <v>257</v>
      </c>
      <c r="M245" s="51"/>
      <c r="N245" s="51"/>
      <c r="O245" s="51"/>
      <c r="P245" s="51"/>
      <c r="Q245" s="51"/>
      <c r="R245" s="51"/>
      <c r="S245" s="51"/>
      <c r="T245" s="51"/>
    </row>
    <row r="246">
      <c r="A246" s="51"/>
      <c r="B246" s="51"/>
      <c r="C246" s="56"/>
      <c r="D246" s="51"/>
      <c r="E246" s="51"/>
      <c r="F246" s="51"/>
      <c r="G246" s="51" t="str">
        <f>IFERROR(__xludf.DUMMYFUNCTION("""COMPUTED_VALUE"""),"#VALUE!")</f>
        <v>#VALUE!</v>
      </c>
      <c r="H246" s="51" t="str">
        <f>IFERROR(__xludf.DUMMYFUNCTION("""COMPUTED_VALUE"""),"")</f>
        <v/>
      </c>
      <c r="I246" s="51" t="str">
        <f>IFERROR(__xludf.DUMMYFUNCTION("""COMPUTED_VALUE"""),"#VALUE!")</f>
        <v>#VALUE!</v>
      </c>
      <c r="J246" s="51" t="str">
        <f>IFERROR(__xludf.DUMMYFUNCTION("""COMPUTED_VALUE"""),"")</f>
        <v/>
      </c>
      <c r="K246" s="51"/>
      <c r="L246" s="51" t="s">
        <v>257</v>
      </c>
      <c r="M246" s="51"/>
      <c r="N246" s="51"/>
      <c r="O246" s="51"/>
      <c r="P246" s="51"/>
      <c r="Q246" s="51"/>
      <c r="R246" s="51"/>
      <c r="S246" s="51"/>
      <c r="T246" s="51"/>
    </row>
    <row r="247">
      <c r="A247" s="51"/>
      <c r="B247" s="51"/>
      <c r="C247" s="56"/>
      <c r="D247" s="51"/>
      <c r="E247" s="51"/>
      <c r="F247" s="51"/>
      <c r="G247" s="51" t="str">
        <f>IFERROR(__xludf.DUMMYFUNCTION("""COMPUTED_VALUE"""),"#VALUE!")</f>
        <v>#VALUE!</v>
      </c>
      <c r="H247" s="51" t="str">
        <f>IFERROR(__xludf.DUMMYFUNCTION("""COMPUTED_VALUE"""),"")</f>
        <v/>
      </c>
      <c r="I247" s="51" t="str">
        <f>IFERROR(__xludf.DUMMYFUNCTION("""COMPUTED_VALUE"""),"#VALUE!")</f>
        <v>#VALUE!</v>
      </c>
      <c r="J247" s="51" t="str">
        <f>IFERROR(__xludf.DUMMYFUNCTION("""COMPUTED_VALUE"""),"")</f>
        <v/>
      </c>
      <c r="K247" s="51"/>
      <c r="L247" s="51" t="s">
        <v>257</v>
      </c>
      <c r="M247" s="51"/>
      <c r="N247" s="51"/>
      <c r="O247" s="51"/>
      <c r="P247" s="51"/>
      <c r="Q247" s="51"/>
      <c r="R247" s="51"/>
      <c r="S247" s="51"/>
      <c r="T247" s="51"/>
    </row>
    <row r="248">
      <c r="A248" s="51"/>
      <c r="B248" s="51"/>
      <c r="C248" s="56"/>
      <c r="D248" s="51"/>
      <c r="E248" s="51"/>
      <c r="F248" s="51"/>
      <c r="G248" s="51" t="str">
        <f>IFERROR(__xludf.DUMMYFUNCTION("""COMPUTED_VALUE"""),"#VALUE!")</f>
        <v>#VALUE!</v>
      </c>
      <c r="H248" s="51" t="str">
        <f>IFERROR(__xludf.DUMMYFUNCTION("""COMPUTED_VALUE"""),"")</f>
        <v/>
      </c>
      <c r="I248" s="51" t="str">
        <f>IFERROR(__xludf.DUMMYFUNCTION("""COMPUTED_VALUE"""),"#VALUE!")</f>
        <v>#VALUE!</v>
      </c>
      <c r="J248" s="51" t="str">
        <f>IFERROR(__xludf.DUMMYFUNCTION("""COMPUTED_VALUE"""),"")</f>
        <v/>
      </c>
      <c r="K248" s="51"/>
      <c r="L248" s="51" t="s">
        <v>257</v>
      </c>
      <c r="M248" s="51"/>
      <c r="N248" s="51"/>
      <c r="O248" s="51"/>
      <c r="P248" s="51"/>
      <c r="Q248" s="51"/>
      <c r="R248" s="51"/>
      <c r="S248" s="51"/>
      <c r="T248" s="51"/>
    </row>
    <row r="249">
      <c r="A249" s="51"/>
      <c r="B249" s="51"/>
      <c r="C249" s="56"/>
      <c r="D249" s="51"/>
      <c r="E249" s="51"/>
      <c r="F249" s="51"/>
      <c r="G249" s="51" t="str">
        <f>IFERROR(__xludf.DUMMYFUNCTION("""COMPUTED_VALUE"""),"#VALUE!")</f>
        <v>#VALUE!</v>
      </c>
      <c r="H249" s="51" t="str">
        <f>IFERROR(__xludf.DUMMYFUNCTION("""COMPUTED_VALUE"""),"")</f>
        <v/>
      </c>
      <c r="I249" s="51" t="str">
        <f>IFERROR(__xludf.DUMMYFUNCTION("""COMPUTED_VALUE"""),"#VALUE!")</f>
        <v>#VALUE!</v>
      </c>
      <c r="J249" s="51" t="str">
        <f>IFERROR(__xludf.DUMMYFUNCTION("""COMPUTED_VALUE"""),"")</f>
        <v/>
      </c>
      <c r="K249" s="51"/>
      <c r="L249" s="51" t="s">
        <v>257</v>
      </c>
      <c r="M249" s="51"/>
      <c r="N249" s="51"/>
      <c r="O249" s="51"/>
      <c r="P249" s="51"/>
      <c r="Q249" s="51"/>
      <c r="R249" s="51"/>
      <c r="S249" s="51"/>
      <c r="T249" s="51"/>
    </row>
    <row r="250">
      <c r="A250" s="51"/>
      <c r="B250" s="51"/>
      <c r="C250" s="56"/>
      <c r="D250" s="51"/>
      <c r="E250" s="51"/>
      <c r="F250" s="51"/>
      <c r="G250" s="51" t="str">
        <f>IFERROR(__xludf.DUMMYFUNCTION("""COMPUTED_VALUE"""),"#VALUE!")</f>
        <v>#VALUE!</v>
      </c>
      <c r="H250" s="51" t="str">
        <f>IFERROR(__xludf.DUMMYFUNCTION("""COMPUTED_VALUE"""),"")</f>
        <v/>
      </c>
      <c r="I250" s="51" t="str">
        <f>IFERROR(__xludf.DUMMYFUNCTION("""COMPUTED_VALUE"""),"#VALUE!")</f>
        <v>#VALUE!</v>
      </c>
      <c r="J250" s="51" t="str">
        <f>IFERROR(__xludf.DUMMYFUNCTION("""COMPUTED_VALUE"""),"")</f>
        <v/>
      </c>
      <c r="K250" s="51"/>
      <c r="L250" s="51" t="s">
        <v>257</v>
      </c>
      <c r="M250" s="51"/>
      <c r="N250" s="51"/>
      <c r="O250" s="51"/>
      <c r="P250" s="51"/>
      <c r="Q250" s="51"/>
      <c r="R250" s="51"/>
      <c r="S250" s="51"/>
      <c r="T250" s="51"/>
    </row>
    <row r="251">
      <c r="A251" s="51"/>
      <c r="B251" s="51"/>
      <c r="C251" s="56"/>
      <c r="D251" s="51"/>
      <c r="E251" s="51"/>
      <c r="F251" s="51"/>
      <c r="G251" s="51" t="str">
        <f>IFERROR(__xludf.DUMMYFUNCTION("""COMPUTED_VALUE"""),"#VALUE!")</f>
        <v>#VALUE!</v>
      </c>
      <c r="H251" s="51" t="str">
        <f>IFERROR(__xludf.DUMMYFUNCTION("""COMPUTED_VALUE"""),"")</f>
        <v/>
      </c>
      <c r="I251" s="51" t="str">
        <f>IFERROR(__xludf.DUMMYFUNCTION("""COMPUTED_VALUE"""),"#VALUE!")</f>
        <v>#VALUE!</v>
      </c>
      <c r="J251" s="51" t="str">
        <f>IFERROR(__xludf.DUMMYFUNCTION("""COMPUTED_VALUE"""),"")</f>
        <v/>
      </c>
      <c r="K251" s="51"/>
      <c r="L251" s="51" t="s">
        <v>257</v>
      </c>
      <c r="M251" s="51"/>
      <c r="N251" s="51"/>
      <c r="O251" s="51"/>
      <c r="P251" s="51"/>
      <c r="Q251" s="51"/>
      <c r="R251" s="51"/>
      <c r="S251" s="51"/>
      <c r="T251" s="51"/>
    </row>
    <row r="252">
      <c r="A252" s="51"/>
      <c r="B252" s="51"/>
      <c r="C252" s="56"/>
      <c r="D252" s="51"/>
      <c r="E252" s="51"/>
      <c r="F252" s="51"/>
      <c r="G252" s="51" t="str">
        <f>IFERROR(__xludf.DUMMYFUNCTION("""COMPUTED_VALUE"""),"#VALUE!")</f>
        <v>#VALUE!</v>
      </c>
      <c r="H252" s="51" t="str">
        <f>IFERROR(__xludf.DUMMYFUNCTION("""COMPUTED_VALUE"""),"")</f>
        <v/>
      </c>
      <c r="I252" s="51" t="str">
        <f>IFERROR(__xludf.DUMMYFUNCTION("""COMPUTED_VALUE"""),"#VALUE!")</f>
        <v>#VALUE!</v>
      </c>
      <c r="J252" s="51" t="str">
        <f>IFERROR(__xludf.DUMMYFUNCTION("""COMPUTED_VALUE"""),"")</f>
        <v/>
      </c>
      <c r="K252" s="51"/>
      <c r="L252" s="51" t="s">
        <v>257</v>
      </c>
      <c r="M252" s="51"/>
      <c r="N252" s="51"/>
      <c r="O252" s="51"/>
      <c r="P252" s="51"/>
      <c r="Q252" s="51"/>
      <c r="R252" s="51"/>
      <c r="S252" s="51"/>
      <c r="T252" s="51"/>
    </row>
    <row r="253">
      <c r="A253" s="51"/>
      <c r="B253" s="51"/>
      <c r="C253" s="56"/>
      <c r="D253" s="51"/>
      <c r="E253" s="51"/>
      <c r="F253" s="51"/>
      <c r="G253" s="51" t="str">
        <f>IFERROR(__xludf.DUMMYFUNCTION("""COMPUTED_VALUE"""),"#VALUE!")</f>
        <v>#VALUE!</v>
      </c>
      <c r="H253" s="51" t="str">
        <f>IFERROR(__xludf.DUMMYFUNCTION("""COMPUTED_VALUE"""),"")</f>
        <v/>
      </c>
      <c r="I253" s="51" t="str">
        <f>IFERROR(__xludf.DUMMYFUNCTION("""COMPUTED_VALUE"""),"#VALUE!")</f>
        <v>#VALUE!</v>
      </c>
      <c r="J253" s="51" t="str">
        <f>IFERROR(__xludf.DUMMYFUNCTION("""COMPUTED_VALUE"""),"")</f>
        <v/>
      </c>
      <c r="K253" s="51"/>
      <c r="L253" s="51" t="s">
        <v>257</v>
      </c>
      <c r="M253" s="51"/>
      <c r="N253" s="51"/>
      <c r="O253" s="51"/>
      <c r="P253" s="51"/>
      <c r="Q253" s="51"/>
      <c r="R253" s="51"/>
      <c r="S253" s="51"/>
      <c r="T253" s="51"/>
    </row>
    <row r="254">
      <c r="A254" s="51"/>
      <c r="B254" s="51"/>
      <c r="C254" s="56"/>
      <c r="D254" s="51"/>
      <c r="E254" s="51"/>
      <c r="F254" s="51"/>
      <c r="G254" s="51" t="str">
        <f>IFERROR(__xludf.DUMMYFUNCTION("""COMPUTED_VALUE"""),"#VALUE!")</f>
        <v>#VALUE!</v>
      </c>
      <c r="H254" s="51" t="str">
        <f>IFERROR(__xludf.DUMMYFUNCTION("""COMPUTED_VALUE"""),"")</f>
        <v/>
      </c>
      <c r="I254" s="51" t="str">
        <f>IFERROR(__xludf.DUMMYFUNCTION("""COMPUTED_VALUE"""),"#VALUE!")</f>
        <v>#VALUE!</v>
      </c>
      <c r="J254" s="51" t="str">
        <f>IFERROR(__xludf.DUMMYFUNCTION("""COMPUTED_VALUE"""),"")</f>
        <v/>
      </c>
      <c r="K254" s="51"/>
      <c r="L254" s="51" t="s">
        <v>257</v>
      </c>
      <c r="M254" s="51"/>
      <c r="N254" s="51"/>
      <c r="O254" s="51"/>
      <c r="P254" s="51"/>
      <c r="Q254" s="51"/>
      <c r="R254" s="51"/>
      <c r="S254" s="51"/>
      <c r="T254" s="51"/>
    </row>
    <row r="255">
      <c r="A255" s="51"/>
      <c r="B255" s="51"/>
      <c r="C255" s="56"/>
      <c r="D255" s="51"/>
      <c r="E255" s="51"/>
      <c r="F255" s="51"/>
      <c r="G255" s="51" t="str">
        <f>IFERROR(__xludf.DUMMYFUNCTION("""COMPUTED_VALUE"""),"#VALUE!")</f>
        <v>#VALUE!</v>
      </c>
      <c r="H255" s="51" t="str">
        <f>IFERROR(__xludf.DUMMYFUNCTION("""COMPUTED_VALUE"""),"")</f>
        <v/>
      </c>
      <c r="I255" s="51" t="str">
        <f>IFERROR(__xludf.DUMMYFUNCTION("""COMPUTED_VALUE"""),"#VALUE!")</f>
        <v>#VALUE!</v>
      </c>
      <c r="J255" s="51" t="str">
        <f>IFERROR(__xludf.DUMMYFUNCTION("""COMPUTED_VALUE"""),"")</f>
        <v/>
      </c>
      <c r="K255" s="51"/>
      <c r="L255" s="51" t="s">
        <v>257</v>
      </c>
      <c r="M255" s="51"/>
      <c r="N255" s="51"/>
      <c r="O255" s="51"/>
      <c r="P255" s="51"/>
      <c r="Q255" s="51"/>
      <c r="R255" s="51"/>
      <c r="S255" s="51"/>
      <c r="T255" s="51"/>
    </row>
    <row r="256">
      <c r="A256" s="51"/>
      <c r="B256" s="51"/>
      <c r="C256" s="56"/>
      <c r="D256" s="51"/>
      <c r="E256" s="51"/>
      <c r="F256" s="51"/>
      <c r="G256" s="51" t="str">
        <f>IFERROR(__xludf.DUMMYFUNCTION("""COMPUTED_VALUE"""),"#VALUE!")</f>
        <v>#VALUE!</v>
      </c>
      <c r="H256" s="51" t="str">
        <f>IFERROR(__xludf.DUMMYFUNCTION("""COMPUTED_VALUE"""),"")</f>
        <v/>
      </c>
      <c r="I256" s="51" t="str">
        <f>IFERROR(__xludf.DUMMYFUNCTION("""COMPUTED_VALUE"""),"#VALUE!")</f>
        <v>#VALUE!</v>
      </c>
      <c r="J256" s="51" t="str">
        <f>IFERROR(__xludf.DUMMYFUNCTION("""COMPUTED_VALUE"""),"")</f>
        <v/>
      </c>
      <c r="K256" s="51"/>
      <c r="L256" s="51" t="s">
        <v>257</v>
      </c>
      <c r="M256" s="51"/>
      <c r="N256" s="51"/>
      <c r="O256" s="51"/>
      <c r="P256" s="51"/>
      <c r="Q256" s="51"/>
      <c r="R256" s="51"/>
      <c r="S256" s="51"/>
      <c r="T256" s="51"/>
    </row>
    <row r="257">
      <c r="A257" s="51"/>
      <c r="B257" s="51"/>
      <c r="C257" s="56"/>
      <c r="D257" s="51"/>
      <c r="E257" s="51"/>
      <c r="F257" s="51"/>
      <c r="G257" s="51" t="str">
        <f>IFERROR(__xludf.DUMMYFUNCTION("""COMPUTED_VALUE"""),"#VALUE!")</f>
        <v>#VALUE!</v>
      </c>
      <c r="H257" s="51" t="str">
        <f>IFERROR(__xludf.DUMMYFUNCTION("""COMPUTED_VALUE"""),"")</f>
        <v/>
      </c>
      <c r="I257" s="51" t="str">
        <f>IFERROR(__xludf.DUMMYFUNCTION("""COMPUTED_VALUE"""),"#VALUE!")</f>
        <v>#VALUE!</v>
      </c>
      <c r="J257" s="51" t="str">
        <f>IFERROR(__xludf.DUMMYFUNCTION("""COMPUTED_VALUE"""),"")</f>
        <v/>
      </c>
      <c r="K257" s="51"/>
      <c r="L257" s="51" t="s">
        <v>257</v>
      </c>
      <c r="M257" s="51"/>
      <c r="N257" s="51"/>
      <c r="O257" s="51"/>
      <c r="P257" s="51"/>
      <c r="Q257" s="51"/>
      <c r="R257" s="51"/>
      <c r="S257" s="51"/>
      <c r="T257" s="51"/>
    </row>
    <row r="258">
      <c r="A258" s="51"/>
      <c r="B258" s="51"/>
      <c r="C258" s="56"/>
      <c r="D258" s="51"/>
      <c r="E258" s="51"/>
      <c r="F258" s="51"/>
      <c r="G258" s="51" t="str">
        <f>IFERROR(__xludf.DUMMYFUNCTION("""COMPUTED_VALUE"""),"#VALUE!")</f>
        <v>#VALUE!</v>
      </c>
      <c r="H258" s="51" t="str">
        <f>IFERROR(__xludf.DUMMYFUNCTION("""COMPUTED_VALUE"""),"")</f>
        <v/>
      </c>
      <c r="I258" s="51" t="str">
        <f>IFERROR(__xludf.DUMMYFUNCTION("""COMPUTED_VALUE"""),"#VALUE!")</f>
        <v>#VALUE!</v>
      </c>
      <c r="J258" s="51" t="str">
        <f>IFERROR(__xludf.DUMMYFUNCTION("""COMPUTED_VALUE"""),"")</f>
        <v/>
      </c>
      <c r="K258" s="51"/>
      <c r="L258" s="51" t="s">
        <v>257</v>
      </c>
      <c r="M258" s="51"/>
      <c r="N258" s="51"/>
      <c r="O258" s="51"/>
      <c r="P258" s="51"/>
      <c r="Q258" s="51"/>
      <c r="R258" s="51"/>
      <c r="S258" s="51"/>
      <c r="T258" s="51"/>
    </row>
    <row r="259">
      <c r="A259" s="51"/>
      <c r="B259" s="51"/>
      <c r="C259" s="56"/>
      <c r="D259" s="51"/>
      <c r="E259" s="51"/>
      <c r="F259" s="51"/>
      <c r="G259" s="51" t="str">
        <f>IFERROR(__xludf.DUMMYFUNCTION("""COMPUTED_VALUE"""),"#VALUE!")</f>
        <v>#VALUE!</v>
      </c>
      <c r="H259" s="51" t="str">
        <f>IFERROR(__xludf.DUMMYFUNCTION("""COMPUTED_VALUE"""),"")</f>
        <v/>
      </c>
      <c r="I259" s="51" t="str">
        <f>IFERROR(__xludf.DUMMYFUNCTION("""COMPUTED_VALUE"""),"#VALUE!")</f>
        <v>#VALUE!</v>
      </c>
      <c r="J259" s="51" t="str">
        <f>IFERROR(__xludf.DUMMYFUNCTION("""COMPUTED_VALUE"""),"")</f>
        <v/>
      </c>
      <c r="K259" s="51"/>
      <c r="L259" s="51" t="s">
        <v>257</v>
      </c>
      <c r="M259" s="51"/>
      <c r="N259" s="51"/>
      <c r="O259" s="51"/>
      <c r="P259" s="51"/>
      <c r="Q259" s="51"/>
      <c r="R259" s="51"/>
      <c r="S259" s="51"/>
      <c r="T259" s="51"/>
    </row>
    <row r="260">
      <c r="A260" s="51"/>
      <c r="B260" s="51"/>
      <c r="C260" s="56"/>
      <c r="D260" s="51"/>
      <c r="E260" s="51"/>
      <c r="F260" s="51"/>
      <c r="G260" s="51" t="str">
        <f>IFERROR(__xludf.DUMMYFUNCTION("""COMPUTED_VALUE"""),"#VALUE!")</f>
        <v>#VALUE!</v>
      </c>
      <c r="H260" s="51" t="str">
        <f>IFERROR(__xludf.DUMMYFUNCTION("""COMPUTED_VALUE"""),"")</f>
        <v/>
      </c>
      <c r="I260" s="51" t="str">
        <f>IFERROR(__xludf.DUMMYFUNCTION("""COMPUTED_VALUE"""),"#VALUE!")</f>
        <v>#VALUE!</v>
      </c>
      <c r="J260" s="51" t="str">
        <f>IFERROR(__xludf.DUMMYFUNCTION("""COMPUTED_VALUE"""),"")</f>
        <v/>
      </c>
      <c r="K260" s="51"/>
      <c r="L260" s="51" t="s">
        <v>257</v>
      </c>
      <c r="M260" s="51"/>
      <c r="N260" s="51"/>
      <c r="O260" s="51"/>
      <c r="P260" s="51"/>
      <c r="Q260" s="51"/>
      <c r="R260" s="51"/>
      <c r="S260" s="51"/>
      <c r="T260" s="51"/>
    </row>
    <row r="261">
      <c r="A261" s="51"/>
      <c r="B261" s="51"/>
      <c r="C261" s="56"/>
      <c r="D261" s="51"/>
      <c r="E261" s="51"/>
      <c r="F261" s="51"/>
      <c r="G261" s="51" t="str">
        <f>IFERROR(__xludf.DUMMYFUNCTION("""COMPUTED_VALUE"""),"#VALUE!")</f>
        <v>#VALUE!</v>
      </c>
      <c r="H261" s="51" t="str">
        <f>IFERROR(__xludf.DUMMYFUNCTION("""COMPUTED_VALUE"""),"")</f>
        <v/>
      </c>
      <c r="I261" s="51" t="str">
        <f>IFERROR(__xludf.DUMMYFUNCTION("""COMPUTED_VALUE"""),"#VALUE!")</f>
        <v>#VALUE!</v>
      </c>
      <c r="J261" s="51" t="str">
        <f>IFERROR(__xludf.DUMMYFUNCTION("""COMPUTED_VALUE"""),"")</f>
        <v/>
      </c>
      <c r="K261" s="51"/>
      <c r="L261" s="51" t="s">
        <v>257</v>
      </c>
      <c r="M261" s="51"/>
      <c r="N261" s="51"/>
      <c r="O261" s="51"/>
      <c r="P261" s="51"/>
      <c r="Q261" s="51"/>
      <c r="R261" s="51"/>
      <c r="S261" s="51"/>
      <c r="T261" s="51"/>
    </row>
    <row r="262">
      <c r="A262" s="51"/>
      <c r="B262" s="51"/>
      <c r="C262" s="56"/>
      <c r="D262" s="51"/>
      <c r="E262" s="51"/>
      <c r="F262" s="51"/>
      <c r="G262" s="51" t="str">
        <f>IFERROR(__xludf.DUMMYFUNCTION("""COMPUTED_VALUE"""),"#VALUE!")</f>
        <v>#VALUE!</v>
      </c>
      <c r="H262" s="51" t="str">
        <f>IFERROR(__xludf.DUMMYFUNCTION("""COMPUTED_VALUE"""),"")</f>
        <v/>
      </c>
      <c r="I262" s="51" t="str">
        <f>IFERROR(__xludf.DUMMYFUNCTION("""COMPUTED_VALUE"""),"#VALUE!")</f>
        <v>#VALUE!</v>
      </c>
      <c r="J262" s="51" t="str">
        <f>IFERROR(__xludf.DUMMYFUNCTION("""COMPUTED_VALUE"""),"")</f>
        <v/>
      </c>
      <c r="K262" s="51"/>
      <c r="L262" s="51" t="s">
        <v>257</v>
      </c>
      <c r="M262" s="51"/>
      <c r="N262" s="51"/>
      <c r="O262" s="51"/>
      <c r="P262" s="51"/>
      <c r="Q262" s="51"/>
      <c r="R262" s="51"/>
      <c r="S262" s="51"/>
      <c r="T262" s="51"/>
    </row>
    <row r="263">
      <c r="A263" s="51"/>
      <c r="B263" s="51"/>
      <c r="C263" s="56"/>
      <c r="D263" s="51"/>
      <c r="E263" s="51"/>
      <c r="F263" s="51"/>
      <c r="G263" s="51" t="str">
        <f>IFERROR(__xludf.DUMMYFUNCTION("""COMPUTED_VALUE"""),"#VALUE!")</f>
        <v>#VALUE!</v>
      </c>
      <c r="H263" s="51" t="str">
        <f>IFERROR(__xludf.DUMMYFUNCTION("""COMPUTED_VALUE"""),"")</f>
        <v/>
      </c>
      <c r="I263" s="51" t="str">
        <f>IFERROR(__xludf.DUMMYFUNCTION("""COMPUTED_VALUE"""),"#VALUE!")</f>
        <v>#VALUE!</v>
      </c>
      <c r="J263" s="51" t="str">
        <f>IFERROR(__xludf.DUMMYFUNCTION("""COMPUTED_VALUE"""),"")</f>
        <v/>
      </c>
      <c r="K263" s="51"/>
      <c r="L263" s="51" t="s">
        <v>257</v>
      </c>
      <c r="M263" s="51"/>
      <c r="N263" s="51"/>
      <c r="O263" s="51"/>
      <c r="P263" s="51"/>
      <c r="Q263" s="51"/>
      <c r="R263" s="51"/>
      <c r="S263" s="51"/>
      <c r="T263" s="51"/>
    </row>
    <row r="264">
      <c r="A264" s="51"/>
      <c r="B264" s="51"/>
      <c r="C264" s="56"/>
      <c r="D264" s="51"/>
      <c r="E264" s="51"/>
      <c r="F264" s="51"/>
      <c r="G264" s="51" t="str">
        <f>IFERROR(__xludf.DUMMYFUNCTION("""COMPUTED_VALUE"""),"#VALUE!")</f>
        <v>#VALUE!</v>
      </c>
      <c r="H264" s="51" t="str">
        <f>IFERROR(__xludf.DUMMYFUNCTION("""COMPUTED_VALUE"""),"")</f>
        <v/>
      </c>
      <c r="I264" s="51" t="str">
        <f>IFERROR(__xludf.DUMMYFUNCTION("""COMPUTED_VALUE"""),"#VALUE!")</f>
        <v>#VALUE!</v>
      </c>
      <c r="J264" s="51" t="str">
        <f>IFERROR(__xludf.DUMMYFUNCTION("""COMPUTED_VALUE"""),"")</f>
        <v/>
      </c>
      <c r="K264" s="51"/>
      <c r="L264" s="51" t="s">
        <v>257</v>
      </c>
      <c r="M264" s="51"/>
      <c r="N264" s="51"/>
      <c r="O264" s="51"/>
      <c r="P264" s="51"/>
      <c r="Q264" s="51"/>
      <c r="R264" s="51"/>
      <c r="S264" s="51"/>
      <c r="T264" s="51"/>
    </row>
    <row r="265">
      <c r="A265" s="51"/>
      <c r="B265" s="51"/>
      <c r="C265" s="56"/>
      <c r="D265" s="51"/>
      <c r="E265" s="51"/>
      <c r="F265" s="51"/>
      <c r="G265" s="51" t="str">
        <f>IFERROR(__xludf.DUMMYFUNCTION("""COMPUTED_VALUE"""),"#VALUE!")</f>
        <v>#VALUE!</v>
      </c>
      <c r="H265" s="51" t="str">
        <f>IFERROR(__xludf.DUMMYFUNCTION("""COMPUTED_VALUE"""),"")</f>
        <v/>
      </c>
      <c r="I265" s="51" t="str">
        <f>IFERROR(__xludf.DUMMYFUNCTION("""COMPUTED_VALUE"""),"#VALUE!")</f>
        <v>#VALUE!</v>
      </c>
      <c r="J265" s="51" t="str">
        <f>IFERROR(__xludf.DUMMYFUNCTION("""COMPUTED_VALUE"""),"")</f>
        <v/>
      </c>
      <c r="K265" s="51"/>
      <c r="L265" s="51" t="s">
        <v>257</v>
      </c>
      <c r="M265" s="51"/>
      <c r="N265" s="51"/>
      <c r="O265" s="51"/>
      <c r="P265" s="51"/>
      <c r="Q265" s="51"/>
      <c r="R265" s="51"/>
      <c r="S265" s="51"/>
      <c r="T265" s="51"/>
    </row>
    <row r="266">
      <c r="A266" s="51"/>
      <c r="B266" s="51"/>
      <c r="C266" s="56"/>
      <c r="D266" s="51"/>
      <c r="E266" s="51"/>
      <c r="F266" s="51"/>
      <c r="G266" s="51" t="str">
        <f>IFERROR(__xludf.DUMMYFUNCTION("""COMPUTED_VALUE"""),"#VALUE!")</f>
        <v>#VALUE!</v>
      </c>
      <c r="H266" s="51" t="str">
        <f>IFERROR(__xludf.DUMMYFUNCTION("""COMPUTED_VALUE"""),"")</f>
        <v/>
      </c>
      <c r="I266" s="51" t="str">
        <f>IFERROR(__xludf.DUMMYFUNCTION("""COMPUTED_VALUE"""),"#VALUE!")</f>
        <v>#VALUE!</v>
      </c>
      <c r="J266" s="51" t="str">
        <f>IFERROR(__xludf.DUMMYFUNCTION("""COMPUTED_VALUE"""),"")</f>
        <v/>
      </c>
      <c r="K266" s="51"/>
      <c r="L266" s="51" t="s">
        <v>257</v>
      </c>
      <c r="M266" s="51"/>
      <c r="N266" s="51"/>
      <c r="O266" s="51"/>
      <c r="P266" s="51"/>
      <c r="Q266" s="51"/>
      <c r="R266" s="51"/>
      <c r="S266" s="51"/>
      <c r="T266" s="51"/>
    </row>
    <row r="267">
      <c r="A267" s="51"/>
      <c r="B267" s="51"/>
      <c r="C267" s="56"/>
      <c r="D267" s="51"/>
      <c r="E267" s="51"/>
      <c r="F267" s="51"/>
      <c r="G267" s="51" t="str">
        <f>IFERROR(__xludf.DUMMYFUNCTION("""COMPUTED_VALUE"""),"#VALUE!")</f>
        <v>#VALUE!</v>
      </c>
      <c r="H267" s="51" t="str">
        <f>IFERROR(__xludf.DUMMYFUNCTION("""COMPUTED_VALUE"""),"")</f>
        <v/>
      </c>
      <c r="I267" s="51" t="str">
        <f>IFERROR(__xludf.DUMMYFUNCTION("""COMPUTED_VALUE"""),"#VALUE!")</f>
        <v>#VALUE!</v>
      </c>
      <c r="J267" s="51" t="str">
        <f>IFERROR(__xludf.DUMMYFUNCTION("""COMPUTED_VALUE"""),"")</f>
        <v/>
      </c>
      <c r="K267" s="51"/>
      <c r="L267" s="51" t="s">
        <v>257</v>
      </c>
      <c r="M267" s="51"/>
      <c r="N267" s="51"/>
      <c r="O267" s="51"/>
      <c r="P267" s="51"/>
      <c r="Q267" s="51"/>
      <c r="R267" s="51"/>
      <c r="S267" s="51"/>
      <c r="T267" s="51"/>
    </row>
    <row r="268">
      <c r="A268" s="51"/>
      <c r="B268" s="51"/>
      <c r="C268" s="56"/>
      <c r="D268" s="51"/>
      <c r="E268" s="51"/>
      <c r="F268" s="51"/>
      <c r="G268" s="51" t="str">
        <f>IFERROR(__xludf.DUMMYFUNCTION("""COMPUTED_VALUE"""),"#VALUE!")</f>
        <v>#VALUE!</v>
      </c>
      <c r="H268" s="51" t="str">
        <f>IFERROR(__xludf.DUMMYFUNCTION("""COMPUTED_VALUE"""),"")</f>
        <v/>
      </c>
      <c r="I268" s="51" t="str">
        <f>IFERROR(__xludf.DUMMYFUNCTION("""COMPUTED_VALUE"""),"#VALUE!")</f>
        <v>#VALUE!</v>
      </c>
      <c r="J268" s="51" t="str">
        <f>IFERROR(__xludf.DUMMYFUNCTION("""COMPUTED_VALUE"""),"")</f>
        <v/>
      </c>
      <c r="K268" s="51"/>
      <c r="L268" s="51" t="s">
        <v>257</v>
      </c>
      <c r="M268" s="51"/>
      <c r="N268" s="51"/>
      <c r="O268" s="51"/>
      <c r="P268" s="51"/>
      <c r="Q268" s="51"/>
      <c r="R268" s="51"/>
      <c r="S268" s="51"/>
      <c r="T268" s="51"/>
    </row>
    <row r="269">
      <c r="A269" s="51"/>
      <c r="B269" s="51"/>
      <c r="C269" s="56"/>
      <c r="D269" s="51"/>
      <c r="E269" s="51"/>
      <c r="F269" s="51"/>
      <c r="G269" s="51" t="str">
        <f>IFERROR(__xludf.DUMMYFUNCTION("""COMPUTED_VALUE"""),"#VALUE!")</f>
        <v>#VALUE!</v>
      </c>
      <c r="H269" s="51" t="str">
        <f>IFERROR(__xludf.DUMMYFUNCTION("""COMPUTED_VALUE"""),"")</f>
        <v/>
      </c>
      <c r="I269" s="51" t="str">
        <f>IFERROR(__xludf.DUMMYFUNCTION("""COMPUTED_VALUE"""),"#VALUE!")</f>
        <v>#VALUE!</v>
      </c>
      <c r="J269" s="51" t="str">
        <f>IFERROR(__xludf.DUMMYFUNCTION("""COMPUTED_VALUE"""),"")</f>
        <v/>
      </c>
      <c r="K269" s="51"/>
      <c r="L269" s="51" t="s">
        <v>257</v>
      </c>
      <c r="M269" s="51"/>
      <c r="N269" s="51"/>
      <c r="O269" s="51"/>
      <c r="P269" s="51"/>
      <c r="Q269" s="51"/>
      <c r="R269" s="51"/>
      <c r="S269" s="51"/>
      <c r="T269" s="51"/>
    </row>
    <row r="270">
      <c r="A270" s="51"/>
      <c r="B270" s="51"/>
      <c r="C270" s="56"/>
      <c r="D270" s="51"/>
      <c r="E270" s="51"/>
      <c r="F270" s="51"/>
      <c r="G270" s="51" t="str">
        <f>IFERROR(__xludf.DUMMYFUNCTION("""COMPUTED_VALUE"""),"#VALUE!")</f>
        <v>#VALUE!</v>
      </c>
      <c r="H270" s="51" t="str">
        <f>IFERROR(__xludf.DUMMYFUNCTION("""COMPUTED_VALUE"""),"")</f>
        <v/>
      </c>
      <c r="I270" s="51" t="str">
        <f>IFERROR(__xludf.DUMMYFUNCTION("""COMPUTED_VALUE"""),"#VALUE!")</f>
        <v>#VALUE!</v>
      </c>
      <c r="J270" s="51" t="str">
        <f>IFERROR(__xludf.DUMMYFUNCTION("""COMPUTED_VALUE"""),"")</f>
        <v/>
      </c>
      <c r="K270" s="51"/>
      <c r="L270" s="51" t="s">
        <v>257</v>
      </c>
      <c r="M270" s="51"/>
      <c r="N270" s="51"/>
      <c r="O270" s="51"/>
      <c r="P270" s="51"/>
      <c r="Q270" s="51"/>
      <c r="R270" s="51"/>
      <c r="S270" s="51"/>
      <c r="T270" s="51"/>
    </row>
    <row r="271">
      <c r="A271" s="51"/>
      <c r="B271" s="51"/>
      <c r="C271" s="56"/>
      <c r="D271" s="51"/>
      <c r="E271" s="51"/>
      <c r="F271" s="51"/>
      <c r="G271" s="51" t="str">
        <f>IFERROR(__xludf.DUMMYFUNCTION("""COMPUTED_VALUE"""),"#VALUE!")</f>
        <v>#VALUE!</v>
      </c>
      <c r="H271" s="51" t="str">
        <f>IFERROR(__xludf.DUMMYFUNCTION("""COMPUTED_VALUE"""),"")</f>
        <v/>
      </c>
      <c r="I271" s="51" t="str">
        <f>IFERROR(__xludf.DUMMYFUNCTION("""COMPUTED_VALUE"""),"#VALUE!")</f>
        <v>#VALUE!</v>
      </c>
      <c r="J271" s="51" t="str">
        <f>IFERROR(__xludf.DUMMYFUNCTION("""COMPUTED_VALUE"""),"")</f>
        <v/>
      </c>
      <c r="K271" s="51"/>
      <c r="L271" s="51" t="s">
        <v>257</v>
      </c>
      <c r="M271" s="51"/>
      <c r="N271" s="51"/>
      <c r="O271" s="51"/>
      <c r="P271" s="51"/>
      <c r="Q271" s="51"/>
      <c r="R271" s="51"/>
      <c r="S271" s="51"/>
      <c r="T271" s="51"/>
    </row>
    <row r="272">
      <c r="A272" s="51"/>
      <c r="B272" s="51"/>
      <c r="C272" s="56"/>
      <c r="D272" s="51"/>
      <c r="E272" s="51"/>
      <c r="F272" s="51"/>
      <c r="G272" s="51" t="str">
        <f>IFERROR(__xludf.DUMMYFUNCTION("""COMPUTED_VALUE"""),"#VALUE!")</f>
        <v>#VALUE!</v>
      </c>
      <c r="H272" s="51" t="str">
        <f>IFERROR(__xludf.DUMMYFUNCTION("""COMPUTED_VALUE"""),"")</f>
        <v/>
      </c>
      <c r="I272" s="51" t="str">
        <f>IFERROR(__xludf.DUMMYFUNCTION("""COMPUTED_VALUE"""),"#VALUE!")</f>
        <v>#VALUE!</v>
      </c>
      <c r="J272" s="51" t="str">
        <f>IFERROR(__xludf.DUMMYFUNCTION("""COMPUTED_VALUE"""),"")</f>
        <v/>
      </c>
      <c r="K272" s="51"/>
      <c r="L272" s="51" t="s">
        <v>257</v>
      </c>
      <c r="M272" s="51"/>
      <c r="N272" s="51"/>
      <c r="O272" s="51"/>
      <c r="P272" s="51"/>
      <c r="Q272" s="51"/>
      <c r="R272" s="51"/>
      <c r="S272" s="51"/>
      <c r="T272" s="51"/>
    </row>
    <row r="273">
      <c r="A273" s="51"/>
      <c r="B273" s="51"/>
      <c r="C273" s="56"/>
      <c r="D273" s="51"/>
      <c r="E273" s="51"/>
      <c r="F273" s="51"/>
      <c r="G273" s="51" t="str">
        <f>IFERROR(__xludf.DUMMYFUNCTION("""COMPUTED_VALUE"""),"#VALUE!")</f>
        <v>#VALUE!</v>
      </c>
      <c r="H273" s="51" t="str">
        <f>IFERROR(__xludf.DUMMYFUNCTION("""COMPUTED_VALUE"""),"")</f>
        <v/>
      </c>
      <c r="I273" s="51" t="str">
        <f>IFERROR(__xludf.DUMMYFUNCTION("""COMPUTED_VALUE"""),"#VALUE!")</f>
        <v>#VALUE!</v>
      </c>
      <c r="J273" s="51" t="str">
        <f>IFERROR(__xludf.DUMMYFUNCTION("""COMPUTED_VALUE"""),"")</f>
        <v/>
      </c>
      <c r="K273" s="51"/>
      <c r="L273" s="51" t="s">
        <v>257</v>
      </c>
      <c r="M273" s="51"/>
      <c r="N273" s="51"/>
      <c r="O273" s="51"/>
      <c r="P273" s="51"/>
      <c r="Q273" s="51"/>
      <c r="R273" s="51"/>
      <c r="S273" s="51"/>
      <c r="T273" s="51"/>
    </row>
    <row r="274">
      <c r="A274" s="51"/>
      <c r="B274" s="51"/>
      <c r="C274" s="56"/>
      <c r="D274" s="51"/>
      <c r="E274" s="51"/>
      <c r="F274" s="51"/>
      <c r="G274" s="51" t="str">
        <f>IFERROR(__xludf.DUMMYFUNCTION("""COMPUTED_VALUE"""),"#VALUE!")</f>
        <v>#VALUE!</v>
      </c>
      <c r="H274" s="51" t="str">
        <f>IFERROR(__xludf.DUMMYFUNCTION("""COMPUTED_VALUE"""),"")</f>
        <v/>
      </c>
      <c r="I274" s="51" t="str">
        <f>IFERROR(__xludf.DUMMYFUNCTION("""COMPUTED_VALUE"""),"#VALUE!")</f>
        <v>#VALUE!</v>
      </c>
      <c r="J274" s="51" t="str">
        <f>IFERROR(__xludf.DUMMYFUNCTION("""COMPUTED_VALUE"""),"")</f>
        <v/>
      </c>
      <c r="K274" s="51"/>
      <c r="L274" s="51" t="s">
        <v>257</v>
      </c>
      <c r="M274" s="51"/>
      <c r="N274" s="51"/>
      <c r="O274" s="51"/>
      <c r="P274" s="51"/>
      <c r="Q274" s="51"/>
      <c r="R274" s="51"/>
      <c r="S274" s="51"/>
      <c r="T274" s="51"/>
    </row>
    <row r="275">
      <c r="A275" s="51"/>
      <c r="B275" s="51"/>
      <c r="C275" s="56"/>
      <c r="D275" s="51"/>
      <c r="E275" s="51"/>
      <c r="F275" s="51"/>
      <c r="G275" s="51" t="str">
        <f>IFERROR(__xludf.DUMMYFUNCTION("""COMPUTED_VALUE"""),"#VALUE!")</f>
        <v>#VALUE!</v>
      </c>
      <c r="H275" s="51" t="str">
        <f>IFERROR(__xludf.DUMMYFUNCTION("""COMPUTED_VALUE"""),"")</f>
        <v/>
      </c>
      <c r="I275" s="51" t="str">
        <f>IFERROR(__xludf.DUMMYFUNCTION("""COMPUTED_VALUE"""),"#VALUE!")</f>
        <v>#VALUE!</v>
      </c>
      <c r="J275" s="51" t="str">
        <f>IFERROR(__xludf.DUMMYFUNCTION("""COMPUTED_VALUE"""),"")</f>
        <v/>
      </c>
      <c r="K275" s="51"/>
      <c r="L275" s="51" t="s">
        <v>257</v>
      </c>
      <c r="M275" s="51"/>
      <c r="N275" s="51"/>
      <c r="O275" s="51"/>
      <c r="P275" s="51"/>
      <c r="Q275" s="51"/>
      <c r="R275" s="51"/>
      <c r="S275" s="51"/>
      <c r="T275" s="51"/>
    </row>
    <row r="276">
      <c r="A276" s="51"/>
      <c r="B276" s="51"/>
      <c r="C276" s="56"/>
      <c r="D276" s="51"/>
      <c r="E276" s="51"/>
      <c r="F276" s="51"/>
      <c r="G276" s="51" t="str">
        <f>IFERROR(__xludf.DUMMYFUNCTION("""COMPUTED_VALUE"""),"#VALUE!")</f>
        <v>#VALUE!</v>
      </c>
      <c r="H276" s="51" t="str">
        <f>IFERROR(__xludf.DUMMYFUNCTION("""COMPUTED_VALUE"""),"")</f>
        <v/>
      </c>
      <c r="I276" s="51" t="str">
        <f>IFERROR(__xludf.DUMMYFUNCTION("""COMPUTED_VALUE"""),"#VALUE!")</f>
        <v>#VALUE!</v>
      </c>
      <c r="J276" s="51" t="str">
        <f>IFERROR(__xludf.DUMMYFUNCTION("""COMPUTED_VALUE"""),"")</f>
        <v/>
      </c>
      <c r="K276" s="51"/>
      <c r="L276" s="51" t="s">
        <v>257</v>
      </c>
      <c r="M276" s="51"/>
      <c r="N276" s="51"/>
      <c r="O276" s="51"/>
      <c r="P276" s="51"/>
      <c r="Q276" s="51"/>
      <c r="R276" s="51"/>
      <c r="S276" s="51"/>
      <c r="T276" s="51"/>
    </row>
    <row r="277">
      <c r="A277" s="51"/>
      <c r="B277" s="51"/>
      <c r="C277" s="56"/>
      <c r="D277" s="51"/>
      <c r="E277" s="51"/>
      <c r="F277" s="51"/>
      <c r="G277" s="51" t="str">
        <f>IFERROR(__xludf.DUMMYFUNCTION("""COMPUTED_VALUE"""),"#VALUE!")</f>
        <v>#VALUE!</v>
      </c>
      <c r="H277" s="51" t="str">
        <f>IFERROR(__xludf.DUMMYFUNCTION("""COMPUTED_VALUE"""),"")</f>
        <v/>
      </c>
      <c r="I277" s="51" t="str">
        <f>IFERROR(__xludf.DUMMYFUNCTION("""COMPUTED_VALUE"""),"#VALUE!")</f>
        <v>#VALUE!</v>
      </c>
      <c r="J277" s="51" t="str">
        <f>IFERROR(__xludf.DUMMYFUNCTION("""COMPUTED_VALUE"""),"")</f>
        <v/>
      </c>
      <c r="K277" s="51"/>
      <c r="L277" s="51" t="s">
        <v>257</v>
      </c>
      <c r="M277" s="51"/>
      <c r="N277" s="51"/>
      <c r="O277" s="51"/>
      <c r="P277" s="51"/>
      <c r="Q277" s="51"/>
      <c r="R277" s="51"/>
      <c r="S277" s="51"/>
      <c r="T277" s="51"/>
    </row>
    <row r="278">
      <c r="A278" s="51"/>
      <c r="B278" s="51"/>
      <c r="C278" s="56"/>
      <c r="D278" s="51"/>
      <c r="E278" s="51"/>
      <c r="F278" s="51"/>
      <c r="G278" s="51" t="str">
        <f>IFERROR(__xludf.DUMMYFUNCTION("""COMPUTED_VALUE"""),"#VALUE!")</f>
        <v>#VALUE!</v>
      </c>
      <c r="H278" s="51" t="str">
        <f>IFERROR(__xludf.DUMMYFUNCTION("""COMPUTED_VALUE"""),"")</f>
        <v/>
      </c>
      <c r="I278" s="51" t="str">
        <f>IFERROR(__xludf.DUMMYFUNCTION("""COMPUTED_VALUE"""),"#VALUE!")</f>
        <v>#VALUE!</v>
      </c>
      <c r="J278" s="51" t="str">
        <f>IFERROR(__xludf.DUMMYFUNCTION("""COMPUTED_VALUE"""),"")</f>
        <v/>
      </c>
      <c r="K278" s="51"/>
      <c r="L278" s="51" t="s">
        <v>257</v>
      </c>
      <c r="M278" s="51"/>
      <c r="N278" s="51"/>
      <c r="O278" s="51"/>
      <c r="P278" s="51"/>
      <c r="Q278" s="51"/>
      <c r="R278" s="51"/>
      <c r="S278" s="51"/>
      <c r="T278" s="51"/>
    </row>
    <row r="279">
      <c r="A279" s="51"/>
      <c r="B279" s="51"/>
      <c r="C279" s="56"/>
      <c r="D279" s="51"/>
      <c r="E279" s="51"/>
      <c r="F279" s="51"/>
      <c r="G279" s="51" t="str">
        <f>IFERROR(__xludf.DUMMYFUNCTION("""COMPUTED_VALUE"""),"#VALUE!")</f>
        <v>#VALUE!</v>
      </c>
      <c r="H279" s="51" t="str">
        <f>IFERROR(__xludf.DUMMYFUNCTION("""COMPUTED_VALUE"""),"")</f>
        <v/>
      </c>
      <c r="I279" s="51" t="str">
        <f>IFERROR(__xludf.DUMMYFUNCTION("""COMPUTED_VALUE"""),"#VALUE!")</f>
        <v>#VALUE!</v>
      </c>
      <c r="J279" s="51" t="str">
        <f>IFERROR(__xludf.DUMMYFUNCTION("""COMPUTED_VALUE"""),"")</f>
        <v/>
      </c>
      <c r="K279" s="51"/>
      <c r="L279" s="51" t="s">
        <v>257</v>
      </c>
      <c r="M279" s="51"/>
      <c r="N279" s="51"/>
      <c r="O279" s="51"/>
      <c r="P279" s="51"/>
      <c r="Q279" s="51"/>
      <c r="R279" s="51"/>
      <c r="S279" s="51"/>
      <c r="T279" s="51"/>
    </row>
    <row r="280">
      <c r="A280" s="51"/>
      <c r="B280" s="51"/>
      <c r="C280" s="56"/>
      <c r="D280" s="51"/>
      <c r="E280" s="51"/>
      <c r="F280" s="51"/>
      <c r="G280" s="51" t="str">
        <f>IFERROR(__xludf.DUMMYFUNCTION("""COMPUTED_VALUE"""),"#VALUE!")</f>
        <v>#VALUE!</v>
      </c>
      <c r="H280" s="51" t="str">
        <f>IFERROR(__xludf.DUMMYFUNCTION("""COMPUTED_VALUE"""),"")</f>
        <v/>
      </c>
      <c r="I280" s="51" t="str">
        <f>IFERROR(__xludf.DUMMYFUNCTION("""COMPUTED_VALUE"""),"#VALUE!")</f>
        <v>#VALUE!</v>
      </c>
      <c r="J280" s="51" t="str">
        <f>IFERROR(__xludf.DUMMYFUNCTION("""COMPUTED_VALUE"""),"")</f>
        <v/>
      </c>
      <c r="K280" s="51"/>
      <c r="L280" s="51" t="s">
        <v>257</v>
      </c>
      <c r="M280" s="51"/>
      <c r="N280" s="51"/>
      <c r="O280" s="51"/>
      <c r="P280" s="51"/>
      <c r="Q280" s="51"/>
      <c r="R280" s="51"/>
      <c r="S280" s="51"/>
      <c r="T280" s="51"/>
    </row>
    <row r="281">
      <c r="A281" s="51"/>
      <c r="B281" s="51"/>
      <c r="C281" s="56"/>
      <c r="D281" s="51"/>
      <c r="E281" s="51"/>
      <c r="F281" s="51"/>
      <c r="G281" s="51" t="str">
        <f>IFERROR(__xludf.DUMMYFUNCTION("""COMPUTED_VALUE"""),"#VALUE!")</f>
        <v>#VALUE!</v>
      </c>
      <c r="H281" s="51" t="str">
        <f>IFERROR(__xludf.DUMMYFUNCTION("""COMPUTED_VALUE"""),"")</f>
        <v/>
      </c>
      <c r="I281" s="51" t="str">
        <f>IFERROR(__xludf.DUMMYFUNCTION("""COMPUTED_VALUE"""),"#VALUE!")</f>
        <v>#VALUE!</v>
      </c>
      <c r="J281" s="51" t="str">
        <f>IFERROR(__xludf.DUMMYFUNCTION("""COMPUTED_VALUE"""),"")</f>
        <v/>
      </c>
      <c r="K281" s="51"/>
      <c r="L281" s="51" t="s">
        <v>257</v>
      </c>
      <c r="M281" s="51"/>
      <c r="N281" s="51"/>
      <c r="O281" s="51"/>
      <c r="P281" s="51"/>
      <c r="Q281" s="51"/>
      <c r="R281" s="51"/>
      <c r="S281" s="51"/>
      <c r="T281" s="51"/>
    </row>
    <row r="282">
      <c r="A282" s="51"/>
      <c r="B282" s="51"/>
      <c r="C282" s="56"/>
      <c r="D282" s="51"/>
      <c r="E282" s="51"/>
      <c r="F282" s="51"/>
      <c r="G282" s="51" t="str">
        <f>IFERROR(__xludf.DUMMYFUNCTION("""COMPUTED_VALUE"""),"#VALUE!")</f>
        <v>#VALUE!</v>
      </c>
      <c r="H282" s="51" t="str">
        <f>IFERROR(__xludf.DUMMYFUNCTION("""COMPUTED_VALUE"""),"")</f>
        <v/>
      </c>
      <c r="I282" s="51" t="str">
        <f>IFERROR(__xludf.DUMMYFUNCTION("""COMPUTED_VALUE"""),"#VALUE!")</f>
        <v>#VALUE!</v>
      </c>
      <c r="J282" s="51" t="str">
        <f>IFERROR(__xludf.DUMMYFUNCTION("""COMPUTED_VALUE"""),"")</f>
        <v/>
      </c>
      <c r="K282" s="51"/>
      <c r="L282" s="51" t="s">
        <v>257</v>
      </c>
      <c r="M282" s="51"/>
      <c r="N282" s="51"/>
      <c r="O282" s="51"/>
      <c r="P282" s="51"/>
      <c r="Q282" s="51"/>
      <c r="R282" s="51"/>
      <c r="S282" s="51"/>
      <c r="T282" s="51"/>
    </row>
    <row r="283">
      <c r="A283" s="51"/>
      <c r="B283" s="51"/>
      <c r="C283" s="56"/>
      <c r="D283" s="51"/>
      <c r="E283" s="51"/>
      <c r="F283" s="51"/>
      <c r="G283" s="51" t="str">
        <f>IFERROR(__xludf.DUMMYFUNCTION("""COMPUTED_VALUE"""),"#VALUE!")</f>
        <v>#VALUE!</v>
      </c>
      <c r="H283" s="51" t="str">
        <f>IFERROR(__xludf.DUMMYFUNCTION("""COMPUTED_VALUE"""),"")</f>
        <v/>
      </c>
      <c r="I283" s="51" t="str">
        <f>IFERROR(__xludf.DUMMYFUNCTION("""COMPUTED_VALUE"""),"#VALUE!")</f>
        <v>#VALUE!</v>
      </c>
      <c r="J283" s="51" t="str">
        <f>IFERROR(__xludf.DUMMYFUNCTION("""COMPUTED_VALUE"""),"")</f>
        <v/>
      </c>
      <c r="K283" s="51"/>
      <c r="L283" s="51" t="s">
        <v>257</v>
      </c>
      <c r="M283" s="51"/>
      <c r="N283" s="51"/>
      <c r="O283" s="51"/>
      <c r="P283" s="51"/>
      <c r="Q283" s="51"/>
      <c r="R283" s="51"/>
      <c r="S283" s="51"/>
      <c r="T283" s="51"/>
    </row>
    <row r="284">
      <c r="A284" s="51"/>
      <c r="B284" s="51"/>
      <c r="C284" s="56"/>
      <c r="D284" s="51"/>
      <c r="E284" s="51"/>
      <c r="F284" s="51"/>
      <c r="G284" s="51" t="str">
        <f>IFERROR(__xludf.DUMMYFUNCTION("""COMPUTED_VALUE"""),"#VALUE!")</f>
        <v>#VALUE!</v>
      </c>
      <c r="H284" s="51" t="str">
        <f>IFERROR(__xludf.DUMMYFUNCTION("""COMPUTED_VALUE"""),"")</f>
        <v/>
      </c>
      <c r="I284" s="51" t="str">
        <f>IFERROR(__xludf.DUMMYFUNCTION("""COMPUTED_VALUE"""),"#VALUE!")</f>
        <v>#VALUE!</v>
      </c>
      <c r="J284" s="51" t="str">
        <f>IFERROR(__xludf.DUMMYFUNCTION("""COMPUTED_VALUE"""),"")</f>
        <v/>
      </c>
      <c r="K284" s="51"/>
      <c r="L284" s="51" t="s">
        <v>257</v>
      </c>
      <c r="M284" s="51"/>
      <c r="N284" s="51"/>
      <c r="O284" s="51"/>
      <c r="P284" s="51"/>
      <c r="Q284" s="51"/>
      <c r="R284" s="51"/>
      <c r="S284" s="51"/>
      <c r="T284" s="51"/>
    </row>
    <row r="285">
      <c r="A285" s="51"/>
      <c r="B285" s="51"/>
      <c r="C285" s="56"/>
      <c r="D285" s="51"/>
      <c r="E285" s="51"/>
      <c r="F285" s="51"/>
      <c r="G285" s="51" t="str">
        <f>IFERROR(__xludf.DUMMYFUNCTION("""COMPUTED_VALUE"""),"#VALUE!")</f>
        <v>#VALUE!</v>
      </c>
      <c r="H285" s="51" t="str">
        <f>IFERROR(__xludf.DUMMYFUNCTION("""COMPUTED_VALUE"""),"")</f>
        <v/>
      </c>
      <c r="I285" s="51" t="str">
        <f>IFERROR(__xludf.DUMMYFUNCTION("""COMPUTED_VALUE"""),"#VALUE!")</f>
        <v>#VALUE!</v>
      </c>
      <c r="J285" s="51" t="str">
        <f>IFERROR(__xludf.DUMMYFUNCTION("""COMPUTED_VALUE"""),"")</f>
        <v/>
      </c>
      <c r="K285" s="51"/>
      <c r="L285" s="51" t="s">
        <v>257</v>
      </c>
      <c r="M285" s="51"/>
      <c r="N285" s="51"/>
      <c r="O285" s="51"/>
      <c r="P285" s="51"/>
      <c r="Q285" s="51"/>
      <c r="R285" s="51"/>
      <c r="S285" s="51"/>
      <c r="T285" s="51"/>
    </row>
    <row r="286">
      <c r="A286" s="51"/>
      <c r="B286" s="51"/>
      <c r="C286" s="56"/>
      <c r="D286" s="51"/>
      <c r="E286" s="51"/>
      <c r="F286" s="51"/>
      <c r="G286" s="51" t="str">
        <f>IFERROR(__xludf.DUMMYFUNCTION("""COMPUTED_VALUE"""),"#VALUE!")</f>
        <v>#VALUE!</v>
      </c>
      <c r="H286" s="51" t="str">
        <f>IFERROR(__xludf.DUMMYFUNCTION("""COMPUTED_VALUE"""),"")</f>
        <v/>
      </c>
      <c r="I286" s="51" t="str">
        <f>IFERROR(__xludf.DUMMYFUNCTION("""COMPUTED_VALUE"""),"#VALUE!")</f>
        <v>#VALUE!</v>
      </c>
      <c r="J286" s="51" t="str">
        <f>IFERROR(__xludf.DUMMYFUNCTION("""COMPUTED_VALUE"""),"")</f>
        <v/>
      </c>
      <c r="K286" s="51"/>
      <c r="L286" s="51" t="s">
        <v>257</v>
      </c>
      <c r="M286" s="51"/>
      <c r="N286" s="51"/>
      <c r="O286" s="51"/>
      <c r="P286" s="51"/>
      <c r="Q286" s="51"/>
      <c r="R286" s="51"/>
      <c r="S286" s="51"/>
      <c r="T286" s="51"/>
    </row>
    <row r="287">
      <c r="A287" s="51"/>
      <c r="B287" s="51"/>
      <c r="C287" s="56"/>
      <c r="D287" s="51"/>
      <c r="E287" s="51"/>
      <c r="F287" s="51"/>
      <c r="G287" s="51" t="str">
        <f>IFERROR(__xludf.DUMMYFUNCTION("""COMPUTED_VALUE"""),"#VALUE!")</f>
        <v>#VALUE!</v>
      </c>
      <c r="H287" s="51" t="str">
        <f>IFERROR(__xludf.DUMMYFUNCTION("""COMPUTED_VALUE"""),"")</f>
        <v/>
      </c>
      <c r="I287" s="51" t="str">
        <f>IFERROR(__xludf.DUMMYFUNCTION("""COMPUTED_VALUE"""),"#VALUE!")</f>
        <v>#VALUE!</v>
      </c>
      <c r="J287" s="51" t="str">
        <f>IFERROR(__xludf.DUMMYFUNCTION("""COMPUTED_VALUE"""),"")</f>
        <v/>
      </c>
      <c r="K287" s="51"/>
      <c r="L287" s="51" t="s">
        <v>257</v>
      </c>
      <c r="M287" s="51"/>
      <c r="N287" s="51"/>
      <c r="O287" s="51"/>
      <c r="P287" s="51"/>
      <c r="Q287" s="51"/>
      <c r="R287" s="51"/>
      <c r="S287" s="51"/>
      <c r="T287" s="51"/>
    </row>
    <row r="288">
      <c r="A288" s="51"/>
      <c r="B288" s="51"/>
      <c r="C288" s="56"/>
      <c r="D288" s="51"/>
      <c r="E288" s="51"/>
      <c r="F288" s="51"/>
      <c r="G288" s="51" t="str">
        <f>IFERROR(__xludf.DUMMYFUNCTION("""COMPUTED_VALUE"""),"#VALUE!")</f>
        <v>#VALUE!</v>
      </c>
      <c r="H288" s="51" t="str">
        <f>IFERROR(__xludf.DUMMYFUNCTION("""COMPUTED_VALUE"""),"")</f>
        <v/>
      </c>
      <c r="I288" s="51" t="str">
        <f>IFERROR(__xludf.DUMMYFUNCTION("""COMPUTED_VALUE"""),"#VALUE!")</f>
        <v>#VALUE!</v>
      </c>
      <c r="J288" s="51" t="str">
        <f>IFERROR(__xludf.DUMMYFUNCTION("""COMPUTED_VALUE"""),"")</f>
        <v/>
      </c>
      <c r="K288" s="51"/>
      <c r="L288" s="51" t="s">
        <v>257</v>
      </c>
      <c r="M288" s="51"/>
      <c r="N288" s="51"/>
      <c r="O288" s="51"/>
      <c r="P288" s="51"/>
      <c r="Q288" s="51"/>
      <c r="R288" s="51"/>
      <c r="S288" s="51"/>
      <c r="T288" s="51"/>
    </row>
    <row r="289">
      <c r="A289" s="51"/>
      <c r="B289" s="51"/>
      <c r="C289" s="56"/>
      <c r="D289" s="51"/>
      <c r="E289" s="51"/>
      <c r="F289" s="51"/>
      <c r="G289" s="51" t="str">
        <f>IFERROR(__xludf.DUMMYFUNCTION("""COMPUTED_VALUE"""),"#VALUE!")</f>
        <v>#VALUE!</v>
      </c>
      <c r="H289" s="51" t="str">
        <f>IFERROR(__xludf.DUMMYFUNCTION("""COMPUTED_VALUE"""),"")</f>
        <v/>
      </c>
      <c r="I289" s="51" t="str">
        <f>IFERROR(__xludf.DUMMYFUNCTION("""COMPUTED_VALUE"""),"#VALUE!")</f>
        <v>#VALUE!</v>
      </c>
      <c r="J289" s="51" t="str">
        <f>IFERROR(__xludf.DUMMYFUNCTION("""COMPUTED_VALUE"""),"")</f>
        <v/>
      </c>
      <c r="K289" s="51"/>
      <c r="L289" s="51" t="s">
        <v>257</v>
      </c>
      <c r="M289" s="51"/>
      <c r="N289" s="51"/>
      <c r="O289" s="51"/>
      <c r="P289" s="51"/>
      <c r="Q289" s="51"/>
      <c r="R289" s="51"/>
      <c r="S289" s="51"/>
      <c r="T289" s="51"/>
    </row>
    <row r="290">
      <c r="A290" s="51"/>
      <c r="B290" s="51"/>
      <c r="C290" s="56"/>
      <c r="D290" s="51"/>
      <c r="E290" s="51"/>
      <c r="F290" s="51"/>
      <c r="G290" s="51" t="str">
        <f>IFERROR(__xludf.DUMMYFUNCTION("""COMPUTED_VALUE"""),"#VALUE!")</f>
        <v>#VALUE!</v>
      </c>
      <c r="H290" s="51" t="str">
        <f>IFERROR(__xludf.DUMMYFUNCTION("""COMPUTED_VALUE"""),"")</f>
        <v/>
      </c>
      <c r="I290" s="51" t="str">
        <f>IFERROR(__xludf.DUMMYFUNCTION("""COMPUTED_VALUE"""),"#VALUE!")</f>
        <v>#VALUE!</v>
      </c>
      <c r="J290" s="51" t="str">
        <f>IFERROR(__xludf.DUMMYFUNCTION("""COMPUTED_VALUE"""),"")</f>
        <v/>
      </c>
      <c r="K290" s="51"/>
      <c r="L290" s="51" t="s">
        <v>257</v>
      </c>
      <c r="M290" s="51"/>
      <c r="N290" s="51"/>
      <c r="O290" s="51"/>
      <c r="P290" s="51"/>
      <c r="Q290" s="51"/>
      <c r="R290" s="51"/>
      <c r="S290" s="51"/>
      <c r="T290" s="51"/>
    </row>
    <row r="291">
      <c r="A291" s="51"/>
      <c r="B291" s="51"/>
      <c r="C291" s="56"/>
      <c r="D291" s="51"/>
      <c r="E291" s="51"/>
      <c r="F291" s="51"/>
      <c r="G291" s="51" t="str">
        <f>IFERROR(__xludf.DUMMYFUNCTION("""COMPUTED_VALUE"""),"#VALUE!")</f>
        <v>#VALUE!</v>
      </c>
      <c r="H291" s="51" t="str">
        <f>IFERROR(__xludf.DUMMYFUNCTION("""COMPUTED_VALUE"""),"")</f>
        <v/>
      </c>
      <c r="I291" s="51" t="str">
        <f>IFERROR(__xludf.DUMMYFUNCTION("""COMPUTED_VALUE"""),"#VALUE!")</f>
        <v>#VALUE!</v>
      </c>
      <c r="J291" s="51" t="str">
        <f>IFERROR(__xludf.DUMMYFUNCTION("""COMPUTED_VALUE"""),"")</f>
        <v/>
      </c>
      <c r="K291" s="51"/>
      <c r="L291" s="51" t="s">
        <v>257</v>
      </c>
      <c r="M291" s="51"/>
      <c r="N291" s="51"/>
      <c r="O291" s="51"/>
      <c r="P291" s="51"/>
      <c r="Q291" s="51"/>
      <c r="R291" s="51"/>
      <c r="S291" s="51"/>
      <c r="T291" s="51"/>
    </row>
    <row r="292">
      <c r="A292" s="51"/>
      <c r="B292" s="51"/>
      <c r="C292" s="56"/>
      <c r="D292" s="51"/>
      <c r="E292" s="51"/>
      <c r="F292" s="51"/>
      <c r="G292" s="51" t="str">
        <f>IFERROR(__xludf.DUMMYFUNCTION("""COMPUTED_VALUE"""),"#VALUE!")</f>
        <v>#VALUE!</v>
      </c>
      <c r="H292" s="51" t="str">
        <f>IFERROR(__xludf.DUMMYFUNCTION("""COMPUTED_VALUE"""),"")</f>
        <v/>
      </c>
      <c r="I292" s="51" t="str">
        <f>IFERROR(__xludf.DUMMYFUNCTION("""COMPUTED_VALUE"""),"#VALUE!")</f>
        <v>#VALUE!</v>
      </c>
      <c r="J292" s="51" t="str">
        <f>IFERROR(__xludf.DUMMYFUNCTION("""COMPUTED_VALUE"""),"")</f>
        <v/>
      </c>
      <c r="K292" s="51"/>
      <c r="L292" s="51" t="s">
        <v>257</v>
      </c>
      <c r="M292" s="51"/>
      <c r="N292" s="51"/>
      <c r="O292" s="51"/>
      <c r="P292" s="51"/>
      <c r="Q292" s="51"/>
      <c r="R292" s="51"/>
      <c r="S292" s="51"/>
      <c r="T292" s="51"/>
    </row>
    <row r="293">
      <c r="A293" s="51"/>
      <c r="B293" s="51"/>
      <c r="C293" s="56"/>
      <c r="D293" s="51"/>
      <c r="E293" s="51"/>
      <c r="F293" s="51"/>
      <c r="G293" s="51" t="str">
        <f>IFERROR(__xludf.DUMMYFUNCTION("""COMPUTED_VALUE"""),"#VALUE!")</f>
        <v>#VALUE!</v>
      </c>
      <c r="H293" s="51" t="str">
        <f>IFERROR(__xludf.DUMMYFUNCTION("""COMPUTED_VALUE"""),"")</f>
        <v/>
      </c>
      <c r="I293" s="51" t="str">
        <f>IFERROR(__xludf.DUMMYFUNCTION("""COMPUTED_VALUE"""),"#VALUE!")</f>
        <v>#VALUE!</v>
      </c>
      <c r="J293" s="51" t="str">
        <f>IFERROR(__xludf.DUMMYFUNCTION("""COMPUTED_VALUE"""),"")</f>
        <v/>
      </c>
      <c r="K293" s="51"/>
      <c r="L293" s="51" t="s">
        <v>257</v>
      </c>
      <c r="M293" s="51"/>
      <c r="N293" s="51"/>
      <c r="O293" s="51"/>
      <c r="P293" s="51"/>
      <c r="Q293" s="51"/>
      <c r="R293" s="51"/>
      <c r="S293" s="51"/>
      <c r="T293" s="51"/>
    </row>
    <row r="294">
      <c r="A294" s="51"/>
      <c r="B294" s="51"/>
      <c r="C294" s="56"/>
      <c r="D294" s="51"/>
      <c r="E294" s="51"/>
      <c r="F294" s="51"/>
      <c r="G294" s="51" t="str">
        <f>IFERROR(__xludf.DUMMYFUNCTION("""COMPUTED_VALUE"""),"#VALUE!")</f>
        <v>#VALUE!</v>
      </c>
      <c r="H294" s="51" t="str">
        <f>IFERROR(__xludf.DUMMYFUNCTION("""COMPUTED_VALUE"""),"")</f>
        <v/>
      </c>
      <c r="I294" s="51" t="str">
        <f>IFERROR(__xludf.DUMMYFUNCTION("""COMPUTED_VALUE"""),"#VALUE!")</f>
        <v>#VALUE!</v>
      </c>
      <c r="J294" s="51" t="str">
        <f>IFERROR(__xludf.DUMMYFUNCTION("""COMPUTED_VALUE"""),"")</f>
        <v/>
      </c>
      <c r="K294" s="51"/>
      <c r="L294" s="51" t="s">
        <v>257</v>
      </c>
      <c r="M294" s="51"/>
      <c r="N294" s="51"/>
      <c r="O294" s="51"/>
      <c r="P294" s="51"/>
      <c r="Q294" s="51"/>
      <c r="R294" s="51"/>
      <c r="S294" s="51"/>
      <c r="T294" s="51"/>
    </row>
    <row r="295">
      <c r="A295" s="51"/>
      <c r="B295" s="51"/>
      <c r="C295" s="56"/>
      <c r="D295" s="51"/>
      <c r="E295" s="51"/>
      <c r="F295" s="51"/>
      <c r="G295" s="51" t="str">
        <f>IFERROR(__xludf.DUMMYFUNCTION("""COMPUTED_VALUE"""),"#VALUE!")</f>
        <v>#VALUE!</v>
      </c>
      <c r="H295" s="51" t="str">
        <f>IFERROR(__xludf.DUMMYFUNCTION("""COMPUTED_VALUE"""),"")</f>
        <v/>
      </c>
      <c r="I295" s="51" t="str">
        <f>IFERROR(__xludf.DUMMYFUNCTION("""COMPUTED_VALUE"""),"#VALUE!")</f>
        <v>#VALUE!</v>
      </c>
      <c r="J295" s="51" t="str">
        <f>IFERROR(__xludf.DUMMYFUNCTION("""COMPUTED_VALUE"""),"")</f>
        <v/>
      </c>
      <c r="K295" s="51"/>
      <c r="L295" s="51" t="s">
        <v>257</v>
      </c>
      <c r="M295" s="51"/>
      <c r="N295" s="51"/>
      <c r="O295" s="51"/>
      <c r="P295" s="51"/>
      <c r="Q295" s="51"/>
      <c r="R295" s="51"/>
      <c r="S295" s="51"/>
      <c r="T295" s="51"/>
    </row>
    <row r="296">
      <c r="A296" s="51"/>
      <c r="B296" s="51"/>
      <c r="C296" s="56"/>
      <c r="D296" s="51"/>
      <c r="E296" s="51"/>
      <c r="F296" s="51"/>
      <c r="G296" s="51" t="str">
        <f>IFERROR(__xludf.DUMMYFUNCTION("""COMPUTED_VALUE"""),"#VALUE!")</f>
        <v>#VALUE!</v>
      </c>
      <c r="H296" s="51" t="str">
        <f>IFERROR(__xludf.DUMMYFUNCTION("""COMPUTED_VALUE"""),"")</f>
        <v/>
      </c>
      <c r="I296" s="51" t="str">
        <f>IFERROR(__xludf.DUMMYFUNCTION("""COMPUTED_VALUE"""),"#VALUE!")</f>
        <v>#VALUE!</v>
      </c>
      <c r="J296" s="51" t="str">
        <f>IFERROR(__xludf.DUMMYFUNCTION("""COMPUTED_VALUE"""),"")</f>
        <v/>
      </c>
      <c r="K296" s="51"/>
      <c r="L296" s="51" t="s">
        <v>257</v>
      </c>
      <c r="M296" s="51"/>
      <c r="N296" s="51"/>
      <c r="O296" s="51"/>
      <c r="P296" s="51"/>
      <c r="Q296" s="51"/>
      <c r="R296" s="51"/>
      <c r="S296" s="51"/>
      <c r="T296" s="51"/>
    </row>
    <row r="297">
      <c r="A297" s="51"/>
      <c r="B297" s="51"/>
      <c r="C297" s="56"/>
      <c r="D297" s="51"/>
      <c r="E297" s="51"/>
      <c r="F297" s="51"/>
      <c r="G297" s="51" t="str">
        <f>IFERROR(__xludf.DUMMYFUNCTION("""COMPUTED_VALUE"""),"#VALUE!")</f>
        <v>#VALUE!</v>
      </c>
      <c r="H297" s="51" t="str">
        <f>IFERROR(__xludf.DUMMYFUNCTION("""COMPUTED_VALUE"""),"")</f>
        <v/>
      </c>
      <c r="I297" s="51" t="str">
        <f>IFERROR(__xludf.DUMMYFUNCTION("""COMPUTED_VALUE"""),"#VALUE!")</f>
        <v>#VALUE!</v>
      </c>
      <c r="J297" s="51" t="str">
        <f>IFERROR(__xludf.DUMMYFUNCTION("""COMPUTED_VALUE"""),"")</f>
        <v/>
      </c>
      <c r="K297" s="51"/>
      <c r="L297" s="51" t="s">
        <v>257</v>
      </c>
      <c r="M297" s="51"/>
      <c r="N297" s="51"/>
      <c r="O297" s="51"/>
      <c r="P297" s="51"/>
      <c r="Q297" s="51"/>
      <c r="R297" s="51"/>
      <c r="S297" s="51"/>
      <c r="T297" s="51"/>
    </row>
    <row r="298">
      <c r="A298" s="51"/>
      <c r="B298" s="51"/>
      <c r="C298" s="56"/>
      <c r="D298" s="51"/>
      <c r="E298" s="51"/>
      <c r="F298" s="51"/>
      <c r="G298" s="51" t="str">
        <f>IFERROR(__xludf.DUMMYFUNCTION("""COMPUTED_VALUE"""),"#VALUE!")</f>
        <v>#VALUE!</v>
      </c>
      <c r="H298" s="51" t="str">
        <f>IFERROR(__xludf.DUMMYFUNCTION("""COMPUTED_VALUE"""),"")</f>
        <v/>
      </c>
      <c r="I298" s="51" t="str">
        <f>IFERROR(__xludf.DUMMYFUNCTION("""COMPUTED_VALUE"""),"#VALUE!")</f>
        <v>#VALUE!</v>
      </c>
      <c r="J298" s="51" t="str">
        <f>IFERROR(__xludf.DUMMYFUNCTION("""COMPUTED_VALUE"""),"")</f>
        <v/>
      </c>
      <c r="K298" s="51"/>
      <c r="L298" s="51" t="s">
        <v>257</v>
      </c>
      <c r="M298" s="51"/>
      <c r="N298" s="51"/>
      <c r="O298" s="51"/>
      <c r="P298" s="51"/>
      <c r="Q298" s="51"/>
      <c r="R298" s="51"/>
      <c r="S298" s="51"/>
      <c r="T298" s="51"/>
    </row>
    <row r="299">
      <c r="A299" s="51"/>
      <c r="B299" s="51"/>
      <c r="C299" s="56"/>
      <c r="D299" s="51"/>
      <c r="E299" s="51"/>
      <c r="F299" s="51"/>
      <c r="G299" s="51" t="str">
        <f>IFERROR(__xludf.DUMMYFUNCTION("""COMPUTED_VALUE"""),"#VALUE!")</f>
        <v>#VALUE!</v>
      </c>
      <c r="H299" s="51" t="str">
        <f>IFERROR(__xludf.DUMMYFUNCTION("""COMPUTED_VALUE"""),"")</f>
        <v/>
      </c>
      <c r="I299" s="51" t="str">
        <f>IFERROR(__xludf.DUMMYFUNCTION("""COMPUTED_VALUE"""),"#VALUE!")</f>
        <v>#VALUE!</v>
      </c>
      <c r="J299" s="51" t="str">
        <f>IFERROR(__xludf.DUMMYFUNCTION("""COMPUTED_VALUE"""),"")</f>
        <v/>
      </c>
      <c r="K299" s="51"/>
      <c r="L299" s="51" t="s">
        <v>257</v>
      </c>
      <c r="M299" s="51"/>
      <c r="N299" s="51"/>
      <c r="O299" s="51"/>
      <c r="P299" s="51"/>
      <c r="Q299" s="51"/>
      <c r="R299" s="51"/>
      <c r="S299" s="51"/>
      <c r="T299" s="51"/>
    </row>
    <row r="300">
      <c r="A300" s="51"/>
      <c r="B300" s="51"/>
      <c r="C300" s="56"/>
      <c r="D300" s="51"/>
      <c r="E300" s="51"/>
      <c r="F300" s="51"/>
      <c r="G300" s="51" t="str">
        <f>IFERROR(__xludf.DUMMYFUNCTION("""COMPUTED_VALUE"""),"#VALUE!")</f>
        <v>#VALUE!</v>
      </c>
      <c r="H300" s="51" t="str">
        <f>IFERROR(__xludf.DUMMYFUNCTION("""COMPUTED_VALUE"""),"")</f>
        <v/>
      </c>
      <c r="I300" s="51" t="str">
        <f>IFERROR(__xludf.DUMMYFUNCTION("""COMPUTED_VALUE"""),"#VALUE!")</f>
        <v>#VALUE!</v>
      </c>
      <c r="J300" s="51" t="str">
        <f>IFERROR(__xludf.DUMMYFUNCTION("""COMPUTED_VALUE"""),"")</f>
        <v/>
      </c>
      <c r="K300" s="51"/>
      <c r="L300" s="51" t="s">
        <v>257</v>
      </c>
      <c r="M300" s="51"/>
      <c r="N300" s="51"/>
      <c r="O300" s="51"/>
      <c r="P300" s="51"/>
      <c r="Q300" s="51"/>
      <c r="R300" s="51"/>
      <c r="S300" s="51"/>
      <c r="T300" s="51"/>
    </row>
    <row r="301">
      <c r="A301" s="51"/>
      <c r="B301" s="51"/>
      <c r="C301" s="56"/>
      <c r="D301" s="51"/>
      <c r="E301" s="51"/>
      <c r="F301" s="51"/>
      <c r="G301" s="51" t="str">
        <f>IFERROR(__xludf.DUMMYFUNCTION("""COMPUTED_VALUE"""),"#VALUE!")</f>
        <v>#VALUE!</v>
      </c>
      <c r="H301" s="51" t="str">
        <f>IFERROR(__xludf.DUMMYFUNCTION("""COMPUTED_VALUE"""),"")</f>
        <v/>
      </c>
      <c r="I301" s="51" t="str">
        <f>IFERROR(__xludf.DUMMYFUNCTION("""COMPUTED_VALUE"""),"#VALUE!")</f>
        <v>#VALUE!</v>
      </c>
      <c r="J301" s="51" t="str">
        <f>IFERROR(__xludf.DUMMYFUNCTION("""COMPUTED_VALUE"""),"")</f>
        <v/>
      </c>
      <c r="K301" s="51"/>
      <c r="L301" s="51" t="s">
        <v>257</v>
      </c>
      <c r="M301" s="51"/>
      <c r="N301" s="51"/>
      <c r="O301" s="51"/>
      <c r="P301" s="51"/>
      <c r="Q301" s="51"/>
      <c r="R301" s="51"/>
      <c r="S301" s="51"/>
      <c r="T301" s="51"/>
    </row>
    <row r="302">
      <c r="A302" s="51"/>
      <c r="B302" s="51"/>
      <c r="C302" s="56"/>
      <c r="D302" s="51"/>
      <c r="E302" s="51"/>
      <c r="F302" s="51"/>
      <c r="G302" s="51" t="str">
        <f>IFERROR(__xludf.DUMMYFUNCTION("""COMPUTED_VALUE"""),"#VALUE!")</f>
        <v>#VALUE!</v>
      </c>
      <c r="H302" s="51" t="str">
        <f>IFERROR(__xludf.DUMMYFUNCTION("""COMPUTED_VALUE"""),"")</f>
        <v/>
      </c>
      <c r="I302" s="51" t="str">
        <f>IFERROR(__xludf.DUMMYFUNCTION("""COMPUTED_VALUE"""),"#VALUE!")</f>
        <v>#VALUE!</v>
      </c>
      <c r="J302" s="51" t="str">
        <f>IFERROR(__xludf.DUMMYFUNCTION("""COMPUTED_VALUE"""),"")</f>
        <v/>
      </c>
      <c r="K302" s="51"/>
      <c r="L302" s="51" t="s">
        <v>257</v>
      </c>
      <c r="M302" s="51"/>
      <c r="N302" s="51"/>
      <c r="O302" s="51"/>
      <c r="P302" s="51"/>
      <c r="Q302" s="51"/>
      <c r="R302" s="51"/>
      <c r="S302" s="51"/>
      <c r="T302" s="51"/>
    </row>
    <row r="303">
      <c r="A303" s="51"/>
      <c r="B303" s="51"/>
      <c r="C303" s="56"/>
      <c r="D303" s="51"/>
      <c r="E303" s="51"/>
      <c r="F303" s="51"/>
      <c r="G303" s="51" t="str">
        <f>IFERROR(__xludf.DUMMYFUNCTION("""COMPUTED_VALUE"""),"#VALUE!")</f>
        <v>#VALUE!</v>
      </c>
      <c r="H303" s="51" t="str">
        <f>IFERROR(__xludf.DUMMYFUNCTION("""COMPUTED_VALUE"""),"")</f>
        <v/>
      </c>
      <c r="I303" s="51" t="str">
        <f>IFERROR(__xludf.DUMMYFUNCTION("""COMPUTED_VALUE"""),"#VALUE!")</f>
        <v>#VALUE!</v>
      </c>
      <c r="J303" s="51" t="str">
        <f>IFERROR(__xludf.DUMMYFUNCTION("""COMPUTED_VALUE"""),"")</f>
        <v/>
      </c>
      <c r="K303" s="51"/>
      <c r="L303" s="51" t="s">
        <v>257</v>
      </c>
      <c r="M303" s="51"/>
      <c r="N303" s="51"/>
      <c r="O303" s="51"/>
      <c r="P303" s="51"/>
      <c r="Q303" s="51"/>
      <c r="R303" s="51"/>
      <c r="S303" s="51"/>
      <c r="T303" s="51"/>
    </row>
    <row r="304">
      <c r="A304" s="51"/>
      <c r="B304" s="51"/>
      <c r="C304" s="56"/>
      <c r="D304" s="51"/>
      <c r="E304" s="51"/>
      <c r="F304" s="51"/>
      <c r="G304" s="51" t="str">
        <f>IFERROR(__xludf.DUMMYFUNCTION("""COMPUTED_VALUE"""),"#VALUE!")</f>
        <v>#VALUE!</v>
      </c>
      <c r="H304" s="51" t="str">
        <f>IFERROR(__xludf.DUMMYFUNCTION("""COMPUTED_VALUE"""),"")</f>
        <v/>
      </c>
      <c r="I304" s="51" t="str">
        <f>IFERROR(__xludf.DUMMYFUNCTION("""COMPUTED_VALUE"""),"#VALUE!")</f>
        <v>#VALUE!</v>
      </c>
      <c r="J304" s="51" t="str">
        <f>IFERROR(__xludf.DUMMYFUNCTION("""COMPUTED_VALUE"""),"")</f>
        <v/>
      </c>
      <c r="K304" s="51"/>
      <c r="L304" s="51" t="s">
        <v>257</v>
      </c>
      <c r="M304" s="51"/>
      <c r="N304" s="51"/>
      <c r="O304" s="51"/>
      <c r="P304" s="51"/>
      <c r="Q304" s="51"/>
      <c r="R304" s="51"/>
      <c r="S304" s="51"/>
      <c r="T304" s="51"/>
    </row>
    <row r="305">
      <c r="A305" s="51"/>
      <c r="B305" s="51"/>
      <c r="C305" s="56"/>
      <c r="D305" s="51"/>
      <c r="E305" s="51"/>
      <c r="F305" s="51"/>
      <c r="G305" s="51" t="str">
        <f>IFERROR(__xludf.DUMMYFUNCTION("""COMPUTED_VALUE"""),"#VALUE!")</f>
        <v>#VALUE!</v>
      </c>
      <c r="H305" s="51" t="str">
        <f>IFERROR(__xludf.DUMMYFUNCTION("""COMPUTED_VALUE"""),"")</f>
        <v/>
      </c>
      <c r="I305" s="51" t="str">
        <f>IFERROR(__xludf.DUMMYFUNCTION("""COMPUTED_VALUE"""),"#VALUE!")</f>
        <v>#VALUE!</v>
      </c>
      <c r="J305" s="51" t="str">
        <f>IFERROR(__xludf.DUMMYFUNCTION("""COMPUTED_VALUE"""),"")</f>
        <v/>
      </c>
      <c r="K305" s="51"/>
      <c r="L305" s="51" t="s">
        <v>257</v>
      </c>
      <c r="M305" s="51"/>
      <c r="N305" s="51"/>
      <c r="O305" s="51"/>
      <c r="P305" s="51"/>
      <c r="Q305" s="51"/>
      <c r="R305" s="51"/>
      <c r="S305" s="51"/>
      <c r="T305" s="51"/>
    </row>
    <row r="306">
      <c r="A306" s="51"/>
      <c r="B306" s="51"/>
      <c r="C306" s="56"/>
      <c r="D306" s="51"/>
      <c r="E306" s="51"/>
      <c r="F306" s="51"/>
      <c r="G306" s="51" t="str">
        <f>IFERROR(__xludf.DUMMYFUNCTION("""COMPUTED_VALUE"""),"#VALUE!")</f>
        <v>#VALUE!</v>
      </c>
      <c r="H306" s="51" t="str">
        <f>IFERROR(__xludf.DUMMYFUNCTION("""COMPUTED_VALUE"""),"")</f>
        <v/>
      </c>
      <c r="I306" s="51" t="str">
        <f>IFERROR(__xludf.DUMMYFUNCTION("""COMPUTED_VALUE"""),"#VALUE!")</f>
        <v>#VALUE!</v>
      </c>
      <c r="J306" s="51" t="str">
        <f>IFERROR(__xludf.DUMMYFUNCTION("""COMPUTED_VALUE"""),"")</f>
        <v/>
      </c>
      <c r="K306" s="51"/>
      <c r="L306" s="51" t="s">
        <v>257</v>
      </c>
      <c r="M306" s="51"/>
      <c r="N306" s="51"/>
      <c r="O306" s="51"/>
      <c r="P306" s="51"/>
      <c r="Q306" s="51"/>
      <c r="R306" s="51"/>
      <c r="S306" s="51"/>
      <c r="T306" s="51"/>
    </row>
    <row r="307">
      <c r="A307" s="51"/>
      <c r="B307" s="51"/>
      <c r="C307" s="56"/>
      <c r="D307" s="51"/>
      <c r="E307" s="51"/>
      <c r="F307" s="51"/>
      <c r="G307" s="51" t="str">
        <f>IFERROR(__xludf.DUMMYFUNCTION("""COMPUTED_VALUE"""),"#VALUE!")</f>
        <v>#VALUE!</v>
      </c>
      <c r="H307" s="51" t="str">
        <f>IFERROR(__xludf.DUMMYFUNCTION("""COMPUTED_VALUE"""),"")</f>
        <v/>
      </c>
      <c r="I307" s="51" t="str">
        <f>IFERROR(__xludf.DUMMYFUNCTION("""COMPUTED_VALUE"""),"#VALUE!")</f>
        <v>#VALUE!</v>
      </c>
      <c r="J307" s="51" t="str">
        <f>IFERROR(__xludf.DUMMYFUNCTION("""COMPUTED_VALUE"""),"")</f>
        <v/>
      </c>
      <c r="K307" s="51"/>
      <c r="L307" s="51" t="s">
        <v>257</v>
      </c>
      <c r="M307" s="51"/>
      <c r="N307" s="51"/>
      <c r="O307" s="51"/>
      <c r="P307" s="51"/>
      <c r="Q307" s="51"/>
      <c r="R307" s="51"/>
      <c r="S307" s="51"/>
      <c r="T307" s="51"/>
    </row>
    <row r="308">
      <c r="A308" s="51"/>
      <c r="B308" s="51"/>
      <c r="C308" s="56"/>
      <c r="D308" s="51"/>
      <c r="E308" s="51"/>
      <c r="F308" s="51"/>
      <c r="G308" s="51" t="str">
        <f>IFERROR(__xludf.DUMMYFUNCTION("""COMPUTED_VALUE"""),"#VALUE!")</f>
        <v>#VALUE!</v>
      </c>
      <c r="H308" s="51" t="str">
        <f>IFERROR(__xludf.DUMMYFUNCTION("""COMPUTED_VALUE"""),"")</f>
        <v/>
      </c>
      <c r="I308" s="51" t="str">
        <f>IFERROR(__xludf.DUMMYFUNCTION("""COMPUTED_VALUE"""),"#VALUE!")</f>
        <v>#VALUE!</v>
      </c>
      <c r="J308" s="51" t="str">
        <f>IFERROR(__xludf.DUMMYFUNCTION("""COMPUTED_VALUE"""),"")</f>
        <v/>
      </c>
      <c r="K308" s="51"/>
      <c r="L308" s="51" t="s">
        <v>257</v>
      </c>
      <c r="M308" s="51"/>
      <c r="N308" s="51"/>
      <c r="O308" s="51"/>
      <c r="P308" s="51"/>
      <c r="Q308" s="51"/>
      <c r="R308" s="51"/>
      <c r="S308" s="51"/>
      <c r="T308" s="51"/>
    </row>
    <row r="309">
      <c r="A309" s="51"/>
      <c r="B309" s="51"/>
      <c r="C309" s="56"/>
      <c r="D309" s="51"/>
      <c r="E309" s="51"/>
      <c r="F309" s="51"/>
      <c r="G309" s="51" t="str">
        <f>IFERROR(__xludf.DUMMYFUNCTION("""COMPUTED_VALUE"""),"#VALUE!")</f>
        <v>#VALUE!</v>
      </c>
      <c r="H309" s="51" t="str">
        <f>IFERROR(__xludf.DUMMYFUNCTION("""COMPUTED_VALUE"""),"")</f>
        <v/>
      </c>
      <c r="I309" s="51" t="str">
        <f>IFERROR(__xludf.DUMMYFUNCTION("""COMPUTED_VALUE"""),"#VALUE!")</f>
        <v>#VALUE!</v>
      </c>
      <c r="J309" s="51" t="str">
        <f>IFERROR(__xludf.DUMMYFUNCTION("""COMPUTED_VALUE"""),"")</f>
        <v/>
      </c>
      <c r="K309" s="51"/>
      <c r="L309" s="51" t="s">
        <v>257</v>
      </c>
      <c r="M309" s="51"/>
      <c r="N309" s="51"/>
      <c r="O309" s="51"/>
      <c r="P309" s="51"/>
      <c r="Q309" s="51"/>
      <c r="R309" s="51"/>
      <c r="S309" s="51"/>
      <c r="T309" s="51"/>
    </row>
    <row r="310">
      <c r="A310" s="51"/>
      <c r="B310" s="51"/>
      <c r="C310" s="56"/>
      <c r="D310" s="51"/>
      <c r="E310" s="51"/>
      <c r="F310" s="51"/>
      <c r="G310" s="51" t="str">
        <f>IFERROR(__xludf.DUMMYFUNCTION("""COMPUTED_VALUE"""),"#VALUE!")</f>
        <v>#VALUE!</v>
      </c>
      <c r="H310" s="51" t="str">
        <f>IFERROR(__xludf.DUMMYFUNCTION("""COMPUTED_VALUE"""),"")</f>
        <v/>
      </c>
      <c r="I310" s="51" t="str">
        <f>IFERROR(__xludf.DUMMYFUNCTION("""COMPUTED_VALUE"""),"#VALUE!")</f>
        <v>#VALUE!</v>
      </c>
      <c r="J310" s="51" t="str">
        <f>IFERROR(__xludf.DUMMYFUNCTION("""COMPUTED_VALUE"""),"")</f>
        <v/>
      </c>
      <c r="K310" s="51"/>
      <c r="L310" s="51" t="s">
        <v>257</v>
      </c>
      <c r="M310" s="51"/>
      <c r="N310" s="51"/>
      <c r="O310" s="51"/>
      <c r="P310" s="51"/>
      <c r="Q310" s="51"/>
      <c r="R310" s="51"/>
      <c r="S310" s="51"/>
      <c r="T310" s="51"/>
    </row>
    <row r="311">
      <c r="A311" s="51"/>
      <c r="B311" s="51"/>
      <c r="C311" s="56"/>
      <c r="D311" s="51"/>
      <c r="E311" s="51"/>
      <c r="F311" s="51"/>
      <c r="G311" s="51" t="str">
        <f>IFERROR(__xludf.DUMMYFUNCTION("""COMPUTED_VALUE"""),"#VALUE!")</f>
        <v>#VALUE!</v>
      </c>
      <c r="H311" s="51" t="str">
        <f>IFERROR(__xludf.DUMMYFUNCTION("""COMPUTED_VALUE"""),"")</f>
        <v/>
      </c>
      <c r="I311" s="51" t="str">
        <f>IFERROR(__xludf.DUMMYFUNCTION("""COMPUTED_VALUE"""),"#VALUE!")</f>
        <v>#VALUE!</v>
      </c>
      <c r="J311" s="51" t="str">
        <f>IFERROR(__xludf.DUMMYFUNCTION("""COMPUTED_VALUE"""),"")</f>
        <v/>
      </c>
      <c r="K311" s="51"/>
      <c r="L311" s="51" t="s">
        <v>257</v>
      </c>
      <c r="M311" s="51"/>
      <c r="N311" s="51"/>
      <c r="O311" s="51"/>
      <c r="P311" s="51"/>
      <c r="Q311" s="51"/>
      <c r="R311" s="51"/>
      <c r="S311" s="51"/>
      <c r="T311" s="51"/>
    </row>
    <row r="312">
      <c r="A312" s="51"/>
      <c r="B312" s="51"/>
      <c r="C312" s="56"/>
      <c r="D312" s="51"/>
      <c r="E312" s="51"/>
      <c r="F312" s="51"/>
      <c r="G312" s="51" t="str">
        <f>IFERROR(__xludf.DUMMYFUNCTION("""COMPUTED_VALUE"""),"#VALUE!")</f>
        <v>#VALUE!</v>
      </c>
      <c r="H312" s="51" t="str">
        <f>IFERROR(__xludf.DUMMYFUNCTION("""COMPUTED_VALUE"""),"")</f>
        <v/>
      </c>
      <c r="I312" s="51" t="str">
        <f>IFERROR(__xludf.DUMMYFUNCTION("""COMPUTED_VALUE"""),"#VALUE!")</f>
        <v>#VALUE!</v>
      </c>
      <c r="J312" s="51" t="str">
        <f>IFERROR(__xludf.DUMMYFUNCTION("""COMPUTED_VALUE"""),"")</f>
        <v/>
      </c>
      <c r="K312" s="51"/>
      <c r="L312" s="51" t="s">
        <v>257</v>
      </c>
      <c r="M312" s="51"/>
      <c r="N312" s="51"/>
      <c r="O312" s="51"/>
      <c r="P312" s="51"/>
      <c r="Q312" s="51"/>
      <c r="R312" s="51"/>
      <c r="S312" s="51"/>
      <c r="T312" s="51"/>
    </row>
    <row r="313">
      <c r="A313" s="51"/>
      <c r="B313" s="51"/>
      <c r="C313" s="56"/>
      <c r="D313" s="51"/>
      <c r="E313" s="51"/>
      <c r="F313" s="51"/>
      <c r="G313" s="51" t="str">
        <f>IFERROR(__xludf.DUMMYFUNCTION("""COMPUTED_VALUE"""),"#VALUE!")</f>
        <v>#VALUE!</v>
      </c>
      <c r="H313" s="51" t="str">
        <f>IFERROR(__xludf.DUMMYFUNCTION("""COMPUTED_VALUE"""),"")</f>
        <v/>
      </c>
      <c r="I313" s="51" t="str">
        <f>IFERROR(__xludf.DUMMYFUNCTION("""COMPUTED_VALUE"""),"#VALUE!")</f>
        <v>#VALUE!</v>
      </c>
      <c r="J313" s="51" t="str">
        <f>IFERROR(__xludf.DUMMYFUNCTION("""COMPUTED_VALUE"""),"")</f>
        <v/>
      </c>
      <c r="K313" s="51"/>
      <c r="L313" s="51" t="s">
        <v>257</v>
      </c>
      <c r="M313" s="51"/>
      <c r="N313" s="51"/>
      <c r="O313" s="51"/>
      <c r="P313" s="51"/>
      <c r="Q313" s="51"/>
      <c r="R313" s="51"/>
      <c r="S313" s="51"/>
      <c r="T313" s="51"/>
    </row>
    <row r="314">
      <c r="A314" s="51"/>
      <c r="B314" s="51"/>
      <c r="C314" s="56"/>
      <c r="D314" s="51"/>
      <c r="E314" s="51"/>
      <c r="F314" s="51"/>
      <c r="G314" s="51" t="str">
        <f>IFERROR(__xludf.DUMMYFUNCTION("""COMPUTED_VALUE"""),"#VALUE!")</f>
        <v>#VALUE!</v>
      </c>
      <c r="H314" s="51" t="str">
        <f>IFERROR(__xludf.DUMMYFUNCTION("""COMPUTED_VALUE"""),"")</f>
        <v/>
      </c>
      <c r="I314" s="51" t="str">
        <f>IFERROR(__xludf.DUMMYFUNCTION("""COMPUTED_VALUE"""),"#VALUE!")</f>
        <v>#VALUE!</v>
      </c>
      <c r="J314" s="51" t="str">
        <f>IFERROR(__xludf.DUMMYFUNCTION("""COMPUTED_VALUE"""),"")</f>
        <v/>
      </c>
      <c r="K314" s="51"/>
      <c r="L314" s="51" t="s">
        <v>257</v>
      </c>
      <c r="M314" s="51"/>
      <c r="N314" s="51"/>
      <c r="O314" s="51"/>
      <c r="P314" s="51"/>
      <c r="Q314" s="51"/>
      <c r="R314" s="51"/>
      <c r="S314" s="51"/>
      <c r="T314" s="51"/>
    </row>
    <row r="315">
      <c r="A315" s="51"/>
      <c r="B315" s="51"/>
      <c r="C315" s="56"/>
      <c r="D315" s="51"/>
      <c r="E315" s="51"/>
      <c r="F315" s="51"/>
      <c r="G315" s="51" t="str">
        <f>IFERROR(__xludf.DUMMYFUNCTION("""COMPUTED_VALUE"""),"#VALUE!")</f>
        <v>#VALUE!</v>
      </c>
      <c r="H315" s="51" t="str">
        <f>IFERROR(__xludf.DUMMYFUNCTION("""COMPUTED_VALUE"""),"")</f>
        <v/>
      </c>
      <c r="I315" s="51" t="str">
        <f>IFERROR(__xludf.DUMMYFUNCTION("""COMPUTED_VALUE"""),"#VALUE!")</f>
        <v>#VALUE!</v>
      </c>
      <c r="J315" s="51" t="str">
        <f>IFERROR(__xludf.DUMMYFUNCTION("""COMPUTED_VALUE"""),"")</f>
        <v/>
      </c>
      <c r="K315" s="51"/>
      <c r="L315" s="51" t="s">
        <v>257</v>
      </c>
      <c r="M315" s="51"/>
      <c r="N315" s="51"/>
      <c r="O315" s="51"/>
      <c r="P315" s="51"/>
      <c r="Q315" s="51"/>
      <c r="R315" s="51"/>
      <c r="S315" s="51"/>
      <c r="T315" s="51"/>
    </row>
    <row r="316">
      <c r="A316" s="51"/>
      <c r="B316" s="51"/>
      <c r="C316" s="56"/>
      <c r="D316" s="51"/>
      <c r="E316" s="51"/>
      <c r="F316" s="51"/>
      <c r="G316" s="51" t="str">
        <f>IFERROR(__xludf.DUMMYFUNCTION("""COMPUTED_VALUE"""),"#VALUE!")</f>
        <v>#VALUE!</v>
      </c>
      <c r="H316" s="51" t="str">
        <f>IFERROR(__xludf.DUMMYFUNCTION("""COMPUTED_VALUE"""),"")</f>
        <v/>
      </c>
      <c r="I316" s="51" t="str">
        <f>IFERROR(__xludf.DUMMYFUNCTION("""COMPUTED_VALUE"""),"#VALUE!")</f>
        <v>#VALUE!</v>
      </c>
      <c r="J316" s="51" t="str">
        <f>IFERROR(__xludf.DUMMYFUNCTION("""COMPUTED_VALUE"""),"")</f>
        <v/>
      </c>
      <c r="K316" s="51"/>
      <c r="L316" s="51" t="s">
        <v>257</v>
      </c>
      <c r="M316" s="51"/>
      <c r="N316" s="51"/>
      <c r="O316" s="51"/>
      <c r="P316" s="51"/>
      <c r="Q316" s="51"/>
      <c r="R316" s="51"/>
      <c r="S316" s="51"/>
      <c r="T316" s="51"/>
    </row>
    <row r="317">
      <c r="A317" s="51"/>
      <c r="B317" s="51"/>
      <c r="C317" s="56"/>
      <c r="D317" s="51"/>
      <c r="E317" s="51"/>
      <c r="F317" s="51"/>
      <c r="G317" s="51" t="str">
        <f>IFERROR(__xludf.DUMMYFUNCTION("""COMPUTED_VALUE"""),"#VALUE!")</f>
        <v>#VALUE!</v>
      </c>
      <c r="H317" s="51" t="str">
        <f>IFERROR(__xludf.DUMMYFUNCTION("""COMPUTED_VALUE"""),"")</f>
        <v/>
      </c>
      <c r="I317" s="51" t="str">
        <f>IFERROR(__xludf.DUMMYFUNCTION("""COMPUTED_VALUE"""),"#VALUE!")</f>
        <v>#VALUE!</v>
      </c>
      <c r="J317" s="51" t="str">
        <f>IFERROR(__xludf.DUMMYFUNCTION("""COMPUTED_VALUE"""),"")</f>
        <v/>
      </c>
      <c r="K317" s="51"/>
      <c r="L317" s="51" t="s">
        <v>257</v>
      </c>
      <c r="M317" s="51"/>
      <c r="N317" s="51"/>
      <c r="O317" s="51"/>
      <c r="P317" s="51"/>
      <c r="Q317" s="51"/>
      <c r="R317" s="51"/>
      <c r="S317" s="51"/>
      <c r="T317" s="51"/>
    </row>
    <row r="318">
      <c r="A318" s="51"/>
      <c r="B318" s="51"/>
      <c r="C318" s="56"/>
      <c r="D318" s="51"/>
      <c r="E318" s="51"/>
      <c r="F318" s="51"/>
      <c r="G318" s="51" t="str">
        <f>IFERROR(__xludf.DUMMYFUNCTION("""COMPUTED_VALUE"""),"#VALUE!")</f>
        <v>#VALUE!</v>
      </c>
      <c r="H318" s="51" t="str">
        <f>IFERROR(__xludf.DUMMYFUNCTION("""COMPUTED_VALUE"""),"")</f>
        <v/>
      </c>
      <c r="I318" s="51" t="str">
        <f>IFERROR(__xludf.DUMMYFUNCTION("""COMPUTED_VALUE"""),"#VALUE!")</f>
        <v>#VALUE!</v>
      </c>
      <c r="J318" s="51" t="str">
        <f>IFERROR(__xludf.DUMMYFUNCTION("""COMPUTED_VALUE"""),"")</f>
        <v/>
      </c>
      <c r="K318" s="51"/>
      <c r="L318" s="51" t="s">
        <v>257</v>
      </c>
      <c r="M318" s="51"/>
      <c r="N318" s="51"/>
      <c r="O318" s="51"/>
      <c r="P318" s="51"/>
      <c r="Q318" s="51"/>
      <c r="R318" s="51"/>
      <c r="S318" s="51"/>
      <c r="T318" s="51"/>
    </row>
    <row r="319">
      <c r="A319" s="51"/>
      <c r="B319" s="51"/>
      <c r="C319" s="56"/>
      <c r="D319" s="51"/>
      <c r="E319" s="51"/>
      <c r="F319" s="51"/>
      <c r="G319" s="51" t="str">
        <f>IFERROR(__xludf.DUMMYFUNCTION("""COMPUTED_VALUE"""),"#VALUE!")</f>
        <v>#VALUE!</v>
      </c>
      <c r="H319" s="51" t="str">
        <f>IFERROR(__xludf.DUMMYFUNCTION("""COMPUTED_VALUE"""),"")</f>
        <v/>
      </c>
      <c r="I319" s="51" t="str">
        <f>IFERROR(__xludf.DUMMYFUNCTION("""COMPUTED_VALUE"""),"#VALUE!")</f>
        <v>#VALUE!</v>
      </c>
      <c r="J319" s="51" t="str">
        <f>IFERROR(__xludf.DUMMYFUNCTION("""COMPUTED_VALUE"""),"")</f>
        <v/>
      </c>
      <c r="K319" s="51"/>
      <c r="L319" s="51" t="s">
        <v>257</v>
      </c>
      <c r="M319" s="51"/>
      <c r="N319" s="51"/>
      <c r="O319" s="51"/>
      <c r="P319" s="51"/>
      <c r="Q319" s="51"/>
      <c r="R319" s="51"/>
      <c r="S319" s="51"/>
      <c r="T319" s="51"/>
    </row>
    <row r="320">
      <c r="A320" s="51"/>
      <c r="B320" s="51"/>
      <c r="C320" s="56"/>
      <c r="D320" s="51"/>
      <c r="E320" s="51"/>
      <c r="F320" s="51"/>
      <c r="G320" s="51" t="str">
        <f>IFERROR(__xludf.DUMMYFUNCTION("""COMPUTED_VALUE"""),"#VALUE!")</f>
        <v>#VALUE!</v>
      </c>
      <c r="H320" s="51" t="str">
        <f>IFERROR(__xludf.DUMMYFUNCTION("""COMPUTED_VALUE"""),"")</f>
        <v/>
      </c>
      <c r="I320" s="51" t="str">
        <f>IFERROR(__xludf.DUMMYFUNCTION("""COMPUTED_VALUE"""),"#VALUE!")</f>
        <v>#VALUE!</v>
      </c>
      <c r="J320" s="51" t="str">
        <f>IFERROR(__xludf.DUMMYFUNCTION("""COMPUTED_VALUE"""),"")</f>
        <v/>
      </c>
      <c r="K320" s="51"/>
      <c r="L320" s="51" t="s">
        <v>257</v>
      </c>
      <c r="M320" s="51"/>
      <c r="N320" s="51"/>
      <c r="O320" s="51"/>
      <c r="P320" s="51"/>
      <c r="Q320" s="51"/>
      <c r="R320" s="51"/>
      <c r="S320" s="51"/>
      <c r="T320" s="51"/>
    </row>
    <row r="321">
      <c r="A321" s="51"/>
      <c r="B321" s="51"/>
      <c r="C321" s="56"/>
      <c r="D321" s="51"/>
      <c r="E321" s="51"/>
      <c r="F321" s="51"/>
      <c r="G321" s="51" t="str">
        <f>IFERROR(__xludf.DUMMYFUNCTION("""COMPUTED_VALUE"""),"#VALUE!")</f>
        <v>#VALUE!</v>
      </c>
      <c r="H321" s="51" t="str">
        <f>IFERROR(__xludf.DUMMYFUNCTION("""COMPUTED_VALUE"""),"")</f>
        <v/>
      </c>
      <c r="I321" s="51" t="str">
        <f>IFERROR(__xludf.DUMMYFUNCTION("""COMPUTED_VALUE"""),"#VALUE!")</f>
        <v>#VALUE!</v>
      </c>
      <c r="J321" s="51" t="str">
        <f>IFERROR(__xludf.DUMMYFUNCTION("""COMPUTED_VALUE"""),"")</f>
        <v/>
      </c>
      <c r="K321" s="51"/>
      <c r="L321" s="51" t="s">
        <v>257</v>
      </c>
      <c r="M321" s="51"/>
      <c r="N321" s="51"/>
      <c r="O321" s="51"/>
      <c r="P321" s="51"/>
      <c r="Q321" s="51"/>
      <c r="R321" s="51"/>
      <c r="S321" s="51"/>
      <c r="T321" s="51"/>
    </row>
    <row r="322">
      <c r="A322" s="51"/>
      <c r="B322" s="51"/>
      <c r="C322" s="56"/>
      <c r="D322" s="51"/>
      <c r="E322" s="51"/>
      <c r="F322" s="51"/>
      <c r="G322" s="51" t="str">
        <f>IFERROR(__xludf.DUMMYFUNCTION("""COMPUTED_VALUE"""),"#VALUE!")</f>
        <v>#VALUE!</v>
      </c>
      <c r="H322" s="51" t="str">
        <f>IFERROR(__xludf.DUMMYFUNCTION("""COMPUTED_VALUE"""),"")</f>
        <v/>
      </c>
      <c r="I322" s="51" t="str">
        <f>IFERROR(__xludf.DUMMYFUNCTION("""COMPUTED_VALUE"""),"#VALUE!")</f>
        <v>#VALUE!</v>
      </c>
      <c r="J322" s="51" t="str">
        <f>IFERROR(__xludf.DUMMYFUNCTION("""COMPUTED_VALUE"""),"")</f>
        <v/>
      </c>
      <c r="K322" s="51"/>
      <c r="L322" s="51" t="s">
        <v>257</v>
      </c>
      <c r="M322" s="51"/>
      <c r="N322" s="51"/>
      <c r="O322" s="51"/>
      <c r="P322" s="51"/>
      <c r="Q322" s="51"/>
      <c r="R322" s="51"/>
      <c r="S322" s="51"/>
      <c r="T322" s="51"/>
    </row>
    <row r="323">
      <c r="A323" s="51"/>
      <c r="B323" s="51"/>
      <c r="C323" s="56"/>
      <c r="D323" s="51"/>
      <c r="E323" s="51"/>
      <c r="F323" s="51"/>
      <c r="G323" s="51" t="str">
        <f>IFERROR(__xludf.DUMMYFUNCTION("""COMPUTED_VALUE"""),"#VALUE!")</f>
        <v>#VALUE!</v>
      </c>
      <c r="H323" s="51" t="str">
        <f>IFERROR(__xludf.DUMMYFUNCTION("""COMPUTED_VALUE"""),"")</f>
        <v/>
      </c>
      <c r="I323" s="51" t="str">
        <f>IFERROR(__xludf.DUMMYFUNCTION("""COMPUTED_VALUE"""),"#VALUE!")</f>
        <v>#VALUE!</v>
      </c>
      <c r="J323" s="51" t="str">
        <f>IFERROR(__xludf.DUMMYFUNCTION("""COMPUTED_VALUE"""),"")</f>
        <v/>
      </c>
      <c r="K323" s="51"/>
      <c r="L323" s="51" t="s">
        <v>257</v>
      </c>
      <c r="M323" s="51"/>
      <c r="N323" s="51"/>
      <c r="O323" s="51"/>
      <c r="P323" s="51"/>
      <c r="Q323" s="51"/>
      <c r="R323" s="51"/>
      <c r="S323" s="51"/>
      <c r="T323" s="51"/>
    </row>
    <row r="324">
      <c r="A324" s="51"/>
      <c r="B324" s="51"/>
      <c r="C324" s="56"/>
      <c r="D324" s="51"/>
      <c r="E324" s="51"/>
      <c r="F324" s="51"/>
      <c r="G324" s="51" t="str">
        <f>IFERROR(__xludf.DUMMYFUNCTION("""COMPUTED_VALUE"""),"#VALUE!")</f>
        <v>#VALUE!</v>
      </c>
      <c r="H324" s="51" t="str">
        <f>IFERROR(__xludf.DUMMYFUNCTION("""COMPUTED_VALUE"""),"")</f>
        <v/>
      </c>
      <c r="I324" s="51" t="str">
        <f>IFERROR(__xludf.DUMMYFUNCTION("""COMPUTED_VALUE"""),"#VALUE!")</f>
        <v>#VALUE!</v>
      </c>
      <c r="J324" s="51" t="str">
        <f>IFERROR(__xludf.DUMMYFUNCTION("""COMPUTED_VALUE"""),"")</f>
        <v/>
      </c>
      <c r="K324" s="51"/>
      <c r="L324" s="51" t="s">
        <v>257</v>
      </c>
      <c r="M324" s="51"/>
      <c r="N324" s="51"/>
      <c r="O324" s="51"/>
      <c r="P324" s="51"/>
      <c r="Q324" s="51"/>
      <c r="R324" s="51"/>
      <c r="S324" s="51"/>
      <c r="T324" s="51"/>
    </row>
    <row r="325">
      <c r="A325" s="51"/>
      <c r="B325" s="51"/>
      <c r="C325" s="56"/>
      <c r="D325" s="51"/>
      <c r="E325" s="51"/>
      <c r="F325" s="51"/>
      <c r="G325" s="51" t="str">
        <f>IFERROR(__xludf.DUMMYFUNCTION("""COMPUTED_VALUE"""),"#VALUE!")</f>
        <v>#VALUE!</v>
      </c>
      <c r="H325" s="51" t="str">
        <f>IFERROR(__xludf.DUMMYFUNCTION("""COMPUTED_VALUE"""),"")</f>
        <v/>
      </c>
      <c r="I325" s="51" t="str">
        <f>IFERROR(__xludf.DUMMYFUNCTION("""COMPUTED_VALUE"""),"#VALUE!")</f>
        <v>#VALUE!</v>
      </c>
      <c r="J325" s="51" t="str">
        <f>IFERROR(__xludf.DUMMYFUNCTION("""COMPUTED_VALUE"""),"")</f>
        <v/>
      </c>
      <c r="K325" s="51"/>
      <c r="L325" s="51" t="s">
        <v>257</v>
      </c>
      <c r="M325" s="51"/>
      <c r="N325" s="51"/>
      <c r="O325" s="51"/>
      <c r="P325" s="51"/>
      <c r="Q325" s="51"/>
      <c r="R325" s="51"/>
      <c r="S325" s="51"/>
      <c r="T325" s="51"/>
    </row>
    <row r="326">
      <c r="A326" s="51"/>
      <c r="B326" s="51"/>
      <c r="C326" s="56"/>
      <c r="D326" s="51"/>
      <c r="E326" s="51"/>
      <c r="F326" s="51"/>
      <c r="G326" s="51" t="str">
        <f>IFERROR(__xludf.DUMMYFUNCTION("""COMPUTED_VALUE"""),"#VALUE!")</f>
        <v>#VALUE!</v>
      </c>
      <c r="H326" s="51" t="str">
        <f>IFERROR(__xludf.DUMMYFUNCTION("""COMPUTED_VALUE"""),"")</f>
        <v/>
      </c>
      <c r="I326" s="51" t="str">
        <f>IFERROR(__xludf.DUMMYFUNCTION("""COMPUTED_VALUE"""),"#VALUE!")</f>
        <v>#VALUE!</v>
      </c>
      <c r="J326" s="51" t="str">
        <f>IFERROR(__xludf.DUMMYFUNCTION("""COMPUTED_VALUE"""),"")</f>
        <v/>
      </c>
      <c r="K326" s="51"/>
      <c r="L326" s="51" t="s">
        <v>257</v>
      </c>
      <c r="M326" s="51"/>
      <c r="N326" s="51"/>
      <c r="O326" s="51"/>
      <c r="P326" s="51"/>
      <c r="Q326" s="51"/>
      <c r="R326" s="51"/>
      <c r="S326" s="51"/>
      <c r="T326" s="51"/>
    </row>
    <row r="327">
      <c r="A327" s="51"/>
      <c r="B327" s="51"/>
      <c r="C327" s="56"/>
      <c r="D327" s="51"/>
      <c r="E327" s="51"/>
      <c r="F327" s="51"/>
      <c r="G327" s="51" t="str">
        <f>IFERROR(__xludf.DUMMYFUNCTION("""COMPUTED_VALUE"""),"#VALUE!")</f>
        <v>#VALUE!</v>
      </c>
      <c r="H327" s="51" t="str">
        <f>IFERROR(__xludf.DUMMYFUNCTION("""COMPUTED_VALUE"""),"")</f>
        <v/>
      </c>
      <c r="I327" s="51" t="str">
        <f>IFERROR(__xludf.DUMMYFUNCTION("""COMPUTED_VALUE"""),"#VALUE!")</f>
        <v>#VALUE!</v>
      </c>
      <c r="J327" s="51" t="str">
        <f>IFERROR(__xludf.DUMMYFUNCTION("""COMPUTED_VALUE"""),"")</f>
        <v/>
      </c>
      <c r="K327" s="51"/>
      <c r="L327" s="51" t="s">
        <v>257</v>
      </c>
      <c r="M327" s="51"/>
      <c r="N327" s="51"/>
      <c r="O327" s="51"/>
      <c r="P327" s="51"/>
      <c r="Q327" s="51"/>
      <c r="R327" s="51"/>
      <c r="S327" s="51"/>
      <c r="T327" s="51"/>
    </row>
    <row r="328">
      <c r="A328" s="51"/>
      <c r="B328" s="51"/>
      <c r="C328" s="56"/>
      <c r="D328" s="51"/>
      <c r="E328" s="51"/>
      <c r="F328" s="51"/>
      <c r="G328" s="51" t="str">
        <f>IFERROR(__xludf.DUMMYFUNCTION("""COMPUTED_VALUE"""),"#VALUE!")</f>
        <v>#VALUE!</v>
      </c>
      <c r="H328" s="51" t="str">
        <f>IFERROR(__xludf.DUMMYFUNCTION("""COMPUTED_VALUE"""),"")</f>
        <v/>
      </c>
      <c r="I328" s="51" t="str">
        <f>IFERROR(__xludf.DUMMYFUNCTION("""COMPUTED_VALUE"""),"#VALUE!")</f>
        <v>#VALUE!</v>
      </c>
      <c r="J328" s="51" t="str">
        <f>IFERROR(__xludf.DUMMYFUNCTION("""COMPUTED_VALUE"""),"")</f>
        <v/>
      </c>
      <c r="K328" s="51"/>
      <c r="L328" s="51" t="s">
        <v>257</v>
      </c>
      <c r="M328" s="51"/>
      <c r="N328" s="51"/>
      <c r="O328" s="51"/>
      <c r="P328" s="51"/>
      <c r="Q328" s="51"/>
      <c r="R328" s="51"/>
      <c r="S328" s="51"/>
      <c r="T328" s="51"/>
    </row>
    <row r="329">
      <c r="A329" s="51"/>
      <c r="B329" s="51"/>
      <c r="C329" s="56"/>
      <c r="D329" s="51"/>
      <c r="E329" s="51"/>
      <c r="F329" s="51"/>
      <c r="G329" s="51" t="str">
        <f>IFERROR(__xludf.DUMMYFUNCTION("""COMPUTED_VALUE"""),"#VALUE!")</f>
        <v>#VALUE!</v>
      </c>
      <c r="H329" s="51" t="str">
        <f>IFERROR(__xludf.DUMMYFUNCTION("""COMPUTED_VALUE"""),"")</f>
        <v/>
      </c>
      <c r="I329" s="51" t="str">
        <f>IFERROR(__xludf.DUMMYFUNCTION("""COMPUTED_VALUE"""),"#VALUE!")</f>
        <v>#VALUE!</v>
      </c>
      <c r="J329" s="51" t="str">
        <f>IFERROR(__xludf.DUMMYFUNCTION("""COMPUTED_VALUE"""),"")</f>
        <v/>
      </c>
      <c r="K329" s="51"/>
      <c r="L329" s="51" t="s">
        <v>257</v>
      </c>
      <c r="M329" s="51"/>
      <c r="N329" s="51"/>
      <c r="O329" s="51"/>
      <c r="P329" s="51"/>
      <c r="Q329" s="51"/>
      <c r="R329" s="51"/>
      <c r="S329" s="51"/>
      <c r="T329" s="51"/>
    </row>
    <row r="330">
      <c r="A330" s="51"/>
      <c r="B330" s="51"/>
      <c r="C330" s="56"/>
      <c r="D330" s="51"/>
      <c r="E330" s="51"/>
      <c r="F330" s="51"/>
      <c r="G330" s="51" t="str">
        <f>IFERROR(__xludf.DUMMYFUNCTION("""COMPUTED_VALUE"""),"#VALUE!")</f>
        <v>#VALUE!</v>
      </c>
      <c r="H330" s="51" t="str">
        <f>IFERROR(__xludf.DUMMYFUNCTION("""COMPUTED_VALUE"""),"")</f>
        <v/>
      </c>
      <c r="I330" s="51" t="str">
        <f>IFERROR(__xludf.DUMMYFUNCTION("""COMPUTED_VALUE"""),"#VALUE!")</f>
        <v>#VALUE!</v>
      </c>
      <c r="J330" s="51" t="str">
        <f>IFERROR(__xludf.DUMMYFUNCTION("""COMPUTED_VALUE"""),"")</f>
        <v/>
      </c>
      <c r="K330" s="51"/>
      <c r="L330" s="51" t="s">
        <v>257</v>
      </c>
      <c r="M330" s="51"/>
      <c r="N330" s="51"/>
      <c r="O330" s="51"/>
      <c r="P330" s="51"/>
      <c r="Q330" s="51"/>
      <c r="R330" s="51"/>
      <c r="S330" s="51"/>
      <c r="T330" s="51"/>
    </row>
    <row r="331">
      <c r="A331" s="51"/>
      <c r="B331" s="51"/>
      <c r="C331" s="56"/>
      <c r="D331" s="51"/>
      <c r="E331" s="51"/>
      <c r="F331" s="51"/>
      <c r="G331" s="51" t="str">
        <f>IFERROR(__xludf.DUMMYFUNCTION("""COMPUTED_VALUE"""),"#VALUE!")</f>
        <v>#VALUE!</v>
      </c>
      <c r="H331" s="51" t="str">
        <f>IFERROR(__xludf.DUMMYFUNCTION("""COMPUTED_VALUE"""),"")</f>
        <v/>
      </c>
      <c r="I331" s="51" t="str">
        <f>IFERROR(__xludf.DUMMYFUNCTION("""COMPUTED_VALUE"""),"#VALUE!")</f>
        <v>#VALUE!</v>
      </c>
      <c r="J331" s="51" t="str">
        <f>IFERROR(__xludf.DUMMYFUNCTION("""COMPUTED_VALUE"""),"")</f>
        <v/>
      </c>
      <c r="K331" s="51"/>
      <c r="L331" s="51" t="s">
        <v>257</v>
      </c>
      <c r="M331" s="51"/>
      <c r="N331" s="51"/>
      <c r="O331" s="51"/>
      <c r="P331" s="51"/>
      <c r="Q331" s="51"/>
      <c r="R331" s="51"/>
      <c r="S331" s="51"/>
      <c r="T331" s="51"/>
    </row>
    <row r="332">
      <c r="A332" s="51"/>
      <c r="B332" s="51"/>
      <c r="C332" s="56"/>
      <c r="D332" s="51"/>
      <c r="E332" s="51"/>
      <c r="F332" s="51"/>
      <c r="G332" s="51" t="str">
        <f>IFERROR(__xludf.DUMMYFUNCTION("""COMPUTED_VALUE"""),"#VALUE!")</f>
        <v>#VALUE!</v>
      </c>
      <c r="H332" s="51" t="str">
        <f>IFERROR(__xludf.DUMMYFUNCTION("""COMPUTED_VALUE"""),"")</f>
        <v/>
      </c>
      <c r="I332" s="51" t="str">
        <f>IFERROR(__xludf.DUMMYFUNCTION("""COMPUTED_VALUE"""),"#VALUE!")</f>
        <v>#VALUE!</v>
      </c>
      <c r="J332" s="51" t="str">
        <f>IFERROR(__xludf.DUMMYFUNCTION("""COMPUTED_VALUE"""),"")</f>
        <v/>
      </c>
      <c r="K332" s="51"/>
      <c r="L332" s="51" t="s">
        <v>257</v>
      </c>
      <c r="M332" s="51"/>
      <c r="N332" s="51"/>
      <c r="O332" s="51"/>
      <c r="P332" s="51"/>
      <c r="Q332" s="51"/>
      <c r="R332" s="51"/>
      <c r="S332" s="51"/>
      <c r="T332" s="51"/>
    </row>
    <row r="333">
      <c r="A333" s="51"/>
      <c r="B333" s="51"/>
      <c r="C333" s="56"/>
      <c r="D333" s="51"/>
      <c r="E333" s="51"/>
      <c r="F333" s="51"/>
      <c r="G333" s="51" t="str">
        <f>IFERROR(__xludf.DUMMYFUNCTION("""COMPUTED_VALUE"""),"#VALUE!")</f>
        <v>#VALUE!</v>
      </c>
      <c r="H333" s="51" t="str">
        <f>IFERROR(__xludf.DUMMYFUNCTION("""COMPUTED_VALUE"""),"")</f>
        <v/>
      </c>
      <c r="I333" s="51" t="str">
        <f>IFERROR(__xludf.DUMMYFUNCTION("""COMPUTED_VALUE"""),"#VALUE!")</f>
        <v>#VALUE!</v>
      </c>
      <c r="J333" s="51" t="str">
        <f>IFERROR(__xludf.DUMMYFUNCTION("""COMPUTED_VALUE"""),"")</f>
        <v/>
      </c>
      <c r="K333" s="51"/>
      <c r="L333" s="51" t="s">
        <v>257</v>
      </c>
      <c r="M333" s="51"/>
      <c r="N333" s="51"/>
      <c r="O333" s="51"/>
      <c r="P333" s="51"/>
      <c r="Q333" s="51"/>
      <c r="R333" s="51"/>
      <c r="S333" s="51"/>
      <c r="T333" s="51"/>
    </row>
    <row r="334">
      <c r="A334" s="51"/>
      <c r="B334" s="51"/>
      <c r="C334" s="56"/>
      <c r="D334" s="51"/>
      <c r="E334" s="51"/>
      <c r="F334" s="51"/>
      <c r="G334" s="51" t="str">
        <f>IFERROR(__xludf.DUMMYFUNCTION("""COMPUTED_VALUE"""),"#VALUE!")</f>
        <v>#VALUE!</v>
      </c>
      <c r="H334" s="51" t="str">
        <f>IFERROR(__xludf.DUMMYFUNCTION("""COMPUTED_VALUE"""),"")</f>
        <v/>
      </c>
      <c r="I334" s="51" t="str">
        <f>IFERROR(__xludf.DUMMYFUNCTION("""COMPUTED_VALUE"""),"#VALUE!")</f>
        <v>#VALUE!</v>
      </c>
      <c r="J334" s="51" t="str">
        <f>IFERROR(__xludf.DUMMYFUNCTION("""COMPUTED_VALUE"""),"")</f>
        <v/>
      </c>
      <c r="K334" s="51"/>
      <c r="L334" s="51" t="s">
        <v>257</v>
      </c>
      <c r="M334" s="51"/>
      <c r="N334" s="51"/>
      <c r="O334" s="51"/>
      <c r="P334" s="51"/>
      <c r="Q334" s="51"/>
      <c r="R334" s="51"/>
      <c r="S334" s="51"/>
      <c r="T334" s="51"/>
    </row>
    <row r="335">
      <c r="A335" s="51"/>
      <c r="B335" s="51"/>
      <c r="C335" s="56"/>
      <c r="D335" s="51"/>
      <c r="E335" s="51"/>
      <c r="F335" s="51"/>
      <c r="G335" s="51" t="str">
        <f>IFERROR(__xludf.DUMMYFUNCTION("""COMPUTED_VALUE"""),"#VALUE!")</f>
        <v>#VALUE!</v>
      </c>
      <c r="H335" s="51" t="str">
        <f>IFERROR(__xludf.DUMMYFUNCTION("""COMPUTED_VALUE"""),"")</f>
        <v/>
      </c>
      <c r="I335" s="51" t="str">
        <f>IFERROR(__xludf.DUMMYFUNCTION("""COMPUTED_VALUE"""),"#VALUE!")</f>
        <v>#VALUE!</v>
      </c>
      <c r="J335" s="51" t="str">
        <f>IFERROR(__xludf.DUMMYFUNCTION("""COMPUTED_VALUE"""),"")</f>
        <v/>
      </c>
      <c r="K335" s="51"/>
      <c r="L335" s="51" t="s">
        <v>257</v>
      </c>
      <c r="M335" s="51"/>
      <c r="N335" s="51"/>
      <c r="O335" s="51"/>
      <c r="P335" s="51"/>
      <c r="Q335" s="51"/>
      <c r="R335" s="51"/>
      <c r="S335" s="51"/>
      <c r="T335" s="51"/>
    </row>
    <row r="336">
      <c r="A336" s="51"/>
      <c r="B336" s="51"/>
      <c r="C336" s="56"/>
      <c r="D336" s="51"/>
      <c r="E336" s="51"/>
      <c r="F336" s="51"/>
      <c r="G336" s="51" t="str">
        <f>IFERROR(__xludf.DUMMYFUNCTION("""COMPUTED_VALUE"""),"#VALUE!")</f>
        <v>#VALUE!</v>
      </c>
      <c r="H336" s="51" t="str">
        <f>IFERROR(__xludf.DUMMYFUNCTION("""COMPUTED_VALUE"""),"")</f>
        <v/>
      </c>
      <c r="I336" s="51" t="str">
        <f>IFERROR(__xludf.DUMMYFUNCTION("""COMPUTED_VALUE"""),"#VALUE!")</f>
        <v>#VALUE!</v>
      </c>
      <c r="J336" s="51" t="str">
        <f>IFERROR(__xludf.DUMMYFUNCTION("""COMPUTED_VALUE"""),"")</f>
        <v/>
      </c>
      <c r="K336" s="51"/>
      <c r="L336" s="51" t="s">
        <v>257</v>
      </c>
      <c r="M336" s="51"/>
      <c r="N336" s="51"/>
      <c r="O336" s="51"/>
      <c r="P336" s="51"/>
      <c r="Q336" s="51"/>
      <c r="R336" s="51"/>
      <c r="S336" s="51"/>
      <c r="T336" s="51"/>
    </row>
    <row r="337">
      <c r="A337" s="51"/>
      <c r="B337" s="51"/>
      <c r="C337" s="56"/>
      <c r="D337" s="51"/>
      <c r="E337" s="51"/>
      <c r="F337" s="51"/>
      <c r="G337" s="51" t="str">
        <f>IFERROR(__xludf.DUMMYFUNCTION("""COMPUTED_VALUE"""),"#VALUE!")</f>
        <v>#VALUE!</v>
      </c>
      <c r="H337" s="51" t="str">
        <f>IFERROR(__xludf.DUMMYFUNCTION("""COMPUTED_VALUE"""),"")</f>
        <v/>
      </c>
      <c r="I337" s="51" t="str">
        <f>IFERROR(__xludf.DUMMYFUNCTION("""COMPUTED_VALUE"""),"#VALUE!")</f>
        <v>#VALUE!</v>
      </c>
      <c r="J337" s="51" t="str">
        <f>IFERROR(__xludf.DUMMYFUNCTION("""COMPUTED_VALUE"""),"")</f>
        <v/>
      </c>
      <c r="K337" s="51"/>
      <c r="L337" s="51" t="s">
        <v>257</v>
      </c>
      <c r="M337" s="51"/>
      <c r="N337" s="51"/>
      <c r="O337" s="51"/>
      <c r="P337" s="51"/>
      <c r="Q337" s="51"/>
      <c r="R337" s="51"/>
      <c r="S337" s="51"/>
      <c r="T337" s="51"/>
    </row>
    <row r="338">
      <c r="A338" s="51"/>
      <c r="B338" s="51"/>
      <c r="C338" s="56"/>
      <c r="D338" s="51"/>
      <c r="E338" s="51"/>
      <c r="F338" s="51"/>
      <c r="G338" s="51" t="str">
        <f>IFERROR(__xludf.DUMMYFUNCTION("""COMPUTED_VALUE"""),"#VALUE!")</f>
        <v>#VALUE!</v>
      </c>
      <c r="H338" s="51" t="str">
        <f>IFERROR(__xludf.DUMMYFUNCTION("""COMPUTED_VALUE"""),"")</f>
        <v/>
      </c>
      <c r="I338" s="51" t="str">
        <f>IFERROR(__xludf.DUMMYFUNCTION("""COMPUTED_VALUE"""),"#VALUE!")</f>
        <v>#VALUE!</v>
      </c>
      <c r="J338" s="51" t="str">
        <f>IFERROR(__xludf.DUMMYFUNCTION("""COMPUTED_VALUE"""),"")</f>
        <v/>
      </c>
      <c r="K338" s="51"/>
      <c r="L338" s="51" t="s">
        <v>257</v>
      </c>
      <c r="M338" s="51"/>
      <c r="N338" s="51"/>
      <c r="O338" s="51"/>
      <c r="P338" s="51"/>
      <c r="Q338" s="51"/>
      <c r="R338" s="51"/>
      <c r="S338" s="51"/>
      <c r="T338" s="51"/>
    </row>
    <row r="339">
      <c r="A339" s="51"/>
      <c r="B339" s="51"/>
      <c r="C339" s="56"/>
      <c r="D339" s="51"/>
      <c r="E339" s="51"/>
      <c r="F339" s="51"/>
      <c r="G339" s="51" t="str">
        <f>IFERROR(__xludf.DUMMYFUNCTION("""COMPUTED_VALUE"""),"#VALUE!")</f>
        <v>#VALUE!</v>
      </c>
      <c r="H339" s="51" t="str">
        <f>IFERROR(__xludf.DUMMYFUNCTION("""COMPUTED_VALUE"""),"")</f>
        <v/>
      </c>
      <c r="I339" s="51" t="str">
        <f>IFERROR(__xludf.DUMMYFUNCTION("""COMPUTED_VALUE"""),"#VALUE!")</f>
        <v>#VALUE!</v>
      </c>
      <c r="J339" s="51" t="str">
        <f>IFERROR(__xludf.DUMMYFUNCTION("""COMPUTED_VALUE"""),"")</f>
        <v/>
      </c>
      <c r="K339" s="51"/>
      <c r="L339" s="51" t="s">
        <v>257</v>
      </c>
      <c r="M339" s="51"/>
      <c r="N339" s="51"/>
      <c r="O339" s="51"/>
      <c r="P339" s="51"/>
      <c r="Q339" s="51"/>
      <c r="R339" s="51"/>
      <c r="S339" s="51"/>
      <c r="T339" s="51"/>
    </row>
    <row r="340">
      <c r="A340" s="51"/>
      <c r="B340" s="51"/>
      <c r="C340" s="56"/>
      <c r="D340" s="51"/>
      <c r="E340" s="51"/>
      <c r="F340" s="51"/>
      <c r="G340" s="51" t="str">
        <f>IFERROR(__xludf.DUMMYFUNCTION("""COMPUTED_VALUE"""),"#VALUE!")</f>
        <v>#VALUE!</v>
      </c>
      <c r="H340" s="51" t="str">
        <f>IFERROR(__xludf.DUMMYFUNCTION("""COMPUTED_VALUE"""),"")</f>
        <v/>
      </c>
      <c r="I340" s="51" t="str">
        <f>IFERROR(__xludf.DUMMYFUNCTION("""COMPUTED_VALUE"""),"#VALUE!")</f>
        <v>#VALUE!</v>
      </c>
      <c r="J340" s="51" t="str">
        <f>IFERROR(__xludf.DUMMYFUNCTION("""COMPUTED_VALUE"""),"")</f>
        <v/>
      </c>
      <c r="K340" s="51"/>
      <c r="L340" s="51" t="s">
        <v>257</v>
      </c>
      <c r="M340" s="51"/>
      <c r="N340" s="51"/>
      <c r="O340" s="51"/>
      <c r="P340" s="51"/>
      <c r="Q340" s="51"/>
      <c r="R340" s="51"/>
      <c r="S340" s="51"/>
      <c r="T340" s="51"/>
    </row>
    <row r="341">
      <c r="A341" s="51"/>
      <c r="B341" s="51"/>
      <c r="C341" s="56"/>
      <c r="D341" s="51"/>
      <c r="E341" s="51"/>
      <c r="F341" s="51"/>
      <c r="G341" s="51" t="str">
        <f>IFERROR(__xludf.DUMMYFUNCTION("""COMPUTED_VALUE"""),"#VALUE!")</f>
        <v>#VALUE!</v>
      </c>
      <c r="H341" s="51" t="str">
        <f>IFERROR(__xludf.DUMMYFUNCTION("""COMPUTED_VALUE"""),"")</f>
        <v/>
      </c>
      <c r="I341" s="51" t="str">
        <f>IFERROR(__xludf.DUMMYFUNCTION("""COMPUTED_VALUE"""),"#VALUE!")</f>
        <v>#VALUE!</v>
      </c>
      <c r="J341" s="51" t="str">
        <f>IFERROR(__xludf.DUMMYFUNCTION("""COMPUTED_VALUE"""),"")</f>
        <v/>
      </c>
      <c r="K341" s="51"/>
      <c r="L341" s="51" t="s">
        <v>257</v>
      </c>
      <c r="M341" s="51"/>
      <c r="N341" s="51"/>
      <c r="O341" s="51"/>
      <c r="P341" s="51"/>
      <c r="Q341" s="51"/>
      <c r="R341" s="51"/>
      <c r="S341" s="51"/>
      <c r="T341" s="51"/>
    </row>
    <row r="342">
      <c r="A342" s="51"/>
      <c r="B342" s="51"/>
      <c r="C342" s="56"/>
      <c r="D342" s="51"/>
      <c r="E342" s="51"/>
      <c r="F342" s="51"/>
      <c r="G342" s="51" t="str">
        <f>IFERROR(__xludf.DUMMYFUNCTION("""COMPUTED_VALUE"""),"#VALUE!")</f>
        <v>#VALUE!</v>
      </c>
      <c r="H342" s="51" t="str">
        <f>IFERROR(__xludf.DUMMYFUNCTION("""COMPUTED_VALUE"""),"")</f>
        <v/>
      </c>
      <c r="I342" s="51" t="str">
        <f>IFERROR(__xludf.DUMMYFUNCTION("""COMPUTED_VALUE"""),"#VALUE!")</f>
        <v>#VALUE!</v>
      </c>
      <c r="J342" s="51" t="str">
        <f>IFERROR(__xludf.DUMMYFUNCTION("""COMPUTED_VALUE"""),"")</f>
        <v/>
      </c>
      <c r="K342" s="51"/>
      <c r="L342" s="51" t="s">
        <v>257</v>
      </c>
      <c r="M342" s="51"/>
      <c r="N342" s="51"/>
      <c r="O342" s="51"/>
      <c r="P342" s="51"/>
      <c r="Q342" s="51"/>
      <c r="R342" s="51"/>
      <c r="S342" s="51"/>
      <c r="T342" s="51"/>
    </row>
    <row r="343">
      <c r="A343" s="51"/>
      <c r="B343" s="51"/>
      <c r="C343" s="56"/>
      <c r="D343" s="51"/>
      <c r="E343" s="51"/>
      <c r="F343" s="51"/>
      <c r="G343" s="51" t="str">
        <f>IFERROR(__xludf.DUMMYFUNCTION("""COMPUTED_VALUE"""),"#VALUE!")</f>
        <v>#VALUE!</v>
      </c>
      <c r="H343" s="51" t="str">
        <f>IFERROR(__xludf.DUMMYFUNCTION("""COMPUTED_VALUE"""),"")</f>
        <v/>
      </c>
      <c r="I343" s="51" t="str">
        <f>IFERROR(__xludf.DUMMYFUNCTION("""COMPUTED_VALUE"""),"#VALUE!")</f>
        <v>#VALUE!</v>
      </c>
      <c r="J343" s="51" t="str">
        <f>IFERROR(__xludf.DUMMYFUNCTION("""COMPUTED_VALUE"""),"")</f>
        <v/>
      </c>
      <c r="K343" s="51"/>
      <c r="L343" s="51" t="s">
        <v>257</v>
      </c>
      <c r="M343" s="51"/>
      <c r="N343" s="51"/>
      <c r="O343" s="51"/>
      <c r="P343" s="51"/>
      <c r="Q343" s="51"/>
      <c r="R343" s="51"/>
      <c r="S343" s="51"/>
      <c r="T343" s="51"/>
    </row>
    <row r="344">
      <c r="A344" s="51"/>
      <c r="B344" s="51"/>
      <c r="C344" s="56"/>
      <c r="D344" s="51"/>
      <c r="E344" s="51"/>
      <c r="F344" s="51"/>
      <c r="G344" s="51" t="str">
        <f>IFERROR(__xludf.DUMMYFUNCTION("""COMPUTED_VALUE"""),"#VALUE!")</f>
        <v>#VALUE!</v>
      </c>
      <c r="H344" s="51" t="str">
        <f>IFERROR(__xludf.DUMMYFUNCTION("""COMPUTED_VALUE"""),"")</f>
        <v/>
      </c>
      <c r="I344" s="51" t="str">
        <f>IFERROR(__xludf.DUMMYFUNCTION("""COMPUTED_VALUE"""),"#VALUE!")</f>
        <v>#VALUE!</v>
      </c>
      <c r="J344" s="51" t="str">
        <f>IFERROR(__xludf.DUMMYFUNCTION("""COMPUTED_VALUE"""),"")</f>
        <v/>
      </c>
      <c r="K344" s="51"/>
      <c r="L344" s="51" t="s">
        <v>257</v>
      </c>
      <c r="M344" s="51"/>
      <c r="N344" s="51"/>
      <c r="O344" s="51"/>
      <c r="P344" s="51"/>
      <c r="Q344" s="51"/>
      <c r="R344" s="51"/>
      <c r="S344" s="51"/>
      <c r="T344" s="51"/>
    </row>
    <row r="345">
      <c r="A345" s="51"/>
      <c r="B345" s="51"/>
      <c r="C345" s="56"/>
      <c r="D345" s="51"/>
      <c r="E345" s="51"/>
      <c r="F345" s="51"/>
      <c r="G345" s="51" t="str">
        <f>IFERROR(__xludf.DUMMYFUNCTION("""COMPUTED_VALUE"""),"#VALUE!")</f>
        <v>#VALUE!</v>
      </c>
      <c r="H345" s="51" t="str">
        <f>IFERROR(__xludf.DUMMYFUNCTION("""COMPUTED_VALUE"""),"")</f>
        <v/>
      </c>
      <c r="I345" s="51" t="str">
        <f>IFERROR(__xludf.DUMMYFUNCTION("""COMPUTED_VALUE"""),"#VALUE!")</f>
        <v>#VALUE!</v>
      </c>
      <c r="J345" s="51" t="str">
        <f>IFERROR(__xludf.DUMMYFUNCTION("""COMPUTED_VALUE"""),"")</f>
        <v/>
      </c>
      <c r="K345" s="51"/>
      <c r="L345" s="51" t="s">
        <v>257</v>
      </c>
      <c r="M345" s="51"/>
      <c r="N345" s="51"/>
      <c r="O345" s="51"/>
      <c r="P345" s="51"/>
      <c r="Q345" s="51"/>
      <c r="R345" s="51"/>
      <c r="S345" s="51"/>
      <c r="T345" s="51"/>
    </row>
    <row r="346">
      <c r="A346" s="51"/>
      <c r="B346" s="51"/>
      <c r="C346" s="56"/>
      <c r="D346" s="51"/>
      <c r="E346" s="51"/>
      <c r="F346" s="51"/>
      <c r="G346" s="51" t="str">
        <f>IFERROR(__xludf.DUMMYFUNCTION("""COMPUTED_VALUE"""),"#VALUE!")</f>
        <v>#VALUE!</v>
      </c>
      <c r="H346" s="51" t="str">
        <f>IFERROR(__xludf.DUMMYFUNCTION("""COMPUTED_VALUE"""),"")</f>
        <v/>
      </c>
      <c r="I346" s="51" t="str">
        <f>IFERROR(__xludf.DUMMYFUNCTION("""COMPUTED_VALUE"""),"#VALUE!")</f>
        <v>#VALUE!</v>
      </c>
      <c r="J346" s="51" t="str">
        <f>IFERROR(__xludf.DUMMYFUNCTION("""COMPUTED_VALUE"""),"")</f>
        <v/>
      </c>
      <c r="K346" s="51"/>
      <c r="L346" s="51" t="s">
        <v>257</v>
      </c>
      <c r="M346" s="51"/>
      <c r="N346" s="51"/>
      <c r="O346" s="51"/>
      <c r="P346" s="51"/>
      <c r="Q346" s="51"/>
      <c r="R346" s="51"/>
      <c r="S346" s="51"/>
      <c r="T346" s="51"/>
    </row>
    <row r="347">
      <c r="A347" s="51"/>
      <c r="B347" s="51"/>
      <c r="C347" s="56"/>
      <c r="D347" s="51"/>
      <c r="E347" s="51"/>
      <c r="F347" s="51"/>
      <c r="G347" s="51" t="str">
        <f>IFERROR(__xludf.DUMMYFUNCTION("""COMPUTED_VALUE"""),"#VALUE!")</f>
        <v>#VALUE!</v>
      </c>
      <c r="H347" s="51" t="str">
        <f>IFERROR(__xludf.DUMMYFUNCTION("""COMPUTED_VALUE"""),"")</f>
        <v/>
      </c>
      <c r="I347" s="51" t="str">
        <f>IFERROR(__xludf.DUMMYFUNCTION("""COMPUTED_VALUE"""),"#VALUE!")</f>
        <v>#VALUE!</v>
      </c>
      <c r="J347" s="51" t="str">
        <f>IFERROR(__xludf.DUMMYFUNCTION("""COMPUTED_VALUE"""),"")</f>
        <v/>
      </c>
      <c r="K347" s="51"/>
      <c r="L347" s="51" t="s">
        <v>257</v>
      </c>
      <c r="M347" s="51"/>
      <c r="N347" s="51"/>
      <c r="O347" s="51"/>
      <c r="P347" s="51"/>
      <c r="Q347" s="51"/>
      <c r="R347" s="51"/>
      <c r="S347" s="51"/>
      <c r="T347" s="51"/>
    </row>
    <row r="348">
      <c r="A348" s="51"/>
      <c r="B348" s="51"/>
      <c r="C348" s="56"/>
      <c r="D348" s="51"/>
      <c r="E348" s="51"/>
      <c r="F348" s="51"/>
      <c r="G348" s="51" t="str">
        <f>IFERROR(__xludf.DUMMYFUNCTION("""COMPUTED_VALUE"""),"#VALUE!")</f>
        <v>#VALUE!</v>
      </c>
      <c r="H348" s="51" t="str">
        <f>IFERROR(__xludf.DUMMYFUNCTION("""COMPUTED_VALUE"""),"")</f>
        <v/>
      </c>
      <c r="I348" s="51" t="str">
        <f>IFERROR(__xludf.DUMMYFUNCTION("""COMPUTED_VALUE"""),"#VALUE!")</f>
        <v>#VALUE!</v>
      </c>
      <c r="J348" s="51" t="str">
        <f>IFERROR(__xludf.DUMMYFUNCTION("""COMPUTED_VALUE"""),"")</f>
        <v/>
      </c>
      <c r="K348" s="51"/>
      <c r="L348" s="51" t="s">
        <v>257</v>
      </c>
      <c r="M348" s="51"/>
      <c r="N348" s="51"/>
      <c r="O348" s="51"/>
      <c r="P348" s="51"/>
      <c r="Q348" s="51"/>
      <c r="R348" s="51"/>
      <c r="S348" s="51"/>
      <c r="T348" s="51"/>
    </row>
    <row r="349">
      <c r="A349" s="51"/>
      <c r="B349" s="51"/>
      <c r="C349" s="56"/>
      <c r="D349" s="51"/>
      <c r="E349" s="51"/>
      <c r="F349" s="51"/>
      <c r="G349" s="51" t="str">
        <f>IFERROR(__xludf.DUMMYFUNCTION("""COMPUTED_VALUE"""),"#VALUE!")</f>
        <v>#VALUE!</v>
      </c>
      <c r="H349" s="51" t="str">
        <f>IFERROR(__xludf.DUMMYFUNCTION("""COMPUTED_VALUE"""),"")</f>
        <v/>
      </c>
      <c r="I349" s="51" t="str">
        <f>IFERROR(__xludf.DUMMYFUNCTION("""COMPUTED_VALUE"""),"#VALUE!")</f>
        <v>#VALUE!</v>
      </c>
      <c r="J349" s="51" t="str">
        <f>IFERROR(__xludf.DUMMYFUNCTION("""COMPUTED_VALUE"""),"")</f>
        <v/>
      </c>
      <c r="K349" s="51"/>
      <c r="L349" s="51" t="s">
        <v>257</v>
      </c>
      <c r="M349" s="51"/>
      <c r="N349" s="51"/>
      <c r="O349" s="51"/>
      <c r="P349" s="51"/>
      <c r="Q349" s="51"/>
      <c r="R349" s="51"/>
      <c r="S349" s="51"/>
      <c r="T349" s="51"/>
    </row>
    <row r="350">
      <c r="A350" s="51"/>
      <c r="B350" s="51"/>
      <c r="C350" s="56"/>
      <c r="D350" s="51"/>
      <c r="E350" s="51"/>
      <c r="F350" s="51"/>
      <c r="G350" s="51" t="str">
        <f>IFERROR(__xludf.DUMMYFUNCTION("""COMPUTED_VALUE"""),"#VALUE!")</f>
        <v>#VALUE!</v>
      </c>
      <c r="H350" s="51" t="str">
        <f>IFERROR(__xludf.DUMMYFUNCTION("""COMPUTED_VALUE"""),"")</f>
        <v/>
      </c>
      <c r="I350" s="51" t="str">
        <f>IFERROR(__xludf.DUMMYFUNCTION("""COMPUTED_VALUE"""),"#VALUE!")</f>
        <v>#VALUE!</v>
      </c>
      <c r="J350" s="51" t="str">
        <f>IFERROR(__xludf.DUMMYFUNCTION("""COMPUTED_VALUE"""),"")</f>
        <v/>
      </c>
      <c r="K350" s="51"/>
      <c r="L350" s="51" t="s">
        <v>257</v>
      </c>
      <c r="M350" s="51"/>
      <c r="N350" s="51"/>
      <c r="O350" s="51"/>
      <c r="P350" s="51"/>
      <c r="Q350" s="51"/>
      <c r="R350" s="51"/>
      <c r="S350" s="51"/>
      <c r="T350" s="51"/>
    </row>
    <row r="351">
      <c r="A351" s="51"/>
      <c r="B351" s="51"/>
      <c r="C351" s="56"/>
      <c r="D351" s="51"/>
      <c r="E351" s="51"/>
      <c r="F351" s="51"/>
      <c r="G351" s="51" t="str">
        <f>IFERROR(__xludf.DUMMYFUNCTION("""COMPUTED_VALUE"""),"#VALUE!")</f>
        <v>#VALUE!</v>
      </c>
      <c r="H351" s="51" t="str">
        <f>IFERROR(__xludf.DUMMYFUNCTION("""COMPUTED_VALUE"""),"")</f>
        <v/>
      </c>
      <c r="I351" s="51" t="str">
        <f>IFERROR(__xludf.DUMMYFUNCTION("""COMPUTED_VALUE"""),"#VALUE!")</f>
        <v>#VALUE!</v>
      </c>
      <c r="J351" s="51" t="str">
        <f>IFERROR(__xludf.DUMMYFUNCTION("""COMPUTED_VALUE"""),"")</f>
        <v/>
      </c>
      <c r="K351" s="51"/>
      <c r="L351" s="51" t="s">
        <v>257</v>
      </c>
      <c r="M351" s="51"/>
      <c r="N351" s="51"/>
      <c r="O351" s="51"/>
      <c r="P351" s="51"/>
      <c r="Q351" s="51"/>
      <c r="R351" s="51"/>
      <c r="S351" s="51"/>
      <c r="T351" s="51"/>
    </row>
    <row r="352">
      <c r="A352" s="51"/>
      <c r="B352" s="51"/>
      <c r="C352" s="56"/>
      <c r="D352" s="51"/>
      <c r="E352" s="51"/>
      <c r="F352" s="51"/>
      <c r="G352" s="51" t="str">
        <f>IFERROR(__xludf.DUMMYFUNCTION("""COMPUTED_VALUE"""),"#VALUE!")</f>
        <v>#VALUE!</v>
      </c>
      <c r="H352" s="51" t="str">
        <f>IFERROR(__xludf.DUMMYFUNCTION("""COMPUTED_VALUE"""),"")</f>
        <v/>
      </c>
      <c r="I352" s="51" t="str">
        <f>IFERROR(__xludf.DUMMYFUNCTION("""COMPUTED_VALUE"""),"#VALUE!")</f>
        <v>#VALUE!</v>
      </c>
      <c r="J352" s="51" t="str">
        <f>IFERROR(__xludf.DUMMYFUNCTION("""COMPUTED_VALUE"""),"")</f>
        <v/>
      </c>
      <c r="K352" s="51"/>
      <c r="L352" s="51" t="s">
        <v>257</v>
      </c>
      <c r="M352" s="51"/>
      <c r="N352" s="51"/>
      <c r="O352" s="51"/>
      <c r="P352" s="51"/>
      <c r="Q352" s="51"/>
      <c r="R352" s="51"/>
      <c r="S352" s="51"/>
      <c r="T352" s="51"/>
    </row>
    <row r="353">
      <c r="A353" s="51"/>
      <c r="B353" s="51"/>
      <c r="C353" s="56"/>
      <c r="D353" s="51"/>
      <c r="E353" s="51"/>
      <c r="F353" s="51"/>
      <c r="G353" s="51" t="str">
        <f>IFERROR(__xludf.DUMMYFUNCTION("""COMPUTED_VALUE"""),"#VALUE!")</f>
        <v>#VALUE!</v>
      </c>
      <c r="H353" s="51" t="str">
        <f>IFERROR(__xludf.DUMMYFUNCTION("""COMPUTED_VALUE"""),"")</f>
        <v/>
      </c>
      <c r="I353" s="51" t="str">
        <f>IFERROR(__xludf.DUMMYFUNCTION("""COMPUTED_VALUE"""),"#VALUE!")</f>
        <v>#VALUE!</v>
      </c>
      <c r="J353" s="51" t="str">
        <f>IFERROR(__xludf.DUMMYFUNCTION("""COMPUTED_VALUE"""),"")</f>
        <v/>
      </c>
      <c r="K353" s="51"/>
      <c r="L353" s="51" t="s">
        <v>257</v>
      </c>
      <c r="M353" s="51"/>
      <c r="N353" s="51"/>
      <c r="O353" s="51"/>
      <c r="P353" s="51"/>
      <c r="Q353" s="51"/>
      <c r="R353" s="51"/>
      <c r="S353" s="51"/>
      <c r="T353" s="51"/>
    </row>
    <row r="354">
      <c r="A354" s="51"/>
      <c r="B354" s="51"/>
      <c r="C354" s="56"/>
      <c r="D354" s="51"/>
      <c r="E354" s="51"/>
      <c r="F354" s="51"/>
      <c r="G354" s="51" t="str">
        <f>IFERROR(__xludf.DUMMYFUNCTION("""COMPUTED_VALUE"""),"#VALUE!")</f>
        <v>#VALUE!</v>
      </c>
      <c r="H354" s="51" t="str">
        <f>IFERROR(__xludf.DUMMYFUNCTION("""COMPUTED_VALUE"""),"")</f>
        <v/>
      </c>
      <c r="I354" s="51" t="str">
        <f>IFERROR(__xludf.DUMMYFUNCTION("""COMPUTED_VALUE"""),"#VALUE!")</f>
        <v>#VALUE!</v>
      </c>
      <c r="J354" s="51" t="str">
        <f>IFERROR(__xludf.DUMMYFUNCTION("""COMPUTED_VALUE"""),"")</f>
        <v/>
      </c>
      <c r="K354" s="51"/>
      <c r="L354" s="51" t="s">
        <v>257</v>
      </c>
      <c r="M354" s="51"/>
      <c r="N354" s="51"/>
      <c r="O354" s="51"/>
      <c r="P354" s="51"/>
      <c r="Q354" s="51"/>
      <c r="R354" s="51"/>
      <c r="S354" s="51"/>
      <c r="T354" s="51"/>
    </row>
    <row r="355">
      <c r="A355" s="51"/>
      <c r="B355" s="51"/>
      <c r="C355" s="56"/>
      <c r="D355" s="51"/>
      <c r="E355" s="51"/>
      <c r="F355" s="51"/>
      <c r="G355" s="51" t="str">
        <f>IFERROR(__xludf.DUMMYFUNCTION("""COMPUTED_VALUE"""),"#VALUE!")</f>
        <v>#VALUE!</v>
      </c>
      <c r="H355" s="51" t="str">
        <f>IFERROR(__xludf.DUMMYFUNCTION("""COMPUTED_VALUE"""),"")</f>
        <v/>
      </c>
      <c r="I355" s="51" t="str">
        <f>IFERROR(__xludf.DUMMYFUNCTION("""COMPUTED_VALUE"""),"#VALUE!")</f>
        <v>#VALUE!</v>
      </c>
      <c r="J355" s="51" t="str">
        <f>IFERROR(__xludf.DUMMYFUNCTION("""COMPUTED_VALUE"""),"")</f>
        <v/>
      </c>
      <c r="K355" s="51"/>
      <c r="L355" s="51" t="s">
        <v>257</v>
      </c>
      <c r="M355" s="51"/>
      <c r="N355" s="51"/>
      <c r="O355" s="51"/>
      <c r="P355" s="51"/>
      <c r="Q355" s="51"/>
      <c r="R355" s="51"/>
      <c r="S355" s="51"/>
      <c r="T355" s="51"/>
    </row>
    <row r="356">
      <c r="A356" s="51"/>
      <c r="B356" s="51"/>
      <c r="C356" s="56"/>
      <c r="D356" s="51"/>
      <c r="E356" s="51"/>
      <c r="F356" s="51"/>
      <c r="G356" s="51" t="str">
        <f>IFERROR(__xludf.DUMMYFUNCTION("""COMPUTED_VALUE"""),"#VALUE!")</f>
        <v>#VALUE!</v>
      </c>
      <c r="H356" s="51" t="str">
        <f>IFERROR(__xludf.DUMMYFUNCTION("""COMPUTED_VALUE"""),"")</f>
        <v/>
      </c>
      <c r="I356" s="51" t="str">
        <f>IFERROR(__xludf.DUMMYFUNCTION("""COMPUTED_VALUE"""),"#VALUE!")</f>
        <v>#VALUE!</v>
      </c>
      <c r="J356" s="51" t="str">
        <f>IFERROR(__xludf.DUMMYFUNCTION("""COMPUTED_VALUE"""),"")</f>
        <v/>
      </c>
      <c r="K356" s="51"/>
      <c r="L356" s="51" t="s">
        <v>257</v>
      </c>
      <c r="M356" s="51"/>
      <c r="N356" s="51"/>
      <c r="O356" s="51"/>
      <c r="P356" s="51"/>
      <c r="Q356" s="51"/>
      <c r="R356" s="51"/>
      <c r="S356" s="51"/>
      <c r="T356" s="51"/>
    </row>
    <row r="357">
      <c r="A357" s="51"/>
      <c r="B357" s="51"/>
      <c r="C357" s="56"/>
      <c r="D357" s="51"/>
      <c r="E357" s="51"/>
      <c r="F357" s="51"/>
      <c r="G357" s="51" t="str">
        <f>IFERROR(__xludf.DUMMYFUNCTION("""COMPUTED_VALUE"""),"#VALUE!")</f>
        <v>#VALUE!</v>
      </c>
      <c r="H357" s="51" t="str">
        <f>IFERROR(__xludf.DUMMYFUNCTION("""COMPUTED_VALUE"""),"")</f>
        <v/>
      </c>
      <c r="I357" s="51" t="str">
        <f>IFERROR(__xludf.DUMMYFUNCTION("""COMPUTED_VALUE"""),"#VALUE!")</f>
        <v>#VALUE!</v>
      </c>
      <c r="J357" s="51" t="str">
        <f>IFERROR(__xludf.DUMMYFUNCTION("""COMPUTED_VALUE"""),"")</f>
        <v/>
      </c>
      <c r="K357" s="51"/>
      <c r="L357" s="51" t="s">
        <v>257</v>
      </c>
      <c r="M357" s="51"/>
      <c r="N357" s="51"/>
      <c r="O357" s="51"/>
      <c r="P357" s="51"/>
      <c r="Q357" s="51"/>
      <c r="R357" s="51"/>
      <c r="S357" s="51"/>
      <c r="T357" s="51"/>
    </row>
    <row r="358">
      <c r="A358" s="51"/>
      <c r="B358" s="51"/>
      <c r="C358" s="56"/>
      <c r="D358" s="51"/>
      <c r="E358" s="51"/>
      <c r="F358" s="51"/>
      <c r="G358" s="51" t="str">
        <f>IFERROR(__xludf.DUMMYFUNCTION("""COMPUTED_VALUE"""),"#VALUE!")</f>
        <v>#VALUE!</v>
      </c>
      <c r="H358" s="51" t="str">
        <f>IFERROR(__xludf.DUMMYFUNCTION("""COMPUTED_VALUE"""),"")</f>
        <v/>
      </c>
      <c r="I358" s="51" t="str">
        <f>IFERROR(__xludf.DUMMYFUNCTION("""COMPUTED_VALUE"""),"#VALUE!")</f>
        <v>#VALUE!</v>
      </c>
      <c r="J358" s="51" t="str">
        <f>IFERROR(__xludf.DUMMYFUNCTION("""COMPUTED_VALUE"""),"")</f>
        <v/>
      </c>
      <c r="K358" s="51"/>
      <c r="L358" s="51" t="s">
        <v>257</v>
      </c>
      <c r="M358" s="51"/>
      <c r="N358" s="51"/>
      <c r="O358" s="51"/>
      <c r="P358" s="51"/>
      <c r="Q358" s="51"/>
      <c r="R358" s="51"/>
      <c r="S358" s="51"/>
      <c r="T358" s="51"/>
    </row>
    <row r="359">
      <c r="A359" s="51"/>
      <c r="B359" s="51"/>
      <c r="C359" s="56"/>
      <c r="D359" s="51"/>
      <c r="E359" s="51"/>
      <c r="F359" s="51"/>
      <c r="G359" s="51" t="str">
        <f>IFERROR(__xludf.DUMMYFUNCTION("""COMPUTED_VALUE"""),"#VALUE!")</f>
        <v>#VALUE!</v>
      </c>
      <c r="H359" s="51" t="str">
        <f>IFERROR(__xludf.DUMMYFUNCTION("""COMPUTED_VALUE"""),"")</f>
        <v/>
      </c>
      <c r="I359" s="51" t="str">
        <f>IFERROR(__xludf.DUMMYFUNCTION("""COMPUTED_VALUE"""),"#VALUE!")</f>
        <v>#VALUE!</v>
      </c>
      <c r="J359" s="51" t="str">
        <f>IFERROR(__xludf.DUMMYFUNCTION("""COMPUTED_VALUE"""),"")</f>
        <v/>
      </c>
      <c r="K359" s="51"/>
      <c r="L359" s="51" t="s">
        <v>257</v>
      </c>
      <c r="M359" s="51"/>
      <c r="N359" s="51"/>
      <c r="O359" s="51"/>
      <c r="P359" s="51"/>
      <c r="Q359" s="51"/>
      <c r="R359" s="51"/>
      <c r="S359" s="51"/>
      <c r="T359" s="51"/>
    </row>
    <row r="360">
      <c r="A360" s="51"/>
      <c r="B360" s="51"/>
      <c r="C360" s="56"/>
      <c r="D360" s="51"/>
      <c r="E360" s="51"/>
      <c r="F360" s="51"/>
      <c r="G360" s="51" t="str">
        <f>IFERROR(__xludf.DUMMYFUNCTION("""COMPUTED_VALUE"""),"#VALUE!")</f>
        <v>#VALUE!</v>
      </c>
      <c r="H360" s="51" t="str">
        <f>IFERROR(__xludf.DUMMYFUNCTION("""COMPUTED_VALUE"""),"")</f>
        <v/>
      </c>
      <c r="I360" s="51" t="str">
        <f>IFERROR(__xludf.DUMMYFUNCTION("""COMPUTED_VALUE"""),"#VALUE!")</f>
        <v>#VALUE!</v>
      </c>
      <c r="J360" s="51" t="str">
        <f>IFERROR(__xludf.DUMMYFUNCTION("""COMPUTED_VALUE"""),"")</f>
        <v/>
      </c>
      <c r="K360" s="51"/>
      <c r="L360" s="51" t="s">
        <v>257</v>
      </c>
      <c r="M360" s="51"/>
      <c r="N360" s="51"/>
      <c r="O360" s="51"/>
      <c r="P360" s="51"/>
      <c r="Q360" s="51"/>
      <c r="R360" s="51"/>
      <c r="S360" s="51"/>
      <c r="T360" s="51"/>
    </row>
    <row r="361">
      <c r="A361" s="51"/>
      <c r="B361" s="51"/>
      <c r="C361" s="56"/>
      <c r="D361" s="51"/>
      <c r="E361" s="51"/>
      <c r="F361" s="51"/>
      <c r="G361" s="51" t="str">
        <f>IFERROR(__xludf.DUMMYFUNCTION("""COMPUTED_VALUE"""),"#VALUE!")</f>
        <v>#VALUE!</v>
      </c>
      <c r="H361" s="51" t="str">
        <f>IFERROR(__xludf.DUMMYFUNCTION("""COMPUTED_VALUE"""),"")</f>
        <v/>
      </c>
      <c r="I361" s="51" t="str">
        <f>IFERROR(__xludf.DUMMYFUNCTION("""COMPUTED_VALUE"""),"#VALUE!")</f>
        <v>#VALUE!</v>
      </c>
      <c r="J361" s="51" t="str">
        <f>IFERROR(__xludf.DUMMYFUNCTION("""COMPUTED_VALUE"""),"")</f>
        <v/>
      </c>
      <c r="K361" s="51"/>
      <c r="L361" s="51" t="s">
        <v>257</v>
      </c>
      <c r="M361" s="51"/>
      <c r="N361" s="51"/>
      <c r="O361" s="51"/>
      <c r="P361" s="51"/>
      <c r="Q361" s="51"/>
      <c r="R361" s="51"/>
      <c r="S361" s="51"/>
      <c r="T361" s="51"/>
    </row>
    <row r="362">
      <c r="A362" s="51"/>
      <c r="B362" s="51"/>
      <c r="C362" s="56"/>
      <c r="D362" s="51"/>
      <c r="E362" s="51"/>
      <c r="F362" s="51"/>
      <c r="G362" s="51" t="str">
        <f>IFERROR(__xludf.DUMMYFUNCTION("""COMPUTED_VALUE"""),"#VALUE!")</f>
        <v>#VALUE!</v>
      </c>
      <c r="H362" s="51" t="str">
        <f>IFERROR(__xludf.DUMMYFUNCTION("""COMPUTED_VALUE"""),"")</f>
        <v/>
      </c>
      <c r="I362" s="51" t="str">
        <f>IFERROR(__xludf.DUMMYFUNCTION("""COMPUTED_VALUE"""),"#VALUE!")</f>
        <v>#VALUE!</v>
      </c>
      <c r="J362" s="51" t="str">
        <f>IFERROR(__xludf.DUMMYFUNCTION("""COMPUTED_VALUE"""),"")</f>
        <v/>
      </c>
      <c r="K362" s="51"/>
      <c r="L362" s="51" t="s">
        <v>257</v>
      </c>
      <c r="M362" s="51"/>
      <c r="N362" s="51"/>
      <c r="O362" s="51"/>
      <c r="P362" s="51"/>
      <c r="Q362" s="51"/>
      <c r="R362" s="51"/>
      <c r="S362" s="51"/>
      <c r="T362" s="51"/>
    </row>
    <row r="363">
      <c r="A363" s="51"/>
      <c r="B363" s="51"/>
      <c r="C363" s="56"/>
      <c r="D363" s="51"/>
      <c r="E363" s="51"/>
      <c r="F363" s="51"/>
      <c r="G363" s="51" t="str">
        <f>IFERROR(__xludf.DUMMYFUNCTION("""COMPUTED_VALUE"""),"#VALUE!")</f>
        <v>#VALUE!</v>
      </c>
      <c r="H363" s="51" t="str">
        <f>IFERROR(__xludf.DUMMYFUNCTION("""COMPUTED_VALUE"""),"")</f>
        <v/>
      </c>
      <c r="I363" s="51" t="str">
        <f>IFERROR(__xludf.DUMMYFUNCTION("""COMPUTED_VALUE"""),"#VALUE!")</f>
        <v>#VALUE!</v>
      </c>
      <c r="J363" s="51" t="str">
        <f>IFERROR(__xludf.DUMMYFUNCTION("""COMPUTED_VALUE"""),"")</f>
        <v/>
      </c>
      <c r="K363" s="51"/>
      <c r="L363" s="51" t="s">
        <v>257</v>
      </c>
      <c r="M363" s="51"/>
      <c r="N363" s="51"/>
      <c r="O363" s="51"/>
      <c r="P363" s="51"/>
      <c r="Q363" s="51"/>
      <c r="R363" s="51"/>
      <c r="S363" s="51"/>
      <c r="T363" s="51"/>
    </row>
    <row r="364">
      <c r="A364" s="51"/>
      <c r="B364" s="51"/>
      <c r="C364" s="56"/>
      <c r="D364" s="51"/>
      <c r="E364" s="51"/>
      <c r="F364" s="51"/>
      <c r="G364" s="51" t="str">
        <f>IFERROR(__xludf.DUMMYFUNCTION("""COMPUTED_VALUE"""),"#VALUE!")</f>
        <v>#VALUE!</v>
      </c>
      <c r="H364" s="51" t="str">
        <f>IFERROR(__xludf.DUMMYFUNCTION("""COMPUTED_VALUE"""),"")</f>
        <v/>
      </c>
      <c r="I364" s="51" t="str">
        <f>IFERROR(__xludf.DUMMYFUNCTION("""COMPUTED_VALUE"""),"#VALUE!")</f>
        <v>#VALUE!</v>
      </c>
      <c r="J364" s="51" t="str">
        <f>IFERROR(__xludf.DUMMYFUNCTION("""COMPUTED_VALUE"""),"")</f>
        <v/>
      </c>
      <c r="K364" s="51"/>
      <c r="L364" s="51" t="s">
        <v>257</v>
      </c>
      <c r="M364" s="51"/>
      <c r="N364" s="51"/>
      <c r="O364" s="51"/>
      <c r="P364" s="51"/>
      <c r="Q364" s="51"/>
      <c r="R364" s="51"/>
      <c r="S364" s="51"/>
      <c r="T364" s="51"/>
    </row>
    <row r="365">
      <c r="A365" s="51"/>
      <c r="B365" s="51"/>
      <c r="C365" s="56"/>
      <c r="D365" s="51"/>
      <c r="E365" s="51"/>
      <c r="F365" s="51"/>
      <c r="G365" s="51" t="str">
        <f>IFERROR(__xludf.DUMMYFUNCTION("""COMPUTED_VALUE"""),"#VALUE!")</f>
        <v>#VALUE!</v>
      </c>
      <c r="H365" s="51" t="str">
        <f>IFERROR(__xludf.DUMMYFUNCTION("""COMPUTED_VALUE"""),"")</f>
        <v/>
      </c>
      <c r="I365" s="51" t="str">
        <f>IFERROR(__xludf.DUMMYFUNCTION("""COMPUTED_VALUE"""),"#VALUE!")</f>
        <v>#VALUE!</v>
      </c>
      <c r="J365" s="51" t="str">
        <f>IFERROR(__xludf.DUMMYFUNCTION("""COMPUTED_VALUE"""),"")</f>
        <v/>
      </c>
      <c r="K365" s="51"/>
      <c r="L365" s="51" t="s">
        <v>257</v>
      </c>
      <c r="M365" s="51"/>
      <c r="N365" s="51"/>
      <c r="O365" s="51"/>
      <c r="P365" s="51"/>
      <c r="Q365" s="51"/>
      <c r="R365" s="51"/>
      <c r="S365" s="51"/>
      <c r="T365" s="51"/>
    </row>
    <row r="366">
      <c r="A366" s="51"/>
      <c r="B366" s="51"/>
      <c r="C366" s="56"/>
      <c r="D366" s="51"/>
      <c r="E366" s="51"/>
      <c r="F366" s="51"/>
      <c r="G366" s="51" t="str">
        <f>IFERROR(__xludf.DUMMYFUNCTION("""COMPUTED_VALUE"""),"#VALUE!")</f>
        <v>#VALUE!</v>
      </c>
      <c r="H366" s="51" t="str">
        <f>IFERROR(__xludf.DUMMYFUNCTION("""COMPUTED_VALUE"""),"")</f>
        <v/>
      </c>
      <c r="I366" s="51" t="str">
        <f>IFERROR(__xludf.DUMMYFUNCTION("""COMPUTED_VALUE"""),"#VALUE!")</f>
        <v>#VALUE!</v>
      </c>
      <c r="J366" s="51" t="str">
        <f>IFERROR(__xludf.DUMMYFUNCTION("""COMPUTED_VALUE"""),"")</f>
        <v/>
      </c>
      <c r="K366" s="51"/>
      <c r="L366" s="51" t="s">
        <v>257</v>
      </c>
      <c r="M366" s="51"/>
      <c r="N366" s="51"/>
      <c r="O366" s="51"/>
      <c r="P366" s="51"/>
      <c r="Q366" s="51"/>
      <c r="R366" s="51"/>
      <c r="S366" s="51"/>
      <c r="T366" s="51"/>
    </row>
    <row r="367">
      <c r="A367" s="51"/>
      <c r="B367" s="51"/>
      <c r="C367" s="56"/>
      <c r="D367" s="51"/>
      <c r="E367" s="51"/>
      <c r="F367" s="51"/>
      <c r="G367" s="51" t="str">
        <f>IFERROR(__xludf.DUMMYFUNCTION("""COMPUTED_VALUE"""),"#VALUE!")</f>
        <v>#VALUE!</v>
      </c>
      <c r="H367" s="51" t="str">
        <f>IFERROR(__xludf.DUMMYFUNCTION("""COMPUTED_VALUE"""),"")</f>
        <v/>
      </c>
      <c r="I367" s="51" t="str">
        <f>IFERROR(__xludf.DUMMYFUNCTION("""COMPUTED_VALUE"""),"#VALUE!")</f>
        <v>#VALUE!</v>
      </c>
      <c r="J367" s="51" t="str">
        <f>IFERROR(__xludf.DUMMYFUNCTION("""COMPUTED_VALUE"""),"")</f>
        <v/>
      </c>
      <c r="K367" s="51"/>
      <c r="L367" s="51" t="s">
        <v>257</v>
      </c>
      <c r="M367" s="51"/>
      <c r="N367" s="51"/>
      <c r="O367" s="51"/>
      <c r="P367" s="51"/>
      <c r="Q367" s="51"/>
      <c r="R367" s="51"/>
      <c r="S367" s="51"/>
      <c r="T367" s="51"/>
    </row>
    <row r="368">
      <c r="A368" s="51"/>
      <c r="B368" s="51"/>
      <c r="C368" s="56"/>
      <c r="D368" s="51"/>
      <c r="E368" s="51"/>
      <c r="F368" s="51"/>
      <c r="G368" s="51" t="str">
        <f>IFERROR(__xludf.DUMMYFUNCTION("""COMPUTED_VALUE"""),"#VALUE!")</f>
        <v>#VALUE!</v>
      </c>
      <c r="H368" s="51" t="str">
        <f>IFERROR(__xludf.DUMMYFUNCTION("""COMPUTED_VALUE"""),"")</f>
        <v/>
      </c>
      <c r="I368" s="51" t="str">
        <f>IFERROR(__xludf.DUMMYFUNCTION("""COMPUTED_VALUE"""),"#VALUE!")</f>
        <v>#VALUE!</v>
      </c>
      <c r="J368" s="51" t="str">
        <f>IFERROR(__xludf.DUMMYFUNCTION("""COMPUTED_VALUE"""),"")</f>
        <v/>
      </c>
      <c r="K368" s="51"/>
      <c r="L368" s="51" t="s">
        <v>257</v>
      </c>
      <c r="M368" s="51"/>
      <c r="N368" s="51"/>
      <c r="O368" s="51"/>
      <c r="P368" s="51"/>
      <c r="Q368" s="51"/>
      <c r="R368" s="51"/>
      <c r="S368" s="51"/>
      <c r="T368" s="51"/>
    </row>
    <row r="369">
      <c r="A369" s="51"/>
      <c r="B369" s="51"/>
      <c r="C369" s="56"/>
      <c r="D369" s="51"/>
      <c r="E369" s="51"/>
      <c r="F369" s="51"/>
      <c r="G369" s="51" t="str">
        <f>IFERROR(__xludf.DUMMYFUNCTION("""COMPUTED_VALUE"""),"#VALUE!")</f>
        <v>#VALUE!</v>
      </c>
      <c r="H369" s="51" t="str">
        <f>IFERROR(__xludf.DUMMYFUNCTION("""COMPUTED_VALUE"""),"")</f>
        <v/>
      </c>
      <c r="I369" s="51" t="str">
        <f>IFERROR(__xludf.DUMMYFUNCTION("""COMPUTED_VALUE"""),"#VALUE!")</f>
        <v>#VALUE!</v>
      </c>
      <c r="J369" s="51" t="str">
        <f>IFERROR(__xludf.DUMMYFUNCTION("""COMPUTED_VALUE"""),"")</f>
        <v/>
      </c>
      <c r="K369" s="51"/>
      <c r="L369" s="51" t="s">
        <v>257</v>
      </c>
      <c r="M369" s="51"/>
      <c r="N369" s="51"/>
      <c r="O369" s="51"/>
      <c r="P369" s="51"/>
      <c r="Q369" s="51"/>
      <c r="R369" s="51"/>
      <c r="S369" s="51"/>
      <c r="T369" s="51"/>
    </row>
    <row r="370">
      <c r="A370" s="51"/>
      <c r="B370" s="51"/>
      <c r="C370" s="56"/>
      <c r="D370" s="51"/>
      <c r="E370" s="51"/>
      <c r="F370" s="51"/>
      <c r="G370" s="51" t="str">
        <f>IFERROR(__xludf.DUMMYFUNCTION("""COMPUTED_VALUE"""),"#VALUE!")</f>
        <v>#VALUE!</v>
      </c>
      <c r="H370" s="51" t="str">
        <f>IFERROR(__xludf.DUMMYFUNCTION("""COMPUTED_VALUE"""),"")</f>
        <v/>
      </c>
      <c r="I370" s="51" t="str">
        <f>IFERROR(__xludf.DUMMYFUNCTION("""COMPUTED_VALUE"""),"#VALUE!")</f>
        <v>#VALUE!</v>
      </c>
      <c r="J370" s="51" t="str">
        <f>IFERROR(__xludf.DUMMYFUNCTION("""COMPUTED_VALUE"""),"")</f>
        <v/>
      </c>
      <c r="K370" s="51"/>
      <c r="L370" s="51" t="s">
        <v>257</v>
      </c>
      <c r="M370" s="51"/>
      <c r="N370" s="51"/>
      <c r="O370" s="51"/>
      <c r="P370" s="51"/>
      <c r="Q370" s="51"/>
      <c r="R370" s="51"/>
      <c r="S370" s="51"/>
      <c r="T370" s="51"/>
    </row>
    <row r="371">
      <c r="A371" s="51"/>
      <c r="B371" s="51"/>
      <c r="C371" s="56"/>
      <c r="D371" s="51"/>
      <c r="E371" s="51"/>
      <c r="F371" s="51"/>
      <c r="G371" s="51" t="str">
        <f>IFERROR(__xludf.DUMMYFUNCTION("""COMPUTED_VALUE"""),"#VALUE!")</f>
        <v>#VALUE!</v>
      </c>
      <c r="H371" s="51" t="str">
        <f>IFERROR(__xludf.DUMMYFUNCTION("""COMPUTED_VALUE"""),"")</f>
        <v/>
      </c>
      <c r="I371" s="51" t="str">
        <f>IFERROR(__xludf.DUMMYFUNCTION("""COMPUTED_VALUE"""),"#VALUE!")</f>
        <v>#VALUE!</v>
      </c>
      <c r="J371" s="51" t="str">
        <f>IFERROR(__xludf.DUMMYFUNCTION("""COMPUTED_VALUE"""),"")</f>
        <v/>
      </c>
      <c r="K371" s="51"/>
      <c r="L371" s="51" t="s">
        <v>257</v>
      </c>
      <c r="M371" s="51"/>
      <c r="N371" s="51"/>
      <c r="O371" s="51"/>
      <c r="P371" s="51"/>
      <c r="Q371" s="51"/>
      <c r="R371" s="51"/>
      <c r="S371" s="51"/>
      <c r="T371" s="51"/>
    </row>
    <row r="372">
      <c r="A372" s="51"/>
      <c r="B372" s="51"/>
      <c r="C372" s="56"/>
      <c r="D372" s="51"/>
      <c r="E372" s="51"/>
      <c r="F372" s="51"/>
      <c r="G372" s="51" t="str">
        <f>IFERROR(__xludf.DUMMYFUNCTION("""COMPUTED_VALUE"""),"#VALUE!")</f>
        <v>#VALUE!</v>
      </c>
      <c r="H372" s="51" t="str">
        <f>IFERROR(__xludf.DUMMYFUNCTION("""COMPUTED_VALUE"""),"")</f>
        <v/>
      </c>
      <c r="I372" s="51" t="str">
        <f>IFERROR(__xludf.DUMMYFUNCTION("""COMPUTED_VALUE"""),"#VALUE!")</f>
        <v>#VALUE!</v>
      </c>
      <c r="J372" s="51" t="str">
        <f>IFERROR(__xludf.DUMMYFUNCTION("""COMPUTED_VALUE"""),"")</f>
        <v/>
      </c>
      <c r="K372" s="51"/>
      <c r="L372" s="51" t="s">
        <v>257</v>
      </c>
      <c r="M372" s="51"/>
      <c r="N372" s="51"/>
      <c r="O372" s="51"/>
      <c r="P372" s="51"/>
      <c r="Q372" s="51"/>
      <c r="R372" s="51"/>
      <c r="S372" s="51"/>
      <c r="T372" s="51"/>
    </row>
    <row r="373">
      <c r="A373" s="51"/>
      <c r="B373" s="51"/>
      <c r="C373" s="56"/>
      <c r="D373" s="51"/>
      <c r="E373" s="51"/>
      <c r="F373" s="51"/>
      <c r="G373" s="51" t="str">
        <f>IFERROR(__xludf.DUMMYFUNCTION("""COMPUTED_VALUE"""),"#VALUE!")</f>
        <v>#VALUE!</v>
      </c>
      <c r="H373" s="51" t="str">
        <f>IFERROR(__xludf.DUMMYFUNCTION("""COMPUTED_VALUE"""),"")</f>
        <v/>
      </c>
      <c r="I373" s="51" t="str">
        <f>IFERROR(__xludf.DUMMYFUNCTION("""COMPUTED_VALUE"""),"#VALUE!")</f>
        <v>#VALUE!</v>
      </c>
      <c r="J373" s="51" t="str">
        <f>IFERROR(__xludf.DUMMYFUNCTION("""COMPUTED_VALUE"""),"")</f>
        <v/>
      </c>
      <c r="K373" s="51"/>
      <c r="L373" s="51" t="s">
        <v>257</v>
      </c>
      <c r="M373" s="51"/>
      <c r="N373" s="51"/>
      <c r="O373" s="51"/>
      <c r="P373" s="51"/>
      <c r="Q373" s="51"/>
      <c r="R373" s="51"/>
      <c r="S373" s="51"/>
      <c r="T373" s="51"/>
    </row>
    <row r="374">
      <c r="A374" s="51"/>
      <c r="B374" s="51"/>
      <c r="C374" s="56"/>
      <c r="D374" s="51"/>
      <c r="E374" s="51"/>
      <c r="F374" s="51"/>
      <c r="G374" s="51" t="str">
        <f>IFERROR(__xludf.DUMMYFUNCTION("""COMPUTED_VALUE"""),"#VALUE!")</f>
        <v>#VALUE!</v>
      </c>
      <c r="H374" s="51" t="str">
        <f>IFERROR(__xludf.DUMMYFUNCTION("""COMPUTED_VALUE"""),"")</f>
        <v/>
      </c>
      <c r="I374" s="51" t="str">
        <f>IFERROR(__xludf.DUMMYFUNCTION("""COMPUTED_VALUE"""),"#VALUE!")</f>
        <v>#VALUE!</v>
      </c>
      <c r="J374" s="51" t="str">
        <f>IFERROR(__xludf.DUMMYFUNCTION("""COMPUTED_VALUE"""),"")</f>
        <v/>
      </c>
      <c r="K374" s="51"/>
      <c r="L374" s="51" t="s">
        <v>257</v>
      </c>
      <c r="M374" s="51"/>
      <c r="N374" s="51"/>
      <c r="O374" s="51"/>
      <c r="P374" s="51"/>
      <c r="Q374" s="51"/>
      <c r="R374" s="51"/>
      <c r="S374" s="51"/>
      <c r="T374" s="51"/>
    </row>
    <row r="375">
      <c r="A375" s="51"/>
      <c r="B375" s="51"/>
      <c r="C375" s="56"/>
      <c r="D375" s="51"/>
      <c r="E375" s="51"/>
      <c r="F375" s="51"/>
      <c r="G375" s="51" t="str">
        <f>IFERROR(__xludf.DUMMYFUNCTION("""COMPUTED_VALUE"""),"#VALUE!")</f>
        <v>#VALUE!</v>
      </c>
      <c r="H375" s="51" t="str">
        <f>IFERROR(__xludf.DUMMYFUNCTION("""COMPUTED_VALUE"""),"")</f>
        <v/>
      </c>
      <c r="I375" s="51" t="str">
        <f>IFERROR(__xludf.DUMMYFUNCTION("""COMPUTED_VALUE"""),"#VALUE!")</f>
        <v>#VALUE!</v>
      </c>
      <c r="J375" s="51" t="str">
        <f>IFERROR(__xludf.DUMMYFUNCTION("""COMPUTED_VALUE"""),"")</f>
        <v/>
      </c>
      <c r="K375" s="51"/>
      <c r="L375" s="51" t="s">
        <v>257</v>
      </c>
      <c r="M375" s="51"/>
      <c r="N375" s="51"/>
      <c r="O375" s="51"/>
      <c r="P375" s="51"/>
      <c r="Q375" s="51"/>
      <c r="R375" s="51"/>
      <c r="S375" s="51"/>
      <c r="T375" s="51"/>
    </row>
    <row r="376">
      <c r="A376" s="51"/>
      <c r="B376" s="51"/>
      <c r="C376" s="56"/>
      <c r="D376" s="51"/>
      <c r="E376" s="51"/>
      <c r="F376" s="51"/>
      <c r="G376" s="51" t="str">
        <f>IFERROR(__xludf.DUMMYFUNCTION("""COMPUTED_VALUE"""),"#VALUE!")</f>
        <v>#VALUE!</v>
      </c>
      <c r="H376" s="51" t="str">
        <f>IFERROR(__xludf.DUMMYFUNCTION("""COMPUTED_VALUE"""),"")</f>
        <v/>
      </c>
      <c r="I376" s="51" t="str">
        <f>IFERROR(__xludf.DUMMYFUNCTION("""COMPUTED_VALUE"""),"#VALUE!")</f>
        <v>#VALUE!</v>
      </c>
      <c r="J376" s="51" t="str">
        <f>IFERROR(__xludf.DUMMYFUNCTION("""COMPUTED_VALUE"""),"")</f>
        <v/>
      </c>
      <c r="K376" s="51"/>
      <c r="L376" s="51" t="s">
        <v>257</v>
      </c>
      <c r="M376" s="51"/>
      <c r="N376" s="51"/>
      <c r="O376" s="51"/>
      <c r="P376" s="51"/>
      <c r="Q376" s="51"/>
      <c r="R376" s="51"/>
      <c r="S376" s="51"/>
      <c r="T376" s="51"/>
    </row>
    <row r="377">
      <c r="A377" s="51"/>
      <c r="B377" s="51"/>
      <c r="C377" s="56"/>
      <c r="D377" s="51"/>
      <c r="E377" s="51"/>
      <c r="F377" s="51"/>
      <c r="G377" s="51" t="str">
        <f>IFERROR(__xludf.DUMMYFUNCTION("""COMPUTED_VALUE"""),"#VALUE!")</f>
        <v>#VALUE!</v>
      </c>
      <c r="H377" s="51" t="str">
        <f>IFERROR(__xludf.DUMMYFUNCTION("""COMPUTED_VALUE"""),"")</f>
        <v/>
      </c>
      <c r="I377" s="51" t="str">
        <f>IFERROR(__xludf.DUMMYFUNCTION("""COMPUTED_VALUE"""),"#VALUE!")</f>
        <v>#VALUE!</v>
      </c>
      <c r="J377" s="51" t="str">
        <f>IFERROR(__xludf.DUMMYFUNCTION("""COMPUTED_VALUE"""),"")</f>
        <v/>
      </c>
      <c r="K377" s="51"/>
      <c r="L377" s="51" t="s">
        <v>257</v>
      </c>
      <c r="M377" s="51"/>
      <c r="N377" s="51"/>
      <c r="O377" s="51"/>
      <c r="P377" s="51"/>
      <c r="Q377" s="51"/>
      <c r="R377" s="51"/>
      <c r="S377" s="51"/>
      <c r="T377" s="51"/>
    </row>
    <row r="378">
      <c r="A378" s="51"/>
      <c r="B378" s="51"/>
      <c r="C378" s="56"/>
      <c r="D378" s="51"/>
      <c r="E378" s="51"/>
      <c r="F378" s="51"/>
      <c r="G378" s="51" t="str">
        <f>IFERROR(__xludf.DUMMYFUNCTION("""COMPUTED_VALUE"""),"#VALUE!")</f>
        <v>#VALUE!</v>
      </c>
      <c r="H378" s="51" t="str">
        <f>IFERROR(__xludf.DUMMYFUNCTION("""COMPUTED_VALUE"""),"")</f>
        <v/>
      </c>
      <c r="I378" s="51" t="str">
        <f>IFERROR(__xludf.DUMMYFUNCTION("""COMPUTED_VALUE"""),"#VALUE!")</f>
        <v>#VALUE!</v>
      </c>
      <c r="J378" s="51" t="str">
        <f>IFERROR(__xludf.DUMMYFUNCTION("""COMPUTED_VALUE"""),"")</f>
        <v/>
      </c>
      <c r="K378" s="51"/>
      <c r="L378" s="51" t="s">
        <v>257</v>
      </c>
      <c r="M378" s="51"/>
      <c r="N378" s="51"/>
      <c r="O378" s="51"/>
      <c r="P378" s="51"/>
      <c r="Q378" s="51"/>
      <c r="R378" s="51"/>
      <c r="S378" s="51"/>
      <c r="T378" s="51"/>
    </row>
    <row r="379">
      <c r="A379" s="51"/>
      <c r="B379" s="51"/>
      <c r="C379" s="56"/>
      <c r="D379" s="51"/>
      <c r="E379" s="51"/>
      <c r="F379" s="51"/>
      <c r="G379" s="51" t="str">
        <f>IFERROR(__xludf.DUMMYFUNCTION("""COMPUTED_VALUE"""),"#VALUE!")</f>
        <v>#VALUE!</v>
      </c>
      <c r="H379" s="51" t="str">
        <f>IFERROR(__xludf.DUMMYFUNCTION("""COMPUTED_VALUE"""),"")</f>
        <v/>
      </c>
      <c r="I379" s="51" t="str">
        <f>IFERROR(__xludf.DUMMYFUNCTION("""COMPUTED_VALUE"""),"#VALUE!")</f>
        <v>#VALUE!</v>
      </c>
      <c r="J379" s="51" t="str">
        <f>IFERROR(__xludf.DUMMYFUNCTION("""COMPUTED_VALUE"""),"")</f>
        <v/>
      </c>
      <c r="K379" s="51"/>
      <c r="L379" s="51" t="s">
        <v>257</v>
      </c>
      <c r="M379" s="51"/>
      <c r="N379" s="51"/>
      <c r="O379" s="51"/>
      <c r="P379" s="51"/>
      <c r="Q379" s="51"/>
      <c r="R379" s="51"/>
      <c r="S379" s="51"/>
      <c r="T379" s="51"/>
    </row>
    <row r="380">
      <c r="A380" s="51"/>
      <c r="B380" s="51"/>
      <c r="C380" s="56"/>
      <c r="D380" s="51"/>
      <c r="E380" s="51"/>
      <c r="F380" s="51"/>
      <c r="G380" s="51" t="str">
        <f>IFERROR(__xludf.DUMMYFUNCTION("""COMPUTED_VALUE"""),"#VALUE!")</f>
        <v>#VALUE!</v>
      </c>
      <c r="H380" s="51" t="str">
        <f>IFERROR(__xludf.DUMMYFUNCTION("""COMPUTED_VALUE"""),"")</f>
        <v/>
      </c>
      <c r="I380" s="51" t="str">
        <f>IFERROR(__xludf.DUMMYFUNCTION("""COMPUTED_VALUE"""),"#VALUE!")</f>
        <v>#VALUE!</v>
      </c>
      <c r="J380" s="51" t="str">
        <f>IFERROR(__xludf.DUMMYFUNCTION("""COMPUTED_VALUE"""),"")</f>
        <v/>
      </c>
      <c r="K380" s="51"/>
      <c r="L380" s="51" t="s">
        <v>257</v>
      </c>
      <c r="M380" s="51"/>
      <c r="N380" s="51"/>
      <c r="O380" s="51"/>
      <c r="P380" s="51"/>
      <c r="Q380" s="51"/>
      <c r="R380" s="51"/>
      <c r="S380" s="51"/>
      <c r="T380" s="51"/>
    </row>
    <row r="381">
      <c r="A381" s="51"/>
      <c r="B381" s="51"/>
      <c r="C381" s="56"/>
      <c r="D381" s="51"/>
      <c r="E381" s="51"/>
      <c r="F381" s="51"/>
      <c r="G381" s="51" t="str">
        <f>IFERROR(__xludf.DUMMYFUNCTION("""COMPUTED_VALUE"""),"#VALUE!")</f>
        <v>#VALUE!</v>
      </c>
      <c r="H381" s="51" t="str">
        <f>IFERROR(__xludf.DUMMYFUNCTION("""COMPUTED_VALUE"""),"")</f>
        <v/>
      </c>
      <c r="I381" s="51" t="str">
        <f>IFERROR(__xludf.DUMMYFUNCTION("""COMPUTED_VALUE"""),"#VALUE!")</f>
        <v>#VALUE!</v>
      </c>
      <c r="J381" s="51" t="str">
        <f>IFERROR(__xludf.DUMMYFUNCTION("""COMPUTED_VALUE"""),"")</f>
        <v/>
      </c>
      <c r="K381" s="51"/>
      <c r="L381" s="51" t="s">
        <v>257</v>
      </c>
      <c r="M381" s="51"/>
      <c r="N381" s="51"/>
      <c r="O381" s="51"/>
      <c r="P381" s="51"/>
      <c r="Q381" s="51"/>
      <c r="R381" s="51"/>
      <c r="S381" s="51"/>
      <c r="T381" s="51"/>
    </row>
    <row r="382">
      <c r="A382" s="51"/>
      <c r="B382" s="51"/>
      <c r="C382" s="56"/>
      <c r="D382" s="51"/>
      <c r="E382" s="51"/>
      <c r="F382" s="51"/>
      <c r="G382" s="51" t="str">
        <f>IFERROR(__xludf.DUMMYFUNCTION("""COMPUTED_VALUE"""),"#VALUE!")</f>
        <v>#VALUE!</v>
      </c>
      <c r="H382" s="51" t="str">
        <f>IFERROR(__xludf.DUMMYFUNCTION("""COMPUTED_VALUE"""),"")</f>
        <v/>
      </c>
      <c r="I382" s="51" t="str">
        <f>IFERROR(__xludf.DUMMYFUNCTION("""COMPUTED_VALUE"""),"#VALUE!")</f>
        <v>#VALUE!</v>
      </c>
      <c r="J382" s="51" t="str">
        <f>IFERROR(__xludf.DUMMYFUNCTION("""COMPUTED_VALUE"""),"")</f>
        <v/>
      </c>
      <c r="K382" s="51"/>
      <c r="L382" s="51" t="s">
        <v>257</v>
      </c>
      <c r="M382" s="51"/>
      <c r="N382" s="51"/>
      <c r="O382" s="51"/>
      <c r="P382" s="51"/>
      <c r="Q382" s="51"/>
      <c r="R382" s="51"/>
      <c r="S382" s="51"/>
      <c r="T382" s="51"/>
    </row>
    <row r="383">
      <c r="A383" s="51"/>
      <c r="B383" s="51"/>
      <c r="C383" s="56"/>
      <c r="D383" s="51"/>
      <c r="E383" s="51"/>
      <c r="F383" s="51"/>
      <c r="G383" s="51" t="str">
        <f>IFERROR(__xludf.DUMMYFUNCTION("""COMPUTED_VALUE"""),"#VALUE!")</f>
        <v>#VALUE!</v>
      </c>
      <c r="H383" s="51" t="str">
        <f>IFERROR(__xludf.DUMMYFUNCTION("""COMPUTED_VALUE"""),"")</f>
        <v/>
      </c>
      <c r="I383" s="51" t="str">
        <f>IFERROR(__xludf.DUMMYFUNCTION("""COMPUTED_VALUE"""),"#VALUE!")</f>
        <v>#VALUE!</v>
      </c>
      <c r="J383" s="51" t="str">
        <f>IFERROR(__xludf.DUMMYFUNCTION("""COMPUTED_VALUE"""),"")</f>
        <v/>
      </c>
      <c r="K383" s="51"/>
      <c r="L383" s="51" t="s">
        <v>257</v>
      </c>
      <c r="M383" s="51"/>
      <c r="N383" s="51"/>
      <c r="O383" s="51"/>
      <c r="P383" s="51"/>
      <c r="Q383" s="51"/>
      <c r="R383" s="51"/>
      <c r="S383" s="51"/>
      <c r="T383" s="51"/>
    </row>
    <row r="384">
      <c r="A384" s="51"/>
      <c r="B384" s="51"/>
      <c r="C384" s="56"/>
      <c r="D384" s="51"/>
      <c r="E384" s="51"/>
      <c r="F384" s="51"/>
      <c r="G384" s="51" t="str">
        <f>IFERROR(__xludf.DUMMYFUNCTION("""COMPUTED_VALUE"""),"#VALUE!")</f>
        <v>#VALUE!</v>
      </c>
      <c r="H384" s="51" t="str">
        <f>IFERROR(__xludf.DUMMYFUNCTION("""COMPUTED_VALUE"""),"")</f>
        <v/>
      </c>
      <c r="I384" s="51" t="str">
        <f>IFERROR(__xludf.DUMMYFUNCTION("""COMPUTED_VALUE"""),"#VALUE!")</f>
        <v>#VALUE!</v>
      </c>
      <c r="J384" s="51" t="str">
        <f>IFERROR(__xludf.DUMMYFUNCTION("""COMPUTED_VALUE"""),"")</f>
        <v/>
      </c>
      <c r="K384" s="51"/>
      <c r="L384" s="51" t="s">
        <v>257</v>
      </c>
      <c r="M384" s="51"/>
      <c r="N384" s="51"/>
      <c r="O384" s="51"/>
      <c r="P384" s="51"/>
      <c r="Q384" s="51"/>
      <c r="R384" s="51"/>
      <c r="S384" s="51"/>
      <c r="T384" s="51"/>
    </row>
    <row r="385">
      <c r="A385" s="51"/>
      <c r="B385" s="51"/>
      <c r="C385" s="56"/>
      <c r="D385" s="51"/>
      <c r="E385" s="51"/>
      <c r="F385" s="51"/>
      <c r="G385" s="51" t="str">
        <f>IFERROR(__xludf.DUMMYFUNCTION("""COMPUTED_VALUE"""),"#VALUE!")</f>
        <v>#VALUE!</v>
      </c>
      <c r="H385" s="51" t="str">
        <f>IFERROR(__xludf.DUMMYFUNCTION("""COMPUTED_VALUE"""),"")</f>
        <v/>
      </c>
      <c r="I385" s="51" t="str">
        <f>IFERROR(__xludf.DUMMYFUNCTION("""COMPUTED_VALUE"""),"#VALUE!")</f>
        <v>#VALUE!</v>
      </c>
      <c r="J385" s="51" t="str">
        <f>IFERROR(__xludf.DUMMYFUNCTION("""COMPUTED_VALUE"""),"")</f>
        <v/>
      </c>
      <c r="K385" s="51"/>
      <c r="L385" s="51" t="s">
        <v>257</v>
      </c>
      <c r="M385" s="51"/>
      <c r="N385" s="51"/>
      <c r="O385" s="51"/>
      <c r="P385" s="51"/>
      <c r="Q385" s="51"/>
      <c r="R385" s="51"/>
      <c r="S385" s="51"/>
      <c r="T385" s="51"/>
    </row>
    <row r="386">
      <c r="A386" s="51"/>
      <c r="B386" s="51"/>
      <c r="C386" s="56"/>
      <c r="D386" s="51"/>
      <c r="E386" s="51"/>
      <c r="F386" s="51"/>
      <c r="G386" s="51" t="str">
        <f>IFERROR(__xludf.DUMMYFUNCTION("""COMPUTED_VALUE"""),"#VALUE!")</f>
        <v>#VALUE!</v>
      </c>
      <c r="H386" s="51" t="str">
        <f>IFERROR(__xludf.DUMMYFUNCTION("""COMPUTED_VALUE"""),"")</f>
        <v/>
      </c>
      <c r="I386" s="51" t="str">
        <f>IFERROR(__xludf.DUMMYFUNCTION("""COMPUTED_VALUE"""),"#VALUE!")</f>
        <v>#VALUE!</v>
      </c>
      <c r="J386" s="51" t="str">
        <f>IFERROR(__xludf.DUMMYFUNCTION("""COMPUTED_VALUE"""),"")</f>
        <v/>
      </c>
      <c r="K386" s="51"/>
      <c r="L386" s="51" t="s">
        <v>257</v>
      </c>
      <c r="M386" s="51"/>
      <c r="N386" s="51"/>
      <c r="O386" s="51"/>
      <c r="P386" s="51"/>
      <c r="Q386" s="51"/>
      <c r="R386" s="51"/>
      <c r="S386" s="51"/>
      <c r="T386" s="51"/>
    </row>
    <row r="387">
      <c r="A387" s="51"/>
      <c r="B387" s="51"/>
      <c r="C387" s="56"/>
      <c r="D387" s="51"/>
      <c r="E387" s="51"/>
      <c r="F387" s="51"/>
      <c r="G387" s="51" t="str">
        <f>IFERROR(__xludf.DUMMYFUNCTION("""COMPUTED_VALUE"""),"#VALUE!")</f>
        <v>#VALUE!</v>
      </c>
      <c r="H387" s="51" t="str">
        <f>IFERROR(__xludf.DUMMYFUNCTION("""COMPUTED_VALUE"""),"")</f>
        <v/>
      </c>
      <c r="I387" s="51" t="str">
        <f>IFERROR(__xludf.DUMMYFUNCTION("""COMPUTED_VALUE"""),"#VALUE!")</f>
        <v>#VALUE!</v>
      </c>
      <c r="J387" s="51" t="str">
        <f>IFERROR(__xludf.DUMMYFUNCTION("""COMPUTED_VALUE"""),"")</f>
        <v/>
      </c>
      <c r="K387" s="51"/>
      <c r="L387" s="51" t="s">
        <v>257</v>
      </c>
      <c r="M387" s="51"/>
      <c r="N387" s="51"/>
      <c r="O387" s="51"/>
      <c r="P387" s="51"/>
      <c r="Q387" s="51"/>
      <c r="R387" s="51"/>
      <c r="S387" s="51"/>
      <c r="T387" s="51"/>
    </row>
    <row r="388">
      <c r="A388" s="51"/>
      <c r="B388" s="51"/>
      <c r="C388" s="56"/>
      <c r="D388" s="51"/>
      <c r="E388" s="51"/>
      <c r="F388" s="51"/>
      <c r="G388" s="51" t="str">
        <f>IFERROR(__xludf.DUMMYFUNCTION("""COMPUTED_VALUE"""),"#VALUE!")</f>
        <v>#VALUE!</v>
      </c>
      <c r="H388" s="51" t="str">
        <f>IFERROR(__xludf.DUMMYFUNCTION("""COMPUTED_VALUE"""),"")</f>
        <v/>
      </c>
      <c r="I388" s="51" t="str">
        <f>IFERROR(__xludf.DUMMYFUNCTION("""COMPUTED_VALUE"""),"#VALUE!")</f>
        <v>#VALUE!</v>
      </c>
      <c r="J388" s="51" t="str">
        <f>IFERROR(__xludf.DUMMYFUNCTION("""COMPUTED_VALUE"""),"")</f>
        <v/>
      </c>
      <c r="K388" s="51"/>
      <c r="L388" s="51" t="s">
        <v>257</v>
      </c>
      <c r="M388" s="51"/>
      <c r="N388" s="51"/>
      <c r="O388" s="51"/>
      <c r="P388" s="51"/>
      <c r="Q388" s="51"/>
      <c r="R388" s="51"/>
      <c r="S388" s="51"/>
      <c r="T388" s="51"/>
    </row>
    <row r="389">
      <c r="A389" s="51"/>
      <c r="B389" s="51"/>
      <c r="C389" s="56"/>
      <c r="D389" s="51"/>
      <c r="E389" s="51"/>
      <c r="F389" s="51"/>
      <c r="G389" s="51" t="str">
        <f>IFERROR(__xludf.DUMMYFUNCTION("""COMPUTED_VALUE"""),"#VALUE!")</f>
        <v>#VALUE!</v>
      </c>
      <c r="H389" s="51" t="str">
        <f>IFERROR(__xludf.DUMMYFUNCTION("""COMPUTED_VALUE"""),"")</f>
        <v/>
      </c>
      <c r="I389" s="51" t="str">
        <f>IFERROR(__xludf.DUMMYFUNCTION("""COMPUTED_VALUE"""),"#VALUE!")</f>
        <v>#VALUE!</v>
      </c>
      <c r="J389" s="51" t="str">
        <f>IFERROR(__xludf.DUMMYFUNCTION("""COMPUTED_VALUE"""),"")</f>
        <v/>
      </c>
      <c r="K389" s="51"/>
      <c r="L389" s="51" t="s">
        <v>257</v>
      </c>
      <c r="M389" s="51"/>
      <c r="N389" s="51"/>
      <c r="O389" s="51"/>
      <c r="P389" s="51"/>
      <c r="Q389" s="51"/>
      <c r="R389" s="51"/>
      <c r="S389" s="51"/>
      <c r="T389" s="51"/>
    </row>
    <row r="390">
      <c r="A390" s="51"/>
      <c r="B390" s="51"/>
      <c r="C390" s="56"/>
      <c r="D390" s="51"/>
      <c r="E390" s="51"/>
      <c r="F390" s="51"/>
      <c r="G390" s="51" t="str">
        <f>IFERROR(__xludf.DUMMYFUNCTION("""COMPUTED_VALUE"""),"#VALUE!")</f>
        <v>#VALUE!</v>
      </c>
      <c r="H390" s="51" t="str">
        <f>IFERROR(__xludf.DUMMYFUNCTION("""COMPUTED_VALUE"""),"")</f>
        <v/>
      </c>
      <c r="I390" s="51" t="str">
        <f>IFERROR(__xludf.DUMMYFUNCTION("""COMPUTED_VALUE"""),"#VALUE!")</f>
        <v>#VALUE!</v>
      </c>
      <c r="J390" s="51" t="str">
        <f>IFERROR(__xludf.DUMMYFUNCTION("""COMPUTED_VALUE"""),"")</f>
        <v/>
      </c>
      <c r="K390" s="51"/>
      <c r="L390" s="51" t="s">
        <v>257</v>
      </c>
      <c r="M390" s="51"/>
      <c r="N390" s="51"/>
      <c r="O390" s="51"/>
      <c r="P390" s="51"/>
      <c r="Q390" s="51"/>
      <c r="R390" s="51"/>
      <c r="S390" s="51"/>
      <c r="T390" s="51"/>
    </row>
    <row r="391">
      <c r="A391" s="51"/>
      <c r="B391" s="51"/>
      <c r="C391" s="56"/>
      <c r="D391" s="51"/>
      <c r="E391" s="51"/>
      <c r="F391" s="51"/>
      <c r="G391" s="51" t="str">
        <f>IFERROR(__xludf.DUMMYFUNCTION("""COMPUTED_VALUE"""),"#VALUE!")</f>
        <v>#VALUE!</v>
      </c>
      <c r="H391" s="51" t="str">
        <f>IFERROR(__xludf.DUMMYFUNCTION("""COMPUTED_VALUE"""),"")</f>
        <v/>
      </c>
      <c r="I391" s="51" t="str">
        <f>IFERROR(__xludf.DUMMYFUNCTION("""COMPUTED_VALUE"""),"#VALUE!")</f>
        <v>#VALUE!</v>
      </c>
      <c r="J391" s="51" t="str">
        <f>IFERROR(__xludf.DUMMYFUNCTION("""COMPUTED_VALUE"""),"")</f>
        <v/>
      </c>
      <c r="K391" s="51"/>
      <c r="L391" s="51" t="s">
        <v>257</v>
      </c>
      <c r="M391" s="51"/>
      <c r="N391" s="51"/>
      <c r="O391" s="51"/>
      <c r="P391" s="51"/>
      <c r="Q391" s="51"/>
      <c r="R391" s="51"/>
      <c r="S391" s="51"/>
      <c r="T391" s="51"/>
    </row>
    <row r="392">
      <c r="A392" s="51"/>
      <c r="B392" s="51"/>
      <c r="C392" s="56"/>
      <c r="D392" s="51"/>
      <c r="E392" s="51"/>
      <c r="F392" s="51"/>
      <c r="G392" s="51" t="str">
        <f>IFERROR(__xludf.DUMMYFUNCTION("""COMPUTED_VALUE"""),"#VALUE!")</f>
        <v>#VALUE!</v>
      </c>
      <c r="H392" s="51" t="str">
        <f>IFERROR(__xludf.DUMMYFUNCTION("""COMPUTED_VALUE"""),"")</f>
        <v/>
      </c>
      <c r="I392" s="51" t="str">
        <f>IFERROR(__xludf.DUMMYFUNCTION("""COMPUTED_VALUE"""),"#VALUE!")</f>
        <v>#VALUE!</v>
      </c>
      <c r="J392" s="51" t="str">
        <f>IFERROR(__xludf.DUMMYFUNCTION("""COMPUTED_VALUE"""),"")</f>
        <v/>
      </c>
      <c r="K392" s="51"/>
      <c r="L392" s="51" t="s">
        <v>257</v>
      </c>
      <c r="M392" s="51"/>
      <c r="N392" s="51"/>
      <c r="O392" s="51"/>
      <c r="P392" s="51"/>
      <c r="Q392" s="51"/>
      <c r="R392" s="51"/>
      <c r="S392" s="51"/>
      <c r="T392" s="51"/>
    </row>
    <row r="393">
      <c r="A393" s="51"/>
      <c r="B393" s="51"/>
      <c r="C393" s="56"/>
      <c r="D393" s="51"/>
      <c r="E393" s="51"/>
      <c r="F393" s="51"/>
      <c r="G393" s="51" t="str">
        <f>IFERROR(__xludf.DUMMYFUNCTION("""COMPUTED_VALUE"""),"#VALUE!")</f>
        <v>#VALUE!</v>
      </c>
      <c r="H393" s="51" t="str">
        <f>IFERROR(__xludf.DUMMYFUNCTION("""COMPUTED_VALUE"""),"")</f>
        <v/>
      </c>
      <c r="I393" s="51" t="str">
        <f>IFERROR(__xludf.DUMMYFUNCTION("""COMPUTED_VALUE"""),"#VALUE!")</f>
        <v>#VALUE!</v>
      </c>
      <c r="J393" s="51" t="str">
        <f>IFERROR(__xludf.DUMMYFUNCTION("""COMPUTED_VALUE"""),"")</f>
        <v/>
      </c>
      <c r="K393" s="51"/>
      <c r="L393" s="51" t="s">
        <v>257</v>
      </c>
      <c r="M393" s="51"/>
      <c r="N393" s="51"/>
      <c r="O393" s="51"/>
      <c r="P393" s="51"/>
      <c r="Q393" s="51"/>
      <c r="R393" s="51"/>
      <c r="S393" s="51"/>
      <c r="T393" s="51"/>
    </row>
    <row r="394">
      <c r="A394" s="51"/>
      <c r="B394" s="51"/>
      <c r="C394" s="56"/>
      <c r="D394" s="51"/>
      <c r="E394" s="51"/>
      <c r="F394" s="51"/>
      <c r="G394" s="51" t="str">
        <f>IFERROR(__xludf.DUMMYFUNCTION("""COMPUTED_VALUE"""),"#VALUE!")</f>
        <v>#VALUE!</v>
      </c>
      <c r="H394" s="51" t="str">
        <f>IFERROR(__xludf.DUMMYFUNCTION("""COMPUTED_VALUE"""),"")</f>
        <v/>
      </c>
      <c r="I394" s="51" t="str">
        <f>IFERROR(__xludf.DUMMYFUNCTION("""COMPUTED_VALUE"""),"#VALUE!")</f>
        <v>#VALUE!</v>
      </c>
      <c r="J394" s="51" t="str">
        <f>IFERROR(__xludf.DUMMYFUNCTION("""COMPUTED_VALUE"""),"")</f>
        <v/>
      </c>
      <c r="K394" s="51"/>
      <c r="L394" s="51" t="s">
        <v>257</v>
      </c>
      <c r="M394" s="51"/>
      <c r="N394" s="51"/>
      <c r="O394" s="51"/>
      <c r="P394" s="51"/>
      <c r="Q394" s="51"/>
      <c r="R394" s="51"/>
      <c r="S394" s="51"/>
      <c r="T394" s="51"/>
    </row>
    <row r="395">
      <c r="A395" s="51"/>
      <c r="B395" s="51"/>
      <c r="C395" s="56"/>
      <c r="D395" s="51"/>
      <c r="E395" s="51"/>
      <c r="F395" s="51"/>
      <c r="G395" s="51" t="str">
        <f>IFERROR(__xludf.DUMMYFUNCTION("""COMPUTED_VALUE"""),"#VALUE!")</f>
        <v>#VALUE!</v>
      </c>
      <c r="H395" s="51" t="str">
        <f>IFERROR(__xludf.DUMMYFUNCTION("""COMPUTED_VALUE"""),"")</f>
        <v/>
      </c>
      <c r="I395" s="51" t="str">
        <f>IFERROR(__xludf.DUMMYFUNCTION("""COMPUTED_VALUE"""),"#VALUE!")</f>
        <v>#VALUE!</v>
      </c>
      <c r="J395" s="51" t="str">
        <f>IFERROR(__xludf.DUMMYFUNCTION("""COMPUTED_VALUE"""),"")</f>
        <v/>
      </c>
      <c r="K395" s="51"/>
      <c r="L395" s="51" t="s">
        <v>257</v>
      </c>
      <c r="M395" s="51"/>
      <c r="N395" s="51"/>
      <c r="O395" s="51"/>
      <c r="P395" s="51"/>
      <c r="Q395" s="51"/>
      <c r="R395" s="51"/>
      <c r="S395" s="51"/>
      <c r="T395" s="51"/>
    </row>
    <row r="396">
      <c r="A396" s="51"/>
      <c r="B396" s="51"/>
      <c r="C396" s="56"/>
      <c r="D396" s="51"/>
      <c r="E396" s="51"/>
      <c r="F396" s="51"/>
      <c r="G396" s="51" t="str">
        <f>IFERROR(__xludf.DUMMYFUNCTION("""COMPUTED_VALUE"""),"#VALUE!")</f>
        <v>#VALUE!</v>
      </c>
      <c r="H396" s="51" t="str">
        <f>IFERROR(__xludf.DUMMYFUNCTION("""COMPUTED_VALUE"""),"")</f>
        <v/>
      </c>
      <c r="I396" s="51" t="str">
        <f>IFERROR(__xludf.DUMMYFUNCTION("""COMPUTED_VALUE"""),"#VALUE!")</f>
        <v>#VALUE!</v>
      </c>
      <c r="J396" s="51" t="str">
        <f>IFERROR(__xludf.DUMMYFUNCTION("""COMPUTED_VALUE"""),"")</f>
        <v/>
      </c>
      <c r="K396" s="51"/>
      <c r="L396" s="51" t="s">
        <v>257</v>
      </c>
      <c r="M396" s="51"/>
      <c r="N396" s="51"/>
      <c r="O396" s="51"/>
      <c r="P396" s="51"/>
      <c r="Q396" s="51"/>
      <c r="R396" s="51"/>
      <c r="S396" s="51"/>
      <c r="T396" s="51"/>
    </row>
    <row r="397">
      <c r="A397" s="51"/>
      <c r="B397" s="51"/>
      <c r="C397" s="56"/>
      <c r="D397" s="51"/>
      <c r="E397" s="51"/>
      <c r="F397" s="51"/>
      <c r="G397" s="51" t="str">
        <f>IFERROR(__xludf.DUMMYFUNCTION("""COMPUTED_VALUE"""),"#VALUE!")</f>
        <v>#VALUE!</v>
      </c>
      <c r="H397" s="51" t="str">
        <f>IFERROR(__xludf.DUMMYFUNCTION("""COMPUTED_VALUE"""),"")</f>
        <v/>
      </c>
      <c r="I397" s="51" t="str">
        <f>IFERROR(__xludf.DUMMYFUNCTION("""COMPUTED_VALUE"""),"#VALUE!")</f>
        <v>#VALUE!</v>
      </c>
      <c r="J397" s="51" t="str">
        <f>IFERROR(__xludf.DUMMYFUNCTION("""COMPUTED_VALUE"""),"")</f>
        <v/>
      </c>
      <c r="K397" s="51"/>
      <c r="L397" s="51" t="s">
        <v>257</v>
      </c>
      <c r="M397" s="51"/>
      <c r="N397" s="51"/>
      <c r="O397" s="51"/>
      <c r="P397" s="51"/>
      <c r="Q397" s="51"/>
      <c r="R397" s="51"/>
      <c r="S397" s="51"/>
      <c r="T397" s="51"/>
    </row>
    <row r="398">
      <c r="A398" s="51"/>
      <c r="B398" s="51"/>
      <c r="C398" s="56"/>
      <c r="D398" s="51"/>
      <c r="E398" s="51"/>
      <c r="F398" s="51"/>
      <c r="G398" s="51" t="str">
        <f>IFERROR(__xludf.DUMMYFUNCTION("""COMPUTED_VALUE"""),"#VALUE!")</f>
        <v>#VALUE!</v>
      </c>
      <c r="H398" s="51" t="str">
        <f>IFERROR(__xludf.DUMMYFUNCTION("""COMPUTED_VALUE"""),"")</f>
        <v/>
      </c>
      <c r="I398" s="51" t="str">
        <f>IFERROR(__xludf.DUMMYFUNCTION("""COMPUTED_VALUE"""),"#VALUE!")</f>
        <v>#VALUE!</v>
      </c>
      <c r="J398" s="51" t="str">
        <f>IFERROR(__xludf.DUMMYFUNCTION("""COMPUTED_VALUE"""),"")</f>
        <v/>
      </c>
      <c r="K398" s="51"/>
      <c r="L398" s="51" t="s">
        <v>257</v>
      </c>
      <c r="M398" s="51"/>
      <c r="N398" s="51"/>
      <c r="O398" s="51"/>
      <c r="P398" s="51"/>
      <c r="Q398" s="51"/>
      <c r="R398" s="51"/>
      <c r="S398" s="51"/>
      <c r="T398" s="51"/>
    </row>
    <row r="399">
      <c r="A399" s="51"/>
      <c r="B399" s="51"/>
      <c r="C399" s="56"/>
      <c r="D399" s="51"/>
      <c r="E399" s="51"/>
      <c r="F399" s="51"/>
      <c r="G399" s="51" t="str">
        <f>IFERROR(__xludf.DUMMYFUNCTION("""COMPUTED_VALUE"""),"#VALUE!")</f>
        <v>#VALUE!</v>
      </c>
      <c r="H399" s="51" t="str">
        <f>IFERROR(__xludf.DUMMYFUNCTION("""COMPUTED_VALUE"""),"")</f>
        <v/>
      </c>
      <c r="I399" s="51" t="str">
        <f>IFERROR(__xludf.DUMMYFUNCTION("""COMPUTED_VALUE"""),"#VALUE!")</f>
        <v>#VALUE!</v>
      </c>
      <c r="J399" s="51" t="str">
        <f>IFERROR(__xludf.DUMMYFUNCTION("""COMPUTED_VALUE"""),"")</f>
        <v/>
      </c>
      <c r="K399" s="51"/>
      <c r="L399" s="51" t="s">
        <v>257</v>
      </c>
      <c r="M399" s="51"/>
      <c r="N399" s="51"/>
      <c r="O399" s="51"/>
      <c r="P399" s="51"/>
      <c r="Q399" s="51"/>
      <c r="R399" s="51"/>
      <c r="S399" s="51"/>
      <c r="T399" s="51"/>
    </row>
    <row r="400">
      <c r="A400" s="51"/>
      <c r="B400" s="51"/>
      <c r="C400" s="56"/>
      <c r="D400" s="51"/>
      <c r="E400" s="51"/>
      <c r="F400" s="51"/>
      <c r="G400" s="51" t="str">
        <f>IFERROR(__xludf.DUMMYFUNCTION("""COMPUTED_VALUE"""),"#VALUE!")</f>
        <v>#VALUE!</v>
      </c>
      <c r="H400" s="51" t="str">
        <f>IFERROR(__xludf.DUMMYFUNCTION("""COMPUTED_VALUE"""),"")</f>
        <v/>
      </c>
      <c r="I400" s="51" t="str">
        <f>IFERROR(__xludf.DUMMYFUNCTION("""COMPUTED_VALUE"""),"#VALUE!")</f>
        <v>#VALUE!</v>
      </c>
      <c r="J400" s="51" t="str">
        <f>IFERROR(__xludf.DUMMYFUNCTION("""COMPUTED_VALUE"""),"")</f>
        <v/>
      </c>
      <c r="K400" s="51"/>
      <c r="L400" s="51" t="s">
        <v>257</v>
      </c>
      <c r="M400" s="51"/>
      <c r="N400" s="51"/>
      <c r="O400" s="51"/>
      <c r="P400" s="51"/>
      <c r="Q400" s="51"/>
      <c r="R400" s="51"/>
      <c r="S400" s="51"/>
      <c r="T400" s="51"/>
    </row>
    <row r="401">
      <c r="A401" s="51"/>
      <c r="B401" s="51"/>
      <c r="C401" s="56"/>
      <c r="D401" s="51"/>
      <c r="E401" s="51"/>
      <c r="F401" s="51"/>
      <c r="G401" s="51" t="str">
        <f>IFERROR(__xludf.DUMMYFUNCTION("""COMPUTED_VALUE"""),"#VALUE!")</f>
        <v>#VALUE!</v>
      </c>
      <c r="H401" s="51" t="str">
        <f>IFERROR(__xludf.DUMMYFUNCTION("""COMPUTED_VALUE"""),"")</f>
        <v/>
      </c>
      <c r="I401" s="51" t="str">
        <f>IFERROR(__xludf.DUMMYFUNCTION("""COMPUTED_VALUE"""),"#VALUE!")</f>
        <v>#VALUE!</v>
      </c>
      <c r="J401" s="51" t="str">
        <f>IFERROR(__xludf.DUMMYFUNCTION("""COMPUTED_VALUE"""),"")</f>
        <v/>
      </c>
      <c r="K401" s="51"/>
      <c r="L401" s="51" t="s">
        <v>257</v>
      </c>
      <c r="M401" s="51"/>
      <c r="N401" s="51"/>
      <c r="O401" s="51"/>
      <c r="P401" s="51"/>
      <c r="Q401" s="51"/>
      <c r="R401" s="51"/>
      <c r="S401" s="51"/>
      <c r="T401" s="51"/>
    </row>
    <row r="402">
      <c r="A402" s="51"/>
      <c r="B402" s="51"/>
      <c r="C402" s="56"/>
      <c r="D402" s="51"/>
      <c r="E402" s="51"/>
      <c r="F402" s="51"/>
      <c r="G402" s="51" t="str">
        <f>IFERROR(__xludf.DUMMYFUNCTION("""COMPUTED_VALUE"""),"#VALUE!")</f>
        <v>#VALUE!</v>
      </c>
      <c r="H402" s="51" t="str">
        <f>IFERROR(__xludf.DUMMYFUNCTION("""COMPUTED_VALUE"""),"")</f>
        <v/>
      </c>
      <c r="I402" s="51" t="str">
        <f>IFERROR(__xludf.DUMMYFUNCTION("""COMPUTED_VALUE"""),"#VALUE!")</f>
        <v>#VALUE!</v>
      </c>
      <c r="J402" s="51" t="str">
        <f>IFERROR(__xludf.DUMMYFUNCTION("""COMPUTED_VALUE"""),"")</f>
        <v/>
      </c>
      <c r="K402" s="51"/>
      <c r="L402" s="51" t="s">
        <v>257</v>
      </c>
      <c r="M402" s="51"/>
      <c r="N402" s="51"/>
      <c r="O402" s="51"/>
      <c r="P402" s="51"/>
      <c r="Q402" s="51"/>
      <c r="R402" s="51"/>
      <c r="S402" s="51"/>
      <c r="T402" s="51"/>
    </row>
    <row r="403">
      <c r="A403" s="51"/>
      <c r="B403" s="51"/>
      <c r="C403" s="56"/>
      <c r="D403" s="51"/>
      <c r="E403" s="51"/>
      <c r="F403" s="51"/>
      <c r="G403" s="51" t="str">
        <f>IFERROR(__xludf.DUMMYFUNCTION("""COMPUTED_VALUE"""),"#VALUE!")</f>
        <v>#VALUE!</v>
      </c>
      <c r="H403" s="51" t="str">
        <f>IFERROR(__xludf.DUMMYFUNCTION("""COMPUTED_VALUE"""),"")</f>
        <v/>
      </c>
      <c r="I403" s="51" t="str">
        <f>IFERROR(__xludf.DUMMYFUNCTION("""COMPUTED_VALUE"""),"#VALUE!")</f>
        <v>#VALUE!</v>
      </c>
      <c r="J403" s="51" t="str">
        <f>IFERROR(__xludf.DUMMYFUNCTION("""COMPUTED_VALUE"""),"")</f>
        <v/>
      </c>
      <c r="K403" s="51"/>
      <c r="L403" s="51" t="s">
        <v>257</v>
      </c>
      <c r="M403" s="51"/>
      <c r="N403" s="51"/>
      <c r="O403" s="51"/>
      <c r="P403" s="51"/>
      <c r="Q403" s="51"/>
      <c r="R403" s="51"/>
      <c r="S403" s="51"/>
      <c r="T403" s="51"/>
    </row>
    <row r="404">
      <c r="A404" s="51"/>
      <c r="B404" s="51"/>
      <c r="C404" s="56"/>
      <c r="D404" s="51"/>
      <c r="E404" s="51"/>
      <c r="F404" s="51"/>
      <c r="G404" s="51" t="str">
        <f>IFERROR(__xludf.DUMMYFUNCTION("""COMPUTED_VALUE"""),"#VALUE!")</f>
        <v>#VALUE!</v>
      </c>
      <c r="H404" s="51" t="str">
        <f>IFERROR(__xludf.DUMMYFUNCTION("""COMPUTED_VALUE"""),"")</f>
        <v/>
      </c>
      <c r="I404" s="51" t="str">
        <f>IFERROR(__xludf.DUMMYFUNCTION("""COMPUTED_VALUE"""),"#VALUE!")</f>
        <v>#VALUE!</v>
      </c>
      <c r="J404" s="51" t="str">
        <f>IFERROR(__xludf.DUMMYFUNCTION("""COMPUTED_VALUE"""),"")</f>
        <v/>
      </c>
      <c r="K404" s="51"/>
      <c r="L404" s="51" t="s">
        <v>257</v>
      </c>
      <c r="M404" s="51"/>
      <c r="N404" s="51"/>
      <c r="O404" s="51"/>
      <c r="P404" s="51"/>
      <c r="Q404" s="51"/>
      <c r="R404" s="51"/>
      <c r="S404" s="51"/>
      <c r="T404" s="51"/>
    </row>
    <row r="405">
      <c r="A405" s="51"/>
      <c r="B405" s="51"/>
      <c r="C405" s="56"/>
      <c r="D405" s="51"/>
      <c r="E405" s="51"/>
      <c r="F405" s="51"/>
      <c r="G405" s="51" t="str">
        <f>IFERROR(__xludf.DUMMYFUNCTION("""COMPUTED_VALUE"""),"#VALUE!")</f>
        <v>#VALUE!</v>
      </c>
      <c r="H405" s="51" t="str">
        <f>IFERROR(__xludf.DUMMYFUNCTION("""COMPUTED_VALUE"""),"")</f>
        <v/>
      </c>
      <c r="I405" s="51" t="str">
        <f>IFERROR(__xludf.DUMMYFUNCTION("""COMPUTED_VALUE"""),"#VALUE!")</f>
        <v>#VALUE!</v>
      </c>
      <c r="J405" s="51" t="str">
        <f>IFERROR(__xludf.DUMMYFUNCTION("""COMPUTED_VALUE"""),"")</f>
        <v/>
      </c>
      <c r="K405" s="51"/>
      <c r="L405" s="51" t="s">
        <v>257</v>
      </c>
      <c r="M405" s="51"/>
      <c r="N405" s="51"/>
      <c r="O405" s="51"/>
      <c r="P405" s="51"/>
      <c r="Q405" s="51"/>
      <c r="R405" s="51"/>
      <c r="S405" s="51"/>
      <c r="T405" s="51"/>
    </row>
    <row r="406">
      <c r="A406" s="51"/>
      <c r="B406" s="51"/>
      <c r="C406" s="56"/>
      <c r="D406" s="51"/>
      <c r="E406" s="51"/>
      <c r="F406" s="51"/>
      <c r="G406" s="51" t="str">
        <f>IFERROR(__xludf.DUMMYFUNCTION("""COMPUTED_VALUE"""),"#VALUE!")</f>
        <v>#VALUE!</v>
      </c>
      <c r="H406" s="51" t="str">
        <f>IFERROR(__xludf.DUMMYFUNCTION("""COMPUTED_VALUE"""),"")</f>
        <v/>
      </c>
      <c r="I406" s="51" t="str">
        <f>IFERROR(__xludf.DUMMYFUNCTION("""COMPUTED_VALUE"""),"#VALUE!")</f>
        <v>#VALUE!</v>
      </c>
      <c r="J406" s="51" t="str">
        <f>IFERROR(__xludf.DUMMYFUNCTION("""COMPUTED_VALUE"""),"")</f>
        <v/>
      </c>
      <c r="K406" s="51"/>
      <c r="L406" s="51" t="s">
        <v>257</v>
      </c>
      <c r="M406" s="51"/>
      <c r="N406" s="51"/>
      <c r="O406" s="51"/>
      <c r="P406" s="51"/>
      <c r="Q406" s="51"/>
      <c r="R406" s="51"/>
      <c r="S406" s="51"/>
      <c r="T406" s="51"/>
    </row>
    <row r="407">
      <c r="A407" s="51"/>
      <c r="B407" s="51"/>
      <c r="C407" s="56"/>
      <c r="D407" s="51"/>
      <c r="E407" s="51"/>
      <c r="F407" s="51"/>
      <c r="G407" s="51" t="str">
        <f>IFERROR(__xludf.DUMMYFUNCTION("""COMPUTED_VALUE"""),"#VALUE!")</f>
        <v>#VALUE!</v>
      </c>
      <c r="H407" s="51" t="str">
        <f>IFERROR(__xludf.DUMMYFUNCTION("""COMPUTED_VALUE"""),"")</f>
        <v/>
      </c>
      <c r="I407" s="51" t="str">
        <f>IFERROR(__xludf.DUMMYFUNCTION("""COMPUTED_VALUE"""),"#VALUE!")</f>
        <v>#VALUE!</v>
      </c>
      <c r="J407" s="51" t="str">
        <f>IFERROR(__xludf.DUMMYFUNCTION("""COMPUTED_VALUE"""),"")</f>
        <v/>
      </c>
      <c r="K407" s="51"/>
      <c r="L407" s="51" t="s">
        <v>257</v>
      </c>
      <c r="M407" s="51"/>
      <c r="N407" s="51"/>
      <c r="O407" s="51"/>
      <c r="P407" s="51"/>
      <c r="Q407" s="51"/>
      <c r="R407" s="51"/>
      <c r="S407" s="51"/>
      <c r="T407" s="51"/>
    </row>
    <row r="408">
      <c r="A408" s="51"/>
      <c r="B408" s="51"/>
      <c r="C408" s="56"/>
      <c r="D408" s="51"/>
      <c r="E408" s="51"/>
      <c r="F408" s="51"/>
      <c r="G408" s="51" t="str">
        <f>IFERROR(__xludf.DUMMYFUNCTION("""COMPUTED_VALUE"""),"#VALUE!")</f>
        <v>#VALUE!</v>
      </c>
      <c r="H408" s="51" t="str">
        <f>IFERROR(__xludf.DUMMYFUNCTION("""COMPUTED_VALUE"""),"")</f>
        <v/>
      </c>
      <c r="I408" s="51" t="str">
        <f>IFERROR(__xludf.DUMMYFUNCTION("""COMPUTED_VALUE"""),"#VALUE!")</f>
        <v>#VALUE!</v>
      </c>
      <c r="J408" s="51" t="str">
        <f>IFERROR(__xludf.DUMMYFUNCTION("""COMPUTED_VALUE"""),"")</f>
        <v/>
      </c>
      <c r="K408" s="51"/>
      <c r="L408" s="51" t="s">
        <v>257</v>
      </c>
      <c r="M408" s="51"/>
      <c r="N408" s="51"/>
      <c r="O408" s="51"/>
      <c r="P408" s="51"/>
      <c r="Q408" s="51"/>
      <c r="R408" s="51"/>
      <c r="S408" s="51"/>
      <c r="T408" s="51"/>
    </row>
    <row r="409">
      <c r="A409" s="51"/>
      <c r="B409" s="51"/>
      <c r="C409" s="56"/>
      <c r="D409" s="51"/>
      <c r="E409" s="51"/>
      <c r="F409" s="51"/>
      <c r="G409" s="51" t="str">
        <f>IFERROR(__xludf.DUMMYFUNCTION("""COMPUTED_VALUE"""),"#VALUE!")</f>
        <v>#VALUE!</v>
      </c>
      <c r="H409" s="51" t="str">
        <f>IFERROR(__xludf.DUMMYFUNCTION("""COMPUTED_VALUE"""),"")</f>
        <v/>
      </c>
      <c r="I409" s="51" t="str">
        <f>IFERROR(__xludf.DUMMYFUNCTION("""COMPUTED_VALUE"""),"#VALUE!")</f>
        <v>#VALUE!</v>
      </c>
      <c r="J409" s="51" t="str">
        <f>IFERROR(__xludf.DUMMYFUNCTION("""COMPUTED_VALUE"""),"")</f>
        <v/>
      </c>
      <c r="K409" s="51"/>
      <c r="L409" s="51" t="s">
        <v>257</v>
      </c>
      <c r="M409" s="51"/>
      <c r="N409" s="51"/>
      <c r="O409" s="51"/>
      <c r="P409" s="51"/>
      <c r="Q409" s="51"/>
      <c r="R409" s="51"/>
      <c r="S409" s="51"/>
      <c r="T409" s="51"/>
    </row>
    <row r="410">
      <c r="A410" s="51"/>
      <c r="B410" s="51"/>
      <c r="C410" s="56"/>
      <c r="D410" s="51"/>
      <c r="E410" s="51"/>
      <c r="F410" s="51"/>
      <c r="G410" s="51" t="str">
        <f>IFERROR(__xludf.DUMMYFUNCTION("""COMPUTED_VALUE"""),"#VALUE!")</f>
        <v>#VALUE!</v>
      </c>
      <c r="H410" s="51" t="str">
        <f>IFERROR(__xludf.DUMMYFUNCTION("""COMPUTED_VALUE"""),"")</f>
        <v/>
      </c>
      <c r="I410" s="51" t="str">
        <f>IFERROR(__xludf.DUMMYFUNCTION("""COMPUTED_VALUE"""),"#VALUE!")</f>
        <v>#VALUE!</v>
      </c>
      <c r="J410" s="51" t="str">
        <f>IFERROR(__xludf.DUMMYFUNCTION("""COMPUTED_VALUE"""),"")</f>
        <v/>
      </c>
      <c r="K410" s="51"/>
      <c r="L410" s="51" t="s">
        <v>257</v>
      </c>
      <c r="M410" s="51"/>
      <c r="N410" s="51"/>
      <c r="O410" s="51"/>
      <c r="P410" s="51"/>
      <c r="Q410" s="51"/>
      <c r="R410" s="51"/>
      <c r="S410" s="51"/>
      <c r="T410" s="51"/>
    </row>
    <row r="411">
      <c r="A411" s="51"/>
      <c r="B411" s="51"/>
      <c r="C411" s="56"/>
      <c r="D411" s="51"/>
      <c r="E411" s="51"/>
      <c r="F411" s="51"/>
      <c r="G411" s="51" t="str">
        <f>IFERROR(__xludf.DUMMYFUNCTION("""COMPUTED_VALUE"""),"#VALUE!")</f>
        <v>#VALUE!</v>
      </c>
      <c r="H411" s="51" t="str">
        <f>IFERROR(__xludf.DUMMYFUNCTION("""COMPUTED_VALUE"""),"")</f>
        <v/>
      </c>
      <c r="I411" s="51" t="str">
        <f>IFERROR(__xludf.DUMMYFUNCTION("""COMPUTED_VALUE"""),"#VALUE!")</f>
        <v>#VALUE!</v>
      </c>
      <c r="J411" s="51" t="str">
        <f>IFERROR(__xludf.DUMMYFUNCTION("""COMPUTED_VALUE"""),"")</f>
        <v/>
      </c>
      <c r="K411" s="51"/>
      <c r="L411" s="51" t="s">
        <v>257</v>
      </c>
      <c r="M411" s="51"/>
      <c r="N411" s="51"/>
      <c r="O411" s="51"/>
      <c r="P411" s="51"/>
      <c r="Q411" s="51"/>
      <c r="R411" s="51"/>
      <c r="S411" s="51"/>
      <c r="T411" s="51"/>
    </row>
    <row r="412">
      <c r="A412" s="51"/>
      <c r="B412" s="51"/>
      <c r="C412" s="56"/>
      <c r="D412" s="51"/>
      <c r="E412" s="51"/>
      <c r="F412" s="51"/>
      <c r="G412" s="51" t="str">
        <f>IFERROR(__xludf.DUMMYFUNCTION("""COMPUTED_VALUE"""),"#VALUE!")</f>
        <v>#VALUE!</v>
      </c>
      <c r="H412" s="51" t="str">
        <f>IFERROR(__xludf.DUMMYFUNCTION("""COMPUTED_VALUE"""),"")</f>
        <v/>
      </c>
      <c r="I412" s="51" t="str">
        <f>IFERROR(__xludf.DUMMYFUNCTION("""COMPUTED_VALUE"""),"#VALUE!")</f>
        <v>#VALUE!</v>
      </c>
      <c r="J412" s="51" t="str">
        <f>IFERROR(__xludf.DUMMYFUNCTION("""COMPUTED_VALUE"""),"")</f>
        <v/>
      </c>
      <c r="K412" s="51"/>
      <c r="L412" s="51" t="s">
        <v>257</v>
      </c>
      <c r="M412" s="51"/>
      <c r="N412" s="51"/>
      <c r="O412" s="51"/>
      <c r="P412" s="51"/>
      <c r="Q412" s="51"/>
      <c r="R412" s="51"/>
      <c r="S412" s="51"/>
      <c r="T412" s="51"/>
    </row>
    <row r="413">
      <c r="A413" s="51"/>
      <c r="B413" s="51"/>
      <c r="C413" s="56"/>
      <c r="D413" s="51"/>
      <c r="E413" s="51"/>
      <c r="F413" s="51"/>
      <c r="G413" s="51" t="str">
        <f>IFERROR(__xludf.DUMMYFUNCTION("""COMPUTED_VALUE"""),"#VALUE!")</f>
        <v>#VALUE!</v>
      </c>
      <c r="H413" s="51" t="str">
        <f>IFERROR(__xludf.DUMMYFUNCTION("""COMPUTED_VALUE"""),"")</f>
        <v/>
      </c>
      <c r="I413" s="51" t="str">
        <f>IFERROR(__xludf.DUMMYFUNCTION("""COMPUTED_VALUE"""),"#VALUE!")</f>
        <v>#VALUE!</v>
      </c>
      <c r="J413" s="51" t="str">
        <f>IFERROR(__xludf.DUMMYFUNCTION("""COMPUTED_VALUE"""),"")</f>
        <v/>
      </c>
      <c r="K413" s="51"/>
      <c r="L413" s="51" t="s">
        <v>257</v>
      </c>
      <c r="M413" s="51"/>
      <c r="N413" s="51"/>
      <c r="O413" s="51"/>
      <c r="P413" s="51"/>
      <c r="Q413" s="51"/>
      <c r="R413" s="51"/>
      <c r="S413" s="51"/>
      <c r="T413" s="51"/>
    </row>
    <row r="414">
      <c r="A414" s="51"/>
      <c r="B414" s="51"/>
      <c r="C414" s="56"/>
      <c r="D414" s="51"/>
      <c r="E414" s="51"/>
      <c r="F414" s="51"/>
      <c r="G414" s="51" t="str">
        <f>IFERROR(__xludf.DUMMYFUNCTION("""COMPUTED_VALUE"""),"#VALUE!")</f>
        <v>#VALUE!</v>
      </c>
      <c r="H414" s="51" t="str">
        <f>IFERROR(__xludf.DUMMYFUNCTION("""COMPUTED_VALUE"""),"")</f>
        <v/>
      </c>
      <c r="I414" s="51" t="str">
        <f>IFERROR(__xludf.DUMMYFUNCTION("""COMPUTED_VALUE"""),"#VALUE!")</f>
        <v>#VALUE!</v>
      </c>
      <c r="J414" s="51" t="str">
        <f>IFERROR(__xludf.DUMMYFUNCTION("""COMPUTED_VALUE"""),"")</f>
        <v/>
      </c>
      <c r="K414" s="51"/>
      <c r="L414" s="51" t="s">
        <v>257</v>
      </c>
      <c r="M414" s="51"/>
      <c r="N414" s="51"/>
      <c r="O414" s="51"/>
      <c r="P414" s="51"/>
      <c r="Q414" s="51"/>
      <c r="R414" s="51"/>
      <c r="S414" s="51"/>
      <c r="T414" s="51"/>
    </row>
    <row r="415">
      <c r="A415" s="51"/>
      <c r="B415" s="51"/>
      <c r="C415" s="56"/>
      <c r="D415" s="51"/>
      <c r="E415" s="51"/>
      <c r="F415" s="51"/>
      <c r="G415" s="51" t="str">
        <f>IFERROR(__xludf.DUMMYFUNCTION("""COMPUTED_VALUE"""),"#VALUE!")</f>
        <v>#VALUE!</v>
      </c>
      <c r="H415" s="51" t="str">
        <f>IFERROR(__xludf.DUMMYFUNCTION("""COMPUTED_VALUE"""),"")</f>
        <v/>
      </c>
      <c r="I415" s="51" t="str">
        <f>IFERROR(__xludf.DUMMYFUNCTION("""COMPUTED_VALUE"""),"#VALUE!")</f>
        <v>#VALUE!</v>
      </c>
      <c r="J415" s="51" t="str">
        <f>IFERROR(__xludf.DUMMYFUNCTION("""COMPUTED_VALUE"""),"")</f>
        <v/>
      </c>
      <c r="K415" s="51"/>
      <c r="L415" s="51" t="s">
        <v>257</v>
      </c>
      <c r="M415" s="51"/>
      <c r="N415" s="51"/>
      <c r="O415" s="51"/>
      <c r="P415" s="51"/>
      <c r="Q415" s="51"/>
      <c r="R415" s="51"/>
      <c r="S415" s="51"/>
      <c r="T415" s="51"/>
    </row>
    <row r="416">
      <c r="A416" s="51"/>
      <c r="B416" s="51"/>
      <c r="C416" s="56"/>
      <c r="D416" s="51"/>
      <c r="E416" s="51"/>
      <c r="F416" s="51"/>
      <c r="G416" s="51" t="str">
        <f>IFERROR(__xludf.DUMMYFUNCTION("""COMPUTED_VALUE"""),"#VALUE!")</f>
        <v>#VALUE!</v>
      </c>
      <c r="H416" s="51" t="str">
        <f>IFERROR(__xludf.DUMMYFUNCTION("""COMPUTED_VALUE"""),"")</f>
        <v/>
      </c>
      <c r="I416" s="51" t="str">
        <f>IFERROR(__xludf.DUMMYFUNCTION("""COMPUTED_VALUE"""),"#VALUE!")</f>
        <v>#VALUE!</v>
      </c>
      <c r="J416" s="51" t="str">
        <f>IFERROR(__xludf.DUMMYFUNCTION("""COMPUTED_VALUE"""),"")</f>
        <v/>
      </c>
      <c r="K416" s="51"/>
      <c r="L416" s="51" t="s">
        <v>257</v>
      </c>
      <c r="M416" s="51"/>
      <c r="N416" s="51"/>
      <c r="O416" s="51"/>
      <c r="P416" s="51"/>
      <c r="Q416" s="51"/>
      <c r="R416" s="51"/>
      <c r="S416" s="51"/>
      <c r="T416" s="51"/>
    </row>
    <row r="417">
      <c r="A417" s="51"/>
      <c r="B417" s="51"/>
      <c r="C417" s="56"/>
      <c r="D417" s="51"/>
      <c r="E417" s="51"/>
      <c r="F417" s="51"/>
      <c r="G417" s="51" t="str">
        <f>IFERROR(__xludf.DUMMYFUNCTION("""COMPUTED_VALUE"""),"#VALUE!")</f>
        <v>#VALUE!</v>
      </c>
      <c r="H417" s="51" t="str">
        <f>IFERROR(__xludf.DUMMYFUNCTION("""COMPUTED_VALUE"""),"")</f>
        <v/>
      </c>
      <c r="I417" s="51" t="str">
        <f>IFERROR(__xludf.DUMMYFUNCTION("""COMPUTED_VALUE"""),"#VALUE!")</f>
        <v>#VALUE!</v>
      </c>
      <c r="J417" s="51" t="str">
        <f>IFERROR(__xludf.DUMMYFUNCTION("""COMPUTED_VALUE"""),"")</f>
        <v/>
      </c>
      <c r="K417" s="51"/>
      <c r="L417" s="51" t="s">
        <v>257</v>
      </c>
      <c r="M417" s="51"/>
      <c r="N417" s="51"/>
      <c r="O417" s="51"/>
      <c r="P417" s="51"/>
      <c r="Q417" s="51"/>
      <c r="R417" s="51"/>
      <c r="S417" s="51"/>
      <c r="T417" s="51"/>
    </row>
    <row r="418">
      <c r="A418" s="51"/>
      <c r="B418" s="51"/>
      <c r="C418" s="56"/>
      <c r="D418" s="51"/>
      <c r="E418" s="51"/>
      <c r="F418" s="51"/>
      <c r="G418" s="51" t="str">
        <f>IFERROR(__xludf.DUMMYFUNCTION("""COMPUTED_VALUE"""),"#VALUE!")</f>
        <v>#VALUE!</v>
      </c>
      <c r="H418" s="51" t="str">
        <f>IFERROR(__xludf.DUMMYFUNCTION("""COMPUTED_VALUE"""),"")</f>
        <v/>
      </c>
      <c r="I418" s="51" t="str">
        <f>IFERROR(__xludf.DUMMYFUNCTION("""COMPUTED_VALUE"""),"#VALUE!")</f>
        <v>#VALUE!</v>
      </c>
      <c r="J418" s="51" t="str">
        <f>IFERROR(__xludf.DUMMYFUNCTION("""COMPUTED_VALUE"""),"")</f>
        <v/>
      </c>
      <c r="K418" s="51"/>
      <c r="L418" s="51" t="s">
        <v>257</v>
      </c>
      <c r="M418" s="51"/>
      <c r="N418" s="51"/>
      <c r="O418" s="51"/>
      <c r="P418" s="51"/>
      <c r="Q418" s="51"/>
      <c r="R418" s="51"/>
      <c r="S418" s="51"/>
      <c r="T418" s="51"/>
    </row>
    <row r="419">
      <c r="A419" s="51"/>
      <c r="B419" s="51"/>
      <c r="C419" s="56"/>
      <c r="D419" s="51"/>
      <c r="E419" s="51"/>
      <c r="F419" s="51"/>
      <c r="G419" s="51" t="str">
        <f>IFERROR(__xludf.DUMMYFUNCTION("""COMPUTED_VALUE"""),"#VALUE!")</f>
        <v>#VALUE!</v>
      </c>
      <c r="H419" s="51" t="str">
        <f>IFERROR(__xludf.DUMMYFUNCTION("""COMPUTED_VALUE"""),"")</f>
        <v/>
      </c>
      <c r="I419" s="51" t="str">
        <f>IFERROR(__xludf.DUMMYFUNCTION("""COMPUTED_VALUE"""),"#VALUE!")</f>
        <v>#VALUE!</v>
      </c>
      <c r="J419" s="51" t="str">
        <f>IFERROR(__xludf.DUMMYFUNCTION("""COMPUTED_VALUE"""),"")</f>
        <v/>
      </c>
      <c r="K419" s="51"/>
      <c r="L419" s="51" t="s">
        <v>257</v>
      </c>
      <c r="M419" s="51"/>
      <c r="N419" s="51"/>
      <c r="O419" s="51"/>
      <c r="P419" s="51"/>
      <c r="Q419" s="51"/>
      <c r="R419" s="51"/>
      <c r="S419" s="51"/>
      <c r="T419" s="51"/>
    </row>
    <row r="420">
      <c r="A420" s="51"/>
      <c r="B420" s="51"/>
      <c r="C420" s="56"/>
      <c r="D420" s="51"/>
      <c r="E420" s="51"/>
      <c r="F420" s="51"/>
      <c r="G420" s="51" t="str">
        <f>IFERROR(__xludf.DUMMYFUNCTION("""COMPUTED_VALUE"""),"#VALUE!")</f>
        <v>#VALUE!</v>
      </c>
      <c r="H420" s="51" t="str">
        <f>IFERROR(__xludf.DUMMYFUNCTION("""COMPUTED_VALUE"""),"")</f>
        <v/>
      </c>
      <c r="I420" s="51" t="str">
        <f>IFERROR(__xludf.DUMMYFUNCTION("""COMPUTED_VALUE"""),"#VALUE!")</f>
        <v>#VALUE!</v>
      </c>
      <c r="J420" s="51" t="str">
        <f>IFERROR(__xludf.DUMMYFUNCTION("""COMPUTED_VALUE"""),"")</f>
        <v/>
      </c>
      <c r="K420" s="51"/>
      <c r="L420" s="51" t="s">
        <v>257</v>
      </c>
      <c r="M420" s="51"/>
      <c r="N420" s="51"/>
      <c r="O420" s="51"/>
      <c r="P420" s="51"/>
      <c r="Q420" s="51"/>
      <c r="R420" s="51"/>
      <c r="S420" s="51"/>
      <c r="T420" s="51"/>
    </row>
    <row r="421">
      <c r="A421" s="51"/>
      <c r="B421" s="51"/>
      <c r="C421" s="56"/>
      <c r="D421" s="51"/>
      <c r="E421" s="51"/>
      <c r="F421" s="51"/>
      <c r="G421" s="51" t="str">
        <f>IFERROR(__xludf.DUMMYFUNCTION("""COMPUTED_VALUE"""),"#VALUE!")</f>
        <v>#VALUE!</v>
      </c>
      <c r="H421" s="51" t="str">
        <f>IFERROR(__xludf.DUMMYFUNCTION("""COMPUTED_VALUE"""),"")</f>
        <v/>
      </c>
      <c r="I421" s="51" t="str">
        <f>IFERROR(__xludf.DUMMYFUNCTION("""COMPUTED_VALUE"""),"#VALUE!")</f>
        <v>#VALUE!</v>
      </c>
      <c r="J421" s="51" t="str">
        <f>IFERROR(__xludf.DUMMYFUNCTION("""COMPUTED_VALUE"""),"")</f>
        <v/>
      </c>
      <c r="K421" s="51"/>
      <c r="L421" s="51" t="s">
        <v>257</v>
      </c>
      <c r="M421" s="51"/>
      <c r="N421" s="51"/>
      <c r="O421" s="51"/>
      <c r="P421" s="51"/>
      <c r="Q421" s="51"/>
      <c r="R421" s="51"/>
      <c r="S421" s="51"/>
      <c r="T421" s="51"/>
    </row>
    <row r="422">
      <c r="A422" s="51"/>
      <c r="B422" s="51"/>
      <c r="C422" s="56"/>
      <c r="D422" s="51"/>
      <c r="E422" s="51"/>
      <c r="F422" s="51"/>
      <c r="G422" s="51" t="str">
        <f>IFERROR(__xludf.DUMMYFUNCTION("""COMPUTED_VALUE"""),"#VALUE!")</f>
        <v>#VALUE!</v>
      </c>
      <c r="H422" s="51" t="str">
        <f>IFERROR(__xludf.DUMMYFUNCTION("""COMPUTED_VALUE"""),"")</f>
        <v/>
      </c>
      <c r="I422" s="51" t="str">
        <f>IFERROR(__xludf.DUMMYFUNCTION("""COMPUTED_VALUE"""),"#VALUE!")</f>
        <v>#VALUE!</v>
      </c>
      <c r="J422" s="51" t="str">
        <f>IFERROR(__xludf.DUMMYFUNCTION("""COMPUTED_VALUE"""),"")</f>
        <v/>
      </c>
      <c r="K422" s="51"/>
      <c r="L422" s="51" t="s">
        <v>257</v>
      </c>
      <c r="M422" s="51"/>
      <c r="N422" s="51"/>
      <c r="O422" s="51"/>
      <c r="P422" s="51"/>
      <c r="Q422" s="51"/>
      <c r="R422" s="51"/>
      <c r="S422" s="51"/>
      <c r="T422" s="51"/>
    </row>
    <row r="423">
      <c r="A423" s="51"/>
      <c r="B423" s="51"/>
      <c r="C423" s="56"/>
      <c r="D423" s="51"/>
      <c r="E423" s="51"/>
      <c r="F423" s="51"/>
      <c r="G423" s="51" t="str">
        <f>IFERROR(__xludf.DUMMYFUNCTION("""COMPUTED_VALUE"""),"#VALUE!")</f>
        <v>#VALUE!</v>
      </c>
      <c r="H423" s="51" t="str">
        <f>IFERROR(__xludf.DUMMYFUNCTION("""COMPUTED_VALUE"""),"")</f>
        <v/>
      </c>
      <c r="I423" s="51" t="str">
        <f>IFERROR(__xludf.DUMMYFUNCTION("""COMPUTED_VALUE"""),"#VALUE!")</f>
        <v>#VALUE!</v>
      </c>
      <c r="J423" s="51" t="str">
        <f>IFERROR(__xludf.DUMMYFUNCTION("""COMPUTED_VALUE"""),"")</f>
        <v/>
      </c>
      <c r="K423" s="51"/>
      <c r="L423" s="51" t="s">
        <v>257</v>
      </c>
      <c r="M423" s="51"/>
      <c r="N423" s="51"/>
      <c r="O423" s="51"/>
      <c r="P423" s="51"/>
      <c r="Q423" s="51"/>
      <c r="R423" s="51"/>
      <c r="S423" s="51"/>
      <c r="T423" s="51"/>
    </row>
    <row r="424">
      <c r="A424" s="51"/>
      <c r="B424" s="51"/>
      <c r="C424" s="56"/>
      <c r="D424" s="51"/>
      <c r="E424" s="51"/>
      <c r="F424" s="51"/>
      <c r="G424" s="51" t="str">
        <f>IFERROR(__xludf.DUMMYFUNCTION("""COMPUTED_VALUE"""),"#VALUE!")</f>
        <v>#VALUE!</v>
      </c>
      <c r="H424" s="51" t="str">
        <f>IFERROR(__xludf.DUMMYFUNCTION("""COMPUTED_VALUE"""),"")</f>
        <v/>
      </c>
      <c r="I424" s="51" t="str">
        <f>IFERROR(__xludf.DUMMYFUNCTION("""COMPUTED_VALUE"""),"#VALUE!")</f>
        <v>#VALUE!</v>
      </c>
      <c r="J424" s="51" t="str">
        <f>IFERROR(__xludf.DUMMYFUNCTION("""COMPUTED_VALUE"""),"")</f>
        <v/>
      </c>
      <c r="K424" s="51"/>
      <c r="L424" s="51" t="s">
        <v>257</v>
      </c>
      <c r="M424" s="51"/>
      <c r="N424" s="51"/>
      <c r="O424" s="51"/>
      <c r="P424" s="51"/>
      <c r="Q424" s="51"/>
      <c r="R424" s="51"/>
      <c r="S424" s="51"/>
      <c r="T424" s="51"/>
    </row>
    <row r="425">
      <c r="A425" s="51"/>
      <c r="B425" s="51"/>
      <c r="C425" s="56"/>
      <c r="D425" s="51"/>
      <c r="E425" s="51"/>
      <c r="F425" s="51"/>
      <c r="G425" s="51" t="str">
        <f>IFERROR(__xludf.DUMMYFUNCTION("""COMPUTED_VALUE"""),"#VALUE!")</f>
        <v>#VALUE!</v>
      </c>
      <c r="H425" s="51" t="str">
        <f>IFERROR(__xludf.DUMMYFUNCTION("""COMPUTED_VALUE"""),"")</f>
        <v/>
      </c>
      <c r="I425" s="51" t="str">
        <f>IFERROR(__xludf.DUMMYFUNCTION("""COMPUTED_VALUE"""),"#VALUE!")</f>
        <v>#VALUE!</v>
      </c>
      <c r="J425" s="51" t="str">
        <f>IFERROR(__xludf.DUMMYFUNCTION("""COMPUTED_VALUE"""),"")</f>
        <v/>
      </c>
      <c r="K425" s="51"/>
      <c r="L425" s="51" t="s">
        <v>257</v>
      </c>
      <c r="M425" s="51"/>
      <c r="N425" s="51"/>
      <c r="O425" s="51"/>
      <c r="P425" s="51"/>
      <c r="Q425" s="51"/>
      <c r="R425" s="51"/>
      <c r="S425" s="51"/>
      <c r="T425" s="51"/>
    </row>
    <row r="426">
      <c r="A426" s="51"/>
      <c r="B426" s="51"/>
      <c r="C426" s="56"/>
      <c r="D426" s="51"/>
      <c r="E426" s="51"/>
      <c r="F426" s="51"/>
      <c r="G426" s="51" t="str">
        <f>IFERROR(__xludf.DUMMYFUNCTION("""COMPUTED_VALUE"""),"#VALUE!")</f>
        <v>#VALUE!</v>
      </c>
      <c r="H426" s="51" t="str">
        <f>IFERROR(__xludf.DUMMYFUNCTION("""COMPUTED_VALUE"""),"")</f>
        <v/>
      </c>
      <c r="I426" s="51" t="str">
        <f>IFERROR(__xludf.DUMMYFUNCTION("""COMPUTED_VALUE"""),"#VALUE!")</f>
        <v>#VALUE!</v>
      </c>
      <c r="J426" s="51" t="str">
        <f>IFERROR(__xludf.DUMMYFUNCTION("""COMPUTED_VALUE"""),"")</f>
        <v/>
      </c>
      <c r="K426" s="51"/>
      <c r="L426" s="51" t="s">
        <v>257</v>
      </c>
      <c r="M426" s="51"/>
      <c r="N426" s="51"/>
      <c r="O426" s="51"/>
      <c r="P426" s="51"/>
      <c r="Q426" s="51"/>
      <c r="R426" s="51"/>
      <c r="S426" s="51"/>
      <c r="T426" s="51"/>
    </row>
    <row r="427">
      <c r="A427" s="51"/>
      <c r="B427" s="51"/>
      <c r="C427" s="56"/>
      <c r="D427" s="51"/>
      <c r="E427" s="51"/>
      <c r="F427" s="51"/>
      <c r="G427" s="51" t="str">
        <f>IFERROR(__xludf.DUMMYFUNCTION("""COMPUTED_VALUE"""),"#VALUE!")</f>
        <v>#VALUE!</v>
      </c>
      <c r="H427" s="51" t="str">
        <f>IFERROR(__xludf.DUMMYFUNCTION("""COMPUTED_VALUE"""),"")</f>
        <v/>
      </c>
      <c r="I427" s="51" t="str">
        <f>IFERROR(__xludf.DUMMYFUNCTION("""COMPUTED_VALUE"""),"#VALUE!")</f>
        <v>#VALUE!</v>
      </c>
      <c r="J427" s="51" t="str">
        <f>IFERROR(__xludf.DUMMYFUNCTION("""COMPUTED_VALUE"""),"")</f>
        <v/>
      </c>
      <c r="K427" s="51"/>
      <c r="L427" s="51" t="s">
        <v>257</v>
      </c>
      <c r="M427" s="51"/>
      <c r="N427" s="51"/>
      <c r="O427" s="51"/>
      <c r="P427" s="51"/>
      <c r="Q427" s="51"/>
      <c r="R427" s="51"/>
      <c r="S427" s="51"/>
      <c r="T427" s="51"/>
    </row>
    <row r="428">
      <c r="A428" s="51"/>
      <c r="B428" s="51"/>
      <c r="C428" s="56"/>
      <c r="D428" s="51"/>
      <c r="E428" s="51"/>
      <c r="F428" s="51"/>
      <c r="G428" s="51" t="str">
        <f>IFERROR(__xludf.DUMMYFUNCTION("""COMPUTED_VALUE"""),"#VALUE!")</f>
        <v>#VALUE!</v>
      </c>
      <c r="H428" s="51" t="str">
        <f>IFERROR(__xludf.DUMMYFUNCTION("""COMPUTED_VALUE"""),"")</f>
        <v/>
      </c>
      <c r="I428" s="51" t="str">
        <f>IFERROR(__xludf.DUMMYFUNCTION("""COMPUTED_VALUE"""),"#VALUE!")</f>
        <v>#VALUE!</v>
      </c>
      <c r="J428" s="51" t="str">
        <f>IFERROR(__xludf.DUMMYFUNCTION("""COMPUTED_VALUE"""),"")</f>
        <v/>
      </c>
      <c r="K428" s="51"/>
      <c r="L428" s="51" t="s">
        <v>257</v>
      </c>
      <c r="M428" s="51"/>
      <c r="N428" s="51"/>
      <c r="O428" s="51"/>
      <c r="P428" s="51"/>
      <c r="Q428" s="51"/>
      <c r="R428" s="51"/>
      <c r="S428" s="51"/>
      <c r="T428" s="51"/>
    </row>
    <row r="429">
      <c r="A429" s="51"/>
      <c r="B429" s="51"/>
      <c r="C429" s="56"/>
      <c r="D429" s="51"/>
      <c r="E429" s="51"/>
      <c r="F429" s="51"/>
      <c r="G429" s="51" t="str">
        <f>IFERROR(__xludf.DUMMYFUNCTION("""COMPUTED_VALUE"""),"#VALUE!")</f>
        <v>#VALUE!</v>
      </c>
      <c r="H429" s="51" t="str">
        <f>IFERROR(__xludf.DUMMYFUNCTION("""COMPUTED_VALUE"""),"")</f>
        <v/>
      </c>
      <c r="I429" s="51" t="str">
        <f>IFERROR(__xludf.DUMMYFUNCTION("""COMPUTED_VALUE"""),"#VALUE!")</f>
        <v>#VALUE!</v>
      </c>
      <c r="J429" s="51" t="str">
        <f>IFERROR(__xludf.DUMMYFUNCTION("""COMPUTED_VALUE"""),"")</f>
        <v/>
      </c>
      <c r="K429" s="51"/>
      <c r="L429" s="51" t="s">
        <v>257</v>
      </c>
      <c r="M429" s="51"/>
      <c r="N429" s="51"/>
      <c r="O429" s="51"/>
      <c r="P429" s="51"/>
      <c r="Q429" s="51"/>
      <c r="R429" s="51"/>
      <c r="S429" s="51"/>
      <c r="T429" s="51"/>
    </row>
    <row r="430">
      <c r="A430" s="51"/>
      <c r="B430" s="51"/>
      <c r="C430" s="56"/>
      <c r="D430" s="51"/>
      <c r="E430" s="51"/>
      <c r="F430" s="51"/>
      <c r="G430" s="51" t="str">
        <f>IFERROR(__xludf.DUMMYFUNCTION("""COMPUTED_VALUE"""),"#VALUE!")</f>
        <v>#VALUE!</v>
      </c>
      <c r="H430" s="51" t="str">
        <f>IFERROR(__xludf.DUMMYFUNCTION("""COMPUTED_VALUE"""),"")</f>
        <v/>
      </c>
      <c r="I430" s="51" t="str">
        <f>IFERROR(__xludf.DUMMYFUNCTION("""COMPUTED_VALUE"""),"#VALUE!")</f>
        <v>#VALUE!</v>
      </c>
      <c r="J430" s="51" t="str">
        <f>IFERROR(__xludf.DUMMYFUNCTION("""COMPUTED_VALUE"""),"")</f>
        <v/>
      </c>
      <c r="K430" s="51"/>
      <c r="L430" s="51" t="s">
        <v>257</v>
      </c>
      <c r="M430" s="51"/>
      <c r="N430" s="51"/>
      <c r="O430" s="51"/>
      <c r="P430" s="51"/>
      <c r="Q430" s="51"/>
      <c r="R430" s="51"/>
      <c r="S430" s="51"/>
      <c r="T430" s="51"/>
    </row>
    <row r="431">
      <c r="A431" s="51"/>
      <c r="B431" s="51"/>
      <c r="C431" s="56"/>
      <c r="D431" s="51"/>
      <c r="E431" s="51"/>
      <c r="F431" s="51"/>
      <c r="G431" s="51" t="str">
        <f>IFERROR(__xludf.DUMMYFUNCTION("""COMPUTED_VALUE"""),"#VALUE!")</f>
        <v>#VALUE!</v>
      </c>
      <c r="H431" s="51" t="str">
        <f>IFERROR(__xludf.DUMMYFUNCTION("""COMPUTED_VALUE"""),"")</f>
        <v/>
      </c>
      <c r="I431" s="51" t="str">
        <f>IFERROR(__xludf.DUMMYFUNCTION("""COMPUTED_VALUE"""),"#VALUE!")</f>
        <v>#VALUE!</v>
      </c>
      <c r="J431" s="51" t="str">
        <f>IFERROR(__xludf.DUMMYFUNCTION("""COMPUTED_VALUE"""),"")</f>
        <v/>
      </c>
      <c r="K431" s="51"/>
      <c r="L431" s="51" t="s">
        <v>257</v>
      </c>
      <c r="M431" s="51"/>
      <c r="N431" s="51"/>
      <c r="O431" s="51"/>
      <c r="P431" s="51"/>
      <c r="Q431" s="51"/>
      <c r="R431" s="51"/>
      <c r="S431" s="51"/>
      <c r="T431" s="51"/>
    </row>
    <row r="432">
      <c r="A432" s="51"/>
      <c r="B432" s="51"/>
      <c r="C432" s="56"/>
      <c r="D432" s="51"/>
      <c r="E432" s="51"/>
      <c r="F432" s="51"/>
      <c r="G432" s="51" t="str">
        <f>IFERROR(__xludf.DUMMYFUNCTION("""COMPUTED_VALUE"""),"#VALUE!")</f>
        <v>#VALUE!</v>
      </c>
      <c r="H432" s="51" t="str">
        <f>IFERROR(__xludf.DUMMYFUNCTION("""COMPUTED_VALUE"""),"")</f>
        <v/>
      </c>
      <c r="I432" s="51" t="str">
        <f>IFERROR(__xludf.DUMMYFUNCTION("""COMPUTED_VALUE"""),"#VALUE!")</f>
        <v>#VALUE!</v>
      </c>
      <c r="J432" s="51" t="str">
        <f>IFERROR(__xludf.DUMMYFUNCTION("""COMPUTED_VALUE"""),"")</f>
        <v/>
      </c>
      <c r="K432" s="51"/>
      <c r="L432" s="51" t="s">
        <v>257</v>
      </c>
      <c r="M432" s="51"/>
      <c r="N432" s="51"/>
      <c r="O432" s="51"/>
      <c r="P432" s="51"/>
      <c r="Q432" s="51"/>
      <c r="R432" s="51"/>
      <c r="S432" s="51"/>
      <c r="T432" s="51"/>
    </row>
    <row r="433">
      <c r="A433" s="51"/>
      <c r="B433" s="51"/>
      <c r="C433" s="56"/>
      <c r="D433" s="51"/>
      <c r="E433" s="51"/>
      <c r="F433" s="51"/>
      <c r="G433" s="51" t="str">
        <f>IFERROR(__xludf.DUMMYFUNCTION("""COMPUTED_VALUE"""),"#VALUE!")</f>
        <v>#VALUE!</v>
      </c>
      <c r="H433" s="51" t="str">
        <f>IFERROR(__xludf.DUMMYFUNCTION("""COMPUTED_VALUE"""),"")</f>
        <v/>
      </c>
      <c r="I433" s="51" t="str">
        <f>IFERROR(__xludf.DUMMYFUNCTION("""COMPUTED_VALUE"""),"#VALUE!")</f>
        <v>#VALUE!</v>
      </c>
      <c r="J433" s="51" t="str">
        <f>IFERROR(__xludf.DUMMYFUNCTION("""COMPUTED_VALUE"""),"")</f>
        <v/>
      </c>
      <c r="K433" s="51"/>
      <c r="L433" s="51" t="s">
        <v>257</v>
      </c>
      <c r="M433" s="51"/>
      <c r="N433" s="51"/>
      <c r="O433" s="51"/>
      <c r="P433" s="51"/>
      <c r="Q433" s="51"/>
      <c r="R433" s="51"/>
      <c r="S433" s="51"/>
      <c r="T433" s="51"/>
    </row>
    <row r="434">
      <c r="A434" s="51"/>
      <c r="B434" s="51"/>
      <c r="C434" s="56"/>
      <c r="D434" s="51"/>
      <c r="E434" s="51"/>
      <c r="F434" s="51"/>
      <c r="G434" s="51" t="str">
        <f>IFERROR(__xludf.DUMMYFUNCTION("""COMPUTED_VALUE"""),"#VALUE!")</f>
        <v>#VALUE!</v>
      </c>
      <c r="H434" s="51" t="str">
        <f>IFERROR(__xludf.DUMMYFUNCTION("""COMPUTED_VALUE"""),"")</f>
        <v/>
      </c>
      <c r="I434" s="51" t="str">
        <f>IFERROR(__xludf.DUMMYFUNCTION("""COMPUTED_VALUE"""),"#VALUE!")</f>
        <v>#VALUE!</v>
      </c>
      <c r="J434" s="51" t="str">
        <f>IFERROR(__xludf.DUMMYFUNCTION("""COMPUTED_VALUE"""),"")</f>
        <v/>
      </c>
      <c r="K434" s="51"/>
      <c r="L434" s="51" t="s">
        <v>257</v>
      </c>
      <c r="M434" s="51"/>
      <c r="N434" s="51"/>
      <c r="O434" s="51"/>
      <c r="P434" s="51"/>
      <c r="Q434" s="51"/>
      <c r="R434" s="51"/>
      <c r="S434" s="51"/>
      <c r="T434" s="51"/>
    </row>
    <row r="435">
      <c r="A435" s="51"/>
      <c r="B435" s="51"/>
      <c r="C435" s="56"/>
      <c r="D435" s="51"/>
      <c r="E435" s="51"/>
      <c r="F435" s="51"/>
      <c r="G435" s="51" t="str">
        <f>IFERROR(__xludf.DUMMYFUNCTION("""COMPUTED_VALUE"""),"#VALUE!")</f>
        <v>#VALUE!</v>
      </c>
      <c r="H435" s="51" t="str">
        <f>IFERROR(__xludf.DUMMYFUNCTION("""COMPUTED_VALUE"""),"")</f>
        <v/>
      </c>
      <c r="I435" s="51" t="str">
        <f>IFERROR(__xludf.DUMMYFUNCTION("""COMPUTED_VALUE"""),"#VALUE!")</f>
        <v>#VALUE!</v>
      </c>
      <c r="J435" s="51" t="str">
        <f>IFERROR(__xludf.DUMMYFUNCTION("""COMPUTED_VALUE"""),"")</f>
        <v/>
      </c>
      <c r="K435" s="51"/>
      <c r="L435" s="51" t="s">
        <v>257</v>
      </c>
      <c r="M435" s="51"/>
      <c r="N435" s="51"/>
      <c r="O435" s="51"/>
      <c r="P435" s="51"/>
      <c r="Q435" s="51"/>
      <c r="R435" s="51"/>
      <c r="S435" s="51"/>
      <c r="T435" s="51"/>
    </row>
    <row r="436">
      <c r="A436" s="51"/>
      <c r="B436" s="51"/>
      <c r="C436" s="56"/>
      <c r="D436" s="51"/>
      <c r="E436" s="51"/>
      <c r="F436" s="51"/>
      <c r="G436" s="51" t="str">
        <f>IFERROR(__xludf.DUMMYFUNCTION("""COMPUTED_VALUE"""),"#VALUE!")</f>
        <v>#VALUE!</v>
      </c>
      <c r="H436" s="51" t="str">
        <f>IFERROR(__xludf.DUMMYFUNCTION("""COMPUTED_VALUE"""),"")</f>
        <v/>
      </c>
      <c r="I436" s="51" t="str">
        <f>IFERROR(__xludf.DUMMYFUNCTION("""COMPUTED_VALUE"""),"#VALUE!")</f>
        <v>#VALUE!</v>
      </c>
      <c r="J436" s="51" t="str">
        <f>IFERROR(__xludf.DUMMYFUNCTION("""COMPUTED_VALUE"""),"")</f>
        <v/>
      </c>
      <c r="K436" s="51"/>
      <c r="L436" s="51" t="s">
        <v>257</v>
      </c>
      <c r="M436" s="51"/>
      <c r="N436" s="51"/>
      <c r="O436" s="51"/>
      <c r="P436" s="51"/>
      <c r="Q436" s="51"/>
      <c r="R436" s="51"/>
      <c r="S436" s="51"/>
      <c r="T436" s="51"/>
    </row>
    <row r="437">
      <c r="A437" s="51"/>
      <c r="B437" s="51"/>
      <c r="C437" s="56"/>
      <c r="D437" s="51"/>
      <c r="E437" s="51"/>
      <c r="F437" s="51"/>
      <c r="G437" s="51" t="str">
        <f>IFERROR(__xludf.DUMMYFUNCTION("""COMPUTED_VALUE"""),"#VALUE!")</f>
        <v>#VALUE!</v>
      </c>
      <c r="H437" s="51" t="str">
        <f>IFERROR(__xludf.DUMMYFUNCTION("""COMPUTED_VALUE"""),"")</f>
        <v/>
      </c>
      <c r="I437" s="51" t="str">
        <f>IFERROR(__xludf.DUMMYFUNCTION("""COMPUTED_VALUE"""),"#VALUE!")</f>
        <v>#VALUE!</v>
      </c>
      <c r="J437" s="51" t="str">
        <f>IFERROR(__xludf.DUMMYFUNCTION("""COMPUTED_VALUE"""),"")</f>
        <v/>
      </c>
      <c r="K437" s="51"/>
      <c r="L437" s="51" t="s">
        <v>257</v>
      </c>
      <c r="M437" s="51"/>
      <c r="N437" s="51"/>
      <c r="O437" s="51"/>
      <c r="P437" s="51"/>
      <c r="Q437" s="51"/>
      <c r="R437" s="51"/>
      <c r="S437" s="51"/>
      <c r="T437" s="51"/>
    </row>
    <row r="438">
      <c r="A438" s="51"/>
      <c r="B438" s="51"/>
      <c r="C438" s="56"/>
      <c r="D438" s="51"/>
      <c r="E438" s="51"/>
      <c r="F438" s="51"/>
      <c r="G438" s="51" t="str">
        <f>IFERROR(__xludf.DUMMYFUNCTION("""COMPUTED_VALUE"""),"#VALUE!")</f>
        <v>#VALUE!</v>
      </c>
      <c r="H438" s="51" t="str">
        <f>IFERROR(__xludf.DUMMYFUNCTION("""COMPUTED_VALUE"""),"")</f>
        <v/>
      </c>
      <c r="I438" s="51" t="str">
        <f>IFERROR(__xludf.DUMMYFUNCTION("""COMPUTED_VALUE"""),"#VALUE!")</f>
        <v>#VALUE!</v>
      </c>
      <c r="J438" s="51" t="str">
        <f>IFERROR(__xludf.DUMMYFUNCTION("""COMPUTED_VALUE"""),"")</f>
        <v/>
      </c>
      <c r="K438" s="51"/>
      <c r="L438" s="51" t="s">
        <v>257</v>
      </c>
      <c r="M438" s="51"/>
      <c r="N438" s="51"/>
      <c r="O438" s="51"/>
      <c r="P438" s="51"/>
      <c r="Q438" s="51"/>
      <c r="R438" s="51"/>
      <c r="S438" s="51"/>
      <c r="T438" s="51"/>
    </row>
    <row r="439">
      <c r="A439" s="51"/>
      <c r="B439" s="51"/>
      <c r="C439" s="56"/>
      <c r="D439" s="51"/>
      <c r="E439" s="51"/>
      <c r="F439" s="51"/>
      <c r="G439" s="51" t="str">
        <f>IFERROR(__xludf.DUMMYFUNCTION("""COMPUTED_VALUE"""),"#VALUE!")</f>
        <v>#VALUE!</v>
      </c>
      <c r="H439" s="51" t="str">
        <f>IFERROR(__xludf.DUMMYFUNCTION("""COMPUTED_VALUE"""),"")</f>
        <v/>
      </c>
      <c r="I439" s="51" t="str">
        <f>IFERROR(__xludf.DUMMYFUNCTION("""COMPUTED_VALUE"""),"#VALUE!")</f>
        <v>#VALUE!</v>
      </c>
      <c r="J439" s="51" t="str">
        <f>IFERROR(__xludf.DUMMYFUNCTION("""COMPUTED_VALUE"""),"")</f>
        <v/>
      </c>
      <c r="K439" s="51"/>
      <c r="L439" s="51" t="s">
        <v>257</v>
      </c>
      <c r="M439" s="51"/>
      <c r="N439" s="51"/>
      <c r="O439" s="51"/>
      <c r="P439" s="51"/>
      <c r="Q439" s="51"/>
      <c r="R439" s="51"/>
      <c r="S439" s="51"/>
      <c r="T439" s="51"/>
    </row>
    <row r="440">
      <c r="A440" s="51"/>
      <c r="B440" s="51"/>
      <c r="C440" s="56"/>
      <c r="D440" s="51"/>
      <c r="E440" s="51"/>
      <c r="F440" s="51"/>
      <c r="G440" s="51" t="str">
        <f>IFERROR(__xludf.DUMMYFUNCTION("""COMPUTED_VALUE"""),"#VALUE!")</f>
        <v>#VALUE!</v>
      </c>
      <c r="H440" s="51" t="str">
        <f>IFERROR(__xludf.DUMMYFUNCTION("""COMPUTED_VALUE"""),"")</f>
        <v/>
      </c>
      <c r="I440" s="51" t="str">
        <f>IFERROR(__xludf.DUMMYFUNCTION("""COMPUTED_VALUE"""),"#VALUE!")</f>
        <v>#VALUE!</v>
      </c>
      <c r="J440" s="51" t="str">
        <f>IFERROR(__xludf.DUMMYFUNCTION("""COMPUTED_VALUE"""),"")</f>
        <v/>
      </c>
      <c r="K440" s="51"/>
      <c r="L440" s="51" t="s">
        <v>257</v>
      </c>
      <c r="M440" s="51"/>
      <c r="N440" s="51"/>
      <c r="O440" s="51"/>
      <c r="P440" s="51"/>
      <c r="Q440" s="51"/>
      <c r="R440" s="51"/>
      <c r="S440" s="51"/>
      <c r="T440" s="51"/>
    </row>
    <row r="441">
      <c r="A441" s="51"/>
      <c r="B441" s="51"/>
      <c r="C441" s="56"/>
      <c r="D441" s="51"/>
      <c r="E441" s="51"/>
      <c r="F441" s="51"/>
      <c r="G441" s="51" t="str">
        <f>IFERROR(__xludf.DUMMYFUNCTION("""COMPUTED_VALUE"""),"#VALUE!")</f>
        <v>#VALUE!</v>
      </c>
      <c r="H441" s="51" t="str">
        <f>IFERROR(__xludf.DUMMYFUNCTION("""COMPUTED_VALUE"""),"")</f>
        <v/>
      </c>
      <c r="I441" s="51" t="str">
        <f>IFERROR(__xludf.DUMMYFUNCTION("""COMPUTED_VALUE"""),"#VALUE!")</f>
        <v>#VALUE!</v>
      </c>
      <c r="J441" s="51" t="str">
        <f>IFERROR(__xludf.DUMMYFUNCTION("""COMPUTED_VALUE"""),"")</f>
        <v/>
      </c>
      <c r="K441" s="51"/>
      <c r="L441" s="51" t="s">
        <v>257</v>
      </c>
      <c r="M441" s="51"/>
      <c r="N441" s="51"/>
      <c r="O441" s="51"/>
      <c r="P441" s="51"/>
      <c r="Q441" s="51"/>
      <c r="R441" s="51"/>
      <c r="S441" s="51"/>
      <c r="T441" s="51"/>
    </row>
    <row r="442">
      <c r="A442" s="51"/>
      <c r="B442" s="51"/>
      <c r="C442" s="56"/>
      <c r="D442" s="51"/>
      <c r="E442" s="51"/>
      <c r="F442" s="51"/>
      <c r="G442" s="51" t="str">
        <f>IFERROR(__xludf.DUMMYFUNCTION("""COMPUTED_VALUE"""),"#VALUE!")</f>
        <v>#VALUE!</v>
      </c>
      <c r="H442" s="51" t="str">
        <f>IFERROR(__xludf.DUMMYFUNCTION("""COMPUTED_VALUE"""),"")</f>
        <v/>
      </c>
      <c r="I442" s="51" t="str">
        <f>IFERROR(__xludf.DUMMYFUNCTION("""COMPUTED_VALUE"""),"#VALUE!")</f>
        <v>#VALUE!</v>
      </c>
      <c r="J442" s="51" t="str">
        <f>IFERROR(__xludf.DUMMYFUNCTION("""COMPUTED_VALUE"""),"")</f>
        <v/>
      </c>
      <c r="K442" s="51"/>
      <c r="L442" s="51" t="s">
        <v>257</v>
      </c>
      <c r="M442" s="51"/>
      <c r="N442" s="51"/>
      <c r="O442" s="51"/>
      <c r="P442" s="51"/>
      <c r="Q442" s="51"/>
      <c r="R442" s="51"/>
      <c r="S442" s="51"/>
      <c r="T442" s="51"/>
    </row>
    <row r="443">
      <c r="A443" s="51"/>
      <c r="B443" s="51"/>
      <c r="C443" s="56"/>
      <c r="D443" s="51"/>
      <c r="E443" s="51"/>
      <c r="F443" s="51"/>
      <c r="G443" s="51" t="str">
        <f>IFERROR(__xludf.DUMMYFUNCTION("""COMPUTED_VALUE"""),"#VALUE!")</f>
        <v>#VALUE!</v>
      </c>
      <c r="H443" s="51" t="str">
        <f>IFERROR(__xludf.DUMMYFUNCTION("""COMPUTED_VALUE"""),"")</f>
        <v/>
      </c>
      <c r="I443" s="51" t="str">
        <f>IFERROR(__xludf.DUMMYFUNCTION("""COMPUTED_VALUE"""),"#VALUE!")</f>
        <v>#VALUE!</v>
      </c>
      <c r="J443" s="51" t="str">
        <f>IFERROR(__xludf.DUMMYFUNCTION("""COMPUTED_VALUE"""),"")</f>
        <v/>
      </c>
      <c r="K443" s="51"/>
      <c r="L443" s="51" t="s">
        <v>257</v>
      </c>
      <c r="M443" s="51"/>
      <c r="N443" s="51"/>
      <c r="O443" s="51"/>
      <c r="P443" s="51"/>
      <c r="Q443" s="51"/>
      <c r="R443" s="51"/>
      <c r="S443" s="51"/>
      <c r="T443" s="51"/>
    </row>
    <row r="444">
      <c r="A444" s="51"/>
      <c r="B444" s="51"/>
      <c r="C444" s="56"/>
      <c r="D444" s="51"/>
      <c r="E444" s="51"/>
      <c r="F444" s="51"/>
      <c r="G444" s="51" t="str">
        <f>IFERROR(__xludf.DUMMYFUNCTION("""COMPUTED_VALUE"""),"#VALUE!")</f>
        <v>#VALUE!</v>
      </c>
      <c r="H444" s="51" t="str">
        <f>IFERROR(__xludf.DUMMYFUNCTION("""COMPUTED_VALUE"""),"")</f>
        <v/>
      </c>
      <c r="I444" s="51" t="str">
        <f>IFERROR(__xludf.DUMMYFUNCTION("""COMPUTED_VALUE"""),"#VALUE!")</f>
        <v>#VALUE!</v>
      </c>
      <c r="J444" s="51" t="str">
        <f>IFERROR(__xludf.DUMMYFUNCTION("""COMPUTED_VALUE"""),"")</f>
        <v/>
      </c>
      <c r="K444" s="51"/>
      <c r="L444" s="51" t="s">
        <v>257</v>
      </c>
      <c r="M444" s="51"/>
      <c r="N444" s="51"/>
      <c r="O444" s="51"/>
      <c r="P444" s="51"/>
      <c r="Q444" s="51"/>
      <c r="R444" s="51"/>
      <c r="S444" s="51"/>
      <c r="T444" s="51"/>
    </row>
    <row r="445">
      <c r="A445" s="51"/>
      <c r="B445" s="51"/>
      <c r="C445" s="56"/>
      <c r="D445" s="51"/>
      <c r="E445" s="51"/>
      <c r="F445" s="51"/>
      <c r="G445" s="51" t="str">
        <f>IFERROR(__xludf.DUMMYFUNCTION("""COMPUTED_VALUE"""),"#VALUE!")</f>
        <v>#VALUE!</v>
      </c>
      <c r="H445" s="51" t="str">
        <f>IFERROR(__xludf.DUMMYFUNCTION("""COMPUTED_VALUE"""),"")</f>
        <v/>
      </c>
      <c r="I445" s="51" t="str">
        <f>IFERROR(__xludf.DUMMYFUNCTION("""COMPUTED_VALUE"""),"#VALUE!")</f>
        <v>#VALUE!</v>
      </c>
      <c r="J445" s="51" t="str">
        <f>IFERROR(__xludf.DUMMYFUNCTION("""COMPUTED_VALUE"""),"")</f>
        <v/>
      </c>
      <c r="K445" s="51"/>
      <c r="L445" s="51" t="s">
        <v>257</v>
      </c>
      <c r="M445" s="51"/>
      <c r="N445" s="51"/>
      <c r="O445" s="51"/>
      <c r="P445" s="51"/>
      <c r="Q445" s="51"/>
      <c r="R445" s="51"/>
      <c r="S445" s="51"/>
      <c r="T445" s="51"/>
    </row>
    <row r="446">
      <c r="A446" s="51"/>
      <c r="B446" s="51"/>
      <c r="C446" s="56"/>
      <c r="D446" s="51"/>
      <c r="E446" s="51"/>
      <c r="F446" s="51"/>
      <c r="G446" s="51" t="str">
        <f>IFERROR(__xludf.DUMMYFUNCTION("""COMPUTED_VALUE"""),"#VALUE!")</f>
        <v>#VALUE!</v>
      </c>
      <c r="H446" s="51" t="str">
        <f>IFERROR(__xludf.DUMMYFUNCTION("""COMPUTED_VALUE"""),"")</f>
        <v/>
      </c>
      <c r="I446" s="51" t="str">
        <f>IFERROR(__xludf.DUMMYFUNCTION("""COMPUTED_VALUE"""),"#VALUE!")</f>
        <v>#VALUE!</v>
      </c>
      <c r="J446" s="51" t="str">
        <f>IFERROR(__xludf.DUMMYFUNCTION("""COMPUTED_VALUE"""),"")</f>
        <v/>
      </c>
      <c r="K446" s="51"/>
      <c r="L446" s="51" t="s">
        <v>257</v>
      </c>
      <c r="M446" s="51"/>
      <c r="N446" s="51"/>
      <c r="O446" s="51"/>
      <c r="P446" s="51"/>
      <c r="Q446" s="51"/>
      <c r="R446" s="51"/>
      <c r="S446" s="51"/>
      <c r="T446" s="51"/>
    </row>
    <row r="447">
      <c r="A447" s="51"/>
      <c r="B447" s="51"/>
      <c r="C447" s="56"/>
      <c r="D447" s="51"/>
      <c r="E447" s="51"/>
      <c r="F447" s="51"/>
      <c r="G447" s="51" t="str">
        <f>IFERROR(__xludf.DUMMYFUNCTION("""COMPUTED_VALUE"""),"#VALUE!")</f>
        <v>#VALUE!</v>
      </c>
      <c r="H447" s="51" t="str">
        <f>IFERROR(__xludf.DUMMYFUNCTION("""COMPUTED_VALUE"""),"")</f>
        <v/>
      </c>
      <c r="I447" s="51" t="str">
        <f>IFERROR(__xludf.DUMMYFUNCTION("""COMPUTED_VALUE"""),"#VALUE!")</f>
        <v>#VALUE!</v>
      </c>
      <c r="J447" s="51" t="str">
        <f>IFERROR(__xludf.DUMMYFUNCTION("""COMPUTED_VALUE"""),"")</f>
        <v/>
      </c>
      <c r="K447" s="51"/>
      <c r="L447" s="51" t="s">
        <v>257</v>
      </c>
      <c r="M447" s="51"/>
      <c r="N447" s="51"/>
      <c r="O447" s="51"/>
      <c r="P447" s="51"/>
      <c r="Q447" s="51"/>
      <c r="R447" s="51"/>
      <c r="S447" s="51"/>
      <c r="T447" s="51"/>
    </row>
    <row r="448">
      <c r="A448" s="51"/>
      <c r="B448" s="51"/>
      <c r="C448" s="56"/>
      <c r="D448" s="51"/>
      <c r="E448" s="51"/>
      <c r="F448" s="51"/>
      <c r="G448" s="51" t="str">
        <f>IFERROR(__xludf.DUMMYFUNCTION("""COMPUTED_VALUE"""),"#VALUE!")</f>
        <v>#VALUE!</v>
      </c>
      <c r="H448" s="51" t="str">
        <f>IFERROR(__xludf.DUMMYFUNCTION("""COMPUTED_VALUE"""),"")</f>
        <v/>
      </c>
      <c r="I448" s="51" t="str">
        <f>IFERROR(__xludf.DUMMYFUNCTION("""COMPUTED_VALUE"""),"#VALUE!")</f>
        <v>#VALUE!</v>
      </c>
      <c r="J448" s="51" t="str">
        <f>IFERROR(__xludf.DUMMYFUNCTION("""COMPUTED_VALUE"""),"")</f>
        <v/>
      </c>
      <c r="K448" s="51"/>
      <c r="L448" s="51" t="s">
        <v>257</v>
      </c>
      <c r="M448" s="51"/>
      <c r="N448" s="51"/>
      <c r="O448" s="51"/>
      <c r="P448" s="51"/>
      <c r="Q448" s="51"/>
      <c r="R448" s="51"/>
      <c r="S448" s="51"/>
      <c r="T448" s="51"/>
    </row>
    <row r="449">
      <c r="A449" s="51"/>
      <c r="B449" s="51"/>
      <c r="C449" s="56"/>
      <c r="D449" s="51"/>
      <c r="E449" s="51"/>
      <c r="F449" s="51"/>
      <c r="G449" s="51" t="str">
        <f>IFERROR(__xludf.DUMMYFUNCTION("""COMPUTED_VALUE"""),"#VALUE!")</f>
        <v>#VALUE!</v>
      </c>
      <c r="H449" s="51" t="str">
        <f>IFERROR(__xludf.DUMMYFUNCTION("""COMPUTED_VALUE"""),"")</f>
        <v/>
      </c>
      <c r="I449" s="51" t="str">
        <f>IFERROR(__xludf.DUMMYFUNCTION("""COMPUTED_VALUE"""),"#VALUE!")</f>
        <v>#VALUE!</v>
      </c>
      <c r="J449" s="51" t="str">
        <f>IFERROR(__xludf.DUMMYFUNCTION("""COMPUTED_VALUE"""),"")</f>
        <v/>
      </c>
      <c r="K449" s="51"/>
      <c r="L449" s="51" t="s">
        <v>257</v>
      </c>
      <c r="M449" s="51"/>
      <c r="N449" s="51"/>
      <c r="O449" s="51"/>
      <c r="P449" s="51"/>
      <c r="Q449" s="51"/>
      <c r="R449" s="51"/>
      <c r="S449" s="51"/>
      <c r="T449" s="51"/>
    </row>
    <row r="450">
      <c r="A450" s="51"/>
      <c r="B450" s="51"/>
      <c r="C450" s="56"/>
      <c r="D450" s="51"/>
      <c r="E450" s="51"/>
      <c r="F450" s="51"/>
      <c r="G450" s="51" t="str">
        <f>IFERROR(__xludf.DUMMYFUNCTION("""COMPUTED_VALUE"""),"#VALUE!")</f>
        <v>#VALUE!</v>
      </c>
      <c r="H450" s="51" t="str">
        <f>IFERROR(__xludf.DUMMYFUNCTION("""COMPUTED_VALUE"""),"")</f>
        <v/>
      </c>
      <c r="I450" s="51" t="str">
        <f>IFERROR(__xludf.DUMMYFUNCTION("""COMPUTED_VALUE"""),"#VALUE!")</f>
        <v>#VALUE!</v>
      </c>
      <c r="J450" s="51" t="str">
        <f>IFERROR(__xludf.DUMMYFUNCTION("""COMPUTED_VALUE"""),"")</f>
        <v/>
      </c>
      <c r="K450" s="51"/>
      <c r="L450" s="51" t="s">
        <v>257</v>
      </c>
      <c r="M450" s="51"/>
      <c r="N450" s="51"/>
      <c r="O450" s="51"/>
      <c r="P450" s="51"/>
      <c r="Q450" s="51"/>
      <c r="R450" s="51"/>
      <c r="S450" s="51"/>
      <c r="T450" s="51"/>
    </row>
    <row r="451">
      <c r="A451" s="51"/>
      <c r="B451" s="51"/>
      <c r="C451" s="56"/>
      <c r="D451" s="51"/>
      <c r="E451" s="51"/>
      <c r="F451" s="51"/>
      <c r="G451" s="51" t="str">
        <f>IFERROR(__xludf.DUMMYFUNCTION("""COMPUTED_VALUE"""),"#VALUE!")</f>
        <v>#VALUE!</v>
      </c>
      <c r="H451" s="51" t="str">
        <f>IFERROR(__xludf.DUMMYFUNCTION("""COMPUTED_VALUE"""),"")</f>
        <v/>
      </c>
      <c r="I451" s="51" t="str">
        <f>IFERROR(__xludf.DUMMYFUNCTION("""COMPUTED_VALUE"""),"#VALUE!")</f>
        <v>#VALUE!</v>
      </c>
      <c r="J451" s="51" t="str">
        <f>IFERROR(__xludf.DUMMYFUNCTION("""COMPUTED_VALUE"""),"")</f>
        <v/>
      </c>
      <c r="K451" s="51"/>
      <c r="L451" s="51" t="s">
        <v>257</v>
      </c>
      <c r="M451" s="51"/>
      <c r="N451" s="51"/>
      <c r="O451" s="51"/>
      <c r="P451" s="51"/>
      <c r="Q451" s="51"/>
      <c r="R451" s="51"/>
      <c r="S451" s="51"/>
      <c r="T451" s="51"/>
    </row>
    <row r="452">
      <c r="A452" s="51"/>
      <c r="B452" s="51"/>
      <c r="C452" s="56"/>
      <c r="D452" s="51"/>
      <c r="E452" s="51"/>
      <c r="F452" s="51"/>
      <c r="G452" s="51" t="str">
        <f>IFERROR(__xludf.DUMMYFUNCTION("""COMPUTED_VALUE"""),"#VALUE!")</f>
        <v>#VALUE!</v>
      </c>
      <c r="H452" s="51" t="str">
        <f>IFERROR(__xludf.DUMMYFUNCTION("""COMPUTED_VALUE"""),"")</f>
        <v/>
      </c>
      <c r="I452" s="51" t="str">
        <f>IFERROR(__xludf.DUMMYFUNCTION("""COMPUTED_VALUE"""),"#VALUE!")</f>
        <v>#VALUE!</v>
      </c>
      <c r="J452" s="51" t="str">
        <f>IFERROR(__xludf.DUMMYFUNCTION("""COMPUTED_VALUE"""),"")</f>
        <v/>
      </c>
      <c r="K452" s="51"/>
      <c r="L452" s="51" t="s">
        <v>257</v>
      </c>
      <c r="M452" s="51"/>
      <c r="N452" s="51"/>
      <c r="O452" s="51"/>
      <c r="P452" s="51"/>
      <c r="Q452" s="51"/>
      <c r="R452" s="51"/>
      <c r="S452" s="51"/>
      <c r="T452" s="51"/>
    </row>
    <row r="453">
      <c r="A453" s="51"/>
      <c r="B453" s="51"/>
      <c r="C453" s="56"/>
      <c r="D453" s="51"/>
      <c r="E453" s="51"/>
      <c r="F453" s="51"/>
      <c r="G453" s="51" t="str">
        <f>IFERROR(__xludf.DUMMYFUNCTION("""COMPUTED_VALUE"""),"#VALUE!")</f>
        <v>#VALUE!</v>
      </c>
      <c r="H453" s="51" t="str">
        <f>IFERROR(__xludf.DUMMYFUNCTION("""COMPUTED_VALUE"""),"")</f>
        <v/>
      </c>
      <c r="I453" s="51" t="str">
        <f>IFERROR(__xludf.DUMMYFUNCTION("""COMPUTED_VALUE"""),"#VALUE!")</f>
        <v>#VALUE!</v>
      </c>
      <c r="J453" s="51" t="str">
        <f>IFERROR(__xludf.DUMMYFUNCTION("""COMPUTED_VALUE"""),"")</f>
        <v/>
      </c>
      <c r="K453" s="51"/>
      <c r="L453" s="51" t="s">
        <v>257</v>
      </c>
      <c r="M453" s="51"/>
      <c r="N453" s="51"/>
      <c r="O453" s="51"/>
      <c r="P453" s="51"/>
      <c r="Q453" s="51"/>
      <c r="R453" s="51"/>
      <c r="S453" s="51"/>
      <c r="T453" s="51"/>
    </row>
    <row r="454">
      <c r="A454" s="51"/>
      <c r="B454" s="51"/>
      <c r="C454" s="56"/>
      <c r="D454" s="51"/>
      <c r="E454" s="51"/>
      <c r="F454" s="51"/>
      <c r="G454" s="51" t="str">
        <f>IFERROR(__xludf.DUMMYFUNCTION("""COMPUTED_VALUE"""),"#VALUE!")</f>
        <v>#VALUE!</v>
      </c>
      <c r="H454" s="51" t="str">
        <f>IFERROR(__xludf.DUMMYFUNCTION("""COMPUTED_VALUE"""),"")</f>
        <v/>
      </c>
      <c r="I454" s="51" t="str">
        <f>IFERROR(__xludf.DUMMYFUNCTION("""COMPUTED_VALUE"""),"#VALUE!")</f>
        <v>#VALUE!</v>
      </c>
      <c r="J454" s="51" t="str">
        <f>IFERROR(__xludf.DUMMYFUNCTION("""COMPUTED_VALUE"""),"")</f>
        <v/>
      </c>
      <c r="K454" s="51"/>
      <c r="L454" s="51" t="s">
        <v>257</v>
      </c>
      <c r="M454" s="51"/>
      <c r="N454" s="51"/>
      <c r="O454" s="51"/>
      <c r="P454" s="51"/>
      <c r="Q454" s="51"/>
      <c r="R454" s="51"/>
      <c r="S454" s="51"/>
      <c r="T454" s="51"/>
    </row>
    <row r="455">
      <c r="A455" s="51"/>
      <c r="B455" s="51"/>
      <c r="C455" s="56"/>
      <c r="D455" s="51"/>
      <c r="E455" s="51"/>
      <c r="F455" s="51"/>
      <c r="G455" s="51" t="str">
        <f>IFERROR(__xludf.DUMMYFUNCTION("""COMPUTED_VALUE"""),"#VALUE!")</f>
        <v>#VALUE!</v>
      </c>
      <c r="H455" s="51" t="str">
        <f>IFERROR(__xludf.DUMMYFUNCTION("""COMPUTED_VALUE"""),"")</f>
        <v/>
      </c>
      <c r="I455" s="51" t="str">
        <f>IFERROR(__xludf.DUMMYFUNCTION("""COMPUTED_VALUE"""),"#VALUE!")</f>
        <v>#VALUE!</v>
      </c>
      <c r="J455" s="51" t="str">
        <f>IFERROR(__xludf.DUMMYFUNCTION("""COMPUTED_VALUE"""),"")</f>
        <v/>
      </c>
      <c r="K455" s="51"/>
      <c r="L455" s="51" t="s">
        <v>257</v>
      </c>
      <c r="M455" s="51"/>
      <c r="N455" s="51"/>
      <c r="O455" s="51"/>
      <c r="P455" s="51"/>
      <c r="Q455" s="51"/>
      <c r="R455" s="51"/>
      <c r="S455" s="51"/>
      <c r="T455" s="51"/>
    </row>
    <row r="456">
      <c r="A456" s="51"/>
      <c r="B456" s="51"/>
      <c r="C456" s="56"/>
      <c r="D456" s="51"/>
      <c r="E456" s="51"/>
      <c r="F456" s="51"/>
      <c r="G456" s="51" t="str">
        <f>IFERROR(__xludf.DUMMYFUNCTION("""COMPUTED_VALUE"""),"#VALUE!")</f>
        <v>#VALUE!</v>
      </c>
      <c r="H456" s="51" t="str">
        <f>IFERROR(__xludf.DUMMYFUNCTION("""COMPUTED_VALUE"""),"")</f>
        <v/>
      </c>
      <c r="I456" s="51" t="str">
        <f>IFERROR(__xludf.DUMMYFUNCTION("""COMPUTED_VALUE"""),"#VALUE!")</f>
        <v>#VALUE!</v>
      </c>
      <c r="J456" s="51" t="str">
        <f>IFERROR(__xludf.DUMMYFUNCTION("""COMPUTED_VALUE"""),"")</f>
        <v/>
      </c>
      <c r="K456" s="51"/>
      <c r="L456" s="51" t="s">
        <v>257</v>
      </c>
      <c r="M456" s="51"/>
      <c r="N456" s="51"/>
      <c r="O456" s="51"/>
      <c r="P456" s="51"/>
      <c r="Q456" s="51"/>
      <c r="R456" s="51"/>
      <c r="S456" s="51"/>
      <c r="T456" s="51"/>
    </row>
    <row r="457">
      <c r="A457" s="51"/>
      <c r="B457" s="51"/>
      <c r="C457" s="56"/>
      <c r="D457" s="51"/>
      <c r="E457" s="51"/>
      <c r="F457" s="51"/>
      <c r="G457" s="51" t="str">
        <f>IFERROR(__xludf.DUMMYFUNCTION("""COMPUTED_VALUE"""),"#VALUE!")</f>
        <v>#VALUE!</v>
      </c>
      <c r="H457" s="51" t="str">
        <f>IFERROR(__xludf.DUMMYFUNCTION("""COMPUTED_VALUE"""),"")</f>
        <v/>
      </c>
      <c r="I457" s="51" t="str">
        <f>IFERROR(__xludf.DUMMYFUNCTION("""COMPUTED_VALUE"""),"#VALUE!")</f>
        <v>#VALUE!</v>
      </c>
      <c r="J457" s="51" t="str">
        <f>IFERROR(__xludf.DUMMYFUNCTION("""COMPUTED_VALUE"""),"")</f>
        <v/>
      </c>
      <c r="K457" s="51"/>
      <c r="L457" s="51" t="s">
        <v>257</v>
      </c>
      <c r="M457" s="51"/>
      <c r="N457" s="51"/>
      <c r="O457" s="51"/>
      <c r="P457" s="51"/>
      <c r="Q457" s="51"/>
      <c r="R457" s="51"/>
      <c r="S457" s="51"/>
      <c r="T457" s="51"/>
    </row>
    <row r="458">
      <c r="A458" s="51"/>
      <c r="B458" s="51"/>
      <c r="C458" s="56"/>
      <c r="D458" s="51"/>
      <c r="E458" s="51"/>
      <c r="F458" s="51"/>
      <c r="G458" s="51" t="str">
        <f>IFERROR(__xludf.DUMMYFUNCTION("""COMPUTED_VALUE"""),"#VALUE!")</f>
        <v>#VALUE!</v>
      </c>
      <c r="H458" s="51" t="str">
        <f>IFERROR(__xludf.DUMMYFUNCTION("""COMPUTED_VALUE"""),"")</f>
        <v/>
      </c>
      <c r="I458" s="51" t="str">
        <f>IFERROR(__xludf.DUMMYFUNCTION("""COMPUTED_VALUE"""),"#VALUE!")</f>
        <v>#VALUE!</v>
      </c>
      <c r="J458" s="51" t="str">
        <f>IFERROR(__xludf.DUMMYFUNCTION("""COMPUTED_VALUE"""),"")</f>
        <v/>
      </c>
      <c r="K458" s="51"/>
      <c r="L458" s="51" t="s">
        <v>257</v>
      </c>
      <c r="M458" s="51"/>
      <c r="N458" s="51"/>
      <c r="O458" s="51"/>
      <c r="P458" s="51"/>
      <c r="Q458" s="51"/>
      <c r="R458" s="51"/>
      <c r="S458" s="51"/>
      <c r="T458" s="51"/>
    </row>
    <row r="459">
      <c r="A459" s="51"/>
      <c r="B459" s="51"/>
      <c r="C459" s="56"/>
      <c r="D459" s="51"/>
      <c r="E459" s="51"/>
      <c r="F459" s="51"/>
      <c r="G459" s="51" t="str">
        <f>IFERROR(__xludf.DUMMYFUNCTION("""COMPUTED_VALUE"""),"#VALUE!")</f>
        <v>#VALUE!</v>
      </c>
      <c r="H459" s="51" t="str">
        <f>IFERROR(__xludf.DUMMYFUNCTION("""COMPUTED_VALUE"""),"")</f>
        <v/>
      </c>
      <c r="I459" s="51" t="str">
        <f>IFERROR(__xludf.DUMMYFUNCTION("""COMPUTED_VALUE"""),"#VALUE!")</f>
        <v>#VALUE!</v>
      </c>
      <c r="J459" s="51" t="str">
        <f>IFERROR(__xludf.DUMMYFUNCTION("""COMPUTED_VALUE"""),"")</f>
        <v/>
      </c>
      <c r="K459" s="51"/>
      <c r="L459" s="51" t="s">
        <v>257</v>
      </c>
      <c r="M459" s="51"/>
      <c r="N459" s="51"/>
      <c r="O459" s="51"/>
      <c r="P459" s="51"/>
      <c r="Q459" s="51"/>
      <c r="R459" s="51"/>
      <c r="S459" s="51"/>
      <c r="T459" s="51"/>
    </row>
    <row r="460">
      <c r="A460" s="51"/>
      <c r="B460" s="51"/>
      <c r="C460" s="56"/>
      <c r="D460" s="51"/>
      <c r="E460" s="51"/>
      <c r="F460" s="51"/>
      <c r="G460" s="51" t="str">
        <f>IFERROR(__xludf.DUMMYFUNCTION("""COMPUTED_VALUE"""),"#VALUE!")</f>
        <v>#VALUE!</v>
      </c>
      <c r="H460" s="51" t="str">
        <f>IFERROR(__xludf.DUMMYFUNCTION("""COMPUTED_VALUE"""),"")</f>
        <v/>
      </c>
      <c r="I460" s="51" t="str">
        <f>IFERROR(__xludf.DUMMYFUNCTION("""COMPUTED_VALUE"""),"#VALUE!")</f>
        <v>#VALUE!</v>
      </c>
      <c r="J460" s="51" t="str">
        <f>IFERROR(__xludf.DUMMYFUNCTION("""COMPUTED_VALUE"""),"")</f>
        <v/>
      </c>
      <c r="K460" s="51"/>
      <c r="L460" s="51" t="s">
        <v>257</v>
      </c>
      <c r="M460" s="51"/>
      <c r="N460" s="51"/>
      <c r="O460" s="51"/>
      <c r="P460" s="51"/>
      <c r="Q460" s="51"/>
      <c r="R460" s="51"/>
      <c r="S460" s="51"/>
      <c r="T460" s="51"/>
    </row>
    <row r="461">
      <c r="A461" s="51"/>
      <c r="B461" s="51"/>
      <c r="C461" s="56"/>
      <c r="D461" s="51"/>
      <c r="E461" s="51"/>
      <c r="F461" s="51"/>
      <c r="G461" s="51" t="str">
        <f>IFERROR(__xludf.DUMMYFUNCTION("""COMPUTED_VALUE"""),"#VALUE!")</f>
        <v>#VALUE!</v>
      </c>
      <c r="H461" s="51" t="str">
        <f>IFERROR(__xludf.DUMMYFUNCTION("""COMPUTED_VALUE"""),"")</f>
        <v/>
      </c>
      <c r="I461" s="51" t="str">
        <f>IFERROR(__xludf.DUMMYFUNCTION("""COMPUTED_VALUE"""),"#VALUE!")</f>
        <v>#VALUE!</v>
      </c>
      <c r="J461" s="51" t="str">
        <f>IFERROR(__xludf.DUMMYFUNCTION("""COMPUTED_VALUE"""),"")</f>
        <v/>
      </c>
      <c r="K461" s="51"/>
      <c r="L461" s="51" t="s">
        <v>257</v>
      </c>
      <c r="M461" s="51"/>
      <c r="N461" s="51"/>
      <c r="O461" s="51"/>
      <c r="P461" s="51"/>
      <c r="Q461" s="51"/>
      <c r="R461" s="51"/>
      <c r="S461" s="51"/>
      <c r="T461" s="51"/>
    </row>
    <row r="462">
      <c r="A462" s="51"/>
      <c r="B462" s="51"/>
      <c r="C462" s="56"/>
      <c r="D462" s="51"/>
      <c r="E462" s="51"/>
      <c r="F462" s="51"/>
      <c r="G462" s="51" t="str">
        <f>IFERROR(__xludf.DUMMYFUNCTION("""COMPUTED_VALUE"""),"#VALUE!")</f>
        <v>#VALUE!</v>
      </c>
      <c r="H462" s="51" t="str">
        <f>IFERROR(__xludf.DUMMYFUNCTION("""COMPUTED_VALUE"""),"")</f>
        <v/>
      </c>
      <c r="I462" s="51" t="str">
        <f>IFERROR(__xludf.DUMMYFUNCTION("""COMPUTED_VALUE"""),"#VALUE!")</f>
        <v>#VALUE!</v>
      </c>
      <c r="J462" s="51" t="str">
        <f>IFERROR(__xludf.DUMMYFUNCTION("""COMPUTED_VALUE"""),"")</f>
        <v/>
      </c>
      <c r="K462" s="51"/>
      <c r="L462" s="51" t="s">
        <v>257</v>
      </c>
      <c r="M462" s="51"/>
      <c r="N462" s="51"/>
      <c r="O462" s="51"/>
      <c r="P462" s="51"/>
      <c r="Q462" s="51"/>
      <c r="R462" s="51"/>
      <c r="S462" s="51"/>
      <c r="T462" s="51"/>
    </row>
    <row r="463">
      <c r="A463" s="51"/>
      <c r="B463" s="51"/>
      <c r="C463" s="56"/>
      <c r="D463" s="51"/>
      <c r="E463" s="51"/>
      <c r="F463" s="51"/>
      <c r="G463" s="51" t="str">
        <f>IFERROR(__xludf.DUMMYFUNCTION("""COMPUTED_VALUE"""),"#VALUE!")</f>
        <v>#VALUE!</v>
      </c>
      <c r="H463" s="51" t="str">
        <f>IFERROR(__xludf.DUMMYFUNCTION("""COMPUTED_VALUE"""),"")</f>
        <v/>
      </c>
      <c r="I463" s="51" t="str">
        <f>IFERROR(__xludf.DUMMYFUNCTION("""COMPUTED_VALUE"""),"#VALUE!")</f>
        <v>#VALUE!</v>
      </c>
      <c r="J463" s="51" t="str">
        <f>IFERROR(__xludf.DUMMYFUNCTION("""COMPUTED_VALUE"""),"")</f>
        <v/>
      </c>
      <c r="K463" s="51"/>
      <c r="L463" s="51" t="s">
        <v>257</v>
      </c>
      <c r="M463" s="51"/>
      <c r="N463" s="51"/>
      <c r="O463" s="51"/>
      <c r="P463" s="51"/>
      <c r="Q463" s="51"/>
      <c r="R463" s="51"/>
      <c r="S463" s="51"/>
      <c r="T463" s="51"/>
    </row>
    <row r="464">
      <c r="A464" s="51"/>
      <c r="B464" s="51"/>
      <c r="C464" s="56"/>
      <c r="D464" s="51"/>
      <c r="E464" s="51"/>
      <c r="F464" s="51"/>
      <c r="G464" s="51" t="str">
        <f>IFERROR(__xludf.DUMMYFUNCTION("""COMPUTED_VALUE"""),"#VALUE!")</f>
        <v>#VALUE!</v>
      </c>
      <c r="H464" s="51" t="str">
        <f>IFERROR(__xludf.DUMMYFUNCTION("""COMPUTED_VALUE"""),"")</f>
        <v/>
      </c>
      <c r="I464" s="51" t="str">
        <f>IFERROR(__xludf.DUMMYFUNCTION("""COMPUTED_VALUE"""),"#VALUE!")</f>
        <v>#VALUE!</v>
      </c>
      <c r="J464" s="51" t="str">
        <f>IFERROR(__xludf.DUMMYFUNCTION("""COMPUTED_VALUE"""),"")</f>
        <v/>
      </c>
      <c r="K464" s="51"/>
      <c r="L464" s="51" t="s">
        <v>257</v>
      </c>
      <c r="M464" s="51"/>
      <c r="N464" s="51"/>
      <c r="O464" s="51"/>
      <c r="P464" s="51"/>
      <c r="Q464" s="51"/>
      <c r="R464" s="51"/>
      <c r="S464" s="51"/>
      <c r="T464" s="51"/>
    </row>
    <row r="465">
      <c r="A465" s="51"/>
      <c r="B465" s="51"/>
      <c r="C465" s="56"/>
      <c r="D465" s="51"/>
      <c r="E465" s="51"/>
      <c r="F465" s="51"/>
      <c r="G465" s="51" t="str">
        <f>IFERROR(__xludf.DUMMYFUNCTION("""COMPUTED_VALUE"""),"#VALUE!")</f>
        <v>#VALUE!</v>
      </c>
      <c r="H465" s="51" t="str">
        <f>IFERROR(__xludf.DUMMYFUNCTION("""COMPUTED_VALUE"""),"")</f>
        <v/>
      </c>
      <c r="I465" s="51" t="str">
        <f>IFERROR(__xludf.DUMMYFUNCTION("""COMPUTED_VALUE"""),"#VALUE!")</f>
        <v>#VALUE!</v>
      </c>
      <c r="J465" s="51" t="str">
        <f>IFERROR(__xludf.DUMMYFUNCTION("""COMPUTED_VALUE"""),"")</f>
        <v/>
      </c>
      <c r="K465" s="51"/>
      <c r="L465" s="51" t="s">
        <v>257</v>
      </c>
      <c r="M465" s="51"/>
      <c r="N465" s="51"/>
      <c r="O465" s="51"/>
      <c r="P465" s="51"/>
      <c r="Q465" s="51"/>
      <c r="R465" s="51"/>
      <c r="S465" s="51"/>
      <c r="T465" s="51"/>
    </row>
    <row r="466">
      <c r="A466" s="51"/>
      <c r="B466" s="51"/>
      <c r="C466" s="56"/>
      <c r="D466" s="51"/>
      <c r="E466" s="51"/>
      <c r="F466" s="51"/>
      <c r="G466" s="51" t="str">
        <f>IFERROR(__xludf.DUMMYFUNCTION("""COMPUTED_VALUE"""),"#VALUE!")</f>
        <v>#VALUE!</v>
      </c>
      <c r="H466" s="51" t="str">
        <f>IFERROR(__xludf.DUMMYFUNCTION("""COMPUTED_VALUE"""),"")</f>
        <v/>
      </c>
      <c r="I466" s="51" t="str">
        <f>IFERROR(__xludf.DUMMYFUNCTION("""COMPUTED_VALUE"""),"#VALUE!")</f>
        <v>#VALUE!</v>
      </c>
      <c r="J466" s="51" t="str">
        <f>IFERROR(__xludf.DUMMYFUNCTION("""COMPUTED_VALUE"""),"")</f>
        <v/>
      </c>
      <c r="K466" s="51"/>
      <c r="L466" s="51" t="s">
        <v>257</v>
      </c>
      <c r="M466" s="51"/>
      <c r="N466" s="51"/>
      <c r="O466" s="51"/>
      <c r="P466" s="51"/>
      <c r="Q466" s="51"/>
      <c r="R466" s="51"/>
      <c r="S466" s="51"/>
      <c r="T466" s="51"/>
    </row>
    <row r="467">
      <c r="A467" s="51"/>
      <c r="B467" s="51"/>
      <c r="C467" s="56"/>
      <c r="D467" s="51"/>
      <c r="E467" s="51"/>
      <c r="F467" s="51"/>
      <c r="G467" s="51" t="str">
        <f>IFERROR(__xludf.DUMMYFUNCTION("""COMPUTED_VALUE"""),"#VALUE!")</f>
        <v>#VALUE!</v>
      </c>
      <c r="H467" s="51" t="str">
        <f>IFERROR(__xludf.DUMMYFUNCTION("""COMPUTED_VALUE"""),"")</f>
        <v/>
      </c>
      <c r="I467" s="51" t="str">
        <f>IFERROR(__xludf.DUMMYFUNCTION("""COMPUTED_VALUE"""),"#VALUE!")</f>
        <v>#VALUE!</v>
      </c>
      <c r="J467" s="51" t="str">
        <f>IFERROR(__xludf.DUMMYFUNCTION("""COMPUTED_VALUE"""),"")</f>
        <v/>
      </c>
      <c r="K467" s="51"/>
      <c r="L467" s="51" t="s">
        <v>257</v>
      </c>
      <c r="M467" s="51"/>
      <c r="N467" s="51"/>
      <c r="O467" s="51"/>
      <c r="P467" s="51"/>
      <c r="Q467" s="51"/>
      <c r="R467" s="51"/>
      <c r="S467" s="51"/>
      <c r="T467" s="51"/>
    </row>
    <row r="468">
      <c r="A468" s="51"/>
      <c r="B468" s="51"/>
      <c r="C468" s="56"/>
      <c r="D468" s="51"/>
      <c r="E468" s="51"/>
      <c r="F468" s="51"/>
      <c r="G468" s="51" t="str">
        <f>IFERROR(__xludf.DUMMYFUNCTION("""COMPUTED_VALUE"""),"#VALUE!")</f>
        <v>#VALUE!</v>
      </c>
      <c r="H468" s="51" t="str">
        <f>IFERROR(__xludf.DUMMYFUNCTION("""COMPUTED_VALUE"""),"")</f>
        <v/>
      </c>
      <c r="I468" s="51" t="str">
        <f>IFERROR(__xludf.DUMMYFUNCTION("""COMPUTED_VALUE"""),"#VALUE!")</f>
        <v>#VALUE!</v>
      </c>
      <c r="J468" s="51" t="str">
        <f>IFERROR(__xludf.DUMMYFUNCTION("""COMPUTED_VALUE"""),"")</f>
        <v/>
      </c>
      <c r="K468" s="51"/>
      <c r="L468" s="51" t="s">
        <v>257</v>
      </c>
      <c r="M468" s="51"/>
      <c r="N468" s="51"/>
      <c r="O468" s="51"/>
      <c r="P468" s="51"/>
      <c r="Q468" s="51"/>
      <c r="R468" s="51"/>
      <c r="S468" s="51"/>
      <c r="T468" s="51"/>
    </row>
    <row r="469">
      <c r="A469" s="51"/>
      <c r="B469" s="51"/>
      <c r="C469" s="56"/>
      <c r="D469" s="51"/>
      <c r="E469" s="51"/>
      <c r="F469" s="51"/>
      <c r="G469" s="51" t="str">
        <f>IFERROR(__xludf.DUMMYFUNCTION("""COMPUTED_VALUE"""),"#VALUE!")</f>
        <v>#VALUE!</v>
      </c>
      <c r="H469" s="51" t="str">
        <f>IFERROR(__xludf.DUMMYFUNCTION("""COMPUTED_VALUE"""),"")</f>
        <v/>
      </c>
      <c r="I469" s="51" t="str">
        <f>IFERROR(__xludf.DUMMYFUNCTION("""COMPUTED_VALUE"""),"#VALUE!")</f>
        <v>#VALUE!</v>
      </c>
      <c r="J469" s="51" t="str">
        <f>IFERROR(__xludf.DUMMYFUNCTION("""COMPUTED_VALUE"""),"")</f>
        <v/>
      </c>
      <c r="K469" s="51"/>
      <c r="L469" s="51" t="s">
        <v>257</v>
      </c>
      <c r="M469" s="51"/>
      <c r="N469" s="51"/>
      <c r="O469" s="51"/>
      <c r="P469" s="51"/>
      <c r="Q469" s="51"/>
      <c r="R469" s="51"/>
      <c r="S469" s="51"/>
      <c r="T469" s="51"/>
    </row>
    <row r="470">
      <c r="A470" s="51"/>
      <c r="B470" s="51"/>
      <c r="C470" s="56"/>
      <c r="D470" s="51"/>
      <c r="E470" s="51"/>
      <c r="F470" s="51"/>
      <c r="G470" s="51" t="str">
        <f>IFERROR(__xludf.DUMMYFUNCTION("""COMPUTED_VALUE"""),"#VALUE!")</f>
        <v>#VALUE!</v>
      </c>
      <c r="H470" s="51" t="str">
        <f>IFERROR(__xludf.DUMMYFUNCTION("""COMPUTED_VALUE"""),"")</f>
        <v/>
      </c>
      <c r="I470" s="51" t="str">
        <f>IFERROR(__xludf.DUMMYFUNCTION("""COMPUTED_VALUE"""),"#VALUE!")</f>
        <v>#VALUE!</v>
      </c>
      <c r="J470" s="51" t="str">
        <f>IFERROR(__xludf.DUMMYFUNCTION("""COMPUTED_VALUE"""),"")</f>
        <v/>
      </c>
      <c r="K470" s="51"/>
      <c r="L470" s="51" t="s">
        <v>257</v>
      </c>
      <c r="M470" s="51"/>
      <c r="N470" s="51"/>
      <c r="O470" s="51"/>
      <c r="P470" s="51"/>
      <c r="Q470" s="51"/>
      <c r="R470" s="51"/>
      <c r="S470" s="51"/>
      <c r="T470" s="51"/>
    </row>
    <row r="471">
      <c r="A471" s="51"/>
      <c r="B471" s="51"/>
      <c r="C471" s="56"/>
      <c r="D471" s="51"/>
      <c r="E471" s="51"/>
      <c r="F471" s="51"/>
      <c r="G471" s="51" t="str">
        <f>IFERROR(__xludf.DUMMYFUNCTION("""COMPUTED_VALUE"""),"#VALUE!")</f>
        <v>#VALUE!</v>
      </c>
      <c r="H471" s="51" t="str">
        <f>IFERROR(__xludf.DUMMYFUNCTION("""COMPUTED_VALUE"""),"")</f>
        <v/>
      </c>
      <c r="I471" s="51" t="str">
        <f>IFERROR(__xludf.DUMMYFUNCTION("""COMPUTED_VALUE"""),"#VALUE!")</f>
        <v>#VALUE!</v>
      </c>
      <c r="J471" s="51" t="str">
        <f>IFERROR(__xludf.DUMMYFUNCTION("""COMPUTED_VALUE"""),"")</f>
        <v/>
      </c>
      <c r="K471" s="51"/>
      <c r="L471" s="51" t="s">
        <v>257</v>
      </c>
      <c r="M471" s="51"/>
      <c r="N471" s="51"/>
      <c r="O471" s="51"/>
      <c r="P471" s="51"/>
      <c r="Q471" s="51"/>
      <c r="R471" s="51"/>
      <c r="S471" s="51"/>
      <c r="T471" s="51"/>
    </row>
    <row r="472">
      <c r="A472" s="51"/>
      <c r="B472" s="51"/>
      <c r="C472" s="56"/>
      <c r="D472" s="51"/>
      <c r="E472" s="51"/>
      <c r="F472" s="51"/>
      <c r="G472" s="51" t="str">
        <f>IFERROR(__xludf.DUMMYFUNCTION("""COMPUTED_VALUE"""),"#VALUE!")</f>
        <v>#VALUE!</v>
      </c>
      <c r="H472" s="51" t="str">
        <f>IFERROR(__xludf.DUMMYFUNCTION("""COMPUTED_VALUE"""),"")</f>
        <v/>
      </c>
      <c r="I472" s="51" t="str">
        <f>IFERROR(__xludf.DUMMYFUNCTION("""COMPUTED_VALUE"""),"#VALUE!")</f>
        <v>#VALUE!</v>
      </c>
      <c r="J472" s="51" t="str">
        <f>IFERROR(__xludf.DUMMYFUNCTION("""COMPUTED_VALUE"""),"")</f>
        <v/>
      </c>
      <c r="K472" s="51"/>
      <c r="L472" s="51" t="s">
        <v>257</v>
      </c>
      <c r="M472" s="51"/>
      <c r="N472" s="51"/>
      <c r="O472" s="51"/>
      <c r="P472" s="51"/>
      <c r="Q472" s="51"/>
      <c r="R472" s="51"/>
      <c r="S472" s="51"/>
      <c r="T472" s="51"/>
    </row>
    <row r="473">
      <c r="A473" s="51"/>
      <c r="B473" s="51"/>
      <c r="C473" s="56"/>
      <c r="D473" s="51"/>
      <c r="E473" s="51"/>
      <c r="F473" s="51"/>
      <c r="G473" s="51" t="str">
        <f>IFERROR(__xludf.DUMMYFUNCTION("""COMPUTED_VALUE"""),"#VALUE!")</f>
        <v>#VALUE!</v>
      </c>
      <c r="H473" s="51" t="str">
        <f>IFERROR(__xludf.DUMMYFUNCTION("""COMPUTED_VALUE"""),"")</f>
        <v/>
      </c>
      <c r="I473" s="51" t="str">
        <f>IFERROR(__xludf.DUMMYFUNCTION("""COMPUTED_VALUE"""),"#VALUE!")</f>
        <v>#VALUE!</v>
      </c>
      <c r="J473" s="51" t="str">
        <f>IFERROR(__xludf.DUMMYFUNCTION("""COMPUTED_VALUE"""),"")</f>
        <v/>
      </c>
      <c r="K473" s="51"/>
      <c r="L473" s="51" t="s">
        <v>257</v>
      </c>
      <c r="M473" s="51"/>
      <c r="N473" s="51"/>
      <c r="O473" s="51"/>
      <c r="P473" s="51"/>
      <c r="Q473" s="51"/>
      <c r="R473" s="51"/>
      <c r="S473" s="51"/>
      <c r="T473" s="51"/>
    </row>
    <row r="474">
      <c r="A474" s="51"/>
      <c r="B474" s="51"/>
      <c r="C474" s="56"/>
      <c r="D474" s="51"/>
      <c r="E474" s="51"/>
      <c r="F474" s="51"/>
      <c r="G474" s="51" t="str">
        <f>IFERROR(__xludf.DUMMYFUNCTION("""COMPUTED_VALUE"""),"#VALUE!")</f>
        <v>#VALUE!</v>
      </c>
      <c r="H474" s="51" t="str">
        <f>IFERROR(__xludf.DUMMYFUNCTION("""COMPUTED_VALUE"""),"")</f>
        <v/>
      </c>
      <c r="I474" s="51" t="str">
        <f>IFERROR(__xludf.DUMMYFUNCTION("""COMPUTED_VALUE"""),"#VALUE!")</f>
        <v>#VALUE!</v>
      </c>
      <c r="J474" s="51" t="str">
        <f>IFERROR(__xludf.DUMMYFUNCTION("""COMPUTED_VALUE"""),"")</f>
        <v/>
      </c>
      <c r="K474" s="51"/>
      <c r="L474" s="51" t="s">
        <v>257</v>
      </c>
      <c r="M474" s="51"/>
      <c r="N474" s="51"/>
      <c r="O474" s="51"/>
      <c r="P474" s="51"/>
      <c r="Q474" s="51"/>
      <c r="R474" s="51"/>
      <c r="S474" s="51"/>
      <c r="T474" s="51"/>
    </row>
    <row r="475">
      <c r="A475" s="51"/>
      <c r="B475" s="51"/>
      <c r="C475" s="56"/>
      <c r="D475" s="51"/>
      <c r="E475" s="51"/>
      <c r="F475" s="51"/>
      <c r="G475" s="51" t="str">
        <f>IFERROR(__xludf.DUMMYFUNCTION("""COMPUTED_VALUE"""),"#VALUE!")</f>
        <v>#VALUE!</v>
      </c>
      <c r="H475" s="51" t="str">
        <f>IFERROR(__xludf.DUMMYFUNCTION("""COMPUTED_VALUE"""),"")</f>
        <v/>
      </c>
      <c r="I475" s="51" t="str">
        <f>IFERROR(__xludf.DUMMYFUNCTION("""COMPUTED_VALUE"""),"#VALUE!")</f>
        <v>#VALUE!</v>
      </c>
      <c r="J475" s="51" t="str">
        <f>IFERROR(__xludf.DUMMYFUNCTION("""COMPUTED_VALUE"""),"")</f>
        <v/>
      </c>
      <c r="K475" s="51"/>
      <c r="L475" s="51" t="s">
        <v>257</v>
      </c>
      <c r="M475" s="51"/>
      <c r="N475" s="51"/>
      <c r="O475" s="51"/>
      <c r="P475" s="51"/>
      <c r="Q475" s="51"/>
      <c r="R475" s="51"/>
      <c r="S475" s="51"/>
      <c r="T475" s="51"/>
    </row>
    <row r="476">
      <c r="A476" s="51"/>
      <c r="B476" s="51"/>
      <c r="C476" s="56"/>
      <c r="D476" s="51"/>
      <c r="E476" s="51"/>
      <c r="F476" s="51"/>
      <c r="G476" s="51" t="str">
        <f>IFERROR(__xludf.DUMMYFUNCTION("""COMPUTED_VALUE"""),"#VALUE!")</f>
        <v>#VALUE!</v>
      </c>
      <c r="H476" s="51" t="str">
        <f>IFERROR(__xludf.DUMMYFUNCTION("""COMPUTED_VALUE"""),"")</f>
        <v/>
      </c>
      <c r="I476" s="51" t="str">
        <f>IFERROR(__xludf.DUMMYFUNCTION("""COMPUTED_VALUE"""),"#VALUE!")</f>
        <v>#VALUE!</v>
      </c>
      <c r="J476" s="51" t="str">
        <f>IFERROR(__xludf.DUMMYFUNCTION("""COMPUTED_VALUE"""),"")</f>
        <v/>
      </c>
      <c r="K476" s="51"/>
      <c r="L476" s="51" t="s">
        <v>257</v>
      </c>
      <c r="M476" s="51"/>
      <c r="N476" s="51"/>
      <c r="O476" s="51"/>
      <c r="P476" s="51"/>
      <c r="Q476" s="51"/>
      <c r="R476" s="51"/>
      <c r="S476" s="51"/>
      <c r="T476" s="51"/>
    </row>
    <row r="477">
      <c r="A477" s="51"/>
      <c r="B477" s="51"/>
      <c r="C477" s="56"/>
      <c r="D477" s="51"/>
      <c r="E477" s="51"/>
      <c r="F477" s="51"/>
      <c r="G477" s="51" t="str">
        <f>IFERROR(__xludf.DUMMYFUNCTION("""COMPUTED_VALUE"""),"#VALUE!")</f>
        <v>#VALUE!</v>
      </c>
      <c r="H477" s="51" t="str">
        <f>IFERROR(__xludf.DUMMYFUNCTION("""COMPUTED_VALUE"""),"")</f>
        <v/>
      </c>
      <c r="I477" s="51" t="str">
        <f>IFERROR(__xludf.DUMMYFUNCTION("""COMPUTED_VALUE"""),"#VALUE!")</f>
        <v>#VALUE!</v>
      </c>
      <c r="J477" s="51" t="str">
        <f>IFERROR(__xludf.DUMMYFUNCTION("""COMPUTED_VALUE"""),"")</f>
        <v/>
      </c>
      <c r="K477" s="51"/>
      <c r="L477" s="51" t="s">
        <v>257</v>
      </c>
      <c r="M477" s="51"/>
      <c r="N477" s="51"/>
      <c r="O477" s="51"/>
      <c r="P477" s="51"/>
      <c r="Q477" s="51"/>
      <c r="R477" s="51"/>
      <c r="S477" s="51"/>
      <c r="T477" s="51"/>
    </row>
    <row r="478">
      <c r="A478" s="51"/>
      <c r="B478" s="51"/>
      <c r="C478" s="56"/>
      <c r="D478" s="51"/>
      <c r="E478" s="51"/>
      <c r="F478" s="51"/>
      <c r="G478" s="51" t="str">
        <f>IFERROR(__xludf.DUMMYFUNCTION("""COMPUTED_VALUE"""),"#VALUE!")</f>
        <v>#VALUE!</v>
      </c>
      <c r="H478" s="51" t="str">
        <f>IFERROR(__xludf.DUMMYFUNCTION("""COMPUTED_VALUE"""),"")</f>
        <v/>
      </c>
      <c r="I478" s="51" t="str">
        <f>IFERROR(__xludf.DUMMYFUNCTION("""COMPUTED_VALUE"""),"#VALUE!")</f>
        <v>#VALUE!</v>
      </c>
      <c r="J478" s="51" t="str">
        <f>IFERROR(__xludf.DUMMYFUNCTION("""COMPUTED_VALUE"""),"")</f>
        <v/>
      </c>
      <c r="K478" s="51"/>
      <c r="L478" s="51" t="s">
        <v>257</v>
      </c>
      <c r="M478" s="51"/>
      <c r="N478" s="51"/>
      <c r="O478" s="51"/>
      <c r="P478" s="51"/>
      <c r="Q478" s="51"/>
      <c r="R478" s="51"/>
      <c r="S478" s="51"/>
      <c r="T478" s="51"/>
    </row>
    <row r="479">
      <c r="A479" s="51"/>
      <c r="B479" s="51"/>
      <c r="C479" s="56"/>
      <c r="D479" s="51"/>
      <c r="E479" s="51"/>
      <c r="F479" s="51"/>
      <c r="G479" s="51" t="str">
        <f>IFERROR(__xludf.DUMMYFUNCTION("""COMPUTED_VALUE"""),"#VALUE!")</f>
        <v>#VALUE!</v>
      </c>
      <c r="H479" s="51" t="str">
        <f>IFERROR(__xludf.DUMMYFUNCTION("""COMPUTED_VALUE"""),"")</f>
        <v/>
      </c>
      <c r="I479" s="51" t="str">
        <f>IFERROR(__xludf.DUMMYFUNCTION("""COMPUTED_VALUE"""),"#VALUE!")</f>
        <v>#VALUE!</v>
      </c>
      <c r="J479" s="51" t="str">
        <f>IFERROR(__xludf.DUMMYFUNCTION("""COMPUTED_VALUE"""),"")</f>
        <v/>
      </c>
      <c r="K479" s="51"/>
      <c r="L479" s="51" t="s">
        <v>257</v>
      </c>
      <c r="M479" s="51"/>
      <c r="N479" s="51"/>
      <c r="O479" s="51"/>
      <c r="P479" s="51"/>
      <c r="Q479" s="51"/>
      <c r="R479" s="51"/>
      <c r="S479" s="51"/>
      <c r="T479" s="51"/>
    </row>
    <row r="480">
      <c r="A480" s="51"/>
      <c r="B480" s="51"/>
      <c r="C480" s="56"/>
      <c r="D480" s="51"/>
      <c r="E480" s="51"/>
      <c r="F480" s="51"/>
      <c r="G480" s="51" t="str">
        <f>IFERROR(__xludf.DUMMYFUNCTION("""COMPUTED_VALUE"""),"#VALUE!")</f>
        <v>#VALUE!</v>
      </c>
      <c r="H480" s="51" t="str">
        <f>IFERROR(__xludf.DUMMYFUNCTION("""COMPUTED_VALUE"""),"")</f>
        <v/>
      </c>
      <c r="I480" s="51" t="str">
        <f>IFERROR(__xludf.DUMMYFUNCTION("""COMPUTED_VALUE"""),"#VALUE!")</f>
        <v>#VALUE!</v>
      </c>
      <c r="J480" s="51" t="str">
        <f>IFERROR(__xludf.DUMMYFUNCTION("""COMPUTED_VALUE"""),"")</f>
        <v/>
      </c>
      <c r="K480" s="51"/>
      <c r="L480" s="51" t="s">
        <v>257</v>
      </c>
      <c r="M480" s="51"/>
      <c r="N480" s="51"/>
      <c r="O480" s="51"/>
      <c r="P480" s="51"/>
      <c r="Q480" s="51"/>
      <c r="R480" s="51"/>
      <c r="S480" s="51"/>
      <c r="T480" s="51"/>
    </row>
    <row r="481">
      <c r="A481" s="51"/>
      <c r="B481" s="51"/>
      <c r="C481" s="56"/>
      <c r="D481" s="51"/>
      <c r="E481" s="51"/>
      <c r="F481" s="51"/>
      <c r="G481" s="51" t="str">
        <f>IFERROR(__xludf.DUMMYFUNCTION("""COMPUTED_VALUE"""),"#VALUE!")</f>
        <v>#VALUE!</v>
      </c>
      <c r="H481" s="51" t="str">
        <f>IFERROR(__xludf.DUMMYFUNCTION("""COMPUTED_VALUE"""),"")</f>
        <v/>
      </c>
      <c r="I481" s="51" t="str">
        <f>IFERROR(__xludf.DUMMYFUNCTION("""COMPUTED_VALUE"""),"#VALUE!")</f>
        <v>#VALUE!</v>
      </c>
      <c r="J481" s="51" t="str">
        <f>IFERROR(__xludf.DUMMYFUNCTION("""COMPUTED_VALUE"""),"")</f>
        <v/>
      </c>
      <c r="K481" s="51"/>
      <c r="L481" s="51" t="s">
        <v>257</v>
      </c>
      <c r="M481" s="51"/>
      <c r="N481" s="51"/>
      <c r="O481" s="51"/>
      <c r="P481" s="51"/>
      <c r="Q481" s="51"/>
      <c r="R481" s="51"/>
      <c r="S481" s="51"/>
      <c r="T481" s="51"/>
    </row>
    <row r="482">
      <c r="A482" s="51"/>
      <c r="B482" s="51"/>
      <c r="C482" s="56"/>
      <c r="D482" s="51"/>
      <c r="E482" s="51"/>
      <c r="F482" s="51"/>
      <c r="G482" s="51" t="str">
        <f>IFERROR(__xludf.DUMMYFUNCTION("""COMPUTED_VALUE"""),"#VALUE!")</f>
        <v>#VALUE!</v>
      </c>
      <c r="H482" s="51" t="str">
        <f>IFERROR(__xludf.DUMMYFUNCTION("""COMPUTED_VALUE"""),"")</f>
        <v/>
      </c>
      <c r="I482" s="51" t="str">
        <f>IFERROR(__xludf.DUMMYFUNCTION("""COMPUTED_VALUE"""),"#VALUE!")</f>
        <v>#VALUE!</v>
      </c>
      <c r="J482" s="51" t="str">
        <f>IFERROR(__xludf.DUMMYFUNCTION("""COMPUTED_VALUE"""),"")</f>
        <v/>
      </c>
      <c r="K482" s="51"/>
      <c r="L482" s="51" t="s">
        <v>257</v>
      </c>
      <c r="M482" s="51"/>
      <c r="N482" s="51"/>
      <c r="O482" s="51"/>
      <c r="P482" s="51"/>
      <c r="Q482" s="51"/>
      <c r="R482" s="51"/>
      <c r="S482" s="51"/>
      <c r="T482" s="51"/>
    </row>
    <row r="483">
      <c r="A483" s="51"/>
      <c r="B483" s="51"/>
      <c r="C483" s="56"/>
      <c r="D483" s="51"/>
      <c r="E483" s="51"/>
      <c r="F483" s="51"/>
      <c r="G483" s="51" t="str">
        <f>IFERROR(__xludf.DUMMYFUNCTION("""COMPUTED_VALUE"""),"#VALUE!")</f>
        <v>#VALUE!</v>
      </c>
      <c r="H483" s="51" t="str">
        <f>IFERROR(__xludf.DUMMYFUNCTION("""COMPUTED_VALUE"""),"")</f>
        <v/>
      </c>
      <c r="I483" s="51" t="str">
        <f>IFERROR(__xludf.DUMMYFUNCTION("""COMPUTED_VALUE"""),"#VALUE!")</f>
        <v>#VALUE!</v>
      </c>
      <c r="J483" s="51" t="str">
        <f>IFERROR(__xludf.DUMMYFUNCTION("""COMPUTED_VALUE"""),"")</f>
        <v/>
      </c>
      <c r="K483" s="51"/>
      <c r="L483" s="51" t="s">
        <v>257</v>
      </c>
      <c r="M483" s="51"/>
      <c r="N483" s="51"/>
      <c r="O483" s="51"/>
      <c r="P483" s="51"/>
      <c r="Q483" s="51"/>
      <c r="R483" s="51"/>
      <c r="S483" s="51"/>
      <c r="T483" s="51"/>
    </row>
    <row r="484">
      <c r="A484" s="51"/>
      <c r="B484" s="51"/>
      <c r="C484" s="56"/>
      <c r="D484" s="51"/>
      <c r="E484" s="51"/>
      <c r="F484" s="51"/>
      <c r="G484" s="51" t="str">
        <f>IFERROR(__xludf.DUMMYFUNCTION("""COMPUTED_VALUE"""),"#VALUE!")</f>
        <v>#VALUE!</v>
      </c>
      <c r="H484" s="51" t="str">
        <f>IFERROR(__xludf.DUMMYFUNCTION("""COMPUTED_VALUE"""),"")</f>
        <v/>
      </c>
      <c r="I484" s="51" t="str">
        <f>IFERROR(__xludf.DUMMYFUNCTION("""COMPUTED_VALUE"""),"#VALUE!")</f>
        <v>#VALUE!</v>
      </c>
      <c r="J484" s="51" t="str">
        <f>IFERROR(__xludf.DUMMYFUNCTION("""COMPUTED_VALUE"""),"")</f>
        <v/>
      </c>
      <c r="K484" s="51"/>
      <c r="L484" s="51" t="s">
        <v>257</v>
      </c>
      <c r="M484" s="51"/>
      <c r="N484" s="51"/>
      <c r="O484" s="51"/>
      <c r="P484" s="51"/>
      <c r="Q484" s="51"/>
      <c r="R484" s="51"/>
      <c r="S484" s="51"/>
      <c r="T484" s="51"/>
    </row>
    <row r="485">
      <c r="A485" s="51"/>
      <c r="B485" s="51"/>
      <c r="C485" s="56"/>
      <c r="D485" s="51"/>
      <c r="E485" s="51"/>
      <c r="F485" s="51"/>
      <c r="G485" s="51" t="str">
        <f>IFERROR(__xludf.DUMMYFUNCTION("""COMPUTED_VALUE"""),"#VALUE!")</f>
        <v>#VALUE!</v>
      </c>
      <c r="H485" s="51" t="str">
        <f>IFERROR(__xludf.DUMMYFUNCTION("""COMPUTED_VALUE"""),"")</f>
        <v/>
      </c>
      <c r="I485" s="51" t="str">
        <f>IFERROR(__xludf.DUMMYFUNCTION("""COMPUTED_VALUE"""),"#VALUE!")</f>
        <v>#VALUE!</v>
      </c>
      <c r="J485" s="51" t="str">
        <f>IFERROR(__xludf.DUMMYFUNCTION("""COMPUTED_VALUE"""),"")</f>
        <v/>
      </c>
      <c r="K485" s="51"/>
      <c r="L485" s="51" t="s">
        <v>257</v>
      </c>
      <c r="M485" s="51"/>
      <c r="N485" s="51"/>
      <c r="O485" s="51"/>
      <c r="P485" s="51"/>
      <c r="Q485" s="51"/>
      <c r="R485" s="51"/>
      <c r="S485" s="51"/>
      <c r="T485" s="51"/>
    </row>
    <row r="486">
      <c r="A486" s="51"/>
      <c r="B486" s="51"/>
      <c r="C486" s="56"/>
      <c r="D486" s="51"/>
      <c r="E486" s="51"/>
      <c r="F486" s="51"/>
      <c r="G486" s="51" t="str">
        <f>IFERROR(__xludf.DUMMYFUNCTION("""COMPUTED_VALUE"""),"#VALUE!")</f>
        <v>#VALUE!</v>
      </c>
      <c r="H486" s="51" t="str">
        <f>IFERROR(__xludf.DUMMYFUNCTION("""COMPUTED_VALUE"""),"")</f>
        <v/>
      </c>
      <c r="I486" s="51" t="str">
        <f>IFERROR(__xludf.DUMMYFUNCTION("""COMPUTED_VALUE"""),"#VALUE!")</f>
        <v>#VALUE!</v>
      </c>
      <c r="J486" s="51" t="str">
        <f>IFERROR(__xludf.DUMMYFUNCTION("""COMPUTED_VALUE"""),"")</f>
        <v/>
      </c>
      <c r="K486" s="51"/>
      <c r="L486" s="51" t="s">
        <v>257</v>
      </c>
      <c r="M486" s="51"/>
      <c r="N486" s="51"/>
      <c r="O486" s="51"/>
      <c r="P486" s="51"/>
      <c r="Q486" s="51"/>
      <c r="R486" s="51"/>
      <c r="S486" s="51"/>
      <c r="T486" s="51"/>
    </row>
    <row r="487">
      <c r="A487" s="51"/>
      <c r="B487" s="51"/>
      <c r="C487" s="56"/>
      <c r="D487" s="51"/>
      <c r="E487" s="51"/>
      <c r="F487" s="51"/>
      <c r="G487" s="51" t="str">
        <f>IFERROR(__xludf.DUMMYFUNCTION("""COMPUTED_VALUE"""),"#VALUE!")</f>
        <v>#VALUE!</v>
      </c>
      <c r="H487" s="51" t="str">
        <f>IFERROR(__xludf.DUMMYFUNCTION("""COMPUTED_VALUE"""),"")</f>
        <v/>
      </c>
      <c r="I487" s="51" t="str">
        <f>IFERROR(__xludf.DUMMYFUNCTION("""COMPUTED_VALUE"""),"#VALUE!")</f>
        <v>#VALUE!</v>
      </c>
      <c r="J487" s="51" t="str">
        <f>IFERROR(__xludf.DUMMYFUNCTION("""COMPUTED_VALUE"""),"")</f>
        <v/>
      </c>
      <c r="K487" s="51"/>
      <c r="L487" s="51" t="s">
        <v>257</v>
      </c>
      <c r="M487" s="51"/>
      <c r="N487" s="51"/>
      <c r="O487" s="51"/>
      <c r="P487" s="51"/>
      <c r="Q487" s="51"/>
      <c r="R487" s="51"/>
      <c r="S487" s="51"/>
      <c r="T487" s="51"/>
    </row>
    <row r="488">
      <c r="A488" s="51"/>
      <c r="B488" s="51"/>
      <c r="C488" s="56"/>
      <c r="D488" s="51"/>
      <c r="E488" s="51"/>
      <c r="F488" s="51"/>
      <c r="G488" s="51" t="str">
        <f>IFERROR(__xludf.DUMMYFUNCTION("""COMPUTED_VALUE"""),"#VALUE!")</f>
        <v>#VALUE!</v>
      </c>
      <c r="H488" s="51" t="str">
        <f>IFERROR(__xludf.DUMMYFUNCTION("""COMPUTED_VALUE"""),"")</f>
        <v/>
      </c>
      <c r="I488" s="51" t="str">
        <f>IFERROR(__xludf.DUMMYFUNCTION("""COMPUTED_VALUE"""),"#VALUE!")</f>
        <v>#VALUE!</v>
      </c>
      <c r="J488" s="51" t="str">
        <f>IFERROR(__xludf.DUMMYFUNCTION("""COMPUTED_VALUE"""),"")</f>
        <v/>
      </c>
      <c r="K488" s="51"/>
      <c r="L488" s="51" t="s">
        <v>257</v>
      </c>
      <c r="M488" s="51"/>
      <c r="N488" s="51"/>
      <c r="O488" s="51"/>
      <c r="P488" s="51"/>
      <c r="Q488" s="51"/>
      <c r="R488" s="51"/>
      <c r="S488" s="51"/>
      <c r="T488" s="51"/>
    </row>
    <row r="489">
      <c r="A489" s="51"/>
      <c r="B489" s="51"/>
      <c r="C489" s="56"/>
      <c r="D489" s="51"/>
      <c r="E489" s="51"/>
      <c r="F489" s="51"/>
      <c r="G489" s="51" t="str">
        <f>IFERROR(__xludf.DUMMYFUNCTION("""COMPUTED_VALUE"""),"#VALUE!")</f>
        <v>#VALUE!</v>
      </c>
      <c r="H489" s="51" t="str">
        <f>IFERROR(__xludf.DUMMYFUNCTION("""COMPUTED_VALUE"""),"")</f>
        <v/>
      </c>
      <c r="I489" s="51" t="str">
        <f>IFERROR(__xludf.DUMMYFUNCTION("""COMPUTED_VALUE"""),"#VALUE!")</f>
        <v>#VALUE!</v>
      </c>
      <c r="J489" s="51" t="str">
        <f>IFERROR(__xludf.DUMMYFUNCTION("""COMPUTED_VALUE"""),"")</f>
        <v/>
      </c>
      <c r="K489" s="51"/>
      <c r="L489" s="51" t="s">
        <v>257</v>
      </c>
      <c r="M489" s="51"/>
      <c r="N489" s="51"/>
      <c r="O489" s="51"/>
      <c r="P489" s="51"/>
      <c r="Q489" s="51"/>
      <c r="R489" s="51"/>
      <c r="S489" s="51"/>
      <c r="T489" s="51"/>
    </row>
    <row r="490">
      <c r="A490" s="51"/>
      <c r="B490" s="51"/>
      <c r="C490" s="56"/>
      <c r="D490" s="51"/>
      <c r="E490" s="51"/>
      <c r="F490" s="51"/>
      <c r="G490" s="51" t="str">
        <f>IFERROR(__xludf.DUMMYFUNCTION("""COMPUTED_VALUE"""),"#VALUE!")</f>
        <v>#VALUE!</v>
      </c>
      <c r="H490" s="51" t="str">
        <f>IFERROR(__xludf.DUMMYFUNCTION("""COMPUTED_VALUE"""),"")</f>
        <v/>
      </c>
      <c r="I490" s="51" t="str">
        <f>IFERROR(__xludf.DUMMYFUNCTION("""COMPUTED_VALUE"""),"#VALUE!")</f>
        <v>#VALUE!</v>
      </c>
      <c r="J490" s="51" t="str">
        <f>IFERROR(__xludf.DUMMYFUNCTION("""COMPUTED_VALUE"""),"")</f>
        <v/>
      </c>
      <c r="K490" s="51"/>
      <c r="L490" s="51" t="s">
        <v>257</v>
      </c>
      <c r="M490" s="51"/>
      <c r="N490" s="51"/>
      <c r="O490" s="51"/>
      <c r="P490" s="51"/>
      <c r="Q490" s="51"/>
      <c r="R490" s="51"/>
      <c r="S490" s="51"/>
      <c r="T490" s="51"/>
    </row>
    <row r="491">
      <c r="A491" s="51"/>
      <c r="B491" s="51"/>
      <c r="C491" s="56"/>
      <c r="D491" s="51"/>
      <c r="E491" s="51"/>
      <c r="F491" s="51"/>
      <c r="G491" s="51" t="str">
        <f>IFERROR(__xludf.DUMMYFUNCTION("""COMPUTED_VALUE"""),"#VALUE!")</f>
        <v>#VALUE!</v>
      </c>
      <c r="H491" s="51" t="str">
        <f>IFERROR(__xludf.DUMMYFUNCTION("""COMPUTED_VALUE"""),"")</f>
        <v/>
      </c>
      <c r="I491" s="51" t="str">
        <f>IFERROR(__xludf.DUMMYFUNCTION("""COMPUTED_VALUE"""),"#VALUE!")</f>
        <v>#VALUE!</v>
      </c>
      <c r="J491" s="51" t="str">
        <f>IFERROR(__xludf.DUMMYFUNCTION("""COMPUTED_VALUE"""),"")</f>
        <v/>
      </c>
      <c r="K491" s="51"/>
      <c r="L491" s="51" t="s">
        <v>257</v>
      </c>
      <c r="M491" s="51"/>
      <c r="N491" s="51"/>
      <c r="O491" s="51"/>
      <c r="P491" s="51"/>
      <c r="Q491" s="51"/>
      <c r="R491" s="51"/>
      <c r="S491" s="51"/>
      <c r="T491" s="51"/>
    </row>
    <row r="492">
      <c r="A492" s="51"/>
      <c r="B492" s="51"/>
      <c r="C492" s="56"/>
      <c r="D492" s="51"/>
      <c r="E492" s="51"/>
      <c r="F492" s="51"/>
      <c r="G492" s="51" t="str">
        <f>IFERROR(__xludf.DUMMYFUNCTION("""COMPUTED_VALUE"""),"#VALUE!")</f>
        <v>#VALUE!</v>
      </c>
      <c r="H492" s="51" t="str">
        <f>IFERROR(__xludf.DUMMYFUNCTION("""COMPUTED_VALUE"""),"")</f>
        <v/>
      </c>
      <c r="I492" s="51" t="str">
        <f>IFERROR(__xludf.DUMMYFUNCTION("""COMPUTED_VALUE"""),"#VALUE!")</f>
        <v>#VALUE!</v>
      </c>
      <c r="J492" s="51" t="str">
        <f>IFERROR(__xludf.DUMMYFUNCTION("""COMPUTED_VALUE"""),"")</f>
        <v/>
      </c>
      <c r="K492" s="51"/>
      <c r="L492" s="51" t="s">
        <v>257</v>
      </c>
      <c r="M492" s="51"/>
      <c r="N492" s="51"/>
      <c r="O492" s="51"/>
      <c r="P492" s="51"/>
      <c r="Q492" s="51"/>
      <c r="R492" s="51"/>
      <c r="S492" s="51"/>
      <c r="T492" s="51"/>
    </row>
    <row r="493">
      <c r="A493" s="51"/>
      <c r="B493" s="51"/>
      <c r="C493" s="56"/>
      <c r="D493" s="51"/>
      <c r="E493" s="51"/>
      <c r="F493" s="51"/>
      <c r="G493" s="51" t="str">
        <f>IFERROR(__xludf.DUMMYFUNCTION("""COMPUTED_VALUE"""),"#VALUE!")</f>
        <v>#VALUE!</v>
      </c>
      <c r="H493" s="51" t="str">
        <f>IFERROR(__xludf.DUMMYFUNCTION("""COMPUTED_VALUE"""),"")</f>
        <v/>
      </c>
      <c r="I493" s="51" t="str">
        <f>IFERROR(__xludf.DUMMYFUNCTION("""COMPUTED_VALUE"""),"#VALUE!")</f>
        <v>#VALUE!</v>
      </c>
      <c r="J493" s="51" t="str">
        <f>IFERROR(__xludf.DUMMYFUNCTION("""COMPUTED_VALUE"""),"")</f>
        <v/>
      </c>
      <c r="K493" s="51"/>
      <c r="L493" s="51" t="s">
        <v>257</v>
      </c>
      <c r="M493" s="51"/>
      <c r="N493" s="51"/>
      <c r="O493" s="51"/>
      <c r="P493" s="51"/>
      <c r="Q493" s="51"/>
      <c r="R493" s="51"/>
      <c r="S493" s="51"/>
      <c r="T493" s="51"/>
    </row>
    <row r="494">
      <c r="A494" s="51"/>
      <c r="B494" s="51"/>
      <c r="C494" s="56"/>
      <c r="D494" s="51"/>
      <c r="E494" s="51"/>
      <c r="F494" s="51"/>
      <c r="G494" s="51" t="str">
        <f>IFERROR(__xludf.DUMMYFUNCTION("""COMPUTED_VALUE"""),"#VALUE!")</f>
        <v>#VALUE!</v>
      </c>
      <c r="H494" s="51" t="str">
        <f>IFERROR(__xludf.DUMMYFUNCTION("""COMPUTED_VALUE"""),"")</f>
        <v/>
      </c>
      <c r="I494" s="51" t="str">
        <f>IFERROR(__xludf.DUMMYFUNCTION("""COMPUTED_VALUE"""),"#VALUE!")</f>
        <v>#VALUE!</v>
      </c>
      <c r="J494" s="51" t="str">
        <f>IFERROR(__xludf.DUMMYFUNCTION("""COMPUTED_VALUE"""),"")</f>
        <v/>
      </c>
      <c r="K494" s="51"/>
      <c r="L494" s="51" t="s">
        <v>257</v>
      </c>
      <c r="M494" s="51"/>
      <c r="N494" s="51"/>
      <c r="O494" s="51"/>
      <c r="P494" s="51"/>
      <c r="Q494" s="51"/>
      <c r="R494" s="51"/>
      <c r="S494" s="51"/>
      <c r="T494" s="51"/>
    </row>
    <row r="495">
      <c r="A495" s="51"/>
      <c r="B495" s="51"/>
      <c r="C495" s="56"/>
      <c r="D495" s="51"/>
      <c r="E495" s="51"/>
      <c r="F495" s="51"/>
      <c r="G495" s="51" t="str">
        <f>IFERROR(__xludf.DUMMYFUNCTION("""COMPUTED_VALUE"""),"#VALUE!")</f>
        <v>#VALUE!</v>
      </c>
      <c r="H495" s="51" t="str">
        <f>IFERROR(__xludf.DUMMYFUNCTION("""COMPUTED_VALUE"""),"")</f>
        <v/>
      </c>
      <c r="I495" s="51" t="str">
        <f>IFERROR(__xludf.DUMMYFUNCTION("""COMPUTED_VALUE"""),"#VALUE!")</f>
        <v>#VALUE!</v>
      </c>
      <c r="J495" s="51" t="str">
        <f>IFERROR(__xludf.DUMMYFUNCTION("""COMPUTED_VALUE"""),"")</f>
        <v/>
      </c>
      <c r="K495" s="51"/>
      <c r="L495" s="51" t="s">
        <v>257</v>
      </c>
      <c r="M495" s="51"/>
      <c r="N495" s="51"/>
      <c r="O495" s="51"/>
      <c r="P495" s="51"/>
      <c r="Q495" s="51"/>
      <c r="R495" s="51"/>
      <c r="S495" s="51"/>
      <c r="T495" s="51"/>
    </row>
    <row r="496">
      <c r="A496" s="51"/>
      <c r="B496" s="51"/>
      <c r="C496" s="56"/>
      <c r="D496" s="51"/>
      <c r="E496" s="51"/>
      <c r="F496" s="51"/>
      <c r="G496" s="51" t="str">
        <f>IFERROR(__xludf.DUMMYFUNCTION("""COMPUTED_VALUE"""),"#VALUE!")</f>
        <v>#VALUE!</v>
      </c>
      <c r="H496" s="51" t="str">
        <f>IFERROR(__xludf.DUMMYFUNCTION("""COMPUTED_VALUE"""),"")</f>
        <v/>
      </c>
      <c r="I496" s="51" t="str">
        <f>IFERROR(__xludf.DUMMYFUNCTION("""COMPUTED_VALUE"""),"#VALUE!")</f>
        <v>#VALUE!</v>
      </c>
      <c r="J496" s="51" t="str">
        <f>IFERROR(__xludf.DUMMYFUNCTION("""COMPUTED_VALUE"""),"")</f>
        <v/>
      </c>
      <c r="K496" s="51"/>
      <c r="L496" s="51" t="s">
        <v>257</v>
      </c>
      <c r="M496" s="51"/>
      <c r="N496" s="51"/>
      <c r="O496" s="51"/>
      <c r="P496" s="51"/>
      <c r="Q496" s="51"/>
      <c r="R496" s="51"/>
      <c r="S496" s="51"/>
      <c r="T496" s="51"/>
    </row>
    <row r="497">
      <c r="A497" s="51"/>
      <c r="B497" s="51"/>
      <c r="C497" s="56"/>
      <c r="D497" s="51"/>
      <c r="E497" s="51"/>
      <c r="F497" s="51"/>
      <c r="G497" s="51" t="str">
        <f>IFERROR(__xludf.DUMMYFUNCTION("""COMPUTED_VALUE"""),"#VALUE!")</f>
        <v>#VALUE!</v>
      </c>
      <c r="H497" s="51" t="str">
        <f>IFERROR(__xludf.DUMMYFUNCTION("""COMPUTED_VALUE"""),"")</f>
        <v/>
      </c>
      <c r="I497" s="51" t="str">
        <f>IFERROR(__xludf.DUMMYFUNCTION("""COMPUTED_VALUE"""),"#VALUE!")</f>
        <v>#VALUE!</v>
      </c>
      <c r="J497" s="51" t="str">
        <f>IFERROR(__xludf.DUMMYFUNCTION("""COMPUTED_VALUE"""),"")</f>
        <v/>
      </c>
      <c r="K497" s="51"/>
      <c r="L497" s="51" t="s">
        <v>257</v>
      </c>
      <c r="M497" s="51"/>
      <c r="N497" s="51"/>
      <c r="O497" s="51"/>
      <c r="P497" s="51"/>
      <c r="Q497" s="51"/>
      <c r="R497" s="51"/>
      <c r="S497" s="51"/>
      <c r="T497" s="51"/>
    </row>
    <row r="498">
      <c r="A498" s="51"/>
      <c r="B498" s="51"/>
      <c r="C498" s="56"/>
      <c r="D498" s="51"/>
      <c r="E498" s="51"/>
      <c r="F498" s="51"/>
      <c r="G498" s="51" t="str">
        <f>IFERROR(__xludf.DUMMYFUNCTION("""COMPUTED_VALUE"""),"#VALUE!")</f>
        <v>#VALUE!</v>
      </c>
      <c r="H498" s="51" t="str">
        <f>IFERROR(__xludf.DUMMYFUNCTION("""COMPUTED_VALUE"""),"")</f>
        <v/>
      </c>
      <c r="I498" s="51" t="str">
        <f>IFERROR(__xludf.DUMMYFUNCTION("""COMPUTED_VALUE"""),"#VALUE!")</f>
        <v>#VALUE!</v>
      </c>
      <c r="J498" s="51" t="str">
        <f>IFERROR(__xludf.DUMMYFUNCTION("""COMPUTED_VALUE"""),"")</f>
        <v/>
      </c>
      <c r="K498" s="51"/>
      <c r="L498" s="51" t="s">
        <v>257</v>
      </c>
      <c r="M498" s="51"/>
      <c r="N498" s="51"/>
      <c r="O498" s="51"/>
      <c r="P498" s="51"/>
      <c r="Q498" s="51"/>
      <c r="R498" s="51"/>
      <c r="S498" s="51"/>
      <c r="T498" s="51"/>
    </row>
    <row r="499">
      <c r="A499" s="51"/>
      <c r="B499" s="51"/>
      <c r="C499" s="56"/>
      <c r="D499" s="51"/>
      <c r="E499" s="51"/>
      <c r="F499" s="51"/>
      <c r="G499" s="51" t="str">
        <f>IFERROR(__xludf.DUMMYFUNCTION("""COMPUTED_VALUE"""),"#VALUE!")</f>
        <v>#VALUE!</v>
      </c>
      <c r="H499" s="51" t="str">
        <f>IFERROR(__xludf.DUMMYFUNCTION("""COMPUTED_VALUE"""),"")</f>
        <v/>
      </c>
      <c r="I499" s="51" t="str">
        <f>IFERROR(__xludf.DUMMYFUNCTION("""COMPUTED_VALUE"""),"#VALUE!")</f>
        <v>#VALUE!</v>
      </c>
      <c r="J499" s="51" t="str">
        <f>IFERROR(__xludf.DUMMYFUNCTION("""COMPUTED_VALUE"""),"")</f>
        <v/>
      </c>
      <c r="K499" s="51"/>
      <c r="L499" s="51" t="s">
        <v>257</v>
      </c>
      <c r="M499" s="51"/>
      <c r="N499" s="51"/>
      <c r="O499" s="51"/>
      <c r="P499" s="51"/>
      <c r="Q499" s="51"/>
      <c r="R499" s="51"/>
      <c r="S499" s="51"/>
      <c r="T499" s="51"/>
    </row>
    <row r="500">
      <c r="A500" s="51"/>
      <c r="B500" s="51"/>
      <c r="C500" s="56"/>
      <c r="D500" s="51"/>
      <c r="E500" s="51"/>
      <c r="F500" s="51"/>
      <c r="G500" s="51" t="str">
        <f>IFERROR(__xludf.DUMMYFUNCTION("""COMPUTED_VALUE"""),"#VALUE!")</f>
        <v>#VALUE!</v>
      </c>
      <c r="H500" s="51" t="str">
        <f>IFERROR(__xludf.DUMMYFUNCTION("""COMPUTED_VALUE"""),"")</f>
        <v/>
      </c>
      <c r="I500" s="51" t="str">
        <f>IFERROR(__xludf.DUMMYFUNCTION("""COMPUTED_VALUE"""),"#VALUE!")</f>
        <v>#VALUE!</v>
      </c>
      <c r="J500" s="51" t="str">
        <f>IFERROR(__xludf.DUMMYFUNCTION("""COMPUTED_VALUE"""),"")</f>
        <v/>
      </c>
      <c r="K500" s="51"/>
      <c r="L500" s="51" t="s">
        <v>257</v>
      </c>
      <c r="M500" s="51"/>
      <c r="N500" s="51"/>
      <c r="O500" s="51"/>
      <c r="P500" s="51"/>
      <c r="Q500" s="51"/>
      <c r="R500" s="51"/>
      <c r="S500" s="51"/>
      <c r="T500" s="51"/>
    </row>
    <row r="501">
      <c r="A501" s="51"/>
      <c r="B501" s="51"/>
      <c r="C501" s="56"/>
      <c r="D501" s="51"/>
      <c r="E501" s="51"/>
      <c r="F501" s="51"/>
      <c r="G501" s="51" t="str">
        <f>IFERROR(__xludf.DUMMYFUNCTION("""COMPUTED_VALUE"""),"#VALUE!")</f>
        <v>#VALUE!</v>
      </c>
      <c r="H501" s="51" t="str">
        <f>IFERROR(__xludf.DUMMYFUNCTION("""COMPUTED_VALUE"""),"")</f>
        <v/>
      </c>
      <c r="I501" s="51" t="str">
        <f>IFERROR(__xludf.DUMMYFUNCTION("""COMPUTED_VALUE"""),"#VALUE!")</f>
        <v>#VALUE!</v>
      </c>
      <c r="J501" s="51" t="str">
        <f>IFERROR(__xludf.DUMMYFUNCTION("""COMPUTED_VALUE"""),"")</f>
        <v/>
      </c>
      <c r="K501" s="51"/>
      <c r="L501" s="51" t="s">
        <v>257</v>
      </c>
      <c r="M501" s="51"/>
      <c r="N501" s="51"/>
      <c r="O501" s="51"/>
      <c r="P501" s="51"/>
      <c r="Q501" s="51"/>
      <c r="R501" s="51"/>
      <c r="S501" s="51"/>
      <c r="T501" s="51"/>
    </row>
    <row r="502">
      <c r="A502" s="51"/>
      <c r="B502" s="51"/>
      <c r="C502" s="56"/>
      <c r="D502" s="51"/>
      <c r="E502" s="51"/>
      <c r="F502" s="51"/>
      <c r="G502" s="51" t="str">
        <f>IFERROR(__xludf.DUMMYFUNCTION("""COMPUTED_VALUE"""),"#VALUE!")</f>
        <v>#VALUE!</v>
      </c>
      <c r="H502" s="51" t="str">
        <f>IFERROR(__xludf.DUMMYFUNCTION("""COMPUTED_VALUE"""),"")</f>
        <v/>
      </c>
      <c r="I502" s="51" t="str">
        <f>IFERROR(__xludf.DUMMYFUNCTION("""COMPUTED_VALUE"""),"#VALUE!")</f>
        <v>#VALUE!</v>
      </c>
      <c r="J502" s="51" t="str">
        <f>IFERROR(__xludf.DUMMYFUNCTION("""COMPUTED_VALUE"""),"")</f>
        <v/>
      </c>
      <c r="K502" s="51"/>
      <c r="L502" s="51" t="s">
        <v>257</v>
      </c>
      <c r="M502" s="51"/>
      <c r="N502" s="51"/>
      <c r="O502" s="51"/>
      <c r="P502" s="51"/>
      <c r="Q502" s="51"/>
      <c r="R502" s="51"/>
      <c r="S502" s="51"/>
      <c r="T502" s="51"/>
    </row>
    <row r="503">
      <c r="A503" s="51"/>
      <c r="B503" s="51"/>
      <c r="C503" s="56"/>
      <c r="D503" s="51"/>
      <c r="E503" s="51"/>
      <c r="F503" s="51"/>
      <c r="G503" s="51" t="str">
        <f>IFERROR(__xludf.DUMMYFUNCTION("""COMPUTED_VALUE"""),"#VALUE!")</f>
        <v>#VALUE!</v>
      </c>
      <c r="H503" s="51" t="str">
        <f>IFERROR(__xludf.DUMMYFUNCTION("""COMPUTED_VALUE"""),"")</f>
        <v/>
      </c>
      <c r="I503" s="51" t="str">
        <f>IFERROR(__xludf.DUMMYFUNCTION("""COMPUTED_VALUE"""),"#VALUE!")</f>
        <v>#VALUE!</v>
      </c>
      <c r="J503" s="51" t="str">
        <f>IFERROR(__xludf.DUMMYFUNCTION("""COMPUTED_VALUE"""),"")</f>
        <v/>
      </c>
      <c r="K503" s="51"/>
      <c r="L503" s="51" t="s">
        <v>257</v>
      </c>
      <c r="M503" s="51"/>
      <c r="N503" s="51"/>
      <c r="O503" s="51"/>
      <c r="P503" s="51"/>
      <c r="Q503" s="51"/>
      <c r="R503" s="51"/>
      <c r="S503" s="51"/>
      <c r="T503" s="51"/>
    </row>
    <row r="504">
      <c r="A504" s="51"/>
      <c r="B504" s="51"/>
      <c r="C504" s="56"/>
      <c r="D504" s="51"/>
      <c r="E504" s="51"/>
      <c r="F504" s="51"/>
      <c r="G504" s="51" t="str">
        <f>IFERROR(__xludf.DUMMYFUNCTION("""COMPUTED_VALUE"""),"#VALUE!")</f>
        <v>#VALUE!</v>
      </c>
      <c r="H504" s="51" t="str">
        <f>IFERROR(__xludf.DUMMYFUNCTION("""COMPUTED_VALUE"""),"")</f>
        <v/>
      </c>
      <c r="I504" s="51" t="str">
        <f>IFERROR(__xludf.DUMMYFUNCTION("""COMPUTED_VALUE"""),"#VALUE!")</f>
        <v>#VALUE!</v>
      </c>
      <c r="J504" s="51" t="str">
        <f>IFERROR(__xludf.DUMMYFUNCTION("""COMPUTED_VALUE"""),"")</f>
        <v/>
      </c>
      <c r="K504" s="51"/>
      <c r="L504" s="51" t="s">
        <v>257</v>
      </c>
      <c r="M504" s="51"/>
      <c r="N504" s="51"/>
      <c r="O504" s="51"/>
      <c r="P504" s="51"/>
      <c r="Q504" s="51"/>
      <c r="R504" s="51"/>
      <c r="S504" s="51"/>
      <c r="T504" s="51"/>
    </row>
    <row r="505">
      <c r="A505" s="51"/>
      <c r="B505" s="51"/>
      <c r="C505" s="56"/>
      <c r="D505" s="51"/>
      <c r="E505" s="51"/>
      <c r="F505" s="51"/>
      <c r="G505" s="51" t="str">
        <f>IFERROR(__xludf.DUMMYFUNCTION("""COMPUTED_VALUE"""),"#VALUE!")</f>
        <v>#VALUE!</v>
      </c>
      <c r="H505" s="51" t="str">
        <f>IFERROR(__xludf.DUMMYFUNCTION("""COMPUTED_VALUE"""),"")</f>
        <v/>
      </c>
      <c r="I505" s="51" t="str">
        <f>IFERROR(__xludf.DUMMYFUNCTION("""COMPUTED_VALUE"""),"#VALUE!")</f>
        <v>#VALUE!</v>
      </c>
      <c r="J505" s="51" t="str">
        <f>IFERROR(__xludf.DUMMYFUNCTION("""COMPUTED_VALUE"""),"")</f>
        <v/>
      </c>
      <c r="K505" s="51"/>
      <c r="L505" s="51" t="s">
        <v>257</v>
      </c>
      <c r="M505" s="51"/>
      <c r="N505" s="51"/>
      <c r="O505" s="51"/>
      <c r="P505" s="51"/>
      <c r="Q505" s="51"/>
      <c r="R505" s="51"/>
      <c r="S505" s="51"/>
      <c r="T505" s="51"/>
    </row>
    <row r="506">
      <c r="A506" s="51"/>
      <c r="B506" s="51"/>
      <c r="C506" s="56"/>
      <c r="D506" s="51"/>
      <c r="E506" s="51"/>
      <c r="F506" s="51"/>
      <c r="G506" s="51" t="str">
        <f>IFERROR(__xludf.DUMMYFUNCTION("""COMPUTED_VALUE"""),"#VALUE!")</f>
        <v>#VALUE!</v>
      </c>
      <c r="H506" s="51" t="str">
        <f>IFERROR(__xludf.DUMMYFUNCTION("""COMPUTED_VALUE"""),"")</f>
        <v/>
      </c>
      <c r="I506" s="51" t="str">
        <f>IFERROR(__xludf.DUMMYFUNCTION("""COMPUTED_VALUE"""),"#VALUE!")</f>
        <v>#VALUE!</v>
      </c>
      <c r="J506" s="51" t="str">
        <f>IFERROR(__xludf.DUMMYFUNCTION("""COMPUTED_VALUE"""),"")</f>
        <v/>
      </c>
      <c r="K506" s="51"/>
      <c r="L506" s="51" t="s">
        <v>257</v>
      </c>
      <c r="M506" s="51"/>
      <c r="N506" s="51"/>
      <c r="O506" s="51"/>
      <c r="P506" s="51"/>
      <c r="Q506" s="51"/>
      <c r="R506" s="51"/>
      <c r="S506" s="51"/>
      <c r="T506" s="51"/>
    </row>
    <row r="507">
      <c r="A507" s="51"/>
      <c r="B507" s="51"/>
      <c r="C507" s="56"/>
      <c r="D507" s="51"/>
      <c r="E507" s="51"/>
      <c r="F507" s="51"/>
      <c r="G507" s="51" t="str">
        <f>IFERROR(__xludf.DUMMYFUNCTION("""COMPUTED_VALUE"""),"#VALUE!")</f>
        <v>#VALUE!</v>
      </c>
      <c r="H507" s="51" t="str">
        <f>IFERROR(__xludf.DUMMYFUNCTION("""COMPUTED_VALUE"""),"")</f>
        <v/>
      </c>
      <c r="I507" s="51" t="str">
        <f>IFERROR(__xludf.DUMMYFUNCTION("""COMPUTED_VALUE"""),"#VALUE!")</f>
        <v>#VALUE!</v>
      </c>
      <c r="J507" s="51" t="str">
        <f>IFERROR(__xludf.DUMMYFUNCTION("""COMPUTED_VALUE"""),"")</f>
        <v/>
      </c>
      <c r="K507" s="51"/>
      <c r="L507" s="51" t="s">
        <v>257</v>
      </c>
      <c r="M507" s="51"/>
      <c r="N507" s="51"/>
      <c r="O507" s="51"/>
      <c r="P507" s="51"/>
      <c r="Q507" s="51"/>
      <c r="R507" s="51"/>
      <c r="S507" s="51"/>
      <c r="T507" s="51"/>
    </row>
    <row r="508">
      <c r="A508" s="51"/>
      <c r="B508" s="51"/>
      <c r="C508" s="56"/>
      <c r="D508" s="51"/>
      <c r="E508" s="51"/>
      <c r="F508" s="51"/>
      <c r="G508" s="51" t="str">
        <f>IFERROR(__xludf.DUMMYFUNCTION("""COMPUTED_VALUE"""),"#VALUE!")</f>
        <v>#VALUE!</v>
      </c>
      <c r="H508" s="51" t="str">
        <f>IFERROR(__xludf.DUMMYFUNCTION("""COMPUTED_VALUE"""),"")</f>
        <v/>
      </c>
      <c r="I508" s="51" t="str">
        <f>IFERROR(__xludf.DUMMYFUNCTION("""COMPUTED_VALUE"""),"#VALUE!")</f>
        <v>#VALUE!</v>
      </c>
      <c r="J508" s="51" t="str">
        <f>IFERROR(__xludf.DUMMYFUNCTION("""COMPUTED_VALUE"""),"")</f>
        <v/>
      </c>
      <c r="K508" s="51"/>
      <c r="L508" s="51" t="s">
        <v>257</v>
      </c>
      <c r="M508" s="51"/>
      <c r="N508" s="51"/>
      <c r="O508" s="51"/>
      <c r="P508" s="51"/>
      <c r="Q508" s="51"/>
      <c r="R508" s="51"/>
      <c r="S508" s="51"/>
      <c r="T508" s="51"/>
    </row>
    <row r="509">
      <c r="A509" s="51"/>
      <c r="B509" s="51"/>
      <c r="C509" s="56"/>
      <c r="D509" s="51"/>
      <c r="E509" s="51"/>
      <c r="F509" s="51"/>
      <c r="G509" s="51" t="str">
        <f>IFERROR(__xludf.DUMMYFUNCTION("""COMPUTED_VALUE"""),"#VALUE!")</f>
        <v>#VALUE!</v>
      </c>
      <c r="H509" s="51" t="str">
        <f>IFERROR(__xludf.DUMMYFUNCTION("""COMPUTED_VALUE"""),"")</f>
        <v/>
      </c>
      <c r="I509" s="51" t="str">
        <f>IFERROR(__xludf.DUMMYFUNCTION("""COMPUTED_VALUE"""),"#VALUE!")</f>
        <v>#VALUE!</v>
      </c>
      <c r="J509" s="51" t="str">
        <f>IFERROR(__xludf.DUMMYFUNCTION("""COMPUTED_VALUE"""),"")</f>
        <v/>
      </c>
      <c r="K509" s="51"/>
      <c r="L509" s="51" t="s">
        <v>257</v>
      </c>
      <c r="M509" s="51"/>
      <c r="N509" s="51"/>
      <c r="O509" s="51"/>
      <c r="P509" s="51"/>
      <c r="Q509" s="51"/>
      <c r="R509" s="51"/>
      <c r="S509" s="51"/>
      <c r="T509" s="51"/>
    </row>
    <row r="510">
      <c r="A510" s="51"/>
      <c r="B510" s="51"/>
      <c r="C510" s="56"/>
      <c r="D510" s="51"/>
      <c r="E510" s="51"/>
      <c r="F510" s="51"/>
      <c r="G510" s="51" t="str">
        <f>IFERROR(__xludf.DUMMYFUNCTION("""COMPUTED_VALUE"""),"#VALUE!")</f>
        <v>#VALUE!</v>
      </c>
      <c r="H510" s="51" t="str">
        <f>IFERROR(__xludf.DUMMYFUNCTION("""COMPUTED_VALUE"""),"")</f>
        <v/>
      </c>
      <c r="I510" s="51" t="str">
        <f>IFERROR(__xludf.DUMMYFUNCTION("""COMPUTED_VALUE"""),"#VALUE!")</f>
        <v>#VALUE!</v>
      </c>
      <c r="J510" s="51" t="str">
        <f>IFERROR(__xludf.DUMMYFUNCTION("""COMPUTED_VALUE"""),"")</f>
        <v/>
      </c>
      <c r="K510" s="51"/>
      <c r="L510" s="51" t="s">
        <v>257</v>
      </c>
      <c r="M510" s="51"/>
      <c r="N510" s="51"/>
      <c r="O510" s="51"/>
      <c r="P510" s="51"/>
      <c r="Q510" s="51"/>
      <c r="R510" s="51"/>
      <c r="S510" s="51"/>
      <c r="T510" s="51"/>
    </row>
    <row r="511">
      <c r="A511" s="51"/>
      <c r="B511" s="51"/>
      <c r="C511" s="56"/>
      <c r="D511" s="51"/>
      <c r="E511" s="51"/>
      <c r="F511" s="51"/>
      <c r="G511" s="51" t="str">
        <f>IFERROR(__xludf.DUMMYFUNCTION("""COMPUTED_VALUE"""),"#VALUE!")</f>
        <v>#VALUE!</v>
      </c>
      <c r="H511" s="51" t="str">
        <f>IFERROR(__xludf.DUMMYFUNCTION("""COMPUTED_VALUE"""),"")</f>
        <v/>
      </c>
      <c r="I511" s="51" t="str">
        <f>IFERROR(__xludf.DUMMYFUNCTION("""COMPUTED_VALUE"""),"#VALUE!")</f>
        <v>#VALUE!</v>
      </c>
      <c r="J511" s="51" t="str">
        <f>IFERROR(__xludf.DUMMYFUNCTION("""COMPUTED_VALUE"""),"")</f>
        <v/>
      </c>
      <c r="K511" s="51"/>
      <c r="L511" s="51" t="s">
        <v>257</v>
      </c>
      <c r="M511" s="51"/>
      <c r="N511" s="51"/>
      <c r="O511" s="51"/>
      <c r="P511" s="51"/>
      <c r="Q511" s="51"/>
      <c r="R511" s="51"/>
      <c r="S511" s="51"/>
      <c r="T511" s="51"/>
    </row>
    <row r="512">
      <c r="A512" s="51"/>
      <c r="B512" s="51"/>
      <c r="C512" s="56"/>
      <c r="D512" s="51"/>
      <c r="E512" s="51"/>
      <c r="F512" s="51"/>
      <c r="G512" s="51" t="str">
        <f>IFERROR(__xludf.DUMMYFUNCTION("""COMPUTED_VALUE"""),"#VALUE!")</f>
        <v>#VALUE!</v>
      </c>
      <c r="H512" s="51" t="str">
        <f>IFERROR(__xludf.DUMMYFUNCTION("""COMPUTED_VALUE"""),"")</f>
        <v/>
      </c>
      <c r="I512" s="51" t="str">
        <f>IFERROR(__xludf.DUMMYFUNCTION("""COMPUTED_VALUE"""),"#VALUE!")</f>
        <v>#VALUE!</v>
      </c>
      <c r="J512" s="51" t="str">
        <f>IFERROR(__xludf.DUMMYFUNCTION("""COMPUTED_VALUE"""),"")</f>
        <v/>
      </c>
      <c r="K512" s="51"/>
      <c r="L512" s="51" t="s">
        <v>257</v>
      </c>
      <c r="M512" s="51"/>
      <c r="N512" s="51"/>
      <c r="O512" s="51"/>
      <c r="P512" s="51"/>
      <c r="Q512" s="51"/>
      <c r="R512" s="51"/>
      <c r="S512" s="51"/>
      <c r="T512" s="51"/>
    </row>
    <row r="513">
      <c r="A513" s="51"/>
      <c r="B513" s="51"/>
      <c r="C513" s="56"/>
      <c r="D513" s="51"/>
      <c r="E513" s="51"/>
      <c r="F513" s="51"/>
      <c r="G513" s="51" t="str">
        <f>IFERROR(__xludf.DUMMYFUNCTION("""COMPUTED_VALUE"""),"#VALUE!")</f>
        <v>#VALUE!</v>
      </c>
      <c r="H513" s="51" t="str">
        <f>IFERROR(__xludf.DUMMYFUNCTION("""COMPUTED_VALUE"""),"")</f>
        <v/>
      </c>
      <c r="I513" s="51" t="str">
        <f>IFERROR(__xludf.DUMMYFUNCTION("""COMPUTED_VALUE"""),"#VALUE!")</f>
        <v>#VALUE!</v>
      </c>
      <c r="J513" s="51" t="str">
        <f>IFERROR(__xludf.DUMMYFUNCTION("""COMPUTED_VALUE"""),"")</f>
        <v/>
      </c>
      <c r="K513" s="51"/>
      <c r="L513" s="51" t="s">
        <v>257</v>
      </c>
      <c r="M513" s="51"/>
      <c r="N513" s="51"/>
      <c r="O513" s="51"/>
      <c r="P513" s="51"/>
      <c r="Q513" s="51"/>
      <c r="R513" s="51"/>
      <c r="S513" s="51"/>
      <c r="T513" s="51"/>
    </row>
    <row r="514">
      <c r="A514" s="51"/>
      <c r="B514" s="51"/>
      <c r="C514" s="56"/>
      <c r="D514" s="51"/>
      <c r="E514" s="51"/>
      <c r="F514" s="51"/>
      <c r="G514" s="51" t="str">
        <f>IFERROR(__xludf.DUMMYFUNCTION("""COMPUTED_VALUE"""),"#VALUE!")</f>
        <v>#VALUE!</v>
      </c>
      <c r="H514" s="51" t="str">
        <f>IFERROR(__xludf.DUMMYFUNCTION("""COMPUTED_VALUE"""),"")</f>
        <v/>
      </c>
      <c r="I514" s="51" t="str">
        <f>IFERROR(__xludf.DUMMYFUNCTION("""COMPUTED_VALUE"""),"#VALUE!")</f>
        <v>#VALUE!</v>
      </c>
      <c r="J514" s="51" t="str">
        <f>IFERROR(__xludf.DUMMYFUNCTION("""COMPUTED_VALUE"""),"")</f>
        <v/>
      </c>
      <c r="K514" s="51"/>
      <c r="L514" s="51" t="s">
        <v>257</v>
      </c>
      <c r="M514" s="51"/>
      <c r="N514" s="51"/>
      <c r="O514" s="51"/>
      <c r="P514" s="51"/>
      <c r="Q514" s="51"/>
      <c r="R514" s="51"/>
      <c r="S514" s="51"/>
      <c r="T514" s="51"/>
    </row>
    <row r="515">
      <c r="A515" s="51"/>
      <c r="B515" s="51"/>
      <c r="C515" s="56"/>
      <c r="D515" s="51"/>
      <c r="E515" s="51"/>
      <c r="F515" s="51"/>
      <c r="G515" s="51" t="str">
        <f>IFERROR(__xludf.DUMMYFUNCTION("""COMPUTED_VALUE"""),"#VALUE!")</f>
        <v>#VALUE!</v>
      </c>
      <c r="H515" s="51" t="str">
        <f>IFERROR(__xludf.DUMMYFUNCTION("""COMPUTED_VALUE"""),"")</f>
        <v/>
      </c>
      <c r="I515" s="51" t="str">
        <f>IFERROR(__xludf.DUMMYFUNCTION("""COMPUTED_VALUE"""),"#VALUE!")</f>
        <v>#VALUE!</v>
      </c>
      <c r="J515" s="51" t="str">
        <f>IFERROR(__xludf.DUMMYFUNCTION("""COMPUTED_VALUE"""),"")</f>
        <v/>
      </c>
      <c r="K515" s="51"/>
      <c r="L515" s="51" t="s">
        <v>257</v>
      </c>
      <c r="M515" s="51"/>
      <c r="N515" s="51"/>
      <c r="O515" s="51"/>
      <c r="P515" s="51"/>
      <c r="Q515" s="51"/>
      <c r="R515" s="51"/>
      <c r="S515" s="51"/>
      <c r="T515" s="51"/>
    </row>
    <row r="516">
      <c r="A516" s="51"/>
      <c r="B516" s="51"/>
      <c r="C516" s="56"/>
      <c r="D516" s="51"/>
      <c r="E516" s="51"/>
      <c r="F516" s="51"/>
      <c r="G516" s="51" t="str">
        <f>IFERROR(__xludf.DUMMYFUNCTION("""COMPUTED_VALUE"""),"#VALUE!")</f>
        <v>#VALUE!</v>
      </c>
      <c r="H516" s="51" t="str">
        <f>IFERROR(__xludf.DUMMYFUNCTION("""COMPUTED_VALUE"""),"")</f>
        <v/>
      </c>
      <c r="I516" s="51" t="str">
        <f>IFERROR(__xludf.DUMMYFUNCTION("""COMPUTED_VALUE"""),"#VALUE!")</f>
        <v>#VALUE!</v>
      </c>
      <c r="J516" s="51" t="str">
        <f>IFERROR(__xludf.DUMMYFUNCTION("""COMPUTED_VALUE"""),"")</f>
        <v/>
      </c>
      <c r="K516" s="51"/>
      <c r="L516" s="51" t="s">
        <v>257</v>
      </c>
      <c r="M516" s="51"/>
      <c r="N516" s="51"/>
      <c r="O516" s="51"/>
      <c r="P516" s="51"/>
      <c r="Q516" s="51"/>
      <c r="R516" s="51"/>
      <c r="S516" s="51"/>
      <c r="T516" s="51"/>
    </row>
    <row r="517">
      <c r="A517" s="51"/>
      <c r="B517" s="51"/>
      <c r="C517" s="56"/>
      <c r="D517" s="51"/>
      <c r="E517" s="51"/>
      <c r="F517" s="51"/>
      <c r="G517" s="51" t="str">
        <f>IFERROR(__xludf.DUMMYFUNCTION("""COMPUTED_VALUE"""),"#VALUE!")</f>
        <v>#VALUE!</v>
      </c>
      <c r="H517" s="51" t="str">
        <f>IFERROR(__xludf.DUMMYFUNCTION("""COMPUTED_VALUE"""),"")</f>
        <v/>
      </c>
      <c r="I517" s="51" t="str">
        <f>IFERROR(__xludf.DUMMYFUNCTION("""COMPUTED_VALUE"""),"#VALUE!")</f>
        <v>#VALUE!</v>
      </c>
      <c r="J517" s="51" t="str">
        <f>IFERROR(__xludf.DUMMYFUNCTION("""COMPUTED_VALUE"""),"")</f>
        <v/>
      </c>
      <c r="K517" s="51"/>
      <c r="L517" s="51" t="s">
        <v>257</v>
      </c>
      <c r="M517" s="51"/>
      <c r="N517" s="51"/>
      <c r="O517" s="51"/>
      <c r="P517" s="51"/>
      <c r="Q517" s="51"/>
      <c r="R517" s="51"/>
      <c r="S517" s="51"/>
      <c r="T517" s="51"/>
    </row>
    <row r="518">
      <c r="A518" s="51"/>
      <c r="B518" s="51"/>
      <c r="C518" s="56"/>
      <c r="D518" s="51"/>
      <c r="E518" s="51"/>
      <c r="F518" s="51"/>
      <c r="G518" s="51" t="str">
        <f>IFERROR(__xludf.DUMMYFUNCTION("""COMPUTED_VALUE"""),"#VALUE!")</f>
        <v>#VALUE!</v>
      </c>
      <c r="H518" s="51" t="str">
        <f>IFERROR(__xludf.DUMMYFUNCTION("""COMPUTED_VALUE"""),"")</f>
        <v/>
      </c>
      <c r="I518" s="51" t="str">
        <f>IFERROR(__xludf.DUMMYFUNCTION("""COMPUTED_VALUE"""),"#VALUE!")</f>
        <v>#VALUE!</v>
      </c>
      <c r="J518" s="51" t="str">
        <f>IFERROR(__xludf.DUMMYFUNCTION("""COMPUTED_VALUE"""),"")</f>
        <v/>
      </c>
      <c r="K518" s="51"/>
      <c r="L518" s="51" t="s">
        <v>257</v>
      </c>
      <c r="M518" s="51"/>
      <c r="N518" s="51"/>
      <c r="O518" s="51"/>
      <c r="P518" s="51"/>
      <c r="Q518" s="51"/>
      <c r="R518" s="51"/>
      <c r="S518" s="51"/>
      <c r="T518" s="51"/>
    </row>
    <row r="519">
      <c r="A519" s="51"/>
      <c r="B519" s="51"/>
      <c r="C519" s="56"/>
      <c r="D519" s="51"/>
      <c r="E519" s="51"/>
      <c r="F519" s="51"/>
      <c r="G519" s="51" t="str">
        <f>IFERROR(__xludf.DUMMYFUNCTION("""COMPUTED_VALUE"""),"#VALUE!")</f>
        <v>#VALUE!</v>
      </c>
      <c r="H519" s="51" t="str">
        <f>IFERROR(__xludf.DUMMYFUNCTION("""COMPUTED_VALUE"""),"")</f>
        <v/>
      </c>
      <c r="I519" s="51" t="str">
        <f>IFERROR(__xludf.DUMMYFUNCTION("""COMPUTED_VALUE"""),"#VALUE!")</f>
        <v>#VALUE!</v>
      </c>
      <c r="J519" s="51" t="str">
        <f>IFERROR(__xludf.DUMMYFUNCTION("""COMPUTED_VALUE"""),"")</f>
        <v/>
      </c>
      <c r="K519" s="51"/>
      <c r="L519" s="51" t="s">
        <v>257</v>
      </c>
      <c r="M519" s="51"/>
      <c r="N519" s="51"/>
      <c r="O519" s="51"/>
      <c r="P519" s="51"/>
      <c r="Q519" s="51"/>
      <c r="R519" s="51"/>
      <c r="S519" s="51"/>
      <c r="T519" s="51"/>
    </row>
    <row r="520">
      <c r="A520" s="51"/>
      <c r="B520" s="51"/>
      <c r="C520" s="56"/>
      <c r="D520" s="51"/>
      <c r="E520" s="51"/>
      <c r="F520" s="51"/>
      <c r="G520" s="51" t="str">
        <f>IFERROR(__xludf.DUMMYFUNCTION("""COMPUTED_VALUE"""),"#VALUE!")</f>
        <v>#VALUE!</v>
      </c>
      <c r="H520" s="51" t="str">
        <f>IFERROR(__xludf.DUMMYFUNCTION("""COMPUTED_VALUE"""),"")</f>
        <v/>
      </c>
      <c r="I520" s="51" t="str">
        <f>IFERROR(__xludf.DUMMYFUNCTION("""COMPUTED_VALUE"""),"#VALUE!")</f>
        <v>#VALUE!</v>
      </c>
      <c r="J520" s="51" t="str">
        <f>IFERROR(__xludf.DUMMYFUNCTION("""COMPUTED_VALUE"""),"")</f>
        <v/>
      </c>
      <c r="K520" s="51"/>
      <c r="L520" s="51" t="s">
        <v>257</v>
      </c>
      <c r="M520" s="51"/>
      <c r="N520" s="51"/>
      <c r="O520" s="51"/>
      <c r="P520" s="51"/>
      <c r="Q520" s="51"/>
      <c r="R520" s="51"/>
      <c r="S520" s="51"/>
      <c r="T520" s="51"/>
    </row>
    <row r="521">
      <c r="A521" s="51"/>
      <c r="B521" s="51"/>
      <c r="C521" s="56"/>
      <c r="D521" s="51"/>
      <c r="E521" s="51"/>
      <c r="F521" s="51"/>
      <c r="G521" s="51" t="str">
        <f>IFERROR(__xludf.DUMMYFUNCTION("""COMPUTED_VALUE"""),"#VALUE!")</f>
        <v>#VALUE!</v>
      </c>
      <c r="H521" s="51" t="str">
        <f>IFERROR(__xludf.DUMMYFUNCTION("""COMPUTED_VALUE"""),"")</f>
        <v/>
      </c>
      <c r="I521" s="51" t="str">
        <f>IFERROR(__xludf.DUMMYFUNCTION("""COMPUTED_VALUE"""),"#VALUE!")</f>
        <v>#VALUE!</v>
      </c>
      <c r="J521" s="51" t="str">
        <f>IFERROR(__xludf.DUMMYFUNCTION("""COMPUTED_VALUE"""),"")</f>
        <v/>
      </c>
      <c r="K521" s="51"/>
      <c r="L521" s="51" t="s">
        <v>257</v>
      </c>
      <c r="M521" s="51"/>
      <c r="N521" s="51"/>
      <c r="O521" s="51"/>
      <c r="P521" s="51"/>
      <c r="Q521" s="51"/>
      <c r="R521" s="51"/>
      <c r="S521" s="51"/>
      <c r="T521" s="51"/>
    </row>
    <row r="522">
      <c r="A522" s="51"/>
      <c r="B522" s="51"/>
      <c r="C522" s="56"/>
      <c r="D522" s="51"/>
      <c r="E522" s="51"/>
      <c r="F522" s="51"/>
      <c r="G522" s="51" t="str">
        <f>IFERROR(__xludf.DUMMYFUNCTION("""COMPUTED_VALUE"""),"#VALUE!")</f>
        <v>#VALUE!</v>
      </c>
      <c r="H522" s="51" t="str">
        <f>IFERROR(__xludf.DUMMYFUNCTION("""COMPUTED_VALUE"""),"")</f>
        <v/>
      </c>
      <c r="I522" s="51" t="str">
        <f>IFERROR(__xludf.DUMMYFUNCTION("""COMPUTED_VALUE"""),"#VALUE!")</f>
        <v>#VALUE!</v>
      </c>
      <c r="J522" s="51" t="str">
        <f>IFERROR(__xludf.DUMMYFUNCTION("""COMPUTED_VALUE"""),"")</f>
        <v/>
      </c>
      <c r="K522" s="51"/>
      <c r="L522" s="51" t="s">
        <v>257</v>
      </c>
      <c r="M522" s="51"/>
      <c r="N522" s="51"/>
      <c r="O522" s="51"/>
      <c r="P522" s="51"/>
      <c r="Q522" s="51"/>
      <c r="R522" s="51"/>
      <c r="S522" s="51"/>
      <c r="T522" s="51"/>
    </row>
    <row r="523">
      <c r="A523" s="51"/>
      <c r="B523" s="51"/>
      <c r="C523" s="56"/>
      <c r="D523" s="51"/>
      <c r="E523" s="51"/>
      <c r="F523" s="51"/>
      <c r="G523" s="51" t="str">
        <f>IFERROR(__xludf.DUMMYFUNCTION("""COMPUTED_VALUE"""),"#VALUE!")</f>
        <v>#VALUE!</v>
      </c>
      <c r="H523" s="51" t="str">
        <f>IFERROR(__xludf.DUMMYFUNCTION("""COMPUTED_VALUE"""),"")</f>
        <v/>
      </c>
      <c r="I523" s="51" t="str">
        <f>IFERROR(__xludf.DUMMYFUNCTION("""COMPUTED_VALUE"""),"#VALUE!")</f>
        <v>#VALUE!</v>
      </c>
      <c r="J523" s="51" t="str">
        <f>IFERROR(__xludf.DUMMYFUNCTION("""COMPUTED_VALUE"""),"")</f>
        <v/>
      </c>
      <c r="K523" s="51"/>
      <c r="L523" s="51" t="s">
        <v>257</v>
      </c>
      <c r="M523" s="51"/>
      <c r="N523" s="51"/>
      <c r="O523" s="51"/>
      <c r="P523" s="51"/>
      <c r="Q523" s="51"/>
      <c r="R523" s="51"/>
      <c r="S523" s="51"/>
      <c r="T523" s="51"/>
    </row>
    <row r="524">
      <c r="A524" s="51"/>
      <c r="B524" s="51"/>
      <c r="C524" s="56"/>
      <c r="D524" s="51"/>
      <c r="E524" s="51"/>
      <c r="F524" s="51"/>
      <c r="G524" s="51" t="str">
        <f>IFERROR(__xludf.DUMMYFUNCTION("""COMPUTED_VALUE"""),"#VALUE!")</f>
        <v>#VALUE!</v>
      </c>
      <c r="H524" s="51" t="str">
        <f>IFERROR(__xludf.DUMMYFUNCTION("""COMPUTED_VALUE"""),"")</f>
        <v/>
      </c>
      <c r="I524" s="51" t="str">
        <f>IFERROR(__xludf.DUMMYFUNCTION("""COMPUTED_VALUE"""),"#VALUE!")</f>
        <v>#VALUE!</v>
      </c>
      <c r="J524" s="51" t="str">
        <f>IFERROR(__xludf.DUMMYFUNCTION("""COMPUTED_VALUE"""),"")</f>
        <v/>
      </c>
      <c r="K524" s="51"/>
      <c r="L524" s="51" t="s">
        <v>257</v>
      </c>
      <c r="M524" s="51"/>
      <c r="N524" s="51"/>
      <c r="O524" s="51"/>
      <c r="P524" s="51"/>
      <c r="Q524" s="51"/>
      <c r="R524" s="51"/>
      <c r="S524" s="51"/>
      <c r="T524" s="51"/>
    </row>
    <row r="525">
      <c r="A525" s="51"/>
      <c r="B525" s="51"/>
      <c r="C525" s="56"/>
      <c r="D525" s="51"/>
      <c r="E525" s="51"/>
      <c r="F525" s="51"/>
      <c r="G525" s="51" t="str">
        <f>IFERROR(__xludf.DUMMYFUNCTION("""COMPUTED_VALUE"""),"#VALUE!")</f>
        <v>#VALUE!</v>
      </c>
      <c r="H525" s="51" t="str">
        <f>IFERROR(__xludf.DUMMYFUNCTION("""COMPUTED_VALUE"""),"")</f>
        <v/>
      </c>
      <c r="I525" s="51" t="str">
        <f>IFERROR(__xludf.DUMMYFUNCTION("""COMPUTED_VALUE"""),"#VALUE!")</f>
        <v>#VALUE!</v>
      </c>
      <c r="J525" s="51" t="str">
        <f>IFERROR(__xludf.DUMMYFUNCTION("""COMPUTED_VALUE"""),"")</f>
        <v/>
      </c>
      <c r="K525" s="51"/>
      <c r="L525" s="51" t="s">
        <v>257</v>
      </c>
      <c r="M525" s="51"/>
      <c r="N525" s="51"/>
      <c r="O525" s="51"/>
      <c r="P525" s="51"/>
      <c r="Q525" s="51"/>
      <c r="R525" s="51"/>
      <c r="S525" s="51"/>
      <c r="T525" s="51"/>
    </row>
    <row r="526">
      <c r="A526" s="51"/>
      <c r="B526" s="51"/>
      <c r="C526" s="56"/>
      <c r="D526" s="51"/>
      <c r="E526" s="51"/>
      <c r="F526" s="51"/>
      <c r="G526" s="51" t="str">
        <f>IFERROR(__xludf.DUMMYFUNCTION("""COMPUTED_VALUE"""),"#VALUE!")</f>
        <v>#VALUE!</v>
      </c>
      <c r="H526" s="51" t="str">
        <f>IFERROR(__xludf.DUMMYFUNCTION("""COMPUTED_VALUE"""),"")</f>
        <v/>
      </c>
      <c r="I526" s="51" t="str">
        <f>IFERROR(__xludf.DUMMYFUNCTION("""COMPUTED_VALUE"""),"#VALUE!")</f>
        <v>#VALUE!</v>
      </c>
      <c r="J526" s="51" t="str">
        <f>IFERROR(__xludf.DUMMYFUNCTION("""COMPUTED_VALUE"""),"")</f>
        <v/>
      </c>
      <c r="K526" s="51"/>
      <c r="L526" s="51" t="s">
        <v>257</v>
      </c>
      <c r="M526" s="51"/>
      <c r="N526" s="51"/>
      <c r="O526" s="51"/>
      <c r="P526" s="51"/>
      <c r="Q526" s="51"/>
      <c r="R526" s="51"/>
      <c r="S526" s="51"/>
      <c r="T526" s="51"/>
    </row>
    <row r="527">
      <c r="A527" s="51"/>
      <c r="B527" s="51"/>
      <c r="C527" s="56"/>
      <c r="D527" s="51"/>
      <c r="E527" s="51"/>
      <c r="F527" s="51"/>
      <c r="G527" s="51" t="str">
        <f>IFERROR(__xludf.DUMMYFUNCTION("""COMPUTED_VALUE"""),"#VALUE!")</f>
        <v>#VALUE!</v>
      </c>
      <c r="H527" s="51" t="str">
        <f>IFERROR(__xludf.DUMMYFUNCTION("""COMPUTED_VALUE"""),"")</f>
        <v/>
      </c>
      <c r="I527" s="51" t="str">
        <f>IFERROR(__xludf.DUMMYFUNCTION("""COMPUTED_VALUE"""),"#VALUE!")</f>
        <v>#VALUE!</v>
      </c>
      <c r="J527" s="51" t="str">
        <f>IFERROR(__xludf.DUMMYFUNCTION("""COMPUTED_VALUE"""),"")</f>
        <v/>
      </c>
      <c r="K527" s="51"/>
      <c r="L527" s="51" t="s">
        <v>257</v>
      </c>
      <c r="M527" s="51"/>
      <c r="N527" s="51"/>
      <c r="O527" s="51"/>
      <c r="P527" s="51"/>
      <c r="Q527" s="51"/>
      <c r="R527" s="51"/>
      <c r="S527" s="51"/>
      <c r="T527" s="51"/>
    </row>
    <row r="528">
      <c r="A528" s="51"/>
      <c r="B528" s="51"/>
      <c r="C528" s="56"/>
      <c r="D528" s="51"/>
      <c r="E528" s="51"/>
      <c r="F528" s="51"/>
      <c r="G528" s="51" t="str">
        <f>IFERROR(__xludf.DUMMYFUNCTION("""COMPUTED_VALUE"""),"#VALUE!")</f>
        <v>#VALUE!</v>
      </c>
      <c r="H528" s="51" t="str">
        <f>IFERROR(__xludf.DUMMYFUNCTION("""COMPUTED_VALUE"""),"")</f>
        <v/>
      </c>
      <c r="I528" s="51" t="str">
        <f>IFERROR(__xludf.DUMMYFUNCTION("""COMPUTED_VALUE"""),"#VALUE!")</f>
        <v>#VALUE!</v>
      </c>
      <c r="J528" s="51" t="str">
        <f>IFERROR(__xludf.DUMMYFUNCTION("""COMPUTED_VALUE"""),"")</f>
        <v/>
      </c>
      <c r="K528" s="51"/>
      <c r="L528" s="51" t="s">
        <v>257</v>
      </c>
      <c r="M528" s="51"/>
      <c r="N528" s="51"/>
      <c r="O528" s="51"/>
      <c r="P528" s="51"/>
      <c r="Q528" s="51"/>
      <c r="R528" s="51"/>
      <c r="S528" s="51"/>
      <c r="T528" s="51"/>
    </row>
    <row r="529">
      <c r="A529" s="51"/>
      <c r="B529" s="51"/>
      <c r="C529" s="56"/>
      <c r="D529" s="51"/>
      <c r="E529" s="51"/>
      <c r="F529" s="51"/>
      <c r="G529" s="51" t="str">
        <f>IFERROR(__xludf.DUMMYFUNCTION("""COMPUTED_VALUE"""),"#VALUE!")</f>
        <v>#VALUE!</v>
      </c>
      <c r="H529" s="51" t="str">
        <f>IFERROR(__xludf.DUMMYFUNCTION("""COMPUTED_VALUE"""),"")</f>
        <v/>
      </c>
      <c r="I529" s="51" t="str">
        <f>IFERROR(__xludf.DUMMYFUNCTION("""COMPUTED_VALUE"""),"#VALUE!")</f>
        <v>#VALUE!</v>
      </c>
      <c r="J529" s="51" t="str">
        <f>IFERROR(__xludf.DUMMYFUNCTION("""COMPUTED_VALUE"""),"")</f>
        <v/>
      </c>
      <c r="K529" s="51"/>
      <c r="L529" s="51" t="s">
        <v>257</v>
      </c>
      <c r="M529" s="51"/>
      <c r="N529" s="51"/>
      <c r="O529" s="51"/>
      <c r="P529" s="51"/>
      <c r="Q529" s="51"/>
      <c r="R529" s="51"/>
      <c r="S529" s="51"/>
      <c r="T529" s="51"/>
    </row>
    <row r="530">
      <c r="A530" s="51"/>
      <c r="B530" s="51"/>
      <c r="C530" s="56"/>
      <c r="D530" s="51"/>
      <c r="E530" s="51"/>
      <c r="F530" s="51"/>
      <c r="G530" s="51" t="str">
        <f>IFERROR(__xludf.DUMMYFUNCTION("""COMPUTED_VALUE"""),"#VALUE!")</f>
        <v>#VALUE!</v>
      </c>
      <c r="H530" s="51" t="str">
        <f>IFERROR(__xludf.DUMMYFUNCTION("""COMPUTED_VALUE"""),"")</f>
        <v/>
      </c>
      <c r="I530" s="51" t="str">
        <f>IFERROR(__xludf.DUMMYFUNCTION("""COMPUTED_VALUE"""),"#VALUE!")</f>
        <v>#VALUE!</v>
      </c>
      <c r="J530" s="51" t="str">
        <f>IFERROR(__xludf.DUMMYFUNCTION("""COMPUTED_VALUE"""),"")</f>
        <v/>
      </c>
      <c r="K530" s="51"/>
      <c r="L530" s="51" t="s">
        <v>257</v>
      </c>
      <c r="M530" s="51"/>
      <c r="N530" s="51"/>
      <c r="O530" s="51"/>
      <c r="P530" s="51"/>
      <c r="Q530" s="51"/>
      <c r="R530" s="51"/>
      <c r="S530" s="51"/>
      <c r="T530" s="51"/>
    </row>
    <row r="531">
      <c r="A531" s="51"/>
      <c r="B531" s="51"/>
      <c r="C531" s="56"/>
      <c r="D531" s="51"/>
      <c r="E531" s="51"/>
      <c r="F531" s="51"/>
      <c r="G531" s="51" t="str">
        <f>IFERROR(__xludf.DUMMYFUNCTION("""COMPUTED_VALUE"""),"#VALUE!")</f>
        <v>#VALUE!</v>
      </c>
      <c r="H531" s="51" t="str">
        <f>IFERROR(__xludf.DUMMYFUNCTION("""COMPUTED_VALUE"""),"")</f>
        <v/>
      </c>
      <c r="I531" s="51" t="str">
        <f>IFERROR(__xludf.DUMMYFUNCTION("""COMPUTED_VALUE"""),"#VALUE!")</f>
        <v>#VALUE!</v>
      </c>
      <c r="J531" s="51" t="str">
        <f>IFERROR(__xludf.DUMMYFUNCTION("""COMPUTED_VALUE"""),"")</f>
        <v/>
      </c>
      <c r="K531" s="51"/>
      <c r="L531" s="51" t="s">
        <v>257</v>
      </c>
      <c r="M531" s="51"/>
      <c r="N531" s="51"/>
      <c r="O531" s="51"/>
      <c r="P531" s="51"/>
      <c r="Q531" s="51"/>
      <c r="R531" s="51"/>
      <c r="S531" s="51"/>
      <c r="T531" s="51"/>
    </row>
    <row r="532">
      <c r="A532" s="51"/>
      <c r="B532" s="51"/>
      <c r="C532" s="56"/>
      <c r="D532" s="51"/>
      <c r="E532" s="51"/>
      <c r="F532" s="51"/>
      <c r="G532" s="51" t="str">
        <f>IFERROR(__xludf.DUMMYFUNCTION("""COMPUTED_VALUE"""),"#VALUE!")</f>
        <v>#VALUE!</v>
      </c>
      <c r="H532" s="51" t="str">
        <f>IFERROR(__xludf.DUMMYFUNCTION("""COMPUTED_VALUE"""),"")</f>
        <v/>
      </c>
      <c r="I532" s="51" t="str">
        <f>IFERROR(__xludf.DUMMYFUNCTION("""COMPUTED_VALUE"""),"#VALUE!")</f>
        <v>#VALUE!</v>
      </c>
      <c r="J532" s="51" t="str">
        <f>IFERROR(__xludf.DUMMYFUNCTION("""COMPUTED_VALUE"""),"")</f>
        <v/>
      </c>
      <c r="K532" s="51"/>
      <c r="L532" s="51" t="s">
        <v>257</v>
      </c>
      <c r="M532" s="51"/>
      <c r="N532" s="51"/>
      <c r="O532" s="51"/>
      <c r="P532" s="51"/>
      <c r="Q532" s="51"/>
      <c r="R532" s="51"/>
      <c r="S532" s="51"/>
      <c r="T532" s="51"/>
    </row>
    <row r="533">
      <c r="A533" s="51"/>
      <c r="B533" s="51"/>
      <c r="C533" s="56"/>
      <c r="D533" s="51"/>
      <c r="E533" s="51"/>
      <c r="F533" s="51"/>
      <c r="G533" s="51" t="str">
        <f>IFERROR(__xludf.DUMMYFUNCTION("""COMPUTED_VALUE"""),"#VALUE!")</f>
        <v>#VALUE!</v>
      </c>
      <c r="H533" s="51" t="str">
        <f>IFERROR(__xludf.DUMMYFUNCTION("""COMPUTED_VALUE"""),"")</f>
        <v/>
      </c>
      <c r="I533" s="51" t="str">
        <f>IFERROR(__xludf.DUMMYFUNCTION("""COMPUTED_VALUE"""),"#VALUE!")</f>
        <v>#VALUE!</v>
      </c>
      <c r="J533" s="51" t="str">
        <f>IFERROR(__xludf.DUMMYFUNCTION("""COMPUTED_VALUE"""),"")</f>
        <v/>
      </c>
      <c r="K533" s="51"/>
      <c r="L533" s="51" t="s">
        <v>257</v>
      </c>
      <c r="M533" s="51"/>
      <c r="N533" s="51"/>
      <c r="O533" s="51"/>
      <c r="P533" s="51"/>
      <c r="Q533" s="51"/>
      <c r="R533" s="51"/>
      <c r="S533" s="51"/>
      <c r="T533" s="51"/>
    </row>
    <row r="534">
      <c r="A534" s="51"/>
      <c r="B534" s="51"/>
      <c r="C534" s="56"/>
      <c r="D534" s="51"/>
      <c r="E534" s="51"/>
      <c r="F534" s="51"/>
      <c r="G534" s="51" t="str">
        <f>IFERROR(__xludf.DUMMYFUNCTION("""COMPUTED_VALUE"""),"#VALUE!")</f>
        <v>#VALUE!</v>
      </c>
      <c r="H534" s="51" t="str">
        <f>IFERROR(__xludf.DUMMYFUNCTION("""COMPUTED_VALUE"""),"")</f>
        <v/>
      </c>
      <c r="I534" s="51" t="str">
        <f>IFERROR(__xludf.DUMMYFUNCTION("""COMPUTED_VALUE"""),"#VALUE!")</f>
        <v>#VALUE!</v>
      </c>
      <c r="J534" s="51" t="str">
        <f>IFERROR(__xludf.DUMMYFUNCTION("""COMPUTED_VALUE"""),"")</f>
        <v/>
      </c>
      <c r="K534" s="51"/>
      <c r="L534" s="51" t="s">
        <v>257</v>
      </c>
      <c r="M534" s="51"/>
      <c r="N534" s="51"/>
      <c r="O534" s="51"/>
      <c r="P534" s="51"/>
      <c r="Q534" s="51"/>
      <c r="R534" s="51"/>
      <c r="S534" s="51"/>
      <c r="T534" s="51"/>
    </row>
    <row r="535">
      <c r="A535" s="51"/>
      <c r="B535" s="51"/>
      <c r="C535" s="56"/>
      <c r="D535" s="51"/>
      <c r="E535" s="51"/>
      <c r="F535" s="51"/>
      <c r="G535" s="51" t="str">
        <f>IFERROR(__xludf.DUMMYFUNCTION("""COMPUTED_VALUE"""),"#VALUE!")</f>
        <v>#VALUE!</v>
      </c>
      <c r="H535" s="51" t="str">
        <f>IFERROR(__xludf.DUMMYFUNCTION("""COMPUTED_VALUE"""),"")</f>
        <v/>
      </c>
      <c r="I535" s="51" t="str">
        <f>IFERROR(__xludf.DUMMYFUNCTION("""COMPUTED_VALUE"""),"#VALUE!")</f>
        <v>#VALUE!</v>
      </c>
      <c r="J535" s="51" t="str">
        <f>IFERROR(__xludf.DUMMYFUNCTION("""COMPUTED_VALUE"""),"")</f>
        <v/>
      </c>
      <c r="K535" s="51"/>
      <c r="L535" s="51" t="s">
        <v>257</v>
      </c>
      <c r="M535" s="51"/>
      <c r="N535" s="51"/>
      <c r="O535" s="51"/>
      <c r="P535" s="51"/>
      <c r="Q535" s="51"/>
      <c r="R535" s="51"/>
      <c r="S535" s="51"/>
      <c r="T535" s="51"/>
    </row>
    <row r="536">
      <c r="A536" s="51"/>
      <c r="B536" s="51"/>
      <c r="C536" s="56"/>
      <c r="D536" s="51"/>
      <c r="E536" s="51"/>
      <c r="F536" s="51"/>
      <c r="G536" s="51" t="str">
        <f>IFERROR(__xludf.DUMMYFUNCTION("""COMPUTED_VALUE"""),"#VALUE!")</f>
        <v>#VALUE!</v>
      </c>
      <c r="H536" s="51" t="str">
        <f>IFERROR(__xludf.DUMMYFUNCTION("""COMPUTED_VALUE"""),"")</f>
        <v/>
      </c>
      <c r="I536" s="51" t="str">
        <f>IFERROR(__xludf.DUMMYFUNCTION("""COMPUTED_VALUE"""),"#VALUE!")</f>
        <v>#VALUE!</v>
      </c>
      <c r="J536" s="51" t="str">
        <f>IFERROR(__xludf.DUMMYFUNCTION("""COMPUTED_VALUE"""),"")</f>
        <v/>
      </c>
      <c r="K536" s="51"/>
      <c r="L536" s="51" t="s">
        <v>257</v>
      </c>
      <c r="M536" s="51"/>
      <c r="N536" s="51"/>
      <c r="O536" s="51"/>
      <c r="P536" s="51"/>
      <c r="Q536" s="51"/>
      <c r="R536" s="51"/>
      <c r="S536" s="51"/>
      <c r="T536" s="51"/>
    </row>
    <row r="537">
      <c r="A537" s="51"/>
      <c r="B537" s="51"/>
      <c r="C537" s="56"/>
      <c r="D537" s="51"/>
      <c r="E537" s="51"/>
      <c r="F537" s="51"/>
      <c r="G537" s="51" t="str">
        <f>IFERROR(__xludf.DUMMYFUNCTION("""COMPUTED_VALUE"""),"#VALUE!")</f>
        <v>#VALUE!</v>
      </c>
      <c r="H537" s="51" t="str">
        <f>IFERROR(__xludf.DUMMYFUNCTION("""COMPUTED_VALUE"""),"")</f>
        <v/>
      </c>
      <c r="I537" s="51" t="str">
        <f>IFERROR(__xludf.DUMMYFUNCTION("""COMPUTED_VALUE"""),"#VALUE!")</f>
        <v>#VALUE!</v>
      </c>
      <c r="J537" s="51" t="str">
        <f>IFERROR(__xludf.DUMMYFUNCTION("""COMPUTED_VALUE"""),"")</f>
        <v/>
      </c>
      <c r="K537" s="51"/>
      <c r="L537" s="51" t="s">
        <v>257</v>
      </c>
      <c r="M537" s="51"/>
      <c r="N537" s="51"/>
      <c r="O537" s="51"/>
      <c r="P537" s="51"/>
      <c r="Q537" s="51"/>
      <c r="R537" s="51"/>
      <c r="S537" s="51"/>
      <c r="T537" s="51"/>
    </row>
    <row r="538">
      <c r="A538" s="51"/>
      <c r="B538" s="51"/>
      <c r="C538" s="56"/>
      <c r="D538" s="51"/>
      <c r="E538" s="51"/>
      <c r="F538" s="51"/>
      <c r="G538" s="51" t="str">
        <f>IFERROR(__xludf.DUMMYFUNCTION("""COMPUTED_VALUE"""),"#VALUE!")</f>
        <v>#VALUE!</v>
      </c>
      <c r="H538" s="51" t="str">
        <f>IFERROR(__xludf.DUMMYFUNCTION("""COMPUTED_VALUE"""),"")</f>
        <v/>
      </c>
      <c r="I538" s="51" t="str">
        <f>IFERROR(__xludf.DUMMYFUNCTION("""COMPUTED_VALUE"""),"#VALUE!")</f>
        <v>#VALUE!</v>
      </c>
      <c r="J538" s="51" t="str">
        <f>IFERROR(__xludf.DUMMYFUNCTION("""COMPUTED_VALUE"""),"")</f>
        <v/>
      </c>
      <c r="K538" s="51"/>
      <c r="L538" s="51" t="s">
        <v>257</v>
      </c>
      <c r="M538" s="51"/>
      <c r="N538" s="51"/>
      <c r="O538" s="51"/>
      <c r="P538" s="51"/>
      <c r="Q538" s="51"/>
      <c r="R538" s="51"/>
      <c r="S538" s="51"/>
      <c r="T538" s="51"/>
    </row>
    <row r="539">
      <c r="A539" s="51"/>
      <c r="B539" s="51"/>
      <c r="C539" s="56"/>
      <c r="D539" s="51"/>
      <c r="E539" s="51"/>
      <c r="F539" s="51"/>
      <c r="G539" s="51" t="str">
        <f>IFERROR(__xludf.DUMMYFUNCTION("""COMPUTED_VALUE"""),"#VALUE!")</f>
        <v>#VALUE!</v>
      </c>
      <c r="H539" s="51" t="str">
        <f>IFERROR(__xludf.DUMMYFUNCTION("""COMPUTED_VALUE"""),"")</f>
        <v/>
      </c>
      <c r="I539" s="51" t="str">
        <f>IFERROR(__xludf.DUMMYFUNCTION("""COMPUTED_VALUE"""),"#VALUE!")</f>
        <v>#VALUE!</v>
      </c>
      <c r="J539" s="51" t="str">
        <f>IFERROR(__xludf.DUMMYFUNCTION("""COMPUTED_VALUE"""),"")</f>
        <v/>
      </c>
      <c r="K539" s="51"/>
      <c r="L539" s="51" t="s">
        <v>257</v>
      </c>
      <c r="M539" s="51"/>
      <c r="N539" s="51"/>
      <c r="O539" s="51"/>
      <c r="P539" s="51"/>
      <c r="Q539" s="51"/>
      <c r="R539" s="51"/>
      <c r="S539" s="51"/>
      <c r="T539" s="51"/>
    </row>
    <row r="540">
      <c r="A540" s="51"/>
      <c r="B540" s="51"/>
      <c r="C540" s="56"/>
      <c r="D540" s="51"/>
      <c r="E540" s="51"/>
      <c r="F540" s="51"/>
      <c r="G540" s="51" t="str">
        <f>IFERROR(__xludf.DUMMYFUNCTION("""COMPUTED_VALUE"""),"#VALUE!")</f>
        <v>#VALUE!</v>
      </c>
      <c r="H540" s="51" t="str">
        <f>IFERROR(__xludf.DUMMYFUNCTION("""COMPUTED_VALUE"""),"")</f>
        <v/>
      </c>
      <c r="I540" s="51" t="str">
        <f>IFERROR(__xludf.DUMMYFUNCTION("""COMPUTED_VALUE"""),"#VALUE!")</f>
        <v>#VALUE!</v>
      </c>
      <c r="J540" s="51" t="str">
        <f>IFERROR(__xludf.DUMMYFUNCTION("""COMPUTED_VALUE"""),"")</f>
        <v/>
      </c>
      <c r="K540" s="51"/>
      <c r="L540" s="51" t="s">
        <v>257</v>
      </c>
      <c r="M540" s="51"/>
      <c r="N540" s="51"/>
      <c r="O540" s="51"/>
      <c r="P540" s="51"/>
      <c r="Q540" s="51"/>
      <c r="R540" s="51"/>
      <c r="S540" s="51"/>
      <c r="T540" s="51"/>
    </row>
    <row r="541">
      <c r="A541" s="51"/>
      <c r="B541" s="51"/>
      <c r="C541" s="56"/>
      <c r="D541" s="51"/>
      <c r="E541" s="51"/>
      <c r="F541" s="51"/>
      <c r="G541" s="51" t="str">
        <f>IFERROR(__xludf.DUMMYFUNCTION("""COMPUTED_VALUE"""),"#VALUE!")</f>
        <v>#VALUE!</v>
      </c>
      <c r="H541" s="51" t="str">
        <f>IFERROR(__xludf.DUMMYFUNCTION("""COMPUTED_VALUE"""),"")</f>
        <v/>
      </c>
      <c r="I541" s="51" t="str">
        <f>IFERROR(__xludf.DUMMYFUNCTION("""COMPUTED_VALUE"""),"#VALUE!")</f>
        <v>#VALUE!</v>
      </c>
      <c r="J541" s="51" t="str">
        <f>IFERROR(__xludf.DUMMYFUNCTION("""COMPUTED_VALUE"""),"")</f>
        <v/>
      </c>
      <c r="K541" s="51"/>
      <c r="L541" s="51" t="s">
        <v>257</v>
      </c>
      <c r="M541" s="51"/>
      <c r="N541" s="51"/>
      <c r="O541" s="51"/>
      <c r="P541" s="51"/>
      <c r="Q541" s="51"/>
      <c r="R541" s="51"/>
      <c r="S541" s="51"/>
      <c r="T541" s="51"/>
    </row>
    <row r="542">
      <c r="A542" s="51"/>
      <c r="B542" s="51"/>
      <c r="C542" s="56"/>
      <c r="D542" s="51"/>
      <c r="E542" s="51"/>
      <c r="F542" s="51"/>
      <c r="G542" s="51" t="str">
        <f>IFERROR(__xludf.DUMMYFUNCTION("""COMPUTED_VALUE"""),"#VALUE!")</f>
        <v>#VALUE!</v>
      </c>
      <c r="H542" s="51" t="str">
        <f>IFERROR(__xludf.DUMMYFUNCTION("""COMPUTED_VALUE"""),"")</f>
        <v/>
      </c>
      <c r="I542" s="51" t="str">
        <f>IFERROR(__xludf.DUMMYFUNCTION("""COMPUTED_VALUE"""),"#VALUE!")</f>
        <v>#VALUE!</v>
      </c>
      <c r="J542" s="51" t="str">
        <f>IFERROR(__xludf.DUMMYFUNCTION("""COMPUTED_VALUE"""),"")</f>
        <v/>
      </c>
      <c r="K542" s="51"/>
      <c r="L542" s="51" t="s">
        <v>257</v>
      </c>
      <c r="M542" s="51"/>
      <c r="N542" s="51"/>
      <c r="O542" s="51"/>
      <c r="P542" s="51"/>
      <c r="Q542" s="51"/>
      <c r="R542" s="51"/>
      <c r="S542" s="51"/>
      <c r="T542" s="51"/>
    </row>
    <row r="543">
      <c r="A543" s="51"/>
      <c r="B543" s="51"/>
      <c r="C543" s="56"/>
      <c r="D543" s="51"/>
      <c r="E543" s="51"/>
      <c r="F543" s="51"/>
      <c r="G543" s="51" t="str">
        <f>IFERROR(__xludf.DUMMYFUNCTION("""COMPUTED_VALUE"""),"#VALUE!")</f>
        <v>#VALUE!</v>
      </c>
      <c r="H543" s="51" t="str">
        <f>IFERROR(__xludf.DUMMYFUNCTION("""COMPUTED_VALUE"""),"")</f>
        <v/>
      </c>
      <c r="I543" s="51" t="str">
        <f>IFERROR(__xludf.DUMMYFUNCTION("""COMPUTED_VALUE"""),"#VALUE!")</f>
        <v>#VALUE!</v>
      </c>
      <c r="J543" s="51" t="str">
        <f>IFERROR(__xludf.DUMMYFUNCTION("""COMPUTED_VALUE"""),"")</f>
        <v/>
      </c>
      <c r="K543" s="51"/>
      <c r="L543" s="51" t="s">
        <v>257</v>
      </c>
      <c r="M543" s="51"/>
      <c r="N543" s="51"/>
      <c r="O543" s="51"/>
      <c r="P543" s="51"/>
      <c r="Q543" s="51"/>
      <c r="R543" s="51"/>
      <c r="S543" s="51"/>
      <c r="T543" s="51"/>
    </row>
    <row r="544">
      <c r="A544" s="51"/>
      <c r="B544" s="51"/>
      <c r="C544" s="56"/>
      <c r="D544" s="51"/>
      <c r="E544" s="51"/>
      <c r="F544" s="51"/>
      <c r="G544" s="51" t="str">
        <f>IFERROR(__xludf.DUMMYFUNCTION("""COMPUTED_VALUE"""),"#VALUE!")</f>
        <v>#VALUE!</v>
      </c>
      <c r="H544" s="51" t="str">
        <f>IFERROR(__xludf.DUMMYFUNCTION("""COMPUTED_VALUE"""),"")</f>
        <v/>
      </c>
      <c r="I544" s="51" t="str">
        <f>IFERROR(__xludf.DUMMYFUNCTION("""COMPUTED_VALUE"""),"#VALUE!")</f>
        <v>#VALUE!</v>
      </c>
      <c r="J544" s="51" t="str">
        <f>IFERROR(__xludf.DUMMYFUNCTION("""COMPUTED_VALUE"""),"")</f>
        <v/>
      </c>
      <c r="K544" s="51"/>
      <c r="L544" s="51" t="s">
        <v>257</v>
      </c>
      <c r="M544" s="51"/>
      <c r="N544" s="51"/>
      <c r="O544" s="51"/>
      <c r="P544" s="51"/>
      <c r="Q544" s="51"/>
      <c r="R544" s="51"/>
      <c r="S544" s="51"/>
      <c r="T544" s="51"/>
    </row>
    <row r="545">
      <c r="A545" s="51"/>
      <c r="B545" s="51"/>
      <c r="C545" s="56"/>
      <c r="D545" s="51"/>
      <c r="E545" s="51"/>
      <c r="F545" s="51"/>
      <c r="G545" s="51" t="str">
        <f>IFERROR(__xludf.DUMMYFUNCTION("""COMPUTED_VALUE"""),"#VALUE!")</f>
        <v>#VALUE!</v>
      </c>
      <c r="H545" s="51" t="str">
        <f>IFERROR(__xludf.DUMMYFUNCTION("""COMPUTED_VALUE"""),"")</f>
        <v/>
      </c>
      <c r="I545" s="51" t="str">
        <f>IFERROR(__xludf.DUMMYFUNCTION("""COMPUTED_VALUE"""),"#VALUE!")</f>
        <v>#VALUE!</v>
      </c>
      <c r="J545" s="51" t="str">
        <f>IFERROR(__xludf.DUMMYFUNCTION("""COMPUTED_VALUE"""),"")</f>
        <v/>
      </c>
      <c r="K545" s="51"/>
      <c r="L545" s="51" t="s">
        <v>257</v>
      </c>
      <c r="M545" s="51"/>
      <c r="N545" s="51"/>
      <c r="O545" s="51"/>
      <c r="P545" s="51"/>
      <c r="Q545" s="51"/>
      <c r="R545" s="51"/>
      <c r="S545" s="51"/>
      <c r="T545" s="51"/>
    </row>
    <row r="546">
      <c r="A546" s="51"/>
      <c r="B546" s="51"/>
      <c r="C546" s="56"/>
      <c r="D546" s="51"/>
      <c r="E546" s="51"/>
      <c r="F546" s="51"/>
      <c r="G546" s="51" t="str">
        <f>IFERROR(__xludf.DUMMYFUNCTION("""COMPUTED_VALUE"""),"#VALUE!")</f>
        <v>#VALUE!</v>
      </c>
      <c r="H546" s="51" t="str">
        <f>IFERROR(__xludf.DUMMYFUNCTION("""COMPUTED_VALUE"""),"")</f>
        <v/>
      </c>
      <c r="I546" s="51" t="str">
        <f>IFERROR(__xludf.DUMMYFUNCTION("""COMPUTED_VALUE"""),"#VALUE!")</f>
        <v>#VALUE!</v>
      </c>
      <c r="J546" s="51" t="str">
        <f>IFERROR(__xludf.DUMMYFUNCTION("""COMPUTED_VALUE"""),"")</f>
        <v/>
      </c>
      <c r="K546" s="51"/>
      <c r="L546" s="51" t="s">
        <v>257</v>
      </c>
      <c r="M546" s="51"/>
      <c r="N546" s="51"/>
      <c r="O546" s="51"/>
      <c r="P546" s="51"/>
      <c r="Q546" s="51"/>
      <c r="R546" s="51"/>
      <c r="S546" s="51"/>
      <c r="T546" s="51"/>
    </row>
    <row r="547">
      <c r="A547" s="51"/>
      <c r="B547" s="51"/>
      <c r="C547" s="56"/>
      <c r="D547" s="51"/>
      <c r="E547" s="51"/>
      <c r="F547" s="51"/>
      <c r="G547" s="51" t="str">
        <f>IFERROR(__xludf.DUMMYFUNCTION("""COMPUTED_VALUE"""),"#VALUE!")</f>
        <v>#VALUE!</v>
      </c>
      <c r="H547" s="51" t="str">
        <f>IFERROR(__xludf.DUMMYFUNCTION("""COMPUTED_VALUE"""),"")</f>
        <v/>
      </c>
      <c r="I547" s="51" t="str">
        <f>IFERROR(__xludf.DUMMYFUNCTION("""COMPUTED_VALUE"""),"#VALUE!")</f>
        <v>#VALUE!</v>
      </c>
      <c r="J547" s="51" t="str">
        <f>IFERROR(__xludf.DUMMYFUNCTION("""COMPUTED_VALUE"""),"")</f>
        <v/>
      </c>
      <c r="K547" s="51"/>
      <c r="L547" s="51" t="s">
        <v>257</v>
      </c>
      <c r="M547" s="51"/>
      <c r="N547" s="51"/>
      <c r="O547" s="51"/>
      <c r="P547" s="51"/>
      <c r="Q547" s="51"/>
      <c r="R547" s="51"/>
      <c r="S547" s="51"/>
      <c r="T547" s="51"/>
    </row>
    <row r="548">
      <c r="A548" s="51"/>
      <c r="B548" s="51"/>
      <c r="C548" s="56"/>
      <c r="D548" s="51"/>
      <c r="E548" s="51"/>
      <c r="F548" s="51"/>
      <c r="G548" s="51" t="str">
        <f>IFERROR(__xludf.DUMMYFUNCTION("""COMPUTED_VALUE"""),"#VALUE!")</f>
        <v>#VALUE!</v>
      </c>
      <c r="H548" s="51" t="str">
        <f>IFERROR(__xludf.DUMMYFUNCTION("""COMPUTED_VALUE"""),"")</f>
        <v/>
      </c>
      <c r="I548" s="51" t="str">
        <f>IFERROR(__xludf.DUMMYFUNCTION("""COMPUTED_VALUE"""),"#VALUE!")</f>
        <v>#VALUE!</v>
      </c>
      <c r="J548" s="51" t="str">
        <f>IFERROR(__xludf.DUMMYFUNCTION("""COMPUTED_VALUE"""),"")</f>
        <v/>
      </c>
      <c r="K548" s="51"/>
      <c r="L548" s="51" t="s">
        <v>257</v>
      </c>
      <c r="M548" s="51"/>
      <c r="N548" s="51"/>
      <c r="O548" s="51"/>
      <c r="P548" s="51"/>
      <c r="Q548" s="51"/>
      <c r="R548" s="51"/>
      <c r="S548" s="51"/>
      <c r="T548" s="51"/>
    </row>
    <row r="549">
      <c r="A549" s="51"/>
      <c r="B549" s="51"/>
      <c r="C549" s="56"/>
      <c r="D549" s="51"/>
      <c r="E549" s="51"/>
      <c r="F549" s="51"/>
      <c r="G549" s="51" t="str">
        <f>IFERROR(__xludf.DUMMYFUNCTION("""COMPUTED_VALUE"""),"#VALUE!")</f>
        <v>#VALUE!</v>
      </c>
      <c r="H549" s="51" t="str">
        <f>IFERROR(__xludf.DUMMYFUNCTION("""COMPUTED_VALUE"""),"")</f>
        <v/>
      </c>
      <c r="I549" s="51" t="str">
        <f>IFERROR(__xludf.DUMMYFUNCTION("""COMPUTED_VALUE"""),"#VALUE!")</f>
        <v>#VALUE!</v>
      </c>
      <c r="J549" s="51" t="str">
        <f>IFERROR(__xludf.DUMMYFUNCTION("""COMPUTED_VALUE"""),"")</f>
        <v/>
      </c>
      <c r="K549" s="51"/>
      <c r="L549" s="51" t="s">
        <v>257</v>
      </c>
      <c r="M549" s="51"/>
      <c r="N549" s="51"/>
      <c r="O549" s="51"/>
      <c r="P549" s="51"/>
      <c r="Q549" s="51"/>
      <c r="R549" s="51"/>
      <c r="S549" s="51"/>
      <c r="T549" s="51"/>
    </row>
    <row r="550">
      <c r="A550" s="51"/>
      <c r="B550" s="51"/>
      <c r="C550" s="56"/>
      <c r="D550" s="51"/>
      <c r="E550" s="51"/>
      <c r="F550" s="51"/>
      <c r="G550" s="51" t="str">
        <f>IFERROR(__xludf.DUMMYFUNCTION("""COMPUTED_VALUE"""),"#VALUE!")</f>
        <v>#VALUE!</v>
      </c>
      <c r="H550" s="51" t="str">
        <f>IFERROR(__xludf.DUMMYFUNCTION("""COMPUTED_VALUE"""),"")</f>
        <v/>
      </c>
      <c r="I550" s="51" t="str">
        <f>IFERROR(__xludf.DUMMYFUNCTION("""COMPUTED_VALUE"""),"#VALUE!")</f>
        <v>#VALUE!</v>
      </c>
      <c r="J550" s="51" t="str">
        <f>IFERROR(__xludf.DUMMYFUNCTION("""COMPUTED_VALUE"""),"")</f>
        <v/>
      </c>
      <c r="K550" s="51"/>
      <c r="L550" s="51" t="s">
        <v>257</v>
      </c>
      <c r="M550" s="51"/>
      <c r="N550" s="51"/>
      <c r="O550" s="51"/>
      <c r="P550" s="51"/>
      <c r="Q550" s="51"/>
      <c r="R550" s="51"/>
      <c r="S550" s="51"/>
      <c r="T550" s="51"/>
    </row>
    <row r="551">
      <c r="A551" s="51"/>
      <c r="B551" s="51"/>
      <c r="C551" s="56"/>
      <c r="D551" s="51"/>
      <c r="E551" s="51"/>
      <c r="F551" s="51"/>
      <c r="G551" s="51" t="str">
        <f>IFERROR(__xludf.DUMMYFUNCTION("""COMPUTED_VALUE"""),"#VALUE!")</f>
        <v>#VALUE!</v>
      </c>
      <c r="H551" s="51" t="str">
        <f>IFERROR(__xludf.DUMMYFUNCTION("""COMPUTED_VALUE"""),"")</f>
        <v/>
      </c>
      <c r="I551" s="51" t="str">
        <f>IFERROR(__xludf.DUMMYFUNCTION("""COMPUTED_VALUE"""),"#VALUE!")</f>
        <v>#VALUE!</v>
      </c>
      <c r="J551" s="51" t="str">
        <f>IFERROR(__xludf.DUMMYFUNCTION("""COMPUTED_VALUE"""),"")</f>
        <v/>
      </c>
      <c r="K551" s="51"/>
      <c r="L551" s="51" t="s">
        <v>257</v>
      </c>
      <c r="M551" s="51"/>
      <c r="N551" s="51"/>
      <c r="O551" s="51"/>
      <c r="P551" s="51"/>
      <c r="Q551" s="51"/>
      <c r="R551" s="51"/>
      <c r="S551" s="51"/>
      <c r="T551" s="51"/>
    </row>
    <row r="552">
      <c r="A552" s="51"/>
      <c r="B552" s="51"/>
      <c r="C552" s="56"/>
      <c r="D552" s="51"/>
      <c r="E552" s="51"/>
      <c r="F552" s="51"/>
      <c r="G552" s="51" t="str">
        <f>IFERROR(__xludf.DUMMYFUNCTION("""COMPUTED_VALUE"""),"#VALUE!")</f>
        <v>#VALUE!</v>
      </c>
      <c r="H552" s="51" t="str">
        <f>IFERROR(__xludf.DUMMYFUNCTION("""COMPUTED_VALUE"""),"")</f>
        <v/>
      </c>
      <c r="I552" s="51" t="str">
        <f>IFERROR(__xludf.DUMMYFUNCTION("""COMPUTED_VALUE"""),"#VALUE!")</f>
        <v>#VALUE!</v>
      </c>
      <c r="J552" s="51" t="str">
        <f>IFERROR(__xludf.DUMMYFUNCTION("""COMPUTED_VALUE"""),"")</f>
        <v/>
      </c>
      <c r="K552" s="51"/>
      <c r="L552" s="51" t="s">
        <v>257</v>
      </c>
      <c r="M552" s="51"/>
      <c r="N552" s="51"/>
      <c r="O552" s="51"/>
      <c r="P552" s="51"/>
      <c r="Q552" s="51"/>
      <c r="R552" s="51"/>
      <c r="S552" s="51"/>
      <c r="T552" s="51"/>
    </row>
    <row r="553">
      <c r="A553" s="51"/>
      <c r="B553" s="51"/>
      <c r="C553" s="56"/>
      <c r="D553" s="51"/>
      <c r="E553" s="51"/>
      <c r="F553" s="51"/>
      <c r="G553" s="51" t="str">
        <f>IFERROR(__xludf.DUMMYFUNCTION("""COMPUTED_VALUE"""),"#VALUE!")</f>
        <v>#VALUE!</v>
      </c>
      <c r="H553" s="51" t="str">
        <f>IFERROR(__xludf.DUMMYFUNCTION("""COMPUTED_VALUE"""),"")</f>
        <v/>
      </c>
      <c r="I553" s="51" t="str">
        <f>IFERROR(__xludf.DUMMYFUNCTION("""COMPUTED_VALUE"""),"#VALUE!")</f>
        <v>#VALUE!</v>
      </c>
      <c r="J553" s="51" t="str">
        <f>IFERROR(__xludf.DUMMYFUNCTION("""COMPUTED_VALUE"""),"")</f>
        <v/>
      </c>
      <c r="K553" s="51"/>
      <c r="L553" s="51" t="s">
        <v>257</v>
      </c>
      <c r="M553" s="51"/>
      <c r="N553" s="51"/>
      <c r="O553" s="51"/>
      <c r="P553" s="51"/>
      <c r="Q553" s="51"/>
      <c r="R553" s="51"/>
      <c r="S553" s="51"/>
      <c r="T553" s="51"/>
    </row>
    <row r="554">
      <c r="A554" s="51"/>
      <c r="B554" s="51"/>
      <c r="C554" s="56"/>
      <c r="D554" s="51"/>
      <c r="E554" s="51"/>
      <c r="F554" s="51"/>
      <c r="G554" s="51" t="str">
        <f>IFERROR(__xludf.DUMMYFUNCTION("""COMPUTED_VALUE"""),"#VALUE!")</f>
        <v>#VALUE!</v>
      </c>
      <c r="H554" s="51" t="str">
        <f>IFERROR(__xludf.DUMMYFUNCTION("""COMPUTED_VALUE"""),"")</f>
        <v/>
      </c>
      <c r="I554" s="51" t="str">
        <f>IFERROR(__xludf.DUMMYFUNCTION("""COMPUTED_VALUE"""),"#VALUE!")</f>
        <v>#VALUE!</v>
      </c>
      <c r="J554" s="51" t="str">
        <f>IFERROR(__xludf.DUMMYFUNCTION("""COMPUTED_VALUE"""),"")</f>
        <v/>
      </c>
      <c r="K554" s="51"/>
      <c r="L554" s="51" t="s">
        <v>257</v>
      </c>
      <c r="M554" s="51"/>
      <c r="N554" s="51"/>
      <c r="O554" s="51"/>
      <c r="P554" s="51"/>
      <c r="Q554" s="51"/>
      <c r="R554" s="51"/>
      <c r="S554" s="51"/>
      <c r="T554" s="51"/>
    </row>
    <row r="555">
      <c r="A555" s="51"/>
      <c r="B555" s="51"/>
      <c r="C555" s="56"/>
      <c r="D555" s="51"/>
      <c r="E555" s="51"/>
      <c r="F555" s="51"/>
      <c r="G555" s="51" t="str">
        <f>IFERROR(__xludf.DUMMYFUNCTION("""COMPUTED_VALUE"""),"#VALUE!")</f>
        <v>#VALUE!</v>
      </c>
      <c r="H555" s="51" t="str">
        <f>IFERROR(__xludf.DUMMYFUNCTION("""COMPUTED_VALUE"""),"")</f>
        <v/>
      </c>
      <c r="I555" s="51" t="str">
        <f>IFERROR(__xludf.DUMMYFUNCTION("""COMPUTED_VALUE"""),"#VALUE!")</f>
        <v>#VALUE!</v>
      </c>
      <c r="J555" s="51" t="str">
        <f>IFERROR(__xludf.DUMMYFUNCTION("""COMPUTED_VALUE"""),"")</f>
        <v/>
      </c>
      <c r="K555" s="51"/>
      <c r="L555" s="51" t="s">
        <v>257</v>
      </c>
      <c r="M555" s="51"/>
      <c r="N555" s="51"/>
      <c r="O555" s="51"/>
      <c r="P555" s="51"/>
      <c r="Q555" s="51"/>
      <c r="R555" s="51"/>
      <c r="S555" s="51"/>
      <c r="T555" s="51"/>
    </row>
    <row r="556">
      <c r="A556" s="51"/>
      <c r="B556" s="51"/>
      <c r="C556" s="56"/>
      <c r="D556" s="51"/>
      <c r="E556" s="51"/>
      <c r="F556" s="51"/>
      <c r="G556" s="51" t="str">
        <f>IFERROR(__xludf.DUMMYFUNCTION("""COMPUTED_VALUE"""),"#VALUE!")</f>
        <v>#VALUE!</v>
      </c>
      <c r="H556" s="51" t="str">
        <f>IFERROR(__xludf.DUMMYFUNCTION("""COMPUTED_VALUE"""),"")</f>
        <v/>
      </c>
      <c r="I556" s="51" t="str">
        <f>IFERROR(__xludf.DUMMYFUNCTION("""COMPUTED_VALUE"""),"#VALUE!")</f>
        <v>#VALUE!</v>
      </c>
      <c r="J556" s="51" t="str">
        <f>IFERROR(__xludf.DUMMYFUNCTION("""COMPUTED_VALUE"""),"")</f>
        <v/>
      </c>
      <c r="K556" s="51"/>
      <c r="L556" s="51" t="s">
        <v>257</v>
      </c>
      <c r="M556" s="51"/>
      <c r="N556" s="51"/>
      <c r="O556" s="51"/>
      <c r="P556" s="51"/>
      <c r="Q556" s="51"/>
      <c r="R556" s="51"/>
      <c r="S556" s="51"/>
      <c r="T556" s="51"/>
    </row>
    <row r="557">
      <c r="A557" s="51"/>
      <c r="B557" s="51"/>
      <c r="C557" s="56"/>
      <c r="D557" s="51"/>
      <c r="E557" s="51"/>
      <c r="F557" s="51"/>
      <c r="G557" s="51" t="str">
        <f>IFERROR(__xludf.DUMMYFUNCTION("""COMPUTED_VALUE"""),"#VALUE!")</f>
        <v>#VALUE!</v>
      </c>
      <c r="H557" s="51" t="str">
        <f>IFERROR(__xludf.DUMMYFUNCTION("""COMPUTED_VALUE"""),"")</f>
        <v/>
      </c>
      <c r="I557" s="51" t="str">
        <f>IFERROR(__xludf.DUMMYFUNCTION("""COMPUTED_VALUE"""),"#VALUE!")</f>
        <v>#VALUE!</v>
      </c>
      <c r="J557" s="51" t="str">
        <f>IFERROR(__xludf.DUMMYFUNCTION("""COMPUTED_VALUE"""),"")</f>
        <v/>
      </c>
      <c r="K557" s="51"/>
      <c r="L557" s="51" t="s">
        <v>257</v>
      </c>
      <c r="M557" s="51"/>
      <c r="N557" s="51"/>
      <c r="O557" s="51"/>
      <c r="P557" s="51"/>
      <c r="Q557" s="51"/>
      <c r="R557" s="51"/>
      <c r="S557" s="51"/>
      <c r="T557" s="51"/>
    </row>
    <row r="558">
      <c r="A558" s="51"/>
      <c r="B558" s="51"/>
      <c r="C558" s="56"/>
      <c r="D558" s="51"/>
      <c r="E558" s="51"/>
      <c r="F558" s="51"/>
      <c r="G558" s="51" t="str">
        <f>IFERROR(__xludf.DUMMYFUNCTION("""COMPUTED_VALUE"""),"#VALUE!")</f>
        <v>#VALUE!</v>
      </c>
      <c r="H558" s="51" t="str">
        <f>IFERROR(__xludf.DUMMYFUNCTION("""COMPUTED_VALUE"""),"")</f>
        <v/>
      </c>
      <c r="I558" s="51" t="str">
        <f>IFERROR(__xludf.DUMMYFUNCTION("""COMPUTED_VALUE"""),"#VALUE!")</f>
        <v>#VALUE!</v>
      </c>
      <c r="J558" s="51" t="str">
        <f>IFERROR(__xludf.DUMMYFUNCTION("""COMPUTED_VALUE"""),"")</f>
        <v/>
      </c>
      <c r="K558" s="51"/>
      <c r="L558" s="51" t="s">
        <v>257</v>
      </c>
      <c r="M558" s="51"/>
      <c r="N558" s="51"/>
      <c r="O558" s="51"/>
      <c r="P558" s="51"/>
      <c r="Q558" s="51"/>
      <c r="R558" s="51"/>
      <c r="S558" s="51"/>
      <c r="T558" s="51"/>
    </row>
    <row r="559">
      <c r="A559" s="51"/>
      <c r="B559" s="51"/>
      <c r="C559" s="56"/>
      <c r="D559" s="51"/>
      <c r="E559" s="51"/>
      <c r="F559" s="51"/>
      <c r="G559" s="51" t="str">
        <f>IFERROR(__xludf.DUMMYFUNCTION("""COMPUTED_VALUE"""),"#VALUE!")</f>
        <v>#VALUE!</v>
      </c>
      <c r="H559" s="51" t="str">
        <f>IFERROR(__xludf.DUMMYFUNCTION("""COMPUTED_VALUE"""),"")</f>
        <v/>
      </c>
      <c r="I559" s="51" t="str">
        <f>IFERROR(__xludf.DUMMYFUNCTION("""COMPUTED_VALUE"""),"#VALUE!")</f>
        <v>#VALUE!</v>
      </c>
      <c r="J559" s="51" t="str">
        <f>IFERROR(__xludf.DUMMYFUNCTION("""COMPUTED_VALUE"""),"")</f>
        <v/>
      </c>
      <c r="K559" s="51"/>
      <c r="L559" s="51" t="s">
        <v>257</v>
      </c>
      <c r="M559" s="51"/>
      <c r="N559" s="51"/>
      <c r="O559" s="51"/>
      <c r="P559" s="51"/>
      <c r="Q559" s="51"/>
      <c r="R559" s="51"/>
      <c r="S559" s="51"/>
      <c r="T559" s="51"/>
    </row>
    <row r="560">
      <c r="A560" s="51"/>
      <c r="B560" s="51"/>
      <c r="C560" s="56"/>
      <c r="D560" s="51"/>
      <c r="E560" s="51"/>
      <c r="F560" s="51"/>
      <c r="G560" s="51" t="str">
        <f>IFERROR(__xludf.DUMMYFUNCTION("""COMPUTED_VALUE"""),"#VALUE!")</f>
        <v>#VALUE!</v>
      </c>
      <c r="H560" s="51" t="str">
        <f>IFERROR(__xludf.DUMMYFUNCTION("""COMPUTED_VALUE"""),"")</f>
        <v/>
      </c>
      <c r="I560" s="51" t="str">
        <f>IFERROR(__xludf.DUMMYFUNCTION("""COMPUTED_VALUE"""),"#VALUE!")</f>
        <v>#VALUE!</v>
      </c>
      <c r="J560" s="51" t="str">
        <f>IFERROR(__xludf.DUMMYFUNCTION("""COMPUTED_VALUE"""),"")</f>
        <v/>
      </c>
      <c r="K560" s="51"/>
      <c r="L560" s="51" t="s">
        <v>257</v>
      </c>
      <c r="M560" s="51"/>
      <c r="N560" s="51"/>
      <c r="O560" s="51"/>
      <c r="P560" s="51"/>
      <c r="Q560" s="51"/>
      <c r="R560" s="51"/>
      <c r="S560" s="51"/>
      <c r="T560" s="51"/>
    </row>
    <row r="561">
      <c r="A561" s="51"/>
      <c r="B561" s="51"/>
      <c r="C561" s="56"/>
      <c r="D561" s="51"/>
      <c r="E561" s="51"/>
      <c r="F561" s="51"/>
      <c r="G561" s="51" t="str">
        <f>IFERROR(__xludf.DUMMYFUNCTION("""COMPUTED_VALUE"""),"#VALUE!")</f>
        <v>#VALUE!</v>
      </c>
      <c r="H561" s="51" t="str">
        <f>IFERROR(__xludf.DUMMYFUNCTION("""COMPUTED_VALUE"""),"")</f>
        <v/>
      </c>
      <c r="I561" s="51" t="str">
        <f>IFERROR(__xludf.DUMMYFUNCTION("""COMPUTED_VALUE"""),"#VALUE!")</f>
        <v>#VALUE!</v>
      </c>
      <c r="J561" s="51" t="str">
        <f>IFERROR(__xludf.DUMMYFUNCTION("""COMPUTED_VALUE"""),"")</f>
        <v/>
      </c>
      <c r="K561" s="51"/>
      <c r="L561" s="51" t="s">
        <v>257</v>
      </c>
      <c r="M561" s="51"/>
      <c r="N561" s="51"/>
      <c r="O561" s="51"/>
      <c r="P561" s="51"/>
      <c r="Q561" s="51"/>
      <c r="R561" s="51"/>
      <c r="S561" s="51"/>
      <c r="T561" s="51"/>
    </row>
    <row r="562">
      <c r="A562" s="51"/>
      <c r="B562" s="51"/>
      <c r="C562" s="56"/>
      <c r="D562" s="51"/>
      <c r="E562" s="51"/>
      <c r="F562" s="51"/>
      <c r="G562" s="51" t="str">
        <f>IFERROR(__xludf.DUMMYFUNCTION("""COMPUTED_VALUE"""),"#VALUE!")</f>
        <v>#VALUE!</v>
      </c>
      <c r="H562" s="51" t="str">
        <f>IFERROR(__xludf.DUMMYFUNCTION("""COMPUTED_VALUE"""),"")</f>
        <v/>
      </c>
      <c r="I562" s="51" t="str">
        <f>IFERROR(__xludf.DUMMYFUNCTION("""COMPUTED_VALUE"""),"#VALUE!")</f>
        <v>#VALUE!</v>
      </c>
      <c r="J562" s="51" t="str">
        <f>IFERROR(__xludf.DUMMYFUNCTION("""COMPUTED_VALUE"""),"")</f>
        <v/>
      </c>
      <c r="K562" s="51"/>
      <c r="L562" s="51" t="s">
        <v>257</v>
      </c>
      <c r="M562" s="51"/>
      <c r="N562" s="51"/>
      <c r="O562" s="51"/>
      <c r="P562" s="51"/>
      <c r="Q562" s="51"/>
      <c r="R562" s="51"/>
      <c r="S562" s="51"/>
      <c r="T562" s="51"/>
    </row>
    <row r="563">
      <c r="A563" s="51"/>
      <c r="B563" s="51"/>
      <c r="C563" s="56"/>
      <c r="D563" s="51"/>
      <c r="E563" s="51"/>
      <c r="F563" s="51"/>
      <c r="G563" s="51" t="str">
        <f>IFERROR(__xludf.DUMMYFUNCTION("""COMPUTED_VALUE"""),"#VALUE!")</f>
        <v>#VALUE!</v>
      </c>
      <c r="H563" s="51" t="str">
        <f>IFERROR(__xludf.DUMMYFUNCTION("""COMPUTED_VALUE"""),"")</f>
        <v/>
      </c>
      <c r="I563" s="51" t="str">
        <f>IFERROR(__xludf.DUMMYFUNCTION("""COMPUTED_VALUE"""),"#VALUE!")</f>
        <v>#VALUE!</v>
      </c>
      <c r="J563" s="51" t="str">
        <f>IFERROR(__xludf.DUMMYFUNCTION("""COMPUTED_VALUE"""),"")</f>
        <v/>
      </c>
      <c r="K563" s="51"/>
      <c r="L563" s="51" t="s">
        <v>257</v>
      </c>
      <c r="M563" s="51"/>
      <c r="N563" s="51"/>
      <c r="O563" s="51"/>
      <c r="P563" s="51"/>
      <c r="Q563" s="51"/>
      <c r="R563" s="51"/>
      <c r="S563" s="51"/>
      <c r="T563" s="51"/>
    </row>
    <row r="564">
      <c r="A564" s="51"/>
      <c r="B564" s="51"/>
      <c r="C564" s="56"/>
      <c r="D564" s="51"/>
      <c r="E564" s="51"/>
      <c r="F564" s="51"/>
      <c r="G564" s="51" t="str">
        <f>IFERROR(__xludf.DUMMYFUNCTION("""COMPUTED_VALUE"""),"#VALUE!")</f>
        <v>#VALUE!</v>
      </c>
      <c r="H564" s="51" t="str">
        <f>IFERROR(__xludf.DUMMYFUNCTION("""COMPUTED_VALUE"""),"")</f>
        <v/>
      </c>
      <c r="I564" s="51" t="str">
        <f>IFERROR(__xludf.DUMMYFUNCTION("""COMPUTED_VALUE"""),"#VALUE!")</f>
        <v>#VALUE!</v>
      </c>
      <c r="J564" s="51" t="str">
        <f>IFERROR(__xludf.DUMMYFUNCTION("""COMPUTED_VALUE"""),"")</f>
        <v/>
      </c>
      <c r="K564" s="51"/>
      <c r="L564" s="51" t="s">
        <v>257</v>
      </c>
      <c r="M564" s="51"/>
      <c r="N564" s="51"/>
      <c r="O564" s="51"/>
      <c r="P564" s="51"/>
      <c r="Q564" s="51"/>
      <c r="R564" s="51"/>
      <c r="S564" s="51"/>
      <c r="T564" s="51"/>
    </row>
    <row r="565">
      <c r="A565" s="51"/>
      <c r="B565" s="51"/>
      <c r="C565" s="56"/>
      <c r="D565" s="51"/>
      <c r="E565" s="51"/>
      <c r="F565" s="51"/>
      <c r="G565" s="51" t="str">
        <f>IFERROR(__xludf.DUMMYFUNCTION("""COMPUTED_VALUE"""),"#VALUE!")</f>
        <v>#VALUE!</v>
      </c>
      <c r="H565" s="51" t="str">
        <f>IFERROR(__xludf.DUMMYFUNCTION("""COMPUTED_VALUE"""),"")</f>
        <v/>
      </c>
      <c r="I565" s="51" t="str">
        <f>IFERROR(__xludf.DUMMYFUNCTION("""COMPUTED_VALUE"""),"#VALUE!")</f>
        <v>#VALUE!</v>
      </c>
      <c r="J565" s="51" t="str">
        <f>IFERROR(__xludf.DUMMYFUNCTION("""COMPUTED_VALUE"""),"")</f>
        <v/>
      </c>
      <c r="K565" s="51"/>
      <c r="L565" s="51" t="s">
        <v>257</v>
      </c>
      <c r="M565" s="51"/>
      <c r="N565" s="51"/>
      <c r="O565" s="51"/>
      <c r="P565" s="51"/>
      <c r="Q565" s="51"/>
      <c r="R565" s="51"/>
      <c r="S565" s="51"/>
      <c r="T565" s="51"/>
    </row>
  </sheetData>
  <conditionalFormatting sqref="O2:O48">
    <cfRule type="containsText" dxfId="4" priority="1" operator="containsText" text="YES">
      <formula>NOT(ISERROR(SEARCH(("YES"),(O2))))</formula>
    </cfRule>
  </conditionalFormatting>
  <conditionalFormatting sqref="O2:O48">
    <cfRule type="cellIs" dxfId="5" priority="2" operator="equal">
      <formula>"NO"</formula>
    </cfRule>
  </conditionalFormatting>
  <conditionalFormatting sqref="P2:P48">
    <cfRule type="cellIs" dxfId="4" priority="3" operator="equal">
      <formula>"AVAILABLE"</formula>
    </cfRule>
  </conditionalFormatting>
  <conditionalFormatting sqref="P2:P48">
    <cfRule type="cellIs" dxfId="5" priority="4" operator="equal">
      <formula>"NOT AVAILABLE"</formula>
    </cfRule>
  </conditionalFormatting>
  <conditionalFormatting sqref="Q2:Q48">
    <cfRule type="cellIs" dxfId="4" priority="5" operator="equal">
      <formula>"AVAILABLE"</formula>
    </cfRule>
  </conditionalFormatting>
  <conditionalFormatting sqref="Q2:Q48">
    <cfRule type="cellIs" dxfId="6" priority="6" operator="equal">
      <formula>"UPLOADING"</formula>
    </cfRule>
  </conditionalFormatting>
  <conditionalFormatting sqref="Q2:Q48">
    <cfRule type="cellIs" dxfId="5" priority="7" operator="equal">
      <formula>"NOT AVAILABLE"</formula>
    </cfRule>
  </conditionalFormatting>
  <dataValidations>
    <dataValidation type="list" allowBlank="1" sqref="O2:O48">
      <formula1>"YES,NO"</formula1>
    </dataValidation>
    <dataValidation type="list" allowBlank="1" sqref="P2:P48">
      <formula1>"AVAILABLE,NOT AVAILABLE"</formula1>
    </dataValidation>
    <dataValidation type="list" allowBlank="1" sqref="Q2:Q48">
      <formula1>"AVAILABLE,UPLOADING,NOT AVAILABLE"</formula1>
    </dataValidation>
  </dataValidations>
  <drawing r:id="rId1"/>
  <tableParts count="1">
    <tablePart r:id="rId3"/>
  </tableParts>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0.14"/>
    <col customWidth="1" min="3" max="3" width="19.86"/>
    <col hidden="1" min="4" max="5" width="14.43"/>
    <col customWidth="1" min="6" max="6" width="37.57"/>
    <col hidden="1" min="9" max="9" width="14.43"/>
  </cols>
  <sheetData>
    <row r="1">
      <c r="A1" s="46" t="s">
        <v>79</v>
      </c>
      <c r="B1" s="46" t="s">
        <v>80</v>
      </c>
      <c r="C1" s="48" t="s">
        <v>81</v>
      </c>
      <c r="D1" s="46" t="s">
        <v>82</v>
      </c>
      <c r="E1" s="46" t="s">
        <v>83</v>
      </c>
      <c r="F1" s="46" t="s">
        <v>84</v>
      </c>
      <c r="G1" s="46" t="s">
        <v>85</v>
      </c>
      <c r="H1" s="46" t="s">
        <v>86</v>
      </c>
      <c r="I1" s="46" t="s">
        <v>87</v>
      </c>
      <c r="J1" s="46" t="s">
        <v>88</v>
      </c>
      <c r="K1" s="46" t="s">
        <v>89</v>
      </c>
      <c r="L1" s="46" t="s">
        <v>90</v>
      </c>
      <c r="M1" s="46" t="s">
        <v>91</v>
      </c>
      <c r="N1" s="46" t="s">
        <v>92</v>
      </c>
      <c r="O1" s="50" t="s">
        <v>93</v>
      </c>
      <c r="P1" s="50" t="s">
        <v>94</v>
      </c>
      <c r="Q1" s="50" t="s">
        <v>95</v>
      </c>
      <c r="R1" s="51"/>
      <c r="S1" s="51"/>
      <c r="T1" s="51"/>
    </row>
    <row r="2">
      <c r="A2" s="54" t="str">
        <f>IFERROR(__xludf.DUMMYFUNCTION("QUERY(Master!A:H,""SELECT A,C,D,F,G,H where C = 'Startup University' ORDER BY F"")"),"Opening remarks ")</f>
        <v>Opening remarks </v>
      </c>
      <c r="B2" s="51" t="str">
        <f>IFERROR(__xludf.DUMMYFUNCTION("""COMPUTED_VALUE"""),"Startup University")</f>
        <v>Startup University</v>
      </c>
      <c r="C2" s="56" t="str">
        <f>IFERROR(__xludf.DUMMYFUNCTION("""COMPUTED_VALUE"""),"Noel Toolan")</f>
        <v>Noel Toolan</v>
      </c>
      <c r="D2" s="51" t="str">
        <f>IFERROR(__xludf.DUMMYFUNCTION("""COMPUTED_VALUE"""),"2019/11/05 10:15:00")</f>
        <v>2019/11/05 10:15:00</v>
      </c>
      <c r="E2" s="51" t="str">
        <f>IFERROR(__xludf.DUMMYFUNCTION("""COMPUTED_VALUE"""),"2019/11/05 10:30:00")</f>
        <v>2019/11/05 10:30:00</v>
      </c>
      <c r="F2" s="51" t="str">
        <f>IFERROR(__xludf.DUMMYFUNCTION("""COMPUTED_VALUE"""),"d02fc0ee-1086-409c-8759-6f28e208c52a")</f>
        <v>d02fc0ee-1086-409c-8759-6f28e208c52a</v>
      </c>
      <c r="G2" s="61">
        <f>IFERROR(__xludf.DUMMYFUNCTION("ARRAYFORMULA(SPLIT(D2:D545,"" ""))"),43774.0)</f>
        <v>43774</v>
      </c>
      <c r="H2" s="60">
        <f>IFERROR(__xludf.DUMMYFUNCTION("""COMPUTED_VALUE"""),0.4270833333333333)</f>
        <v>0.4270833333</v>
      </c>
      <c r="I2" s="61">
        <f>IFERROR(__xludf.DUMMYFUNCTION("ARRAYFORMULA(SPLIT(E2:E545,"" ""))"),43774.0)</f>
        <v>43774</v>
      </c>
      <c r="J2" s="60">
        <f>IFERROR(__xludf.DUMMYFUNCTION("""COMPUTED_VALUE"""),0.4375)</f>
        <v>0.4375</v>
      </c>
      <c r="K2" s="60">
        <f t="shared" ref="K2:K44" si="1">J2-H2</f>
        <v>0.01041666667</v>
      </c>
      <c r="L2" s="54" t="str">
        <f t="array" ref="L2:L545">TEXT(K2:K545,"hhmmss")</f>
        <v>001500</v>
      </c>
      <c r="M2" s="62" t="s">
        <v>634</v>
      </c>
      <c r="N2" s="62" t="str">
        <f t="shared" ref="N2:N33" si="2">CONCATENATE(M2,"_",F2,"_","000000_000000.mp4")</f>
        <v>SU_5_1_d02fc0ee-1086-409c-8759-6f28e208c52a_000000_000000.mp4</v>
      </c>
      <c r="O2" s="50"/>
      <c r="P2" s="50"/>
      <c r="Q2" s="63"/>
      <c r="R2" s="51"/>
      <c r="S2" s="51"/>
      <c r="T2" s="51"/>
    </row>
    <row r="3">
      <c r="A3" s="51" t="str">
        <f>IFERROR(__xludf.DUMMYFUNCTION("""COMPUTED_VALUE"""),"Negotiate your way to the top ")</f>
        <v>Negotiate your way to the top </v>
      </c>
      <c r="B3" s="51" t="str">
        <f>IFERROR(__xludf.DUMMYFUNCTION("""COMPUTED_VALUE"""),"Startup University")</f>
        <v>Startup University</v>
      </c>
      <c r="C3" s="56" t="str">
        <f>IFERROR(__xludf.DUMMYFUNCTION("""COMPUTED_VALUE"""),"Keaton Keller, Michelle Zatlyn and Jared Lindzon")</f>
        <v>Keaton Keller, Michelle Zatlyn and Jared Lindzon</v>
      </c>
      <c r="D3" s="51" t="str">
        <f>IFERROR(__xludf.DUMMYFUNCTION("""COMPUTED_VALUE"""),"2019/11/05 10:30:00")</f>
        <v>2019/11/05 10:30:00</v>
      </c>
      <c r="E3" s="51" t="str">
        <f>IFERROR(__xludf.DUMMYFUNCTION("""COMPUTED_VALUE"""),"2019/11/05 10:50:00")</f>
        <v>2019/11/05 10:50:00</v>
      </c>
      <c r="F3" s="51" t="str">
        <f>IFERROR(__xludf.DUMMYFUNCTION("""COMPUTED_VALUE"""),"6609422e-43c8-47a4-b67e-5d1f99a3ee06")</f>
        <v>6609422e-43c8-47a4-b67e-5d1f99a3ee06</v>
      </c>
      <c r="G3" s="58">
        <f>IFERROR(__xludf.DUMMYFUNCTION("""COMPUTED_VALUE"""),43774.0)</f>
        <v>43774</v>
      </c>
      <c r="H3" s="60">
        <f>IFERROR(__xludf.DUMMYFUNCTION("""COMPUTED_VALUE"""),0.4375)</f>
        <v>0.4375</v>
      </c>
      <c r="I3" s="58">
        <f>IFERROR(__xludf.DUMMYFUNCTION("""COMPUTED_VALUE"""),43774.0)</f>
        <v>43774</v>
      </c>
      <c r="J3" s="60">
        <f>IFERROR(__xludf.DUMMYFUNCTION("""COMPUTED_VALUE"""),0.4513888888888889)</f>
        <v>0.4513888889</v>
      </c>
      <c r="K3" s="60">
        <f t="shared" si="1"/>
        <v>0.01388888889</v>
      </c>
      <c r="L3" s="51" t="s">
        <v>111</v>
      </c>
      <c r="M3" s="62" t="s">
        <v>636</v>
      </c>
      <c r="N3" s="62" t="str">
        <f t="shared" si="2"/>
        <v>SU_5_2_6609422e-43c8-47a4-b67e-5d1f99a3ee06_000000_000000.mp4</v>
      </c>
      <c r="O3" s="50"/>
      <c r="P3" s="50"/>
      <c r="Q3" s="63"/>
      <c r="R3" s="51"/>
      <c r="S3" s="51"/>
      <c r="T3" s="51"/>
    </row>
    <row r="4">
      <c r="A4" s="51" t="str">
        <f>IFERROR(__xludf.DUMMYFUNCTION("""COMPUTED_VALUE"""),"Competition: It's complicated ")</f>
        <v>Competition: It's complicated </v>
      </c>
      <c r="B4" s="51" t="str">
        <f>IFERROR(__xludf.DUMMYFUNCTION("""COMPUTED_VALUE"""),"Startup University")</f>
        <v>Startup University</v>
      </c>
      <c r="C4" s="56" t="str">
        <f>IFERROR(__xludf.DUMMYFUNCTION("""COMPUTED_VALUE"""),"Kristen Garcia Dumont")</f>
        <v>Kristen Garcia Dumont</v>
      </c>
      <c r="D4" s="51" t="str">
        <f>IFERROR(__xludf.DUMMYFUNCTION("""COMPUTED_VALUE"""),"2019/11/05 10:50:00")</f>
        <v>2019/11/05 10:50:00</v>
      </c>
      <c r="E4" s="51" t="str">
        <f>IFERROR(__xludf.DUMMYFUNCTION("""COMPUTED_VALUE"""),"2019/11/05 11:10:00")</f>
        <v>2019/11/05 11:10:00</v>
      </c>
      <c r="F4" s="51" t="str">
        <f>IFERROR(__xludf.DUMMYFUNCTION("""COMPUTED_VALUE"""),"938bc87e-f800-43dd-9587-397cd9aa7392")</f>
        <v>938bc87e-f800-43dd-9587-397cd9aa7392</v>
      </c>
      <c r="G4" s="58">
        <f>IFERROR(__xludf.DUMMYFUNCTION("""COMPUTED_VALUE"""),43774.0)</f>
        <v>43774</v>
      </c>
      <c r="H4" s="60">
        <f>IFERROR(__xludf.DUMMYFUNCTION("""COMPUTED_VALUE"""),0.4513888888888889)</f>
        <v>0.4513888889</v>
      </c>
      <c r="I4" s="58">
        <f>IFERROR(__xludf.DUMMYFUNCTION("""COMPUTED_VALUE"""),43774.0)</f>
        <v>43774</v>
      </c>
      <c r="J4" s="60">
        <f>IFERROR(__xludf.DUMMYFUNCTION("""COMPUTED_VALUE"""),0.4652777777777778)</f>
        <v>0.4652777778</v>
      </c>
      <c r="K4" s="60">
        <f t="shared" si="1"/>
        <v>0.01388888889</v>
      </c>
      <c r="L4" s="51" t="s">
        <v>111</v>
      </c>
      <c r="M4" s="62" t="s">
        <v>638</v>
      </c>
      <c r="N4" s="62" t="str">
        <f t="shared" si="2"/>
        <v>SU_5_3_938bc87e-f800-43dd-9587-397cd9aa7392_000000_000000.mp4</v>
      </c>
      <c r="O4" s="50"/>
      <c r="P4" s="50"/>
      <c r="Q4" s="63"/>
      <c r="R4" s="51"/>
      <c r="S4" s="51"/>
      <c r="T4" s="51"/>
    </row>
    <row r="5">
      <c r="A5" s="51" t="str">
        <f>IFERROR(__xludf.DUMMYFUNCTION("""COMPUTED_VALUE"""),"From 'What if' to 'Shazam that' ")</f>
        <v>From 'What if' to 'Shazam that' </v>
      </c>
      <c r="B5" s="51" t="str">
        <f>IFERROR(__xludf.DUMMYFUNCTION("""COMPUTED_VALUE"""),"Startup University")</f>
        <v>Startup University</v>
      </c>
      <c r="C5" s="56" t="str">
        <f>IFERROR(__xludf.DUMMYFUNCTION("""COMPUTED_VALUE"""),"Chris Barton")</f>
        <v>Chris Barton</v>
      </c>
      <c r="D5" s="51" t="str">
        <f>IFERROR(__xludf.DUMMYFUNCTION("""COMPUTED_VALUE"""),"2019/11/05 11:10:00")</f>
        <v>2019/11/05 11:10:00</v>
      </c>
      <c r="E5" s="51" t="str">
        <f>IFERROR(__xludf.DUMMYFUNCTION("""COMPUTED_VALUE"""),"2019/11/05 11:30:00")</f>
        <v>2019/11/05 11:30:00</v>
      </c>
      <c r="F5" s="51" t="str">
        <f>IFERROR(__xludf.DUMMYFUNCTION("""COMPUTED_VALUE"""),"2e3242c8-2539-40af-8a57-8b977efe0695")</f>
        <v>2e3242c8-2539-40af-8a57-8b977efe0695</v>
      </c>
      <c r="G5" s="58">
        <f>IFERROR(__xludf.DUMMYFUNCTION("""COMPUTED_VALUE"""),43774.0)</f>
        <v>43774</v>
      </c>
      <c r="H5" s="60">
        <f>IFERROR(__xludf.DUMMYFUNCTION("""COMPUTED_VALUE"""),0.4652777777777778)</f>
        <v>0.4652777778</v>
      </c>
      <c r="I5" s="58">
        <f>IFERROR(__xludf.DUMMYFUNCTION("""COMPUTED_VALUE"""),43774.0)</f>
        <v>43774</v>
      </c>
      <c r="J5" s="60">
        <f>IFERROR(__xludf.DUMMYFUNCTION("""COMPUTED_VALUE"""),0.4791666666666667)</f>
        <v>0.4791666667</v>
      </c>
      <c r="K5" s="60">
        <f t="shared" si="1"/>
        <v>0.01388888889</v>
      </c>
      <c r="L5" s="51" t="s">
        <v>111</v>
      </c>
      <c r="M5" s="62" t="s">
        <v>641</v>
      </c>
      <c r="N5" s="62" t="str">
        <f t="shared" si="2"/>
        <v>SU_5_4_2e3242c8-2539-40af-8a57-8b977efe0695_000000_000000.mp4</v>
      </c>
      <c r="O5" s="50"/>
      <c r="P5" s="50"/>
      <c r="Q5" s="63"/>
      <c r="R5" s="51"/>
      <c r="S5" s="51"/>
      <c r="T5" s="51"/>
    </row>
    <row r="6">
      <c r="A6" s="51" t="str">
        <f>IFERROR(__xludf.DUMMYFUNCTION("""COMPUTED_VALUE"""),"What they don't teach you at business school ")</f>
        <v>What they don't teach you at business school </v>
      </c>
      <c r="B6" s="51" t="str">
        <f>IFERROR(__xludf.DUMMYFUNCTION("""COMPUTED_VALUE"""),"Startup University")</f>
        <v>Startup University</v>
      </c>
      <c r="C6" s="56" t="str">
        <f>IFERROR(__xludf.DUMMYFUNCTION("""COMPUTED_VALUE""")," , Vasco Pedro, Carlos Moedas and Anne Gaviola")</f>
        <v> , Vasco Pedro, Carlos Moedas and Anne Gaviola</v>
      </c>
      <c r="D6" s="51" t="str">
        <f>IFERROR(__xludf.DUMMYFUNCTION("""COMPUTED_VALUE"""),"2019/11/05 11:30:00")</f>
        <v>2019/11/05 11:30:00</v>
      </c>
      <c r="E6" s="51" t="str">
        <f>IFERROR(__xludf.DUMMYFUNCTION("""COMPUTED_VALUE"""),"2019/11/05 11:55:00")</f>
        <v>2019/11/05 11:55:00</v>
      </c>
      <c r="F6" s="51" t="str">
        <f>IFERROR(__xludf.DUMMYFUNCTION("""COMPUTED_VALUE"""),"c947edbc-7a57-4f0a-ad5d-8f67dece348f")</f>
        <v>c947edbc-7a57-4f0a-ad5d-8f67dece348f</v>
      </c>
      <c r="G6" s="58">
        <f>IFERROR(__xludf.DUMMYFUNCTION("""COMPUTED_VALUE"""),43774.0)</f>
        <v>43774</v>
      </c>
      <c r="H6" s="60">
        <f>IFERROR(__xludf.DUMMYFUNCTION("""COMPUTED_VALUE"""),0.4791666666666667)</f>
        <v>0.4791666667</v>
      </c>
      <c r="I6" s="58">
        <f>IFERROR(__xludf.DUMMYFUNCTION("""COMPUTED_VALUE"""),43774.0)</f>
        <v>43774</v>
      </c>
      <c r="J6" s="60">
        <f>IFERROR(__xludf.DUMMYFUNCTION("""COMPUTED_VALUE"""),0.4965277777777778)</f>
        <v>0.4965277778</v>
      </c>
      <c r="K6" s="60">
        <f t="shared" si="1"/>
        <v>0.01736111111</v>
      </c>
      <c r="L6" s="51" t="s">
        <v>107</v>
      </c>
      <c r="M6" s="62" t="s">
        <v>643</v>
      </c>
      <c r="N6" s="62" t="str">
        <f t="shared" si="2"/>
        <v>SU_5_5_c947edbc-7a57-4f0a-ad5d-8f67dece348f_000000_000000.mp4</v>
      </c>
      <c r="O6" s="50"/>
      <c r="P6" s="50"/>
      <c r="Q6" s="63"/>
      <c r="R6" s="51"/>
      <c r="S6" s="51"/>
      <c r="T6" s="51"/>
    </row>
    <row r="7">
      <c r="A7" s="51" t="str">
        <f>IFERROR(__xludf.DUMMYFUNCTION("""COMPUTED_VALUE"""),"From zero to global: A super-scaling story ")</f>
        <v>From zero to global: A super-scaling story </v>
      </c>
      <c r="B7" s="51" t="str">
        <f>IFERROR(__xludf.DUMMYFUNCTION("""COMPUTED_VALUE"""),"Startup University")</f>
        <v>Startup University</v>
      </c>
      <c r="C7" s="56" t="str">
        <f>IFERROR(__xludf.DUMMYFUNCTION("""COMPUTED_VALUE"""),"Juan Pablo Ortega, Emilio Garcia - Ruiz and Jeremy Kahn")</f>
        <v>Juan Pablo Ortega, Emilio Garcia - Ruiz and Jeremy Kahn</v>
      </c>
      <c r="D7" s="51" t="str">
        <f>IFERROR(__xludf.DUMMYFUNCTION("""COMPUTED_VALUE"""),"2019/11/05 11:55:00")</f>
        <v>2019/11/05 11:55:00</v>
      </c>
      <c r="E7" s="51" t="str">
        <f>IFERROR(__xludf.DUMMYFUNCTION("""COMPUTED_VALUE"""),"2019/11/05 12:20:00")</f>
        <v>2019/11/05 12:20:00</v>
      </c>
      <c r="F7" s="51" t="str">
        <f>IFERROR(__xludf.DUMMYFUNCTION("""COMPUTED_VALUE"""),"4046ae23-4247-4fe8-8f0b-b610a0fcc31c")</f>
        <v>4046ae23-4247-4fe8-8f0b-b610a0fcc31c</v>
      </c>
      <c r="G7" s="58">
        <f>IFERROR(__xludf.DUMMYFUNCTION("""COMPUTED_VALUE"""),43774.0)</f>
        <v>43774</v>
      </c>
      <c r="H7" s="60">
        <f>IFERROR(__xludf.DUMMYFUNCTION("""COMPUTED_VALUE"""),0.4965277777777778)</f>
        <v>0.4965277778</v>
      </c>
      <c r="I7" s="58">
        <f>IFERROR(__xludf.DUMMYFUNCTION("""COMPUTED_VALUE"""),43774.0)</f>
        <v>43774</v>
      </c>
      <c r="J7" s="60">
        <f>IFERROR(__xludf.DUMMYFUNCTION("""COMPUTED_VALUE"""),0.5138888888888888)</f>
        <v>0.5138888889</v>
      </c>
      <c r="K7" s="60">
        <f t="shared" si="1"/>
        <v>0.01736111111</v>
      </c>
      <c r="L7" s="51" t="s">
        <v>107</v>
      </c>
      <c r="M7" s="62" t="s">
        <v>644</v>
      </c>
      <c r="N7" s="62" t="str">
        <f t="shared" si="2"/>
        <v>SU_5_6_4046ae23-4247-4fe8-8f0b-b610a0fcc31c_000000_000000.mp4</v>
      </c>
      <c r="O7" s="50"/>
      <c r="P7" s="50"/>
      <c r="Q7" s="63"/>
      <c r="R7" s="51"/>
      <c r="S7" s="51"/>
      <c r="T7" s="51"/>
    </row>
    <row r="8">
      <c r="A8" s="51" t="str">
        <f>IFERROR(__xludf.DUMMYFUNCTION("""COMPUTED_VALUE"""),"Majority world report 2019")</f>
        <v>Majority world report 2019</v>
      </c>
      <c r="B8" s="51" t="str">
        <f>IFERROR(__xludf.DUMMYFUNCTION("""COMPUTED_VALUE"""),"Startup University")</f>
        <v>Startup University</v>
      </c>
      <c r="C8" s="56" t="str">
        <f>IFERROR(__xludf.DUMMYFUNCTION("""COMPUTED_VALUE"""),"Saul Klein")</f>
        <v>Saul Klein</v>
      </c>
      <c r="D8" s="51" t="str">
        <f>IFERROR(__xludf.DUMMYFUNCTION("""COMPUTED_VALUE"""),"2019/11/05 12:20:00")</f>
        <v>2019/11/05 12:20:00</v>
      </c>
      <c r="E8" s="51" t="str">
        <f>IFERROR(__xludf.DUMMYFUNCTION("""COMPUTED_VALUE"""),"2019/11/05 12:40:00")</f>
        <v>2019/11/05 12:40:00</v>
      </c>
      <c r="F8" s="51" t="str">
        <f>IFERROR(__xludf.DUMMYFUNCTION("""COMPUTED_VALUE"""),"6461ef29-06a4-405c-adf8-7a4c5dd298f4")</f>
        <v>6461ef29-06a4-405c-adf8-7a4c5dd298f4</v>
      </c>
      <c r="G8" s="58">
        <f>IFERROR(__xludf.DUMMYFUNCTION("""COMPUTED_VALUE"""),43774.0)</f>
        <v>43774</v>
      </c>
      <c r="H8" s="60">
        <f>IFERROR(__xludf.DUMMYFUNCTION("""COMPUTED_VALUE"""),0.5138888888888888)</f>
        <v>0.5138888889</v>
      </c>
      <c r="I8" s="58">
        <f>IFERROR(__xludf.DUMMYFUNCTION("""COMPUTED_VALUE"""),43774.0)</f>
        <v>43774</v>
      </c>
      <c r="J8" s="60">
        <f>IFERROR(__xludf.DUMMYFUNCTION("""COMPUTED_VALUE"""),0.5277777777777778)</f>
        <v>0.5277777778</v>
      </c>
      <c r="K8" s="60">
        <f t="shared" si="1"/>
        <v>0.01388888889</v>
      </c>
      <c r="L8" s="51" t="s">
        <v>111</v>
      </c>
      <c r="M8" s="62" t="s">
        <v>646</v>
      </c>
      <c r="N8" s="62" t="str">
        <f t="shared" si="2"/>
        <v>SU_5_7_6461ef29-06a4-405c-adf8-7a4c5dd298f4_000000_000000.mp4</v>
      </c>
      <c r="O8" s="50"/>
      <c r="P8" s="50"/>
      <c r="Q8" s="63"/>
      <c r="R8" s="51"/>
      <c r="S8" s="51"/>
      <c r="T8" s="51"/>
    </row>
    <row r="9">
      <c r="A9" s="51" t="str">
        <f>IFERROR(__xludf.DUMMYFUNCTION("""COMPUTED_VALUE"""),"Innovating at scale ")</f>
        <v>Innovating at scale </v>
      </c>
      <c r="B9" s="51" t="str">
        <f>IFERROR(__xludf.DUMMYFUNCTION("""COMPUTED_VALUE"""),"Startup University")</f>
        <v>Startup University</v>
      </c>
      <c r="C9" s="56" t="str">
        <f>IFERROR(__xludf.DUMMYFUNCTION("""COMPUTED_VALUE"""),"Gillian Tans and Elizabeth Schulze")</f>
        <v>Gillian Tans and Elizabeth Schulze</v>
      </c>
      <c r="D9" s="51" t="str">
        <f>IFERROR(__xludf.DUMMYFUNCTION("""COMPUTED_VALUE"""),"2019/11/05 12:40:00")</f>
        <v>2019/11/05 12:40:00</v>
      </c>
      <c r="E9" s="51" t="str">
        <f>IFERROR(__xludf.DUMMYFUNCTION("""COMPUTED_VALUE"""),"2019/11/05 13:00:00")</f>
        <v>2019/11/05 13:00:00</v>
      </c>
      <c r="F9" s="51" t="str">
        <f>IFERROR(__xludf.DUMMYFUNCTION("""COMPUTED_VALUE"""),"682be20c-3601-4e01-af1a-1e88e61aab04")</f>
        <v>682be20c-3601-4e01-af1a-1e88e61aab04</v>
      </c>
      <c r="G9" s="58">
        <f>IFERROR(__xludf.DUMMYFUNCTION("""COMPUTED_VALUE"""),43774.0)</f>
        <v>43774</v>
      </c>
      <c r="H9" s="60">
        <f>IFERROR(__xludf.DUMMYFUNCTION("""COMPUTED_VALUE"""),0.5277777777777778)</f>
        <v>0.5277777778</v>
      </c>
      <c r="I9" s="58">
        <f>IFERROR(__xludf.DUMMYFUNCTION("""COMPUTED_VALUE"""),43774.0)</f>
        <v>43774</v>
      </c>
      <c r="J9" s="60">
        <f>IFERROR(__xludf.DUMMYFUNCTION("""COMPUTED_VALUE"""),0.5416666666666666)</f>
        <v>0.5416666667</v>
      </c>
      <c r="K9" s="60">
        <f t="shared" si="1"/>
        <v>0.01388888889</v>
      </c>
      <c r="L9" s="51" t="s">
        <v>111</v>
      </c>
      <c r="M9" s="62" t="s">
        <v>648</v>
      </c>
      <c r="N9" s="62" t="str">
        <f t="shared" si="2"/>
        <v>SU_5_8_682be20c-3601-4e01-af1a-1e88e61aab04_000000_000000.mp4</v>
      </c>
      <c r="O9" s="50"/>
      <c r="P9" s="50"/>
      <c r="Q9" s="63"/>
      <c r="R9" s="51"/>
      <c r="S9" s="51"/>
      <c r="T9" s="51"/>
    </row>
    <row r="10">
      <c r="A10" s="51" t="str">
        <f>IFERROR(__xludf.DUMMYFUNCTION("""COMPUTED_VALUE"""),"Lunch break")</f>
        <v>Lunch break</v>
      </c>
      <c r="B10" s="51" t="str">
        <f>IFERROR(__xludf.DUMMYFUNCTION("""COMPUTED_VALUE"""),"Startup University")</f>
        <v>Startup University</v>
      </c>
      <c r="C10" s="56" t="str">
        <f>IFERROR(__xludf.DUMMYFUNCTION("""COMPUTED_VALUE"""),"")</f>
        <v/>
      </c>
      <c r="D10" s="51" t="str">
        <f>IFERROR(__xludf.DUMMYFUNCTION("""COMPUTED_VALUE"""),"2019/11/05 13:00:00")</f>
        <v>2019/11/05 13:00:00</v>
      </c>
      <c r="E10" s="51" t="str">
        <f>IFERROR(__xludf.DUMMYFUNCTION("""COMPUTED_VALUE"""),"2019/11/05 13:45:00")</f>
        <v>2019/11/05 13:45:00</v>
      </c>
      <c r="F10" s="51" t="str">
        <f>IFERROR(__xludf.DUMMYFUNCTION("""COMPUTED_VALUE"""),"b7b13b0c-cb93-4a28-92f2-c64579221f57")</f>
        <v>b7b13b0c-cb93-4a28-92f2-c64579221f57</v>
      </c>
      <c r="G10" s="58">
        <f>IFERROR(__xludf.DUMMYFUNCTION("""COMPUTED_VALUE"""),43774.0)</f>
        <v>43774</v>
      </c>
      <c r="H10" s="60">
        <f>IFERROR(__xludf.DUMMYFUNCTION("""COMPUTED_VALUE"""),0.5416666666666666)</f>
        <v>0.5416666667</v>
      </c>
      <c r="I10" s="58">
        <f>IFERROR(__xludf.DUMMYFUNCTION("""COMPUTED_VALUE"""),43774.0)</f>
        <v>43774</v>
      </c>
      <c r="J10" s="60">
        <f>IFERROR(__xludf.DUMMYFUNCTION("""COMPUTED_VALUE"""),0.5729166666666666)</f>
        <v>0.5729166667</v>
      </c>
      <c r="K10" s="60">
        <f t="shared" si="1"/>
        <v>0.03125</v>
      </c>
      <c r="L10" s="51" t="s">
        <v>131</v>
      </c>
      <c r="M10" s="51"/>
      <c r="N10" s="62" t="str">
        <f t="shared" si="2"/>
        <v>_b7b13b0c-cb93-4a28-92f2-c64579221f57_000000_000000.mp4</v>
      </c>
      <c r="O10" s="50"/>
      <c r="P10" s="50"/>
      <c r="Q10" s="63"/>
      <c r="R10" s="51"/>
      <c r="S10" s="51"/>
      <c r="T10" s="51"/>
    </row>
    <row r="11">
      <c r="A11" s="51" t="str">
        <f>IFERROR(__xludf.DUMMYFUNCTION("""COMPUTED_VALUE"""),"Opening remarks ")</f>
        <v>Opening remarks </v>
      </c>
      <c r="B11" s="51" t="str">
        <f>IFERROR(__xludf.DUMMYFUNCTION("""COMPUTED_VALUE"""),"Startup University")</f>
        <v>Startup University</v>
      </c>
      <c r="C11" s="56" t="str">
        <f>IFERROR(__xludf.DUMMYFUNCTION("""COMPUTED_VALUE"""),"Natalie Monbiot")</f>
        <v>Natalie Monbiot</v>
      </c>
      <c r="D11" s="51" t="str">
        <f>IFERROR(__xludf.DUMMYFUNCTION("""COMPUTED_VALUE"""),"2019/11/05 13:45:00")</f>
        <v>2019/11/05 13:45:00</v>
      </c>
      <c r="E11" s="51" t="str">
        <f>IFERROR(__xludf.DUMMYFUNCTION("""COMPUTED_VALUE"""),"2019/11/05 14:00:00")</f>
        <v>2019/11/05 14:00:00</v>
      </c>
      <c r="F11" s="51" t="str">
        <f>IFERROR(__xludf.DUMMYFUNCTION("""COMPUTED_VALUE"""),"4652c0b0-9b47-49fd-b0a6-fc1b237b7b09")</f>
        <v>4652c0b0-9b47-49fd-b0a6-fc1b237b7b09</v>
      </c>
      <c r="G11" s="58">
        <f>IFERROR(__xludf.DUMMYFUNCTION("""COMPUTED_VALUE"""),43774.0)</f>
        <v>43774</v>
      </c>
      <c r="H11" s="60">
        <f>IFERROR(__xludf.DUMMYFUNCTION("""COMPUTED_VALUE"""),0.5729166666666666)</f>
        <v>0.5729166667</v>
      </c>
      <c r="I11" s="58">
        <f>IFERROR(__xludf.DUMMYFUNCTION("""COMPUTED_VALUE"""),43774.0)</f>
        <v>43774</v>
      </c>
      <c r="J11" s="60">
        <f>IFERROR(__xludf.DUMMYFUNCTION("""COMPUTED_VALUE"""),0.5833333333333334)</f>
        <v>0.5833333333</v>
      </c>
      <c r="K11" s="60">
        <f t="shared" si="1"/>
        <v>0.01041666667</v>
      </c>
      <c r="L11" s="51" t="s">
        <v>116</v>
      </c>
      <c r="M11" s="62" t="s">
        <v>651</v>
      </c>
      <c r="N11" s="62" t="str">
        <f t="shared" si="2"/>
        <v>SU_5_9_4652c0b0-9b47-49fd-b0a6-fc1b237b7b09_000000_000000.mp4</v>
      </c>
      <c r="O11" s="50"/>
      <c r="P11" s="50"/>
      <c r="Q11" s="63"/>
      <c r="R11" s="51"/>
      <c r="S11" s="51"/>
      <c r="T11" s="51"/>
    </row>
    <row r="12">
      <c r="A12" s="51" t="str">
        <f>IFERROR(__xludf.DUMMYFUNCTION("""COMPUTED_VALUE"""),"Sell your story not your soul: Winning over VCs ")</f>
        <v>Sell your story not your soul: Winning over VCs </v>
      </c>
      <c r="B12" s="51" t="str">
        <f>IFERROR(__xludf.DUMMYFUNCTION("""COMPUTED_VALUE"""),"Startup University")</f>
        <v>Startup University</v>
      </c>
      <c r="C12" s="56" t="str">
        <f>IFERROR(__xludf.DUMMYFUNCTION("""COMPUTED_VALUE"""),"Ariel Cohen, Michele Romanow and Marcel Rosenbach")</f>
        <v>Ariel Cohen, Michele Romanow and Marcel Rosenbach</v>
      </c>
      <c r="D12" s="51" t="str">
        <f>IFERROR(__xludf.DUMMYFUNCTION("""COMPUTED_VALUE"""),"2019/11/05 14:00:00")</f>
        <v>2019/11/05 14:00:00</v>
      </c>
      <c r="E12" s="51" t="str">
        <f>IFERROR(__xludf.DUMMYFUNCTION("""COMPUTED_VALUE"""),"2019/11/05 14:20:00")</f>
        <v>2019/11/05 14:20:00</v>
      </c>
      <c r="F12" s="51" t="str">
        <f>IFERROR(__xludf.DUMMYFUNCTION("""COMPUTED_VALUE"""),"9401bb18-0cd5-4c2b-891c-594ae8d7a137")</f>
        <v>9401bb18-0cd5-4c2b-891c-594ae8d7a137</v>
      </c>
      <c r="G12" s="58">
        <f>IFERROR(__xludf.DUMMYFUNCTION("""COMPUTED_VALUE"""),43774.0)</f>
        <v>43774</v>
      </c>
      <c r="H12" s="60">
        <f>IFERROR(__xludf.DUMMYFUNCTION("""COMPUTED_VALUE"""),0.5833333333333334)</f>
        <v>0.5833333333</v>
      </c>
      <c r="I12" s="58">
        <f>IFERROR(__xludf.DUMMYFUNCTION("""COMPUTED_VALUE"""),43774.0)</f>
        <v>43774</v>
      </c>
      <c r="J12" s="60">
        <f>IFERROR(__xludf.DUMMYFUNCTION("""COMPUTED_VALUE"""),0.5972222222222222)</f>
        <v>0.5972222222</v>
      </c>
      <c r="K12" s="60">
        <f t="shared" si="1"/>
        <v>0.01388888889</v>
      </c>
      <c r="L12" s="51" t="s">
        <v>111</v>
      </c>
      <c r="M12" s="62" t="s">
        <v>653</v>
      </c>
      <c r="N12" s="62" t="str">
        <f t="shared" si="2"/>
        <v>SU_5_10_9401bb18-0cd5-4c2b-891c-594ae8d7a137_000000_000000.mp4</v>
      </c>
      <c r="O12" s="50"/>
      <c r="P12" s="50"/>
      <c r="Q12" s="63"/>
      <c r="R12" s="51"/>
      <c r="S12" s="51"/>
      <c r="T12" s="51"/>
    </row>
    <row r="13">
      <c r="A13" s="51" t="str">
        <f>IFERROR(__xludf.DUMMYFUNCTION("""COMPUTED_VALUE"""),"What they don't tell you about raising rounds ")</f>
        <v>What they don't tell you about raising rounds </v>
      </c>
      <c r="B13" s="51" t="str">
        <f>IFERROR(__xludf.DUMMYFUNCTION("""COMPUTED_VALUE"""),"Startup University")</f>
        <v>Startup University</v>
      </c>
      <c r="C13" s="56" t="str">
        <f>IFERROR(__xludf.DUMMYFUNCTION("""COMPUTED_VALUE"""),"Taso Du Val and Mark Little")</f>
        <v>Taso Du Val and Mark Little</v>
      </c>
      <c r="D13" s="51" t="str">
        <f>IFERROR(__xludf.DUMMYFUNCTION("""COMPUTED_VALUE"""),"2019/11/05 14:20:00")</f>
        <v>2019/11/05 14:20:00</v>
      </c>
      <c r="E13" s="51" t="str">
        <f>IFERROR(__xludf.DUMMYFUNCTION("""COMPUTED_VALUE"""),"2019/11/05 14:40:00")</f>
        <v>2019/11/05 14:40:00</v>
      </c>
      <c r="F13" s="51" t="str">
        <f>IFERROR(__xludf.DUMMYFUNCTION("""COMPUTED_VALUE"""),"51f3c8e8-a930-48f5-88a4-2dbd760b2d90")</f>
        <v>51f3c8e8-a930-48f5-88a4-2dbd760b2d90</v>
      </c>
      <c r="G13" s="58">
        <f>IFERROR(__xludf.DUMMYFUNCTION("""COMPUTED_VALUE"""),43774.0)</f>
        <v>43774</v>
      </c>
      <c r="H13" s="60">
        <f>IFERROR(__xludf.DUMMYFUNCTION("""COMPUTED_VALUE"""),0.5972222222222222)</f>
        <v>0.5972222222</v>
      </c>
      <c r="I13" s="58">
        <f>IFERROR(__xludf.DUMMYFUNCTION("""COMPUTED_VALUE"""),43774.0)</f>
        <v>43774</v>
      </c>
      <c r="J13" s="60">
        <f>IFERROR(__xludf.DUMMYFUNCTION("""COMPUTED_VALUE"""),0.6111111111111112)</f>
        <v>0.6111111111</v>
      </c>
      <c r="K13" s="60">
        <f t="shared" si="1"/>
        <v>0.01388888889</v>
      </c>
      <c r="L13" s="51" t="s">
        <v>111</v>
      </c>
      <c r="M13" s="62" t="s">
        <v>655</v>
      </c>
      <c r="N13" s="62" t="str">
        <f t="shared" si="2"/>
        <v>SU_5_11_51f3c8e8-a930-48f5-88a4-2dbd760b2d90_000000_000000.mp4</v>
      </c>
      <c r="O13" s="50"/>
      <c r="P13" s="50"/>
      <c r="Q13" s="63"/>
      <c r="R13" s="51"/>
      <c r="S13" s="51"/>
      <c r="T13" s="51"/>
    </row>
    <row r="14">
      <c r="A14" s="51" t="str">
        <f>IFERROR(__xludf.DUMMYFUNCTION("""COMPUTED_VALUE"""),"Bootstrapping creativity: Leading a creative team ")</f>
        <v>Bootstrapping creativity: Leading a creative team </v>
      </c>
      <c r="B14" s="51" t="str">
        <f>IFERROR(__xludf.DUMMYFUNCTION("""COMPUTED_VALUE"""),"Startup University")</f>
        <v>Startup University</v>
      </c>
      <c r="C14" s="56" t="str">
        <f>IFERROR(__xludf.DUMMYFUNCTION("""COMPUTED_VALUE"""),"Ryan Lee, Margaret Molloy, Georg Petschnigg and Stewart Rogers")</f>
        <v>Ryan Lee, Margaret Molloy, Georg Petschnigg and Stewart Rogers</v>
      </c>
      <c r="D14" s="51" t="str">
        <f>IFERROR(__xludf.DUMMYFUNCTION("""COMPUTED_VALUE"""),"2019/11/05 14:40:00")</f>
        <v>2019/11/05 14:40:00</v>
      </c>
      <c r="E14" s="51" t="str">
        <f>IFERROR(__xludf.DUMMYFUNCTION("""COMPUTED_VALUE"""),"2019/11/05 15:05:00")</f>
        <v>2019/11/05 15:05:00</v>
      </c>
      <c r="F14" s="51" t="str">
        <f>IFERROR(__xludf.DUMMYFUNCTION("""COMPUTED_VALUE"""),"c69a7e17-e921-4bac-99f6-4982eb059f6b")</f>
        <v>c69a7e17-e921-4bac-99f6-4982eb059f6b</v>
      </c>
      <c r="G14" s="58">
        <f>IFERROR(__xludf.DUMMYFUNCTION("""COMPUTED_VALUE"""),43774.0)</f>
        <v>43774</v>
      </c>
      <c r="H14" s="60">
        <f>IFERROR(__xludf.DUMMYFUNCTION("""COMPUTED_VALUE"""),0.6111111111111112)</f>
        <v>0.6111111111</v>
      </c>
      <c r="I14" s="58">
        <f>IFERROR(__xludf.DUMMYFUNCTION("""COMPUTED_VALUE"""),43774.0)</f>
        <v>43774</v>
      </c>
      <c r="J14" s="60">
        <f>IFERROR(__xludf.DUMMYFUNCTION("""COMPUTED_VALUE"""),0.6284722222222222)</f>
        <v>0.6284722222</v>
      </c>
      <c r="K14" s="60">
        <f t="shared" si="1"/>
        <v>0.01736111111</v>
      </c>
      <c r="L14" s="51" t="s">
        <v>107</v>
      </c>
      <c r="M14" s="62" t="s">
        <v>657</v>
      </c>
      <c r="N14" s="62" t="str">
        <f t="shared" si="2"/>
        <v>SU_5_12_c69a7e17-e921-4bac-99f6-4982eb059f6b_000000_000000.mp4</v>
      </c>
      <c r="O14" s="50"/>
      <c r="P14" s="50"/>
      <c r="Q14" s="63"/>
      <c r="R14" s="51"/>
      <c r="S14" s="51"/>
      <c r="T14" s="51"/>
    </row>
    <row r="15">
      <c r="A15" s="51" t="str">
        <f>IFERROR(__xludf.DUMMYFUNCTION("""COMPUTED_VALUE"""),"Strategy and soul: Creating MuleSoft ")</f>
        <v>Strategy and soul: Creating MuleSoft </v>
      </c>
      <c r="B15" s="51" t="str">
        <f>IFERROR(__xludf.DUMMYFUNCTION("""COMPUTED_VALUE"""),"Startup University")</f>
        <v>Startup University</v>
      </c>
      <c r="C15" s="56" t="str">
        <f>IFERROR(__xludf.DUMMYFUNCTION("""COMPUTED_VALUE"""),"Ross Mason and Rosie Kropp")</f>
        <v>Ross Mason and Rosie Kropp</v>
      </c>
      <c r="D15" s="51" t="str">
        <f>IFERROR(__xludf.DUMMYFUNCTION("""COMPUTED_VALUE"""),"2019/11/05 15:05:00")</f>
        <v>2019/11/05 15:05:00</v>
      </c>
      <c r="E15" s="51" t="str">
        <f>IFERROR(__xludf.DUMMYFUNCTION("""COMPUTED_VALUE"""),"2019/11/05 15:25:00")</f>
        <v>2019/11/05 15:25:00</v>
      </c>
      <c r="F15" s="51" t="str">
        <f>IFERROR(__xludf.DUMMYFUNCTION("""COMPUTED_VALUE"""),"4db2908f-6445-4549-9a3c-d872c15a2c68")</f>
        <v>4db2908f-6445-4549-9a3c-d872c15a2c68</v>
      </c>
      <c r="G15" s="58">
        <f>IFERROR(__xludf.DUMMYFUNCTION("""COMPUTED_VALUE"""),43774.0)</f>
        <v>43774</v>
      </c>
      <c r="H15" s="60">
        <f>IFERROR(__xludf.DUMMYFUNCTION("""COMPUTED_VALUE"""),0.6284722222222222)</f>
        <v>0.6284722222</v>
      </c>
      <c r="I15" s="58">
        <f>IFERROR(__xludf.DUMMYFUNCTION("""COMPUTED_VALUE"""),43774.0)</f>
        <v>43774</v>
      </c>
      <c r="J15" s="60">
        <f>IFERROR(__xludf.DUMMYFUNCTION("""COMPUTED_VALUE"""),0.6423611111111112)</f>
        <v>0.6423611111</v>
      </c>
      <c r="K15" s="60">
        <f t="shared" si="1"/>
        <v>0.01388888889</v>
      </c>
      <c r="L15" s="51" t="s">
        <v>111</v>
      </c>
      <c r="M15" s="62" t="s">
        <v>659</v>
      </c>
      <c r="N15" s="62" t="str">
        <f t="shared" si="2"/>
        <v>SU_5_13_4db2908f-6445-4549-9a3c-d872c15a2c68_000000_000000.mp4</v>
      </c>
      <c r="O15" s="50"/>
      <c r="P15" s="50"/>
      <c r="Q15" s="63"/>
      <c r="R15" s="51"/>
      <c r="S15" s="51"/>
      <c r="T15" s="51"/>
    </row>
    <row r="16">
      <c r="A16" s="51" t="str">
        <f>IFERROR(__xludf.DUMMYFUNCTION("""COMPUTED_VALUE"""),"What makes TikTok tick?  Inside the world's top app ")</f>
        <v>What makes TikTok tick?  Inside the world's top app </v>
      </c>
      <c r="B16" s="51" t="str">
        <f>IFERROR(__xludf.DUMMYFUNCTION("""COMPUTED_VALUE"""),"Startup University")</f>
        <v>Startup University</v>
      </c>
      <c r="C16" s="56" t="str">
        <f>IFERROR(__xludf.DUMMYFUNCTION("""COMPUTED_VALUE"""),"Hannah Snow, Dylan Collins and Natalie Monbiot")</f>
        <v>Hannah Snow, Dylan Collins and Natalie Monbiot</v>
      </c>
      <c r="D16" s="51" t="str">
        <f>IFERROR(__xludf.DUMMYFUNCTION("""COMPUTED_VALUE"""),"2019/11/05 15:25:00")</f>
        <v>2019/11/05 15:25:00</v>
      </c>
      <c r="E16" s="51" t="str">
        <f>IFERROR(__xludf.DUMMYFUNCTION("""COMPUTED_VALUE"""),"2019/11/05 15:45:00")</f>
        <v>2019/11/05 15:45:00</v>
      </c>
      <c r="F16" s="51" t="str">
        <f>IFERROR(__xludf.DUMMYFUNCTION("""COMPUTED_VALUE"""),"388b42c9-f97f-4acc-bfb4-4181466546bc")</f>
        <v>388b42c9-f97f-4acc-bfb4-4181466546bc</v>
      </c>
      <c r="G16" s="58">
        <f>IFERROR(__xludf.DUMMYFUNCTION("""COMPUTED_VALUE"""),43774.0)</f>
        <v>43774</v>
      </c>
      <c r="H16" s="60">
        <f>IFERROR(__xludf.DUMMYFUNCTION("""COMPUTED_VALUE"""),0.6423611111111112)</f>
        <v>0.6423611111</v>
      </c>
      <c r="I16" s="58">
        <f>IFERROR(__xludf.DUMMYFUNCTION("""COMPUTED_VALUE"""),43774.0)</f>
        <v>43774</v>
      </c>
      <c r="J16" s="60">
        <f>IFERROR(__xludf.DUMMYFUNCTION("""COMPUTED_VALUE"""),0.65625)</f>
        <v>0.65625</v>
      </c>
      <c r="K16" s="60">
        <f t="shared" si="1"/>
        <v>0.01388888889</v>
      </c>
      <c r="L16" s="51" t="s">
        <v>111</v>
      </c>
      <c r="M16" s="62" t="s">
        <v>661</v>
      </c>
      <c r="N16" s="62" t="str">
        <f t="shared" si="2"/>
        <v>SU_5_14_388b42c9-f97f-4acc-bfb4-4181466546bc_000000_000000.mp4</v>
      </c>
      <c r="O16" s="50"/>
      <c r="P16" s="50"/>
      <c r="Q16" s="63"/>
      <c r="R16" s="51"/>
      <c r="S16" s="51"/>
      <c r="T16" s="51"/>
    </row>
    <row r="17">
      <c r="A17" s="51" t="str">
        <f>IFERROR(__xludf.DUMMYFUNCTION("""COMPUTED_VALUE"""),"What is the role of a leader? ")</f>
        <v>What is the role of a leader? </v>
      </c>
      <c r="B17" s="51" t="str">
        <f>IFERROR(__xludf.DUMMYFUNCTION("""COMPUTED_VALUE"""),"Startup University")</f>
        <v>Startup University</v>
      </c>
      <c r="C17" s="56" t="str">
        <f>IFERROR(__xludf.DUMMYFUNCTION("""COMPUTED_VALUE"""),"Dave Grannan")</f>
        <v>Dave Grannan</v>
      </c>
      <c r="D17" s="51" t="str">
        <f>IFERROR(__xludf.DUMMYFUNCTION("""COMPUTED_VALUE"""),"2019/11/05 15:45:00")</f>
        <v>2019/11/05 15:45:00</v>
      </c>
      <c r="E17" s="51" t="str">
        <f>IFERROR(__xludf.DUMMYFUNCTION("""COMPUTED_VALUE"""),"2019/11/05 16:05:00")</f>
        <v>2019/11/05 16:05:00</v>
      </c>
      <c r="F17" s="51" t="str">
        <f>IFERROR(__xludf.DUMMYFUNCTION("""COMPUTED_VALUE"""),"c30ac702-fbcb-4f44-a5f8-5232947804fc")</f>
        <v>c30ac702-fbcb-4f44-a5f8-5232947804fc</v>
      </c>
      <c r="G17" s="58">
        <f>IFERROR(__xludf.DUMMYFUNCTION("""COMPUTED_VALUE"""),43774.0)</f>
        <v>43774</v>
      </c>
      <c r="H17" s="60">
        <f>IFERROR(__xludf.DUMMYFUNCTION("""COMPUTED_VALUE"""),0.65625)</f>
        <v>0.65625</v>
      </c>
      <c r="I17" s="58">
        <f>IFERROR(__xludf.DUMMYFUNCTION("""COMPUTED_VALUE"""),43774.0)</f>
        <v>43774</v>
      </c>
      <c r="J17" s="60">
        <f>IFERROR(__xludf.DUMMYFUNCTION("""COMPUTED_VALUE"""),0.6701388888888888)</f>
        <v>0.6701388889</v>
      </c>
      <c r="K17" s="60">
        <f t="shared" si="1"/>
        <v>0.01388888889</v>
      </c>
      <c r="L17" s="51" t="s">
        <v>111</v>
      </c>
      <c r="M17" s="62" t="s">
        <v>664</v>
      </c>
      <c r="N17" s="62" t="str">
        <f t="shared" si="2"/>
        <v>SU_5_15_c30ac702-fbcb-4f44-a5f8-5232947804fc_000000_000000.mp4</v>
      </c>
      <c r="O17" s="50"/>
      <c r="P17" s="50"/>
      <c r="Q17" s="63"/>
      <c r="R17" s="51"/>
      <c r="S17" s="51"/>
      <c r="T17" s="51"/>
    </row>
    <row r="18">
      <c r="A18" s="51" t="str">
        <f>IFERROR(__xludf.DUMMYFUNCTION("""COMPUTED_VALUE"""),"What I learned from building a 'unicorn' ")</f>
        <v>What I learned from building a 'unicorn' </v>
      </c>
      <c r="B18" s="51" t="str">
        <f>IFERROR(__xludf.DUMMYFUNCTION("""COMPUTED_VALUE"""),"Startup University")</f>
        <v>Startup University</v>
      </c>
      <c r="C18" s="56" t="str">
        <f>IFERROR(__xludf.DUMMYFUNCTION("""COMPUTED_VALUE"""),"Melanie Perkins, Mada Seghete, Lucy Liu and Ryan Browne")</f>
        <v>Melanie Perkins, Mada Seghete, Lucy Liu and Ryan Browne</v>
      </c>
      <c r="D18" s="51" t="str">
        <f>IFERROR(__xludf.DUMMYFUNCTION("""COMPUTED_VALUE"""),"2019/11/05 16:05:00")</f>
        <v>2019/11/05 16:05:00</v>
      </c>
      <c r="E18" s="51" t="str">
        <f>IFERROR(__xludf.DUMMYFUNCTION("""COMPUTED_VALUE"""),"2019/11/05 16:30:00")</f>
        <v>2019/11/05 16:30:00</v>
      </c>
      <c r="F18" s="51" t="str">
        <f>IFERROR(__xludf.DUMMYFUNCTION("""COMPUTED_VALUE"""),"6f917ff5-7193-40fb-bda6-f2cdac423d6e")</f>
        <v>6f917ff5-7193-40fb-bda6-f2cdac423d6e</v>
      </c>
      <c r="G18" s="58">
        <f>IFERROR(__xludf.DUMMYFUNCTION("""COMPUTED_VALUE"""),43774.0)</f>
        <v>43774</v>
      </c>
      <c r="H18" s="60">
        <f>IFERROR(__xludf.DUMMYFUNCTION("""COMPUTED_VALUE"""),0.6701388888888888)</f>
        <v>0.6701388889</v>
      </c>
      <c r="I18" s="58">
        <f>IFERROR(__xludf.DUMMYFUNCTION("""COMPUTED_VALUE"""),43774.0)</f>
        <v>43774</v>
      </c>
      <c r="J18" s="60">
        <f>IFERROR(__xludf.DUMMYFUNCTION("""COMPUTED_VALUE"""),0.6875)</f>
        <v>0.6875</v>
      </c>
      <c r="K18" s="60">
        <f t="shared" si="1"/>
        <v>0.01736111111</v>
      </c>
      <c r="L18" s="51" t="s">
        <v>107</v>
      </c>
      <c r="M18" s="62" t="s">
        <v>666</v>
      </c>
      <c r="N18" s="62" t="str">
        <f t="shared" si="2"/>
        <v>SU_5_16_6f917ff5-7193-40fb-bda6-f2cdac423d6e_000000_000000.mp4</v>
      </c>
      <c r="O18" s="50"/>
      <c r="P18" s="50"/>
      <c r="Q18" s="63"/>
      <c r="R18" s="51"/>
      <c r="S18" s="51"/>
      <c r="T18" s="51"/>
    </row>
    <row r="19">
      <c r="A19" s="51" t="str">
        <f>IFERROR(__xludf.DUMMYFUNCTION("""COMPUTED_VALUE"""),"Opening remarks ")</f>
        <v>Opening remarks </v>
      </c>
      <c r="B19" s="51" t="str">
        <f>IFERROR(__xludf.DUMMYFUNCTION("""COMPUTED_VALUE"""),"Startup University")</f>
        <v>Startup University</v>
      </c>
      <c r="C19" s="56" t="str">
        <f>IFERROR(__xludf.DUMMYFUNCTION("""COMPUTED_VALUE"""),"Cynthia Johnson")</f>
        <v>Cynthia Johnson</v>
      </c>
      <c r="D19" s="51" t="str">
        <f>IFERROR(__xludf.DUMMYFUNCTION("""COMPUTED_VALUE"""),"2019/11/06 11:15:00")</f>
        <v>2019/11/06 11:15:00</v>
      </c>
      <c r="E19" s="51" t="str">
        <f>IFERROR(__xludf.DUMMYFUNCTION("""COMPUTED_VALUE"""),"2019/11/06 11:30:00")</f>
        <v>2019/11/06 11:30:00</v>
      </c>
      <c r="F19" s="51" t="str">
        <f>IFERROR(__xludf.DUMMYFUNCTION("""COMPUTED_VALUE"""),"d44ff59d-3ffb-403f-81b3-3a8a026e3079")</f>
        <v>d44ff59d-3ffb-403f-81b3-3a8a026e3079</v>
      </c>
      <c r="G19" s="58">
        <f>IFERROR(__xludf.DUMMYFUNCTION("""COMPUTED_VALUE"""),43775.0)</f>
        <v>43775</v>
      </c>
      <c r="H19" s="60">
        <f>IFERROR(__xludf.DUMMYFUNCTION("""COMPUTED_VALUE"""),0.46875)</f>
        <v>0.46875</v>
      </c>
      <c r="I19" s="58">
        <f>IFERROR(__xludf.DUMMYFUNCTION("""COMPUTED_VALUE"""),43775.0)</f>
        <v>43775</v>
      </c>
      <c r="J19" s="60">
        <f>IFERROR(__xludf.DUMMYFUNCTION("""COMPUTED_VALUE"""),0.4791666666666667)</f>
        <v>0.4791666667</v>
      </c>
      <c r="K19" s="60">
        <f t="shared" si="1"/>
        <v>0.01041666667</v>
      </c>
      <c r="L19" s="51" t="s">
        <v>116</v>
      </c>
      <c r="M19" s="62" t="s">
        <v>671</v>
      </c>
      <c r="N19" s="62" t="str">
        <f t="shared" si="2"/>
        <v>SU_6_1_d44ff59d-3ffb-403f-81b3-3a8a026e3079_000000_000000.mp4</v>
      </c>
      <c r="O19" s="50"/>
      <c r="P19" s="50"/>
      <c r="Q19" s="63"/>
      <c r="R19" s="51"/>
      <c r="S19" s="51"/>
      <c r="T19" s="51"/>
    </row>
    <row r="20">
      <c r="A20" s="51" t="str">
        <f>IFERROR(__xludf.DUMMYFUNCTION("""COMPUTED_VALUE"""),"Experian's approach to data innovation ")</f>
        <v>Experian's approach to data innovation </v>
      </c>
      <c r="B20" s="51" t="str">
        <f>IFERROR(__xludf.DUMMYFUNCTION("""COMPUTED_VALUE"""),"Startup University")</f>
        <v>Startup University</v>
      </c>
      <c r="C20" s="56" t="str">
        <f>IFERROR(__xludf.DUMMYFUNCTION("""COMPUTED_VALUE"""),"Jonathan Westley")</f>
        <v>Jonathan Westley</v>
      </c>
      <c r="D20" s="51" t="str">
        <f>IFERROR(__xludf.DUMMYFUNCTION("""COMPUTED_VALUE"""),"2019/11/06 11:30:00")</f>
        <v>2019/11/06 11:30:00</v>
      </c>
      <c r="E20" s="51" t="str">
        <f>IFERROR(__xludf.DUMMYFUNCTION("""COMPUTED_VALUE"""),"2019/11/06 11:50:00")</f>
        <v>2019/11/06 11:50:00</v>
      </c>
      <c r="F20" s="51" t="str">
        <f>IFERROR(__xludf.DUMMYFUNCTION("""COMPUTED_VALUE"""),"26433169-4936-4d3a-9b98-d91e6070b895")</f>
        <v>26433169-4936-4d3a-9b98-d91e6070b895</v>
      </c>
      <c r="G20" s="58">
        <f>IFERROR(__xludf.DUMMYFUNCTION("""COMPUTED_VALUE"""),43775.0)</f>
        <v>43775</v>
      </c>
      <c r="H20" s="60">
        <f>IFERROR(__xludf.DUMMYFUNCTION("""COMPUTED_VALUE"""),0.4791666666666667)</f>
        <v>0.4791666667</v>
      </c>
      <c r="I20" s="58">
        <f>IFERROR(__xludf.DUMMYFUNCTION("""COMPUTED_VALUE"""),43775.0)</f>
        <v>43775</v>
      </c>
      <c r="J20" s="60">
        <f>IFERROR(__xludf.DUMMYFUNCTION("""COMPUTED_VALUE"""),0.4930555555555556)</f>
        <v>0.4930555556</v>
      </c>
      <c r="K20" s="60">
        <f t="shared" si="1"/>
        <v>0.01388888889</v>
      </c>
      <c r="L20" s="51" t="s">
        <v>111</v>
      </c>
      <c r="M20" s="62" t="s">
        <v>674</v>
      </c>
      <c r="N20" s="62" t="str">
        <f t="shared" si="2"/>
        <v>SU_6_2_26433169-4936-4d3a-9b98-d91e6070b895_000000_000000.mp4</v>
      </c>
      <c r="O20" s="50"/>
      <c r="P20" s="50"/>
      <c r="Q20" s="63"/>
      <c r="R20" s="51"/>
      <c r="S20" s="51"/>
      <c r="T20" s="51"/>
    </row>
    <row r="21">
      <c r="A21" s="51" t="str">
        <f>IFERROR(__xludf.DUMMYFUNCTION("""COMPUTED_VALUE"""),"Ideas are easy, business is hard")</f>
        <v>Ideas are easy, business is hard</v>
      </c>
      <c r="B21" s="51" t="str">
        <f>IFERROR(__xludf.DUMMYFUNCTION("""COMPUTED_VALUE"""),"Startup University")</f>
        <v>Startup University</v>
      </c>
      <c r="C21" s="56" t="str">
        <f>IFERROR(__xludf.DUMMYFUNCTION("""COMPUTED_VALUE"""),"Christina Bechhold Russ, Fabrice Grinda and Caleb Silver")</f>
        <v>Christina Bechhold Russ, Fabrice Grinda and Caleb Silver</v>
      </c>
      <c r="D21" s="51" t="str">
        <f>IFERROR(__xludf.DUMMYFUNCTION("""COMPUTED_VALUE"""),"2019/11/06 11:50:00")</f>
        <v>2019/11/06 11:50:00</v>
      </c>
      <c r="E21" s="51" t="str">
        <f>IFERROR(__xludf.DUMMYFUNCTION("""COMPUTED_VALUE"""),"2019/11/06 12:10:00")</f>
        <v>2019/11/06 12:10:00</v>
      </c>
      <c r="F21" s="51" t="str">
        <f>IFERROR(__xludf.DUMMYFUNCTION("""COMPUTED_VALUE"""),"2a03bf28-c209-4ad9-a39f-c77cdbc2a81b")</f>
        <v>2a03bf28-c209-4ad9-a39f-c77cdbc2a81b</v>
      </c>
      <c r="G21" s="58">
        <f>IFERROR(__xludf.DUMMYFUNCTION("""COMPUTED_VALUE"""),43775.0)</f>
        <v>43775</v>
      </c>
      <c r="H21" s="60">
        <f>IFERROR(__xludf.DUMMYFUNCTION("""COMPUTED_VALUE"""),0.4930555555555556)</f>
        <v>0.4930555556</v>
      </c>
      <c r="I21" s="58">
        <f>IFERROR(__xludf.DUMMYFUNCTION("""COMPUTED_VALUE"""),43775.0)</f>
        <v>43775</v>
      </c>
      <c r="J21" s="60">
        <f>IFERROR(__xludf.DUMMYFUNCTION("""COMPUTED_VALUE"""),0.5069444444444444)</f>
        <v>0.5069444444</v>
      </c>
      <c r="K21" s="60">
        <f t="shared" si="1"/>
        <v>0.01388888889</v>
      </c>
      <c r="L21" s="51" t="s">
        <v>111</v>
      </c>
      <c r="M21" s="62" t="s">
        <v>676</v>
      </c>
      <c r="N21" s="62" t="str">
        <f t="shared" si="2"/>
        <v>SU_6_3_2a03bf28-c209-4ad9-a39f-c77cdbc2a81b_000000_000000.mp4</v>
      </c>
      <c r="O21" s="50"/>
      <c r="P21" s="50"/>
      <c r="Q21" s="63"/>
      <c r="R21" s="51"/>
      <c r="S21" s="51"/>
      <c r="T21" s="51"/>
    </row>
    <row r="22">
      <c r="A22" s="51" t="str">
        <f>IFERROR(__xludf.DUMMYFUNCTION("""COMPUTED_VALUE"""),"The truth behind the founder-VC relationship ")</f>
        <v>The truth behind the founder-VC relationship </v>
      </c>
      <c r="B22" s="51" t="str">
        <f>IFERROR(__xludf.DUMMYFUNCTION("""COMPUTED_VALUE"""),"Startup University")</f>
        <v>Startup University</v>
      </c>
      <c r="C22" s="56" t="str">
        <f>IFERROR(__xludf.DUMMYFUNCTION("""COMPUTED_VALUE"""),"Nikki Lannen, Timo Soininen, Lars Jornow and Cynthia Johnson")</f>
        <v>Nikki Lannen, Timo Soininen, Lars Jornow and Cynthia Johnson</v>
      </c>
      <c r="D22" s="51" t="str">
        <f>IFERROR(__xludf.DUMMYFUNCTION("""COMPUTED_VALUE"""),"2019/11/06 12:10:00")</f>
        <v>2019/11/06 12:10:00</v>
      </c>
      <c r="E22" s="51" t="str">
        <f>IFERROR(__xludf.DUMMYFUNCTION("""COMPUTED_VALUE"""),"2019/11/06 12:35:00")</f>
        <v>2019/11/06 12:35:00</v>
      </c>
      <c r="F22" s="51" t="str">
        <f>IFERROR(__xludf.DUMMYFUNCTION("""COMPUTED_VALUE"""),"f0f2e556-3c47-44bc-8a2a-5bb5dd21a73a")</f>
        <v>f0f2e556-3c47-44bc-8a2a-5bb5dd21a73a</v>
      </c>
      <c r="G22" s="58">
        <f>IFERROR(__xludf.DUMMYFUNCTION("""COMPUTED_VALUE"""),43775.0)</f>
        <v>43775</v>
      </c>
      <c r="H22" s="60">
        <f>IFERROR(__xludf.DUMMYFUNCTION("""COMPUTED_VALUE"""),0.5069444444444444)</f>
        <v>0.5069444444</v>
      </c>
      <c r="I22" s="58">
        <f>IFERROR(__xludf.DUMMYFUNCTION("""COMPUTED_VALUE"""),43775.0)</f>
        <v>43775</v>
      </c>
      <c r="J22" s="60">
        <f>IFERROR(__xludf.DUMMYFUNCTION("""COMPUTED_VALUE"""),0.5243055555555556)</f>
        <v>0.5243055556</v>
      </c>
      <c r="K22" s="60">
        <f t="shared" si="1"/>
        <v>0.01736111111</v>
      </c>
      <c r="L22" s="51" t="s">
        <v>107</v>
      </c>
      <c r="M22" s="62" t="s">
        <v>679</v>
      </c>
      <c r="N22" s="62" t="str">
        <f t="shared" si="2"/>
        <v>SU_6_4_f0f2e556-3c47-44bc-8a2a-5bb5dd21a73a_000000_000000.mp4</v>
      </c>
      <c r="O22" s="50"/>
      <c r="P22" s="50"/>
      <c r="Q22" s="63"/>
      <c r="R22" s="51"/>
      <c r="S22" s="51"/>
      <c r="T22" s="51"/>
    </row>
    <row r="23">
      <c r="A23" s="51" t="str">
        <f>IFERROR(__xludf.DUMMYFUNCTION("""COMPUTED_VALUE"""),"It's an app eat app world: Dominating the app store ")</f>
        <v>It's an app eat app world: Dominating the app store </v>
      </c>
      <c r="B23" s="51" t="str">
        <f>IFERROR(__xludf.DUMMYFUNCTION("""COMPUTED_VALUE"""),"Startup University")</f>
        <v>Startup University</v>
      </c>
      <c r="C23" s="56" t="str">
        <f>IFERROR(__xludf.DUMMYFUNCTION("""COMPUTED_VALUE"""),"Oleksandr Kosovan, Riccardo Zacconi and Kit Eaton")</f>
        <v>Oleksandr Kosovan, Riccardo Zacconi and Kit Eaton</v>
      </c>
      <c r="D23" s="51" t="str">
        <f>IFERROR(__xludf.DUMMYFUNCTION("""COMPUTED_VALUE"""),"2019/11/06 12:35:00")</f>
        <v>2019/11/06 12:35:00</v>
      </c>
      <c r="E23" s="51" t="str">
        <f>IFERROR(__xludf.DUMMYFUNCTION("""COMPUTED_VALUE"""),"2019/11/06 12:55:00")</f>
        <v>2019/11/06 12:55:00</v>
      </c>
      <c r="F23" s="51" t="str">
        <f>IFERROR(__xludf.DUMMYFUNCTION("""COMPUTED_VALUE"""),"da79f21e-8d02-4075-959e-a7822d9929b5")</f>
        <v>da79f21e-8d02-4075-959e-a7822d9929b5</v>
      </c>
      <c r="G23" s="58">
        <f>IFERROR(__xludf.DUMMYFUNCTION("""COMPUTED_VALUE"""),43775.0)</f>
        <v>43775</v>
      </c>
      <c r="H23" s="60">
        <f>IFERROR(__xludf.DUMMYFUNCTION("""COMPUTED_VALUE"""),0.5243055555555556)</f>
        <v>0.5243055556</v>
      </c>
      <c r="I23" s="58">
        <f>IFERROR(__xludf.DUMMYFUNCTION("""COMPUTED_VALUE"""),43775.0)</f>
        <v>43775</v>
      </c>
      <c r="J23" s="60">
        <f>IFERROR(__xludf.DUMMYFUNCTION("""COMPUTED_VALUE"""),0.5381944444444444)</f>
        <v>0.5381944444</v>
      </c>
      <c r="K23" s="60">
        <f t="shared" si="1"/>
        <v>0.01388888889</v>
      </c>
      <c r="L23" s="51" t="s">
        <v>111</v>
      </c>
      <c r="M23" s="62" t="s">
        <v>682</v>
      </c>
      <c r="N23" s="62" t="str">
        <f t="shared" si="2"/>
        <v>SU_6_5_da79f21e-8d02-4075-959e-a7822d9929b5_000000_000000.mp4</v>
      </c>
      <c r="O23" s="50"/>
      <c r="P23" s="50"/>
      <c r="Q23" s="63"/>
      <c r="R23" s="51"/>
      <c r="S23" s="51"/>
      <c r="T23" s="51"/>
    </row>
    <row r="24">
      <c r="A24" s="51" t="str">
        <f>IFERROR(__xludf.DUMMYFUNCTION("""COMPUTED_VALUE"""),"The secret number is 49")</f>
        <v>The secret number is 49</v>
      </c>
      <c r="B24" s="51" t="str">
        <f>IFERROR(__xludf.DUMMYFUNCTION("""COMPUTED_VALUE"""),"Startup University")</f>
        <v>Startup University</v>
      </c>
      <c r="C24" s="56" t="str">
        <f>IFERROR(__xludf.DUMMYFUNCTION("""COMPUTED_VALUE"""),"Ariel Garten")</f>
        <v>Ariel Garten</v>
      </c>
      <c r="D24" s="51" t="str">
        <f>IFERROR(__xludf.DUMMYFUNCTION("""COMPUTED_VALUE"""),"2019/11/06 12:55:00")</f>
        <v>2019/11/06 12:55:00</v>
      </c>
      <c r="E24" s="51" t="str">
        <f>IFERROR(__xludf.DUMMYFUNCTION("""COMPUTED_VALUE"""),"2019/11/06 13:15:00")</f>
        <v>2019/11/06 13:15:00</v>
      </c>
      <c r="F24" s="51" t="str">
        <f>IFERROR(__xludf.DUMMYFUNCTION("""COMPUTED_VALUE"""),"b64dfed5-7be1-4c1d-b5fa-abe44528a406")</f>
        <v>b64dfed5-7be1-4c1d-b5fa-abe44528a406</v>
      </c>
      <c r="G24" s="58">
        <f>IFERROR(__xludf.DUMMYFUNCTION("""COMPUTED_VALUE"""),43775.0)</f>
        <v>43775</v>
      </c>
      <c r="H24" s="60">
        <f>IFERROR(__xludf.DUMMYFUNCTION("""COMPUTED_VALUE"""),0.5381944444444444)</f>
        <v>0.5381944444</v>
      </c>
      <c r="I24" s="58">
        <f>IFERROR(__xludf.DUMMYFUNCTION("""COMPUTED_VALUE"""),43775.0)</f>
        <v>43775</v>
      </c>
      <c r="J24" s="60">
        <f>IFERROR(__xludf.DUMMYFUNCTION("""COMPUTED_VALUE"""),0.5520833333333334)</f>
        <v>0.5520833333</v>
      </c>
      <c r="K24" s="60">
        <f t="shared" si="1"/>
        <v>0.01388888889</v>
      </c>
      <c r="L24" s="51" t="s">
        <v>111</v>
      </c>
      <c r="M24" s="62" t="s">
        <v>684</v>
      </c>
      <c r="N24" s="62" t="str">
        <f t="shared" si="2"/>
        <v>SU_6_6_b64dfed5-7be1-4c1d-b5fa-abe44528a406_000000_000000.mp4</v>
      </c>
      <c r="O24" s="50"/>
      <c r="P24" s="50"/>
      <c r="Q24" s="63"/>
      <c r="R24" s="51"/>
      <c r="S24" s="51"/>
      <c r="T24" s="51"/>
    </row>
    <row r="25">
      <c r="A25" s="51" t="str">
        <f>IFERROR(__xludf.DUMMYFUNCTION("""COMPUTED_VALUE"""),"Digging deep and beating burnout ")</f>
        <v>Digging deep and beating burnout </v>
      </c>
      <c r="B25" s="51" t="str">
        <f>IFERROR(__xludf.DUMMYFUNCTION("""COMPUTED_VALUE"""),"Startup University")</f>
        <v>Startup University</v>
      </c>
      <c r="C25" s="56" t="str">
        <f>IFERROR(__xludf.DUMMYFUNCTION("""COMPUTED_VALUE"""),"Mitchell Baker, Paige VanZant and Steve Clemons")</f>
        <v>Mitchell Baker, Paige VanZant and Steve Clemons</v>
      </c>
      <c r="D25" s="51" t="str">
        <f>IFERROR(__xludf.DUMMYFUNCTION("""COMPUTED_VALUE"""),"2019/11/06 13:15:00")</f>
        <v>2019/11/06 13:15:00</v>
      </c>
      <c r="E25" s="51" t="str">
        <f>IFERROR(__xludf.DUMMYFUNCTION("""COMPUTED_VALUE"""),"2019/11/06 13:35:00")</f>
        <v>2019/11/06 13:35:00</v>
      </c>
      <c r="F25" s="51" t="str">
        <f>IFERROR(__xludf.DUMMYFUNCTION("""COMPUTED_VALUE"""),"1edf5f99-3d0a-4aea-972e-90a156a6a41e")</f>
        <v>1edf5f99-3d0a-4aea-972e-90a156a6a41e</v>
      </c>
      <c r="G25" s="58">
        <f>IFERROR(__xludf.DUMMYFUNCTION("""COMPUTED_VALUE"""),43775.0)</f>
        <v>43775</v>
      </c>
      <c r="H25" s="60">
        <f>IFERROR(__xludf.DUMMYFUNCTION("""COMPUTED_VALUE"""),0.5520833333333334)</f>
        <v>0.5520833333</v>
      </c>
      <c r="I25" s="58">
        <f>IFERROR(__xludf.DUMMYFUNCTION("""COMPUTED_VALUE"""),43775.0)</f>
        <v>43775</v>
      </c>
      <c r="J25" s="60">
        <f>IFERROR(__xludf.DUMMYFUNCTION("""COMPUTED_VALUE"""),0.5659722222222222)</f>
        <v>0.5659722222</v>
      </c>
      <c r="K25" s="60">
        <f t="shared" si="1"/>
        <v>0.01388888889</v>
      </c>
      <c r="L25" s="51" t="s">
        <v>111</v>
      </c>
      <c r="M25" s="62" t="s">
        <v>687</v>
      </c>
      <c r="N25" s="62" t="str">
        <f t="shared" si="2"/>
        <v>SU_6_7_1edf5f99-3d0a-4aea-972e-90a156a6a41e_000000_000000.mp4</v>
      </c>
      <c r="O25" s="50"/>
      <c r="P25" s="50"/>
      <c r="Q25" s="63"/>
      <c r="R25" s="51"/>
      <c r="S25" s="51"/>
      <c r="T25" s="51"/>
    </row>
    <row r="26">
      <c r="A26" s="51" t="str">
        <f>IFERROR(__xludf.DUMMYFUNCTION("""COMPUTED_VALUE"""),"Lunch break")</f>
        <v>Lunch break</v>
      </c>
      <c r="B26" s="51" t="str">
        <f>IFERROR(__xludf.DUMMYFUNCTION("""COMPUTED_VALUE"""),"Startup University")</f>
        <v>Startup University</v>
      </c>
      <c r="C26" s="56" t="str">
        <f>IFERROR(__xludf.DUMMYFUNCTION("""COMPUTED_VALUE"""),"")</f>
        <v/>
      </c>
      <c r="D26" s="51" t="str">
        <f>IFERROR(__xludf.DUMMYFUNCTION("""COMPUTED_VALUE"""),"2019/11/06 13:35:00")</f>
        <v>2019/11/06 13:35:00</v>
      </c>
      <c r="E26" s="51" t="str">
        <f>IFERROR(__xludf.DUMMYFUNCTION("""COMPUTED_VALUE"""),"2019/11/06 14:20:00")</f>
        <v>2019/11/06 14:20:00</v>
      </c>
      <c r="F26" s="51" t="str">
        <f>IFERROR(__xludf.DUMMYFUNCTION("""COMPUTED_VALUE"""),"b1c465ff-4f5a-49dc-8601-24314da684bf")</f>
        <v>b1c465ff-4f5a-49dc-8601-24314da684bf</v>
      </c>
      <c r="G26" s="58">
        <f>IFERROR(__xludf.DUMMYFUNCTION("""COMPUTED_VALUE"""),43775.0)</f>
        <v>43775</v>
      </c>
      <c r="H26" s="60">
        <f>IFERROR(__xludf.DUMMYFUNCTION("""COMPUTED_VALUE"""),0.5659722222222222)</f>
        <v>0.5659722222</v>
      </c>
      <c r="I26" s="58">
        <f>IFERROR(__xludf.DUMMYFUNCTION("""COMPUTED_VALUE"""),43775.0)</f>
        <v>43775</v>
      </c>
      <c r="J26" s="60">
        <f>IFERROR(__xludf.DUMMYFUNCTION("""COMPUTED_VALUE"""),0.5972222222222222)</f>
        <v>0.5972222222</v>
      </c>
      <c r="K26" s="60">
        <f t="shared" si="1"/>
        <v>0.03125</v>
      </c>
      <c r="L26" s="51" t="s">
        <v>131</v>
      </c>
      <c r="M26" s="51"/>
      <c r="N26" s="62" t="str">
        <f t="shared" si="2"/>
        <v>_b1c465ff-4f5a-49dc-8601-24314da684bf_000000_000000.mp4</v>
      </c>
      <c r="O26" s="50"/>
      <c r="P26" s="50"/>
      <c r="Q26" s="63"/>
      <c r="R26" s="51"/>
      <c r="S26" s="51"/>
      <c r="T26" s="51"/>
    </row>
    <row r="27">
      <c r="A27" s="51" t="str">
        <f>IFERROR(__xludf.DUMMYFUNCTION("""COMPUTED_VALUE"""),"Opening remarks ")</f>
        <v>Opening remarks </v>
      </c>
      <c r="B27" s="51" t="str">
        <f>IFERROR(__xludf.DUMMYFUNCTION("""COMPUTED_VALUE"""),"Startup University")</f>
        <v>Startup University</v>
      </c>
      <c r="C27" s="56" t="str">
        <f>IFERROR(__xludf.DUMMYFUNCTION("""COMPUTED_VALUE"""),"David Meltzer")</f>
        <v>David Meltzer</v>
      </c>
      <c r="D27" s="51" t="str">
        <f>IFERROR(__xludf.DUMMYFUNCTION("""COMPUTED_VALUE"""),"2019/11/06 14:20:00")</f>
        <v>2019/11/06 14:20:00</v>
      </c>
      <c r="E27" s="51" t="str">
        <f>IFERROR(__xludf.DUMMYFUNCTION("""COMPUTED_VALUE"""),"2019/11/06 14:35:00")</f>
        <v>2019/11/06 14:35:00</v>
      </c>
      <c r="F27" s="51" t="str">
        <f>IFERROR(__xludf.DUMMYFUNCTION("""COMPUTED_VALUE"""),"303149c3-9713-4fcc-92a4-34ad95ae532a")</f>
        <v>303149c3-9713-4fcc-92a4-34ad95ae532a</v>
      </c>
      <c r="G27" s="58">
        <f>IFERROR(__xludf.DUMMYFUNCTION("""COMPUTED_VALUE"""),43775.0)</f>
        <v>43775</v>
      </c>
      <c r="H27" s="60">
        <f>IFERROR(__xludf.DUMMYFUNCTION("""COMPUTED_VALUE"""),0.5972222222222222)</f>
        <v>0.5972222222</v>
      </c>
      <c r="I27" s="58">
        <f>IFERROR(__xludf.DUMMYFUNCTION("""COMPUTED_VALUE"""),43775.0)</f>
        <v>43775</v>
      </c>
      <c r="J27" s="60">
        <f>IFERROR(__xludf.DUMMYFUNCTION("""COMPUTED_VALUE"""),0.6076388888888888)</f>
        <v>0.6076388889</v>
      </c>
      <c r="K27" s="60">
        <f t="shared" si="1"/>
        <v>0.01041666667</v>
      </c>
      <c r="L27" s="51" t="s">
        <v>116</v>
      </c>
      <c r="M27" s="62" t="s">
        <v>690</v>
      </c>
      <c r="N27" s="62" t="str">
        <f t="shared" si="2"/>
        <v>SU_6_8_303149c3-9713-4fcc-92a4-34ad95ae532a_000000_000000.mp4</v>
      </c>
      <c r="O27" s="50"/>
      <c r="P27" s="50"/>
      <c r="Q27" s="63"/>
      <c r="R27" s="51"/>
      <c r="S27" s="51"/>
      <c r="T27" s="51"/>
    </row>
    <row r="28">
      <c r="A28" s="51" t="str">
        <f>IFERROR(__xludf.DUMMYFUNCTION("""COMPUTED_VALUE"""),"Startup, then scale up.")</f>
        <v>Startup, then scale up.</v>
      </c>
      <c r="B28" s="51" t="str">
        <f>IFERROR(__xludf.DUMMYFUNCTION("""COMPUTED_VALUE"""),"Startup University")</f>
        <v>Startup University</v>
      </c>
      <c r="C28" s="56" t="str">
        <f>IFERROR(__xludf.DUMMYFUNCTION("""COMPUTED_VALUE"""),"Francis Davidson and Shalini Khemka")</f>
        <v>Francis Davidson and Shalini Khemka</v>
      </c>
      <c r="D28" s="51" t="str">
        <f>IFERROR(__xludf.DUMMYFUNCTION("""COMPUTED_VALUE"""),"2019/11/06 14:35:00")</f>
        <v>2019/11/06 14:35:00</v>
      </c>
      <c r="E28" s="51" t="str">
        <f>IFERROR(__xludf.DUMMYFUNCTION("""COMPUTED_VALUE"""),"2019/11/06 14:55:00")</f>
        <v>2019/11/06 14:55:00</v>
      </c>
      <c r="F28" s="51" t="str">
        <f>IFERROR(__xludf.DUMMYFUNCTION("""COMPUTED_VALUE"""),"bd19905f-30c5-4192-87af-a121c85a5c37")</f>
        <v>bd19905f-30c5-4192-87af-a121c85a5c37</v>
      </c>
      <c r="G28" s="58">
        <f>IFERROR(__xludf.DUMMYFUNCTION("""COMPUTED_VALUE"""),43775.0)</f>
        <v>43775</v>
      </c>
      <c r="H28" s="60">
        <f>IFERROR(__xludf.DUMMYFUNCTION("""COMPUTED_VALUE"""),0.6076388888888888)</f>
        <v>0.6076388889</v>
      </c>
      <c r="I28" s="58">
        <f>IFERROR(__xludf.DUMMYFUNCTION("""COMPUTED_VALUE"""),43775.0)</f>
        <v>43775</v>
      </c>
      <c r="J28" s="60">
        <f>IFERROR(__xludf.DUMMYFUNCTION("""COMPUTED_VALUE"""),0.6215277777777778)</f>
        <v>0.6215277778</v>
      </c>
      <c r="K28" s="60">
        <f t="shared" si="1"/>
        <v>0.01388888889</v>
      </c>
      <c r="L28" s="51" t="s">
        <v>111</v>
      </c>
      <c r="M28" s="62" t="s">
        <v>692</v>
      </c>
      <c r="N28" s="62" t="str">
        <f t="shared" si="2"/>
        <v>SU_6_9_bd19905f-30c5-4192-87af-a121c85a5c37_000000_000000.mp4</v>
      </c>
      <c r="O28" s="50"/>
      <c r="P28" s="50"/>
      <c r="Q28" s="63"/>
      <c r="R28" s="51"/>
      <c r="S28" s="51"/>
      <c r="T28" s="51"/>
    </row>
    <row r="29">
      <c r="A29" s="51" t="str">
        <f>IFERROR(__xludf.DUMMYFUNCTION("""COMPUTED_VALUE"""),"Equity for media – a winning investment model?")</f>
        <v>Equity for media – a winning investment model?</v>
      </c>
      <c r="B29" s="51" t="str">
        <f>IFERROR(__xludf.DUMMYFUNCTION("""COMPUTED_VALUE"""),"Startup University")</f>
        <v>Startup University</v>
      </c>
      <c r="C29" s="56" t="str">
        <f>IFERROR(__xludf.DUMMYFUNCTION("""COMPUTED_VALUE"""),"Vinay Solanki and Gareth Hickey")</f>
        <v>Vinay Solanki and Gareth Hickey</v>
      </c>
      <c r="D29" s="51" t="str">
        <f>IFERROR(__xludf.DUMMYFUNCTION("""COMPUTED_VALUE"""),"2019/11/06 14:55:00")</f>
        <v>2019/11/06 14:55:00</v>
      </c>
      <c r="E29" s="51" t="str">
        <f>IFERROR(__xludf.DUMMYFUNCTION("""COMPUTED_VALUE"""),"2019/11/06 15:15:00")</f>
        <v>2019/11/06 15:15:00</v>
      </c>
      <c r="F29" s="51" t="str">
        <f>IFERROR(__xludf.DUMMYFUNCTION("""COMPUTED_VALUE"""),"2cfe348f-e3bb-4ade-8415-fa98e5153868")</f>
        <v>2cfe348f-e3bb-4ade-8415-fa98e5153868</v>
      </c>
      <c r="G29" s="58">
        <f>IFERROR(__xludf.DUMMYFUNCTION("""COMPUTED_VALUE"""),43775.0)</f>
        <v>43775</v>
      </c>
      <c r="H29" s="60">
        <f>IFERROR(__xludf.DUMMYFUNCTION("""COMPUTED_VALUE"""),0.6215277777777778)</f>
        <v>0.6215277778</v>
      </c>
      <c r="I29" s="58">
        <f>IFERROR(__xludf.DUMMYFUNCTION("""COMPUTED_VALUE"""),43775.0)</f>
        <v>43775</v>
      </c>
      <c r="J29" s="60">
        <f>IFERROR(__xludf.DUMMYFUNCTION("""COMPUTED_VALUE"""),0.6354166666666666)</f>
        <v>0.6354166667</v>
      </c>
      <c r="K29" s="60">
        <f t="shared" si="1"/>
        <v>0.01388888889</v>
      </c>
      <c r="L29" s="51" t="s">
        <v>111</v>
      </c>
      <c r="M29" s="62" t="s">
        <v>694</v>
      </c>
      <c r="N29" s="62" t="str">
        <f t="shared" si="2"/>
        <v>SU_6_10_2cfe348f-e3bb-4ade-8415-fa98e5153868_000000_000000.mp4</v>
      </c>
      <c r="O29" s="50"/>
      <c r="P29" s="50"/>
      <c r="Q29" s="63"/>
      <c r="R29" s="51"/>
      <c r="S29" s="51"/>
      <c r="T29" s="51"/>
    </row>
    <row r="30">
      <c r="A30" s="51" t="str">
        <f>IFERROR(__xludf.DUMMYFUNCTION("""COMPUTED_VALUE"""),"Getting your analytics right from day one")</f>
        <v>Getting your analytics right from day one</v>
      </c>
      <c r="B30" s="51" t="str">
        <f>IFERROR(__xludf.DUMMYFUNCTION("""COMPUTED_VALUE"""),"Startup University")</f>
        <v>Startup University</v>
      </c>
      <c r="C30" s="56" t="str">
        <f>IFERROR(__xludf.DUMMYFUNCTION("""COMPUTED_VALUE"""),"Ilya Volodarsky")</f>
        <v>Ilya Volodarsky</v>
      </c>
      <c r="D30" s="51" t="str">
        <f>IFERROR(__xludf.DUMMYFUNCTION("""COMPUTED_VALUE"""),"2019/11/06 15:15:00")</f>
        <v>2019/11/06 15:15:00</v>
      </c>
      <c r="E30" s="51" t="str">
        <f>IFERROR(__xludf.DUMMYFUNCTION("""COMPUTED_VALUE"""),"2019/11/06 15:35:00")</f>
        <v>2019/11/06 15:35:00</v>
      </c>
      <c r="F30" s="51" t="str">
        <f>IFERROR(__xludf.DUMMYFUNCTION("""COMPUTED_VALUE"""),"5578fd61-f636-4643-a82e-ddc99a0f5a20")</f>
        <v>5578fd61-f636-4643-a82e-ddc99a0f5a20</v>
      </c>
      <c r="G30" s="58">
        <f>IFERROR(__xludf.DUMMYFUNCTION("""COMPUTED_VALUE"""),43775.0)</f>
        <v>43775</v>
      </c>
      <c r="H30" s="60">
        <f>IFERROR(__xludf.DUMMYFUNCTION("""COMPUTED_VALUE"""),0.6354166666666666)</f>
        <v>0.6354166667</v>
      </c>
      <c r="I30" s="58">
        <f>IFERROR(__xludf.DUMMYFUNCTION("""COMPUTED_VALUE"""),43775.0)</f>
        <v>43775</v>
      </c>
      <c r="J30" s="60">
        <f>IFERROR(__xludf.DUMMYFUNCTION("""COMPUTED_VALUE"""),0.6493055555555556)</f>
        <v>0.6493055556</v>
      </c>
      <c r="K30" s="60">
        <f t="shared" si="1"/>
        <v>0.01388888889</v>
      </c>
      <c r="L30" s="51" t="s">
        <v>111</v>
      </c>
      <c r="M30" s="62" t="s">
        <v>696</v>
      </c>
      <c r="N30" s="62" t="str">
        <f t="shared" si="2"/>
        <v>SU_6_11_5578fd61-f636-4643-a82e-ddc99a0f5a20_000000_000000.mp4</v>
      </c>
      <c r="O30" s="50"/>
      <c r="P30" s="50"/>
      <c r="Q30" s="63"/>
      <c r="R30" s="51"/>
      <c r="S30" s="51"/>
      <c r="T30" s="51"/>
    </row>
    <row r="31">
      <c r="A31" s="51" t="str">
        <f>IFERROR(__xludf.DUMMYFUNCTION("""COMPUTED_VALUE"""),"Starting and scaling in Europe")</f>
        <v>Starting and scaling in Europe</v>
      </c>
      <c r="B31" s="51" t="str">
        <f>IFERROR(__xludf.DUMMYFUNCTION("""COMPUTED_VALUE"""),"Startup University")</f>
        <v>Startup University</v>
      </c>
      <c r="C31" s="56" t="str">
        <f>IFERROR(__xludf.DUMMYFUNCTION("""COMPUTED_VALUE"""),"Roxanne Varza, Nico Gramenz, Philippe Botteri, Peter Mühlmann and Alex Deane")</f>
        <v>Roxanne Varza, Nico Gramenz, Philippe Botteri, Peter Mühlmann and Alex Deane</v>
      </c>
      <c r="D31" s="51" t="str">
        <f>IFERROR(__xludf.DUMMYFUNCTION("""COMPUTED_VALUE"""),"2019/11/06 15:35:00")</f>
        <v>2019/11/06 15:35:00</v>
      </c>
      <c r="E31" s="51" t="str">
        <f>IFERROR(__xludf.DUMMYFUNCTION("""COMPUTED_VALUE"""),"2019/11/06 16:00:00")</f>
        <v>2019/11/06 16:00:00</v>
      </c>
      <c r="F31" s="51" t="str">
        <f>IFERROR(__xludf.DUMMYFUNCTION("""COMPUTED_VALUE"""),"5d890594-4e28-423d-98e8-cd4397228c08")</f>
        <v>5d890594-4e28-423d-98e8-cd4397228c08</v>
      </c>
      <c r="G31" s="58">
        <f>IFERROR(__xludf.DUMMYFUNCTION("""COMPUTED_VALUE"""),43775.0)</f>
        <v>43775</v>
      </c>
      <c r="H31" s="60">
        <f>IFERROR(__xludf.DUMMYFUNCTION("""COMPUTED_VALUE"""),0.6493055555555556)</f>
        <v>0.6493055556</v>
      </c>
      <c r="I31" s="58">
        <f>IFERROR(__xludf.DUMMYFUNCTION("""COMPUTED_VALUE"""),43775.0)</f>
        <v>43775</v>
      </c>
      <c r="J31" s="60">
        <f>IFERROR(__xludf.DUMMYFUNCTION("""COMPUTED_VALUE"""),0.6666666666666666)</f>
        <v>0.6666666667</v>
      </c>
      <c r="K31" s="60">
        <f t="shared" si="1"/>
        <v>0.01736111111</v>
      </c>
      <c r="L31" s="51" t="s">
        <v>107</v>
      </c>
      <c r="M31" s="62" t="s">
        <v>698</v>
      </c>
      <c r="N31" s="62" t="str">
        <f t="shared" si="2"/>
        <v>SU_6_12_5d890594-4e28-423d-98e8-cd4397228c08_000000_000000.mp4</v>
      </c>
      <c r="O31" s="50"/>
      <c r="P31" s="50"/>
      <c r="Q31" s="63"/>
      <c r="R31" s="51"/>
      <c r="S31" s="51"/>
      <c r="T31" s="51"/>
    </row>
    <row r="32">
      <c r="A32" s="51" t="str">
        <f>IFERROR(__xludf.DUMMYFUNCTION("""COMPUTED_VALUE"""),"The difference between a founder and a leader ")</f>
        <v>The difference between a founder and a leader </v>
      </c>
      <c r="B32" s="51" t="str">
        <f>IFERROR(__xludf.DUMMYFUNCTION("""COMPUTED_VALUE"""),"Startup University")</f>
        <v>Startup University</v>
      </c>
      <c r="C32" s="56" t="str">
        <f>IFERROR(__xludf.DUMMYFUNCTION("""COMPUTED_VALUE"""),"André Penha, Alex Chung, Bedy Yang and Alan Griffin")</f>
        <v>André Penha, Alex Chung, Bedy Yang and Alan Griffin</v>
      </c>
      <c r="D32" s="51" t="str">
        <f>IFERROR(__xludf.DUMMYFUNCTION("""COMPUTED_VALUE"""),"2019/11/06 16:00:00")</f>
        <v>2019/11/06 16:00:00</v>
      </c>
      <c r="E32" s="51" t="str">
        <f>IFERROR(__xludf.DUMMYFUNCTION("""COMPUTED_VALUE"""),"2019/11/06 16:20:00")</f>
        <v>2019/11/06 16:20:00</v>
      </c>
      <c r="F32" s="51" t="str">
        <f>IFERROR(__xludf.DUMMYFUNCTION("""COMPUTED_VALUE"""),"17982f30-dc33-4dfc-9a2d-141622a05b74")</f>
        <v>17982f30-dc33-4dfc-9a2d-141622a05b74</v>
      </c>
      <c r="G32" s="58">
        <f>IFERROR(__xludf.DUMMYFUNCTION("""COMPUTED_VALUE"""),43775.0)</f>
        <v>43775</v>
      </c>
      <c r="H32" s="60">
        <f>IFERROR(__xludf.DUMMYFUNCTION("""COMPUTED_VALUE"""),0.6666666666666666)</f>
        <v>0.6666666667</v>
      </c>
      <c r="I32" s="58">
        <f>IFERROR(__xludf.DUMMYFUNCTION("""COMPUTED_VALUE"""),43775.0)</f>
        <v>43775</v>
      </c>
      <c r="J32" s="60">
        <f>IFERROR(__xludf.DUMMYFUNCTION("""COMPUTED_VALUE"""),0.6805555555555556)</f>
        <v>0.6805555556</v>
      </c>
      <c r="K32" s="60">
        <f t="shared" si="1"/>
        <v>0.01388888889</v>
      </c>
      <c r="L32" s="51" t="s">
        <v>111</v>
      </c>
      <c r="M32" s="62" t="s">
        <v>700</v>
      </c>
      <c r="N32" s="62" t="str">
        <f t="shared" si="2"/>
        <v>SU_6_13_17982f30-dc33-4dfc-9a2d-141622a05b74_000000_000000.mp4</v>
      </c>
      <c r="O32" s="50"/>
      <c r="P32" s="50"/>
      <c r="Q32" s="63"/>
      <c r="R32" s="51"/>
      <c r="S32" s="51"/>
      <c r="T32" s="51"/>
    </row>
    <row r="33">
      <c r="A33" s="51" t="str">
        <f>IFERROR(__xludf.DUMMYFUNCTION("""COMPUTED_VALUE"""),"Leadership amid disruption: CX at scale ")</f>
        <v>Leadership amid disruption: CX at scale </v>
      </c>
      <c r="B33" s="51" t="str">
        <f>IFERROR(__xludf.DUMMYFUNCTION("""COMPUTED_VALUE"""),"Startup University")</f>
        <v>Startup University</v>
      </c>
      <c r="C33" s="56" t="str">
        <f>IFERROR(__xludf.DUMMYFUNCTION("""COMPUTED_VALUE"""),"Domingos Oliveira and Fernando Machado")</f>
        <v>Domingos Oliveira and Fernando Machado</v>
      </c>
      <c r="D33" s="51" t="str">
        <f>IFERROR(__xludf.DUMMYFUNCTION("""COMPUTED_VALUE"""),"2019/11/06 16:20:00")</f>
        <v>2019/11/06 16:20:00</v>
      </c>
      <c r="E33" s="51" t="str">
        <f>IFERROR(__xludf.DUMMYFUNCTION("""COMPUTED_VALUE"""),"2019/11/06 16:40:00")</f>
        <v>2019/11/06 16:40:00</v>
      </c>
      <c r="F33" s="51" t="str">
        <f>IFERROR(__xludf.DUMMYFUNCTION("""COMPUTED_VALUE"""),"571d1335-f8c4-41e2-90b5-1f22084665d3")</f>
        <v>571d1335-f8c4-41e2-90b5-1f22084665d3</v>
      </c>
      <c r="G33" s="58">
        <f>IFERROR(__xludf.DUMMYFUNCTION("""COMPUTED_VALUE"""),43775.0)</f>
        <v>43775</v>
      </c>
      <c r="H33" s="60">
        <f>IFERROR(__xludf.DUMMYFUNCTION("""COMPUTED_VALUE"""),0.6805555555555556)</f>
        <v>0.6805555556</v>
      </c>
      <c r="I33" s="58">
        <f>IFERROR(__xludf.DUMMYFUNCTION("""COMPUTED_VALUE"""),43775.0)</f>
        <v>43775</v>
      </c>
      <c r="J33" s="60">
        <f>IFERROR(__xludf.DUMMYFUNCTION("""COMPUTED_VALUE"""),0.6944444444444444)</f>
        <v>0.6944444444</v>
      </c>
      <c r="K33" s="60">
        <f t="shared" si="1"/>
        <v>0.01388888889</v>
      </c>
      <c r="L33" s="51" t="s">
        <v>111</v>
      </c>
      <c r="M33" s="62" t="s">
        <v>702</v>
      </c>
      <c r="N33" s="62" t="str">
        <f t="shared" si="2"/>
        <v>SU_6_14_571d1335-f8c4-41e2-90b5-1f22084665d3_000000_000000.mp4</v>
      </c>
      <c r="O33" s="50"/>
      <c r="P33" s="50"/>
      <c r="Q33" s="63"/>
      <c r="R33" s="51"/>
      <c r="S33" s="51"/>
      <c r="T33" s="51"/>
    </row>
    <row r="34">
      <c r="A34" s="51"/>
      <c r="B34" s="51"/>
      <c r="C34" s="56"/>
      <c r="D34" s="51"/>
      <c r="E34" s="51"/>
      <c r="F34" s="51"/>
      <c r="G34" s="51" t="str">
        <f>IFERROR(__xludf.DUMMYFUNCTION("""COMPUTED_VALUE"""),"#VALUE!")</f>
        <v>#VALUE!</v>
      </c>
      <c r="H34" s="51" t="str">
        <f>IFERROR(__xludf.DUMMYFUNCTION("""COMPUTED_VALUE"""),"")</f>
        <v/>
      </c>
      <c r="I34" s="51" t="str">
        <f>IFERROR(__xludf.DUMMYFUNCTION("""COMPUTED_VALUE"""),"#VALUE!")</f>
        <v>#VALUE!</v>
      </c>
      <c r="J34" s="51" t="str">
        <f>IFERROR(__xludf.DUMMYFUNCTION("""COMPUTED_VALUE"""),"")</f>
        <v/>
      </c>
      <c r="K34" s="51">
        <f t="shared" si="1"/>
        <v>0</v>
      </c>
      <c r="L34" s="51" t="s">
        <v>257</v>
      </c>
      <c r="M34" s="51"/>
      <c r="N34" s="51"/>
      <c r="O34" s="51"/>
      <c r="P34" s="51"/>
      <c r="Q34" s="51"/>
      <c r="R34" s="51"/>
      <c r="S34" s="51"/>
      <c r="T34" s="51"/>
    </row>
    <row r="35">
      <c r="A35" s="51"/>
      <c r="B35" s="51"/>
      <c r="C35" s="56"/>
      <c r="D35" s="51"/>
      <c r="E35" s="51"/>
      <c r="F35" s="51"/>
      <c r="G35" s="51" t="str">
        <f>IFERROR(__xludf.DUMMYFUNCTION("""COMPUTED_VALUE"""),"#VALUE!")</f>
        <v>#VALUE!</v>
      </c>
      <c r="H35" s="51" t="str">
        <f>IFERROR(__xludf.DUMMYFUNCTION("""COMPUTED_VALUE"""),"")</f>
        <v/>
      </c>
      <c r="I35" s="51" t="str">
        <f>IFERROR(__xludf.DUMMYFUNCTION("""COMPUTED_VALUE"""),"#VALUE!")</f>
        <v>#VALUE!</v>
      </c>
      <c r="J35" s="51" t="str">
        <f>IFERROR(__xludf.DUMMYFUNCTION("""COMPUTED_VALUE"""),"")</f>
        <v/>
      </c>
      <c r="K35" s="51">
        <f t="shared" si="1"/>
        <v>0</v>
      </c>
      <c r="L35" s="51" t="s">
        <v>257</v>
      </c>
      <c r="M35" s="51"/>
      <c r="N35" s="51"/>
      <c r="O35" s="51"/>
      <c r="P35" s="51"/>
      <c r="Q35" s="51"/>
      <c r="R35" s="51"/>
      <c r="S35" s="51"/>
      <c r="T35" s="51"/>
    </row>
    <row r="36">
      <c r="A36" s="51"/>
      <c r="B36" s="51"/>
      <c r="C36" s="56"/>
      <c r="D36" s="51"/>
      <c r="E36" s="51"/>
      <c r="F36" s="51"/>
      <c r="G36" s="51" t="str">
        <f>IFERROR(__xludf.DUMMYFUNCTION("""COMPUTED_VALUE"""),"#VALUE!")</f>
        <v>#VALUE!</v>
      </c>
      <c r="H36" s="51" t="str">
        <f>IFERROR(__xludf.DUMMYFUNCTION("""COMPUTED_VALUE"""),"")</f>
        <v/>
      </c>
      <c r="I36" s="51" t="str">
        <f>IFERROR(__xludf.DUMMYFUNCTION("""COMPUTED_VALUE"""),"#VALUE!")</f>
        <v>#VALUE!</v>
      </c>
      <c r="J36" s="51" t="str">
        <f>IFERROR(__xludf.DUMMYFUNCTION("""COMPUTED_VALUE"""),"")</f>
        <v/>
      </c>
      <c r="K36" s="51">
        <f t="shared" si="1"/>
        <v>0</v>
      </c>
      <c r="L36" s="51" t="s">
        <v>257</v>
      </c>
      <c r="M36" s="51"/>
      <c r="N36" s="51"/>
      <c r="O36" s="51"/>
      <c r="P36" s="51"/>
      <c r="Q36" s="51"/>
      <c r="R36" s="51"/>
      <c r="S36" s="51"/>
      <c r="T36" s="51"/>
    </row>
    <row r="37">
      <c r="A37" s="51"/>
      <c r="B37" s="51"/>
      <c r="C37" s="56"/>
      <c r="D37" s="51"/>
      <c r="E37" s="51"/>
      <c r="F37" s="51"/>
      <c r="G37" s="51" t="str">
        <f>IFERROR(__xludf.DUMMYFUNCTION("""COMPUTED_VALUE"""),"#VALUE!")</f>
        <v>#VALUE!</v>
      </c>
      <c r="H37" s="51" t="str">
        <f>IFERROR(__xludf.DUMMYFUNCTION("""COMPUTED_VALUE"""),"")</f>
        <v/>
      </c>
      <c r="I37" s="51" t="str">
        <f>IFERROR(__xludf.DUMMYFUNCTION("""COMPUTED_VALUE"""),"#VALUE!")</f>
        <v>#VALUE!</v>
      </c>
      <c r="J37" s="51" t="str">
        <f>IFERROR(__xludf.DUMMYFUNCTION("""COMPUTED_VALUE"""),"")</f>
        <v/>
      </c>
      <c r="K37" s="51">
        <f t="shared" si="1"/>
        <v>0</v>
      </c>
      <c r="L37" s="51" t="s">
        <v>257</v>
      </c>
      <c r="M37" s="51"/>
      <c r="N37" s="51"/>
      <c r="O37" s="51"/>
      <c r="P37" s="51"/>
      <c r="Q37" s="51"/>
      <c r="R37" s="51"/>
      <c r="S37" s="51"/>
      <c r="T37" s="51"/>
    </row>
    <row r="38">
      <c r="A38" s="51"/>
      <c r="B38" s="51"/>
      <c r="C38" s="56"/>
      <c r="D38" s="51"/>
      <c r="E38" s="51"/>
      <c r="F38" s="51"/>
      <c r="G38" s="51" t="str">
        <f>IFERROR(__xludf.DUMMYFUNCTION("""COMPUTED_VALUE"""),"#VALUE!")</f>
        <v>#VALUE!</v>
      </c>
      <c r="H38" s="51" t="str">
        <f>IFERROR(__xludf.DUMMYFUNCTION("""COMPUTED_VALUE"""),"")</f>
        <v/>
      </c>
      <c r="I38" s="51" t="str">
        <f>IFERROR(__xludf.DUMMYFUNCTION("""COMPUTED_VALUE"""),"#VALUE!")</f>
        <v>#VALUE!</v>
      </c>
      <c r="J38" s="51" t="str">
        <f>IFERROR(__xludf.DUMMYFUNCTION("""COMPUTED_VALUE"""),"")</f>
        <v/>
      </c>
      <c r="K38" s="51">
        <f t="shared" si="1"/>
        <v>0</v>
      </c>
      <c r="L38" s="51" t="s">
        <v>257</v>
      </c>
      <c r="M38" s="51"/>
      <c r="N38" s="51"/>
      <c r="O38" s="51"/>
      <c r="P38" s="51"/>
      <c r="Q38" s="51"/>
      <c r="R38" s="51"/>
      <c r="S38" s="51"/>
      <c r="T38" s="51"/>
    </row>
    <row r="39">
      <c r="A39" s="51"/>
      <c r="B39" s="51"/>
      <c r="C39" s="56"/>
      <c r="D39" s="51"/>
      <c r="E39" s="51"/>
      <c r="F39" s="51"/>
      <c r="G39" s="51" t="str">
        <f>IFERROR(__xludf.DUMMYFUNCTION("""COMPUTED_VALUE"""),"#VALUE!")</f>
        <v>#VALUE!</v>
      </c>
      <c r="H39" s="51" t="str">
        <f>IFERROR(__xludf.DUMMYFUNCTION("""COMPUTED_VALUE"""),"")</f>
        <v/>
      </c>
      <c r="I39" s="51" t="str">
        <f>IFERROR(__xludf.DUMMYFUNCTION("""COMPUTED_VALUE"""),"#VALUE!")</f>
        <v>#VALUE!</v>
      </c>
      <c r="J39" s="51" t="str">
        <f>IFERROR(__xludf.DUMMYFUNCTION("""COMPUTED_VALUE"""),"")</f>
        <v/>
      </c>
      <c r="K39" s="51">
        <f t="shared" si="1"/>
        <v>0</v>
      </c>
      <c r="L39" s="51" t="s">
        <v>257</v>
      </c>
      <c r="M39" s="51"/>
      <c r="N39" s="51"/>
      <c r="O39" s="51"/>
      <c r="P39" s="51"/>
      <c r="Q39" s="51"/>
      <c r="R39" s="51"/>
      <c r="S39" s="51"/>
      <c r="T39" s="51"/>
    </row>
    <row r="40">
      <c r="A40" s="51"/>
      <c r="B40" s="51"/>
      <c r="C40" s="56"/>
      <c r="D40" s="51"/>
      <c r="E40" s="51"/>
      <c r="F40" s="51"/>
      <c r="G40" s="51" t="str">
        <f>IFERROR(__xludf.DUMMYFUNCTION("""COMPUTED_VALUE"""),"#VALUE!")</f>
        <v>#VALUE!</v>
      </c>
      <c r="H40" s="51" t="str">
        <f>IFERROR(__xludf.DUMMYFUNCTION("""COMPUTED_VALUE"""),"")</f>
        <v/>
      </c>
      <c r="I40" s="51" t="str">
        <f>IFERROR(__xludf.DUMMYFUNCTION("""COMPUTED_VALUE"""),"#VALUE!")</f>
        <v>#VALUE!</v>
      </c>
      <c r="J40" s="51" t="str">
        <f>IFERROR(__xludf.DUMMYFUNCTION("""COMPUTED_VALUE"""),"")</f>
        <v/>
      </c>
      <c r="K40" s="51">
        <f t="shared" si="1"/>
        <v>0</v>
      </c>
      <c r="L40" s="51" t="s">
        <v>257</v>
      </c>
      <c r="M40" s="51"/>
      <c r="N40" s="51"/>
      <c r="O40" s="51"/>
      <c r="P40" s="51"/>
      <c r="Q40" s="51"/>
      <c r="R40" s="51"/>
      <c r="S40" s="51"/>
      <c r="T40" s="51"/>
    </row>
    <row r="41">
      <c r="A41" s="51"/>
      <c r="B41" s="51"/>
      <c r="C41" s="56"/>
      <c r="D41" s="51"/>
      <c r="E41" s="51"/>
      <c r="F41" s="51"/>
      <c r="G41" s="51" t="str">
        <f>IFERROR(__xludf.DUMMYFUNCTION("""COMPUTED_VALUE"""),"#VALUE!")</f>
        <v>#VALUE!</v>
      </c>
      <c r="H41" s="51" t="str">
        <f>IFERROR(__xludf.DUMMYFUNCTION("""COMPUTED_VALUE"""),"")</f>
        <v/>
      </c>
      <c r="I41" s="51" t="str">
        <f>IFERROR(__xludf.DUMMYFUNCTION("""COMPUTED_VALUE"""),"#VALUE!")</f>
        <v>#VALUE!</v>
      </c>
      <c r="J41" s="51" t="str">
        <f>IFERROR(__xludf.DUMMYFUNCTION("""COMPUTED_VALUE"""),"")</f>
        <v/>
      </c>
      <c r="K41" s="51">
        <f t="shared" si="1"/>
        <v>0</v>
      </c>
      <c r="L41" s="51" t="s">
        <v>257</v>
      </c>
      <c r="M41" s="51"/>
      <c r="N41" s="51"/>
      <c r="O41" s="51"/>
      <c r="P41" s="51"/>
      <c r="Q41" s="51"/>
      <c r="R41" s="51"/>
      <c r="S41" s="51"/>
      <c r="T41" s="51"/>
    </row>
    <row r="42">
      <c r="A42" s="51"/>
      <c r="B42" s="51"/>
      <c r="C42" s="56"/>
      <c r="D42" s="51"/>
      <c r="E42" s="51"/>
      <c r="F42" s="51"/>
      <c r="G42" s="51" t="str">
        <f>IFERROR(__xludf.DUMMYFUNCTION("""COMPUTED_VALUE"""),"#VALUE!")</f>
        <v>#VALUE!</v>
      </c>
      <c r="H42" s="51" t="str">
        <f>IFERROR(__xludf.DUMMYFUNCTION("""COMPUTED_VALUE"""),"")</f>
        <v/>
      </c>
      <c r="I42" s="51" t="str">
        <f>IFERROR(__xludf.DUMMYFUNCTION("""COMPUTED_VALUE"""),"#VALUE!")</f>
        <v>#VALUE!</v>
      </c>
      <c r="J42" s="51" t="str">
        <f>IFERROR(__xludf.DUMMYFUNCTION("""COMPUTED_VALUE"""),"")</f>
        <v/>
      </c>
      <c r="K42" s="51">
        <f t="shared" si="1"/>
        <v>0</v>
      </c>
      <c r="L42" s="51" t="s">
        <v>257</v>
      </c>
      <c r="M42" s="51"/>
      <c r="N42" s="51"/>
      <c r="O42" s="51"/>
      <c r="P42" s="51"/>
      <c r="Q42" s="51"/>
      <c r="R42" s="51"/>
      <c r="S42" s="51"/>
      <c r="T42" s="51"/>
    </row>
    <row r="43">
      <c r="A43" s="51"/>
      <c r="B43" s="51"/>
      <c r="C43" s="56"/>
      <c r="D43" s="51"/>
      <c r="E43" s="51"/>
      <c r="F43" s="51"/>
      <c r="G43" s="51" t="str">
        <f>IFERROR(__xludf.DUMMYFUNCTION("""COMPUTED_VALUE"""),"#VALUE!")</f>
        <v>#VALUE!</v>
      </c>
      <c r="H43" s="51" t="str">
        <f>IFERROR(__xludf.DUMMYFUNCTION("""COMPUTED_VALUE"""),"")</f>
        <v/>
      </c>
      <c r="I43" s="51" t="str">
        <f>IFERROR(__xludf.DUMMYFUNCTION("""COMPUTED_VALUE"""),"#VALUE!")</f>
        <v>#VALUE!</v>
      </c>
      <c r="J43" s="51" t="str">
        <f>IFERROR(__xludf.DUMMYFUNCTION("""COMPUTED_VALUE"""),"")</f>
        <v/>
      </c>
      <c r="K43" s="51">
        <f t="shared" si="1"/>
        <v>0</v>
      </c>
      <c r="L43" s="51" t="s">
        <v>257</v>
      </c>
      <c r="M43" s="51"/>
      <c r="N43" s="51"/>
      <c r="O43" s="51"/>
      <c r="P43" s="51"/>
      <c r="Q43" s="51"/>
      <c r="R43" s="51"/>
      <c r="S43" s="51"/>
      <c r="T43" s="51"/>
    </row>
    <row r="44">
      <c r="A44" s="51"/>
      <c r="B44" s="51"/>
      <c r="C44" s="56"/>
      <c r="D44" s="51"/>
      <c r="E44" s="51"/>
      <c r="F44" s="51"/>
      <c r="G44" s="51" t="str">
        <f>IFERROR(__xludf.DUMMYFUNCTION("""COMPUTED_VALUE"""),"#VALUE!")</f>
        <v>#VALUE!</v>
      </c>
      <c r="H44" s="51" t="str">
        <f>IFERROR(__xludf.DUMMYFUNCTION("""COMPUTED_VALUE"""),"")</f>
        <v/>
      </c>
      <c r="I44" s="51" t="str">
        <f>IFERROR(__xludf.DUMMYFUNCTION("""COMPUTED_VALUE"""),"#VALUE!")</f>
        <v>#VALUE!</v>
      </c>
      <c r="J44" s="51" t="str">
        <f>IFERROR(__xludf.DUMMYFUNCTION("""COMPUTED_VALUE"""),"")</f>
        <v/>
      </c>
      <c r="K44" s="51">
        <f t="shared" si="1"/>
        <v>0</v>
      </c>
      <c r="L44" s="51" t="s">
        <v>257</v>
      </c>
      <c r="M44" s="51"/>
      <c r="N44" s="51"/>
      <c r="O44" s="51"/>
      <c r="P44" s="51"/>
      <c r="Q44" s="51"/>
      <c r="R44" s="51"/>
      <c r="S44" s="51"/>
      <c r="T44" s="51"/>
    </row>
    <row r="45">
      <c r="A45" s="51"/>
      <c r="B45" s="51"/>
      <c r="C45" s="56"/>
      <c r="D45" s="51"/>
      <c r="E45" s="51"/>
      <c r="F45" s="51"/>
      <c r="G45" s="51" t="str">
        <f>IFERROR(__xludf.DUMMYFUNCTION("""COMPUTED_VALUE"""),"#VALUE!")</f>
        <v>#VALUE!</v>
      </c>
      <c r="H45" s="51" t="str">
        <f>IFERROR(__xludf.DUMMYFUNCTION("""COMPUTED_VALUE"""),"")</f>
        <v/>
      </c>
      <c r="I45" s="51" t="str">
        <f>IFERROR(__xludf.DUMMYFUNCTION("""COMPUTED_VALUE"""),"#VALUE!")</f>
        <v>#VALUE!</v>
      </c>
      <c r="J45" s="51" t="str">
        <f>IFERROR(__xludf.DUMMYFUNCTION("""COMPUTED_VALUE"""),"")</f>
        <v/>
      </c>
      <c r="K45" s="51"/>
      <c r="L45" s="51" t="s">
        <v>257</v>
      </c>
      <c r="M45" s="51"/>
      <c r="N45" s="51"/>
      <c r="O45" s="51"/>
      <c r="P45" s="51"/>
      <c r="Q45" s="51"/>
      <c r="R45" s="51"/>
      <c r="S45" s="51"/>
      <c r="T45" s="51"/>
    </row>
    <row r="46">
      <c r="A46" s="51"/>
      <c r="B46" s="51"/>
      <c r="C46" s="56"/>
      <c r="D46" s="51"/>
      <c r="E46" s="51"/>
      <c r="F46" s="51"/>
      <c r="G46" s="51" t="str">
        <f>IFERROR(__xludf.DUMMYFUNCTION("""COMPUTED_VALUE"""),"#VALUE!")</f>
        <v>#VALUE!</v>
      </c>
      <c r="H46" s="51" t="str">
        <f>IFERROR(__xludf.DUMMYFUNCTION("""COMPUTED_VALUE"""),"")</f>
        <v/>
      </c>
      <c r="I46" s="51" t="str">
        <f>IFERROR(__xludf.DUMMYFUNCTION("""COMPUTED_VALUE"""),"#VALUE!")</f>
        <v>#VALUE!</v>
      </c>
      <c r="J46" s="51" t="str">
        <f>IFERROR(__xludf.DUMMYFUNCTION("""COMPUTED_VALUE"""),"")</f>
        <v/>
      </c>
      <c r="K46" s="51"/>
      <c r="L46" s="51" t="s">
        <v>257</v>
      </c>
      <c r="M46" s="51"/>
      <c r="N46" s="51"/>
      <c r="O46" s="51"/>
      <c r="P46" s="51"/>
      <c r="Q46" s="51"/>
      <c r="R46" s="51"/>
      <c r="S46" s="51"/>
      <c r="T46" s="51"/>
    </row>
    <row r="47">
      <c r="A47" s="51"/>
      <c r="B47" s="51"/>
      <c r="C47" s="56"/>
      <c r="D47" s="51"/>
      <c r="E47" s="51"/>
      <c r="F47" s="51"/>
      <c r="G47" s="51" t="str">
        <f>IFERROR(__xludf.DUMMYFUNCTION("""COMPUTED_VALUE"""),"#VALUE!")</f>
        <v>#VALUE!</v>
      </c>
      <c r="H47" s="51" t="str">
        <f>IFERROR(__xludf.DUMMYFUNCTION("""COMPUTED_VALUE"""),"")</f>
        <v/>
      </c>
      <c r="I47" s="51" t="str">
        <f>IFERROR(__xludf.DUMMYFUNCTION("""COMPUTED_VALUE"""),"#VALUE!")</f>
        <v>#VALUE!</v>
      </c>
      <c r="J47" s="51" t="str">
        <f>IFERROR(__xludf.DUMMYFUNCTION("""COMPUTED_VALUE"""),"")</f>
        <v/>
      </c>
      <c r="K47" s="51"/>
      <c r="L47" s="51" t="s">
        <v>257</v>
      </c>
      <c r="M47" s="51"/>
      <c r="N47" s="51"/>
      <c r="O47" s="51"/>
      <c r="P47" s="51"/>
      <c r="Q47" s="51"/>
      <c r="R47" s="51"/>
      <c r="S47" s="51"/>
      <c r="T47" s="51"/>
    </row>
    <row r="48">
      <c r="A48" s="51"/>
      <c r="B48" s="51"/>
      <c r="C48" s="56"/>
      <c r="D48" s="51"/>
      <c r="E48" s="51"/>
      <c r="F48" s="51"/>
      <c r="G48" s="51" t="str">
        <f>IFERROR(__xludf.DUMMYFUNCTION("""COMPUTED_VALUE"""),"#VALUE!")</f>
        <v>#VALUE!</v>
      </c>
      <c r="H48" s="51" t="str">
        <f>IFERROR(__xludf.DUMMYFUNCTION("""COMPUTED_VALUE"""),"")</f>
        <v/>
      </c>
      <c r="I48" s="51" t="str">
        <f>IFERROR(__xludf.DUMMYFUNCTION("""COMPUTED_VALUE"""),"#VALUE!")</f>
        <v>#VALUE!</v>
      </c>
      <c r="J48" s="51" t="str">
        <f>IFERROR(__xludf.DUMMYFUNCTION("""COMPUTED_VALUE"""),"")</f>
        <v/>
      </c>
      <c r="K48" s="51"/>
      <c r="L48" s="51" t="s">
        <v>257</v>
      </c>
      <c r="M48" s="51"/>
      <c r="N48" s="51"/>
      <c r="O48" s="51"/>
      <c r="P48" s="51"/>
      <c r="Q48" s="51"/>
      <c r="R48" s="51"/>
      <c r="S48" s="51"/>
      <c r="T48" s="51"/>
    </row>
    <row r="49">
      <c r="A49" s="51"/>
      <c r="B49" s="51"/>
      <c r="C49" s="56"/>
      <c r="D49" s="51"/>
      <c r="E49" s="51"/>
      <c r="F49" s="51"/>
      <c r="G49" s="51" t="str">
        <f>IFERROR(__xludf.DUMMYFUNCTION("""COMPUTED_VALUE"""),"#VALUE!")</f>
        <v>#VALUE!</v>
      </c>
      <c r="H49" s="51" t="str">
        <f>IFERROR(__xludf.DUMMYFUNCTION("""COMPUTED_VALUE"""),"")</f>
        <v/>
      </c>
      <c r="I49" s="51" t="str">
        <f>IFERROR(__xludf.DUMMYFUNCTION("""COMPUTED_VALUE"""),"#VALUE!")</f>
        <v>#VALUE!</v>
      </c>
      <c r="J49" s="51" t="str">
        <f>IFERROR(__xludf.DUMMYFUNCTION("""COMPUTED_VALUE"""),"")</f>
        <v/>
      </c>
      <c r="K49" s="51"/>
      <c r="L49" s="51" t="s">
        <v>257</v>
      </c>
      <c r="M49" s="51"/>
      <c r="N49" s="51"/>
      <c r="O49" s="51"/>
      <c r="P49" s="51"/>
      <c r="Q49" s="51"/>
      <c r="R49" s="51"/>
      <c r="S49" s="51"/>
      <c r="T49" s="51"/>
    </row>
    <row r="50">
      <c r="A50" s="51"/>
      <c r="B50" s="51"/>
      <c r="C50" s="56"/>
      <c r="D50" s="51"/>
      <c r="E50" s="51"/>
      <c r="F50" s="51"/>
      <c r="G50" s="51" t="str">
        <f>IFERROR(__xludf.DUMMYFUNCTION("""COMPUTED_VALUE"""),"#VALUE!")</f>
        <v>#VALUE!</v>
      </c>
      <c r="H50" s="51" t="str">
        <f>IFERROR(__xludf.DUMMYFUNCTION("""COMPUTED_VALUE"""),"")</f>
        <v/>
      </c>
      <c r="I50" s="51" t="str">
        <f>IFERROR(__xludf.DUMMYFUNCTION("""COMPUTED_VALUE"""),"#VALUE!")</f>
        <v>#VALUE!</v>
      </c>
      <c r="J50" s="51" t="str">
        <f>IFERROR(__xludf.DUMMYFUNCTION("""COMPUTED_VALUE"""),"")</f>
        <v/>
      </c>
      <c r="K50" s="51"/>
      <c r="L50" s="51" t="s">
        <v>257</v>
      </c>
      <c r="M50" s="51"/>
      <c r="N50" s="51"/>
      <c r="O50" s="51"/>
      <c r="P50" s="51"/>
      <c r="Q50" s="51"/>
      <c r="R50" s="51"/>
      <c r="S50" s="51"/>
      <c r="T50" s="51"/>
    </row>
    <row r="51">
      <c r="A51" s="51"/>
      <c r="B51" s="51"/>
      <c r="C51" s="56"/>
      <c r="D51" s="51"/>
      <c r="E51" s="51"/>
      <c r="F51" s="51"/>
      <c r="G51" s="51" t="str">
        <f>IFERROR(__xludf.DUMMYFUNCTION("""COMPUTED_VALUE"""),"#VALUE!")</f>
        <v>#VALUE!</v>
      </c>
      <c r="H51" s="51" t="str">
        <f>IFERROR(__xludf.DUMMYFUNCTION("""COMPUTED_VALUE"""),"")</f>
        <v/>
      </c>
      <c r="I51" s="51" t="str">
        <f>IFERROR(__xludf.DUMMYFUNCTION("""COMPUTED_VALUE"""),"#VALUE!")</f>
        <v>#VALUE!</v>
      </c>
      <c r="J51" s="51" t="str">
        <f>IFERROR(__xludf.DUMMYFUNCTION("""COMPUTED_VALUE"""),"")</f>
        <v/>
      </c>
      <c r="K51" s="51"/>
      <c r="L51" s="51" t="s">
        <v>257</v>
      </c>
      <c r="M51" s="51"/>
      <c r="N51" s="51"/>
      <c r="O51" s="51"/>
      <c r="P51" s="51"/>
      <c r="Q51" s="51"/>
      <c r="R51" s="51"/>
      <c r="S51" s="51"/>
      <c r="T51" s="51"/>
    </row>
    <row r="52">
      <c r="A52" s="51"/>
      <c r="B52" s="51"/>
      <c r="C52" s="56"/>
      <c r="D52" s="51"/>
      <c r="E52" s="51"/>
      <c r="F52" s="51"/>
      <c r="G52" s="51" t="str">
        <f>IFERROR(__xludf.DUMMYFUNCTION("""COMPUTED_VALUE"""),"#VALUE!")</f>
        <v>#VALUE!</v>
      </c>
      <c r="H52" s="51" t="str">
        <f>IFERROR(__xludf.DUMMYFUNCTION("""COMPUTED_VALUE"""),"")</f>
        <v/>
      </c>
      <c r="I52" s="51" t="str">
        <f>IFERROR(__xludf.DUMMYFUNCTION("""COMPUTED_VALUE"""),"#VALUE!")</f>
        <v>#VALUE!</v>
      </c>
      <c r="J52" s="51" t="str">
        <f>IFERROR(__xludf.DUMMYFUNCTION("""COMPUTED_VALUE"""),"")</f>
        <v/>
      </c>
      <c r="K52" s="51"/>
      <c r="L52" s="51" t="s">
        <v>257</v>
      </c>
      <c r="M52" s="51"/>
      <c r="N52" s="51"/>
      <c r="O52" s="51"/>
      <c r="P52" s="51"/>
      <c r="Q52" s="51"/>
      <c r="R52" s="51"/>
      <c r="S52" s="51"/>
      <c r="T52" s="51"/>
    </row>
    <row r="53">
      <c r="A53" s="51"/>
      <c r="B53" s="51"/>
      <c r="C53" s="56"/>
      <c r="D53" s="51"/>
      <c r="E53" s="51"/>
      <c r="F53" s="51"/>
      <c r="G53" s="51" t="str">
        <f>IFERROR(__xludf.DUMMYFUNCTION("""COMPUTED_VALUE"""),"#VALUE!")</f>
        <v>#VALUE!</v>
      </c>
      <c r="H53" s="51" t="str">
        <f>IFERROR(__xludf.DUMMYFUNCTION("""COMPUTED_VALUE"""),"")</f>
        <v/>
      </c>
      <c r="I53" s="51" t="str">
        <f>IFERROR(__xludf.DUMMYFUNCTION("""COMPUTED_VALUE"""),"#VALUE!")</f>
        <v>#VALUE!</v>
      </c>
      <c r="J53" s="51" t="str">
        <f>IFERROR(__xludf.DUMMYFUNCTION("""COMPUTED_VALUE"""),"")</f>
        <v/>
      </c>
      <c r="K53" s="51"/>
      <c r="L53" s="51" t="s">
        <v>257</v>
      </c>
      <c r="M53" s="51"/>
      <c r="N53" s="51"/>
      <c r="O53" s="51"/>
      <c r="P53" s="51"/>
      <c r="Q53" s="51"/>
      <c r="R53" s="51"/>
      <c r="S53" s="51"/>
      <c r="T53" s="51"/>
    </row>
    <row r="54">
      <c r="A54" s="51"/>
      <c r="B54" s="51"/>
      <c r="C54" s="56"/>
      <c r="D54" s="51"/>
      <c r="E54" s="51"/>
      <c r="F54" s="51"/>
      <c r="G54" s="51" t="str">
        <f>IFERROR(__xludf.DUMMYFUNCTION("""COMPUTED_VALUE"""),"#VALUE!")</f>
        <v>#VALUE!</v>
      </c>
      <c r="H54" s="51" t="str">
        <f>IFERROR(__xludf.DUMMYFUNCTION("""COMPUTED_VALUE"""),"")</f>
        <v/>
      </c>
      <c r="I54" s="51" t="str">
        <f>IFERROR(__xludf.DUMMYFUNCTION("""COMPUTED_VALUE"""),"#VALUE!")</f>
        <v>#VALUE!</v>
      </c>
      <c r="J54" s="51" t="str">
        <f>IFERROR(__xludf.DUMMYFUNCTION("""COMPUTED_VALUE"""),"")</f>
        <v/>
      </c>
      <c r="K54" s="51"/>
      <c r="L54" s="51" t="s">
        <v>257</v>
      </c>
      <c r="M54" s="51"/>
      <c r="N54" s="51"/>
      <c r="O54" s="51"/>
      <c r="P54" s="51"/>
      <c r="Q54" s="51"/>
      <c r="R54" s="51"/>
      <c r="S54" s="51"/>
      <c r="T54" s="51"/>
    </row>
    <row r="55">
      <c r="A55" s="51"/>
      <c r="B55" s="51"/>
      <c r="C55" s="56"/>
      <c r="D55" s="51"/>
      <c r="E55" s="51"/>
      <c r="F55" s="51"/>
      <c r="G55" s="51" t="str">
        <f>IFERROR(__xludf.DUMMYFUNCTION("""COMPUTED_VALUE"""),"#VALUE!")</f>
        <v>#VALUE!</v>
      </c>
      <c r="H55" s="51" t="str">
        <f>IFERROR(__xludf.DUMMYFUNCTION("""COMPUTED_VALUE"""),"")</f>
        <v/>
      </c>
      <c r="I55" s="51" t="str">
        <f>IFERROR(__xludf.DUMMYFUNCTION("""COMPUTED_VALUE"""),"#VALUE!")</f>
        <v>#VALUE!</v>
      </c>
      <c r="J55" s="51" t="str">
        <f>IFERROR(__xludf.DUMMYFUNCTION("""COMPUTED_VALUE"""),"")</f>
        <v/>
      </c>
      <c r="K55" s="51"/>
      <c r="L55" s="51" t="s">
        <v>257</v>
      </c>
      <c r="M55" s="51"/>
      <c r="N55" s="51"/>
      <c r="O55" s="51"/>
      <c r="P55" s="51"/>
      <c r="Q55" s="51"/>
      <c r="R55" s="51"/>
      <c r="S55" s="51"/>
      <c r="T55" s="51"/>
    </row>
    <row r="56">
      <c r="A56" s="51"/>
      <c r="B56" s="51"/>
      <c r="C56" s="56"/>
      <c r="D56" s="51"/>
      <c r="E56" s="51"/>
      <c r="F56" s="51"/>
      <c r="G56" s="51" t="str">
        <f>IFERROR(__xludf.DUMMYFUNCTION("""COMPUTED_VALUE"""),"#VALUE!")</f>
        <v>#VALUE!</v>
      </c>
      <c r="H56" s="51" t="str">
        <f>IFERROR(__xludf.DUMMYFUNCTION("""COMPUTED_VALUE"""),"")</f>
        <v/>
      </c>
      <c r="I56" s="51" t="str">
        <f>IFERROR(__xludf.DUMMYFUNCTION("""COMPUTED_VALUE"""),"#VALUE!")</f>
        <v>#VALUE!</v>
      </c>
      <c r="J56" s="51" t="str">
        <f>IFERROR(__xludf.DUMMYFUNCTION("""COMPUTED_VALUE"""),"")</f>
        <v/>
      </c>
      <c r="K56" s="51"/>
      <c r="L56" s="51" t="s">
        <v>257</v>
      </c>
      <c r="M56" s="51"/>
      <c r="N56" s="51"/>
      <c r="O56" s="51"/>
      <c r="P56" s="51"/>
      <c r="Q56" s="51"/>
      <c r="R56" s="51"/>
      <c r="S56" s="51"/>
      <c r="T56" s="51"/>
    </row>
    <row r="57">
      <c r="A57" s="51"/>
      <c r="B57" s="51"/>
      <c r="C57" s="56"/>
      <c r="D57" s="51"/>
      <c r="E57" s="51"/>
      <c r="F57" s="51"/>
      <c r="G57" s="51" t="str">
        <f>IFERROR(__xludf.DUMMYFUNCTION("""COMPUTED_VALUE"""),"#VALUE!")</f>
        <v>#VALUE!</v>
      </c>
      <c r="H57" s="51" t="str">
        <f>IFERROR(__xludf.DUMMYFUNCTION("""COMPUTED_VALUE"""),"")</f>
        <v/>
      </c>
      <c r="I57" s="51" t="str">
        <f>IFERROR(__xludf.DUMMYFUNCTION("""COMPUTED_VALUE"""),"#VALUE!")</f>
        <v>#VALUE!</v>
      </c>
      <c r="J57" s="51" t="str">
        <f>IFERROR(__xludf.DUMMYFUNCTION("""COMPUTED_VALUE"""),"")</f>
        <v/>
      </c>
      <c r="K57" s="51"/>
      <c r="L57" s="51" t="s">
        <v>257</v>
      </c>
      <c r="M57" s="51"/>
      <c r="N57" s="51"/>
      <c r="O57" s="51"/>
      <c r="P57" s="51"/>
      <c r="Q57" s="51"/>
      <c r="R57" s="51"/>
      <c r="S57" s="51"/>
      <c r="T57" s="51"/>
    </row>
    <row r="58">
      <c r="A58" s="51"/>
      <c r="B58" s="51"/>
      <c r="C58" s="56"/>
      <c r="D58" s="51"/>
      <c r="E58" s="51"/>
      <c r="F58" s="51"/>
      <c r="G58" s="51" t="str">
        <f>IFERROR(__xludf.DUMMYFUNCTION("""COMPUTED_VALUE"""),"#VALUE!")</f>
        <v>#VALUE!</v>
      </c>
      <c r="H58" s="51" t="str">
        <f>IFERROR(__xludf.DUMMYFUNCTION("""COMPUTED_VALUE"""),"")</f>
        <v/>
      </c>
      <c r="I58" s="51" t="str">
        <f>IFERROR(__xludf.DUMMYFUNCTION("""COMPUTED_VALUE"""),"#VALUE!")</f>
        <v>#VALUE!</v>
      </c>
      <c r="J58" s="51" t="str">
        <f>IFERROR(__xludf.DUMMYFUNCTION("""COMPUTED_VALUE"""),"")</f>
        <v/>
      </c>
      <c r="K58" s="51"/>
      <c r="L58" s="51" t="s">
        <v>257</v>
      </c>
      <c r="M58" s="51"/>
      <c r="N58" s="51"/>
      <c r="O58" s="51"/>
      <c r="P58" s="51"/>
      <c r="Q58" s="51"/>
      <c r="R58" s="51"/>
      <c r="S58" s="51"/>
      <c r="T58" s="51"/>
    </row>
    <row r="59">
      <c r="A59" s="51"/>
      <c r="B59" s="51"/>
      <c r="C59" s="56"/>
      <c r="D59" s="51"/>
      <c r="E59" s="51"/>
      <c r="F59" s="51"/>
      <c r="G59" s="51" t="str">
        <f>IFERROR(__xludf.DUMMYFUNCTION("""COMPUTED_VALUE"""),"#VALUE!")</f>
        <v>#VALUE!</v>
      </c>
      <c r="H59" s="51" t="str">
        <f>IFERROR(__xludf.DUMMYFUNCTION("""COMPUTED_VALUE"""),"")</f>
        <v/>
      </c>
      <c r="I59" s="51" t="str">
        <f>IFERROR(__xludf.DUMMYFUNCTION("""COMPUTED_VALUE"""),"#VALUE!")</f>
        <v>#VALUE!</v>
      </c>
      <c r="J59" s="51" t="str">
        <f>IFERROR(__xludf.DUMMYFUNCTION("""COMPUTED_VALUE"""),"")</f>
        <v/>
      </c>
      <c r="K59" s="51"/>
      <c r="L59" s="51" t="s">
        <v>257</v>
      </c>
      <c r="M59" s="51"/>
      <c r="N59" s="51"/>
      <c r="O59" s="51"/>
      <c r="P59" s="51"/>
      <c r="Q59" s="51"/>
      <c r="R59" s="51"/>
      <c r="S59" s="51"/>
      <c r="T59" s="51"/>
    </row>
    <row r="60">
      <c r="A60" s="51"/>
      <c r="B60" s="51"/>
      <c r="C60" s="56"/>
      <c r="D60" s="51"/>
      <c r="E60" s="51"/>
      <c r="F60" s="51"/>
      <c r="G60" s="51" t="str">
        <f>IFERROR(__xludf.DUMMYFUNCTION("""COMPUTED_VALUE"""),"#VALUE!")</f>
        <v>#VALUE!</v>
      </c>
      <c r="H60" s="51" t="str">
        <f>IFERROR(__xludf.DUMMYFUNCTION("""COMPUTED_VALUE"""),"")</f>
        <v/>
      </c>
      <c r="I60" s="51" t="str">
        <f>IFERROR(__xludf.DUMMYFUNCTION("""COMPUTED_VALUE"""),"#VALUE!")</f>
        <v>#VALUE!</v>
      </c>
      <c r="J60" s="51" t="str">
        <f>IFERROR(__xludf.DUMMYFUNCTION("""COMPUTED_VALUE"""),"")</f>
        <v/>
      </c>
      <c r="K60" s="51"/>
      <c r="L60" s="51" t="s">
        <v>257</v>
      </c>
      <c r="M60" s="51"/>
      <c r="N60" s="51"/>
      <c r="O60" s="51"/>
      <c r="P60" s="51"/>
      <c r="Q60" s="51"/>
      <c r="R60" s="51"/>
      <c r="S60" s="51"/>
      <c r="T60" s="51"/>
    </row>
    <row r="61">
      <c r="A61" s="51"/>
      <c r="B61" s="51"/>
      <c r="C61" s="56"/>
      <c r="D61" s="51"/>
      <c r="E61" s="51"/>
      <c r="F61" s="51"/>
      <c r="G61" s="51" t="str">
        <f>IFERROR(__xludf.DUMMYFUNCTION("""COMPUTED_VALUE"""),"#VALUE!")</f>
        <v>#VALUE!</v>
      </c>
      <c r="H61" s="51" t="str">
        <f>IFERROR(__xludf.DUMMYFUNCTION("""COMPUTED_VALUE"""),"")</f>
        <v/>
      </c>
      <c r="I61" s="51" t="str">
        <f>IFERROR(__xludf.DUMMYFUNCTION("""COMPUTED_VALUE"""),"#VALUE!")</f>
        <v>#VALUE!</v>
      </c>
      <c r="J61" s="51" t="str">
        <f>IFERROR(__xludf.DUMMYFUNCTION("""COMPUTED_VALUE"""),"")</f>
        <v/>
      </c>
      <c r="K61" s="51"/>
      <c r="L61" s="51" t="s">
        <v>257</v>
      </c>
      <c r="M61" s="51"/>
      <c r="N61" s="51"/>
      <c r="O61" s="51"/>
      <c r="P61" s="51"/>
      <c r="Q61" s="51"/>
      <c r="R61" s="51"/>
      <c r="S61" s="51"/>
      <c r="T61" s="51"/>
    </row>
    <row r="62">
      <c r="A62" s="51"/>
      <c r="B62" s="51"/>
      <c r="C62" s="56"/>
      <c r="D62" s="51"/>
      <c r="E62" s="51"/>
      <c r="F62" s="51"/>
      <c r="G62" s="51" t="str">
        <f>IFERROR(__xludf.DUMMYFUNCTION("""COMPUTED_VALUE"""),"#VALUE!")</f>
        <v>#VALUE!</v>
      </c>
      <c r="H62" s="51" t="str">
        <f>IFERROR(__xludf.DUMMYFUNCTION("""COMPUTED_VALUE"""),"")</f>
        <v/>
      </c>
      <c r="I62" s="51" t="str">
        <f>IFERROR(__xludf.DUMMYFUNCTION("""COMPUTED_VALUE"""),"#VALUE!")</f>
        <v>#VALUE!</v>
      </c>
      <c r="J62" s="51" t="str">
        <f>IFERROR(__xludf.DUMMYFUNCTION("""COMPUTED_VALUE"""),"")</f>
        <v/>
      </c>
      <c r="K62" s="51"/>
      <c r="L62" s="51" t="s">
        <v>257</v>
      </c>
      <c r="M62" s="51"/>
      <c r="N62" s="51"/>
      <c r="O62" s="51"/>
      <c r="P62" s="51"/>
      <c r="Q62" s="51"/>
      <c r="R62" s="51"/>
      <c r="S62" s="51"/>
      <c r="T62" s="51"/>
    </row>
    <row r="63">
      <c r="A63" s="51"/>
      <c r="B63" s="51"/>
      <c r="C63" s="56"/>
      <c r="D63" s="51"/>
      <c r="E63" s="51"/>
      <c r="F63" s="51"/>
      <c r="G63" s="51" t="str">
        <f>IFERROR(__xludf.DUMMYFUNCTION("""COMPUTED_VALUE"""),"#VALUE!")</f>
        <v>#VALUE!</v>
      </c>
      <c r="H63" s="51" t="str">
        <f>IFERROR(__xludf.DUMMYFUNCTION("""COMPUTED_VALUE"""),"")</f>
        <v/>
      </c>
      <c r="I63" s="51" t="str">
        <f>IFERROR(__xludf.DUMMYFUNCTION("""COMPUTED_VALUE"""),"#VALUE!")</f>
        <v>#VALUE!</v>
      </c>
      <c r="J63" s="51" t="str">
        <f>IFERROR(__xludf.DUMMYFUNCTION("""COMPUTED_VALUE"""),"")</f>
        <v/>
      </c>
      <c r="K63" s="51"/>
      <c r="L63" s="51" t="s">
        <v>257</v>
      </c>
      <c r="M63" s="51"/>
      <c r="N63" s="51"/>
      <c r="O63" s="51"/>
      <c r="P63" s="51"/>
      <c r="Q63" s="51"/>
      <c r="R63" s="51"/>
      <c r="S63" s="51"/>
      <c r="T63" s="51"/>
    </row>
    <row r="64">
      <c r="A64" s="51"/>
      <c r="B64" s="51"/>
      <c r="C64" s="56"/>
      <c r="D64" s="51"/>
      <c r="E64" s="51"/>
      <c r="F64" s="51"/>
      <c r="G64" s="51" t="str">
        <f>IFERROR(__xludf.DUMMYFUNCTION("""COMPUTED_VALUE"""),"#VALUE!")</f>
        <v>#VALUE!</v>
      </c>
      <c r="H64" s="51" t="str">
        <f>IFERROR(__xludf.DUMMYFUNCTION("""COMPUTED_VALUE"""),"")</f>
        <v/>
      </c>
      <c r="I64" s="51" t="str">
        <f>IFERROR(__xludf.DUMMYFUNCTION("""COMPUTED_VALUE"""),"#VALUE!")</f>
        <v>#VALUE!</v>
      </c>
      <c r="J64" s="51" t="str">
        <f>IFERROR(__xludf.DUMMYFUNCTION("""COMPUTED_VALUE"""),"")</f>
        <v/>
      </c>
      <c r="K64" s="51"/>
      <c r="L64" s="51" t="s">
        <v>257</v>
      </c>
      <c r="M64" s="51"/>
      <c r="N64" s="51"/>
      <c r="O64" s="51"/>
      <c r="P64" s="51"/>
      <c r="Q64" s="51"/>
      <c r="R64" s="51"/>
      <c r="S64" s="51"/>
      <c r="T64" s="51"/>
    </row>
    <row r="65">
      <c r="A65" s="51"/>
      <c r="B65" s="51"/>
      <c r="C65" s="56"/>
      <c r="D65" s="51"/>
      <c r="E65" s="51"/>
      <c r="F65" s="51"/>
      <c r="G65" s="51" t="str">
        <f>IFERROR(__xludf.DUMMYFUNCTION("""COMPUTED_VALUE"""),"#VALUE!")</f>
        <v>#VALUE!</v>
      </c>
      <c r="H65" s="51" t="str">
        <f>IFERROR(__xludf.DUMMYFUNCTION("""COMPUTED_VALUE"""),"")</f>
        <v/>
      </c>
      <c r="I65" s="51" t="str">
        <f>IFERROR(__xludf.DUMMYFUNCTION("""COMPUTED_VALUE"""),"#VALUE!")</f>
        <v>#VALUE!</v>
      </c>
      <c r="J65" s="51" t="str">
        <f>IFERROR(__xludf.DUMMYFUNCTION("""COMPUTED_VALUE"""),"")</f>
        <v/>
      </c>
      <c r="K65" s="51"/>
      <c r="L65" s="51" t="s">
        <v>257</v>
      </c>
      <c r="M65" s="51"/>
      <c r="N65" s="51"/>
      <c r="O65" s="51"/>
      <c r="P65" s="51"/>
      <c r="Q65" s="51"/>
      <c r="R65" s="51"/>
      <c r="S65" s="51"/>
      <c r="T65" s="51"/>
    </row>
    <row r="66">
      <c r="A66" s="51"/>
      <c r="B66" s="51"/>
      <c r="C66" s="56"/>
      <c r="D66" s="51"/>
      <c r="E66" s="51"/>
      <c r="F66" s="51"/>
      <c r="G66" s="51" t="str">
        <f>IFERROR(__xludf.DUMMYFUNCTION("""COMPUTED_VALUE"""),"#VALUE!")</f>
        <v>#VALUE!</v>
      </c>
      <c r="H66" s="51" t="str">
        <f>IFERROR(__xludf.DUMMYFUNCTION("""COMPUTED_VALUE"""),"")</f>
        <v/>
      </c>
      <c r="I66" s="51" t="str">
        <f>IFERROR(__xludf.DUMMYFUNCTION("""COMPUTED_VALUE"""),"#VALUE!")</f>
        <v>#VALUE!</v>
      </c>
      <c r="J66" s="51" t="str">
        <f>IFERROR(__xludf.DUMMYFUNCTION("""COMPUTED_VALUE"""),"")</f>
        <v/>
      </c>
      <c r="K66" s="51"/>
      <c r="L66" s="51" t="s">
        <v>257</v>
      </c>
      <c r="M66" s="51"/>
      <c r="N66" s="51"/>
      <c r="O66" s="51"/>
      <c r="P66" s="51"/>
      <c r="Q66" s="51"/>
      <c r="R66" s="51"/>
      <c r="S66" s="51"/>
      <c r="T66" s="51"/>
    </row>
    <row r="67">
      <c r="A67" s="51"/>
      <c r="B67" s="51"/>
      <c r="C67" s="56"/>
      <c r="D67" s="51"/>
      <c r="E67" s="51"/>
      <c r="F67" s="51"/>
      <c r="G67" s="51" t="str">
        <f>IFERROR(__xludf.DUMMYFUNCTION("""COMPUTED_VALUE"""),"#VALUE!")</f>
        <v>#VALUE!</v>
      </c>
      <c r="H67" s="51" t="str">
        <f>IFERROR(__xludf.DUMMYFUNCTION("""COMPUTED_VALUE"""),"")</f>
        <v/>
      </c>
      <c r="I67" s="51" t="str">
        <f>IFERROR(__xludf.DUMMYFUNCTION("""COMPUTED_VALUE"""),"#VALUE!")</f>
        <v>#VALUE!</v>
      </c>
      <c r="J67" s="51" t="str">
        <f>IFERROR(__xludf.DUMMYFUNCTION("""COMPUTED_VALUE"""),"")</f>
        <v/>
      </c>
      <c r="K67" s="51"/>
      <c r="L67" s="51" t="s">
        <v>257</v>
      </c>
      <c r="M67" s="51"/>
      <c r="N67" s="51"/>
      <c r="O67" s="51"/>
      <c r="P67" s="51"/>
      <c r="Q67" s="51"/>
      <c r="R67" s="51"/>
      <c r="S67" s="51"/>
      <c r="T67" s="51"/>
    </row>
    <row r="68">
      <c r="A68" s="51"/>
      <c r="B68" s="51"/>
      <c r="C68" s="56"/>
      <c r="D68" s="51"/>
      <c r="E68" s="51"/>
      <c r="F68" s="51"/>
      <c r="G68" s="51" t="str">
        <f>IFERROR(__xludf.DUMMYFUNCTION("""COMPUTED_VALUE"""),"#VALUE!")</f>
        <v>#VALUE!</v>
      </c>
      <c r="H68" s="51" t="str">
        <f>IFERROR(__xludf.DUMMYFUNCTION("""COMPUTED_VALUE"""),"")</f>
        <v/>
      </c>
      <c r="I68" s="51" t="str">
        <f>IFERROR(__xludf.DUMMYFUNCTION("""COMPUTED_VALUE"""),"#VALUE!")</f>
        <v>#VALUE!</v>
      </c>
      <c r="J68" s="51" t="str">
        <f>IFERROR(__xludf.DUMMYFUNCTION("""COMPUTED_VALUE"""),"")</f>
        <v/>
      </c>
      <c r="K68" s="51"/>
      <c r="L68" s="51" t="s">
        <v>257</v>
      </c>
      <c r="M68" s="51"/>
      <c r="N68" s="51"/>
      <c r="O68" s="51"/>
      <c r="P68" s="51"/>
      <c r="Q68" s="51"/>
      <c r="R68" s="51"/>
      <c r="S68" s="51"/>
      <c r="T68" s="51"/>
    </row>
    <row r="69">
      <c r="A69" s="51"/>
      <c r="B69" s="51"/>
      <c r="C69" s="56"/>
      <c r="D69" s="51"/>
      <c r="E69" s="51"/>
      <c r="F69" s="51"/>
      <c r="G69" s="51" t="str">
        <f>IFERROR(__xludf.DUMMYFUNCTION("""COMPUTED_VALUE"""),"#VALUE!")</f>
        <v>#VALUE!</v>
      </c>
      <c r="H69" s="51" t="str">
        <f>IFERROR(__xludf.DUMMYFUNCTION("""COMPUTED_VALUE"""),"")</f>
        <v/>
      </c>
      <c r="I69" s="51" t="str">
        <f>IFERROR(__xludf.DUMMYFUNCTION("""COMPUTED_VALUE"""),"#VALUE!")</f>
        <v>#VALUE!</v>
      </c>
      <c r="J69" s="51" t="str">
        <f>IFERROR(__xludf.DUMMYFUNCTION("""COMPUTED_VALUE"""),"")</f>
        <v/>
      </c>
      <c r="K69" s="51"/>
      <c r="L69" s="51" t="s">
        <v>257</v>
      </c>
      <c r="M69" s="51"/>
      <c r="N69" s="51"/>
      <c r="O69" s="51"/>
      <c r="P69" s="51"/>
      <c r="Q69" s="51"/>
      <c r="R69" s="51"/>
      <c r="S69" s="51"/>
      <c r="T69" s="51"/>
    </row>
    <row r="70">
      <c r="A70" s="51"/>
      <c r="B70" s="51"/>
      <c r="C70" s="56"/>
      <c r="D70" s="51"/>
      <c r="E70" s="51"/>
      <c r="F70" s="51"/>
      <c r="G70" s="51" t="str">
        <f>IFERROR(__xludf.DUMMYFUNCTION("""COMPUTED_VALUE"""),"#VALUE!")</f>
        <v>#VALUE!</v>
      </c>
      <c r="H70" s="51" t="str">
        <f>IFERROR(__xludf.DUMMYFUNCTION("""COMPUTED_VALUE"""),"")</f>
        <v/>
      </c>
      <c r="I70" s="51" t="str">
        <f>IFERROR(__xludf.DUMMYFUNCTION("""COMPUTED_VALUE"""),"#VALUE!")</f>
        <v>#VALUE!</v>
      </c>
      <c r="J70" s="51" t="str">
        <f>IFERROR(__xludf.DUMMYFUNCTION("""COMPUTED_VALUE"""),"")</f>
        <v/>
      </c>
      <c r="K70" s="51"/>
      <c r="L70" s="51" t="s">
        <v>257</v>
      </c>
      <c r="M70" s="51"/>
      <c r="N70" s="51"/>
      <c r="O70" s="51"/>
      <c r="P70" s="51"/>
      <c r="Q70" s="51"/>
      <c r="R70" s="51"/>
      <c r="S70" s="51"/>
      <c r="T70" s="51"/>
    </row>
    <row r="71">
      <c r="A71" s="51"/>
      <c r="B71" s="51"/>
      <c r="C71" s="56"/>
      <c r="D71" s="51"/>
      <c r="E71" s="51"/>
      <c r="F71" s="51"/>
      <c r="G71" s="51" t="str">
        <f>IFERROR(__xludf.DUMMYFUNCTION("""COMPUTED_VALUE"""),"#VALUE!")</f>
        <v>#VALUE!</v>
      </c>
      <c r="H71" s="51" t="str">
        <f>IFERROR(__xludf.DUMMYFUNCTION("""COMPUTED_VALUE"""),"")</f>
        <v/>
      </c>
      <c r="I71" s="51" t="str">
        <f>IFERROR(__xludf.DUMMYFUNCTION("""COMPUTED_VALUE"""),"#VALUE!")</f>
        <v>#VALUE!</v>
      </c>
      <c r="J71" s="51" t="str">
        <f>IFERROR(__xludf.DUMMYFUNCTION("""COMPUTED_VALUE"""),"")</f>
        <v/>
      </c>
      <c r="K71" s="51"/>
      <c r="L71" s="51" t="s">
        <v>257</v>
      </c>
      <c r="M71" s="51"/>
      <c r="N71" s="51"/>
      <c r="O71" s="51"/>
      <c r="P71" s="51"/>
      <c r="Q71" s="51"/>
      <c r="R71" s="51"/>
      <c r="S71" s="51"/>
      <c r="T71" s="51"/>
    </row>
    <row r="72">
      <c r="A72" s="51"/>
      <c r="B72" s="51"/>
      <c r="C72" s="56"/>
      <c r="D72" s="51"/>
      <c r="E72" s="51"/>
      <c r="F72" s="51"/>
      <c r="G72" s="51" t="str">
        <f>IFERROR(__xludf.DUMMYFUNCTION("""COMPUTED_VALUE"""),"#VALUE!")</f>
        <v>#VALUE!</v>
      </c>
      <c r="H72" s="51" t="str">
        <f>IFERROR(__xludf.DUMMYFUNCTION("""COMPUTED_VALUE"""),"")</f>
        <v/>
      </c>
      <c r="I72" s="51" t="str">
        <f>IFERROR(__xludf.DUMMYFUNCTION("""COMPUTED_VALUE"""),"#VALUE!")</f>
        <v>#VALUE!</v>
      </c>
      <c r="J72" s="51" t="str">
        <f>IFERROR(__xludf.DUMMYFUNCTION("""COMPUTED_VALUE"""),"")</f>
        <v/>
      </c>
      <c r="K72" s="51"/>
      <c r="L72" s="51" t="s">
        <v>257</v>
      </c>
      <c r="M72" s="51"/>
      <c r="N72" s="51"/>
      <c r="O72" s="51"/>
      <c r="P72" s="51"/>
      <c r="Q72" s="51"/>
      <c r="R72" s="51"/>
      <c r="S72" s="51"/>
      <c r="T72" s="51"/>
    </row>
    <row r="73">
      <c r="A73" s="51"/>
      <c r="B73" s="51"/>
      <c r="C73" s="56"/>
      <c r="D73" s="51"/>
      <c r="E73" s="51"/>
      <c r="F73" s="51"/>
      <c r="G73" s="51" t="str">
        <f>IFERROR(__xludf.DUMMYFUNCTION("""COMPUTED_VALUE"""),"#VALUE!")</f>
        <v>#VALUE!</v>
      </c>
      <c r="H73" s="51" t="str">
        <f>IFERROR(__xludf.DUMMYFUNCTION("""COMPUTED_VALUE"""),"")</f>
        <v/>
      </c>
      <c r="I73" s="51" t="str">
        <f>IFERROR(__xludf.DUMMYFUNCTION("""COMPUTED_VALUE"""),"#VALUE!")</f>
        <v>#VALUE!</v>
      </c>
      <c r="J73" s="51" t="str">
        <f>IFERROR(__xludf.DUMMYFUNCTION("""COMPUTED_VALUE"""),"")</f>
        <v/>
      </c>
      <c r="K73" s="51"/>
      <c r="L73" s="51" t="s">
        <v>257</v>
      </c>
      <c r="M73" s="51"/>
      <c r="N73" s="51"/>
      <c r="O73" s="51"/>
      <c r="P73" s="51"/>
      <c r="Q73" s="51"/>
      <c r="R73" s="51"/>
      <c r="S73" s="51"/>
      <c r="T73" s="51"/>
    </row>
    <row r="74">
      <c r="A74" s="51"/>
      <c r="B74" s="51"/>
      <c r="C74" s="56"/>
      <c r="D74" s="51"/>
      <c r="E74" s="51"/>
      <c r="F74" s="51"/>
      <c r="G74" s="51" t="str">
        <f>IFERROR(__xludf.DUMMYFUNCTION("""COMPUTED_VALUE"""),"#VALUE!")</f>
        <v>#VALUE!</v>
      </c>
      <c r="H74" s="51" t="str">
        <f>IFERROR(__xludf.DUMMYFUNCTION("""COMPUTED_VALUE"""),"")</f>
        <v/>
      </c>
      <c r="I74" s="51" t="str">
        <f>IFERROR(__xludf.DUMMYFUNCTION("""COMPUTED_VALUE"""),"#VALUE!")</f>
        <v>#VALUE!</v>
      </c>
      <c r="J74" s="51" t="str">
        <f>IFERROR(__xludf.DUMMYFUNCTION("""COMPUTED_VALUE"""),"")</f>
        <v/>
      </c>
      <c r="K74" s="51"/>
      <c r="L74" s="51" t="s">
        <v>257</v>
      </c>
      <c r="M74" s="51"/>
      <c r="N74" s="51"/>
      <c r="O74" s="51"/>
      <c r="P74" s="51"/>
      <c r="Q74" s="51"/>
      <c r="R74" s="51"/>
      <c r="S74" s="51"/>
      <c r="T74" s="51"/>
    </row>
    <row r="75">
      <c r="A75" s="51"/>
      <c r="B75" s="51"/>
      <c r="C75" s="56"/>
      <c r="D75" s="51"/>
      <c r="E75" s="51"/>
      <c r="F75" s="51"/>
      <c r="G75" s="51" t="str">
        <f>IFERROR(__xludf.DUMMYFUNCTION("""COMPUTED_VALUE"""),"#VALUE!")</f>
        <v>#VALUE!</v>
      </c>
      <c r="H75" s="51" t="str">
        <f>IFERROR(__xludf.DUMMYFUNCTION("""COMPUTED_VALUE"""),"")</f>
        <v/>
      </c>
      <c r="I75" s="51" t="str">
        <f>IFERROR(__xludf.DUMMYFUNCTION("""COMPUTED_VALUE"""),"#VALUE!")</f>
        <v>#VALUE!</v>
      </c>
      <c r="J75" s="51" t="str">
        <f>IFERROR(__xludf.DUMMYFUNCTION("""COMPUTED_VALUE"""),"")</f>
        <v/>
      </c>
      <c r="K75" s="51"/>
      <c r="L75" s="51" t="s">
        <v>257</v>
      </c>
      <c r="M75" s="51"/>
      <c r="N75" s="51"/>
      <c r="O75" s="51"/>
      <c r="P75" s="51"/>
      <c r="Q75" s="51"/>
      <c r="R75" s="51"/>
      <c r="S75" s="51"/>
      <c r="T75" s="51"/>
    </row>
    <row r="76">
      <c r="A76" s="51"/>
      <c r="B76" s="51"/>
      <c r="C76" s="56"/>
      <c r="D76" s="51"/>
      <c r="E76" s="51"/>
      <c r="F76" s="51"/>
      <c r="G76" s="51" t="str">
        <f>IFERROR(__xludf.DUMMYFUNCTION("""COMPUTED_VALUE"""),"#VALUE!")</f>
        <v>#VALUE!</v>
      </c>
      <c r="H76" s="51" t="str">
        <f>IFERROR(__xludf.DUMMYFUNCTION("""COMPUTED_VALUE"""),"")</f>
        <v/>
      </c>
      <c r="I76" s="51" t="str">
        <f>IFERROR(__xludf.DUMMYFUNCTION("""COMPUTED_VALUE"""),"#VALUE!")</f>
        <v>#VALUE!</v>
      </c>
      <c r="J76" s="51" t="str">
        <f>IFERROR(__xludf.DUMMYFUNCTION("""COMPUTED_VALUE"""),"")</f>
        <v/>
      </c>
      <c r="K76" s="51"/>
      <c r="L76" s="51" t="s">
        <v>257</v>
      </c>
      <c r="M76" s="51"/>
      <c r="N76" s="51"/>
      <c r="O76" s="51"/>
      <c r="P76" s="51"/>
      <c r="Q76" s="51"/>
      <c r="R76" s="51"/>
      <c r="S76" s="51"/>
      <c r="T76" s="51"/>
    </row>
    <row r="77">
      <c r="A77" s="51"/>
      <c r="B77" s="51"/>
      <c r="C77" s="56"/>
      <c r="D77" s="51"/>
      <c r="E77" s="51"/>
      <c r="F77" s="51"/>
      <c r="G77" s="51" t="str">
        <f>IFERROR(__xludf.DUMMYFUNCTION("""COMPUTED_VALUE"""),"#VALUE!")</f>
        <v>#VALUE!</v>
      </c>
      <c r="H77" s="51" t="str">
        <f>IFERROR(__xludf.DUMMYFUNCTION("""COMPUTED_VALUE"""),"")</f>
        <v/>
      </c>
      <c r="I77" s="51" t="str">
        <f>IFERROR(__xludf.DUMMYFUNCTION("""COMPUTED_VALUE"""),"#VALUE!")</f>
        <v>#VALUE!</v>
      </c>
      <c r="J77" s="51" t="str">
        <f>IFERROR(__xludf.DUMMYFUNCTION("""COMPUTED_VALUE"""),"")</f>
        <v/>
      </c>
      <c r="K77" s="51"/>
      <c r="L77" s="51" t="s">
        <v>257</v>
      </c>
      <c r="M77" s="51"/>
      <c r="N77" s="51"/>
      <c r="O77" s="51"/>
      <c r="P77" s="51"/>
      <c r="Q77" s="51"/>
      <c r="R77" s="51"/>
      <c r="S77" s="51"/>
      <c r="T77" s="51"/>
    </row>
    <row r="78">
      <c r="A78" s="51"/>
      <c r="B78" s="51"/>
      <c r="C78" s="56"/>
      <c r="D78" s="51"/>
      <c r="E78" s="51"/>
      <c r="F78" s="51"/>
      <c r="G78" s="51" t="str">
        <f>IFERROR(__xludf.DUMMYFUNCTION("""COMPUTED_VALUE"""),"#VALUE!")</f>
        <v>#VALUE!</v>
      </c>
      <c r="H78" s="51" t="str">
        <f>IFERROR(__xludf.DUMMYFUNCTION("""COMPUTED_VALUE"""),"")</f>
        <v/>
      </c>
      <c r="I78" s="51" t="str">
        <f>IFERROR(__xludf.DUMMYFUNCTION("""COMPUTED_VALUE"""),"#VALUE!")</f>
        <v>#VALUE!</v>
      </c>
      <c r="J78" s="51" t="str">
        <f>IFERROR(__xludf.DUMMYFUNCTION("""COMPUTED_VALUE"""),"")</f>
        <v/>
      </c>
      <c r="K78" s="51"/>
      <c r="L78" s="51" t="s">
        <v>257</v>
      </c>
      <c r="M78" s="51"/>
      <c r="N78" s="51"/>
      <c r="O78" s="51"/>
      <c r="P78" s="51"/>
      <c r="Q78" s="51"/>
      <c r="R78" s="51"/>
      <c r="S78" s="51"/>
      <c r="T78" s="51"/>
    </row>
    <row r="79">
      <c r="A79" s="51"/>
      <c r="B79" s="51"/>
      <c r="C79" s="56"/>
      <c r="D79" s="51"/>
      <c r="E79" s="51"/>
      <c r="F79" s="51"/>
      <c r="G79" s="51" t="str">
        <f>IFERROR(__xludf.DUMMYFUNCTION("""COMPUTED_VALUE"""),"#VALUE!")</f>
        <v>#VALUE!</v>
      </c>
      <c r="H79" s="51" t="str">
        <f>IFERROR(__xludf.DUMMYFUNCTION("""COMPUTED_VALUE"""),"")</f>
        <v/>
      </c>
      <c r="I79" s="51" t="str">
        <f>IFERROR(__xludf.DUMMYFUNCTION("""COMPUTED_VALUE"""),"#VALUE!")</f>
        <v>#VALUE!</v>
      </c>
      <c r="J79" s="51" t="str">
        <f>IFERROR(__xludf.DUMMYFUNCTION("""COMPUTED_VALUE"""),"")</f>
        <v/>
      </c>
      <c r="K79" s="51"/>
      <c r="L79" s="51" t="s">
        <v>257</v>
      </c>
      <c r="M79" s="51"/>
      <c r="N79" s="51"/>
      <c r="O79" s="51"/>
      <c r="P79" s="51"/>
      <c r="Q79" s="51"/>
      <c r="R79" s="51"/>
      <c r="S79" s="51"/>
      <c r="T79" s="51"/>
    </row>
    <row r="80">
      <c r="A80" s="51"/>
      <c r="B80" s="51"/>
      <c r="C80" s="56"/>
      <c r="D80" s="51"/>
      <c r="E80" s="51"/>
      <c r="F80" s="51"/>
      <c r="G80" s="51" t="str">
        <f>IFERROR(__xludf.DUMMYFUNCTION("""COMPUTED_VALUE"""),"#VALUE!")</f>
        <v>#VALUE!</v>
      </c>
      <c r="H80" s="51" t="str">
        <f>IFERROR(__xludf.DUMMYFUNCTION("""COMPUTED_VALUE"""),"")</f>
        <v/>
      </c>
      <c r="I80" s="51" t="str">
        <f>IFERROR(__xludf.DUMMYFUNCTION("""COMPUTED_VALUE"""),"#VALUE!")</f>
        <v>#VALUE!</v>
      </c>
      <c r="J80" s="51" t="str">
        <f>IFERROR(__xludf.DUMMYFUNCTION("""COMPUTED_VALUE"""),"")</f>
        <v/>
      </c>
      <c r="K80" s="51"/>
      <c r="L80" s="51" t="s">
        <v>257</v>
      </c>
      <c r="M80" s="51"/>
      <c r="N80" s="51"/>
      <c r="O80" s="51"/>
      <c r="P80" s="51"/>
      <c r="Q80" s="51"/>
      <c r="R80" s="51"/>
      <c r="S80" s="51"/>
      <c r="T80" s="51"/>
    </row>
    <row r="81">
      <c r="A81" s="51"/>
      <c r="B81" s="51"/>
      <c r="C81" s="56"/>
      <c r="D81" s="51"/>
      <c r="E81" s="51"/>
      <c r="F81" s="51"/>
      <c r="G81" s="51" t="str">
        <f>IFERROR(__xludf.DUMMYFUNCTION("""COMPUTED_VALUE"""),"#VALUE!")</f>
        <v>#VALUE!</v>
      </c>
      <c r="H81" s="51" t="str">
        <f>IFERROR(__xludf.DUMMYFUNCTION("""COMPUTED_VALUE"""),"")</f>
        <v/>
      </c>
      <c r="I81" s="51" t="str">
        <f>IFERROR(__xludf.DUMMYFUNCTION("""COMPUTED_VALUE"""),"#VALUE!")</f>
        <v>#VALUE!</v>
      </c>
      <c r="J81" s="51" t="str">
        <f>IFERROR(__xludf.DUMMYFUNCTION("""COMPUTED_VALUE"""),"")</f>
        <v/>
      </c>
      <c r="K81" s="51"/>
      <c r="L81" s="51" t="s">
        <v>257</v>
      </c>
      <c r="M81" s="51"/>
      <c r="N81" s="51"/>
      <c r="O81" s="51"/>
      <c r="P81" s="51"/>
      <c r="Q81" s="51"/>
      <c r="R81" s="51"/>
      <c r="S81" s="51"/>
      <c r="T81" s="51"/>
    </row>
    <row r="82">
      <c r="A82" s="51"/>
      <c r="B82" s="51"/>
      <c r="C82" s="56"/>
      <c r="D82" s="51"/>
      <c r="E82" s="51"/>
      <c r="F82" s="51"/>
      <c r="G82" s="51" t="str">
        <f>IFERROR(__xludf.DUMMYFUNCTION("""COMPUTED_VALUE"""),"#VALUE!")</f>
        <v>#VALUE!</v>
      </c>
      <c r="H82" s="51" t="str">
        <f>IFERROR(__xludf.DUMMYFUNCTION("""COMPUTED_VALUE"""),"")</f>
        <v/>
      </c>
      <c r="I82" s="51" t="str">
        <f>IFERROR(__xludf.DUMMYFUNCTION("""COMPUTED_VALUE"""),"#VALUE!")</f>
        <v>#VALUE!</v>
      </c>
      <c r="J82" s="51" t="str">
        <f>IFERROR(__xludf.DUMMYFUNCTION("""COMPUTED_VALUE"""),"")</f>
        <v/>
      </c>
      <c r="K82" s="51"/>
      <c r="L82" s="51" t="s">
        <v>257</v>
      </c>
      <c r="M82" s="51"/>
      <c r="N82" s="51"/>
      <c r="O82" s="51"/>
      <c r="P82" s="51"/>
      <c r="Q82" s="51"/>
      <c r="R82" s="51"/>
      <c r="S82" s="51"/>
      <c r="T82" s="51"/>
    </row>
    <row r="83">
      <c r="A83" s="51"/>
      <c r="B83" s="51"/>
      <c r="C83" s="56"/>
      <c r="D83" s="51"/>
      <c r="E83" s="51"/>
      <c r="F83" s="51"/>
      <c r="G83" s="51" t="str">
        <f>IFERROR(__xludf.DUMMYFUNCTION("""COMPUTED_VALUE"""),"#VALUE!")</f>
        <v>#VALUE!</v>
      </c>
      <c r="H83" s="51" t="str">
        <f>IFERROR(__xludf.DUMMYFUNCTION("""COMPUTED_VALUE"""),"")</f>
        <v/>
      </c>
      <c r="I83" s="51" t="str">
        <f>IFERROR(__xludf.DUMMYFUNCTION("""COMPUTED_VALUE"""),"#VALUE!")</f>
        <v>#VALUE!</v>
      </c>
      <c r="J83" s="51" t="str">
        <f>IFERROR(__xludf.DUMMYFUNCTION("""COMPUTED_VALUE"""),"")</f>
        <v/>
      </c>
      <c r="K83" s="51"/>
      <c r="L83" s="51" t="s">
        <v>257</v>
      </c>
      <c r="M83" s="51"/>
      <c r="N83" s="51"/>
      <c r="O83" s="51"/>
      <c r="P83" s="51"/>
      <c r="Q83" s="51"/>
      <c r="R83" s="51"/>
      <c r="S83" s="51"/>
      <c r="T83" s="51"/>
    </row>
    <row r="84">
      <c r="A84" s="51"/>
      <c r="B84" s="51"/>
      <c r="C84" s="56"/>
      <c r="D84" s="51"/>
      <c r="E84" s="51"/>
      <c r="F84" s="51"/>
      <c r="G84" s="51" t="str">
        <f>IFERROR(__xludf.DUMMYFUNCTION("""COMPUTED_VALUE"""),"#VALUE!")</f>
        <v>#VALUE!</v>
      </c>
      <c r="H84" s="51" t="str">
        <f>IFERROR(__xludf.DUMMYFUNCTION("""COMPUTED_VALUE"""),"")</f>
        <v/>
      </c>
      <c r="I84" s="51" t="str">
        <f>IFERROR(__xludf.DUMMYFUNCTION("""COMPUTED_VALUE"""),"#VALUE!")</f>
        <v>#VALUE!</v>
      </c>
      <c r="J84" s="51" t="str">
        <f>IFERROR(__xludf.DUMMYFUNCTION("""COMPUTED_VALUE"""),"")</f>
        <v/>
      </c>
      <c r="K84" s="51"/>
      <c r="L84" s="51" t="s">
        <v>257</v>
      </c>
      <c r="M84" s="51"/>
      <c r="N84" s="51"/>
      <c r="O84" s="51"/>
      <c r="P84" s="51"/>
      <c r="Q84" s="51"/>
      <c r="R84" s="51"/>
      <c r="S84" s="51"/>
      <c r="T84" s="51"/>
    </row>
    <row r="85">
      <c r="A85" s="51"/>
      <c r="B85" s="51"/>
      <c r="C85" s="56"/>
      <c r="D85" s="51"/>
      <c r="E85" s="51"/>
      <c r="F85" s="51"/>
      <c r="G85" s="51" t="str">
        <f>IFERROR(__xludf.DUMMYFUNCTION("""COMPUTED_VALUE"""),"#VALUE!")</f>
        <v>#VALUE!</v>
      </c>
      <c r="H85" s="51" t="str">
        <f>IFERROR(__xludf.DUMMYFUNCTION("""COMPUTED_VALUE"""),"")</f>
        <v/>
      </c>
      <c r="I85" s="51" t="str">
        <f>IFERROR(__xludf.DUMMYFUNCTION("""COMPUTED_VALUE"""),"#VALUE!")</f>
        <v>#VALUE!</v>
      </c>
      <c r="J85" s="51" t="str">
        <f>IFERROR(__xludf.DUMMYFUNCTION("""COMPUTED_VALUE"""),"")</f>
        <v/>
      </c>
      <c r="K85" s="51"/>
      <c r="L85" s="51" t="s">
        <v>257</v>
      </c>
      <c r="M85" s="51"/>
      <c r="N85" s="51"/>
      <c r="O85" s="51"/>
      <c r="P85" s="51"/>
      <c r="Q85" s="51"/>
      <c r="R85" s="51"/>
      <c r="S85" s="51"/>
      <c r="T85" s="51"/>
    </row>
    <row r="86">
      <c r="A86" s="51"/>
      <c r="B86" s="51"/>
      <c r="C86" s="56"/>
      <c r="D86" s="51"/>
      <c r="E86" s="51"/>
      <c r="F86" s="51"/>
      <c r="G86" s="51" t="str">
        <f>IFERROR(__xludf.DUMMYFUNCTION("""COMPUTED_VALUE"""),"#VALUE!")</f>
        <v>#VALUE!</v>
      </c>
      <c r="H86" s="51" t="str">
        <f>IFERROR(__xludf.DUMMYFUNCTION("""COMPUTED_VALUE"""),"")</f>
        <v/>
      </c>
      <c r="I86" s="51" t="str">
        <f>IFERROR(__xludf.DUMMYFUNCTION("""COMPUTED_VALUE"""),"#VALUE!")</f>
        <v>#VALUE!</v>
      </c>
      <c r="J86" s="51" t="str">
        <f>IFERROR(__xludf.DUMMYFUNCTION("""COMPUTED_VALUE"""),"")</f>
        <v/>
      </c>
      <c r="K86" s="51"/>
      <c r="L86" s="51" t="s">
        <v>257</v>
      </c>
      <c r="M86" s="51"/>
      <c r="N86" s="51"/>
      <c r="O86" s="51"/>
      <c r="P86" s="51"/>
      <c r="Q86" s="51"/>
      <c r="R86" s="51"/>
      <c r="S86" s="51"/>
      <c r="T86" s="51"/>
    </row>
    <row r="87">
      <c r="A87" s="51"/>
      <c r="B87" s="51"/>
      <c r="C87" s="56"/>
      <c r="D87" s="51"/>
      <c r="E87" s="51"/>
      <c r="F87" s="51"/>
      <c r="G87" s="51" t="str">
        <f>IFERROR(__xludf.DUMMYFUNCTION("""COMPUTED_VALUE"""),"#VALUE!")</f>
        <v>#VALUE!</v>
      </c>
      <c r="H87" s="51" t="str">
        <f>IFERROR(__xludf.DUMMYFUNCTION("""COMPUTED_VALUE"""),"")</f>
        <v/>
      </c>
      <c r="I87" s="51" t="str">
        <f>IFERROR(__xludf.DUMMYFUNCTION("""COMPUTED_VALUE"""),"#VALUE!")</f>
        <v>#VALUE!</v>
      </c>
      <c r="J87" s="51" t="str">
        <f>IFERROR(__xludf.DUMMYFUNCTION("""COMPUTED_VALUE"""),"")</f>
        <v/>
      </c>
      <c r="K87" s="51"/>
      <c r="L87" s="51" t="s">
        <v>257</v>
      </c>
      <c r="M87" s="51"/>
      <c r="N87" s="51"/>
      <c r="O87" s="51"/>
      <c r="P87" s="51"/>
      <c r="Q87" s="51"/>
      <c r="R87" s="51"/>
      <c r="S87" s="51"/>
      <c r="T87" s="51"/>
    </row>
    <row r="88">
      <c r="A88" s="51"/>
      <c r="B88" s="51"/>
      <c r="C88" s="56"/>
      <c r="D88" s="51"/>
      <c r="E88" s="51"/>
      <c r="F88" s="51"/>
      <c r="G88" s="51" t="str">
        <f>IFERROR(__xludf.DUMMYFUNCTION("""COMPUTED_VALUE"""),"#VALUE!")</f>
        <v>#VALUE!</v>
      </c>
      <c r="H88" s="51" t="str">
        <f>IFERROR(__xludf.DUMMYFUNCTION("""COMPUTED_VALUE"""),"")</f>
        <v/>
      </c>
      <c r="I88" s="51" t="str">
        <f>IFERROR(__xludf.DUMMYFUNCTION("""COMPUTED_VALUE"""),"#VALUE!")</f>
        <v>#VALUE!</v>
      </c>
      <c r="J88" s="51" t="str">
        <f>IFERROR(__xludf.DUMMYFUNCTION("""COMPUTED_VALUE"""),"")</f>
        <v/>
      </c>
      <c r="K88" s="51"/>
      <c r="L88" s="51" t="s">
        <v>257</v>
      </c>
      <c r="M88" s="51"/>
      <c r="N88" s="51"/>
      <c r="O88" s="51"/>
      <c r="P88" s="51"/>
      <c r="Q88" s="51"/>
      <c r="R88" s="51"/>
      <c r="S88" s="51"/>
      <c r="T88" s="51"/>
    </row>
    <row r="89">
      <c r="A89" s="51"/>
      <c r="B89" s="51"/>
      <c r="C89" s="56"/>
      <c r="D89" s="51"/>
      <c r="E89" s="51"/>
      <c r="F89" s="51"/>
      <c r="G89" s="51" t="str">
        <f>IFERROR(__xludf.DUMMYFUNCTION("""COMPUTED_VALUE"""),"#VALUE!")</f>
        <v>#VALUE!</v>
      </c>
      <c r="H89" s="51" t="str">
        <f>IFERROR(__xludf.DUMMYFUNCTION("""COMPUTED_VALUE"""),"")</f>
        <v/>
      </c>
      <c r="I89" s="51" t="str">
        <f>IFERROR(__xludf.DUMMYFUNCTION("""COMPUTED_VALUE"""),"#VALUE!")</f>
        <v>#VALUE!</v>
      </c>
      <c r="J89" s="51" t="str">
        <f>IFERROR(__xludf.DUMMYFUNCTION("""COMPUTED_VALUE"""),"")</f>
        <v/>
      </c>
      <c r="K89" s="51"/>
      <c r="L89" s="51" t="s">
        <v>257</v>
      </c>
      <c r="M89" s="51"/>
      <c r="N89" s="51"/>
      <c r="O89" s="51"/>
      <c r="P89" s="51"/>
      <c r="Q89" s="51"/>
      <c r="R89" s="51"/>
      <c r="S89" s="51"/>
      <c r="T89" s="51"/>
    </row>
    <row r="90">
      <c r="A90" s="51"/>
      <c r="B90" s="51"/>
      <c r="C90" s="56"/>
      <c r="D90" s="51"/>
      <c r="E90" s="51"/>
      <c r="F90" s="51"/>
      <c r="G90" s="51" t="str">
        <f>IFERROR(__xludf.DUMMYFUNCTION("""COMPUTED_VALUE"""),"#VALUE!")</f>
        <v>#VALUE!</v>
      </c>
      <c r="H90" s="51" t="str">
        <f>IFERROR(__xludf.DUMMYFUNCTION("""COMPUTED_VALUE"""),"")</f>
        <v/>
      </c>
      <c r="I90" s="51" t="str">
        <f>IFERROR(__xludf.DUMMYFUNCTION("""COMPUTED_VALUE"""),"#VALUE!")</f>
        <v>#VALUE!</v>
      </c>
      <c r="J90" s="51" t="str">
        <f>IFERROR(__xludf.DUMMYFUNCTION("""COMPUTED_VALUE"""),"")</f>
        <v/>
      </c>
      <c r="K90" s="51"/>
      <c r="L90" s="51" t="s">
        <v>257</v>
      </c>
      <c r="M90" s="51"/>
      <c r="N90" s="51"/>
      <c r="O90" s="51"/>
      <c r="P90" s="51"/>
      <c r="Q90" s="51"/>
      <c r="R90" s="51"/>
      <c r="S90" s="51"/>
      <c r="T90" s="51"/>
    </row>
    <row r="91">
      <c r="A91" s="51"/>
      <c r="B91" s="51"/>
      <c r="C91" s="56"/>
      <c r="D91" s="51"/>
      <c r="E91" s="51"/>
      <c r="F91" s="51"/>
      <c r="G91" s="51" t="str">
        <f>IFERROR(__xludf.DUMMYFUNCTION("""COMPUTED_VALUE"""),"#VALUE!")</f>
        <v>#VALUE!</v>
      </c>
      <c r="H91" s="51" t="str">
        <f>IFERROR(__xludf.DUMMYFUNCTION("""COMPUTED_VALUE"""),"")</f>
        <v/>
      </c>
      <c r="I91" s="51" t="str">
        <f>IFERROR(__xludf.DUMMYFUNCTION("""COMPUTED_VALUE"""),"#VALUE!")</f>
        <v>#VALUE!</v>
      </c>
      <c r="J91" s="51" t="str">
        <f>IFERROR(__xludf.DUMMYFUNCTION("""COMPUTED_VALUE"""),"")</f>
        <v/>
      </c>
      <c r="K91" s="51"/>
      <c r="L91" s="51" t="s">
        <v>257</v>
      </c>
      <c r="M91" s="51"/>
      <c r="N91" s="51"/>
      <c r="O91" s="51"/>
      <c r="P91" s="51"/>
      <c r="Q91" s="51"/>
      <c r="R91" s="51"/>
      <c r="S91" s="51"/>
      <c r="T91" s="51"/>
    </row>
    <row r="92">
      <c r="A92" s="51"/>
      <c r="B92" s="51"/>
      <c r="C92" s="56"/>
      <c r="D92" s="51"/>
      <c r="E92" s="51"/>
      <c r="F92" s="51"/>
      <c r="G92" s="51" t="str">
        <f>IFERROR(__xludf.DUMMYFUNCTION("""COMPUTED_VALUE"""),"#VALUE!")</f>
        <v>#VALUE!</v>
      </c>
      <c r="H92" s="51" t="str">
        <f>IFERROR(__xludf.DUMMYFUNCTION("""COMPUTED_VALUE"""),"")</f>
        <v/>
      </c>
      <c r="I92" s="51" t="str">
        <f>IFERROR(__xludf.DUMMYFUNCTION("""COMPUTED_VALUE"""),"#VALUE!")</f>
        <v>#VALUE!</v>
      </c>
      <c r="J92" s="51" t="str">
        <f>IFERROR(__xludf.DUMMYFUNCTION("""COMPUTED_VALUE"""),"")</f>
        <v/>
      </c>
      <c r="K92" s="51"/>
      <c r="L92" s="51" t="s">
        <v>257</v>
      </c>
      <c r="M92" s="51"/>
      <c r="N92" s="51"/>
      <c r="O92" s="51"/>
      <c r="P92" s="51"/>
      <c r="Q92" s="51"/>
      <c r="R92" s="51"/>
      <c r="S92" s="51"/>
      <c r="T92" s="51"/>
    </row>
    <row r="93">
      <c r="A93" s="51"/>
      <c r="B93" s="51"/>
      <c r="C93" s="56"/>
      <c r="D93" s="51"/>
      <c r="E93" s="51"/>
      <c r="F93" s="51"/>
      <c r="G93" s="51" t="str">
        <f>IFERROR(__xludf.DUMMYFUNCTION("""COMPUTED_VALUE"""),"#VALUE!")</f>
        <v>#VALUE!</v>
      </c>
      <c r="H93" s="51" t="str">
        <f>IFERROR(__xludf.DUMMYFUNCTION("""COMPUTED_VALUE"""),"")</f>
        <v/>
      </c>
      <c r="I93" s="51" t="str">
        <f>IFERROR(__xludf.DUMMYFUNCTION("""COMPUTED_VALUE"""),"#VALUE!")</f>
        <v>#VALUE!</v>
      </c>
      <c r="J93" s="51" t="str">
        <f>IFERROR(__xludf.DUMMYFUNCTION("""COMPUTED_VALUE"""),"")</f>
        <v/>
      </c>
      <c r="K93" s="51"/>
      <c r="L93" s="51" t="s">
        <v>257</v>
      </c>
      <c r="M93" s="51"/>
      <c r="N93" s="51"/>
      <c r="O93" s="51"/>
      <c r="P93" s="51"/>
      <c r="Q93" s="51"/>
      <c r="R93" s="51"/>
      <c r="S93" s="51"/>
      <c r="T93" s="51"/>
    </row>
    <row r="94">
      <c r="A94" s="51"/>
      <c r="B94" s="51"/>
      <c r="C94" s="56"/>
      <c r="D94" s="51"/>
      <c r="E94" s="51"/>
      <c r="F94" s="51"/>
      <c r="G94" s="51" t="str">
        <f>IFERROR(__xludf.DUMMYFUNCTION("""COMPUTED_VALUE"""),"#VALUE!")</f>
        <v>#VALUE!</v>
      </c>
      <c r="H94" s="51" t="str">
        <f>IFERROR(__xludf.DUMMYFUNCTION("""COMPUTED_VALUE"""),"")</f>
        <v/>
      </c>
      <c r="I94" s="51" t="str">
        <f>IFERROR(__xludf.DUMMYFUNCTION("""COMPUTED_VALUE"""),"#VALUE!")</f>
        <v>#VALUE!</v>
      </c>
      <c r="J94" s="51" t="str">
        <f>IFERROR(__xludf.DUMMYFUNCTION("""COMPUTED_VALUE"""),"")</f>
        <v/>
      </c>
      <c r="K94" s="51"/>
      <c r="L94" s="51" t="s">
        <v>257</v>
      </c>
      <c r="M94" s="51"/>
      <c r="N94" s="51"/>
      <c r="O94" s="51"/>
      <c r="P94" s="51"/>
      <c r="Q94" s="51"/>
      <c r="R94" s="51"/>
      <c r="S94" s="51"/>
      <c r="T94" s="51"/>
    </row>
    <row r="95">
      <c r="A95" s="51"/>
      <c r="B95" s="51"/>
      <c r="C95" s="56"/>
      <c r="D95" s="51"/>
      <c r="E95" s="51"/>
      <c r="F95" s="51"/>
      <c r="G95" s="51" t="str">
        <f>IFERROR(__xludf.DUMMYFUNCTION("""COMPUTED_VALUE"""),"#VALUE!")</f>
        <v>#VALUE!</v>
      </c>
      <c r="H95" s="51" t="str">
        <f>IFERROR(__xludf.DUMMYFUNCTION("""COMPUTED_VALUE"""),"")</f>
        <v/>
      </c>
      <c r="I95" s="51" t="str">
        <f>IFERROR(__xludf.DUMMYFUNCTION("""COMPUTED_VALUE"""),"#VALUE!")</f>
        <v>#VALUE!</v>
      </c>
      <c r="J95" s="51" t="str">
        <f>IFERROR(__xludf.DUMMYFUNCTION("""COMPUTED_VALUE"""),"")</f>
        <v/>
      </c>
      <c r="K95" s="51"/>
      <c r="L95" s="51" t="s">
        <v>257</v>
      </c>
      <c r="M95" s="51"/>
      <c r="N95" s="51"/>
      <c r="O95" s="51"/>
      <c r="P95" s="51"/>
      <c r="Q95" s="51"/>
      <c r="R95" s="51"/>
      <c r="S95" s="51"/>
      <c r="T95" s="51"/>
    </row>
    <row r="96">
      <c r="A96" s="51"/>
      <c r="B96" s="51"/>
      <c r="C96" s="56"/>
      <c r="D96" s="51"/>
      <c r="E96" s="51"/>
      <c r="F96" s="51"/>
      <c r="G96" s="51" t="str">
        <f>IFERROR(__xludf.DUMMYFUNCTION("""COMPUTED_VALUE"""),"#VALUE!")</f>
        <v>#VALUE!</v>
      </c>
      <c r="H96" s="51" t="str">
        <f>IFERROR(__xludf.DUMMYFUNCTION("""COMPUTED_VALUE"""),"")</f>
        <v/>
      </c>
      <c r="I96" s="51" t="str">
        <f>IFERROR(__xludf.DUMMYFUNCTION("""COMPUTED_VALUE"""),"#VALUE!")</f>
        <v>#VALUE!</v>
      </c>
      <c r="J96" s="51" t="str">
        <f>IFERROR(__xludf.DUMMYFUNCTION("""COMPUTED_VALUE"""),"")</f>
        <v/>
      </c>
      <c r="K96" s="51"/>
      <c r="L96" s="51" t="s">
        <v>257</v>
      </c>
      <c r="M96" s="51"/>
      <c r="N96" s="51"/>
      <c r="O96" s="51"/>
      <c r="P96" s="51"/>
      <c r="Q96" s="51"/>
      <c r="R96" s="51"/>
      <c r="S96" s="51"/>
      <c r="T96" s="51"/>
    </row>
    <row r="97">
      <c r="A97" s="51"/>
      <c r="B97" s="51"/>
      <c r="C97" s="56"/>
      <c r="D97" s="51"/>
      <c r="E97" s="51"/>
      <c r="F97" s="51"/>
      <c r="G97" s="51" t="str">
        <f>IFERROR(__xludf.DUMMYFUNCTION("""COMPUTED_VALUE"""),"#VALUE!")</f>
        <v>#VALUE!</v>
      </c>
      <c r="H97" s="51" t="str">
        <f>IFERROR(__xludf.DUMMYFUNCTION("""COMPUTED_VALUE"""),"")</f>
        <v/>
      </c>
      <c r="I97" s="51" t="str">
        <f>IFERROR(__xludf.DUMMYFUNCTION("""COMPUTED_VALUE"""),"#VALUE!")</f>
        <v>#VALUE!</v>
      </c>
      <c r="J97" s="51" t="str">
        <f>IFERROR(__xludf.DUMMYFUNCTION("""COMPUTED_VALUE"""),"")</f>
        <v/>
      </c>
      <c r="K97" s="51"/>
      <c r="L97" s="51" t="s">
        <v>257</v>
      </c>
      <c r="M97" s="51"/>
      <c r="N97" s="51"/>
      <c r="O97" s="51"/>
      <c r="P97" s="51"/>
      <c r="Q97" s="51"/>
      <c r="R97" s="51"/>
      <c r="S97" s="51"/>
      <c r="T97" s="51"/>
    </row>
    <row r="98">
      <c r="A98" s="51"/>
      <c r="B98" s="51"/>
      <c r="C98" s="56"/>
      <c r="D98" s="51"/>
      <c r="E98" s="51"/>
      <c r="F98" s="51"/>
      <c r="G98" s="51" t="str">
        <f>IFERROR(__xludf.DUMMYFUNCTION("""COMPUTED_VALUE"""),"#VALUE!")</f>
        <v>#VALUE!</v>
      </c>
      <c r="H98" s="51" t="str">
        <f>IFERROR(__xludf.DUMMYFUNCTION("""COMPUTED_VALUE"""),"")</f>
        <v/>
      </c>
      <c r="I98" s="51" t="str">
        <f>IFERROR(__xludf.DUMMYFUNCTION("""COMPUTED_VALUE"""),"#VALUE!")</f>
        <v>#VALUE!</v>
      </c>
      <c r="J98" s="51" t="str">
        <f>IFERROR(__xludf.DUMMYFUNCTION("""COMPUTED_VALUE"""),"")</f>
        <v/>
      </c>
      <c r="K98" s="51"/>
      <c r="L98" s="51" t="s">
        <v>257</v>
      </c>
      <c r="M98" s="51"/>
      <c r="N98" s="51"/>
      <c r="O98" s="51"/>
      <c r="P98" s="51"/>
      <c r="Q98" s="51"/>
      <c r="R98" s="51"/>
      <c r="S98" s="51"/>
      <c r="T98" s="51"/>
    </row>
    <row r="99">
      <c r="A99" s="51"/>
      <c r="B99" s="51"/>
      <c r="C99" s="56"/>
      <c r="D99" s="51"/>
      <c r="E99" s="51"/>
      <c r="F99" s="51"/>
      <c r="G99" s="51" t="str">
        <f>IFERROR(__xludf.DUMMYFUNCTION("""COMPUTED_VALUE"""),"#VALUE!")</f>
        <v>#VALUE!</v>
      </c>
      <c r="H99" s="51" t="str">
        <f>IFERROR(__xludf.DUMMYFUNCTION("""COMPUTED_VALUE"""),"")</f>
        <v/>
      </c>
      <c r="I99" s="51" t="str">
        <f>IFERROR(__xludf.DUMMYFUNCTION("""COMPUTED_VALUE"""),"#VALUE!")</f>
        <v>#VALUE!</v>
      </c>
      <c r="J99" s="51" t="str">
        <f>IFERROR(__xludf.DUMMYFUNCTION("""COMPUTED_VALUE"""),"")</f>
        <v/>
      </c>
      <c r="K99" s="51"/>
      <c r="L99" s="51" t="s">
        <v>257</v>
      </c>
      <c r="M99" s="51"/>
      <c r="N99" s="51"/>
      <c r="O99" s="51"/>
      <c r="P99" s="51"/>
      <c r="Q99" s="51"/>
      <c r="R99" s="51"/>
      <c r="S99" s="51"/>
      <c r="T99" s="51"/>
    </row>
    <row r="100">
      <c r="A100" s="51"/>
      <c r="B100" s="51"/>
      <c r="C100" s="56"/>
      <c r="D100" s="51"/>
      <c r="E100" s="51"/>
      <c r="F100" s="51"/>
      <c r="G100" s="51" t="str">
        <f>IFERROR(__xludf.DUMMYFUNCTION("""COMPUTED_VALUE"""),"#VALUE!")</f>
        <v>#VALUE!</v>
      </c>
      <c r="H100" s="51" t="str">
        <f>IFERROR(__xludf.DUMMYFUNCTION("""COMPUTED_VALUE"""),"")</f>
        <v/>
      </c>
      <c r="I100" s="51" t="str">
        <f>IFERROR(__xludf.DUMMYFUNCTION("""COMPUTED_VALUE"""),"#VALUE!")</f>
        <v>#VALUE!</v>
      </c>
      <c r="J100" s="51" t="str">
        <f>IFERROR(__xludf.DUMMYFUNCTION("""COMPUTED_VALUE"""),"")</f>
        <v/>
      </c>
      <c r="K100" s="51"/>
      <c r="L100" s="51" t="s">
        <v>257</v>
      </c>
      <c r="M100" s="51"/>
      <c r="N100" s="51"/>
      <c r="O100" s="51"/>
      <c r="P100" s="51"/>
      <c r="Q100" s="51"/>
      <c r="R100" s="51"/>
      <c r="S100" s="51"/>
      <c r="T100" s="51"/>
    </row>
    <row r="101">
      <c r="A101" s="51"/>
      <c r="B101" s="51"/>
      <c r="C101" s="56"/>
      <c r="D101" s="51"/>
      <c r="E101" s="51"/>
      <c r="F101" s="51"/>
      <c r="G101" s="51" t="str">
        <f>IFERROR(__xludf.DUMMYFUNCTION("""COMPUTED_VALUE"""),"#VALUE!")</f>
        <v>#VALUE!</v>
      </c>
      <c r="H101" s="51" t="str">
        <f>IFERROR(__xludf.DUMMYFUNCTION("""COMPUTED_VALUE"""),"")</f>
        <v/>
      </c>
      <c r="I101" s="51" t="str">
        <f>IFERROR(__xludf.DUMMYFUNCTION("""COMPUTED_VALUE"""),"#VALUE!")</f>
        <v>#VALUE!</v>
      </c>
      <c r="J101" s="51" t="str">
        <f>IFERROR(__xludf.DUMMYFUNCTION("""COMPUTED_VALUE"""),"")</f>
        <v/>
      </c>
      <c r="K101" s="51"/>
      <c r="L101" s="51" t="s">
        <v>257</v>
      </c>
      <c r="M101" s="51"/>
      <c r="N101" s="51"/>
      <c r="O101" s="51"/>
      <c r="P101" s="51"/>
      <c r="Q101" s="51"/>
      <c r="R101" s="51"/>
      <c r="S101" s="51"/>
      <c r="T101" s="51"/>
    </row>
    <row r="102">
      <c r="A102" s="51"/>
      <c r="B102" s="51"/>
      <c r="C102" s="56"/>
      <c r="D102" s="51"/>
      <c r="E102" s="51"/>
      <c r="F102" s="51"/>
      <c r="G102" s="51" t="str">
        <f>IFERROR(__xludf.DUMMYFUNCTION("""COMPUTED_VALUE"""),"#VALUE!")</f>
        <v>#VALUE!</v>
      </c>
      <c r="H102" s="51" t="str">
        <f>IFERROR(__xludf.DUMMYFUNCTION("""COMPUTED_VALUE"""),"")</f>
        <v/>
      </c>
      <c r="I102" s="51" t="str">
        <f>IFERROR(__xludf.DUMMYFUNCTION("""COMPUTED_VALUE"""),"#VALUE!")</f>
        <v>#VALUE!</v>
      </c>
      <c r="J102" s="51" t="str">
        <f>IFERROR(__xludf.DUMMYFUNCTION("""COMPUTED_VALUE"""),"")</f>
        <v/>
      </c>
      <c r="K102" s="51"/>
      <c r="L102" s="51" t="s">
        <v>257</v>
      </c>
      <c r="M102" s="51"/>
      <c r="N102" s="51"/>
      <c r="O102" s="51"/>
      <c r="P102" s="51"/>
      <c r="Q102" s="51"/>
      <c r="R102" s="51"/>
      <c r="S102" s="51"/>
      <c r="T102" s="51"/>
    </row>
    <row r="103">
      <c r="A103" s="51"/>
      <c r="B103" s="51"/>
      <c r="C103" s="56"/>
      <c r="D103" s="51"/>
      <c r="E103" s="51"/>
      <c r="F103" s="51"/>
      <c r="G103" s="51" t="str">
        <f>IFERROR(__xludf.DUMMYFUNCTION("""COMPUTED_VALUE"""),"#VALUE!")</f>
        <v>#VALUE!</v>
      </c>
      <c r="H103" s="51" t="str">
        <f>IFERROR(__xludf.DUMMYFUNCTION("""COMPUTED_VALUE"""),"")</f>
        <v/>
      </c>
      <c r="I103" s="51" t="str">
        <f>IFERROR(__xludf.DUMMYFUNCTION("""COMPUTED_VALUE"""),"#VALUE!")</f>
        <v>#VALUE!</v>
      </c>
      <c r="J103" s="51" t="str">
        <f>IFERROR(__xludf.DUMMYFUNCTION("""COMPUTED_VALUE"""),"")</f>
        <v/>
      </c>
      <c r="K103" s="51"/>
      <c r="L103" s="51" t="s">
        <v>257</v>
      </c>
      <c r="M103" s="51"/>
      <c r="N103" s="51"/>
      <c r="O103" s="51"/>
      <c r="P103" s="51"/>
      <c r="Q103" s="51"/>
      <c r="R103" s="51"/>
      <c r="S103" s="51"/>
      <c r="T103" s="51"/>
    </row>
    <row r="104">
      <c r="A104" s="51"/>
      <c r="B104" s="51"/>
      <c r="C104" s="56"/>
      <c r="D104" s="51"/>
      <c r="E104" s="51"/>
      <c r="F104" s="51"/>
      <c r="G104" s="51" t="str">
        <f>IFERROR(__xludf.DUMMYFUNCTION("""COMPUTED_VALUE"""),"#VALUE!")</f>
        <v>#VALUE!</v>
      </c>
      <c r="H104" s="51" t="str">
        <f>IFERROR(__xludf.DUMMYFUNCTION("""COMPUTED_VALUE"""),"")</f>
        <v/>
      </c>
      <c r="I104" s="51" t="str">
        <f>IFERROR(__xludf.DUMMYFUNCTION("""COMPUTED_VALUE"""),"#VALUE!")</f>
        <v>#VALUE!</v>
      </c>
      <c r="J104" s="51" t="str">
        <f>IFERROR(__xludf.DUMMYFUNCTION("""COMPUTED_VALUE"""),"")</f>
        <v/>
      </c>
      <c r="K104" s="51"/>
      <c r="L104" s="51" t="s">
        <v>257</v>
      </c>
      <c r="M104" s="51"/>
      <c r="N104" s="51"/>
      <c r="O104" s="51"/>
      <c r="P104" s="51"/>
      <c r="Q104" s="51"/>
      <c r="R104" s="51"/>
      <c r="S104" s="51"/>
      <c r="T104" s="51"/>
    </row>
    <row r="105">
      <c r="A105" s="51"/>
      <c r="B105" s="51"/>
      <c r="C105" s="56"/>
      <c r="D105" s="51"/>
      <c r="E105" s="51"/>
      <c r="F105" s="51"/>
      <c r="G105" s="51" t="str">
        <f>IFERROR(__xludf.DUMMYFUNCTION("""COMPUTED_VALUE"""),"#VALUE!")</f>
        <v>#VALUE!</v>
      </c>
      <c r="H105" s="51" t="str">
        <f>IFERROR(__xludf.DUMMYFUNCTION("""COMPUTED_VALUE"""),"")</f>
        <v/>
      </c>
      <c r="I105" s="51" t="str">
        <f>IFERROR(__xludf.DUMMYFUNCTION("""COMPUTED_VALUE"""),"#VALUE!")</f>
        <v>#VALUE!</v>
      </c>
      <c r="J105" s="51" t="str">
        <f>IFERROR(__xludf.DUMMYFUNCTION("""COMPUTED_VALUE"""),"")</f>
        <v/>
      </c>
      <c r="K105" s="51"/>
      <c r="L105" s="51" t="s">
        <v>257</v>
      </c>
      <c r="M105" s="51"/>
      <c r="N105" s="51"/>
      <c r="O105" s="51"/>
      <c r="P105" s="51"/>
      <c r="Q105" s="51"/>
      <c r="R105" s="51"/>
      <c r="S105" s="51"/>
      <c r="T105" s="51"/>
    </row>
    <row r="106">
      <c r="A106" s="51"/>
      <c r="B106" s="51"/>
      <c r="C106" s="56"/>
      <c r="D106" s="51"/>
      <c r="E106" s="51"/>
      <c r="F106" s="51"/>
      <c r="G106" s="51" t="str">
        <f>IFERROR(__xludf.DUMMYFUNCTION("""COMPUTED_VALUE"""),"#VALUE!")</f>
        <v>#VALUE!</v>
      </c>
      <c r="H106" s="51" t="str">
        <f>IFERROR(__xludf.DUMMYFUNCTION("""COMPUTED_VALUE"""),"")</f>
        <v/>
      </c>
      <c r="I106" s="51" t="str">
        <f>IFERROR(__xludf.DUMMYFUNCTION("""COMPUTED_VALUE"""),"#VALUE!")</f>
        <v>#VALUE!</v>
      </c>
      <c r="J106" s="51" t="str">
        <f>IFERROR(__xludf.DUMMYFUNCTION("""COMPUTED_VALUE"""),"")</f>
        <v/>
      </c>
      <c r="K106" s="51"/>
      <c r="L106" s="51" t="s">
        <v>257</v>
      </c>
      <c r="M106" s="51"/>
      <c r="N106" s="51"/>
      <c r="O106" s="51"/>
      <c r="P106" s="51"/>
      <c r="Q106" s="51"/>
      <c r="R106" s="51"/>
      <c r="S106" s="51"/>
      <c r="T106" s="51"/>
    </row>
    <row r="107">
      <c r="A107" s="51"/>
      <c r="B107" s="51"/>
      <c r="C107" s="56"/>
      <c r="D107" s="51"/>
      <c r="E107" s="51"/>
      <c r="F107" s="51"/>
      <c r="G107" s="51" t="str">
        <f>IFERROR(__xludf.DUMMYFUNCTION("""COMPUTED_VALUE"""),"#VALUE!")</f>
        <v>#VALUE!</v>
      </c>
      <c r="H107" s="51" t="str">
        <f>IFERROR(__xludf.DUMMYFUNCTION("""COMPUTED_VALUE"""),"")</f>
        <v/>
      </c>
      <c r="I107" s="51" t="str">
        <f>IFERROR(__xludf.DUMMYFUNCTION("""COMPUTED_VALUE"""),"#VALUE!")</f>
        <v>#VALUE!</v>
      </c>
      <c r="J107" s="51" t="str">
        <f>IFERROR(__xludf.DUMMYFUNCTION("""COMPUTED_VALUE"""),"")</f>
        <v/>
      </c>
      <c r="K107" s="51"/>
      <c r="L107" s="51" t="s">
        <v>257</v>
      </c>
      <c r="M107" s="51"/>
      <c r="N107" s="51"/>
      <c r="O107" s="51"/>
      <c r="P107" s="51"/>
      <c r="Q107" s="51"/>
      <c r="R107" s="51"/>
      <c r="S107" s="51"/>
      <c r="T107" s="51"/>
    </row>
    <row r="108">
      <c r="A108" s="51"/>
      <c r="B108" s="51"/>
      <c r="C108" s="56"/>
      <c r="D108" s="51"/>
      <c r="E108" s="51"/>
      <c r="F108" s="51"/>
      <c r="G108" s="51" t="str">
        <f>IFERROR(__xludf.DUMMYFUNCTION("""COMPUTED_VALUE"""),"#VALUE!")</f>
        <v>#VALUE!</v>
      </c>
      <c r="H108" s="51" t="str">
        <f>IFERROR(__xludf.DUMMYFUNCTION("""COMPUTED_VALUE"""),"")</f>
        <v/>
      </c>
      <c r="I108" s="51" t="str">
        <f>IFERROR(__xludf.DUMMYFUNCTION("""COMPUTED_VALUE"""),"#VALUE!")</f>
        <v>#VALUE!</v>
      </c>
      <c r="J108" s="51" t="str">
        <f>IFERROR(__xludf.DUMMYFUNCTION("""COMPUTED_VALUE"""),"")</f>
        <v/>
      </c>
      <c r="K108" s="51"/>
      <c r="L108" s="51" t="s">
        <v>257</v>
      </c>
      <c r="M108" s="51"/>
      <c r="N108" s="51"/>
      <c r="O108" s="51"/>
      <c r="P108" s="51"/>
      <c r="Q108" s="51"/>
      <c r="R108" s="51"/>
      <c r="S108" s="51"/>
      <c r="T108" s="51"/>
    </row>
    <row r="109">
      <c r="A109" s="51"/>
      <c r="B109" s="51"/>
      <c r="C109" s="56"/>
      <c r="D109" s="51"/>
      <c r="E109" s="51"/>
      <c r="F109" s="51"/>
      <c r="G109" s="51" t="str">
        <f>IFERROR(__xludf.DUMMYFUNCTION("""COMPUTED_VALUE"""),"#VALUE!")</f>
        <v>#VALUE!</v>
      </c>
      <c r="H109" s="51" t="str">
        <f>IFERROR(__xludf.DUMMYFUNCTION("""COMPUTED_VALUE"""),"")</f>
        <v/>
      </c>
      <c r="I109" s="51" t="str">
        <f>IFERROR(__xludf.DUMMYFUNCTION("""COMPUTED_VALUE"""),"#VALUE!")</f>
        <v>#VALUE!</v>
      </c>
      <c r="J109" s="51" t="str">
        <f>IFERROR(__xludf.DUMMYFUNCTION("""COMPUTED_VALUE"""),"")</f>
        <v/>
      </c>
      <c r="K109" s="51"/>
      <c r="L109" s="51" t="s">
        <v>257</v>
      </c>
      <c r="M109" s="51"/>
      <c r="N109" s="51"/>
      <c r="O109" s="51"/>
      <c r="P109" s="51"/>
      <c r="Q109" s="51"/>
      <c r="R109" s="51"/>
      <c r="S109" s="51"/>
      <c r="T109" s="51"/>
    </row>
    <row r="110">
      <c r="A110" s="51"/>
      <c r="B110" s="51"/>
      <c r="C110" s="56"/>
      <c r="D110" s="51"/>
      <c r="E110" s="51"/>
      <c r="F110" s="51"/>
      <c r="G110" s="51" t="str">
        <f>IFERROR(__xludf.DUMMYFUNCTION("""COMPUTED_VALUE"""),"#VALUE!")</f>
        <v>#VALUE!</v>
      </c>
      <c r="H110" s="51" t="str">
        <f>IFERROR(__xludf.DUMMYFUNCTION("""COMPUTED_VALUE"""),"")</f>
        <v/>
      </c>
      <c r="I110" s="51" t="str">
        <f>IFERROR(__xludf.DUMMYFUNCTION("""COMPUTED_VALUE"""),"#VALUE!")</f>
        <v>#VALUE!</v>
      </c>
      <c r="J110" s="51" t="str">
        <f>IFERROR(__xludf.DUMMYFUNCTION("""COMPUTED_VALUE"""),"")</f>
        <v/>
      </c>
      <c r="K110" s="51"/>
      <c r="L110" s="51" t="s">
        <v>257</v>
      </c>
      <c r="M110" s="51"/>
      <c r="N110" s="51"/>
      <c r="O110" s="51"/>
      <c r="P110" s="51"/>
      <c r="Q110" s="51"/>
      <c r="R110" s="51"/>
      <c r="S110" s="51"/>
      <c r="T110" s="51"/>
    </row>
    <row r="111">
      <c r="A111" s="51"/>
      <c r="B111" s="51"/>
      <c r="C111" s="56"/>
      <c r="D111" s="51"/>
      <c r="E111" s="51"/>
      <c r="F111" s="51"/>
      <c r="G111" s="51" t="str">
        <f>IFERROR(__xludf.DUMMYFUNCTION("""COMPUTED_VALUE"""),"#VALUE!")</f>
        <v>#VALUE!</v>
      </c>
      <c r="H111" s="51" t="str">
        <f>IFERROR(__xludf.DUMMYFUNCTION("""COMPUTED_VALUE"""),"")</f>
        <v/>
      </c>
      <c r="I111" s="51" t="str">
        <f>IFERROR(__xludf.DUMMYFUNCTION("""COMPUTED_VALUE"""),"#VALUE!")</f>
        <v>#VALUE!</v>
      </c>
      <c r="J111" s="51" t="str">
        <f>IFERROR(__xludf.DUMMYFUNCTION("""COMPUTED_VALUE"""),"")</f>
        <v/>
      </c>
      <c r="K111" s="51"/>
      <c r="L111" s="51" t="s">
        <v>257</v>
      </c>
      <c r="M111" s="51"/>
      <c r="N111" s="51"/>
      <c r="O111" s="51"/>
      <c r="P111" s="51"/>
      <c r="Q111" s="51"/>
      <c r="R111" s="51"/>
      <c r="S111" s="51"/>
      <c r="T111" s="51"/>
    </row>
    <row r="112">
      <c r="A112" s="51"/>
      <c r="B112" s="51"/>
      <c r="C112" s="56"/>
      <c r="D112" s="51"/>
      <c r="E112" s="51"/>
      <c r="F112" s="51"/>
      <c r="G112" s="51" t="str">
        <f>IFERROR(__xludf.DUMMYFUNCTION("""COMPUTED_VALUE"""),"#VALUE!")</f>
        <v>#VALUE!</v>
      </c>
      <c r="H112" s="51" t="str">
        <f>IFERROR(__xludf.DUMMYFUNCTION("""COMPUTED_VALUE"""),"")</f>
        <v/>
      </c>
      <c r="I112" s="51" t="str">
        <f>IFERROR(__xludf.DUMMYFUNCTION("""COMPUTED_VALUE"""),"#VALUE!")</f>
        <v>#VALUE!</v>
      </c>
      <c r="J112" s="51" t="str">
        <f>IFERROR(__xludf.DUMMYFUNCTION("""COMPUTED_VALUE"""),"")</f>
        <v/>
      </c>
      <c r="K112" s="51"/>
      <c r="L112" s="51" t="s">
        <v>257</v>
      </c>
      <c r="M112" s="51"/>
      <c r="N112" s="51"/>
      <c r="O112" s="51"/>
      <c r="P112" s="51"/>
      <c r="Q112" s="51"/>
      <c r="R112" s="51"/>
      <c r="S112" s="51"/>
      <c r="T112" s="51"/>
    </row>
    <row r="113">
      <c r="A113" s="51"/>
      <c r="B113" s="51"/>
      <c r="C113" s="56"/>
      <c r="D113" s="51"/>
      <c r="E113" s="51"/>
      <c r="F113" s="51"/>
      <c r="G113" s="51" t="str">
        <f>IFERROR(__xludf.DUMMYFUNCTION("""COMPUTED_VALUE"""),"#VALUE!")</f>
        <v>#VALUE!</v>
      </c>
      <c r="H113" s="51" t="str">
        <f>IFERROR(__xludf.DUMMYFUNCTION("""COMPUTED_VALUE"""),"")</f>
        <v/>
      </c>
      <c r="I113" s="51" t="str">
        <f>IFERROR(__xludf.DUMMYFUNCTION("""COMPUTED_VALUE"""),"#VALUE!")</f>
        <v>#VALUE!</v>
      </c>
      <c r="J113" s="51" t="str">
        <f>IFERROR(__xludf.DUMMYFUNCTION("""COMPUTED_VALUE"""),"")</f>
        <v/>
      </c>
      <c r="K113" s="51"/>
      <c r="L113" s="51" t="s">
        <v>257</v>
      </c>
      <c r="M113" s="51"/>
      <c r="N113" s="51"/>
      <c r="O113" s="51"/>
      <c r="P113" s="51"/>
      <c r="Q113" s="51"/>
      <c r="R113" s="51"/>
      <c r="S113" s="51"/>
      <c r="T113" s="51"/>
    </row>
    <row r="114">
      <c r="A114" s="51"/>
      <c r="B114" s="51"/>
      <c r="C114" s="56"/>
      <c r="D114" s="51"/>
      <c r="E114" s="51"/>
      <c r="F114" s="51"/>
      <c r="G114" s="51" t="str">
        <f>IFERROR(__xludf.DUMMYFUNCTION("""COMPUTED_VALUE"""),"#VALUE!")</f>
        <v>#VALUE!</v>
      </c>
      <c r="H114" s="51" t="str">
        <f>IFERROR(__xludf.DUMMYFUNCTION("""COMPUTED_VALUE"""),"")</f>
        <v/>
      </c>
      <c r="I114" s="51" t="str">
        <f>IFERROR(__xludf.DUMMYFUNCTION("""COMPUTED_VALUE"""),"#VALUE!")</f>
        <v>#VALUE!</v>
      </c>
      <c r="J114" s="51" t="str">
        <f>IFERROR(__xludf.DUMMYFUNCTION("""COMPUTED_VALUE"""),"")</f>
        <v/>
      </c>
      <c r="K114" s="51"/>
      <c r="L114" s="51" t="s">
        <v>257</v>
      </c>
      <c r="M114" s="51"/>
      <c r="N114" s="51"/>
      <c r="O114" s="51"/>
      <c r="P114" s="51"/>
      <c r="Q114" s="51"/>
      <c r="R114" s="51"/>
      <c r="S114" s="51"/>
      <c r="T114" s="51"/>
    </row>
    <row r="115">
      <c r="A115" s="51"/>
      <c r="B115" s="51"/>
      <c r="C115" s="56"/>
      <c r="D115" s="51"/>
      <c r="E115" s="51"/>
      <c r="F115" s="51"/>
      <c r="G115" s="51" t="str">
        <f>IFERROR(__xludf.DUMMYFUNCTION("""COMPUTED_VALUE"""),"#VALUE!")</f>
        <v>#VALUE!</v>
      </c>
      <c r="H115" s="51" t="str">
        <f>IFERROR(__xludf.DUMMYFUNCTION("""COMPUTED_VALUE"""),"")</f>
        <v/>
      </c>
      <c r="I115" s="51" t="str">
        <f>IFERROR(__xludf.DUMMYFUNCTION("""COMPUTED_VALUE"""),"#VALUE!")</f>
        <v>#VALUE!</v>
      </c>
      <c r="J115" s="51" t="str">
        <f>IFERROR(__xludf.DUMMYFUNCTION("""COMPUTED_VALUE"""),"")</f>
        <v/>
      </c>
      <c r="K115" s="51"/>
      <c r="L115" s="51" t="s">
        <v>257</v>
      </c>
      <c r="M115" s="51"/>
      <c r="N115" s="51"/>
      <c r="O115" s="51"/>
      <c r="P115" s="51"/>
      <c r="Q115" s="51"/>
      <c r="R115" s="51"/>
      <c r="S115" s="51"/>
      <c r="T115" s="51"/>
    </row>
    <row r="116">
      <c r="A116" s="51"/>
      <c r="B116" s="51"/>
      <c r="C116" s="56"/>
      <c r="D116" s="51"/>
      <c r="E116" s="51"/>
      <c r="F116" s="51"/>
      <c r="G116" s="51" t="str">
        <f>IFERROR(__xludf.DUMMYFUNCTION("""COMPUTED_VALUE"""),"#VALUE!")</f>
        <v>#VALUE!</v>
      </c>
      <c r="H116" s="51" t="str">
        <f>IFERROR(__xludf.DUMMYFUNCTION("""COMPUTED_VALUE"""),"")</f>
        <v/>
      </c>
      <c r="I116" s="51" t="str">
        <f>IFERROR(__xludf.DUMMYFUNCTION("""COMPUTED_VALUE"""),"#VALUE!")</f>
        <v>#VALUE!</v>
      </c>
      <c r="J116" s="51" t="str">
        <f>IFERROR(__xludf.DUMMYFUNCTION("""COMPUTED_VALUE"""),"")</f>
        <v/>
      </c>
      <c r="K116" s="51"/>
      <c r="L116" s="51" t="s">
        <v>257</v>
      </c>
      <c r="M116" s="51"/>
      <c r="N116" s="51"/>
      <c r="O116" s="51"/>
      <c r="P116" s="51"/>
      <c r="Q116" s="51"/>
      <c r="R116" s="51"/>
      <c r="S116" s="51"/>
      <c r="T116" s="51"/>
    </row>
    <row r="117">
      <c r="A117" s="51"/>
      <c r="B117" s="51"/>
      <c r="C117" s="56"/>
      <c r="D117" s="51"/>
      <c r="E117" s="51"/>
      <c r="F117" s="51"/>
      <c r="G117" s="51" t="str">
        <f>IFERROR(__xludf.DUMMYFUNCTION("""COMPUTED_VALUE"""),"#VALUE!")</f>
        <v>#VALUE!</v>
      </c>
      <c r="H117" s="51" t="str">
        <f>IFERROR(__xludf.DUMMYFUNCTION("""COMPUTED_VALUE"""),"")</f>
        <v/>
      </c>
      <c r="I117" s="51" t="str">
        <f>IFERROR(__xludf.DUMMYFUNCTION("""COMPUTED_VALUE"""),"#VALUE!")</f>
        <v>#VALUE!</v>
      </c>
      <c r="J117" s="51" t="str">
        <f>IFERROR(__xludf.DUMMYFUNCTION("""COMPUTED_VALUE"""),"")</f>
        <v/>
      </c>
      <c r="K117" s="51"/>
      <c r="L117" s="51" t="s">
        <v>257</v>
      </c>
      <c r="M117" s="51"/>
      <c r="N117" s="51"/>
      <c r="O117" s="51"/>
      <c r="P117" s="51"/>
      <c r="Q117" s="51"/>
      <c r="R117" s="51"/>
      <c r="S117" s="51"/>
      <c r="T117" s="51"/>
    </row>
    <row r="118">
      <c r="A118" s="51"/>
      <c r="B118" s="51"/>
      <c r="C118" s="56"/>
      <c r="D118" s="51"/>
      <c r="E118" s="51"/>
      <c r="F118" s="51"/>
      <c r="G118" s="51" t="str">
        <f>IFERROR(__xludf.DUMMYFUNCTION("""COMPUTED_VALUE"""),"#VALUE!")</f>
        <v>#VALUE!</v>
      </c>
      <c r="H118" s="51" t="str">
        <f>IFERROR(__xludf.DUMMYFUNCTION("""COMPUTED_VALUE"""),"")</f>
        <v/>
      </c>
      <c r="I118" s="51" t="str">
        <f>IFERROR(__xludf.DUMMYFUNCTION("""COMPUTED_VALUE"""),"#VALUE!")</f>
        <v>#VALUE!</v>
      </c>
      <c r="J118" s="51" t="str">
        <f>IFERROR(__xludf.DUMMYFUNCTION("""COMPUTED_VALUE"""),"")</f>
        <v/>
      </c>
      <c r="K118" s="51"/>
      <c r="L118" s="51" t="s">
        <v>257</v>
      </c>
      <c r="M118" s="51"/>
      <c r="N118" s="51"/>
      <c r="O118" s="51"/>
      <c r="P118" s="51"/>
      <c r="Q118" s="51"/>
      <c r="R118" s="51"/>
      <c r="S118" s="51"/>
      <c r="T118" s="51"/>
    </row>
    <row r="119">
      <c r="A119" s="51"/>
      <c r="B119" s="51"/>
      <c r="C119" s="56"/>
      <c r="D119" s="51"/>
      <c r="E119" s="51"/>
      <c r="F119" s="51"/>
      <c r="G119" s="51" t="str">
        <f>IFERROR(__xludf.DUMMYFUNCTION("""COMPUTED_VALUE"""),"#VALUE!")</f>
        <v>#VALUE!</v>
      </c>
      <c r="H119" s="51" t="str">
        <f>IFERROR(__xludf.DUMMYFUNCTION("""COMPUTED_VALUE"""),"")</f>
        <v/>
      </c>
      <c r="I119" s="51" t="str">
        <f>IFERROR(__xludf.DUMMYFUNCTION("""COMPUTED_VALUE"""),"#VALUE!")</f>
        <v>#VALUE!</v>
      </c>
      <c r="J119" s="51" t="str">
        <f>IFERROR(__xludf.DUMMYFUNCTION("""COMPUTED_VALUE"""),"")</f>
        <v/>
      </c>
      <c r="K119" s="51"/>
      <c r="L119" s="51" t="s">
        <v>257</v>
      </c>
      <c r="M119" s="51"/>
      <c r="N119" s="51"/>
      <c r="O119" s="51"/>
      <c r="P119" s="51"/>
      <c r="Q119" s="51"/>
      <c r="R119" s="51"/>
      <c r="S119" s="51"/>
      <c r="T119" s="51"/>
    </row>
    <row r="120">
      <c r="A120" s="51"/>
      <c r="B120" s="51"/>
      <c r="C120" s="56"/>
      <c r="D120" s="51"/>
      <c r="E120" s="51"/>
      <c r="F120" s="51"/>
      <c r="G120" s="51" t="str">
        <f>IFERROR(__xludf.DUMMYFUNCTION("""COMPUTED_VALUE"""),"#VALUE!")</f>
        <v>#VALUE!</v>
      </c>
      <c r="H120" s="51" t="str">
        <f>IFERROR(__xludf.DUMMYFUNCTION("""COMPUTED_VALUE"""),"")</f>
        <v/>
      </c>
      <c r="I120" s="51" t="str">
        <f>IFERROR(__xludf.DUMMYFUNCTION("""COMPUTED_VALUE"""),"#VALUE!")</f>
        <v>#VALUE!</v>
      </c>
      <c r="J120" s="51" t="str">
        <f>IFERROR(__xludf.DUMMYFUNCTION("""COMPUTED_VALUE"""),"")</f>
        <v/>
      </c>
      <c r="K120" s="51"/>
      <c r="L120" s="51" t="s">
        <v>257</v>
      </c>
      <c r="M120" s="51"/>
      <c r="N120" s="51"/>
      <c r="O120" s="51"/>
      <c r="P120" s="51"/>
      <c r="Q120" s="51"/>
      <c r="R120" s="51"/>
      <c r="S120" s="51"/>
      <c r="T120" s="51"/>
    </row>
    <row r="121">
      <c r="A121" s="51"/>
      <c r="B121" s="51"/>
      <c r="C121" s="56"/>
      <c r="D121" s="51"/>
      <c r="E121" s="51"/>
      <c r="F121" s="51"/>
      <c r="G121" s="51" t="str">
        <f>IFERROR(__xludf.DUMMYFUNCTION("""COMPUTED_VALUE"""),"#VALUE!")</f>
        <v>#VALUE!</v>
      </c>
      <c r="H121" s="51" t="str">
        <f>IFERROR(__xludf.DUMMYFUNCTION("""COMPUTED_VALUE"""),"")</f>
        <v/>
      </c>
      <c r="I121" s="51" t="str">
        <f>IFERROR(__xludf.DUMMYFUNCTION("""COMPUTED_VALUE"""),"#VALUE!")</f>
        <v>#VALUE!</v>
      </c>
      <c r="J121" s="51" t="str">
        <f>IFERROR(__xludf.DUMMYFUNCTION("""COMPUTED_VALUE"""),"")</f>
        <v/>
      </c>
      <c r="K121" s="51"/>
      <c r="L121" s="51" t="s">
        <v>257</v>
      </c>
      <c r="M121" s="51"/>
      <c r="N121" s="51"/>
      <c r="O121" s="51"/>
      <c r="P121" s="51"/>
      <c r="Q121" s="51"/>
      <c r="R121" s="51"/>
      <c r="S121" s="51"/>
      <c r="T121" s="51"/>
    </row>
    <row r="122">
      <c r="A122" s="51"/>
      <c r="B122" s="51"/>
      <c r="C122" s="56"/>
      <c r="D122" s="51"/>
      <c r="E122" s="51"/>
      <c r="F122" s="51"/>
      <c r="G122" s="51" t="str">
        <f>IFERROR(__xludf.DUMMYFUNCTION("""COMPUTED_VALUE"""),"#VALUE!")</f>
        <v>#VALUE!</v>
      </c>
      <c r="H122" s="51" t="str">
        <f>IFERROR(__xludf.DUMMYFUNCTION("""COMPUTED_VALUE"""),"")</f>
        <v/>
      </c>
      <c r="I122" s="51" t="str">
        <f>IFERROR(__xludf.DUMMYFUNCTION("""COMPUTED_VALUE"""),"#VALUE!")</f>
        <v>#VALUE!</v>
      </c>
      <c r="J122" s="51" t="str">
        <f>IFERROR(__xludf.DUMMYFUNCTION("""COMPUTED_VALUE"""),"")</f>
        <v/>
      </c>
      <c r="K122" s="51"/>
      <c r="L122" s="51" t="s">
        <v>257</v>
      </c>
      <c r="M122" s="51"/>
      <c r="N122" s="51"/>
      <c r="O122" s="51"/>
      <c r="P122" s="51"/>
      <c r="Q122" s="51"/>
      <c r="R122" s="51"/>
      <c r="S122" s="51"/>
      <c r="T122" s="51"/>
    </row>
    <row r="123">
      <c r="A123" s="51"/>
      <c r="B123" s="51"/>
      <c r="C123" s="56"/>
      <c r="D123" s="51"/>
      <c r="E123" s="51"/>
      <c r="F123" s="51"/>
      <c r="G123" s="51" t="str">
        <f>IFERROR(__xludf.DUMMYFUNCTION("""COMPUTED_VALUE"""),"#VALUE!")</f>
        <v>#VALUE!</v>
      </c>
      <c r="H123" s="51" t="str">
        <f>IFERROR(__xludf.DUMMYFUNCTION("""COMPUTED_VALUE"""),"")</f>
        <v/>
      </c>
      <c r="I123" s="51" t="str">
        <f>IFERROR(__xludf.DUMMYFUNCTION("""COMPUTED_VALUE"""),"#VALUE!")</f>
        <v>#VALUE!</v>
      </c>
      <c r="J123" s="51" t="str">
        <f>IFERROR(__xludf.DUMMYFUNCTION("""COMPUTED_VALUE"""),"")</f>
        <v/>
      </c>
      <c r="K123" s="51"/>
      <c r="L123" s="51" t="s">
        <v>257</v>
      </c>
      <c r="M123" s="51"/>
      <c r="N123" s="51"/>
      <c r="O123" s="51"/>
      <c r="P123" s="51"/>
      <c r="Q123" s="51"/>
      <c r="R123" s="51"/>
      <c r="S123" s="51"/>
      <c r="T123" s="51"/>
    </row>
    <row r="124">
      <c r="A124" s="51"/>
      <c r="B124" s="51"/>
      <c r="C124" s="56"/>
      <c r="D124" s="51"/>
      <c r="E124" s="51"/>
      <c r="F124" s="51"/>
      <c r="G124" s="51" t="str">
        <f>IFERROR(__xludf.DUMMYFUNCTION("""COMPUTED_VALUE"""),"#VALUE!")</f>
        <v>#VALUE!</v>
      </c>
      <c r="H124" s="51" t="str">
        <f>IFERROR(__xludf.DUMMYFUNCTION("""COMPUTED_VALUE"""),"")</f>
        <v/>
      </c>
      <c r="I124" s="51" t="str">
        <f>IFERROR(__xludf.DUMMYFUNCTION("""COMPUTED_VALUE"""),"#VALUE!")</f>
        <v>#VALUE!</v>
      </c>
      <c r="J124" s="51" t="str">
        <f>IFERROR(__xludf.DUMMYFUNCTION("""COMPUTED_VALUE"""),"")</f>
        <v/>
      </c>
      <c r="K124" s="51"/>
      <c r="L124" s="51" t="s">
        <v>257</v>
      </c>
      <c r="M124" s="51"/>
      <c r="N124" s="51"/>
      <c r="O124" s="51"/>
      <c r="P124" s="51"/>
      <c r="Q124" s="51"/>
      <c r="R124" s="51"/>
      <c r="S124" s="51"/>
      <c r="T124" s="51"/>
    </row>
    <row r="125">
      <c r="A125" s="51"/>
      <c r="B125" s="51"/>
      <c r="C125" s="56"/>
      <c r="D125" s="51"/>
      <c r="E125" s="51"/>
      <c r="F125" s="51"/>
      <c r="G125" s="51" t="str">
        <f>IFERROR(__xludf.DUMMYFUNCTION("""COMPUTED_VALUE"""),"#VALUE!")</f>
        <v>#VALUE!</v>
      </c>
      <c r="H125" s="51" t="str">
        <f>IFERROR(__xludf.DUMMYFUNCTION("""COMPUTED_VALUE"""),"")</f>
        <v/>
      </c>
      <c r="I125" s="51" t="str">
        <f>IFERROR(__xludf.DUMMYFUNCTION("""COMPUTED_VALUE"""),"#VALUE!")</f>
        <v>#VALUE!</v>
      </c>
      <c r="J125" s="51" t="str">
        <f>IFERROR(__xludf.DUMMYFUNCTION("""COMPUTED_VALUE"""),"")</f>
        <v/>
      </c>
      <c r="K125" s="51"/>
      <c r="L125" s="51" t="s">
        <v>257</v>
      </c>
      <c r="M125" s="51"/>
      <c r="N125" s="51"/>
      <c r="O125" s="51"/>
      <c r="P125" s="51"/>
      <c r="Q125" s="51"/>
      <c r="R125" s="51"/>
      <c r="S125" s="51"/>
      <c r="T125" s="51"/>
    </row>
    <row r="126">
      <c r="A126" s="51"/>
      <c r="B126" s="51"/>
      <c r="C126" s="56"/>
      <c r="D126" s="51"/>
      <c r="E126" s="51"/>
      <c r="F126" s="51"/>
      <c r="G126" s="51" t="str">
        <f>IFERROR(__xludf.DUMMYFUNCTION("""COMPUTED_VALUE"""),"#VALUE!")</f>
        <v>#VALUE!</v>
      </c>
      <c r="H126" s="51" t="str">
        <f>IFERROR(__xludf.DUMMYFUNCTION("""COMPUTED_VALUE"""),"")</f>
        <v/>
      </c>
      <c r="I126" s="51" t="str">
        <f>IFERROR(__xludf.DUMMYFUNCTION("""COMPUTED_VALUE"""),"#VALUE!")</f>
        <v>#VALUE!</v>
      </c>
      <c r="J126" s="51" t="str">
        <f>IFERROR(__xludf.DUMMYFUNCTION("""COMPUTED_VALUE"""),"")</f>
        <v/>
      </c>
      <c r="K126" s="51"/>
      <c r="L126" s="51" t="s">
        <v>257</v>
      </c>
      <c r="M126" s="51"/>
      <c r="N126" s="51"/>
      <c r="O126" s="51"/>
      <c r="P126" s="51"/>
      <c r="Q126" s="51"/>
      <c r="R126" s="51"/>
      <c r="S126" s="51"/>
      <c r="T126" s="51"/>
    </row>
    <row r="127">
      <c r="A127" s="51"/>
      <c r="B127" s="51"/>
      <c r="C127" s="56"/>
      <c r="D127" s="51"/>
      <c r="E127" s="51"/>
      <c r="F127" s="51"/>
      <c r="G127" s="51" t="str">
        <f>IFERROR(__xludf.DUMMYFUNCTION("""COMPUTED_VALUE"""),"#VALUE!")</f>
        <v>#VALUE!</v>
      </c>
      <c r="H127" s="51" t="str">
        <f>IFERROR(__xludf.DUMMYFUNCTION("""COMPUTED_VALUE"""),"")</f>
        <v/>
      </c>
      <c r="I127" s="51" t="str">
        <f>IFERROR(__xludf.DUMMYFUNCTION("""COMPUTED_VALUE"""),"#VALUE!")</f>
        <v>#VALUE!</v>
      </c>
      <c r="J127" s="51" t="str">
        <f>IFERROR(__xludf.DUMMYFUNCTION("""COMPUTED_VALUE"""),"")</f>
        <v/>
      </c>
      <c r="K127" s="51"/>
      <c r="L127" s="51" t="s">
        <v>257</v>
      </c>
      <c r="M127" s="51"/>
      <c r="N127" s="51"/>
      <c r="O127" s="51"/>
      <c r="P127" s="51"/>
      <c r="Q127" s="51"/>
      <c r="R127" s="51"/>
      <c r="S127" s="51"/>
      <c r="T127" s="51"/>
    </row>
    <row r="128">
      <c r="A128" s="51"/>
      <c r="B128" s="51"/>
      <c r="C128" s="56"/>
      <c r="D128" s="51"/>
      <c r="E128" s="51"/>
      <c r="F128" s="51"/>
      <c r="G128" s="51" t="str">
        <f>IFERROR(__xludf.DUMMYFUNCTION("""COMPUTED_VALUE"""),"#VALUE!")</f>
        <v>#VALUE!</v>
      </c>
      <c r="H128" s="51" t="str">
        <f>IFERROR(__xludf.DUMMYFUNCTION("""COMPUTED_VALUE"""),"")</f>
        <v/>
      </c>
      <c r="I128" s="51" t="str">
        <f>IFERROR(__xludf.DUMMYFUNCTION("""COMPUTED_VALUE"""),"#VALUE!")</f>
        <v>#VALUE!</v>
      </c>
      <c r="J128" s="51" t="str">
        <f>IFERROR(__xludf.DUMMYFUNCTION("""COMPUTED_VALUE"""),"")</f>
        <v/>
      </c>
      <c r="K128" s="51"/>
      <c r="L128" s="51" t="s">
        <v>257</v>
      </c>
      <c r="M128" s="51"/>
      <c r="N128" s="51"/>
      <c r="O128" s="51"/>
      <c r="P128" s="51"/>
      <c r="Q128" s="51"/>
      <c r="R128" s="51"/>
      <c r="S128" s="51"/>
      <c r="T128" s="51"/>
    </row>
    <row r="129">
      <c r="A129" s="51"/>
      <c r="B129" s="51"/>
      <c r="C129" s="56"/>
      <c r="D129" s="51"/>
      <c r="E129" s="51"/>
      <c r="F129" s="51"/>
      <c r="G129" s="51" t="str">
        <f>IFERROR(__xludf.DUMMYFUNCTION("""COMPUTED_VALUE"""),"#VALUE!")</f>
        <v>#VALUE!</v>
      </c>
      <c r="H129" s="51" t="str">
        <f>IFERROR(__xludf.DUMMYFUNCTION("""COMPUTED_VALUE"""),"")</f>
        <v/>
      </c>
      <c r="I129" s="51" t="str">
        <f>IFERROR(__xludf.DUMMYFUNCTION("""COMPUTED_VALUE"""),"#VALUE!")</f>
        <v>#VALUE!</v>
      </c>
      <c r="J129" s="51" t="str">
        <f>IFERROR(__xludf.DUMMYFUNCTION("""COMPUTED_VALUE"""),"")</f>
        <v/>
      </c>
      <c r="K129" s="51"/>
      <c r="L129" s="51" t="s">
        <v>257</v>
      </c>
      <c r="M129" s="51"/>
      <c r="N129" s="51"/>
      <c r="O129" s="51"/>
      <c r="P129" s="51"/>
      <c r="Q129" s="51"/>
      <c r="R129" s="51"/>
      <c r="S129" s="51"/>
      <c r="T129" s="51"/>
    </row>
    <row r="130">
      <c r="A130" s="51"/>
      <c r="B130" s="51"/>
      <c r="C130" s="56"/>
      <c r="D130" s="51"/>
      <c r="E130" s="51"/>
      <c r="F130" s="51"/>
      <c r="G130" s="51" t="str">
        <f>IFERROR(__xludf.DUMMYFUNCTION("""COMPUTED_VALUE"""),"#VALUE!")</f>
        <v>#VALUE!</v>
      </c>
      <c r="H130" s="51" t="str">
        <f>IFERROR(__xludf.DUMMYFUNCTION("""COMPUTED_VALUE"""),"")</f>
        <v/>
      </c>
      <c r="I130" s="51" t="str">
        <f>IFERROR(__xludf.DUMMYFUNCTION("""COMPUTED_VALUE"""),"#VALUE!")</f>
        <v>#VALUE!</v>
      </c>
      <c r="J130" s="51" t="str">
        <f>IFERROR(__xludf.DUMMYFUNCTION("""COMPUTED_VALUE"""),"")</f>
        <v/>
      </c>
      <c r="K130" s="51"/>
      <c r="L130" s="51" t="s">
        <v>257</v>
      </c>
      <c r="M130" s="51"/>
      <c r="N130" s="51"/>
      <c r="O130" s="51"/>
      <c r="P130" s="51"/>
      <c r="Q130" s="51"/>
      <c r="R130" s="51"/>
      <c r="S130" s="51"/>
      <c r="T130" s="51"/>
    </row>
    <row r="131">
      <c r="A131" s="51"/>
      <c r="B131" s="51"/>
      <c r="C131" s="56"/>
      <c r="D131" s="51"/>
      <c r="E131" s="51"/>
      <c r="F131" s="51"/>
      <c r="G131" s="51" t="str">
        <f>IFERROR(__xludf.DUMMYFUNCTION("""COMPUTED_VALUE"""),"#VALUE!")</f>
        <v>#VALUE!</v>
      </c>
      <c r="H131" s="51" t="str">
        <f>IFERROR(__xludf.DUMMYFUNCTION("""COMPUTED_VALUE"""),"")</f>
        <v/>
      </c>
      <c r="I131" s="51" t="str">
        <f>IFERROR(__xludf.DUMMYFUNCTION("""COMPUTED_VALUE"""),"#VALUE!")</f>
        <v>#VALUE!</v>
      </c>
      <c r="J131" s="51" t="str">
        <f>IFERROR(__xludf.DUMMYFUNCTION("""COMPUTED_VALUE"""),"")</f>
        <v/>
      </c>
      <c r="K131" s="51"/>
      <c r="L131" s="51" t="s">
        <v>257</v>
      </c>
      <c r="M131" s="51"/>
      <c r="N131" s="51"/>
      <c r="O131" s="51"/>
      <c r="P131" s="51"/>
      <c r="Q131" s="51"/>
      <c r="R131" s="51"/>
      <c r="S131" s="51"/>
      <c r="T131" s="51"/>
    </row>
    <row r="132">
      <c r="A132" s="51"/>
      <c r="B132" s="51"/>
      <c r="C132" s="56"/>
      <c r="D132" s="51"/>
      <c r="E132" s="51"/>
      <c r="F132" s="51"/>
      <c r="G132" s="51" t="str">
        <f>IFERROR(__xludf.DUMMYFUNCTION("""COMPUTED_VALUE"""),"#VALUE!")</f>
        <v>#VALUE!</v>
      </c>
      <c r="H132" s="51" t="str">
        <f>IFERROR(__xludf.DUMMYFUNCTION("""COMPUTED_VALUE"""),"")</f>
        <v/>
      </c>
      <c r="I132" s="51" t="str">
        <f>IFERROR(__xludf.DUMMYFUNCTION("""COMPUTED_VALUE"""),"#VALUE!")</f>
        <v>#VALUE!</v>
      </c>
      <c r="J132" s="51" t="str">
        <f>IFERROR(__xludf.DUMMYFUNCTION("""COMPUTED_VALUE"""),"")</f>
        <v/>
      </c>
      <c r="K132" s="51"/>
      <c r="L132" s="51" t="s">
        <v>257</v>
      </c>
      <c r="M132" s="51"/>
      <c r="N132" s="51"/>
      <c r="O132" s="51"/>
      <c r="P132" s="51"/>
      <c r="Q132" s="51"/>
      <c r="R132" s="51"/>
      <c r="S132" s="51"/>
      <c r="T132" s="51"/>
    </row>
    <row r="133">
      <c r="A133" s="51"/>
      <c r="B133" s="51"/>
      <c r="C133" s="56"/>
      <c r="D133" s="51"/>
      <c r="E133" s="51"/>
      <c r="F133" s="51"/>
      <c r="G133" s="51" t="str">
        <f>IFERROR(__xludf.DUMMYFUNCTION("""COMPUTED_VALUE"""),"#VALUE!")</f>
        <v>#VALUE!</v>
      </c>
      <c r="H133" s="51" t="str">
        <f>IFERROR(__xludf.DUMMYFUNCTION("""COMPUTED_VALUE"""),"")</f>
        <v/>
      </c>
      <c r="I133" s="51" t="str">
        <f>IFERROR(__xludf.DUMMYFUNCTION("""COMPUTED_VALUE"""),"#VALUE!")</f>
        <v>#VALUE!</v>
      </c>
      <c r="J133" s="51" t="str">
        <f>IFERROR(__xludf.DUMMYFUNCTION("""COMPUTED_VALUE"""),"")</f>
        <v/>
      </c>
      <c r="K133" s="51"/>
      <c r="L133" s="51" t="s">
        <v>257</v>
      </c>
      <c r="M133" s="51"/>
      <c r="N133" s="51"/>
      <c r="O133" s="51"/>
      <c r="P133" s="51"/>
      <c r="Q133" s="51"/>
      <c r="R133" s="51"/>
      <c r="S133" s="51"/>
      <c r="T133" s="51"/>
    </row>
    <row r="134">
      <c r="A134" s="51"/>
      <c r="B134" s="51"/>
      <c r="C134" s="56"/>
      <c r="D134" s="51"/>
      <c r="E134" s="51"/>
      <c r="F134" s="51"/>
      <c r="G134" s="51" t="str">
        <f>IFERROR(__xludf.DUMMYFUNCTION("""COMPUTED_VALUE"""),"#VALUE!")</f>
        <v>#VALUE!</v>
      </c>
      <c r="H134" s="51" t="str">
        <f>IFERROR(__xludf.DUMMYFUNCTION("""COMPUTED_VALUE"""),"")</f>
        <v/>
      </c>
      <c r="I134" s="51" t="str">
        <f>IFERROR(__xludf.DUMMYFUNCTION("""COMPUTED_VALUE"""),"#VALUE!")</f>
        <v>#VALUE!</v>
      </c>
      <c r="J134" s="51" t="str">
        <f>IFERROR(__xludf.DUMMYFUNCTION("""COMPUTED_VALUE"""),"")</f>
        <v/>
      </c>
      <c r="K134" s="51"/>
      <c r="L134" s="51" t="s">
        <v>257</v>
      </c>
      <c r="M134" s="51"/>
      <c r="N134" s="51"/>
      <c r="O134" s="51"/>
      <c r="P134" s="51"/>
      <c r="Q134" s="51"/>
      <c r="R134" s="51"/>
      <c r="S134" s="51"/>
      <c r="T134" s="51"/>
    </row>
    <row r="135">
      <c r="A135" s="51"/>
      <c r="B135" s="51"/>
      <c r="C135" s="56"/>
      <c r="D135" s="51"/>
      <c r="E135" s="51"/>
      <c r="F135" s="51"/>
      <c r="G135" s="51" t="str">
        <f>IFERROR(__xludf.DUMMYFUNCTION("""COMPUTED_VALUE"""),"#VALUE!")</f>
        <v>#VALUE!</v>
      </c>
      <c r="H135" s="51" t="str">
        <f>IFERROR(__xludf.DUMMYFUNCTION("""COMPUTED_VALUE"""),"")</f>
        <v/>
      </c>
      <c r="I135" s="51" t="str">
        <f>IFERROR(__xludf.DUMMYFUNCTION("""COMPUTED_VALUE"""),"#VALUE!")</f>
        <v>#VALUE!</v>
      </c>
      <c r="J135" s="51" t="str">
        <f>IFERROR(__xludf.DUMMYFUNCTION("""COMPUTED_VALUE"""),"")</f>
        <v/>
      </c>
      <c r="K135" s="51"/>
      <c r="L135" s="51" t="s">
        <v>257</v>
      </c>
      <c r="M135" s="51"/>
      <c r="N135" s="51"/>
      <c r="O135" s="51"/>
      <c r="P135" s="51"/>
      <c r="Q135" s="51"/>
      <c r="R135" s="51"/>
      <c r="S135" s="51"/>
      <c r="T135" s="51"/>
    </row>
    <row r="136">
      <c r="A136" s="51"/>
      <c r="B136" s="51"/>
      <c r="C136" s="56"/>
      <c r="D136" s="51"/>
      <c r="E136" s="51"/>
      <c r="F136" s="51"/>
      <c r="G136" s="51" t="str">
        <f>IFERROR(__xludf.DUMMYFUNCTION("""COMPUTED_VALUE"""),"#VALUE!")</f>
        <v>#VALUE!</v>
      </c>
      <c r="H136" s="51" t="str">
        <f>IFERROR(__xludf.DUMMYFUNCTION("""COMPUTED_VALUE"""),"")</f>
        <v/>
      </c>
      <c r="I136" s="51" t="str">
        <f>IFERROR(__xludf.DUMMYFUNCTION("""COMPUTED_VALUE"""),"#VALUE!")</f>
        <v>#VALUE!</v>
      </c>
      <c r="J136" s="51" t="str">
        <f>IFERROR(__xludf.DUMMYFUNCTION("""COMPUTED_VALUE"""),"")</f>
        <v/>
      </c>
      <c r="K136" s="51"/>
      <c r="L136" s="51" t="s">
        <v>257</v>
      </c>
      <c r="M136" s="51"/>
      <c r="N136" s="51"/>
      <c r="O136" s="51"/>
      <c r="P136" s="51"/>
      <c r="Q136" s="51"/>
      <c r="R136" s="51"/>
      <c r="S136" s="51"/>
      <c r="T136" s="51"/>
    </row>
    <row r="137">
      <c r="A137" s="51"/>
      <c r="B137" s="51"/>
      <c r="C137" s="56"/>
      <c r="D137" s="51"/>
      <c r="E137" s="51"/>
      <c r="F137" s="51"/>
      <c r="G137" s="51" t="str">
        <f>IFERROR(__xludf.DUMMYFUNCTION("""COMPUTED_VALUE"""),"#VALUE!")</f>
        <v>#VALUE!</v>
      </c>
      <c r="H137" s="51" t="str">
        <f>IFERROR(__xludf.DUMMYFUNCTION("""COMPUTED_VALUE"""),"")</f>
        <v/>
      </c>
      <c r="I137" s="51" t="str">
        <f>IFERROR(__xludf.DUMMYFUNCTION("""COMPUTED_VALUE"""),"#VALUE!")</f>
        <v>#VALUE!</v>
      </c>
      <c r="J137" s="51" t="str">
        <f>IFERROR(__xludf.DUMMYFUNCTION("""COMPUTED_VALUE"""),"")</f>
        <v/>
      </c>
      <c r="K137" s="51"/>
      <c r="L137" s="51" t="s">
        <v>257</v>
      </c>
      <c r="M137" s="51"/>
      <c r="N137" s="51"/>
      <c r="O137" s="51"/>
      <c r="P137" s="51"/>
      <c r="Q137" s="51"/>
      <c r="R137" s="51"/>
      <c r="S137" s="51"/>
      <c r="T137" s="51"/>
    </row>
    <row r="138">
      <c r="A138" s="51"/>
      <c r="B138" s="51"/>
      <c r="C138" s="56"/>
      <c r="D138" s="51"/>
      <c r="E138" s="51"/>
      <c r="F138" s="51"/>
      <c r="G138" s="51" t="str">
        <f>IFERROR(__xludf.DUMMYFUNCTION("""COMPUTED_VALUE"""),"#VALUE!")</f>
        <v>#VALUE!</v>
      </c>
      <c r="H138" s="51" t="str">
        <f>IFERROR(__xludf.DUMMYFUNCTION("""COMPUTED_VALUE"""),"")</f>
        <v/>
      </c>
      <c r="I138" s="51" t="str">
        <f>IFERROR(__xludf.DUMMYFUNCTION("""COMPUTED_VALUE"""),"#VALUE!")</f>
        <v>#VALUE!</v>
      </c>
      <c r="J138" s="51" t="str">
        <f>IFERROR(__xludf.DUMMYFUNCTION("""COMPUTED_VALUE"""),"")</f>
        <v/>
      </c>
      <c r="K138" s="51"/>
      <c r="L138" s="51" t="s">
        <v>257</v>
      </c>
      <c r="M138" s="51"/>
      <c r="N138" s="51"/>
      <c r="O138" s="51"/>
      <c r="P138" s="51"/>
      <c r="Q138" s="51"/>
      <c r="R138" s="51"/>
      <c r="S138" s="51"/>
      <c r="T138" s="51"/>
    </row>
    <row r="139">
      <c r="A139" s="51"/>
      <c r="B139" s="51"/>
      <c r="C139" s="56"/>
      <c r="D139" s="51"/>
      <c r="E139" s="51"/>
      <c r="F139" s="51"/>
      <c r="G139" s="51" t="str">
        <f>IFERROR(__xludf.DUMMYFUNCTION("""COMPUTED_VALUE"""),"#VALUE!")</f>
        <v>#VALUE!</v>
      </c>
      <c r="H139" s="51" t="str">
        <f>IFERROR(__xludf.DUMMYFUNCTION("""COMPUTED_VALUE"""),"")</f>
        <v/>
      </c>
      <c r="I139" s="51" t="str">
        <f>IFERROR(__xludf.DUMMYFUNCTION("""COMPUTED_VALUE"""),"#VALUE!")</f>
        <v>#VALUE!</v>
      </c>
      <c r="J139" s="51" t="str">
        <f>IFERROR(__xludf.DUMMYFUNCTION("""COMPUTED_VALUE"""),"")</f>
        <v/>
      </c>
      <c r="K139" s="51"/>
      <c r="L139" s="51" t="s">
        <v>257</v>
      </c>
      <c r="M139" s="51"/>
      <c r="N139" s="51"/>
      <c r="O139" s="51"/>
      <c r="P139" s="51"/>
      <c r="Q139" s="51"/>
      <c r="R139" s="51"/>
      <c r="S139" s="51"/>
      <c r="T139" s="51"/>
    </row>
    <row r="140">
      <c r="A140" s="51"/>
      <c r="B140" s="51"/>
      <c r="C140" s="56"/>
      <c r="D140" s="51"/>
      <c r="E140" s="51"/>
      <c r="F140" s="51"/>
      <c r="G140" s="51" t="str">
        <f>IFERROR(__xludf.DUMMYFUNCTION("""COMPUTED_VALUE"""),"#VALUE!")</f>
        <v>#VALUE!</v>
      </c>
      <c r="H140" s="51" t="str">
        <f>IFERROR(__xludf.DUMMYFUNCTION("""COMPUTED_VALUE"""),"")</f>
        <v/>
      </c>
      <c r="I140" s="51" t="str">
        <f>IFERROR(__xludf.DUMMYFUNCTION("""COMPUTED_VALUE"""),"#VALUE!")</f>
        <v>#VALUE!</v>
      </c>
      <c r="J140" s="51" t="str">
        <f>IFERROR(__xludf.DUMMYFUNCTION("""COMPUTED_VALUE"""),"")</f>
        <v/>
      </c>
      <c r="K140" s="51"/>
      <c r="L140" s="51" t="s">
        <v>257</v>
      </c>
      <c r="M140" s="51"/>
      <c r="N140" s="51"/>
      <c r="O140" s="51"/>
      <c r="P140" s="51"/>
      <c r="Q140" s="51"/>
      <c r="R140" s="51"/>
      <c r="S140" s="51"/>
      <c r="T140" s="51"/>
    </row>
    <row r="141">
      <c r="A141" s="51"/>
      <c r="B141" s="51"/>
      <c r="C141" s="56"/>
      <c r="D141" s="51"/>
      <c r="E141" s="51"/>
      <c r="F141" s="51"/>
      <c r="G141" s="51" t="str">
        <f>IFERROR(__xludf.DUMMYFUNCTION("""COMPUTED_VALUE"""),"#VALUE!")</f>
        <v>#VALUE!</v>
      </c>
      <c r="H141" s="51" t="str">
        <f>IFERROR(__xludf.DUMMYFUNCTION("""COMPUTED_VALUE"""),"")</f>
        <v/>
      </c>
      <c r="I141" s="51" t="str">
        <f>IFERROR(__xludf.DUMMYFUNCTION("""COMPUTED_VALUE"""),"#VALUE!")</f>
        <v>#VALUE!</v>
      </c>
      <c r="J141" s="51" t="str">
        <f>IFERROR(__xludf.DUMMYFUNCTION("""COMPUTED_VALUE"""),"")</f>
        <v/>
      </c>
      <c r="K141" s="51"/>
      <c r="L141" s="51" t="s">
        <v>257</v>
      </c>
      <c r="M141" s="51"/>
      <c r="N141" s="51"/>
      <c r="O141" s="51"/>
      <c r="P141" s="51"/>
      <c r="Q141" s="51"/>
      <c r="R141" s="51"/>
      <c r="S141" s="51"/>
      <c r="T141" s="51"/>
    </row>
    <row r="142">
      <c r="A142" s="51"/>
      <c r="B142" s="51"/>
      <c r="C142" s="56"/>
      <c r="D142" s="51"/>
      <c r="E142" s="51"/>
      <c r="F142" s="51"/>
      <c r="G142" s="51" t="str">
        <f>IFERROR(__xludf.DUMMYFUNCTION("""COMPUTED_VALUE"""),"#VALUE!")</f>
        <v>#VALUE!</v>
      </c>
      <c r="H142" s="51" t="str">
        <f>IFERROR(__xludf.DUMMYFUNCTION("""COMPUTED_VALUE"""),"")</f>
        <v/>
      </c>
      <c r="I142" s="51" t="str">
        <f>IFERROR(__xludf.DUMMYFUNCTION("""COMPUTED_VALUE"""),"#VALUE!")</f>
        <v>#VALUE!</v>
      </c>
      <c r="J142" s="51" t="str">
        <f>IFERROR(__xludf.DUMMYFUNCTION("""COMPUTED_VALUE"""),"")</f>
        <v/>
      </c>
      <c r="K142" s="51"/>
      <c r="L142" s="51" t="s">
        <v>257</v>
      </c>
      <c r="M142" s="51"/>
      <c r="N142" s="51"/>
      <c r="O142" s="51"/>
      <c r="P142" s="51"/>
      <c r="Q142" s="51"/>
      <c r="R142" s="51"/>
      <c r="S142" s="51"/>
      <c r="T142" s="51"/>
    </row>
    <row r="143">
      <c r="A143" s="51"/>
      <c r="B143" s="51"/>
      <c r="C143" s="56"/>
      <c r="D143" s="51"/>
      <c r="E143" s="51"/>
      <c r="F143" s="51"/>
      <c r="G143" s="51" t="str">
        <f>IFERROR(__xludf.DUMMYFUNCTION("""COMPUTED_VALUE"""),"#VALUE!")</f>
        <v>#VALUE!</v>
      </c>
      <c r="H143" s="51" t="str">
        <f>IFERROR(__xludf.DUMMYFUNCTION("""COMPUTED_VALUE"""),"")</f>
        <v/>
      </c>
      <c r="I143" s="51" t="str">
        <f>IFERROR(__xludf.DUMMYFUNCTION("""COMPUTED_VALUE"""),"#VALUE!")</f>
        <v>#VALUE!</v>
      </c>
      <c r="J143" s="51" t="str">
        <f>IFERROR(__xludf.DUMMYFUNCTION("""COMPUTED_VALUE"""),"")</f>
        <v/>
      </c>
      <c r="K143" s="51"/>
      <c r="L143" s="51" t="s">
        <v>257</v>
      </c>
      <c r="M143" s="51"/>
      <c r="N143" s="51"/>
      <c r="O143" s="51"/>
      <c r="P143" s="51"/>
      <c r="Q143" s="51"/>
      <c r="R143" s="51"/>
      <c r="S143" s="51"/>
      <c r="T143" s="51"/>
    </row>
    <row r="144">
      <c r="A144" s="51"/>
      <c r="B144" s="51"/>
      <c r="C144" s="56"/>
      <c r="D144" s="51"/>
      <c r="E144" s="51"/>
      <c r="F144" s="51"/>
      <c r="G144" s="51" t="str">
        <f>IFERROR(__xludf.DUMMYFUNCTION("""COMPUTED_VALUE"""),"#VALUE!")</f>
        <v>#VALUE!</v>
      </c>
      <c r="H144" s="51" t="str">
        <f>IFERROR(__xludf.DUMMYFUNCTION("""COMPUTED_VALUE"""),"")</f>
        <v/>
      </c>
      <c r="I144" s="51" t="str">
        <f>IFERROR(__xludf.DUMMYFUNCTION("""COMPUTED_VALUE"""),"#VALUE!")</f>
        <v>#VALUE!</v>
      </c>
      <c r="J144" s="51" t="str">
        <f>IFERROR(__xludf.DUMMYFUNCTION("""COMPUTED_VALUE"""),"")</f>
        <v/>
      </c>
      <c r="K144" s="51"/>
      <c r="L144" s="51" t="s">
        <v>257</v>
      </c>
      <c r="M144" s="51"/>
      <c r="N144" s="51"/>
      <c r="O144" s="51"/>
      <c r="P144" s="51"/>
      <c r="Q144" s="51"/>
      <c r="R144" s="51"/>
      <c r="S144" s="51"/>
      <c r="T144" s="51"/>
    </row>
    <row r="145">
      <c r="A145" s="51"/>
      <c r="B145" s="51"/>
      <c r="C145" s="56"/>
      <c r="D145" s="51"/>
      <c r="E145" s="51"/>
      <c r="F145" s="51"/>
      <c r="G145" s="51" t="str">
        <f>IFERROR(__xludf.DUMMYFUNCTION("""COMPUTED_VALUE"""),"#VALUE!")</f>
        <v>#VALUE!</v>
      </c>
      <c r="H145" s="51" t="str">
        <f>IFERROR(__xludf.DUMMYFUNCTION("""COMPUTED_VALUE"""),"")</f>
        <v/>
      </c>
      <c r="I145" s="51" t="str">
        <f>IFERROR(__xludf.DUMMYFUNCTION("""COMPUTED_VALUE"""),"#VALUE!")</f>
        <v>#VALUE!</v>
      </c>
      <c r="J145" s="51" t="str">
        <f>IFERROR(__xludf.DUMMYFUNCTION("""COMPUTED_VALUE"""),"")</f>
        <v/>
      </c>
      <c r="K145" s="51"/>
      <c r="L145" s="51" t="s">
        <v>257</v>
      </c>
      <c r="M145" s="51"/>
      <c r="N145" s="51"/>
      <c r="O145" s="51"/>
      <c r="P145" s="51"/>
      <c r="Q145" s="51"/>
      <c r="R145" s="51"/>
      <c r="S145" s="51"/>
      <c r="T145" s="51"/>
    </row>
    <row r="146">
      <c r="A146" s="51"/>
      <c r="B146" s="51"/>
      <c r="C146" s="56"/>
      <c r="D146" s="51"/>
      <c r="E146" s="51"/>
      <c r="F146" s="51"/>
      <c r="G146" s="51" t="str">
        <f>IFERROR(__xludf.DUMMYFUNCTION("""COMPUTED_VALUE"""),"#VALUE!")</f>
        <v>#VALUE!</v>
      </c>
      <c r="H146" s="51" t="str">
        <f>IFERROR(__xludf.DUMMYFUNCTION("""COMPUTED_VALUE"""),"")</f>
        <v/>
      </c>
      <c r="I146" s="51" t="str">
        <f>IFERROR(__xludf.DUMMYFUNCTION("""COMPUTED_VALUE"""),"#VALUE!")</f>
        <v>#VALUE!</v>
      </c>
      <c r="J146" s="51" t="str">
        <f>IFERROR(__xludf.DUMMYFUNCTION("""COMPUTED_VALUE"""),"")</f>
        <v/>
      </c>
      <c r="K146" s="51"/>
      <c r="L146" s="51" t="s">
        <v>257</v>
      </c>
      <c r="M146" s="51"/>
      <c r="N146" s="51"/>
      <c r="O146" s="51"/>
      <c r="P146" s="51"/>
      <c r="Q146" s="51"/>
      <c r="R146" s="51"/>
      <c r="S146" s="51"/>
      <c r="T146" s="51"/>
    </row>
    <row r="147">
      <c r="A147" s="51"/>
      <c r="B147" s="51"/>
      <c r="C147" s="56"/>
      <c r="D147" s="51"/>
      <c r="E147" s="51"/>
      <c r="F147" s="51"/>
      <c r="G147" s="51" t="str">
        <f>IFERROR(__xludf.DUMMYFUNCTION("""COMPUTED_VALUE"""),"#VALUE!")</f>
        <v>#VALUE!</v>
      </c>
      <c r="H147" s="51" t="str">
        <f>IFERROR(__xludf.DUMMYFUNCTION("""COMPUTED_VALUE"""),"")</f>
        <v/>
      </c>
      <c r="I147" s="51" t="str">
        <f>IFERROR(__xludf.DUMMYFUNCTION("""COMPUTED_VALUE"""),"#VALUE!")</f>
        <v>#VALUE!</v>
      </c>
      <c r="J147" s="51" t="str">
        <f>IFERROR(__xludf.DUMMYFUNCTION("""COMPUTED_VALUE"""),"")</f>
        <v/>
      </c>
      <c r="K147" s="51"/>
      <c r="L147" s="51" t="s">
        <v>257</v>
      </c>
      <c r="M147" s="51"/>
      <c r="N147" s="51"/>
      <c r="O147" s="51"/>
      <c r="P147" s="51"/>
      <c r="Q147" s="51"/>
      <c r="R147" s="51"/>
      <c r="S147" s="51"/>
      <c r="T147" s="51"/>
    </row>
    <row r="148">
      <c r="A148" s="51"/>
      <c r="B148" s="51"/>
      <c r="C148" s="56"/>
      <c r="D148" s="51"/>
      <c r="E148" s="51"/>
      <c r="F148" s="51"/>
      <c r="G148" s="51" t="str">
        <f>IFERROR(__xludf.DUMMYFUNCTION("""COMPUTED_VALUE"""),"#VALUE!")</f>
        <v>#VALUE!</v>
      </c>
      <c r="H148" s="51" t="str">
        <f>IFERROR(__xludf.DUMMYFUNCTION("""COMPUTED_VALUE"""),"")</f>
        <v/>
      </c>
      <c r="I148" s="51" t="str">
        <f>IFERROR(__xludf.DUMMYFUNCTION("""COMPUTED_VALUE"""),"#VALUE!")</f>
        <v>#VALUE!</v>
      </c>
      <c r="J148" s="51" t="str">
        <f>IFERROR(__xludf.DUMMYFUNCTION("""COMPUTED_VALUE"""),"")</f>
        <v/>
      </c>
      <c r="K148" s="51"/>
      <c r="L148" s="51" t="s">
        <v>257</v>
      </c>
      <c r="M148" s="51"/>
      <c r="N148" s="51"/>
      <c r="O148" s="51"/>
      <c r="P148" s="51"/>
      <c r="Q148" s="51"/>
      <c r="R148" s="51"/>
      <c r="S148" s="51"/>
      <c r="T148" s="51"/>
    </row>
    <row r="149">
      <c r="A149" s="51"/>
      <c r="B149" s="51"/>
      <c r="C149" s="56"/>
      <c r="D149" s="51"/>
      <c r="E149" s="51"/>
      <c r="F149" s="51"/>
      <c r="G149" s="51" t="str">
        <f>IFERROR(__xludf.DUMMYFUNCTION("""COMPUTED_VALUE"""),"#VALUE!")</f>
        <v>#VALUE!</v>
      </c>
      <c r="H149" s="51" t="str">
        <f>IFERROR(__xludf.DUMMYFUNCTION("""COMPUTED_VALUE"""),"")</f>
        <v/>
      </c>
      <c r="I149" s="51" t="str">
        <f>IFERROR(__xludf.DUMMYFUNCTION("""COMPUTED_VALUE"""),"#VALUE!")</f>
        <v>#VALUE!</v>
      </c>
      <c r="J149" s="51" t="str">
        <f>IFERROR(__xludf.DUMMYFUNCTION("""COMPUTED_VALUE"""),"")</f>
        <v/>
      </c>
      <c r="K149" s="51"/>
      <c r="L149" s="51" t="s">
        <v>257</v>
      </c>
      <c r="M149" s="51"/>
      <c r="N149" s="51"/>
      <c r="O149" s="51"/>
      <c r="P149" s="51"/>
      <c r="Q149" s="51"/>
      <c r="R149" s="51"/>
      <c r="S149" s="51"/>
      <c r="T149" s="51"/>
    </row>
    <row r="150">
      <c r="A150" s="51"/>
      <c r="B150" s="51"/>
      <c r="C150" s="56"/>
      <c r="D150" s="51"/>
      <c r="E150" s="51"/>
      <c r="F150" s="51"/>
      <c r="G150" s="51" t="str">
        <f>IFERROR(__xludf.DUMMYFUNCTION("""COMPUTED_VALUE"""),"#VALUE!")</f>
        <v>#VALUE!</v>
      </c>
      <c r="H150" s="51" t="str">
        <f>IFERROR(__xludf.DUMMYFUNCTION("""COMPUTED_VALUE"""),"")</f>
        <v/>
      </c>
      <c r="I150" s="51" t="str">
        <f>IFERROR(__xludf.DUMMYFUNCTION("""COMPUTED_VALUE"""),"#VALUE!")</f>
        <v>#VALUE!</v>
      </c>
      <c r="J150" s="51" t="str">
        <f>IFERROR(__xludf.DUMMYFUNCTION("""COMPUTED_VALUE"""),"")</f>
        <v/>
      </c>
      <c r="K150" s="51"/>
      <c r="L150" s="51" t="s">
        <v>257</v>
      </c>
      <c r="M150" s="51"/>
      <c r="N150" s="51"/>
      <c r="O150" s="51"/>
      <c r="P150" s="51"/>
      <c r="Q150" s="51"/>
      <c r="R150" s="51"/>
      <c r="S150" s="51"/>
      <c r="T150" s="51"/>
    </row>
    <row r="151">
      <c r="A151" s="51"/>
      <c r="B151" s="51"/>
      <c r="C151" s="56"/>
      <c r="D151" s="51"/>
      <c r="E151" s="51"/>
      <c r="F151" s="51"/>
      <c r="G151" s="51" t="str">
        <f>IFERROR(__xludf.DUMMYFUNCTION("""COMPUTED_VALUE"""),"#VALUE!")</f>
        <v>#VALUE!</v>
      </c>
      <c r="H151" s="51" t="str">
        <f>IFERROR(__xludf.DUMMYFUNCTION("""COMPUTED_VALUE"""),"")</f>
        <v/>
      </c>
      <c r="I151" s="51" t="str">
        <f>IFERROR(__xludf.DUMMYFUNCTION("""COMPUTED_VALUE"""),"#VALUE!")</f>
        <v>#VALUE!</v>
      </c>
      <c r="J151" s="51" t="str">
        <f>IFERROR(__xludf.DUMMYFUNCTION("""COMPUTED_VALUE"""),"")</f>
        <v/>
      </c>
      <c r="K151" s="51"/>
      <c r="L151" s="51" t="s">
        <v>257</v>
      </c>
      <c r="M151" s="51"/>
      <c r="N151" s="51"/>
      <c r="O151" s="51"/>
      <c r="P151" s="51"/>
      <c r="Q151" s="51"/>
      <c r="R151" s="51"/>
      <c r="S151" s="51"/>
      <c r="T151" s="51"/>
    </row>
    <row r="152">
      <c r="A152" s="51"/>
      <c r="B152" s="51"/>
      <c r="C152" s="56"/>
      <c r="D152" s="51"/>
      <c r="E152" s="51"/>
      <c r="F152" s="51"/>
      <c r="G152" s="51" t="str">
        <f>IFERROR(__xludf.DUMMYFUNCTION("""COMPUTED_VALUE"""),"#VALUE!")</f>
        <v>#VALUE!</v>
      </c>
      <c r="H152" s="51" t="str">
        <f>IFERROR(__xludf.DUMMYFUNCTION("""COMPUTED_VALUE"""),"")</f>
        <v/>
      </c>
      <c r="I152" s="51" t="str">
        <f>IFERROR(__xludf.DUMMYFUNCTION("""COMPUTED_VALUE"""),"#VALUE!")</f>
        <v>#VALUE!</v>
      </c>
      <c r="J152" s="51" t="str">
        <f>IFERROR(__xludf.DUMMYFUNCTION("""COMPUTED_VALUE"""),"")</f>
        <v/>
      </c>
      <c r="K152" s="51"/>
      <c r="L152" s="51" t="s">
        <v>257</v>
      </c>
      <c r="M152" s="51"/>
      <c r="N152" s="51"/>
      <c r="O152" s="51"/>
      <c r="P152" s="51"/>
      <c r="Q152" s="51"/>
      <c r="R152" s="51"/>
      <c r="S152" s="51"/>
      <c r="T152" s="51"/>
    </row>
    <row r="153">
      <c r="A153" s="51"/>
      <c r="B153" s="51"/>
      <c r="C153" s="56"/>
      <c r="D153" s="51"/>
      <c r="E153" s="51"/>
      <c r="F153" s="51"/>
      <c r="G153" s="51" t="str">
        <f>IFERROR(__xludf.DUMMYFUNCTION("""COMPUTED_VALUE"""),"#VALUE!")</f>
        <v>#VALUE!</v>
      </c>
      <c r="H153" s="51" t="str">
        <f>IFERROR(__xludf.DUMMYFUNCTION("""COMPUTED_VALUE"""),"")</f>
        <v/>
      </c>
      <c r="I153" s="51" t="str">
        <f>IFERROR(__xludf.DUMMYFUNCTION("""COMPUTED_VALUE"""),"#VALUE!")</f>
        <v>#VALUE!</v>
      </c>
      <c r="J153" s="51" t="str">
        <f>IFERROR(__xludf.DUMMYFUNCTION("""COMPUTED_VALUE"""),"")</f>
        <v/>
      </c>
      <c r="K153" s="51"/>
      <c r="L153" s="51" t="s">
        <v>257</v>
      </c>
      <c r="M153" s="51"/>
      <c r="N153" s="51"/>
      <c r="O153" s="51"/>
      <c r="P153" s="51"/>
      <c r="Q153" s="51"/>
      <c r="R153" s="51"/>
      <c r="S153" s="51"/>
      <c r="T153" s="51"/>
    </row>
    <row r="154">
      <c r="A154" s="51"/>
      <c r="B154" s="51"/>
      <c r="C154" s="56"/>
      <c r="D154" s="51"/>
      <c r="E154" s="51"/>
      <c r="F154" s="51"/>
      <c r="G154" s="51" t="str">
        <f>IFERROR(__xludf.DUMMYFUNCTION("""COMPUTED_VALUE"""),"#VALUE!")</f>
        <v>#VALUE!</v>
      </c>
      <c r="H154" s="51" t="str">
        <f>IFERROR(__xludf.DUMMYFUNCTION("""COMPUTED_VALUE"""),"")</f>
        <v/>
      </c>
      <c r="I154" s="51" t="str">
        <f>IFERROR(__xludf.DUMMYFUNCTION("""COMPUTED_VALUE"""),"#VALUE!")</f>
        <v>#VALUE!</v>
      </c>
      <c r="J154" s="51" t="str">
        <f>IFERROR(__xludf.DUMMYFUNCTION("""COMPUTED_VALUE"""),"")</f>
        <v/>
      </c>
      <c r="K154" s="51"/>
      <c r="L154" s="51" t="s">
        <v>257</v>
      </c>
      <c r="M154" s="51"/>
      <c r="N154" s="51"/>
      <c r="O154" s="51"/>
      <c r="P154" s="51"/>
      <c r="Q154" s="51"/>
      <c r="R154" s="51"/>
      <c r="S154" s="51"/>
      <c r="T154" s="51"/>
    </row>
    <row r="155">
      <c r="A155" s="51"/>
      <c r="B155" s="51"/>
      <c r="C155" s="56"/>
      <c r="D155" s="51"/>
      <c r="E155" s="51"/>
      <c r="F155" s="51"/>
      <c r="G155" s="51" t="str">
        <f>IFERROR(__xludf.DUMMYFUNCTION("""COMPUTED_VALUE"""),"#VALUE!")</f>
        <v>#VALUE!</v>
      </c>
      <c r="H155" s="51" t="str">
        <f>IFERROR(__xludf.DUMMYFUNCTION("""COMPUTED_VALUE"""),"")</f>
        <v/>
      </c>
      <c r="I155" s="51" t="str">
        <f>IFERROR(__xludf.DUMMYFUNCTION("""COMPUTED_VALUE"""),"#VALUE!")</f>
        <v>#VALUE!</v>
      </c>
      <c r="J155" s="51" t="str">
        <f>IFERROR(__xludf.DUMMYFUNCTION("""COMPUTED_VALUE"""),"")</f>
        <v/>
      </c>
      <c r="K155" s="51"/>
      <c r="L155" s="51" t="s">
        <v>257</v>
      </c>
      <c r="M155" s="51"/>
      <c r="N155" s="51"/>
      <c r="O155" s="51"/>
      <c r="P155" s="51"/>
      <c r="Q155" s="51"/>
      <c r="R155" s="51"/>
      <c r="S155" s="51"/>
      <c r="T155" s="51"/>
    </row>
    <row r="156">
      <c r="A156" s="51"/>
      <c r="B156" s="51"/>
      <c r="C156" s="56"/>
      <c r="D156" s="51"/>
      <c r="E156" s="51"/>
      <c r="F156" s="51"/>
      <c r="G156" s="51" t="str">
        <f>IFERROR(__xludf.DUMMYFUNCTION("""COMPUTED_VALUE"""),"#VALUE!")</f>
        <v>#VALUE!</v>
      </c>
      <c r="H156" s="51" t="str">
        <f>IFERROR(__xludf.DUMMYFUNCTION("""COMPUTED_VALUE"""),"")</f>
        <v/>
      </c>
      <c r="I156" s="51" t="str">
        <f>IFERROR(__xludf.DUMMYFUNCTION("""COMPUTED_VALUE"""),"#VALUE!")</f>
        <v>#VALUE!</v>
      </c>
      <c r="J156" s="51" t="str">
        <f>IFERROR(__xludf.DUMMYFUNCTION("""COMPUTED_VALUE"""),"")</f>
        <v/>
      </c>
      <c r="K156" s="51"/>
      <c r="L156" s="51" t="s">
        <v>257</v>
      </c>
      <c r="M156" s="51"/>
      <c r="N156" s="51"/>
      <c r="O156" s="51"/>
      <c r="P156" s="51"/>
      <c r="Q156" s="51"/>
      <c r="R156" s="51"/>
      <c r="S156" s="51"/>
      <c r="T156" s="51"/>
    </row>
    <row r="157">
      <c r="A157" s="51"/>
      <c r="B157" s="51"/>
      <c r="C157" s="56"/>
      <c r="D157" s="51"/>
      <c r="E157" s="51"/>
      <c r="F157" s="51"/>
      <c r="G157" s="51" t="str">
        <f>IFERROR(__xludf.DUMMYFUNCTION("""COMPUTED_VALUE"""),"#VALUE!")</f>
        <v>#VALUE!</v>
      </c>
      <c r="H157" s="51" t="str">
        <f>IFERROR(__xludf.DUMMYFUNCTION("""COMPUTED_VALUE"""),"")</f>
        <v/>
      </c>
      <c r="I157" s="51" t="str">
        <f>IFERROR(__xludf.DUMMYFUNCTION("""COMPUTED_VALUE"""),"#VALUE!")</f>
        <v>#VALUE!</v>
      </c>
      <c r="J157" s="51" t="str">
        <f>IFERROR(__xludf.DUMMYFUNCTION("""COMPUTED_VALUE"""),"")</f>
        <v/>
      </c>
      <c r="K157" s="51"/>
      <c r="L157" s="51" t="s">
        <v>257</v>
      </c>
      <c r="M157" s="51"/>
      <c r="N157" s="51"/>
      <c r="O157" s="51"/>
      <c r="P157" s="51"/>
      <c r="Q157" s="51"/>
      <c r="R157" s="51"/>
      <c r="S157" s="51"/>
      <c r="T157" s="51"/>
    </row>
    <row r="158">
      <c r="A158" s="51"/>
      <c r="B158" s="51"/>
      <c r="C158" s="56"/>
      <c r="D158" s="51"/>
      <c r="E158" s="51"/>
      <c r="F158" s="51"/>
      <c r="G158" s="51" t="str">
        <f>IFERROR(__xludf.DUMMYFUNCTION("""COMPUTED_VALUE"""),"#VALUE!")</f>
        <v>#VALUE!</v>
      </c>
      <c r="H158" s="51" t="str">
        <f>IFERROR(__xludf.DUMMYFUNCTION("""COMPUTED_VALUE"""),"")</f>
        <v/>
      </c>
      <c r="I158" s="51" t="str">
        <f>IFERROR(__xludf.DUMMYFUNCTION("""COMPUTED_VALUE"""),"#VALUE!")</f>
        <v>#VALUE!</v>
      </c>
      <c r="J158" s="51" t="str">
        <f>IFERROR(__xludf.DUMMYFUNCTION("""COMPUTED_VALUE"""),"")</f>
        <v/>
      </c>
      <c r="K158" s="51"/>
      <c r="L158" s="51" t="s">
        <v>257</v>
      </c>
      <c r="M158" s="51"/>
      <c r="N158" s="51"/>
      <c r="O158" s="51"/>
      <c r="P158" s="51"/>
      <c r="Q158" s="51"/>
      <c r="R158" s="51"/>
      <c r="S158" s="51"/>
      <c r="T158" s="51"/>
    </row>
    <row r="159">
      <c r="A159" s="51"/>
      <c r="B159" s="51"/>
      <c r="C159" s="56"/>
      <c r="D159" s="51"/>
      <c r="E159" s="51"/>
      <c r="F159" s="51"/>
      <c r="G159" s="51" t="str">
        <f>IFERROR(__xludf.DUMMYFUNCTION("""COMPUTED_VALUE"""),"#VALUE!")</f>
        <v>#VALUE!</v>
      </c>
      <c r="H159" s="51" t="str">
        <f>IFERROR(__xludf.DUMMYFUNCTION("""COMPUTED_VALUE"""),"")</f>
        <v/>
      </c>
      <c r="I159" s="51" t="str">
        <f>IFERROR(__xludf.DUMMYFUNCTION("""COMPUTED_VALUE"""),"#VALUE!")</f>
        <v>#VALUE!</v>
      </c>
      <c r="J159" s="51" t="str">
        <f>IFERROR(__xludf.DUMMYFUNCTION("""COMPUTED_VALUE"""),"")</f>
        <v/>
      </c>
      <c r="K159" s="51"/>
      <c r="L159" s="51" t="s">
        <v>257</v>
      </c>
      <c r="M159" s="51"/>
      <c r="N159" s="51"/>
      <c r="O159" s="51"/>
      <c r="P159" s="51"/>
      <c r="Q159" s="51"/>
      <c r="R159" s="51"/>
      <c r="S159" s="51"/>
      <c r="T159" s="51"/>
    </row>
    <row r="160">
      <c r="A160" s="51"/>
      <c r="B160" s="51"/>
      <c r="C160" s="56"/>
      <c r="D160" s="51"/>
      <c r="E160" s="51"/>
      <c r="F160" s="51"/>
      <c r="G160" s="51" t="str">
        <f>IFERROR(__xludf.DUMMYFUNCTION("""COMPUTED_VALUE"""),"#VALUE!")</f>
        <v>#VALUE!</v>
      </c>
      <c r="H160" s="51" t="str">
        <f>IFERROR(__xludf.DUMMYFUNCTION("""COMPUTED_VALUE"""),"")</f>
        <v/>
      </c>
      <c r="I160" s="51" t="str">
        <f>IFERROR(__xludf.DUMMYFUNCTION("""COMPUTED_VALUE"""),"#VALUE!")</f>
        <v>#VALUE!</v>
      </c>
      <c r="J160" s="51" t="str">
        <f>IFERROR(__xludf.DUMMYFUNCTION("""COMPUTED_VALUE"""),"")</f>
        <v/>
      </c>
      <c r="K160" s="51"/>
      <c r="L160" s="51" t="s">
        <v>257</v>
      </c>
      <c r="M160" s="51"/>
      <c r="N160" s="51"/>
      <c r="O160" s="51"/>
      <c r="P160" s="51"/>
      <c r="Q160" s="51"/>
      <c r="R160" s="51"/>
      <c r="S160" s="51"/>
      <c r="T160" s="51"/>
    </row>
    <row r="161">
      <c r="A161" s="51"/>
      <c r="B161" s="51"/>
      <c r="C161" s="56"/>
      <c r="D161" s="51"/>
      <c r="E161" s="51"/>
      <c r="F161" s="51"/>
      <c r="G161" s="51" t="str">
        <f>IFERROR(__xludf.DUMMYFUNCTION("""COMPUTED_VALUE"""),"#VALUE!")</f>
        <v>#VALUE!</v>
      </c>
      <c r="H161" s="51" t="str">
        <f>IFERROR(__xludf.DUMMYFUNCTION("""COMPUTED_VALUE"""),"")</f>
        <v/>
      </c>
      <c r="I161" s="51" t="str">
        <f>IFERROR(__xludf.DUMMYFUNCTION("""COMPUTED_VALUE"""),"#VALUE!")</f>
        <v>#VALUE!</v>
      </c>
      <c r="J161" s="51" t="str">
        <f>IFERROR(__xludf.DUMMYFUNCTION("""COMPUTED_VALUE"""),"")</f>
        <v/>
      </c>
      <c r="K161" s="51"/>
      <c r="L161" s="51" t="s">
        <v>257</v>
      </c>
      <c r="M161" s="51"/>
      <c r="N161" s="51"/>
      <c r="O161" s="51"/>
      <c r="P161" s="51"/>
      <c r="Q161" s="51"/>
      <c r="R161" s="51"/>
      <c r="S161" s="51"/>
      <c r="T161" s="51"/>
    </row>
    <row r="162">
      <c r="A162" s="51"/>
      <c r="B162" s="51"/>
      <c r="C162" s="56"/>
      <c r="D162" s="51"/>
      <c r="E162" s="51"/>
      <c r="F162" s="51"/>
      <c r="G162" s="51" t="str">
        <f>IFERROR(__xludf.DUMMYFUNCTION("""COMPUTED_VALUE"""),"#VALUE!")</f>
        <v>#VALUE!</v>
      </c>
      <c r="H162" s="51" t="str">
        <f>IFERROR(__xludf.DUMMYFUNCTION("""COMPUTED_VALUE"""),"")</f>
        <v/>
      </c>
      <c r="I162" s="51" t="str">
        <f>IFERROR(__xludf.DUMMYFUNCTION("""COMPUTED_VALUE"""),"#VALUE!")</f>
        <v>#VALUE!</v>
      </c>
      <c r="J162" s="51" t="str">
        <f>IFERROR(__xludf.DUMMYFUNCTION("""COMPUTED_VALUE"""),"")</f>
        <v/>
      </c>
      <c r="K162" s="51"/>
      <c r="L162" s="51" t="s">
        <v>257</v>
      </c>
      <c r="M162" s="51"/>
      <c r="N162" s="51"/>
      <c r="O162" s="51"/>
      <c r="P162" s="51"/>
      <c r="Q162" s="51"/>
      <c r="R162" s="51"/>
      <c r="S162" s="51"/>
      <c r="T162" s="51"/>
    </row>
    <row r="163">
      <c r="A163" s="51"/>
      <c r="B163" s="51"/>
      <c r="C163" s="56"/>
      <c r="D163" s="51"/>
      <c r="E163" s="51"/>
      <c r="F163" s="51"/>
      <c r="G163" s="51" t="str">
        <f>IFERROR(__xludf.DUMMYFUNCTION("""COMPUTED_VALUE"""),"#VALUE!")</f>
        <v>#VALUE!</v>
      </c>
      <c r="H163" s="51" t="str">
        <f>IFERROR(__xludf.DUMMYFUNCTION("""COMPUTED_VALUE"""),"")</f>
        <v/>
      </c>
      <c r="I163" s="51" t="str">
        <f>IFERROR(__xludf.DUMMYFUNCTION("""COMPUTED_VALUE"""),"#VALUE!")</f>
        <v>#VALUE!</v>
      </c>
      <c r="J163" s="51" t="str">
        <f>IFERROR(__xludf.DUMMYFUNCTION("""COMPUTED_VALUE"""),"")</f>
        <v/>
      </c>
      <c r="K163" s="51"/>
      <c r="L163" s="51" t="s">
        <v>257</v>
      </c>
      <c r="M163" s="51"/>
      <c r="N163" s="51"/>
      <c r="O163" s="51"/>
      <c r="P163" s="51"/>
      <c r="Q163" s="51"/>
      <c r="R163" s="51"/>
      <c r="S163" s="51"/>
      <c r="T163" s="51"/>
    </row>
    <row r="164">
      <c r="A164" s="51"/>
      <c r="B164" s="51"/>
      <c r="C164" s="56"/>
      <c r="D164" s="51"/>
      <c r="E164" s="51"/>
      <c r="F164" s="51"/>
      <c r="G164" s="51" t="str">
        <f>IFERROR(__xludf.DUMMYFUNCTION("""COMPUTED_VALUE"""),"#VALUE!")</f>
        <v>#VALUE!</v>
      </c>
      <c r="H164" s="51" t="str">
        <f>IFERROR(__xludf.DUMMYFUNCTION("""COMPUTED_VALUE"""),"")</f>
        <v/>
      </c>
      <c r="I164" s="51" t="str">
        <f>IFERROR(__xludf.DUMMYFUNCTION("""COMPUTED_VALUE"""),"#VALUE!")</f>
        <v>#VALUE!</v>
      </c>
      <c r="J164" s="51" t="str">
        <f>IFERROR(__xludf.DUMMYFUNCTION("""COMPUTED_VALUE"""),"")</f>
        <v/>
      </c>
      <c r="K164" s="51"/>
      <c r="L164" s="51" t="s">
        <v>257</v>
      </c>
      <c r="M164" s="51"/>
      <c r="N164" s="51"/>
      <c r="O164" s="51"/>
      <c r="P164" s="51"/>
      <c r="Q164" s="51"/>
      <c r="R164" s="51"/>
      <c r="S164" s="51"/>
      <c r="T164" s="51"/>
    </row>
    <row r="165">
      <c r="A165" s="51"/>
      <c r="B165" s="51"/>
      <c r="C165" s="56"/>
      <c r="D165" s="51"/>
      <c r="E165" s="51"/>
      <c r="F165" s="51"/>
      <c r="G165" s="51" t="str">
        <f>IFERROR(__xludf.DUMMYFUNCTION("""COMPUTED_VALUE"""),"#VALUE!")</f>
        <v>#VALUE!</v>
      </c>
      <c r="H165" s="51" t="str">
        <f>IFERROR(__xludf.DUMMYFUNCTION("""COMPUTED_VALUE"""),"")</f>
        <v/>
      </c>
      <c r="I165" s="51" t="str">
        <f>IFERROR(__xludf.DUMMYFUNCTION("""COMPUTED_VALUE"""),"#VALUE!")</f>
        <v>#VALUE!</v>
      </c>
      <c r="J165" s="51" t="str">
        <f>IFERROR(__xludf.DUMMYFUNCTION("""COMPUTED_VALUE"""),"")</f>
        <v/>
      </c>
      <c r="K165" s="51"/>
      <c r="L165" s="51" t="s">
        <v>257</v>
      </c>
      <c r="M165" s="51"/>
      <c r="N165" s="51"/>
      <c r="O165" s="51"/>
      <c r="P165" s="51"/>
      <c r="Q165" s="51"/>
      <c r="R165" s="51"/>
      <c r="S165" s="51"/>
      <c r="T165" s="51"/>
    </row>
    <row r="166">
      <c r="A166" s="51"/>
      <c r="B166" s="51"/>
      <c r="C166" s="56"/>
      <c r="D166" s="51"/>
      <c r="E166" s="51"/>
      <c r="F166" s="51"/>
      <c r="G166" s="51" t="str">
        <f>IFERROR(__xludf.DUMMYFUNCTION("""COMPUTED_VALUE"""),"#VALUE!")</f>
        <v>#VALUE!</v>
      </c>
      <c r="H166" s="51" t="str">
        <f>IFERROR(__xludf.DUMMYFUNCTION("""COMPUTED_VALUE"""),"")</f>
        <v/>
      </c>
      <c r="I166" s="51" t="str">
        <f>IFERROR(__xludf.DUMMYFUNCTION("""COMPUTED_VALUE"""),"#VALUE!")</f>
        <v>#VALUE!</v>
      </c>
      <c r="J166" s="51" t="str">
        <f>IFERROR(__xludf.DUMMYFUNCTION("""COMPUTED_VALUE"""),"")</f>
        <v/>
      </c>
      <c r="K166" s="51"/>
      <c r="L166" s="51" t="s">
        <v>257</v>
      </c>
      <c r="M166" s="51"/>
      <c r="N166" s="51"/>
      <c r="O166" s="51"/>
      <c r="P166" s="51"/>
      <c r="Q166" s="51"/>
      <c r="R166" s="51"/>
      <c r="S166" s="51"/>
      <c r="T166" s="51"/>
    </row>
    <row r="167">
      <c r="A167" s="51"/>
      <c r="B167" s="51"/>
      <c r="C167" s="56"/>
      <c r="D167" s="51"/>
      <c r="E167" s="51"/>
      <c r="F167" s="51"/>
      <c r="G167" s="51" t="str">
        <f>IFERROR(__xludf.DUMMYFUNCTION("""COMPUTED_VALUE"""),"#VALUE!")</f>
        <v>#VALUE!</v>
      </c>
      <c r="H167" s="51" t="str">
        <f>IFERROR(__xludf.DUMMYFUNCTION("""COMPUTED_VALUE"""),"")</f>
        <v/>
      </c>
      <c r="I167" s="51" t="str">
        <f>IFERROR(__xludf.DUMMYFUNCTION("""COMPUTED_VALUE"""),"#VALUE!")</f>
        <v>#VALUE!</v>
      </c>
      <c r="J167" s="51" t="str">
        <f>IFERROR(__xludf.DUMMYFUNCTION("""COMPUTED_VALUE"""),"")</f>
        <v/>
      </c>
      <c r="K167" s="51"/>
      <c r="L167" s="51" t="s">
        <v>257</v>
      </c>
      <c r="M167" s="51"/>
      <c r="N167" s="51"/>
      <c r="O167" s="51"/>
      <c r="P167" s="51"/>
      <c r="Q167" s="51"/>
      <c r="R167" s="51"/>
      <c r="S167" s="51"/>
      <c r="T167" s="51"/>
    </row>
    <row r="168">
      <c r="A168" s="51"/>
      <c r="B168" s="51"/>
      <c r="C168" s="56"/>
      <c r="D168" s="51"/>
      <c r="E168" s="51"/>
      <c r="F168" s="51"/>
      <c r="G168" s="51" t="str">
        <f>IFERROR(__xludf.DUMMYFUNCTION("""COMPUTED_VALUE"""),"#VALUE!")</f>
        <v>#VALUE!</v>
      </c>
      <c r="H168" s="51" t="str">
        <f>IFERROR(__xludf.DUMMYFUNCTION("""COMPUTED_VALUE"""),"")</f>
        <v/>
      </c>
      <c r="I168" s="51" t="str">
        <f>IFERROR(__xludf.DUMMYFUNCTION("""COMPUTED_VALUE"""),"#VALUE!")</f>
        <v>#VALUE!</v>
      </c>
      <c r="J168" s="51" t="str">
        <f>IFERROR(__xludf.DUMMYFUNCTION("""COMPUTED_VALUE"""),"")</f>
        <v/>
      </c>
      <c r="K168" s="51"/>
      <c r="L168" s="51" t="s">
        <v>257</v>
      </c>
      <c r="M168" s="51"/>
      <c r="N168" s="51"/>
      <c r="O168" s="51"/>
      <c r="P168" s="51"/>
      <c r="Q168" s="51"/>
      <c r="R168" s="51"/>
      <c r="S168" s="51"/>
      <c r="T168" s="51"/>
    </row>
    <row r="169">
      <c r="A169" s="51"/>
      <c r="B169" s="51"/>
      <c r="C169" s="56"/>
      <c r="D169" s="51"/>
      <c r="E169" s="51"/>
      <c r="F169" s="51"/>
      <c r="G169" s="51" t="str">
        <f>IFERROR(__xludf.DUMMYFUNCTION("""COMPUTED_VALUE"""),"#VALUE!")</f>
        <v>#VALUE!</v>
      </c>
      <c r="H169" s="51" t="str">
        <f>IFERROR(__xludf.DUMMYFUNCTION("""COMPUTED_VALUE"""),"")</f>
        <v/>
      </c>
      <c r="I169" s="51" t="str">
        <f>IFERROR(__xludf.DUMMYFUNCTION("""COMPUTED_VALUE"""),"#VALUE!")</f>
        <v>#VALUE!</v>
      </c>
      <c r="J169" s="51" t="str">
        <f>IFERROR(__xludf.DUMMYFUNCTION("""COMPUTED_VALUE"""),"")</f>
        <v/>
      </c>
      <c r="K169" s="51"/>
      <c r="L169" s="51" t="s">
        <v>257</v>
      </c>
      <c r="M169" s="51"/>
      <c r="N169" s="51"/>
      <c r="O169" s="51"/>
      <c r="P169" s="51"/>
      <c r="Q169" s="51"/>
      <c r="R169" s="51"/>
      <c r="S169" s="51"/>
      <c r="T169" s="51"/>
    </row>
    <row r="170">
      <c r="A170" s="51"/>
      <c r="B170" s="51"/>
      <c r="C170" s="56"/>
      <c r="D170" s="51"/>
      <c r="E170" s="51"/>
      <c r="F170" s="51"/>
      <c r="G170" s="51" t="str">
        <f>IFERROR(__xludf.DUMMYFUNCTION("""COMPUTED_VALUE"""),"#VALUE!")</f>
        <v>#VALUE!</v>
      </c>
      <c r="H170" s="51" t="str">
        <f>IFERROR(__xludf.DUMMYFUNCTION("""COMPUTED_VALUE"""),"")</f>
        <v/>
      </c>
      <c r="I170" s="51" t="str">
        <f>IFERROR(__xludf.DUMMYFUNCTION("""COMPUTED_VALUE"""),"#VALUE!")</f>
        <v>#VALUE!</v>
      </c>
      <c r="J170" s="51" t="str">
        <f>IFERROR(__xludf.DUMMYFUNCTION("""COMPUTED_VALUE"""),"")</f>
        <v/>
      </c>
      <c r="K170" s="51"/>
      <c r="L170" s="51" t="s">
        <v>257</v>
      </c>
      <c r="M170" s="51"/>
      <c r="N170" s="51"/>
      <c r="O170" s="51"/>
      <c r="P170" s="51"/>
      <c r="Q170" s="51"/>
      <c r="R170" s="51"/>
      <c r="S170" s="51"/>
      <c r="T170" s="51"/>
    </row>
    <row r="171">
      <c r="A171" s="51"/>
      <c r="B171" s="51"/>
      <c r="C171" s="56"/>
      <c r="D171" s="51"/>
      <c r="E171" s="51"/>
      <c r="F171" s="51"/>
      <c r="G171" s="51" t="str">
        <f>IFERROR(__xludf.DUMMYFUNCTION("""COMPUTED_VALUE"""),"#VALUE!")</f>
        <v>#VALUE!</v>
      </c>
      <c r="H171" s="51" t="str">
        <f>IFERROR(__xludf.DUMMYFUNCTION("""COMPUTED_VALUE"""),"")</f>
        <v/>
      </c>
      <c r="I171" s="51" t="str">
        <f>IFERROR(__xludf.DUMMYFUNCTION("""COMPUTED_VALUE"""),"#VALUE!")</f>
        <v>#VALUE!</v>
      </c>
      <c r="J171" s="51" t="str">
        <f>IFERROR(__xludf.DUMMYFUNCTION("""COMPUTED_VALUE"""),"")</f>
        <v/>
      </c>
      <c r="K171" s="51"/>
      <c r="L171" s="51" t="s">
        <v>257</v>
      </c>
      <c r="M171" s="51"/>
      <c r="N171" s="51"/>
      <c r="O171" s="51"/>
      <c r="P171" s="51"/>
      <c r="Q171" s="51"/>
      <c r="R171" s="51"/>
      <c r="S171" s="51"/>
      <c r="T171" s="51"/>
    </row>
    <row r="172">
      <c r="A172" s="51"/>
      <c r="B172" s="51"/>
      <c r="C172" s="56"/>
      <c r="D172" s="51"/>
      <c r="E172" s="51"/>
      <c r="F172" s="51"/>
      <c r="G172" s="51" t="str">
        <f>IFERROR(__xludf.DUMMYFUNCTION("""COMPUTED_VALUE"""),"#VALUE!")</f>
        <v>#VALUE!</v>
      </c>
      <c r="H172" s="51" t="str">
        <f>IFERROR(__xludf.DUMMYFUNCTION("""COMPUTED_VALUE"""),"")</f>
        <v/>
      </c>
      <c r="I172" s="51" t="str">
        <f>IFERROR(__xludf.DUMMYFUNCTION("""COMPUTED_VALUE"""),"#VALUE!")</f>
        <v>#VALUE!</v>
      </c>
      <c r="J172" s="51" t="str">
        <f>IFERROR(__xludf.DUMMYFUNCTION("""COMPUTED_VALUE"""),"")</f>
        <v/>
      </c>
      <c r="K172" s="51"/>
      <c r="L172" s="51" t="s">
        <v>257</v>
      </c>
      <c r="M172" s="51"/>
      <c r="N172" s="51"/>
      <c r="O172" s="51"/>
      <c r="P172" s="51"/>
      <c r="Q172" s="51"/>
      <c r="R172" s="51"/>
      <c r="S172" s="51"/>
      <c r="T172" s="51"/>
    </row>
    <row r="173">
      <c r="A173" s="51"/>
      <c r="B173" s="51"/>
      <c r="C173" s="56"/>
      <c r="D173" s="51"/>
      <c r="E173" s="51"/>
      <c r="F173" s="51"/>
      <c r="G173" s="51" t="str">
        <f>IFERROR(__xludf.DUMMYFUNCTION("""COMPUTED_VALUE"""),"#VALUE!")</f>
        <v>#VALUE!</v>
      </c>
      <c r="H173" s="51" t="str">
        <f>IFERROR(__xludf.DUMMYFUNCTION("""COMPUTED_VALUE"""),"")</f>
        <v/>
      </c>
      <c r="I173" s="51" t="str">
        <f>IFERROR(__xludf.DUMMYFUNCTION("""COMPUTED_VALUE"""),"#VALUE!")</f>
        <v>#VALUE!</v>
      </c>
      <c r="J173" s="51" t="str">
        <f>IFERROR(__xludf.DUMMYFUNCTION("""COMPUTED_VALUE"""),"")</f>
        <v/>
      </c>
      <c r="K173" s="51"/>
      <c r="L173" s="51" t="s">
        <v>257</v>
      </c>
      <c r="M173" s="51"/>
      <c r="N173" s="51"/>
      <c r="O173" s="51"/>
      <c r="P173" s="51"/>
      <c r="Q173" s="51"/>
      <c r="R173" s="51"/>
      <c r="S173" s="51"/>
      <c r="T173" s="51"/>
    </row>
    <row r="174">
      <c r="A174" s="51"/>
      <c r="B174" s="51"/>
      <c r="C174" s="56"/>
      <c r="D174" s="51"/>
      <c r="E174" s="51"/>
      <c r="F174" s="51"/>
      <c r="G174" s="51" t="str">
        <f>IFERROR(__xludf.DUMMYFUNCTION("""COMPUTED_VALUE"""),"#VALUE!")</f>
        <v>#VALUE!</v>
      </c>
      <c r="H174" s="51" t="str">
        <f>IFERROR(__xludf.DUMMYFUNCTION("""COMPUTED_VALUE"""),"")</f>
        <v/>
      </c>
      <c r="I174" s="51" t="str">
        <f>IFERROR(__xludf.DUMMYFUNCTION("""COMPUTED_VALUE"""),"#VALUE!")</f>
        <v>#VALUE!</v>
      </c>
      <c r="J174" s="51" t="str">
        <f>IFERROR(__xludf.DUMMYFUNCTION("""COMPUTED_VALUE"""),"")</f>
        <v/>
      </c>
      <c r="K174" s="51"/>
      <c r="L174" s="51" t="s">
        <v>257</v>
      </c>
      <c r="M174" s="51"/>
      <c r="N174" s="51"/>
      <c r="O174" s="51"/>
      <c r="P174" s="51"/>
      <c r="Q174" s="51"/>
      <c r="R174" s="51"/>
      <c r="S174" s="51"/>
      <c r="T174" s="51"/>
    </row>
    <row r="175">
      <c r="A175" s="51"/>
      <c r="B175" s="51"/>
      <c r="C175" s="56"/>
      <c r="D175" s="51"/>
      <c r="E175" s="51"/>
      <c r="F175" s="51"/>
      <c r="G175" s="51" t="str">
        <f>IFERROR(__xludf.DUMMYFUNCTION("""COMPUTED_VALUE"""),"#VALUE!")</f>
        <v>#VALUE!</v>
      </c>
      <c r="H175" s="51" t="str">
        <f>IFERROR(__xludf.DUMMYFUNCTION("""COMPUTED_VALUE"""),"")</f>
        <v/>
      </c>
      <c r="I175" s="51" t="str">
        <f>IFERROR(__xludf.DUMMYFUNCTION("""COMPUTED_VALUE"""),"#VALUE!")</f>
        <v>#VALUE!</v>
      </c>
      <c r="J175" s="51" t="str">
        <f>IFERROR(__xludf.DUMMYFUNCTION("""COMPUTED_VALUE"""),"")</f>
        <v/>
      </c>
      <c r="K175" s="51"/>
      <c r="L175" s="51" t="s">
        <v>257</v>
      </c>
      <c r="M175" s="51"/>
      <c r="N175" s="51"/>
      <c r="O175" s="51"/>
      <c r="P175" s="51"/>
      <c r="Q175" s="51"/>
      <c r="R175" s="51"/>
      <c r="S175" s="51"/>
      <c r="T175" s="51"/>
    </row>
    <row r="176">
      <c r="A176" s="51"/>
      <c r="B176" s="51"/>
      <c r="C176" s="56"/>
      <c r="D176" s="51"/>
      <c r="E176" s="51"/>
      <c r="F176" s="51"/>
      <c r="G176" s="51" t="str">
        <f>IFERROR(__xludf.DUMMYFUNCTION("""COMPUTED_VALUE"""),"#VALUE!")</f>
        <v>#VALUE!</v>
      </c>
      <c r="H176" s="51" t="str">
        <f>IFERROR(__xludf.DUMMYFUNCTION("""COMPUTED_VALUE"""),"")</f>
        <v/>
      </c>
      <c r="I176" s="51" t="str">
        <f>IFERROR(__xludf.DUMMYFUNCTION("""COMPUTED_VALUE"""),"#VALUE!")</f>
        <v>#VALUE!</v>
      </c>
      <c r="J176" s="51" t="str">
        <f>IFERROR(__xludf.DUMMYFUNCTION("""COMPUTED_VALUE"""),"")</f>
        <v/>
      </c>
      <c r="K176" s="51"/>
      <c r="L176" s="51" t="s">
        <v>257</v>
      </c>
      <c r="M176" s="51"/>
      <c r="N176" s="51"/>
      <c r="O176" s="51"/>
      <c r="P176" s="51"/>
      <c r="Q176" s="51"/>
      <c r="R176" s="51"/>
      <c r="S176" s="51"/>
      <c r="T176" s="51"/>
    </row>
    <row r="177">
      <c r="A177" s="51"/>
      <c r="B177" s="51"/>
      <c r="C177" s="56"/>
      <c r="D177" s="51"/>
      <c r="E177" s="51"/>
      <c r="F177" s="51"/>
      <c r="G177" s="51" t="str">
        <f>IFERROR(__xludf.DUMMYFUNCTION("""COMPUTED_VALUE"""),"#VALUE!")</f>
        <v>#VALUE!</v>
      </c>
      <c r="H177" s="51" t="str">
        <f>IFERROR(__xludf.DUMMYFUNCTION("""COMPUTED_VALUE"""),"")</f>
        <v/>
      </c>
      <c r="I177" s="51" t="str">
        <f>IFERROR(__xludf.DUMMYFUNCTION("""COMPUTED_VALUE"""),"#VALUE!")</f>
        <v>#VALUE!</v>
      </c>
      <c r="J177" s="51" t="str">
        <f>IFERROR(__xludf.DUMMYFUNCTION("""COMPUTED_VALUE"""),"")</f>
        <v/>
      </c>
      <c r="K177" s="51"/>
      <c r="L177" s="51" t="s">
        <v>257</v>
      </c>
      <c r="M177" s="51"/>
      <c r="N177" s="51"/>
      <c r="O177" s="51"/>
      <c r="P177" s="51"/>
      <c r="Q177" s="51"/>
      <c r="R177" s="51"/>
      <c r="S177" s="51"/>
      <c r="T177" s="51"/>
    </row>
    <row r="178">
      <c r="A178" s="51"/>
      <c r="B178" s="51"/>
      <c r="C178" s="56"/>
      <c r="D178" s="51"/>
      <c r="E178" s="51"/>
      <c r="F178" s="51"/>
      <c r="G178" s="51" t="str">
        <f>IFERROR(__xludf.DUMMYFUNCTION("""COMPUTED_VALUE"""),"#VALUE!")</f>
        <v>#VALUE!</v>
      </c>
      <c r="H178" s="51" t="str">
        <f>IFERROR(__xludf.DUMMYFUNCTION("""COMPUTED_VALUE"""),"")</f>
        <v/>
      </c>
      <c r="I178" s="51" t="str">
        <f>IFERROR(__xludf.DUMMYFUNCTION("""COMPUTED_VALUE"""),"#VALUE!")</f>
        <v>#VALUE!</v>
      </c>
      <c r="J178" s="51" t="str">
        <f>IFERROR(__xludf.DUMMYFUNCTION("""COMPUTED_VALUE"""),"")</f>
        <v/>
      </c>
      <c r="K178" s="51"/>
      <c r="L178" s="51" t="s">
        <v>257</v>
      </c>
      <c r="M178" s="51"/>
      <c r="N178" s="51"/>
      <c r="O178" s="51"/>
      <c r="P178" s="51"/>
      <c r="Q178" s="51"/>
      <c r="R178" s="51"/>
      <c r="S178" s="51"/>
      <c r="T178" s="51"/>
    </row>
    <row r="179">
      <c r="A179" s="51"/>
      <c r="B179" s="51"/>
      <c r="C179" s="56"/>
      <c r="D179" s="51"/>
      <c r="E179" s="51"/>
      <c r="F179" s="51"/>
      <c r="G179" s="51" t="str">
        <f>IFERROR(__xludf.DUMMYFUNCTION("""COMPUTED_VALUE"""),"#VALUE!")</f>
        <v>#VALUE!</v>
      </c>
      <c r="H179" s="51" t="str">
        <f>IFERROR(__xludf.DUMMYFUNCTION("""COMPUTED_VALUE"""),"")</f>
        <v/>
      </c>
      <c r="I179" s="51" t="str">
        <f>IFERROR(__xludf.DUMMYFUNCTION("""COMPUTED_VALUE"""),"#VALUE!")</f>
        <v>#VALUE!</v>
      </c>
      <c r="J179" s="51" t="str">
        <f>IFERROR(__xludf.DUMMYFUNCTION("""COMPUTED_VALUE"""),"")</f>
        <v/>
      </c>
      <c r="K179" s="51"/>
      <c r="L179" s="51" t="s">
        <v>257</v>
      </c>
      <c r="M179" s="51"/>
      <c r="N179" s="51"/>
      <c r="O179" s="51"/>
      <c r="P179" s="51"/>
      <c r="Q179" s="51"/>
      <c r="R179" s="51"/>
      <c r="S179" s="51"/>
      <c r="T179" s="51"/>
    </row>
    <row r="180">
      <c r="A180" s="51"/>
      <c r="B180" s="51"/>
      <c r="C180" s="56"/>
      <c r="D180" s="51"/>
      <c r="E180" s="51"/>
      <c r="F180" s="51"/>
      <c r="G180" s="51" t="str">
        <f>IFERROR(__xludf.DUMMYFUNCTION("""COMPUTED_VALUE"""),"#VALUE!")</f>
        <v>#VALUE!</v>
      </c>
      <c r="H180" s="51" t="str">
        <f>IFERROR(__xludf.DUMMYFUNCTION("""COMPUTED_VALUE"""),"")</f>
        <v/>
      </c>
      <c r="I180" s="51" t="str">
        <f>IFERROR(__xludf.DUMMYFUNCTION("""COMPUTED_VALUE"""),"#VALUE!")</f>
        <v>#VALUE!</v>
      </c>
      <c r="J180" s="51" t="str">
        <f>IFERROR(__xludf.DUMMYFUNCTION("""COMPUTED_VALUE"""),"")</f>
        <v/>
      </c>
      <c r="K180" s="51"/>
      <c r="L180" s="51" t="s">
        <v>257</v>
      </c>
      <c r="M180" s="51"/>
      <c r="N180" s="51"/>
      <c r="O180" s="51"/>
      <c r="P180" s="51"/>
      <c r="Q180" s="51"/>
      <c r="R180" s="51"/>
      <c r="S180" s="51"/>
      <c r="T180" s="51"/>
    </row>
    <row r="181">
      <c r="A181" s="51"/>
      <c r="B181" s="51"/>
      <c r="C181" s="56"/>
      <c r="D181" s="51"/>
      <c r="E181" s="51"/>
      <c r="F181" s="51"/>
      <c r="G181" s="51" t="str">
        <f>IFERROR(__xludf.DUMMYFUNCTION("""COMPUTED_VALUE"""),"#VALUE!")</f>
        <v>#VALUE!</v>
      </c>
      <c r="H181" s="51" t="str">
        <f>IFERROR(__xludf.DUMMYFUNCTION("""COMPUTED_VALUE"""),"")</f>
        <v/>
      </c>
      <c r="I181" s="51" t="str">
        <f>IFERROR(__xludf.DUMMYFUNCTION("""COMPUTED_VALUE"""),"#VALUE!")</f>
        <v>#VALUE!</v>
      </c>
      <c r="J181" s="51" t="str">
        <f>IFERROR(__xludf.DUMMYFUNCTION("""COMPUTED_VALUE"""),"")</f>
        <v/>
      </c>
      <c r="K181" s="51"/>
      <c r="L181" s="51" t="s">
        <v>257</v>
      </c>
      <c r="M181" s="51"/>
      <c r="N181" s="51"/>
      <c r="O181" s="51"/>
      <c r="P181" s="51"/>
      <c r="Q181" s="51"/>
      <c r="R181" s="51"/>
      <c r="S181" s="51"/>
      <c r="T181" s="51"/>
    </row>
    <row r="182">
      <c r="A182" s="51"/>
      <c r="B182" s="51"/>
      <c r="C182" s="56"/>
      <c r="D182" s="51"/>
      <c r="E182" s="51"/>
      <c r="F182" s="51"/>
      <c r="G182" s="51" t="str">
        <f>IFERROR(__xludf.DUMMYFUNCTION("""COMPUTED_VALUE"""),"#VALUE!")</f>
        <v>#VALUE!</v>
      </c>
      <c r="H182" s="51" t="str">
        <f>IFERROR(__xludf.DUMMYFUNCTION("""COMPUTED_VALUE"""),"")</f>
        <v/>
      </c>
      <c r="I182" s="51" t="str">
        <f>IFERROR(__xludf.DUMMYFUNCTION("""COMPUTED_VALUE"""),"#VALUE!")</f>
        <v>#VALUE!</v>
      </c>
      <c r="J182" s="51" t="str">
        <f>IFERROR(__xludf.DUMMYFUNCTION("""COMPUTED_VALUE"""),"")</f>
        <v/>
      </c>
      <c r="K182" s="51"/>
      <c r="L182" s="51" t="s">
        <v>257</v>
      </c>
      <c r="M182" s="51"/>
      <c r="N182" s="51"/>
      <c r="O182" s="51"/>
      <c r="P182" s="51"/>
      <c r="Q182" s="51"/>
      <c r="R182" s="51"/>
      <c r="S182" s="51"/>
      <c r="T182" s="51"/>
    </row>
    <row r="183">
      <c r="A183" s="51"/>
      <c r="B183" s="51"/>
      <c r="C183" s="56"/>
      <c r="D183" s="51"/>
      <c r="E183" s="51"/>
      <c r="F183" s="51"/>
      <c r="G183" s="51" t="str">
        <f>IFERROR(__xludf.DUMMYFUNCTION("""COMPUTED_VALUE"""),"#VALUE!")</f>
        <v>#VALUE!</v>
      </c>
      <c r="H183" s="51" t="str">
        <f>IFERROR(__xludf.DUMMYFUNCTION("""COMPUTED_VALUE"""),"")</f>
        <v/>
      </c>
      <c r="I183" s="51" t="str">
        <f>IFERROR(__xludf.DUMMYFUNCTION("""COMPUTED_VALUE"""),"#VALUE!")</f>
        <v>#VALUE!</v>
      </c>
      <c r="J183" s="51" t="str">
        <f>IFERROR(__xludf.DUMMYFUNCTION("""COMPUTED_VALUE"""),"")</f>
        <v/>
      </c>
      <c r="K183" s="51"/>
      <c r="L183" s="51" t="s">
        <v>257</v>
      </c>
      <c r="M183" s="51"/>
      <c r="N183" s="51"/>
      <c r="O183" s="51"/>
      <c r="P183" s="51"/>
      <c r="Q183" s="51"/>
      <c r="R183" s="51"/>
      <c r="S183" s="51"/>
      <c r="T183" s="51"/>
    </row>
    <row r="184">
      <c r="A184" s="51"/>
      <c r="B184" s="51"/>
      <c r="C184" s="56"/>
      <c r="D184" s="51"/>
      <c r="E184" s="51"/>
      <c r="F184" s="51"/>
      <c r="G184" s="51" t="str">
        <f>IFERROR(__xludf.DUMMYFUNCTION("""COMPUTED_VALUE"""),"#VALUE!")</f>
        <v>#VALUE!</v>
      </c>
      <c r="H184" s="51" t="str">
        <f>IFERROR(__xludf.DUMMYFUNCTION("""COMPUTED_VALUE"""),"")</f>
        <v/>
      </c>
      <c r="I184" s="51" t="str">
        <f>IFERROR(__xludf.DUMMYFUNCTION("""COMPUTED_VALUE"""),"#VALUE!")</f>
        <v>#VALUE!</v>
      </c>
      <c r="J184" s="51" t="str">
        <f>IFERROR(__xludf.DUMMYFUNCTION("""COMPUTED_VALUE"""),"")</f>
        <v/>
      </c>
      <c r="K184" s="51"/>
      <c r="L184" s="51" t="s">
        <v>257</v>
      </c>
      <c r="M184" s="51"/>
      <c r="N184" s="51"/>
      <c r="O184" s="51"/>
      <c r="P184" s="51"/>
      <c r="Q184" s="51"/>
      <c r="R184" s="51"/>
      <c r="S184" s="51"/>
      <c r="T184" s="51"/>
    </row>
    <row r="185">
      <c r="A185" s="51"/>
      <c r="B185" s="51"/>
      <c r="C185" s="56"/>
      <c r="D185" s="51"/>
      <c r="E185" s="51"/>
      <c r="F185" s="51"/>
      <c r="G185" s="51" t="str">
        <f>IFERROR(__xludf.DUMMYFUNCTION("""COMPUTED_VALUE"""),"#VALUE!")</f>
        <v>#VALUE!</v>
      </c>
      <c r="H185" s="51" t="str">
        <f>IFERROR(__xludf.DUMMYFUNCTION("""COMPUTED_VALUE"""),"")</f>
        <v/>
      </c>
      <c r="I185" s="51" t="str">
        <f>IFERROR(__xludf.DUMMYFUNCTION("""COMPUTED_VALUE"""),"#VALUE!")</f>
        <v>#VALUE!</v>
      </c>
      <c r="J185" s="51" t="str">
        <f>IFERROR(__xludf.DUMMYFUNCTION("""COMPUTED_VALUE"""),"")</f>
        <v/>
      </c>
      <c r="K185" s="51"/>
      <c r="L185" s="51" t="s">
        <v>257</v>
      </c>
      <c r="M185" s="51"/>
      <c r="N185" s="51"/>
      <c r="O185" s="51"/>
      <c r="P185" s="51"/>
      <c r="Q185" s="51"/>
      <c r="R185" s="51"/>
      <c r="S185" s="51"/>
      <c r="T185" s="51"/>
    </row>
    <row r="186">
      <c r="A186" s="51"/>
      <c r="B186" s="51"/>
      <c r="C186" s="56"/>
      <c r="D186" s="51"/>
      <c r="E186" s="51"/>
      <c r="F186" s="51"/>
      <c r="G186" s="51" t="str">
        <f>IFERROR(__xludf.DUMMYFUNCTION("""COMPUTED_VALUE"""),"#VALUE!")</f>
        <v>#VALUE!</v>
      </c>
      <c r="H186" s="51" t="str">
        <f>IFERROR(__xludf.DUMMYFUNCTION("""COMPUTED_VALUE"""),"")</f>
        <v/>
      </c>
      <c r="I186" s="51" t="str">
        <f>IFERROR(__xludf.DUMMYFUNCTION("""COMPUTED_VALUE"""),"#VALUE!")</f>
        <v>#VALUE!</v>
      </c>
      <c r="J186" s="51" t="str">
        <f>IFERROR(__xludf.DUMMYFUNCTION("""COMPUTED_VALUE"""),"")</f>
        <v/>
      </c>
      <c r="K186" s="51"/>
      <c r="L186" s="51" t="s">
        <v>257</v>
      </c>
      <c r="M186" s="51"/>
      <c r="N186" s="51"/>
      <c r="O186" s="51"/>
      <c r="P186" s="51"/>
      <c r="Q186" s="51"/>
      <c r="R186" s="51"/>
      <c r="S186" s="51"/>
      <c r="T186" s="51"/>
    </row>
    <row r="187">
      <c r="A187" s="51"/>
      <c r="B187" s="51"/>
      <c r="C187" s="56"/>
      <c r="D187" s="51"/>
      <c r="E187" s="51"/>
      <c r="F187" s="51"/>
      <c r="G187" s="51" t="str">
        <f>IFERROR(__xludf.DUMMYFUNCTION("""COMPUTED_VALUE"""),"#VALUE!")</f>
        <v>#VALUE!</v>
      </c>
      <c r="H187" s="51" t="str">
        <f>IFERROR(__xludf.DUMMYFUNCTION("""COMPUTED_VALUE"""),"")</f>
        <v/>
      </c>
      <c r="I187" s="51" t="str">
        <f>IFERROR(__xludf.DUMMYFUNCTION("""COMPUTED_VALUE"""),"#VALUE!")</f>
        <v>#VALUE!</v>
      </c>
      <c r="J187" s="51" t="str">
        <f>IFERROR(__xludf.DUMMYFUNCTION("""COMPUTED_VALUE"""),"")</f>
        <v/>
      </c>
      <c r="K187" s="51"/>
      <c r="L187" s="51" t="s">
        <v>257</v>
      </c>
      <c r="M187" s="51"/>
      <c r="N187" s="51"/>
      <c r="O187" s="51"/>
      <c r="P187" s="51"/>
      <c r="Q187" s="51"/>
      <c r="R187" s="51"/>
      <c r="S187" s="51"/>
      <c r="T187" s="51"/>
    </row>
    <row r="188">
      <c r="A188" s="51"/>
      <c r="B188" s="51"/>
      <c r="C188" s="56"/>
      <c r="D188" s="51"/>
      <c r="E188" s="51"/>
      <c r="F188" s="51"/>
      <c r="G188" s="51" t="str">
        <f>IFERROR(__xludf.DUMMYFUNCTION("""COMPUTED_VALUE"""),"#VALUE!")</f>
        <v>#VALUE!</v>
      </c>
      <c r="H188" s="51" t="str">
        <f>IFERROR(__xludf.DUMMYFUNCTION("""COMPUTED_VALUE"""),"")</f>
        <v/>
      </c>
      <c r="I188" s="51" t="str">
        <f>IFERROR(__xludf.DUMMYFUNCTION("""COMPUTED_VALUE"""),"#VALUE!")</f>
        <v>#VALUE!</v>
      </c>
      <c r="J188" s="51" t="str">
        <f>IFERROR(__xludf.DUMMYFUNCTION("""COMPUTED_VALUE"""),"")</f>
        <v/>
      </c>
      <c r="K188" s="51"/>
      <c r="L188" s="51" t="s">
        <v>257</v>
      </c>
      <c r="M188" s="51"/>
      <c r="N188" s="51"/>
      <c r="O188" s="51"/>
      <c r="P188" s="51"/>
      <c r="Q188" s="51"/>
      <c r="R188" s="51"/>
      <c r="S188" s="51"/>
      <c r="T188" s="51"/>
    </row>
    <row r="189">
      <c r="A189" s="51"/>
      <c r="B189" s="51"/>
      <c r="C189" s="56"/>
      <c r="D189" s="51"/>
      <c r="E189" s="51"/>
      <c r="F189" s="51"/>
      <c r="G189" s="51" t="str">
        <f>IFERROR(__xludf.DUMMYFUNCTION("""COMPUTED_VALUE"""),"#VALUE!")</f>
        <v>#VALUE!</v>
      </c>
      <c r="H189" s="51" t="str">
        <f>IFERROR(__xludf.DUMMYFUNCTION("""COMPUTED_VALUE"""),"")</f>
        <v/>
      </c>
      <c r="I189" s="51" t="str">
        <f>IFERROR(__xludf.DUMMYFUNCTION("""COMPUTED_VALUE"""),"#VALUE!")</f>
        <v>#VALUE!</v>
      </c>
      <c r="J189" s="51" t="str">
        <f>IFERROR(__xludf.DUMMYFUNCTION("""COMPUTED_VALUE"""),"")</f>
        <v/>
      </c>
      <c r="K189" s="51"/>
      <c r="L189" s="51" t="s">
        <v>257</v>
      </c>
      <c r="M189" s="51"/>
      <c r="N189" s="51"/>
      <c r="O189" s="51"/>
      <c r="P189" s="51"/>
      <c r="Q189" s="51"/>
      <c r="R189" s="51"/>
      <c r="S189" s="51"/>
      <c r="T189" s="51"/>
    </row>
    <row r="190">
      <c r="A190" s="51"/>
      <c r="B190" s="51"/>
      <c r="C190" s="56"/>
      <c r="D190" s="51"/>
      <c r="E190" s="51"/>
      <c r="F190" s="51"/>
      <c r="G190" s="51" t="str">
        <f>IFERROR(__xludf.DUMMYFUNCTION("""COMPUTED_VALUE"""),"#VALUE!")</f>
        <v>#VALUE!</v>
      </c>
      <c r="H190" s="51" t="str">
        <f>IFERROR(__xludf.DUMMYFUNCTION("""COMPUTED_VALUE"""),"")</f>
        <v/>
      </c>
      <c r="I190" s="51" t="str">
        <f>IFERROR(__xludf.DUMMYFUNCTION("""COMPUTED_VALUE"""),"#VALUE!")</f>
        <v>#VALUE!</v>
      </c>
      <c r="J190" s="51" t="str">
        <f>IFERROR(__xludf.DUMMYFUNCTION("""COMPUTED_VALUE"""),"")</f>
        <v/>
      </c>
      <c r="K190" s="51"/>
      <c r="L190" s="51" t="s">
        <v>257</v>
      </c>
      <c r="M190" s="51"/>
      <c r="N190" s="51"/>
      <c r="O190" s="51"/>
      <c r="P190" s="51"/>
      <c r="Q190" s="51"/>
      <c r="R190" s="51"/>
      <c r="S190" s="51"/>
      <c r="T190" s="51"/>
    </row>
    <row r="191">
      <c r="A191" s="51"/>
      <c r="B191" s="51"/>
      <c r="C191" s="56"/>
      <c r="D191" s="51"/>
      <c r="E191" s="51"/>
      <c r="F191" s="51"/>
      <c r="G191" s="51" t="str">
        <f>IFERROR(__xludf.DUMMYFUNCTION("""COMPUTED_VALUE"""),"#VALUE!")</f>
        <v>#VALUE!</v>
      </c>
      <c r="H191" s="51" t="str">
        <f>IFERROR(__xludf.DUMMYFUNCTION("""COMPUTED_VALUE"""),"")</f>
        <v/>
      </c>
      <c r="I191" s="51" t="str">
        <f>IFERROR(__xludf.DUMMYFUNCTION("""COMPUTED_VALUE"""),"#VALUE!")</f>
        <v>#VALUE!</v>
      </c>
      <c r="J191" s="51" t="str">
        <f>IFERROR(__xludf.DUMMYFUNCTION("""COMPUTED_VALUE"""),"")</f>
        <v/>
      </c>
      <c r="K191" s="51"/>
      <c r="L191" s="51" t="s">
        <v>257</v>
      </c>
      <c r="M191" s="51"/>
      <c r="N191" s="51"/>
      <c r="O191" s="51"/>
      <c r="P191" s="51"/>
      <c r="Q191" s="51"/>
      <c r="R191" s="51"/>
      <c r="S191" s="51"/>
      <c r="T191" s="51"/>
    </row>
    <row r="192">
      <c r="A192" s="51"/>
      <c r="B192" s="51"/>
      <c r="C192" s="56"/>
      <c r="D192" s="51"/>
      <c r="E192" s="51"/>
      <c r="F192" s="51"/>
      <c r="G192" s="51" t="str">
        <f>IFERROR(__xludf.DUMMYFUNCTION("""COMPUTED_VALUE"""),"#VALUE!")</f>
        <v>#VALUE!</v>
      </c>
      <c r="H192" s="51" t="str">
        <f>IFERROR(__xludf.DUMMYFUNCTION("""COMPUTED_VALUE"""),"")</f>
        <v/>
      </c>
      <c r="I192" s="51" t="str">
        <f>IFERROR(__xludf.DUMMYFUNCTION("""COMPUTED_VALUE"""),"#VALUE!")</f>
        <v>#VALUE!</v>
      </c>
      <c r="J192" s="51" t="str">
        <f>IFERROR(__xludf.DUMMYFUNCTION("""COMPUTED_VALUE"""),"")</f>
        <v/>
      </c>
      <c r="K192" s="51"/>
      <c r="L192" s="51" t="s">
        <v>257</v>
      </c>
      <c r="M192" s="51"/>
      <c r="N192" s="51"/>
      <c r="O192" s="51"/>
      <c r="P192" s="51"/>
      <c r="Q192" s="51"/>
      <c r="R192" s="51"/>
      <c r="S192" s="51"/>
      <c r="T192" s="51"/>
    </row>
    <row r="193">
      <c r="A193" s="51"/>
      <c r="B193" s="51"/>
      <c r="C193" s="56"/>
      <c r="D193" s="51"/>
      <c r="E193" s="51"/>
      <c r="F193" s="51"/>
      <c r="G193" s="51" t="str">
        <f>IFERROR(__xludf.DUMMYFUNCTION("""COMPUTED_VALUE"""),"#VALUE!")</f>
        <v>#VALUE!</v>
      </c>
      <c r="H193" s="51" t="str">
        <f>IFERROR(__xludf.DUMMYFUNCTION("""COMPUTED_VALUE"""),"")</f>
        <v/>
      </c>
      <c r="I193" s="51" t="str">
        <f>IFERROR(__xludf.DUMMYFUNCTION("""COMPUTED_VALUE"""),"#VALUE!")</f>
        <v>#VALUE!</v>
      </c>
      <c r="J193" s="51" t="str">
        <f>IFERROR(__xludf.DUMMYFUNCTION("""COMPUTED_VALUE"""),"")</f>
        <v/>
      </c>
      <c r="K193" s="51"/>
      <c r="L193" s="51" t="s">
        <v>257</v>
      </c>
      <c r="M193" s="51"/>
      <c r="N193" s="51"/>
      <c r="O193" s="51"/>
      <c r="P193" s="51"/>
      <c r="Q193" s="51"/>
      <c r="R193" s="51"/>
      <c r="S193" s="51"/>
      <c r="T193" s="51"/>
    </row>
    <row r="194">
      <c r="A194" s="51"/>
      <c r="B194" s="51"/>
      <c r="C194" s="56"/>
      <c r="D194" s="51"/>
      <c r="E194" s="51"/>
      <c r="F194" s="51"/>
      <c r="G194" s="51" t="str">
        <f>IFERROR(__xludf.DUMMYFUNCTION("""COMPUTED_VALUE"""),"#VALUE!")</f>
        <v>#VALUE!</v>
      </c>
      <c r="H194" s="51" t="str">
        <f>IFERROR(__xludf.DUMMYFUNCTION("""COMPUTED_VALUE"""),"")</f>
        <v/>
      </c>
      <c r="I194" s="51" t="str">
        <f>IFERROR(__xludf.DUMMYFUNCTION("""COMPUTED_VALUE"""),"#VALUE!")</f>
        <v>#VALUE!</v>
      </c>
      <c r="J194" s="51" t="str">
        <f>IFERROR(__xludf.DUMMYFUNCTION("""COMPUTED_VALUE"""),"")</f>
        <v/>
      </c>
      <c r="K194" s="51"/>
      <c r="L194" s="51" t="s">
        <v>257</v>
      </c>
      <c r="M194" s="51"/>
      <c r="N194" s="51"/>
      <c r="O194" s="51"/>
      <c r="P194" s="51"/>
      <c r="Q194" s="51"/>
      <c r="R194" s="51"/>
      <c r="S194" s="51"/>
      <c r="T194" s="51"/>
    </row>
    <row r="195">
      <c r="A195" s="51"/>
      <c r="B195" s="51"/>
      <c r="C195" s="56"/>
      <c r="D195" s="51"/>
      <c r="E195" s="51"/>
      <c r="F195" s="51"/>
      <c r="G195" s="51" t="str">
        <f>IFERROR(__xludf.DUMMYFUNCTION("""COMPUTED_VALUE"""),"#VALUE!")</f>
        <v>#VALUE!</v>
      </c>
      <c r="H195" s="51" t="str">
        <f>IFERROR(__xludf.DUMMYFUNCTION("""COMPUTED_VALUE"""),"")</f>
        <v/>
      </c>
      <c r="I195" s="51" t="str">
        <f>IFERROR(__xludf.DUMMYFUNCTION("""COMPUTED_VALUE"""),"#VALUE!")</f>
        <v>#VALUE!</v>
      </c>
      <c r="J195" s="51" t="str">
        <f>IFERROR(__xludf.DUMMYFUNCTION("""COMPUTED_VALUE"""),"")</f>
        <v/>
      </c>
      <c r="K195" s="51"/>
      <c r="L195" s="51" t="s">
        <v>257</v>
      </c>
      <c r="M195" s="51"/>
      <c r="N195" s="51"/>
      <c r="O195" s="51"/>
      <c r="P195" s="51"/>
      <c r="Q195" s="51"/>
      <c r="R195" s="51"/>
      <c r="S195" s="51"/>
      <c r="T195" s="51"/>
    </row>
    <row r="196">
      <c r="A196" s="51"/>
      <c r="B196" s="51"/>
      <c r="C196" s="56"/>
      <c r="D196" s="51"/>
      <c r="E196" s="51"/>
      <c r="F196" s="51"/>
      <c r="G196" s="51" t="str">
        <f>IFERROR(__xludf.DUMMYFUNCTION("""COMPUTED_VALUE"""),"#VALUE!")</f>
        <v>#VALUE!</v>
      </c>
      <c r="H196" s="51" t="str">
        <f>IFERROR(__xludf.DUMMYFUNCTION("""COMPUTED_VALUE"""),"")</f>
        <v/>
      </c>
      <c r="I196" s="51" t="str">
        <f>IFERROR(__xludf.DUMMYFUNCTION("""COMPUTED_VALUE"""),"#VALUE!")</f>
        <v>#VALUE!</v>
      </c>
      <c r="J196" s="51" t="str">
        <f>IFERROR(__xludf.DUMMYFUNCTION("""COMPUTED_VALUE"""),"")</f>
        <v/>
      </c>
      <c r="K196" s="51"/>
      <c r="L196" s="51" t="s">
        <v>257</v>
      </c>
      <c r="M196" s="51"/>
      <c r="N196" s="51"/>
      <c r="O196" s="51"/>
      <c r="P196" s="51"/>
      <c r="Q196" s="51"/>
      <c r="R196" s="51"/>
      <c r="S196" s="51"/>
      <c r="T196" s="51"/>
    </row>
    <row r="197">
      <c r="A197" s="51"/>
      <c r="B197" s="51"/>
      <c r="C197" s="56"/>
      <c r="D197" s="51"/>
      <c r="E197" s="51"/>
      <c r="F197" s="51"/>
      <c r="G197" s="51" t="str">
        <f>IFERROR(__xludf.DUMMYFUNCTION("""COMPUTED_VALUE"""),"#VALUE!")</f>
        <v>#VALUE!</v>
      </c>
      <c r="H197" s="51" t="str">
        <f>IFERROR(__xludf.DUMMYFUNCTION("""COMPUTED_VALUE"""),"")</f>
        <v/>
      </c>
      <c r="I197" s="51" t="str">
        <f>IFERROR(__xludf.DUMMYFUNCTION("""COMPUTED_VALUE"""),"#VALUE!")</f>
        <v>#VALUE!</v>
      </c>
      <c r="J197" s="51" t="str">
        <f>IFERROR(__xludf.DUMMYFUNCTION("""COMPUTED_VALUE"""),"")</f>
        <v/>
      </c>
      <c r="K197" s="51"/>
      <c r="L197" s="51" t="s">
        <v>257</v>
      </c>
      <c r="M197" s="51"/>
      <c r="N197" s="51"/>
      <c r="O197" s="51"/>
      <c r="P197" s="51"/>
      <c r="Q197" s="51"/>
      <c r="R197" s="51"/>
      <c r="S197" s="51"/>
      <c r="T197" s="51"/>
    </row>
    <row r="198">
      <c r="A198" s="51"/>
      <c r="B198" s="51"/>
      <c r="C198" s="56"/>
      <c r="D198" s="51"/>
      <c r="E198" s="51"/>
      <c r="F198" s="51"/>
      <c r="G198" s="51" t="str">
        <f>IFERROR(__xludf.DUMMYFUNCTION("""COMPUTED_VALUE"""),"#VALUE!")</f>
        <v>#VALUE!</v>
      </c>
      <c r="H198" s="51" t="str">
        <f>IFERROR(__xludf.DUMMYFUNCTION("""COMPUTED_VALUE"""),"")</f>
        <v/>
      </c>
      <c r="I198" s="51" t="str">
        <f>IFERROR(__xludf.DUMMYFUNCTION("""COMPUTED_VALUE"""),"#VALUE!")</f>
        <v>#VALUE!</v>
      </c>
      <c r="J198" s="51" t="str">
        <f>IFERROR(__xludf.DUMMYFUNCTION("""COMPUTED_VALUE"""),"")</f>
        <v/>
      </c>
      <c r="K198" s="51"/>
      <c r="L198" s="51" t="s">
        <v>257</v>
      </c>
      <c r="M198" s="51"/>
      <c r="N198" s="51"/>
      <c r="O198" s="51"/>
      <c r="P198" s="51"/>
      <c r="Q198" s="51"/>
      <c r="R198" s="51"/>
      <c r="S198" s="51"/>
      <c r="T198" s="51"/>
    </row>
    <row r="199">
      <c r="A199" s="51"/>
      <c r="B199" s="51"/>
      <c r="C199" s="56"/>
      <c r="D199" s="51"/>
      <c r="E199" s="51"/>
      <c r="F199" s="51"/>
      <c r="G199" s="51" t="str">
        <f>IFERROR(__xludf.DUMMYFUNCTION("""COMPUTED_VALUE"""),"#VALUE!")</f>
        <v>#VALUE!</v>
      </c>
      <c r="H199" s="51" t="str">
        <f>IFERROR(__xludf.DUMMYFUNCTION("""COMPUTED_VALUE"""),"")</f>
        <v/>
      </c>
      <c r="I199" s="51" t="str">
        <f>IFERROR(__xludf.DUMMYFUNCTION("""COMPUTED_VALUE"""),"#VALUE!")</f>
        <v>#VALUE!</v>
      </c>
      <c r="J199" s="51" t="str">
        <f>IFERROR(__xludf.DUMMYFUNCTION("""COMPUTED_VALUE"""),"")</f>
        <v/>
      </c>
      <c r="K199" s="51"/>
      <c r="L199" s="51" t="s">
        <v>257</v>
      </c>
      <c r="M199" s="51"/>
      <c r="N199" s="51"/>
      <c r="O199" s="51"/>
      <c r="P199" s="51"/>
      <c r="Q199" s="51"/>
      <c r="R199" s="51"/>
      <c r="S199" s="51"/>
      <c r="T199" s="51"/>
    </row>
    <row r="200">
      <c r="A200" s="51"/>
      <c r="B200" s="51"/>
      <c r="C200" s="56"/>
      <c r="D200" s="51"/>
      <c r="E200" s="51"/>
      <c r="F200" s="51"/>
      <c r="G200" s="51" t="str">
        <f>IFERROR(__xludf.DUMMYFUNCTION("""COMPUTED_VALUE"""),"#VALUE!")</f>
        <v>#VALUE!</v>
      </c>
      <c r="H200" s="51" t="str">
        <f>IFERROR(__xludf.DUMMYFUNCTION("""COMPUTED_VALUE"""),"")</f>
        <v/>
      </c>
      <c r="I200" s="51" t="str">
        <f>IFERROR(__xludf.DUMMYFUNCTION("""COMPUTED_VALUE"""),"#VALUE!")</f>
        <v>#VALUE!</v>
      </c>
      <c r="J200" s="51" t="str">
        <f>IFERROR(__xludf.DUMMYFUNCTION("""COMPUTED_VALUE"""),"")</f>
        <v/>
      </c>
      <c r="K200" s="51"/>
      <c r="L200" s="51" t="s">
        <v>257</v>
      </c>
      <c r="M200" s="51"/>
      <c r="N200" s="51"/>
      <c r="O200" s="51"/>
      <c r="P200" s="51"/>
      <c r="Q200" s="51"/>
      <c r="R200" s="51"/>
      <c r="S200" s="51"/>
      <c r="T200" s="51"/>
    </row>
    <row r="201">
      <c r="A201" s="51"/>
      <c r="B201" s="51"/>
      <c r="C201" s="56"/>
      <c r="D201" s="51"/>
      <c r="E201" s="51"/>
      <c r="F201" s="51"/>
      <c r="G201" s="51" t="str">
        <f>IFERROR(__xludf.DUMMYFUNCTION("""COMPUTED_VALUE"""),"#VALUE!")</f>
        <v>#VALUE!</v>
      </c>
      <c r="H201" s="51" t="str">
        <f>IFERROR(__xludf.DUMMYFUNCTION("""COMPUTED_VALUE"""),"")</f>
        <v/>
      </c>
      <c r="I201" s="51" t="str">
        <f>IFERROR(__xludf.DUMMYFUNCTION("""COMPUTED_VALUE"""),"#VALUE!")</f>
        <v>#VALUE!</v>
      </c>
      <c r="J201" s="51" t="str">
        <f>IFERROR(__xludf.DUMMYFUNCTION("""COMPUTED_VALUE"""),"")</f>
        <v/>
      </c>
      <c r="K201" s="51"/>
      <c r="L201" s="51" t="s">
        <v>257</v>
      </c>
      <c r="M201" s="51"/>
      <c r="N201" s="51"/>
      <c r="O201" s="51"/>
      <c r="P201" s="51"/>
      <c r="Q201" s="51"/>
      <c r="R201" s="51"/>
      <c r="S201" s="51"/>
      <c r="T201" s="51"/>
    </row>
    <row r="202">
      <c r="A202" s="51"/>
      <c r="B202" s="51"/>
      <c r="C202" s="56"/>
      <c r="D202" s="51"/>
      <c r="E202" s="51"/>
      <c r="F202" s="51"/>
      <c r="G202" s="51" t="str">
        <f>IFERROR(__xludf.DUMMYFUNCTION("""COMPUTED_VALUE"""),"#VALUE!")</f>
        <v>#VALUE!</v>
      </c>
      <c r="H202" s="51" t="str">
        <f>IFERROR(__xludf.DUMMYFUNCTION("""COMPUTED_VALUE"""),"")</f>
        <v/>
      </c>
      <c r="I202" s="51" t="str">
        <f>IFERROR(__xludf.DUMMYFUNCTION("""COMPUTED_VALUE"""),"#VALUE!")</f>
        <v>#VALUE!</v>
      </c>
      <c r="J202" s="51" t="str">
        <f>IFERROR(__xludf.DUMMYFUNCTION("""COMPUTED_VALUE"""),"")</f>
        <v/>
      </c>
      <c r="K202" s="51"/>
      <c r="L202" s="51" t="s">
        <v>257</v>
      </c>
      <c r="M202" s="51"/>
      <c r="N202" s="51"/>
      <c r="O202" s="51"/>
      <c r="P202" s="51"/>
      <c r="Q202" s="51"/>
      <c r="R202" s="51"/>
      <c r="S202" s="51"/>
      <c r="T202" s="51"/>
    </row>
    <row r="203">
      <c r="A203" s="51"/>
      <c r="B203" s="51"/>
      <c r="C203" s="56"/>
      <c r="D203" s="51"/>
      <c r="E203" s="51"/>
      <c r="F203" s="51"/>
      <c r="G203" s="51" t="str">
        <f>IFERROR(__xludf.DUMMYFUNCTION("""COMPUTED_VALUE"""),"#VALUE!")</f>
        <v>#VALUE!</v>
      </c>
      <c r="H203" s="51" t="str">
        <f>IFERROR(__xludf.DUMMYFUNCTION("""COMPUTED_VALUE"""),"")</f>
        <v/>
      </c>
      <c r="I203" s="51" t="str">
        <f>IFERROR(__xludf.DUMMYFUNCTION("""COMPUTED_VALUE"""),"#VALUE!")</f>
        <v>#VALUE!</v>
      </c>
      <c r="J203" s="51" t="str">
        <f>IFERROR(__xludf.DUMMYFUNCTION("""COMPUTED_VALUE"""),"")</f>
        <v/>
      </c>
      <c r="K203" s="51"/>
      <c r="L203" s="51" t="s">
        <v>257</v>
      </c>
      <c r="M203" s="51"/>
      <c r="N203" s="51"/>
      <c r="O203" s="51"/>
      <c r="P203" s="51"/>
      <c r="Q203" s="51"/>
      <c r="R203" s="51"/>
      <c r="S203" s="51"/>
      <c r="T203" s="51"/>
    </row>
    <row r="204">
      <c r="A204" s="51"/>
      <c r="B204" s="51"/>
      <c r="C204" s="56"/>
      <c r="D204" s="51"/>
      <c r="E204" s="51"/>
      <c r="F204" s="51"/>
      <c r="G204" s="51" t="str">
        <f>IFERROR(__xludf.DUMMYFUNCTION("""COMPUTED_VALUE"""),"#VALUE!")</f>
        <v>#VALUE!</v>
      </c>
      <c r="H204" s="51" t="str">
        <f>IFERROR(__xludf.DUMMYFUNCTION("""COMPUTED_VALUE"""),"")</f>
        <v/>
      </c>
      <c r="I204" s="51" t="str">
        <f>IFERROR(__xludf.DUMMYFUNCTION("""COMPUTED_VALUE"""),"#VALUE!")</f>
        <v>#VALUE!</v>
      </c>
      <c r="J204" s="51" t="str">
        <f>IFERROR(__xludf.DUMMYFUNCTION("""COMPUTED_VALUE"""),"")</f>
        <v/>
      </c>
      <c r="K204" s="51"/>
      <c r="L204" s="51" t="s">
        <v>257</v>
      </c>
      <c r="M204" s="51"/>
      <c r="N204" s="51"/>
      <c r="O204" s="51"/>
      <c r="P204" s="51"/>
      <c r="Q204" s="51"/>
      <c r="R204" s="51"/>
      <c r="S204" s="51"/>
      <c r="T204" s="51"/>
    </row>
    <row r="205">
      <c r="A205" s="51"/>
      <c r="B205" s="51"/>
      <c r="C205" s="56"/>
      <c r="D205" s="51"/>
      <c r="E205" s="51"/>
      <c r="F205" s="51"/>
      <c r="G205" s="51" t="str">
        <f>IFERROR(__xludf.DUMMYFUNCTION("""COMPUTED_VALUE"""),"#VALUE!")</f>
        <v>#VALUE!</v>
      </c>
      <c r="H205" s="51" t="str">
        <f>IFERROR(__xludf.DUMMYFUNCTION("""COMPUTED_VALUE"""),"")</f>
        <v/>
      </c>
      <c r="I205" s="51" t="str">
        <f>IFERROR(__xludf.DUMMYFUNCTION("""COMPUTED_VALUE"""),"#VALUE!")</f>
        <v>#VALUE!</v>
      </c>
      <c r="J205" s="51" t="str">
        <f>IFERROR(__xludf.DUMMYFUNCTION("""COMPUTED_VALUE"""),"")</f>
        <v/>
      </c>
      <c r="K205" s="51"/>
      <c r="L205" s="51" t="s">
        <v>257</v>
      </c>
      <c r="M205" s="51"/>
      <c r="N205" s="51"/>
      <c r="O205" s="51"/>
      <c r="P205" s="51"/>
      <c r="Q205" s="51"/>
      <c r="R205" s="51"/>
      <c r="S205" s="51"/>
      <c r="T205" s="51"/>
    </row>
    <row r="206">
      <c r="A206" s="51"/>
      <c r="B206" s="51"/>
      <c r="C206" s="56"/>
      <c r="D206" s="51"/>
      <c r="E206" s="51"/>
      <c r="F206" s="51"/>
      <c r="G206" s="51" t="str">
        <f>IFERROR(__xludf.DUMMYFUNCTION("""COMPUTED_VALUE"""),"#VALUE!")</f>
        <v>#VALUE!</v>
      </c>
      <c r="H206" s="51" t="str">
        <f>IFERROR(__xludf.DUMMYFUNCTION("""COMPUTED_VALUE"""),"")</f>
        <v/>
      </c>
      <c r="I206" s="51" t="str">
        <f>IFERROR(__xludf.DUMMYFUNCTION("""COMPUTED_VALUE"""),"#VALUE!")</f>
        <v>#VALUE!</v>
      </c>
      <c r="J206" s="51" t="str">
        <f>IFERROR(__xludf.DUMMYFUNCTION("""COMPUTED_VALUE"""),"")</f>
        <v/>
      </c>
      <c r="K206" s="51"/>
      <c r="L206" s="51" t="s">
        <v>257</v>
      </c>
      <c r="M206" s="51"/>
      <c r="N206" s="51"/>
      <c r="O206" s="51"/>
      <c r="P206" s="51"/>
      <c r="Q206" s="51"/>
      <c r="R206" s="51"/>
      <c r="S206" s="51"/>
      <c r="T206" s="51"/>
    </row>
    <row r="207">
      <c r="A207" s="51"/>
      <c r="B207" s="51"/>
      <c r="C207" s="56"/>
      <c r="D207" s="51"/>
      <c r="E207" s="51"/>
      <c r="F207" s="51"/>
      <c r="G207" s="51" t="str">
        <f>IFERROR(__xludf.DUMMYFUNCTION("""COMPUTED_VALUE"""),"#VALUE!")</f>
        <v>#VALUE!</v>
      </c>
      <c r="H207" s="51" t="str">
        <f>IFERROR(__xludf.DUMMYFUNCTION("""COMPUTED_VALUE"""),"")</f>
        <v/>
      </c>
      <c r="I207" s="51" t="str">
        <f>IFERROR(__xludf.DUMMYFUNCTION("""COMPUTED_VALUE"""),"#VALUE!")</f>
        <v>#VALUE!</v>
      </c>
      <c r="J207" s="51" t="str">
        <f>IFERROR(__xludf.DUMMYFUNCTION("""COMPUTED_VALUE"""),"")</f>
        <v/>
      </c>
      <c r="K207" s="51"/>
      <c r="L207" s="51" t="s">
        <v>257</v>
      </c>
      <c r="M207" s="51"/>
      <c r="N207" s="51"/>
      <c r="O207" s="51"/>
      <c r="P207" s="51"/>
      <c r="Q207" s="51"/>
      <c r="R207" s="51"/>
      <c r="S207" s="51"/>
      <c r="T207" s="51"/>
    </row>
    <row r="208">
      <c r="A208" s="51"/>
      <c r="B208" s="51"/>
      <c r="C208" s="56"/>
      <c r="D208" s="51"/>
      <c r="E208" s="51"/>
      <c r="F208" s="51"/>
      <c r="G208" s="51" t="str">
        <f>IFERROR(__xludf.DUMMYFUNCTION("""COMPUTED_VALUE"""),"#VALUE!")</f>
        <v>#VALUE!</v>
      </c>
      <c r="H208" s="51" t="str">
        <f>IFERROR(__xludf.DUMMYFUNCTION("""COMPUTED_VALUE"""),"")</f>
        <v/>
      </c>
      <c r="I208" s="51" t="str">
        <f>IFERROR(__xludf.DUMMYFUNCTION("""COMPUTED_VALUE"""),"#VALUE!")</f>
        <v>#VALUE!</v>
      </c>
      <c r="J208" s="51" t="str">
        <f>IFERROR(__xludf.DUMMYFUNCTION("""COMPUTED_VALUE"""),"")</f>
        <v/>
      </c>
      <c r="K208" s="51"/>
      <c r="L208" s="51" t="s">
        <v>257</v>
      </c>
      <c r="M208" s="51"/>
      <c r="N208" s="51"/>
      <c r="O208" s="51"/>
      <c r="P208" s="51"/>
      <c r="Q208" s="51"/>
      <c r="R208" s="51"/>
      <c r="S208" s="51"/>
      <c r="T208" s="51"/>
    </row>
    <row r="209">
      <c r="A209" s="51"/>
      <c r="B209" s="51"/>
      <c r="C209" s="56"/>
      <c r="D209" s="51"/>
      <c r="E209" s="51"/>
      <c r="F209" s="51"/>
      <c r="G209" s="51" t="str">
        <f>IFERROR(__xludf.DUMMYFUNCTION("""COMPUTED_VALUE"""),"#VALUE!")</f>
        <v>#VALUE!</v>
      </c>
      <c r="H209" s="51" t="str">
        <f>IFERROR(__xludf.DUMMYFUNCTION("""COMPUTED_VALUE"""),"")</f>
        <v/>
      </c>
      <c r="I209" s="51" t="str">
        <f>IFERROR(__xludf.DUMMYFUNCTION("""COMPUTED_VALUE"""),"#VALUE!")</f>
        <v>#VALUE!</v>
      </c>
      <c r="J209" s="51" t="str">
        <f>IFERROR(__xludf.DUMMYFUNCTION("""COMPUTED_VALUE"""),"")</f>
        <v/>
      </c>
      <c r="K209" s="51"/>
      <c r="L209" s="51" t="s">
        <v>257</v>
      </c>
      <c r="M209" s="51"/>
      <c r="N209" s="51"/>
      <c r="O209" s="51"/>
      <c r="P209" s="51"/>
      <c r="Q209" s="51"/>
      <c r="R209" s="51"/>
      <c r="S209" s="51"/>
      <c r="T209" s="51"/>
    </row>
    <row r="210">
      <c r="A210" s="51"/>
      <c r="B210" s="51"/>
      <c r="C210" s="56"/>
      <c r="D210" s="51"/>
      <c r="E210" s="51"/>
      <c r="F210" s="51"/>
      <c r="G210" s="51" t="str">
        <f>IFERROR(__xludf.DUMMYFUNCTION("""COMPUTED_VALUE"""),"#VALUE!")</f>
        <v>#VALUE!</v>
      </c>
      <c r="H210" s="51" t="str">
        <f>IFERROR(__xludf.DUMMYFUNCTION("""COMPUTED_VALUE"""),"")</f>
        <v/>
      </c>
      <c r="I210" s="51" t="str">
        <f>IFERROR(__xludf.DUMMYFUNCTION("""COMPUTED_VALUE"""),"#VALUE!")</f>
        <v>#VALUE!</v>
      </c>
      <c r="J210" s="51" t="str">
        <f>IFERROR(__xludf.DUMMYFUNCTION("""COMPUTED_VALUE"""),"")</f>
        <v/>
      </c>
      <c r="K210" s="51"/>
      <c r="L210" s="51" t="s">
        <v>257</v>
      </c>
      <c r="M210" s="51"/>
      <c r="N210" s="51"/>
      <c r="O210" s="51"/>
      <c r="P210" s="51"/>
      <c r="Q210" s="51"/>
      <c r="R210" s="51"/>
      <c r="S210" s="51"/>
      <c r="T210" s="51"/>
    </row>
    <row r="211">
      <c r="A211" s="51"/>
      <c r="B211" s="51"/>
      <c r="C211" s="56"/>
      <c r="D211" s="51"/>
      <c r="E211" s="51"/>
      <c r="F211" s="51"/>
      <c r="G211" s="51" t="str">
        <f>IFERROR(__xludf.DUMMYFUNCTION("""COMPUTED_VALUE"""),"#VALUE!")</f>
        <v>#VALUE!</v>
      </c>
      <c r="H211" s="51" t="str">
        <f>IFERROR(__xludf.DUMMYFUNCTION("""COMPUTED_VALUE"""),"")</f>
        <v/>
      </c>
      <c r="I211" s="51" t="str">
        <f>IFERROR(__xludf.DUMMYFUNCTION("""COMPUTED_VALUE"""),"#VALUE!")</f>
        <v>#VALUE!</v>
      </c>
      <c r="J211" s="51" t="str">
        <f>IFERROR(__xludf.DUMMYFUNCTION("""COMPUTED_VALUE"""),"")</f>
        <v/>
      </c>
      <c r="K211" s="51"/>
      <c r="L211" s="51" t="s">
        <v>257</v>
      </c>
      <c r="M211" s="51"/>
      <c r="N211" s="51"/>
      <c r="O211" s="51"/>
      <c r="P211" s="51"/>
      <c r="Q211" s="51"/>
      <c r="R211" s="51"/>
      <c r="S211" s="51"/>
      <c r="T211" s="51"/>
    </row>
    <row r="212">
      <c r="A212" s="51"/>
      <c r="B212" s="51"/>
      <c r="C212" s="56"/>
      <c r="D212" s="51"/>
      <c r="E212" s="51"/>
      <c r="F212" s="51"/>
      <c r="G212" s="51" t="str">
        <f>IFERROR(__xludf.DUMMYFUNCTION("""COMPUTED_VALUE"""),"#VALUE!")</f>
        <v>#VALUE!</v>
      </c>
      <c r="H212" s="51" t="str">
        <f>IFERROR(__xludf.DUMMYFUNCTION("""COMPUTED_VALUE"""),"")</f>
        <v/>
      </c>
      <c r="I212" s="51" t="str">
        <f>IFERROR(__xludf.DUMMYFUNCTION("""COMPUTED_VALUE"""),"#VALUE!")</f>
        <v>#VALUE!</v>
      </c>
      <c r="J212" s="51" t="str">
        <f>IFERROR(__xludf.DUMMYFUNCTION("""COMPUTED_VALUE"""),"")</f>
        <v/>
      </c>
      <c r="K212" s="51"/>
      <c r="L212" s="51" t="s">
        <v>257</v>
      </c>
      <c r="M212" s="51"/>
      <c r="N212" s="51"/>
      <c r="O212" s="51"/>
      <c r="P212" s="51"/>
      <c r="Q212" s="51"/>
      <c r="R212" s="51"/>
      <c r="S212" s="51"/>
      <c r="T212" s="51"/>
    </row>
    <row r="213">
      <c r="A213" s="51"/>
      <c r="B213" s="51"/>
      <c r="C213" s="56"/>
      <c r="D213" s="51"/>
      <c r="E213" s="51"/>
      <c r="F213" s="51"/>
      <c r="G213" s="51" t="str">
        <f>IFERROR(__xludf.DUMMYFUNCTION("""COMPUTED_VALUE"""),"#VALUE!")</f>
        <v>#VALUE!</v>
      </c>
      <c r="H213" s="51" t="str">
        <f>IFERROR(__xludf.DUMMYFUNCTION("""COMPUTED_VALUE"""),"")</f>
        <v/>
      </c>
      <c r="I213" s="51" t="str">
        <f>IFERROR(__xludf.DUMMYFUNCTION("""COMPUTED_VALUE"""),"#VALUE!")</f>
        <v>#VALUE!</v>
      </c>
      <c r="J213" s="51" t="str">
        <f>IFERROR(__xludf.DUMMYFUNCTION("""COMPUTED_VALUE"""),"")</f>
        <v/>
      </c>
      <c r="K213" s="51"/>
      <c r="L213" s="51" t="s">
        <v>257</v>
      </c>
      <c r="M213" s="51"/>
      <c r="N213" s="51"/>
      <c r="O213" s="51"/>
      <c r="P213" s="51"/>
      <c r="Q213" s="51"/>
      <c r="R213" s="51"/>
      <c r="S213" s="51"/>
      <c r="T213" s="51"/>
    </row>
    <row r="214">
      <c r="A214" s="51"/>
      <c r="B214" s="51"/>
      <c r="C214" s="56"/>
      <c r="D214" s="51"/>
      <c r="E214" s="51"/>
      <c r="F214" s="51"/>
      <c r="G214" s="51" t="str">
        <f>IFERROR(__xludf.DUMMYFUNCTION("""COMPUTED_VALUE"""),"#VALUE!")</f>
        <v>#VALUE!</v>
      </c>
      <c r="H214" s="51" t="str">
        <f>IFERROR(__xludf.DUMMYFUNCTION("""COMPUTED_VALUE"""),"")</f>
        <v/>
      </c>
      <c r="I214" s="51" t="str">
        <f>IFERROR(__xludf.DUMMYFUNCTION("""COMPUTED_VALUE"""),"#VALUE!")</f>
        <v>#VALUE!</v>
      </c>
      <c r="J214" s="51" t="str">
        <f>IFERROR(__xludf.DUMMYFUNCTION("""COMPUTED_VALUE"""),"")</f>
        <v/>
      </c>
      <c r="K214" s="51"/>
      <c r="L214" s="51" t="s">
        <v>257</v>
      </c>
      <c r="M214" s="51"/>
      <c r="N214" s="51"/>
      <c r="O214" s="51"/>
      <c r="P214" s="51"/>
      <c r="Q214" s="51"/>
      <c r="R214" s="51"/>
      <c r="S214" s="51"/>
      <c r="T214" s="51"/>
    </row>
    <row r="215">
      <c r="A215" s="51"/>
      <c r="B215" s="51"/>
      <c r="C215" s="56"/>
      <c r="D215" s="51"/>
      <c r="E215" s="51"/>
      <c r="F215" s="51"/>
      <c r="G215" s="51" t="str">
        <f>IFERROR(__xludf.DUMMYFUNCTION("""COMPUTED_VALUE"""),"#VALUE!")</f>
        <v>#VALUE!</v>
      </c>
      <c r="H215" s="51" t="str">
        <f>IFERROR(__xludf.DUMMYFUNCTION("""COMPUTED_VALUE"""),"")</f>
        <v/>
      </c>
      <c r="I215" s="51" t="str">
        <f>IFERROR(__xludf.DUMMYFUNCTION("""COMPUTED_VALUE"""),"#VALUE!")</f>
        <v>#VALUE!</v>
      </c>
      <c r="J215" s="51" t="str">
        <f>IFERROR(__xludf.DUMMYFUNCTION("""COMPUTED_VALUE"""),"")</f>
        <v/>
      </c>
      <c r="K215" s="51"/>
      <c r="L215" s="51" t="s">
        <v>257</v>
      </c>
      <c r="M215" s="51"/>
      <c r="N215" s="51"/>
      <c r="O215" s="51"/>
      <c r="P215" s="51"/>
      <c r="Q215" s="51"/>
      <c r="R215" s="51"/>
      <c r="S215" s="51"/>
      <c r="T215" s="51"/>
    </row>
    <row r="216">
      <c r="A216" s="51"/>
      <c r="B216" s="51"/>
      <c r="C216" s="56"/>
      <c r="D216" s="51"/>
      <c r="E216" s="51"/>
      <c r="F216" s="51"/>
      <c r="G216" s="51" t="str">
        <f>IFERROR(__xludf.DUMMYFUNCTION("""COMPUTED_VALUE"""),"#VALUE!")</f>
        <v>#VALUE!</v>
      </c>
      <c r="H216" s="51" t="str">
        <f>IFERROR(__xludf.DUMMYFUNCTION("""COMPUTED_VALUE"""),"")</f>
        <v/>
      </c>
      <c r="I216" s="51" t="str">
        <f>IFERROR(__xludf.DUMMYFUNCTION("""COMPUTED_VALUE"""),"#VALUE!")</f>
        <v>#VALUE!</v>
      </c>
      <c r="J216" s="51" t="str">
        <f>IFERROR(__xludf.DUMMYFUNCTION("""COMPUTED_VALUE"""),"")</f>
        <v/>
      </c>
      <c r="K216" s="51"/>
      <c r="L216" s="51" t="s">
        <v>257</v>
      </c>
      <c r="M216" s="51"/>
      <c r="N216" s="51"/>
      <c r="O216" s="51"/>
      <c r="P216" s="51"/>
      <c r="Q216" s="51"/>
      <c r="R216" s="51"/>
      <c r="S216" s="51"/>
      <c r="T216" s="51"/>
    </row>
    <row r="217">
      <c r="A217" s="51"/>
      <c r="B217" s="51"/>
      <c r="C217" s="56"/>
      <c r="D217" s="51"/>
      <c r="E217" s="51"/>
      <c r="F217" s="51"/>
      <c r="G217" s="51" t="str">
        <f>IFERROR(__xludf.DUMMYFUNCTION("""COMPUTED_VALUE"""),"#VALUE!")</f>
        <v>#VALUE!</v>
      </c>
      <c r="H217" s="51" t="str">
        <f>IFERROR(__xludf.DUMMYFUNCTION("""COMPUTED_VALUE"""),"")</f>
        <v/>
      </c>
      <c r="I217" s="51" t="str">
        <f>IFERROR(__xludf.DUMMYFUNCTION("""COMPUTED_VALUE"""),"#VALUE!")</f>
        <v>#VALUE!</v>
      </c>
      <c r="J217" s="51" t="str">
        <f>IFERROR(__xludf.DUMMYFUNCTION("""COMPUTED_VALUE"""),"")</f>
        <v/>
      </c>
      <c r="K217" s="51"/>
      <c r="L217" s="51" t="s">
        <v>257</v>
      </c>
      <c r="M217" s="51"/>
      <c r="N217" s="51"/>
      <c r="O217" s="51"/>
      <c r="P217" s="51"/>
      <c r="Q217" s="51"/>
      <c r="R217" s="51"/>
      <c r="S217" s="51"/>
      <c r="T217" s="51"/>
    </row>
    <row r="218">
      <c r="A218" s="51"/>
      <c r="B218" s="51"/>
      <c r="C218" s="56"/>
      <c r="D218" s="51"/>
      <c r="E218" s="51"/>
      <c r="F218" s="51"/>
      <c r="G218" s="51" t="str">
        <f>IFERROR(__xludf.DUMMYFUNCTION("""COMPUTED_VALUE"""),"#VALUE!")</f>
        <v>#VALUE!</v>
      </c>
      <c r="H218" s="51" t="str">
        <f>IFERROR(__xludf.DUMMYFUNCTION("""COMPUTED_VALUE"""),"")</f>
        <v/>
      </c>
      <c r="I218" s="51" t="str">
        <f>IFERROR(__xludf.DUMMYFUNCTION("""COMPUTED_VALUE"""),"#VALUE!")</f>
        <v>#VALUE!</v>
      </c>
      <c r="J218" s="51" t="str">
        <f>IFERROR(__xludf.DUMMYFUNCTION("""COMPUTED_VALUE"""),"")</f>
        <v/>
      </c>
      <c r="K218" s="51"/>
      <c r="L218" s="51" t="s">
        <v>257</v>
      </c>
      <c r="M218" s="51"/>
      <c r="N218" s="51"/>
      <c r="O218" s="51"/>
      <c r="P218" s="51"/>
      <c r="Q218" s="51"/>
      <c r="R218" s="51"/>
      <c r="S218" s="51"/>
      <c r="T218" s="51"/>
    </row>
    <row r="219">
      <c r="A219" s="51"/>
      <c r="B219" s="51"/>
      <c r="C219" s="56"/>
      <c r="D219" s="51"/>
      <c r="E219" s="51"/>
      <c r="F219" s="51"/>
      <c r="G219" s="51" t="str">
        <f>IFERROR(__xludf.DUMMYFUNCTION("""COMPUTED_VALUE"""),"#VALUE!")</f>
        <v>#VALUE!</v>
      </c>
      <c r="H219" s="51" t="str">
        <f>IFERROR(__xludf.DUMMYFUNCTION("""COMPUTED_VALUE"""),"")</f>
        <v/>
      </c>
      <c r="I219" s="51" t="str">
        <f>IFERROR(__xludf.DUMMYFUNCTION("""COMPUTED_VALUE"""),"#VALUE!")</f>
        <v>#VALUE!</v>
      </c>
      <c r="J219" s="51" t="str">
        <f>IFERROR(__xludf.DUMMYFUNCTION("""COMPUTED_VALUE"""),"")</f>
        <v/>
      </c>
      <c r="K219" s="51"/>
      <c r="L219" s="51" t="s">
        <v>257</v>
      </c>
      <c r="M219" s="51"/>
      <c r="N219" s="51"/>
      <c r="O219" s="51"/>
      <c r="P219" s="51"/>
      <c r="Q219" s="51"/>
      <c r="R219" s="51"/>
      <c r="S219" s="51"/>
      <c r="T219" s="51"/>
    </row>
    <row r="220">
      <c r="A220" s="51"/>
      <c r="B220" s="51"/>
      <c r="C220" s="56"/>
      <c r="D220" s="51"/>
      <c r="E220" s="51"/>
      <c r="F220" s="51"/>
      <c r="G220" s="51" t="str">
        <f>IFERROR(__xludf.DUMMYFUNCTION("""COMPUTED_VALUE"""),"#VALUE!")</f>
        <v>#VALUE!</v>
      </c>
      <c r="H220" s="51" t="str">
        <f>IFERROR(__xludf.DUMMYFUNCTION("""COMPUTED_VALUE"""),"")</f>
        <v/>
      </c>
      <c r="I220" s="51" t="str">
        <f>IFERROR(__xludf.DUMMYFUNCTION("""COMPUTED_VALUE"""),"#VALUE!")</f>
        <v>#VALUE!</v>
      </c>
      <c r="J220" s="51" t="str">
        <f>IFERROR(__xludf.DUMMYFUNCTION("""COMPUTED_VALUE"""),"")</f>
        <v/>
      </c>
      <c r="K220" s="51"/>
      <c r="L220" s="51" t="s">
        <v>257</v>
      </c>
      <c r="M220" s="51"/>
      <c r="N220" s="51"/>
      <c r="O220" s="51"/>
      <c r="P220" s="51"/>
      <c r="Q220" s="51"/>
      <c r="R220" s="51"/>
      <c r="S220" s="51"/>
      <c r="T220" s="51"/>
    </row>
    <row r="221">
      <c r="A221" s="51"/>
      <c r="B221" s="51"/>
      <c r="C221" s="56"/>
      <c r="D221" s="51"/>
      <c r="E221" s="51"/>
      <c r="F221" s="51"/>
      <c r="G221" s="51" t="str">
        <f>IFERROR(__xludf.DUMMYFUNCTION("""COMPUTED_VALUE"""),"#VALUE!")</f>
        <v>#VALUE!</v>
      </c>
      <c r="H221" s="51" t="str">
        <f>IFERROR(__xludf.DUMMYFUNCTION("""COMPUTED_VALUE"""),"")</f>
        <v/>
      </c>
      <c r="I221" s="51" t="str">
        <f>IFERROR(__xludf.DUMMYFUNCTION("""COMPUTED_VALUE"""),"#VALUE!")</f>
        <v>#VALUE!</v>
      </c>
      <c r="J221" s="51" t="str">
        <f>IFERROR(__xludf.DUMMYFUNCTION("""COMPUTED_VALUE"""),"")</f>
        <v/>
      </c>
      <c r="K221" s="51"/>
      <c r="L221" s="51" t="s">
        <v>257</v>
      </c>
      <c r="M221" s="51"/>
      <c r="N221" s="51"/>
      <c r="O221" s="51"/>
      <c r="P221" s="51"/>
      <c r="Q221" s="51"/>
      <c r="R221" s="51"/>
      <c r="S221" s="51"/>
      <c r="T221" s="51"/>
    </row>
    <row r="222">
      <c r="A222" s="51"/>
      <c r="B222" s="51"/>
      <c r="C222" s="56"/>
      <c r="D222" s="51"/>
      <c r="E222" s="51"/>
      <c r="F222" s="51"/>
      <c r="G222" s="51" t="str">
        <f>IFERROR(__xludf.DUMMYFUNCTION("""COMPUTED_VALUE"""),"#VALUE!")</f>
        <v>#VALUE!</v>
      </c>
      <c r="H222" s="51" t="str">
        <f>IFERROR(__xludf.DUMMYFUNCTION("""COMPUTED_VALUE"""),"")</f>
        <v/>
      </c>
      <c r="I222" s="51" t="str">
        <f>IFERROR(__xludf.DUMMYFUNCTION("""COMPUTED_VALUE"""),"#VALUE!")</f>
        <v>#VALUE!</v>
      </c>
      <c r="J222" s="51" t="str">
        <f>IFERROR(__xludf.DUMMYFUNCTION("""COMPUTED_VALUE"""),"")</f>
        <v/>
      </c>
      <c r="K222" s="51"/>
      <c r="L222" s="51" t="s">
        <v>257</v>
      </c>
      <c r="M222" s="51"/>
      <c r="N222" s="51"/>
      <c r="O222" s="51"/>
      <c r="P222" s="51"/>
      <c r="Q222" s="51"/>
      <c r="R222" s="51"/>
      <c r="S222" s="51"/>
      <c r="T222" s="51"/>
    </row>
    <row r="223">
      <c r="A223" s="51"/>
      <c r="B223" s="51"/>
      <c r="C223" s="56"/>
      <c r="D223" s="51"/>
      <c r="E223" s="51"/>
      <c r="F223" s="51"/>
      <c r="G223" s="51" t="str">
        <f>IFERROR(__xludf.DUMMYFUNCTION("""COMPUTED_VALUE"""),"#VALUE!")</f>
        <v>#VALUE!</v>
      </c>
      <c r="H223" s="51" t="str">
        <f>IFERROR(__xludf.DUMMYFUNCTION("""COMPUTED_VALUE"""),"")</f>
        <v/>
      </c>
      <c r="I223" s="51" t="str">
        <f>IFERROR(__xludf.DUMMYFUNCTION("""COMPUTED_VALUE"""),"#VALUE!")</f>
        <v>#VALUE!</v>
      </c>
      <c r="J223" s="51" t="str">
        <f>IFERROR(__xludf.DUMMYFUNCTION("""COMPUTED_VALUE"""),"")</f>
        <v/>
      </c>
      <c r="K223" s="51"/>
      <c r="L223" s="51" t="s">
        <v>257</v>
      </c>
      <c r="M223" s="51"/>
      <c r="N223" s="51"/>
      <c r="O223" s="51"/>
      <c r="P223" s="51"/>
      <c r="Q223" s="51"/>
      <c r="R223" s="51"/>
      <c r="S223" s="51"/>
      <c r="T223" s="51"/>
    </row>
    <row r="224">
      <c r="A224" s="51"/>
      <c r="B224" s="51"/>
      <c r="C224" s="56"/>
      <c r="D224" s="51"/>
      <c r="E224" s="51"/>
      <c r="F224" s="51"/>
      <c r="G224" s="51" t="str">
        <f>IFERROR(__xludf.DUMMYFUNCTION("""COMPUTED_VALUE"""),"#VALUE!")</f>
        <v>#VALUE!</v>
      </c>
      <c r="H224" s="51" t="str">
        <f>IFERROR(__xludf.DUMMYFUNCTION("""COMPUTED_VALUE"""),"")</f>
        <v/>
      </c>
      <c r="I224" s="51" t="str">
        <f>IFERROR(__xludf.DUMMYFUNCTION("""COMPUTED_VALUE"""),"#VALUE!")</f>
        <v>#VALUE!</v>
      </c>
      <c r="J224" s="51" t="str">
        <f>IFERROR(__xludf.DUMMYFUNCTION("""COMPUTED_VALUE"""),"")</f>
        <v/>
      </c>
      <c r="K224" s="51"/>
      <c r="L224" s="51" t="s">
        <v>257</v>
      </c>
      <c r="M224" s="51"/>
      <c r="N224" s="51"/>
      <c r="O224" s="51"/>
      <c r="P224" s="51"/>
      <c r="Q224" s="51"/>
      <c r="R224" s="51"/>
      <c r="S224" s="51"/>
      <c r="T224" s="51"/>
    </row>
    <row r="225">
      <c r="A225" s="51"/>
      <c r="B225" s="51"/>
      <c r="C225" s="56"/>
      <c r="D225" s="51"/>
      <c r="E225" s="51"/>
      <c r="F225" s="51"/>
      <c r="G225" s="51" t="str">
        <f>IFERROR(__xludf.DUMMYFUNCTION("""COMPUTED_VALUE"""),"#VALUE!")</f>
        <v>#VALUE!</v>
      </c>
      <c r="H225" s="51" t="str">
        <f>IFERROR(__xludf.DUMMYFUNCTION("""COMPUTED_VALUE"""),"")</f>
        <v/>
      </c>
      <c r="I225" s="51" t="str">
        <f>IFERROR(__xludf.DUMMYFUNCTION("""COMPUTED_VALUE"""),"#VALUE!")</f>
        <v>#VALUE!</v>
      </c>
      <c r="J225" s="51" t="str">
        <f>IFERROR(__xludf.DUMMYFUNCTION("""COMPUTED_VALUE"""),"")</f>
        <v/>
      </c>
      <c r="K225" s="51"/>
      <c r="L225" s="51" t="s">
        <v>257</v>
      </c>
      <c r="M225" s="51"/>
      <c r="N225" s="51"/>
      <c r="O225" s="51"/>
      <c r="P225" s="51"/>
      <c r="Q225" s="51"/>
      <c r="R225" s="51"/>
      <c r="S225" s="51"/>
      <c r="T225" s="51"/>
    </row>
    <row r="226">
      <c r="A226" s="51"/>
      <c r="B226" s="51"/>
      <c r="C226" s="56"/>
      <c r="D226" s="51"/>
      <c r="E226" s="51"/>
      <c r="F226" s="51"/>
      <c r="G226" s="51" t="str">
        <f>IFERROR(__xludf.DUMMYFUNCTION("""COMPUTED_VALUE"""),"#VALUE!")</f>
        <v>#VALUE!</v>
      </c>
      <c r="H226" s="51" t="str">
        <f>IFERROR(__xludf.DUMMYFUNCTION("""COMPUTED_VALUE"""),"")</f>
        <v/>
      </c>
      <c r="I226" s="51" t="str">
        <f>IFERROR(__xludf.DUMMYFUNCTION("""COMPUTED_VALUE"""),"#VALUE!")</f>
        <v>#VALUE!</v>
      </c>
      <c r="J226" s="51" t="str">
        <f>IFERROR(__xludf.DUMMYFUNCTION("""COMPUTED_VALUE"""),"")</f>
        <v/>
      </c>
      <c r="K226" s="51"/>
      <c r="L226" s="51" t="s">
        <v>257</v>
      </c>
      <c r="M226" s="51"/>
      <c r="N226" s="51"/>
      <c r="O226" s="51"/>
      <c r="P226" s="51"/>
      <c r="Q226" s="51"/>
      <c r="R226" s="51"/>
      <c r="S226" s="51"/>
      <c r="T226" s="51"/>
    </row>
    <row r="227">
      <c r="A227" s="51"/>
      <c r="B227" s="51"/>
      <c r="C227" s="56"/>
      <c r="D227" s="51"/>
      <c r="E227" s="51"/>
      <c r="F227" s="51"/>
      <c r="G227" s="51" t="str">
        <f>IFERROR(__xludf.DUMMYFUNCTION("""COMPUTED_VALUE"""),"#VALUE!")</f>
        <v>#VALUE!</v>
      </c>
      <c r="H227" s="51" t="str">
        <f>IFERROR(__xludf.DUMMYFUNCTION("""COMPUTED_VALUE"""),"")</f>
        <v/>
      </c>
      <c r="I227" s="51" t="str">
        <f>IFERROR(__xludf.DUMMYFUNCTION("""COMPUTED_VALUE"""),"#VALUE!")</f>
        <v>#VALUE!</v>
      </c>
      <c r="J227" s="51" t="str">
        <f>IFERROR(__xludf.DUMMYFUNCTION("""COMPUTED_VALUE"""),"")</f>
        <v/>
      </c>
      <c r="K227" s="51"/>
      <c r="L227" s="51" t="s">
        <v>257</v>
      </c>
      <c r="M227" s="51"/>
      <c r="N227" s="51"/>
      <c r="O227" s="51"/>
      <c r="P227" s="51"/>
      <c r="Q227" s="51"/>
      <c r="R227" s="51"/>
      <c r="S227" s="51"/>
      <c r="T227" s="51"/>
    </row>
    <row r="228">
      <c r="A228" s="51"/>
      <c r="B228" s="51"/>
      <c r="C228" s="56"/>
      <c r="D228" s="51"/>
      <c r="E228" s="51"/>
      <c r="F228" s="51"/>
      <c r="G228" s="51" t="str">
        <f>IFERROR(__xludf.DUMMYFUNCTION("""COMPUTED_VALUE"""),"#VALUE!")</f>
        <v>#VALUE!</v>
      </c>
      <c r="H228" s="51" t="str">
        <f>IFERROR(__xludf.DUMMYFUNCTION("""COMPUTED_VALUE"""),"")</f>
        <v/>
      </c>
      <c r="I228" s="51" t="str">
        <f>IFERROR(__xludf.DUMMYFUNCTION("""COMPUTED_VALUE"""),"#VALUE!")</f>
        <v>#VALUE!</v>
      </c>
      <c r="J228" s="51" t="str">
        <f>IFERROR(__xludf.DUMMYFUNCTION("""COMPUTED_VALUE"""),"")</f>
        <v/>
      </c>
      <c r="K228" s="51"/>
      <c r="L228" s="51" t="s">
        <v>257</v>
      </c>
      <c r="M228" s="51"/>
      <c r="N228" s="51"/>
      <c r="O228" s="51"/>
      <c r="P228" s="51"/>
      <c r="Q228" s="51"/>
      <c r="R228" s="51"/>
      <c r="S228" s="51"/>
      <c r="T228" s="51"/>
    </row>
    <row r="229">
      <c r="A229" s="51"/>
      <c r="B229" s="51"/>
      <c r="C229" s="56"/>
      <c r="D229" s="51"/>
      <c r="E229" s="51"/>
      <c r="F229" s="51"/>
      <c r="G229" s="51" t="str">
        <f>IFERROR(__xludf.DUMMYFUNCTION("""COMPUTED_VALUE"""),"#VALUE!")</f>
        <v>#VALUE!</v>
      </c>
      <c r="H229" s="51" t="str">
        <f>IFERROR(__xludf.DUMMYFUNCTION("""COMPUTED_VALUE"""),"")</f>
        <v/>
      </c>
      <c r="I229" s="51" t="str">
        <f>IFERROR(__xludf.DUMMYFUNCTION("""COMPUTED_VALUE"""),"#VALUE!")</f>
        <v>#VALUE!</v>
      </c>
      <c r="J229" s="51" t="str">
        <f>IFERROR(__xludf.DUMMYFUNCTION("""COMPUTED_VALUE"""),"")</f>
        <v/>
      </c>
      <c r="K229" s="51"/>
      <c r="L229" s="51" t="s">
        <v>257</v>
      </c>
      <c r="M229" s="51"/>
      <c r="N229" s="51"/>
      <c r="O229" s="51"/>
      <c r="P229" s="51"/>
      <c r="Q229" s="51"/>
      <c r="R229" s="51"/>
      <c r="S229" s="51"/>
      <c r="T229" s="51"/>
    </row>
    <row r="230">
      <c r="A230" s="51"/>
      <c r="B230" s="51"/>
      <c r="C230" s="56"/>
      <c r="D230" s="51"/>
      <c r="E230" s="51"/>
      <c r="F230" s="51"/>
      <c r="G230" s="51" t="str">
        <f>IFERROR(__xludf.DUMMYFUNCTION("""COMPUTED_VALUE"""),"#VALUE!")</f>
        <v>#VALUE!</v>
      </c>
      <c r="H230" s="51" t="str">
        <f>IFERROR(__xludf.DUMMYFUNCTION("""COMPUTED_VALUE"""),"")</f>
        <v/>
      </c>
      <c r="I230" s="51" t="str">
        <f>IFERROR(__xludf.DUMMYFUNCTION("""COMPUTED_VALUE"""),"#VALUE!")</f>
        <v>#VALUE!</v>
      </c>
      <c r="J230" s="51" t="str">
        <f>IFERROR(__xludf.DUMMYFUNCTION("""COMPUTED_VALUE"""),"")</f>
        <v/>
      </c>
      <c r="K230" s="51"/>
      <c r="L230" s="51" t="s">
        <v>257</v>
      </c>
      <c r="M230" s="51"/>
      <c r="N230" s="51"/>
      <c r="O230" s="51"/>
      <c r="P230" s="51"/>
      <c r="Q230" s="51"/>
      <c r="R230" s="51"/>
      <c r="S230" s="51"/>
      <c r="T230" s="51"/>
    </row>
    <row r="231">
      <c r="A231" s="51"/>
      <c r="B231" s="51"/>
      <c r="C231" s="56"/>
      <c r="D231" s="51"/>
      <c r="E231" s="51"/>
      <c r="F231" s="51"/>
      <c r="G231" s="51" t="str">
        <f>IFERROR(__xludf.DUMMYFUNCTION("""COMPUTED_VALUE"""),"#VALUE!")</f>
        <v>#VALUE!</v>
      </c>
      <c r="H231" s="51" t="str">
        <f>IFERROR(__xludf.DUMMYFUNCTION("""COMPUTED_VALUE"""),"")</f>
        <v/>
      </c>
      <c r="I231" s="51" t="str">
        <f>IFERROR(__xludf.DUMMYFUNCTION("""COMPUTED_VALUE"""),"#VALUE!")</f>
        <v>#VALUE!</v>
      </c>
      <c r="J231" s="51" t="str">
        <f>IFERROR(__xludf.DUMMYFUNCTION("""COMPUTED_VALUE"""),"")</f>
        <v/>
      </c>
      <c r="K231" s="51"/>
      <c r="L231" s="51" t="s">
        <v>257</v>
      </c>
      <c r="M231" s="51"/>
      <c r="N231" s="51"/>
      <c r="O231" s="51"/>
      <c r="P231" s="51"/>
      <c r="Q231" s="51"/>
      <c r="R231" s="51"/>
      <c r="S231" s="51"/>
      <c r="T231" s="51"/>
    </row>
    <row r="232">
      <c r="A232" s="51"/>
      <c r="B232" s="51"/>
      <c r="C232" s="56"/>
      <c r="D232" s="51"/>
      <c r="E232" s="51"/>
      <c r="F232" s="51"/>
      <c r="G232" s="51" t="str">
        <f>IFERROR(__xludf.DUMMYFUNCTION("""COMPUTED_VALUE"""),"#VALUE!")</f>
        <v>#VALUE!</v>
      </c>
      <c r="H232" s="51" t="str">
        <f>IFERROR(__xludf.DUMMYFUNCTION("""COMPUTED_VALUE"""),"")</f>
        <v/>
      </c>
      <c r="I232" s="51" t="str">
        <f>IFERROR(__xludf.DUMMYFUNCTION("""COMPUTED_VALUE"""),"#VALUE!")</f>
        <v>#VALUE!</v>
      </c>
      <c r="J232" s="51" t="str">
        <f>IFERROR(__xludf.DUMMYFUNCTION("""COMPUTED_VALUE"""),"")</f>
        <v/>
      </c>
      <c r="K232" s="51"/>
      <c r="L232" s="51" t="s">
        <v>257</v>
      </c>
      <c r="M232" s="51"/>
      <c r="N232" s="51"/>
      <c r="O232" s="51"/>
      <c r="P232" s="51"/>
      <c r="Q232" s="51"/>
      <c r="R232" s="51"/>
      <c r="S232" s="51"/>
      <c r="T232" s="51"/>
    </row>
    <row r="233">
      <c r="A233" s="51"/>
      <c r="B233" s="51"/>
      <c r="C233" s="56"/>
      <c r="D233" s="51"/>
      <c r="E233" s="51"/>
      <c r="F233" s="51"/>
      <c r="G233" s="51" t="str">
        <f>IFERROR(__xludf.DUMMYFUNCTION("""COMPUTED_VALUE"""),"#VALUE!")</f>
        <v>#VALUE!</v>
      </c>
      <c r="H233" s="51" t="str">
        <f>IFERROR(__xludf.DUMMYFUNCTION("""COMPUTED_VALUE"""),"")</f>
        <v/>
      </c>
      <c r="I233" s="51" t="str">
        <f>IFERROR(__xludf.DUMMYFUNCTION("""COMPUTED_VALUE"""),"#VALUE!")</f>
        <v>#VALUE!</v>
      </c>
      <c r="J233" s="51" t="str">
        <f>IFERROR(__xludf.DUMMYFUNCTION("""COMPUTED_VALUE"""),"")</f>
        <v/>
      </c>
      <c r="K233" s="51"/>
      <c r="L233" s="51" t="s">
        <v>257</v>
      </c>
      <c r="M233" s="51"/>
      <c r="N233" s="51"/>
      <c r="O233" s="51"/>
      <c r="P233" s="51"/>
      <c r="Q233" s="51"/>
      <c r="R233" s="51"/>
      <c r="S233" s="51"/>
      <c r="T233" s="51"/>
    </row>
    <row r="234">
      <c r="A234" s="51"/>
      <c r="B234" s="51"/>
      <c r="C234" s="56"/>
      <c r="D234" s="51"/>
      <c r="E234" s="51"/>
      <c r="F234" s="51"/>
      <c r="G234" s="51" t="str">
        <f>IFERROR(__xludf.DUMMYFUNCTION("""COMPUTED_VALUE"""),"#VALUE!")</f>
        <v>#VALUE!</v>
      </c>
      <c r="H234" s="51" t="str">
        <f>IFERROR(__xludf.DUMMYFUNCTION("""COMPUTED_VALUE"""),"")</f>
        <v/>
      </c>
      <c r="I234" s="51" t="str">
        <f>IFERROR(__xludf.DUMMYFUNCTION("""COMPUTED_VALUE"""),"#VALUE!")</f>
        <v>#VALUE!</v>
      </c>
      <c r="J234" s="51" t="str">
        <f>IFERROR(__xludf.DUMMYFUNCTION("""COMPUTED_VALUE"""),"")</f>
        <v/>
      </c>
      <c r="K234" s="51"/>
      <c r="L234" s="51" t="s">
        <v>257</v>
      </c>
      <c r="M234" s="51"/>
      <c r="N234" s="51"/>
      <c r="O234" s="51"/>
      <c r="P234" s="51"/>
      <c r="Q234" s="51"/>
      <c r="R234" s="51"/>
      <c r="S234" s="51"/>
      <c r="T234" s="51"/>
    </row>
    <row r="235">
      <c r="A235" s="51"/>
      <c r="B235" s="51"/>
      <c r="C235" s="56"/>
      <c r="D235" s="51"/>
      <c r="E235" s="51"/>
      <c r="F235" s="51"/>
      <c r="G235" s="51" t="str">
        <f>IFERROR(__xludf.DUMMYFUNCTION("""COMPUTED_VALUE"""),"#VALUE!")</f>
        <v>#VALUE!</v>
      </c>
      <c r="H235" s="51" t="str">
        <f>IFERROR(__xludf.DUMMYFUNCTION("""COMPUTED_VALUE"""),"")</f>
        <v/>
      </c>
      <c r="I235" s="51" t="str">
        <f>IFERROR(__xludf.DUMMYFUNCTION("""COMPUTED_VALUE"""),"#VALUE!")</f>
        <v>#VALUE!</v>
      </c>
      <c r="J235" s="51" t="str">
        <f>IFERROR(__xludf.DUMMYFUNCTION("""COMPUTED_VALUE"""),"")</f>
        <v/>
      </c>
      <c r="K235" s="51"/>
      <c r="L235" s="51" t="s">
        <v>257</v>
      </c>
      <c r="M235" s="51"/>
      <c r="N235" s="51"/>
      <c r="O235" s="51"/>
      <c r="P235" s="51"/>
      <c r="Q235" s="51"/>
      <c r="R235" s="51"/>
      <c r="S235" s="51"/>
      <c r="T235" s="51"/>
    </row>
    <row r="236">
      <c r="A236" s="51"/>
      <c r="B236" s="51"/>
      <c r="C236" s="56"/>
      <c r="D236" s="51"/>
      <c r="E236" s="51"/>
      <c r="F236" s="51"/>
      <c r="G236" s="51" t="str">
        <f>IFERROR(__xludf.DUMMYFUNCTION("""COMPUTED_VALUE"""),"#VALUE!")</f>
        <v>#VALUE!</v>
      </c>
      <c r="H236" s="51" t="str">
        <f>IFERROR(__xludf.DUMMYFUNCTION("""COMPUTED_VALUE"""),"")</f>
        <v/>
      </c>
      <c r="I236" s="51" t="str">
        <f>IFERROR(__xludf.DUMMYFUNCTION("""COMPUTED_VALUE"""),"#VALUE!")</f>
        <v>#VALUE!</v>
      </c>
      <c r="J236" s="51" t="str">
        <f>IFERROR(__xludf.DUMMYFUNCTION("""COMPUTED_VALUE"""),"")</f>
        <v/>
      </c>
      <c r="K236" s="51"/>
      <c r="L236" s="51" t="s">
        <v>257</v>
      </c>
      <c r="M236" s="51"/>
      <c r="N236" s="51"/>
      <c r="O236" s="51"/>
      <c r="P236" s="51"/>
      <c r="Q236" s="51"/>
      <c r="R236" s="51"/>
      <c r="S236" s="51"/>
      <c r="T236" s="51"/>
    </row>
    <row r="237">
      <c r="A237" s="51"/>
      <c r="B237" s="51"/>
      <c r="C237" s="56"/>
      <c r="D237" s="51"/>
      <c r="E237" s="51"/>
      <c r="F237" s="51"/>
      <c r="G237" s="51" t="str">
        <f>IFERROR(__xludf.DUMMYFUNCTION("""COMPUTED_VALUE"""),"#VALUE!")</f>
        <v>#VALUE!</v>
      </c>
      <c r="H237" s="51" t="str">
        <f>IFERROR(__xludf.DUMMYFUNCTION("""COMPUTED_VALUE"""),"")</f>
        <v/>
      </c>
      <c r="I237" s="51" t="str">
        <f>IFERROR(__xludf.DUMMYFUNCTION("""COMPUTED_VALUE"""),"#VALUE!")</f>
        <v>#VALUE!</v>
      </c>
      <c r="J237" s="51" t="str">
        <f>IFERROR(__xludf.DUMMYFUNCTION("""COMPUTED_VALUE"""),"")</f>
        <v/>
      </c>
      <c r="K237" s="51"/>
      <c r="L237" s="51" t="s">
        <v>257</v>
      </c>
      <c r="M237" s="51"/>
      <c r="N237" s="51"/>
      <c r="O237" s="51"/>
      <c r="P237" s="51"/>
      <c r="Q237" s="51"/>
      <c r="R237" s="51"/>
      <c r="S237" s="51"/>
      <c r="T237" s="51"/>
    </row>
    <row r="238">
      <c r="A238" s="51"/>
      <c r="B238" s="51"/>
      <c r="C238" s="56"/>
      <c r="D238" s="51"/>
      <c r="E238" s="51"/>
      <c r="F238" s="51"/>
      <c r="G238" s="51" t="str">
        <f>IFERROR(__xludf.DUMMYFUNCTION("""COMPUTED_VALUE"""),"#VALUE!")</f>
        <v>#VALUE!</v>
      </c>
      <c r="H238" s="51" t="str">
        <f>IFERROR(__xludf.DUMMYFUNCTION("""COMPUTED_VALUE"""),"")</f>
        <v/>
      </c>
      <c r="I238" s="51" t="str">
        <f>IFERROR(__xludf.DUMMYFUNCTION("""COMPUTED_VALUE"""),"#VALUE!")</f>
        <v>#VALUE!</v>
      </c>
      <c r="J238" s="51" t="str">
        <f>IFERROR(__xludf.DUMMYFUNCTION("""COMPUTED_VALUE"""),"")</f>
        <v/>
      </c>
      <c r="K238" s="51"/>
      <c r="L238" s="51" t="s">
        <v>257</v>
      </c>
      <c r="M238" s="51"/>
      <c r="N238" s="51"/>
      <c r="O238" s="51"/>
      <c r="P238" s="51"/>
      <c r="Q238" s="51"/>
      <c r="R238" s="51"/>
      <c r="S238" s="51"/>
      <c r="T238" s="51"/>
    </row>
    <row r="239">
      <c r="A239" s="51"/>
      <c r="B239" s="51"/>
      <c r="C239" s="56"/>
      <c r="D239" s="51"/>
      <c r="E239" s="51"/>
      <c r="F239" s="51"/>
      <c r="G239" s="51" t="str">
        <f>IFERROR(__xludf.DUMMYFUNCTION("""COMPUTED_VALUE"""),"#VALUE!")</f>
        <v>#VALUE!</v>
      </c>
      <c r="H239" s="51" t="str">
        <f>IFERROR(__xludf.DUMMYFUNCTION("""COMPUTED_VALUE"""),"")</f>
        <v/>
      </c>
      <c r="I239" s="51" t="str">
        <f>IFERROR(__xludf.DUMMYFUNCTION("""COMPUTED_VALUE"""),"#VALUE!")</f>
        <v>#VALUE!</v>
      </c>
      <c r="J239" s="51" t="str">
        <f>IFERROR(__xludf.DUMMYFUNCTION("""COMPUTED_VALUE"""),"")</f>
        <v/>
      </c>
      <c r="K239" s="51"/>
      <c r="L239" s="51" t="s">
        <v>257</v>
      </c>
      <c r="M239" s="51"/>
      <c r="N239" s="51"/>
      <c r="O239" s="51"/>
      <c r="P239" s="51"/>
      <c r="Q239" s="51"/>
      <c r="R239" s="51"/>
      <c r="S239" s="51"/>
      <c r="T239" s="51"/>
    </row>
    <row r="240">
      <c r="A240" s="51"/>
      <c r="B240" s="51"/>
      <c r="C240" s="56"/>
      <c r="D240" s="51"/>
      <c r="E240" s="51"/>
      <c r="F240" s="51"/>
      <c r="G240" s="51" t="str">
        <f>IFERROR(__xludf.DUMMYFUNCTION("""COMPUTED_VALUE"""),"#VALUE!")</f>
        <v>#VALUE!</v>
      </c>
      <c r="H240" s="51" t="str">
        <f>IFERROR(__xludf.DUMMYFUNCTION("""COMPUTED_VALUE"""),"")</f>
        <v/>
      </c>
      <c r="I240" s="51" t="str">
        <f>IFERROR(__xludf.DUMMYFUNCTION("""COMPUTED_VALUE"""),"#VALUE!")</f>
        <v>#VALUE!</v>
      </c>
      <c r="J240" s="51" t="str">
        <f>IFERROR(__xludf.DUMMYFUNCTION("""COMPUTED_VALUE"""),"")</f>
        <v/>
      </c>
      <c r="K240" s="51"/>
      <c r="L240" s="51" t="s">
        <v>257</v>
      </c>
      <c r="M240" s="51"/>
      <c r="N240" s="51"/>
      <c r="O240" s="51"/>
      <c r="P240" s="51"/>
      <c r="Q240" s="51"/>
      <c r="R240" s="51"/>
      <c r="S240" s="51"/>
      <c r="T240" s="51"/>
    </row>
    <row r="241">
      <c r="A241" s="51"/>
      <c r="B241" s="51"/>
      <c r="C241" s="56"/>
      <c r="D241" s="51"/>
      <c r="E241" s="51"/>
      <c r="F241" s="51"/>
      <c r="G241" s="51" t="str">
        <f>IFERROR(__xludf.DUMMYFUNCTION("""COMPUTED_VALUE"""),"#VALUE!")</f>
        <v>#VALUE!</v>
      </c>
      <c r="H241" s="51" t="str">
        <f>IFERROR(__xludf.DUMMYFUNCTION("""COMPUTED_VALUE"""),"")</f>
        <v/>
      </c>
      <c r="I241" s="51" t="str">
        <f>IFERROR(__xludf.DUMMYFUNCTION("""COMPUTED_VALUE"""),"#VALUE!")</f>
        <v>#VALUE!</v>
      </c>
      <c r="J241" s="51" t="str">
        <f>IFERROR(__xludf.DUMMYFUNCTION("""COMPUTED_VALUE"""),"")</f>
        <v/>
      </c>
      <c r="K241" s="51"/>
      <c r="L241" s="51" t="s">
        <v>257</v>
      </c>
      <c r="M241" s="51"/>
      <c r="N241" s="51"/>
      <c r="O241" s="51"/>
      <c r="P241" s="51"/>
      <c r="Q241" s="51"/>
      <c r="R241" s="51"/>
      <c r="S241" s="51"/>
      <c r="T241" s="51"/>
    </row>
    <row r="242">
      <c r="A242" s="51"/>
      <c r="B242" s="51"/>
      <c r="C242" s="56"/>
      <c r="D242" s="51"/>
      <c r="E242" s="51"/>
      <c r="F242" s="51"/>
      <c r="G242" s="51" t="str">
        <f>IFERROR(__xludf.DUMMYFUNCTION("""COMPUTED_VALUE"""),"#VALUE!")</f>
        <v>#VALUE!</v>
      </c>
      <c r="H242" s="51" t="str">
        <f>IFERROR(__xludf.DUMMYFUNCTION("""COMPUTED_VALUE"""),"")</f>
        <v/>
      </c>
      <c r="I242" s="51" t="str">
        <f>IFERROR(__xludf.DUMMYFUNCTION("""COMPUTED_VALUE"""),"#VALUE!")</f>
        <v>#VALUE!</v>
      </c>
      <c r="J242" s="51" t="str">
        <f>IFERROR(__xludf.DUMMYFUNCTION("""COMPUTED_VALUE"""),"")</f>
        <v/>
      </c>
      <c r="K242" s="51"/>
      <c r="L242" s="51" t="s">
        <v>257</v>
      </c>
      <c r="M242" s="51"/>
      <c r="N242" s="51"/>
      <c r="O242" s="51"/>
      <c r="P242" s="51"/>
      <c r="Q242" s="51"/>
      <c r="R242" s="51"/>
      <c r="S242" s="51"/>
      <c r="T242" s="51"/>
    </row>
    <row r="243">
      <c r="A243" s="51"/>
      <c r="B243" s="51"/>
      <c r="C243" s="56"/>
      <c r="D243" s="51"/>
      <c r="E243" s="51"/>
      <c r="F243" s="51"/>
      <c r="G243" s="51" t="str">
        <f>IFERROR(__xludf.DUMMYFUNCTION("""COMPUTED_VALUE"""),"#VALUE!")</f>
        <v>#VALUE!</v>
      </c>
      <c r="H243" s="51" t="str">
        <f>IFERROR(__xludf.DUMMYFUNCTION("""COMPUTED_VALUE"""),"")</f>
        <v/>
      </c>
      <c r="I243" s="51" t="str">
        <f>IFERROR(__xludf.DUMMYFUNCTION("""COMPUTED_VALUE"""),"#VALUE!")</f>
        <v>#VALUE!</v>
      </c>
      <c r="J243" s="51" t="str">
        <f>IFERROR(__xludf.DUMMYFUNCTION("""COMPUTED_VALUE"""),"")</f>
        <v/>
      </c>
      <c r="K243" s="51"/>
      <c r="L243" s="51" t="s">
        <v>257</v>
      </c>
      <c r="M243" s="51"/>
      <c r="N243" s="51"/>
      <c r="O243" s="51"/>
      <c r="P243" s="51"/>
      <c r="Q243" s="51"/>
      <c r="R243" s="51"/>
      <c r="S243" s="51"/>
      <c r="T243" s="51"/>
    </row>
    <row r="244">
      <c r="A244" s="51"/>
      <c r="B244" s="51"/>
      <c r="C244" s="56"/>
      <c r="D244" s="51"/>
      <c r="E244" s="51"/>
      <c r="F244" s="51"/>
      <c r="G244" s="51" t="str">
        <f>IFERROR(__xludf.DUMMYFUNCTION("""COMPUTED_VALUE"""),"#VALUE!")</f>
        <v>#VALUE!</v>
      </c>
      <c r="H244" s="51" t="str">
        <f>IFERROR(__xludf.DUMMYFUNCTION("""COMPUTED_VALUE"""),"")</f>
        <v/>
      </c>
      <c r="I244" s="51" t="str">
        <f>IFERROR(__xludf.DUMMYFUNCTION("""COMPUTED_VALUE"""),"#VALUE!")</f>
        <v>#VALUE!</v>
      </c>
      <c r="J244" s="51" t="str">
        <f>IFERROR(__xludf.DUMMYFUNCTION("""COMPUTED_VALUE"""),"")</f>
        <v/>
      </c>
      <c r="K244" s="51"/>
      <c r="L244" s="51" t="s">
        <v>257</v>
      </c>
      <c r="M244" s="51"/>
      <c r="N244" s="51"/>
      <c r="O244" s="51"/>
      <c r="P244" s="51"/>
      <c r="Q244" s="51"/>
      <c r="R244" s="51"/>
      <c r="S244" s="51"/>
      <c r="T244" s="51"/>
    </row>
    <row r="245">
      <c r="A245" s="51"/>
      <c r="B245" s="51"/>
      <c r="C245" s="56"/>
      <c r="D245" s="51"/>
      <c r="E245" s="51"/>
      <c r="F245" s="51"/>
      <c r="G245" s="51" t="str">
        <f>IFERROR(__xludf.DUMMYFUNCTION("""COMPUTED_VALUE"""),"#VALUE!")</f>
        <v>#VALUE!</v>
      </c>
      <c r="H245" s="51" t="str">
        <f>IFERROR(__xludf.DUMMYFUNCTION("""COMPUTED_VALUE"""),"")</f>
        <v/>
      </c>
      <c r="I245" s="51" t="str">
        <f>IFERROR(__xludf.DUMMYFUNCTION("""COMPUTED_VALUE"""),"#VALUE!")</f>
        <v>#VALUE!</v>
      </c>
      <c r="J245" s="51" t="str">
        <f>IFERROR(__xludf.DUMMYFUNCTION("""COMPUTED_VALUE"""),"")</f>
        <v/>
      </c>
      <c r="K245" s="51"/>
      <c r="L245" s="51" t="s">
        <v>257</v>
      </c>
      <c r="M245" s="51"/>
      <c r="N245" s="51"/>
      <c r="O245" s="51"/>
      <c r="P245" s="51"/>
      <c r="Q245" s="51"/>
      <c r="R245" s="51"/>
      <c r="S245" s="51"/>
      <c r="T245" s="51"/>
    </row>
    <row r="246">
      <c r="A246" s="51"/>
      <c r="B246" s="51"/>
      <c r="C246" s="56"/>
      <c r="D246" s="51"/>
      <c r="E246" s="51"/>
      <c r="F246" s="51"/>
      <c r="G246" s="51" t="str">
        <f>IFERROR(__xludf.DUMMYFUNCTION("""COMPUTED_VALUE"""),"#VALUE!")</f>
        <v>#VALUE!</v>
      </c>
      <c r="H246" s="51" t="str">
        <f>IFERROR(__xludf.DUMMYFUNCTION("""COMPUTED_VALUE"""),"")</f>
        <v/>
      </c>
      <c r="I246" s="51" t="str">
        <f>IFERROR(__xludf.DUMMYFUNCTION("""COMPUTED_VALUE"""),"#VALUE!")</f>
        <v>#VALUE!</v>
      </c>
      <c r="J246" s="51" t="str">
        <f>IFERROR(__xludf.DUMMYFUNCTION("""COMPUTED_VALUE"""),"")</f>
        <v/>
      </c>
      <c r="K246" s="51"/>
      <c r="L246" s="51" t="s">
        <v>257</v>
      </c>
      <c r="M246" s="51"/>
      <c r="N246" s="51"/>
      <c r="O246" s="51"/>
      <c r="P246" s="51"/>
      <c r="Q246" s="51"/>
      <c r="R246" s="51"/>
      <c r="S246" s="51"/>
      <c r="T246" s="51"/>
    </row>
    <row r="247">
      <c r="A247" s="51"/>
      <c r="B247" s="51"/>
      <c r="C247" s="56"/>
      <c r="D247" s="51"/>
      <c r="E247" s="51"/>
      <c r="F247" s="51"/>
      <c r="G247" s="51" t="str">
        <f>IFERROR(__xludf.DUMMYFUNCTION("""COMPUTED_VALUE"""),"#VALUE!")</f>
        <v>#VALUE!</v>
      </c>
      <c r="H247" s="51" t="str">
        <f>IFERROR(__xludf.DUMMYFUNCTION("""COMPUTED_VALUE"""),"")</f>
        <v/>
      </c>
      <c r="I247" s="51" t="str">
        <f>IFERROR(__xludf.DUMMYFUNCTION("""COMPUTED_VALUE"""),"#VALUE!")</f>
        <v>#VALUE!</v>
      </c>
      <c r="J247" s="51" t="str">
        <f>IFERROR(__xludf.DUMMYFUNCTION("""COMPUTED_VALUE"""),"")</f>
        <v/>
      </c>
      <c r="K247" s="51"/>
      <c r="L247" s="51" t="s">
        <v>257</v>
      </c>
      <c r="M247" s="51"/>
      <c r="N247" s="51"/>
      <c r="O247" s="51"/>
      <c r="P247" s="51"/>
      <c r="Q247" s="51"/>
      <c r="R247" s="51"/>
      <c r="S247" s="51"/>
      <c r="T247" s="51"/>
    </row>
    <row r="248">
      <c r="A248" s="51"/>
      <c r="B248" s="51"/>
      <c r="C248" s="56"/>
      <c r="D248" s="51"/>
      <c r="E248" s="51"/>
      <c r="F248" s="51"/>
      <c r="G248" s="51" t="str">
        <f>IFERROR(__xludf.DUMMYFUNCTION("""COMPUTED_VALUE"""),"#VALUE!")</f>
        <v>#VALUE!</v>
      </c>
      <c r="H248" s="51" t="str">
        <f>IFERROR(__xludf.DUMMYFUNCTION("""COMPUTED_VALUE"""),"")</f>
        <v/>
      </c>
      <c r="I248" s="51" t="str">
        <f>IFERROR(__xludf.DUMMYFUNCTION("""COMPUTED_VALUE"""),"#VALUE!")</f>
        <v>#VALUE!</v>
      </c>
      <c r="J248" s="51" t="str">
        <f>IFERROR(__xludf.DUMMYFUNCTION("""COMPUTED_VALUE"""),"")</f>
        <v/>
      </c>
      <c r="K248" s="51"/>
      <c r="L248" s="51" t="s">
        <v>257</v>
      </c>
      <c r="M248" s="51"/>
      <c r="N248" s="51"/>
      <c r="O248" s="51"/>
      <c r="P248" s="51"/>
      <c r="Q248" s="51"/>
      <c r="R248" s="51"/>
      <c r="S248" s="51"/>
      <c r="T248" s="51"/>
    </row>
    <row r="249">
      <c r="A249" s="51"/>
      <c r="B249" s="51"/>
      <c r="C249" s="56"/>
      <c r="D249" s="51"/>
      <c r="E249" s="51"/>
      <c r="F249" s="51"/>
      <c r="G249" s="51" t="str">
        <f>IFERROR(__xludf.DUMMYFUNCTION("""COMPUTED_VALUE"""),"#VALUE!")</f>
        <v>#VALUE!</v>
      </c>
      <c r="H249" s="51" t="str">
        <f>IFERROR(__xludf.DUMMYFUNCTION("""COMPUTED_VALUE"""),"")</f>
        <v/>
      </c>
      <c r="I249" s="51" t="str">
        <f>IFERROR(__xludf.DUMMYFUNCTION("""COMPUTED_VALUE"""),"#VALUE!")</f>
        <v>#VALUE!</v>
      </c>
      <c r="J249" s="51" t="str">
        <f>IFERROR(__xludf.DUMMYFUNCTION("""COMPUTED_VALUE"""),"")</f>
        <v/>
      </c>
      <c r="K249" s="51"/>
      <c r="L249" s="51" t="s">
        <v>257</v>
      </c>
      <c r="M249" s="51"/>
      <c r="N249" s="51"/>
      <c r="O249" s="51"/>
      <c r="P249" s="51"/>
      <c r="Q249" s="51"/>
      <c r="R249" s="51"/>
      <c r="S249" s="51"/>
      <c r="T249" s="51"/>
    </row>
    <row r="250">
      <c r="A250" s="51"/>
      <c r="B250" s="51"/>
      <c r="C250" s="56"/>
      <c r="D250" s="51"/>
      <c r="E250" s="51"/>
      <c r="F250" s="51"/>
      <c r="G250" s="51" t="str">
        <f>IFERROR(__xludf.DUMMYFUNCTION("""COMPUTED_VALUE"""),"#VALUE!")</f>
        <v>#VALUE!</v>
      </c>
      <c r="H250" s="51" t="str">
        <f>IFERROR(__xludf.DUMMYFUNCTION("""COMPUTED_VALUE"""),"")</f>
        <v/>
      </c>
      <c r="I250" s="51" t="str">
        <f>IFERROR(__xludf.DUMMYFUNCTION("""COMPUTED_VALUE"""),"#VALUE!")</f>
        <v>#VALUE!</v>
      </c>
      <c r="J250" s="51" t="str">
        <f>IFERROR(__xludf.DUMMYFUNCTION("""COMPUTED_VALUE"""),"")</f>
        <v/>
      </c>
      <c r="K250" s="51"/>
      <c r="L250" s="51" t="s">
        <v>257</v>
      </c>
      <c r="M250" s="51"/>
      <c r="N250" s="51"/>
      <c r="O250" s="51"/>
      <c r="P250" s="51"/>
      <c r="Q250" s="51"/>
      <c r="R250" s="51"/>
      <c r="S250" s="51"/>
      <c r="T250" s="51"/>
    </row>
    <row r="251">
      <c r="A251" s="51"/>
      <c r="B251" s="51"/>
      <c r="C251" s="56"/>
      <c r="D251" s="51"/>
      <c r="E251" s="51"/>
      <c r="F251" s="51"/>
      <c r="G251" s="51" t="str">
        <f>IFERROR(__xludf.DUMMYFUNCTION("""COMPUTED_VALUE"""),"#VALUE!")</f>
        <v>#VALUE!</v>
      </c>
      <c r="H251" s="51" t="str">
        <f>IFERROR(__xludf.DUMMYFUNCTION("""COMPUTED_VALUE"""),"")</f>
        <v/>
      </c>
      <c r="I251" s="51" t="str">
        <f>IFERROR(__xludf.DUMMYFUNCTION("""COMPUTED_VALUE"""),"#VALUE!")</f>
        <v>#VALUE!</v>
      </c>
      <c r="J251" s="51" t="str">
        <f>IFERROR(__xludf.DUMMYFUNCTION("""COMPUTED_VALUE"""),"")</f>
        <v/>
      </c>
      <c r="K251" s="51"/>
      <c r="L251" s="51" t="s">
        <v>257</v>
      </c>
      <c r="M251" s="51"/>
      <c r="N251" s="51"/>
      <c r="O251" s="51"/>
      <c r="P251" s="51"/>
      <c r="Q251" s="51"/>
      <c r="R251" s="51"/>
      <c r="S251" s="51"/>
      <c r="T251" s="51"/>
    </row>
    <row r="252">
      <c r="A252" s="51"/>
      <c r="B252" s="51"/>
      <c r="C252" s="56"/>
      <c r="D252" s="51"/>
      <c r="E252" s="51"/>
      <c r="F252" s="51"/>
      <c r="G252" s="51" t="str">
        <f>IFERROR(__xludf.DUMMYFUNCTION("""COMPUTED_VALUE"""),"#VALUE!")</f>
        <v>#VALUE!</v>
      </c>
      <c r="H252" s="51" t="str">
        <f>IFERROR(__xludf.DUMMYFUNCTION("""COMPUTED_VALUE"""),"")</f>
        <v/>
      </c>
      <c r="I252" s="51" t="str">
        <f>IFERROR(__xludf.DUMMYFUNCTION("""COMPUTED_VALUE"""),"#VALUE!")</f>
        <v>#VALUE!</v>
      </c>
      <c r="J252" s="51" t="str">
        <f>IFERROR(__xludf.DUMMYFUNCTION("""COMPUTED_VALUE"""),"")</f>
        <v/>
      </c>
      <c r="K252" s="51"/>
      <c r="L252" s="51" t="s">
        <v>257</v>
      </c>
      <c r="M252" s="51"/>
      <c r="N252" s="51"/>
      <c r="O252" s="51"/>
      <c r="P252" s="51"/>
      <c r="Q252" s="51"/>
      <c r="R252" s="51"/>
      <c r="S252" s="51"/>
      <c r="T252" s="51"/>
    </row>
    <row r="253">
      <c r="A253" s="51"/>
      <c r="B253" s="51"/>
      <c r="C253" s="56"/>
      <c r="D253" s="51"/>
      <c r="E253" s="51"/>
      <c r="F253" s="51"/>
      <c r="G253" s="51" t="str">
        <f>IFERROR(__xludf.DUMMYFUNCTION("""COMPUTED_VALUE"""),"#VALUE!")</f>
        <v>#VALUE!</v>
      </c>
      <c r="H253" s="51" t="str">
        <f>IFERROR(__xludf.DUMMYFUNCTION("""COMPUTED_VALUE"""),"")</f>
        <v/>
      </c>
      <c r="I253" s="51" t="str">
        <f>IFERROR(__xludf.DUMMYFUNCTION("""COMPUTED_VALUE"""),"#VALUE!")</f>
        <v>#VALUE!</v>
      </c>
      <c r="J253" s="51" t="str">
        <f>IFERROR(__xludf.DUMMYFUNCTION("""COMPUTED_VALUE"""),"")</f>
        <v/>
      </c>
      <c r="K253" s="51"/>
      <c r="L253" s="51" t="s">
        <v>257</v>
      </c>
      <c r="M253" s="51"/>
      <c r="N253" s="51"/>
      <c r="O253" s="51"/>
      <c r="P253" s="51"/>
      <c r="Q253" s="51"/>
      <c r="R253" s="51"/>
      <c r="S253" s="51"/>
      <c r="T253" s="51"/>
    </row>
    <row r="254">
      <c r="A254" s="51"/>
      <c r="B254" s="51"/>
      <c r="C254" s="56"/>
      <c r="D254" s="51"/>
      <c r="E254" s="51"/>
      <c r="F254" s="51"/>
      <c r="G254" s="51" t="str">
        <f>IFERROR(__xludf.DUMMYFUNCTION("""COMPUTED_VALUE"""),"#VALUE!")</f>
        <v>#VALUE!</v>
      </c>
      <c r="H254" s="51" t="str">
        <f>IFERROR(__xludf.DUMMYFUNCTION("""COMPUTED_VALUE"""),"")</f>
        <v/>
      </c>
      <c r="I254" s="51" t="str">
        <f>IFERROR(__xludf.DUMMYFUNCTION("""COMPUTED_VALUE"""),"#VALUE!")</f>
        <v>#VALUE!</v>
      </c>
      <c r="J254" s="51" t="str">
        <f>IFERROR(__xludf.DUMMYFUNCTION("""COMPUTED_VALUE"""),"")</f>
        <v/>
      </c>
      <c r="K254" s="51"/>
      <c r="L254" s="51" t="s">
        <v>257</v>
      </c>
      <c r="M254" s="51"/>
      <c r="N254" s="51"/>
      <c r="O254" s="51"/>
      <c r="P254" s="51"/>
      <c r="Q254" s="51"/>
      <c r="R254" s="51"/>
      <c r="S254" s="51"/>
      <c r="T254" s="51"/>
    </row>
    <row r="255">
      <c r="A255" s="51"/>
      <c r="B255" s="51"/>
      <c r="C255" s="56"/>
      <c r="D255" s="51"/>
      <c r="E255" s="51"/>
      <c r="F255" s="51"/>
      <c r="G255" s="51" t="str">
        <f>IFERROR(__xludf.DUMMYFUNCTION("""COMPUTED_VALUE"""),"#VALUE!")</f>
        <v>#VALUE!</v>
      </c>
      <c r="H255" s="51" t="str">
        <f>IFERROR(__xludf.DUMMYFUNCTION("""COMPUTED_VALUE"""),"")</f>
        <v/>
      </c>
      <c r="I255" s="51" t="str">
        <f>IFERROR(__xludf.DUMMYFUNCTION("""COMPUTED_VALUE"""),"#VALUE!")</f>
        <v>#VALUE!</v>
      </c>
      <c r="J255" s="51" t="str">
        <f>IFERROR(__xludf.DUMMYFUNCTION("""COMPUTED_VALUE"""),"")</f>
        <v/>
      </c>
      <c r="K255" s="51"/>
      <c r="L255" s="51" t="s">
        <v>257</v>
      </c>
      <c r="M255" s="51"/>
      <c r="N255" s="51"/>
      <c r="O255" s="51"/>
      <c r="P255" s="51"/>
      <c r="Q255" s="51"/>
      <c r="R255" s="51"/>
      <c r="S255" s="51"/>
      <c r="T255" s="51"/>
    </row>
    <row r="256">
      <c r="A256" s="51"/>
      <c r="B256" s="51"/>
      <c r="C256" s="56"/>
      <c r="D256" s="51"/>
      <c r="E256" s="51"/>
      <c r="F256" s="51"/>
      <c r="G256" s="51" t="str">
        <f>IFERROR(__xludf.DUMMYFUNCTION("""COMPUTED_VALUE"""),"#VALUE!")</f>
        <v>#VALUE!</v>
      </c>
      <c r="H256" s="51" t="str">
        <f>IFERROR(__xludf.DUMMYFUNCTION("""COMPUTED_VALUE"""),"")</f>
        <v/>
      </c>
      <c r="I256" s="51" t="str">
        <f>IFERROR(__xludf.DUMMYFUNCTION("""COMPUTED_VALUE"""),"#VALUE!")</f>
        <v>#VALUE!</v>
      </c>
      <c r="J256" s="51" t="str">
        <f>IFERROR(__xludf.DUMMYFUNCTION("""COMPUTED_VALUE"""),"")</f>
        <v/>
      </c>
      <c r="K256" s="51"/>
      <c r="L256" s="51" t="s">
        <v>257</v>
      </c>
      <c r="M256" s="51"/>
      <c r="N256" s="51"/>
      <c r="O256" s="51"/>
      <c r="P256" s="51"/>
      <c r="Q256" s="51"/>
      <c r="R256" s="51"/>
      <c r="S256" s="51"/>
      <c r="T256" s="51"/>
    </row>
    <row r="257">
      <c r="A257" s="51"/>
      <c r="B257" s="51"/>
      <c r="C257" s="56"/>
      <c r="D257" s="51"/>
      <c r="E257" s="51"/>
      <c r="F257" s="51"/>
      <c r="G257" s="51" t="str">
        <f>IFERROR(__xludf.DUMMYFUNCTION("""COMPUTED_VALUE"""),"#VALUE!")</f>
        <v>#VALUE!</v>
      </c>
      <c r="H257" s="51" t="str">
        <f>IFERROR(__xludf.DUMMYFUNCTION("""COMPUTED_VALUE"""),"")</f>
        <v/>
      </c>
      <c r="I257" s="51" t="str">
        <f>IFERROR(__xludf.DUMMYFUNCTION("""COMPUTED_VALUE"""),"#VALUE!")</f>
        <v>#VALUE!</v>
      </c>
      <c r="J257" s="51" t="str">
        <f>IFERROR(__xludf.DUMMYFUNCTION("""COMPUTED_VALUE"""),"")</f>
        <v/>
      </c>
      <c r="K257" s="51"/>
      <c r="L257" s="51" t="s">
        <v>257</v>
      </c>
      <c r="M257" s="51"/>
      <c r="N257" s="51"/>
      <c r="O257" s="51"/>
      <c r="P257" s="51"/>
      <c r="Q257" s="51"/>
      <c r="R257" s="51"/>
      <c r="S257" s="51"/>
      <c r="T257" s="51"/>
    </row>
    <row r="258">
      <c r="A258" s="51"/>
      <c r="B258" s="51"/>
      <c r="C258" s="56"/>
      <c r="D258" s="51"/>
      <c r="E258" s="51"/>
      <c r="F258" s="51"/>
      <c r="G258" s="51" t="str">
        <f>IFERROR(__xludf.DUMMYFUNCTION("""COMPUTED_VALUE"""),"#VALUE!")</f>
        <v>#VALUE!</v>
      </c>
      <c r="H258" s="51" t="str">
        <f>IFERROR(__xludf.DUMMYFUNCTION("""COMPUTED_VALUE"""),"")</f>
        <v/>
      </c>
      <c r="I258" s="51" t="str">
        <f>IFERROR(__xludf.DUMMYFUNCTION("""COMPUTED_VALUE"""),"#VALUE!")</f>
        <v>#VALUE!</v>
      </c>
      <c r="J258" s="51" t="str">
        <f>IFERROR(__xludf.DUMMYFUNCTION("""COMPUTED_VALUE"""),"")</f>
        <v/>
      </c>
      <c r="K258" s="51"/>
      <c r="L258" s="51" t="s">
        <v>257</v>
      </c>
      <c r="M258" s="51"/>
      <c r="N258" s="51"/>
      <c r="O258" s="51"/>
      <c r="P258" s="51"/>
      <c r="Q258" s="51"/>
      <c r="R258" s="51"/>
      <c r="S258" s="51"/>
      <c r="T258" s="51"/>
    </row>
    <row r="259">
      <c r="A259" s="51"/>
      <c r="B259" s="51"/>
      <c r="C259" s="56"/>
      <c r="D259" s="51"/>
      <c r="E259" s="51"/>
      <c r="F259" s="51"/>
      <c r="G259" s="51" t="str">
        <f>IFERROR(__xludf.DUMMYFUNCTION("""COMPUTED_VALUE"""),"#VALUE!")</f>
        <v>#VALUE!</v>
      </c>
      <c r="H259" s="51" t="str">
        <f>IFERROR(__xludf.DUMMYFUNCTION("""COMPUTED_VALUE"""),"")</f>
        <v/>
      </c>
      <c r="I259" s="51" t="str">
        <f>IFERROR(__xludf.DUMMYFUNCTION("""COMPUTED_VALUE"""),"#VALUE!")</f>
        <v>#VALUE!</v>
      </c>
      <c r="J259" s="51" t="str">
        <f>IFERROR(__xludf.DUMMYFUNCTION("""COMPUTED_VALUE"""),"")</f>
        <v/>
      </c>
      <c r="K259" s="51"/>
      <c r="L259" s="51" t="s">
        <v>257</v>
      </c>
      <c r="M259" s="51"/>
      <c r="N259" s="51"/>
      <c r="O259" s="51"/>
      <c r="P259" s="51"/>
      <c r="Q259" s="51"/>
      <c r="R259" s="51"/>
      <c r="S259" s="51"/>
      <c r="T259" s="51"/>
    </row>
    <row r="260">
      <c r="A260" s="51"/>
      <c r="B260" s="51"/>
      <c r="C260" s="56"/>
      <c r="D260" s="51"/>
      <c r="E260" s="51"/>
      <c r="F260" s="51"/>
      <c r="G260" s="51" t="str">
        <f>IFERROR(__xludf.DUMMYFUNCTION("""COMPUTED_VALUE"""),"#VALUE!")</f>
        <v>#VALUE!</v>
      </c>
      <c r="H260" s="51" t="str">
        <f>IFERROR(__xludf.DUMMYFUNCTION("""COMPUTED_VALUE"""),"")</f>
        <v/>
      </c>
      <c r="I260" s="51" t="str">
        <f>IFERROR(__xludf.DUMMYFUNCTION("""COMPUTED_VALUE"""),"#VALUE!")</f>
        <v>#VALUE!</v>
      </c>
      <c r="J260" s="51" t="str">
        <f>IFERROR(__xludf.DUMMYFUNCTION("""COMPUTED_VALUE"""),"")</f>
        <v/>
      </c>
      <c r="K260" s="51"/>
      <c r="L260" s="51" t="s">
        <v>257</v>
      </c>
      <c r="M260" s="51"/>
      <c r="N260" s="51"/>
      <c r="O260" s="51"/>
      <c r="P260" s="51"/>
      <c r="Q260" s="51"/>
      <c r="R260" s="51"/>
      <c r="S260" s="51"/>
      <c r="T260" s="51"/>
    </row>
    <row r="261">
      <c r="A261" s="51"/>
      <c r="B261" s="51"/>
      <c r="C261" s="56"/>
      <c r="D261" s="51"/>
      <c r="E261" s="51"/>
      <c r="F261" s="51"/>
      <c r="G261" s="51" t="str">
        <f>IFERROR(__xludf.DUMMYFUNCTION("""COMPUTED_VALUE"""),"#VALUE!")</f>
        <v>#VALUE!</v>
      </c>
      <c r="H261" s="51" t="str">
        <f>IFERROR(__xludf.DUMMYFUNCTION("""COMPUTED_VALUE"""),"")</f>
        <v/>
      </c>
      <c r="I261" s="51" t="str">
        <f>IFERROR(__xludf.DUMMYFUNCTION("""COMPUTED_VALUE"""),"#VALUE!")</f>
        <v>#VALUE!</v>
      </c>
      <c r="J261" s="51" t="str">
        <f>IFERROR(__xludf.DUMMYFUNCTION("""COMPUTED_VALUE"""),"")</f>
        <v/>
      </c>
      <c r="K261" s="51"/>
      <c r="L261" s="51" t="s">
        <v>257</v>
      </c>
      <c r="M261" s="51"/>
      <c r="N261" s="51"/>
      <c r="O261" s="51"/>
      <c r="P261" s="51"/>
      <c r="Q261" s="51"/>
      <c r="R261" s="51"/>
      <c r="S261" s="51"/>
      <c r="T261" s="51"/>
    </row>
    <row r="262">
      <c r="A262" s="51"/>
      <c r="B262" s="51"/>
      <c r="C262" s="56"/>
      <c r="D262" s="51"/>
      <c r="E262" s="51"/>
      <c r="F262" s="51"/>
      <c r="G262" s="51" t="str">
        <f>IFERROR(__xludf.DUMMYFUNCTION("""COMPUTED_VALUE"""),"#VALUE!")</f>
        <v>#VALUE!</v>
      </c>
      <c r="H262" s="51" t="str">
        <f>IFERROR(__xludf.DUMMYFUNCTION("""COMPUTED_VALUE"""),"")</f>
        <v/>
      </c>
      <c r="I262" s="51" t="str">
        <f>IFERROR(__xludf.DUMMYFUNCTION("""COMPUTED_VALUE"""),"#VALUE!")</f>
        <v>#VALUE!</v>
      </c>
      <c r="J262" s="51" t="str">
        <f>IFERROR(__xludf.DUMMYFUNCTION("""COMPUTED_VALUE"""),"")</f>
        <v/>
      </c>
      <c r="K262" s="51"/>
      <c r="L262" s="51" t="s">
        <v>257</v>
      </c>
      <c r="M262" s="51"/>
      <c r="N262" s="51"/>
      <c r="O262" s="51"/>
      <c r="P262" s="51"/>
      <c r="Q262" s="51"/>
      <c r="R262" s="51"/>
      <c r="S262" s="51"/>
      <c r="T262" s="51"/>
    </row>
    <row r="263">
      <c r="A263" s="51"/>
      <c r="B263" s="51"/>
      <c r="C263" s="56"/>
      <c r="D263" s="51"/>
      <c r="E263" s="51"/>
      <c r="F263" s="51"/>
      <c r="G263" s="51" t="str">
        <f>IFERROR(__xludf.DUMMYFUNCTION("""COMPUTED_VALUE"""),"#VALUE!")</f>
        <v>#VALUE!</v>
      </c>
      <c r="H263" s="51" t="str">
        <f>IFERROR(__xludf.DUMMYFUNCTION("""COMPUTED_VALUE"""),"")</f>
        <v/>
      </c>
      <c r="I263" s="51" t="str">
        <f>IFERROR(__xludf.DUMMYFUNCTION("""COMPUTED_VALUE"""),"#VALUE!")</f>
        <v>#VALUE!</v>
      </c>
      <c r="J263" s="51" t="str">
        <f>IFERROR(__xludf.DUMMYFUNCTION("""COMPUTED_VALUE"""),"")</f>
        <v/>
      </c>
      <c r="K263" s="51"/>
      <c r="L263" s="51" t="s">
        <v>257</v>
      </c>
      <c r="M263" s="51"/>
      <c r="N263" s="51"/>
      <c r="O263" s="51"/>
      <c r="P263" s="51"/>
      <c r="Q263" s="51"/>
      <c r="R263" s="51"/>
      <c r="S263" s="51"/>
      <c r="T263" s="51"/>
    </row>
    <row r="264">
      <c r="A264" s="51"/>
      <c r="B264" s="51"/>
      <c r="C264" s="56"/>
      <c r="D264" s="51"/>
      <c r="E264" s="51"/>
      <c r="F264" s="51"/>
      <c r="G264" s="51" t="str">
        <f>IFERROR(__xludf.DUMMYFUNCTION("""COMPUTED_VALUE"""),"#VALUE!")</f>
        <v>#VALUE!</v>
      </c>
      <c r="H264" s="51" t="str">
        <f>IFERROR(__xludf.DUMMYFUNCTION("""COMPUTED_VALUE"""),"")</f>
        <v/>
      </c>
      <c r="I264" s="51" t="str">
        <f>IFERROR(__xludf.DUMMYFUNCTION("""COMPUTED_VALUE"""),"#VALUE!")</f>
        <v>#VALUE!</v>
      </c>
      <c r="J264" s="51" t="str">
        <f>IFERROR(__xludf.DUMMYFUNCTION("""COMPUTED_VALUE"""),"")</f>
        <v/>
      </c>
      <c r="K264" s="51"/>
      <c r="L264" s="51" t="s">
        <v>257</v>
      </c>
      <c r="M264" s="51"/>
      <c r="N264" s="51"/>
      <c r="O264" s="51"/>
      <c r="P264" s="51"/>
      <c r="Q264" s="51"/>
      <c r="R264" s="51"/>
      <c r="S264" s="51"/>
      <c r="T264" s="51"/>
    </row>
    <row r="265">
      <c r="A265" s="51"/>
      <c r="B265" s="51"/>
      <c r="C265" s="56"/>
      <c r="D265" s="51"/>
      <c r="E265" s="51"/>
      <c r="F265" s="51"/>
      <c r="G265" s="51" t="str">
        <f>IFERROR(__xludf.DUMMYFUNCTION("""COMPUTED_VALUE"""),"#VALUE!")</f>
        <v>#VALUE!</v>
      </c>
      <c r="H265" s="51" t="str">
        <f>IFERROR(__xludf.DUMMYFUNCTION("""COMPUTED_VALUE"""),"")</f>
        <v/>
      </c>
      <c r="I265" s="51" t="str">
        <f>IFERROR(__xludf.DUMMYFUNCTION("""COMPUTED_VALUE"""),"#VALUE!")</f>
        <v>#VALUE!</v>
      </c>
      <c r="J265" s="51" t="str">
        <f>IFERROR(__xludf.DUMMYFUNCTION("""COMPUTED_VALUE"""),"")</f>
        <v/>
      </c>
      <c r="K265" s="51"/>
      <c r="L265" s="51" t="s">
        <v>257</v>
      </c>
      <c r="M265" s="51"/>
      <c r="N265" s="51"/>
      <c r="O265" s="51"/>
      <c r="P265" s="51"/>
      <c r="Q265" s="51"/>
      <c r="R265" s="51"/>
      <c r="S265" s="51"/>
      <c r="T265" s="51"/>
    </row>
    <row r="266">
      <c r="A266" s="51"/>
      <c r="B266" s="51"/>
      <c r="C266" s="56"/>
      <c r="D266" s="51"/>
      <c r="E266" s="51"/>
      <c r="F266" s="51"/>
      <c r="G266" s="51" t="str">
        <f>IFERROR(__xludf.DUMMYFUNCTION("""COMPUTED_VALUE"""),"#VALUE!")</f>
        <v>#VALUE!</v>
      </c>
      <c r="H266" s="51" t="str">
        <f>IFERROR(__xludf.DUMMYFUNCTION("""COMPUTED_VALUE"""),"")</f>
        <v/>
      </c>
      <c r="I266" s="51" t="str">
        <f>IFERROR(__xludf.DUMMYFUNCTION("""COMPUTED_VALUE"""),"#VALUE!")</f>
        <v>#VALUE!</v>
      </c>
      <c r="J266" s="51" t="str">
        <f>IFERROR(__xludf.DUMMYFUNCTION("""COMPUTED_VALUE"""),"")</f>
        <v/>
      </c>
      <c r="K266" s="51"/>
      <c r="L266" s="51" t="s">
        <v>257</v>
      </c>
      <c r="M266" s="51"/>
      <c r="N266" s="51"/>
      <c r="O266" s="51"/>
      <c r="P266" s="51"/>
      <c r="Q266" s="51"/>
      <c r="R266" s="51"/>
      <c r="S266" s="51"/>
      <c r="T266" s="51"/>
    </row>
    <row r="267">
      <c r="A267" s="51"/>
      <c r="B267" s="51"/>
      <c r="C267" s="56"/>
      <c r="D267" s="51"/>
      <c r="E267" s="51"/>
      <c r="F267" s="51"/>
      <c r="G267" s="51" t="str">
        <f>IFERROR(__xludf.DUMMYFUNCTION("""COMPUTED_VALUE"""),"#VALUE!")</f>
        <v>#VALUE!</v>
      </c>
      <c r="H267" s="51" t="str">
        <f>IFERROR(__xludf.DUMMYFUNCTION("""COMPUTED_VALUE"""),"")</f>
        <v/>
      </c>
      <c r="I267" s="51" t="str">
        <f>IFERROR(__xludf.DUMMYFUNCTION("""COMPUTED_VALUE"""),"#VALUE!")</f>
        <v>#VALUE!</v>
      </c>
      <c r="J267" s="51" t="str">
        <f>IFERROR(__xludf.DUMMYFUNCTION("""COMPUTED_VALUE"""),"")</f>
        <v/>
      </c>
      <c r="K267" s="51"/>
      <c r="L267" s="51" t="s">
        <v>257</v>
      </c>
      <c r="M267" s="51"/>
      <c r="N267" s="51"/>
      <c r="O267" s="51"/>
      <c r="P267" s="51"/>
      <c r="Q267" s="51"/>
      <c r="R267" s="51"/>
      <c r="S267" s="51"/>
      <c r="T267" s="51"/>
    </row>
    <row r="268">
      <c r="A268" s="51"/>
      <c r="B268" s="51"/>
      <c r="C268" s="56"/>
      <c r="D268" s="51"/>
      <c r="E268" s="51"/>
      <c r="F268" s="51"/>
      <c r="G268" s="51" t="str">
        <f>IFERROR(__xludf.DUMMYFUNCTION("""COMPUTED_VALUE"""),"#VALUE!")</f>
        <v>#VALUE!</v>
      </c>
      <c r="H268" s="51" t="str">
        <f>IFERROR(__xludf.DUMMYFUNCTION("""COMPUTED_VALUE"""),"")</f>
        <v/>
      </c>
      <c r="I268" s="51" t="str">
        <f>IFERROR(__xludf.DUMMYFUNCTION("""COMPUTED_VALUE"""),"#VALUE!")</f>
        <v>#VALUE!</v>
      </c>
      <c r="J268" s="51" t="str">
        <f>IFERROR(__xludf.DUMMYFUNCTION("""COMPUTED_VALUE"""),"")</f>
        <v/>
      </c>
      <c r="K268" s="51"/>
      <c r="L268" s="51" t="s">
        <v>257</v>
      </c>
      <c r="M268" s="51"/>
      <c r="N268" s="51"/>
      <c r="O268" s="51"/>
      <c r="P268" s="51"/>
      <c r="Q268" s="51"/>
      <c r="R268" s="51"/>
      <c r="S268" s="51"/>
      <c r="T268" s="51"/>
    </row>
    <row r="269">
      <c r="A269" s="51"/>
      <c r="B269" s="51"/>
      <c r="C269" s="56"/>
      <c r="D269" s="51"/>
      <c r="E269" s="51"/>
      <c r="F269" s="51"/>
      <c r="G269" s="51" t="str">
        <f>IFERROR(__xludf.DUMMYFUNCTION("""COMPUTED_VALUE"""),"#VALUE!")</f>
        <v>#VALUE!</v>
      </c>
      <c r="H269" s="51" t="str">
        <f>IFERROR(__xludf.DUMMYFUNCTION("""COMPUTED_VALUE"""),"")</f>
        <v/>
      </c>
      <c r="I269" s="51" t="str">
        <f>IFERROR(__xludf.DUMMYFUNCTION("""COMPUTED_VALUE"""),"#VALUE!")</f>
        <v>#VALUE!</v>
      </c>
      <c r="J269" s="51" t="str">
        <f>IFERROR(__xludf.DUMMYFUNCTION("""COMPUTED_VALUE"""),"")</f>
        <v/>
      </c>
      <c r="K269" s="51"/>
      <c r="L269" s="51" t="s">
        <v>257</v>
      </c>
      <c r="M269" s="51"/>
      <c r="N269" s="51"/>
      <c r="O269" s="51"/>
      <c r="P269" s="51"/>
      <c r="Q269" s="51"/>
      <c r="R269" s="51"/>
      <c r="S269" s="51"/>
      <c r="T269" s="51"/>
    </row>
    <row r="270">
      <c r="A270" s="51"/>
      <c r="B270" s="51"/>
      <c r="C270" s="56"/>
      <c r="D270" s="51"/>
      <c r="E270" s="51"/>
      <c r="F270" s="51"/>
      <c r="G270" s="51" t="str">
        <f>IFERROR(__xludf.DUMMYFUNCTION("""COMPUTED_VALUE"""),"#VALUE!")</f>
        <v>#VALUE!</v>
      </c>
      <c r="H270" s="51" t="str">
        <f>IFERROR(__xludf.DUMMYFUNCTION("""COMPUTED_VALUE"""),"")</f>
        <v/>
      </c>
      <c r="I270" s="51" t="str">
        <f>IFERROR(__xludf.DUMMYFUNCTION("""COMPUTED_VALUE"""),"#VALUE!")</f>
        <v>#VALUE!</v>
      </c>
      <c r="J270" s="51" t="str">
        <f>IFERROR(__xludf.DUMMYFUNCTION("""COMPUTED_VALUE"""),"")</f>
        <v/>
      </c>
      <c r="K270" s="51"/>
      <c r="L270" s="51" t="s">
        <v>257</v>
      </c>
      <c r="M270" s="51"/>
      <c r="N270" s="51"/>
      <c r="O270" s="51"/>
      <c r="P270" s="51"/>
      <c r="Q270" s="51"/>
      <c r="R270" s="51"/>
      <c r="S270" s="51"/>
      <c r="T270" s="51"/>
    </row>
    <row r="271">
      <c r="A271" s="51"/>
      <c r="B271" s="51"/>
      <c r="C271" s="56"/>
      <c r="D271" s="51"/>
      <c r="E271" s="51"/>
      <c r="F271" s="51"/>
      <c r="G271" s="51" t="str">
        <f>IFERROR(__xludf.DUMMYFUNCTION("""COMPUTED_VALUE"""),"#VALUE!")</f>
        <v>#VALUE!</v>
      </c>
      <c r="H271" s="51" t="str">
        <f>IFERROR(__xludf.DUMMYFUNCTION("""COMPUTED_VALUE"""),"")</f>
        <v/>
      </c>
      <c r="I271" s="51" t="str">
        <f>IFERROR(__xludf.DUMMYFUNCTION("""COMPUTED_VALUE"""),"#VALUE!")</f>
        <v>#VALUE!</v>
      </c>
      <c r="J271" s="51" t="str">
        <f>IFERROR(__xludf.DUMMYFUNCTION("""COMPUTED_VALUE"""),"")</f>
        <v/>
      </c>
      <c r="K271" s="51"/>
      <c r="L271" s="51" t="s">
        <v>257</v>
      </c>
      <c r="M271" s="51"/>
      <c r="N271" s="51"/>
      <c r="O271" s="51"/>
      <c r="P271" s="51"/>
      <c r="Q271" s="51"/>
      <c r="R271" s="51"/>
      <c r="S271" s="51"/>
      <c r="T271" s="51"/>
    </row>
    <row r="272">
      <c r="A272" s="51"/>
      <c r="B272" s="51"/>
      <c r="C272" s="56"/>
      <c r="D272" s="51"/>
      <c r="E272" s="51"/>
      <c r="F272" s="51"/>
      <c r="G272" s="51" t="str">
        <f>IFERROR(__xludf.DUMMYFUNCTION("""COMPUTED_VALUE"""),"#VALUE!")</f>
        <v>#VALUE!</v>
      </c>
      <c r="H272" s="51" t="str">
        <f>IFERROR(__xludf.DUMMYFUNCTION("""COMPUTED_VALUE"""),"")</f>
        <v/>
      </c>
      <c r="I272" s="51" t="str">
        <f>IFERROR(__xludf.DUMMYFUNCTION("""COMPUTED_VALUE"""),"#VALUE!")</f>
        <v>#VALUE!</v>
      </c>
      <c r="J272" s="51" t="str">
        <f>IFERROR(__xludf.DUMMYFUNCTION("""COMPUTED_VALUE"""),"")</f>
        <v/>
      </c>
      <c r="K272" s="51"/>
      <c r="L272" s="51" t="s">
        <v>257</v>
      </c>
      <c r="M272" s="51"/>
      <c r="N272" s="51"/>
      <c r="O272" s="51"/>
      <c r="P272" s="51"/>
      <c r="Q272" s="51"/>
      <c r="R272" s="51"/>
      <c r="S272" s="51"/>
      <c r="T272" s="51"/>
    </row>
    <row r="273">
      <c r="A273" s="51"/>
      <c r="B273" s="51"/>
      <c r="C273" s="56"/>
      <c r="D273" s="51"/>
      <c r="E273" s="51"/>
      <c r="F273" s="51"/>
      <c r="G273" s="51" t="str">
        <f>IFERROR(__xludf.DUMMYFUNCTION("""COMPUTED_VALUE"""),"#VALUE!")</f>
        <v>#VALUE!</v>
      </c>
      <c r="H273" s="51" t="str">
        <f>IFERROR(__xludf.DUMMYFUNCTION("""COMPUTED_VALUE"""),"")</f>
        <v/>
      </c>
      <c r="I273" s="51" t="str">
        <f>IFERROR(__xludf.DUMMYFUNCTION("""COMPUTED_VALUE"""),"#VALUE!")</f>
        <v>#VALUE!</v>
      </c>
      <c r="J273" s="51" t="str">
        <f>IFERROR(__xludf.DUMMYFUNCTION("""COMPUTED_VALUE"""),"")</f>
        <v/>
      </c>
      <c r="K273" s="51"/>
      <c r="L273" s="51" t="s">
        <v>257</v>
      </c>
      <c r="M273" s="51"/>
      <c r="N273" s="51"/>
      <c r="O273" s="51"/>
      <c r="P273" s="51"/>
      <c r="Q273" s="51"/>
      <c r="R273" s="51"/>
      <c r="S273" s="51"/>
      <c r="T273" s="51"/>
    </row>
    <row r="274">
      <c r="A274" s="51"/>
      <c r="B274" s="51"/>
      <c r="C274" s="56"/>
      <c r="D274" s="51"/>
      <c r="E274" s="51"/>
      <c r="F274" s="51"/>
      <c r="G274" s="51" t="str">
        <f>IFERROR(__xludf.DUMMYFUNCTION("""COMPUTED_VALUE"""),"#VALUE!")</f>
        <v>#VALUE!</v>
      </c>
      <c r="H274" s="51" t="str">
        <f>IFERROR(__xludf.DUMMYFUNCTION("""COMPUTED_VALUE"""),"")</f>
        <v/>
      </c>
      <c r="I274" s="51" t="str">
        <f>IFERROR(__xludf.DUMMYFUNCTION("""COMPUTED_VALUE"""),"#VALUE!")</f>
        <v>#VALUE!</v>
      </c>
      <c r="J274" s="51" t="str">
        <f>IFERROR(__xludf.DUMMYFUNCTION("""COMPUTED_VALUE"""),"")</f>
        <v/>
      </c>
      <c r="K274" s="51"/>
      <c r="L274" s="51" t="s">
        <v>257</v>
      </c>
      <c r="M274" s="51"/>
      <c r="N274" s="51"/>
      <c r="O274" s="51"/>
      <c r="P274" s="51"/>
      <c r="Q274" s="51"/>
      <c r="R274" s="51"/>
      <c r="S274" s="51"/>
      <c r="T274" s="51"/>
    </row>
    <row r="275">
      <c r="A275" s="51"/>
      <c r="B275" s="51"/>
      <c r="C275" s="56"/>
      <c r="D275" s="51"/>
      <c r="E275" s="51"/>
      <c r="F275" s="51"/>
      <c r="G275" s="51" t="str">
        <f>IFERROR(__xludf.DUMMYFUNCTION("""COMPUTED_VALUE"""),"#VALUE!")</f>
        <v>#VALUE!</v>
      </c>
      <c r="H275" s="51" t="str">
        <f>IFERROR(__xludf.DUMMYFUNCTION("""COMPUTED_VALUE"""),"")</f>
        <v/>
      </c>
      <c r="I275" s="51" t="str">
        <f>IFERROR(__xludf.DUMMYFUNCTION("""COMPUTED_VALUE"""),"#VALUE!")</f>
        <v>#VALUE!</v>
      </c>
      <c r="J275" s="51" t="str">
        <f>IFERROR(__xludf.DUMMYFUNCTION("""COMPUTED_VALUE"""),"")</f>
        <v/>
      </c>
      <c r="K275" s="51"/>
      <c r="L275" s="51" t="s">
        <v>257</v>
      </c>
      <c r="M275" s="51"/>
      <c r="N275" s="51"/>
      <c r="O275" s="51"/>
      <c r="P275" s="51"/>
      <c r="Q275" s="51"/>
      <c r="R275" s="51"/>
      <c r="S275" s="51"/>
      <c r="T275" s="51"/>
    </row>
    <row r="276">
      <c r="A276" s="51"/>
      <c r="B276" s="51"/>
      <c r="C276" s="56"/>
      <c r="D276" s="51"/>
      <c r="E276" s="51"/>
      <c r="F276" s="51"/>
      <c r="G276" s="51" t="str">
        <f>IFERROR(__xludf.DUMMYFUNCTION("""COMPUTED_VALUE"""),"#VALUE!")</f>
        <v>#VALUE!</v>
      </c>
      <c r="H276" s="51" t="str">
        <f>IFERROR(__xludf.DUMMYFUNCTION("""COMPUTED_VALUE"""),"")</f>
        <v/>
      </c>
      <c r="I276" s="51" t="str">
        <f>IFERROR(__xludf.DUMMYFUNCTION("""COMPUTED_VALUE"""),"#VALUE!")</f>
        <v>#VALUE!</v>
      </c>
      <c r="J276" s="51" t="str">
        <f>IFERROR(__xludf.DUMMYFUNCTION("""COMPUTED_VALUE"""),"")</f>
        <v/>
      </c>
      <c r="K276" s="51"/>
      <c r="L276" s="51" t="s">
        <v>257</v>
      </c>
      <c r="M276" s="51"/>
      <c r="N276" s="51"/>
      <c r="O276" s="51"/>
      <c r="P276" s="51"/>
      <c r="Q276" s="51"/>
      <c r="R276" s="51"/>
      <c r="S276" s="51"/>
      <c r="T276" s="51"/>
    </row>
    <row r="277">
      <c r="A277" s="51"/>
      <c r="B277" s="51"/>
      <c r="C277" s="56"/>
      <c r="D277" s="51"/>
      <c r="E277" s="51"/>
      <c r="F277" s="51"/>
      <c r="G277" s="51" t="str">
        <f>IFERROR(__xludf.DUMMYFUNCTION("""COMPUTED_VALUE"""),"#VALUE!")</f>
        <v>#VALUE!</v>
      </c>
      <c r="H277" s="51" t="str">
        <f>IFERROR(__xludf.DUMMYFUNCTION("""COMPUTED_VALUE"""),"")</f>
        <v/>
      </c>
      <c r="I277" s="51" t="str">
        <f>IFERROR(__xludf.DUMMYFUNCTION("""COMPUTED_VALUE"""),"#VALUE!")</f>
        <v>#VALUE!</v>
      </c>
      <c r="J277" s="51" t="str">
        <f>IFERROR(__xludf.DUMMYFUNCTION("""COMPUTED_VALUE"""),"")</f>
        <v/>
      </c>
      <c r="K277" s="51"/>
      <c r="L277" s="51" t="s">
        <v>257</v>
      </c>
      <c r="M277" s="51"/>
      <c r="N277" s="51"/>
      <c r="O277" s="51"/>
      <c r="P277" s="51"/>
      <c r="Q277" s="51"/>
      <c r="R277" s="51"/>
      <c r="S277" s="51"/>
      <c r="T277" s="51"/>
    </row>
    <row r="278">
      <c r="A278" s="51"/>
      <c r="B278" s="51"/>
      <c r="C278" s="56"/>
      <c r="D278" s="51"/>
      <c r="E278" s="51"/>
      <c r="F278" s="51"/>
      <c r="G278" s="51" t="str">
        <f>IFERROR(__xludf.DUMMYFUNCTION("""COMPUTED_VALUE"""),"#VALUE!")</f>
        <v>#VALUE!</v>
      </c>
      <c r="H278" s="51" t="str">
        <f>IFERROR(__xludf.DUMMYFUNCTION("""COMPUTED_VALUE"""),"")</f>
        <v/>
      </c>
      <c r="I278" s="51" t="str">
        <f>IFERROR(__xludf.DUMMYFUNCTION("""COMPUTED_VALUE"""),"#VALUE!")</f>
        <v>#VALUE!</v>
      </c>
      <c r="J278" s="51" t="str">
        <f>IFERROR(__xludf.DUMMYFUNCTION("""COMPUTED_VALUE"""),"")</f>
        <v/>
      </c>
      <c r="K278" s="51"/>
      <c r="L278" s="51" t="s">
        <v>257</v>
      </c>
      <c r="M278" s="51"/>
      <c r="N278" s="51"/>
      <c r="O278" s="51"/>
      <c r="P278" s="51"/>
      <c r="Q278" s="51"/>
      <c r="R278" s="51"/>
      <c r="S278" s="51"/>
      <c r="T278" s="51"/>
    </row>
    <row r="279">
      <c r="A279" s="51"/>
      <c r="B279" s="51"/>
      <c r="C279" s="56"/>
      <c r="D279" s="51"/>
      <c r="E279" s="51"/>
      <c r="F279" s="51"/>
      <c r="G279" s="51" t="str">
        <f>IFERROR(__xludf.DUMMYFUNCTION("""COMPUTED_VALUE"""),"#VALUE!")</f>
        <v>#VALUE!</v>
      </c>
      <c r="H279" s="51" t="str">
        <f>IFERROR(__xludf.DUMMYFUNCTION("""COMPUTED_VALUE"""),"")</f>
        <v/>
      </c>
      <c r="I279" s="51" t="str">
        <f>IFERROR(__xludf.DUMMYFUNCTION("""COMPUTED_VALUE"""),"#VALUE!")</f>
        <v>#VALUE!</v>
      </c>
      <c r="J279" s="51" t="str">
        <f>IFERROR(__xludf.DUMMYFUNCTION("""COMPUTED_VALUE"""),"")</f>
        <v/>
      </c>
      <c r="K279" s="51"/>
      <c r="L279" s="51" t="s">
        <v>257</v>
      </c>
      <c r="M279" s="51"/>
      <c r="N279" s="51"/>
      <c r="O279" s="51"/>
      <c r="P279" s="51"/>
      <c r="Q279" s="51"/>
      <c r="R279" s="51"/>
      <c r="S279" s="51"/>
      <c r="T279" s="51"/>
    </row>
    <row r="280">
      <c r="A280" s="51"/>
      <c r="B280" s="51"/>
      <c r="C280" s="56"/>
      <c r="D280" s="51"/>
      <c r="E280" s="51"/>
      <c r="F280" s="51"/>
      <c r="G280" s="51" t="str">
        <f>IFERROR(__xludf.DUMMYFUNCTION("""COMPUTED_VALUE"""),"#VALUE!")</f>
        <v>#VALUE!</v>
      </c>
      <c r="H280" s="51" t="str">
        <f>IFERROR(__xludf.DUMMYFUNCTION("""COMPUTED_VALUE"""),"")</f>
        <v/>
      </c>
      <c r="I280" s="51" t="str">
        <f>IFERROR(__xludf.DUMMYFUNCTION("""COMPUTED_VALUE"""),"#VALUE!")</f>
        <v>#VALUE!</v>
      </c>
      <c r="J280" s="51" t="str">
        <f>IFERROR(__xludf.DUMMYFUNCTION("""COMPUTED_VALUE"""),"")</f>
        <v/>
      </c>
      <c r="K280" s="51"/>
      <c r="L280" s="51" t="s">
        <v>257</v>
      </c>
      <c r="M280" s="51"/>
      <c r="N280" s="51"/>
      <c r="O280" s="51"/>
      <c r="P280" s="51"/>
      <c r="Q280" s="51"/>
      <c r="R280" s="51"/>
      <c r="S280" s="51"/>
      <c r="T280" s="51"/>
    </row>
    <row r="281">
      <c r="A281" s="51"/>
      <c r="B281" s="51"/>
      <c r="C281" s="56"/>
      <c r="D281" s="51"/>
      <c r="E281" s="51"/>
      <c r="F281" s="51"/>
      <c r="G281" s="51" t="str">
        <f>IFERROR(__xludf.DUMMYFUNCTION("""COMPUTED_VALUE"""),"#VALUE!")</f>
        <v>#VALUE!</v>
      </c>
      <c r="H281" s="51" t="str">
        <f>IFERROR(__xludf.DUMMYFUNCTION("""COMPUTED_VALUE"""),"")</f>
        <v/>
      </c>
      <c r="I281" s="51" t="str">
        <f>IFERROR(__xludf.DUMMYFUNCTION("""COMPUTED_VALUE"""),"#VALUE!")</f>
        <v>#VALUE!</v>
      </c>
      <c r="J281" s="51" t="str">
        <f>IFERROR(__xludf.DUMMYFUNCTION("""COMPUTED_VALUE"""),"")</f>
        <v/>
      </c>
      <c r="K281" s="51"/>
      <c r="L281" s="51" t="s">
        <v>257</v>
      </c>
      <c r="M281" s="51"/>
      <c r="N281" s="51"/>
      <c r="O281" s="51"/>
      <c r="P281" s="51"/>
      <c r="Q281" s="51"/>
      <c r="R281" s="51"/>
      <c r="S281" s="51"/>
      <c r="T281" s="51"/>
    </row>
    <row r="282">
      <c r="A282" s="51"/>
      <c r="B282" s="51"/>
      <c r="C282" s="56"/>
      <c r="D282" s="51"/>
      <c r="E282" s="51"/>
      <c r="F282" s="51"/>
      <c r="G282" s="51" t="str">
        <f>IFERROR(__xludf.DUMMYFUNCTION("""COMPUTED_VALUE"""),"#VALUE!")</f>
        <v>#VALUE!</v>
      </c>
      <c r="H282" s="51" t="str">
        <f>IFERROR(__xludf.DUMMYFUNCTION("""COMPUTED_VALUE"""),"")</f>
        <v/>
      </c>
      <c r="I282" s="51" t="str">
        <f>IFERROR(__xludf.DUMMYFUNCTION("""COMPUTED_VALUE"""),"#VALUE!")</f>
        <v>#VALUE!</v>
      </c>
      <c r="J282" s="51" t="str">
        <f>IFERROR(__xludf.DUMMYFUNCTION("""COMPUTED_VALUE"""),"")</f>
        <v/>
      </c>
      <c r="K282" s="51"/>
      <c r="L282" s="51" t="s">
        <v>257</v>
      </c>
      <c r="M282" s="51"/>
      <c r="N282" s="51"/>
      <c r="O282" s="51"/>
      <c r="P282" s="51"/>
      <c r="Q282" s="51"/>
      <c r="R282" s="51"/>
      <c r="S282" s="51"/>
      <c r="T282" s="51"/>
    </row>
    <row r="283">
      <c r="A283" s="51"/>
      <c r="B283" s="51"/>
      <c r="C283" s="56"/>
      <c r="D283" s="51"/>
      <c r="E283" s="51"/>
      <c r="F283" s="51"/>
      <c r="G283" s="51" t="str">
        <f>IFERROR(__xludf.DUMMYFUNCTION("""COMPUTED_VALUE"""),"#VALUE!")</f>
        <v>#VALUE!</v>
      </c>
      <c r="H283" s="51" t="str">
        <f>IFERROR(__xludf.DUMMYFUNCTION("""COMPUTED_VALUE"""),"")</f>
        <v/>
      </c>
      <c r="I283" s="51" t="str">
        <f>IFERROR(__xludf.DUMMYFUNCTION("""COMPUTED_VALUE"""),"#VALUE!")</f>
        <v>#VALUE!</v>
      </c>
      <c r="J283" s="51" t="str">
        <f>IFERROR(__xludf.DUMMYFUNCTION("""COMPUTED_VALUE"""),"")</f>
        <v/>
      </c>
      <c r="K283" s="51"/>
      <c r="L283" s="51" t="s">
        <v>257</v>
      </c>
      <c r="M283" s="51"/>
      <c r="N283" s="51"/>
      <c r="O283" s="51"/>
      <c r="P283" s="51"/>
      <c r="Q283" s="51"/>
      <c r="R283" s="51"/>
      <c r="S283" s="51"/>
      <c r="T283" s="51"/>
    </row>
    <row r="284">
      <c r="A284" s="51"/>
      <c r="B284" s="51"/>
      <c r="C284" s="56"/>
      <c r="D284" s="51"/>
      <c r="E284" s="51"/>
      <c r="F284" s="51"/>
      <c r="G284" s="51" t="str">
        <f>IFERROR(__xludf.DUMMYFUNCTION("""COMPUTED_VALUE"""),"#VALUE!")</f>
        <v>#VALUE!</v>
      </c>
      <c r="H284" s="51" t="str">
        <f>IFERROR(__xludf.DUMMYFUNCTION("""COMPUTED_VALUE"""),"")</f>
        <v/>
      </c>
      <c r="I284" s="51" t="str">
        <f>IFERROR(__xludf.DUMMYFUNCTION("""COMPUTED_VALUE"""),"#VALUE!")</f>
        <v>#VALUE!</v>
      </c>
      <c r="J284" s="51" t="str">
        <f>IFERROR(__xludf.DUMMYFUNCTION("""COMPUTED_VALUE"""),"")</f>
        <v/>
      </c>
      <c r="K284" s="51"/>
      <c r="L284" s="51" t="s">
        <v>257</v>
      </c>
      <c r="M284" s="51"/>
      <c r="N284" s="51"/>
      <c r="O284" s="51"/>
      <c r="P284" s="51"/>
      <c r="Q284" s="51"/>
      <c r="R284" s="51"/>
      <c r="S284" s="51"/>
      <c r="T284" s="51"/>
    </row>
    <row r="285">
      <c r="A285" s="51"/>
      <c r="B285" s="51"/>
      <c r="C285" s="56"/>
      <c r="D285" s="51"/>
      <c r="E285" s="51"/>
      <c r="F285" s="51"/>
      <c r="G285" s="51" t="str">
        <f>IFERROR(__xludf.DUMMYFUNCTION("""COMPUTED_VALUE"""),"#VALUE!")</f>
        <v>#VALUE!</v>
      </c>
      <c r="H285" s="51" t="str">
        <f>IFERROR(__xludf.DUMMYFUNCTION("""COMPUTED_VALUE"""),"")</f>
        <v/>
      </c>
      <c r="I285" s="51" t="str">
        <f>IFERROR(__xludf.DUMMYFUNCTION("""COMPUTED_VALUE"""),"#VALUE!")</f>
        <v>#VALUE!</v>
      </c>
      <c r="J285" s="51" t="str">
        <f>IFERROR(__xludf.DUMMYFUNCTION("""COMPUTED_VALUE"""),"")</f>
        <v/>
      </c>
      <c r="K285" s="51"/>
      <c r="L285" s="51" t="s">
        <v>257</v>
      </c>
      <c r="M285" s="51"/>
      <c r="N285" s="51"/>
      <c r="O285" s="51"/>
      <c r="P285" s="51"/>
      <c r="Q285" s="51"/>
      <c r="R285" s="51"/>
      <c r="S285" s="51"/>
      <c r="T285" s="51"/>
    </row>
    <row r="286">
      <c r="A286" s="51"/>
      <c r="B286" s="51"/>
      <c r="C286" s="56"/>
      <c r="D286" s="51"/>
      <c r="E286" s="51"/>
      <c r="F286" s="51"/>
      <c r="G286" s="51" t="str">
        <f>IFERROR(__xludf.DUMMYFUNCTION("""COMPUTED_VALUE"""),"#VALUE!")</f>
        <v>#VALUE!</v>
      </c>
      <c r="H286" s="51" t="str">
        <f>IFERROR(__xludf.DUMMYFUNCTION("""COMPUTED_VALUE"""),"")</f>
        <v/>
      </c>
      <c r="I286" s="51" t="str">
        <f>IFERROR(__xludf.DUMMYFUNCTION("""COMPUTED_VALUE"""),"#VALUE!")</f>
        <v>#VALUE!</v>
      </c>
      <c r="J286" s="51" t="str">
        <f>IFERROR(__xludf.DUMMYFUNCTION("""COMPUTED_VALUE"""),"")</f>
        <v/>
      </c>
      <c r="K286" s="51"/>
      <c r="L286" s="51" t="s">
        <v>257</v>
      </c>
      <c r="M286" s="51"/>
      <c r="N286" s="51"/>
      <c r="O286" s="51"/>
      <c r="P286" s="51"/>
      <c r="Q286" s="51"/>
      <c r="R286" s="51"/>
      <c r="S286" s="51"/>
      <c r="T286" s="51"/>
    </row>
    <row r="287">
      <c r="A287" s="51"/>
      <c r="B287" s="51"/>
      <c r="C287" s="56"/>
      <c r="D287" s="51"/>
      <c r="E287" s="51"/>
      <c r="F287" s="51"/>
      <c r="G287" s="51" t="str">
        <f>IFERROR(__xludf.DUMMYFUNCTION("""COMPUTED_VALUE"""),"#VALUE!")</f>
        <v>#VALUE!</v>
      </c>
      <c r="H287" s="51" t="str">
        <f>IFERROR(__xludf.DUMMYFUNCTION("""COMPUTED_VALUE"""),"")</f>
        <v/>
      </c>
      <c r="I287" s="51" t="str">
        <f>IFERROR(__xludf.DUMMYFUNCTION("""COMPUTED_VALUE"""),"#VALUE!")</f>
        <v>#VALUE!</v>
      </c>
      <c r="J287" s="51" t="str">
        <f>IFERROR(__xludf.DUMMYFUNCTION("""COMPUTED_VALUE"""),"")</f>
        <v/>
      </c>
      <c r="K287" s="51"/>
      <c r="L287" s="51" t="s">
        <v>257</v>
      </c>
      <c r="M287" s="51"/>
      <c r="N287" s="51"/>
      <c r="O287" s="51"/>
      <c r="P287" s="51"/>
      <c r="Q287" s="51"/>
      <c r="R287" s="51"/>
      <c r="S287" s="51"/>
      <c r="T287" s="51"/>
    </row>
    <row r="288">
      <c r="A288" s="51"/>
      <c r="B288" s="51"/>
      <c r="C288" s="56"/>
      <c r="D288" s="51"/>
      <c r="E288" s="51"/>
      <c r="F288" s="51"/>
      <c r="G288" s="51" t="str">
        <f>IFERROR(__xludf.DUMMYFUNCTION("""COMPUTED_VALUE"""),"#VALUE!")</f>
        <v>#VALUE!</v>
      </c>
      <c r="H288" s="51" t="str">
        <f>IFERROR(__xludf.DUMMYFUNCTION("""COMPUTED_VALUE"""),"")</f>
        <v/>
      </c>
      <c r="I288" s="51" t="str">
        <f>IFERROR(__xludf.DUMMYFUNCTION("""COMPUTED_VALUE"""),"#VALUE!")</f>
        <v>#VALUE!</v>
      </c>
      <c r="J288" s="51" t="str">
        <f>IFERROR(__xludf.DUMMYFUNCTION("""COMPUTED_VALUE"""),"")</f>
        <v/>
      </c>
      <c r="K288" s="51"/>
      <c r="L288" s="51" t="s">
        <v>257</v>
      </c>
      <c r="M288" s="51"/>
      <c r="N288" s="51"/>
      <c r="O288" s="51"/>
      <c r="P288" s="51"/>
      <c r="Q288" s="51"/>
      <c r="R288" s="51"/>
      <c r="S288" s="51"/>
      <c r="T288" s="51"/>
    </row>
    <row r="289">
      <c r="A289" s="51"/>
      <c r="B289" s="51"/>
      <c r="C289" s="56"/>
      <c r="D289" s="51"/>
      <c r="E289" s="51"/>
      <c r="F289" s="51"/>
      <c r="G289" s="51" t="str">
        <f>IFERROR(__xludf.DUMMYFUNCTION("""COMPUTED_VALUE"""),"#VALUE!")</f>
        <v>#VALUE!</v>
      </c>
      <c r="H289" s="51" t="str">
        <f>IFERROR(__xludf.DUMMYFUNCTION("""COMPUTED_VALUE"""),"")</f>
        <v/>
      </c>
      <c r="I289" s="51" t="str">
        <f>IFERROR(__xludf.DUMMYFUNCTION("""COMPUTED_VALUE"""),"#VALUE!")</f>
        <v>#VALUE!</v>
      </c>
      <c r="J289" s="51" t="str">
        <f>IFERROR(__xludf.DUMMYFUNCTION("""COMPUTED_VALUE"""),"")</f>
        <v/>
      </c>
      <c r="K289" s="51"/>
      <c r="L289" s="51" t="s">
        <v>257</v>
      </c>
      <c r="M289" s="51"/>
      <c r="N289" s="51"/>
      <c r="O289" s="51"/>
      <c r="P289" s="51"/>
      <c r="Q289" s="51"/>
      <c r="R289" s="51"/>
      <c r="S289" s="51"/>
      <c r="T289" s="51"/>
    </row>
    <row r="290">
      <c r="A290" s="51"/>
      <c r="B290" s="51"/>
      <c r="C290" s="56"/>
      <c r="D290" s="51"/>
      <c r="E290" s="51"/>
      <c r="F290" s="51"/>
      <c r="G290" s="51" t="str">
        <f>IFERROR(__xludf.DUMMYFUNCTION("""COMPUTED_VALUE"""),"#VALUE!")</f>
        <v>#VALUE!</v>
      </c>
      <c r="H290" s="51" t="str">
        <f>IFERROR(__xludf.DUMMYFUNCTION("""COMPUTED_VALUE"""),"")</f>
        <v/>
      </c>
      <c r="I290" s="51" t="str">
        <f>IFERROR(__xludf.DUMMYFUNCTION("""COMPUTED_VALUE"""),"#VALUE!")</f>
        <v>#VALUE!</v>
      </c>
      <c r="J290" s="51" t="str">
        <f>IFERROR(__xludf.DUMMYFUNCTION("""COMPUTED_VALUE"""),"")</f>
        <v/>
      </c>
      <c r="K290" s="51"/>
      <c r="L290" s="51" t="s">
        <v>257</v>
      </c>
      <c r="M290" s="51"/>
      <c r="N290" s="51"/>
      <c r="O290" s="51"/>
      <c r="P290" s="51"/>
      <c r="Q290" s="51"/>
      <c r="R290" s="51"/>
      <c r="S290" s="51"/>
      <c r="T290" s="51"/>
    </row>
    <row r="291">
      <c r="A291" s="51"/>
      <c r="B291" s="51"/>
      <c r="C291" s="56"/>
      <c r="D291" s="51"/>
      <c r="E291" s="51"/>
      <c r="F291" s="51"/>
      <c r="G291" s="51" t="str">
        <f>IFERROR(__xludf.DUMMYFUNCTION("""COMPUTED_VALUE"""),"#VALUE!")</f>
        <v>#VALUE!</v>
      </c>
      <c r="H291" s="51" t="str">
        <f>IFERROR(__xludf.DUMMYFUNCTION("""COMPUTED_VALUE"""),"")</f>
        <v/>
      </c>
      <c r="I291" s="51" t="str">
        <f>IFERROR(__xludf.DUMMYFUNCTION("""COMPUTED_VALUE"""),"#VALUE!")</f>
        <v>#VALUE!</v>
      </c>
      <c r="J291" s="51" t="str">
        <f>IFERROR(__xludf.DUMMYFUNCTION("""COMPUTED_VALUE"""),"")</f>
        <v/>
      </c>
      <c r="K291" s="51"/>
      <c r="L291" s="51" t="s">
        <v>257</v>
      </c>
      <c r="M291" s="51"/>
      <c r="N291" s="51"/>
      <c r="O291" s="51"/>
      <c r="P291" s="51"/>
      <c r="Q291" s="51"/>
      <c r="R291" s="51"/>
      <c r="S291" s="51"/>
      <c r="T291" s="51"/>
    </row>
    <row r="292">
      <c r="A292" s="51"/>
      <c r="B292" s="51"/>
      <c r="C292" s="56"/>
      <c r="D292" s="51"/>
      <c r="E292" s="51"/>
      <c r="F292" s="51"/>
      <c r="G292" s="51" t="str">
        <f>IFERROR(__xludf.DUMMYFUNCTION("""COMPUTED_VALUE"""),"#VALUE!")</f>
        <v>#VALUE!</v>
      </c>
      <c r="H292" s="51" t="str">
        <f>IFERROR(__xludf.DUMMYFUNCTION("""COMPUTED_VALUE"""),"")</f>
        <v/>
      </c>
      <c r="I292" s="51" t="str">
        <f>IFERROR(__xludf.DUMMYFUNCTION("""COMPUTED_VALUE"""),"#VALUE!")</f>
        <v>#VALUE!</v>
      </c>
      <c r="J292" s="51" t="str">
        <f>IFERROR(__xludf.DUMMYFUNCTION("""COMPUTED_VALUE"""),"")</f>
        <v/>
      </c>
      <c r="K292" s="51"/>
      <c r="L292" s="51" t="s">
        <v>257</v>
      </c>
      <c r="M292" s="51"/>
      <c r="N292" s="51"/>
      <c r="O292" s="51"/>
      <c r="P292" s="51"/>
      <c r="Q292" s="51"/>
      <c r="R292" s="51"/>
      <c r="S292" s="51"/>
      <c r="T292" s="51"/>
    </row>
    <row r="293">
      <c r="A293" s="51"/>
      <c r="B293" s="51"/>
      <c r="C293" s="56"/>
      <c r="D293" s="51"/>
      <c r="E293" s="51"/>
      <c r="F293" s="51"/>
      <c r="G293" s="51" t="str">
        <f>IFERROR(__xludf.DUMMYFUNCTION("""COMPUTED_VALUE"""),"#VALUE!")</f>
        <v>#VALUE!</v>
      </c>
      <c r="H293" s="51" t="str">
        <f>IFERROR(__xludf.DUMMYFUNCTION("""COMPUTED_VALUE"""),"")</f>
        <v/>
      </c>
      <c r="I293" s="51" t="str">
        <f>IFERROR(__xludf.DUMMYFUNCTION("""COMPUTED_VALUE"""),"#VALUE!")</f>
        <v>#VALUE!</v>
      </c>
      <c r="J293" s="51" t="str">
        <f>IFERROR(__xludf.DUMMYFUNCTION("""COMPUTED_VALUE"""),"")</f>
        <v/>
      </c>
      <c r="K293" s="51"/>
      <c r="L293" s="51" t="s">
        <v>257</v>
      </c>
      <c r="M293" s="51"/>
      <c r="N293" s="51"/>
      <c r="O293" s="51"/>
      <c r="P293" s="51"/>
      <c r="Q293" s="51"/>
      <c r="R293" s="51"/>
      <c r="S293" s="51"/>
      <c r="T293" s="51"/>
    </row>
    <row r="294">
      <c r="A294" s="51"/>
      <c r="B294" s="51"/>
      <c r="C294" s="56"/>
      <c r="D294" s="51"/>
      <c r="E294" s="51"/>
      <c r="F294" s="51"/>
      <c r="G294" s="51" t="str">
        <f>IFERROR(__xludf.DUMMYFUNCTION("""COMPUTED_VALUE"""),"#VALUE!")</f>
        <v>#VALUE!</v>
      </c>
      <c r="H294" s="51" t="str">
        <f>IFERROR(__xludf.DUMMYFUNCTION("""COMPUTED_VALUE"""),"")</f>
        <v/>
      </c>
      <c r="I294" s="51" t="str">
        <f>IFERROR(__xludf.DUMMYFUNCTION("""COMPUTED_VALUE"""),"#VALUE!")</f>
        <v>#VALUE!</v>
      </c>
      <c r="J294" s="51" t="str">
        <f>IFERROR(__xludf.DUMMYFUNCTION("""COMPUTED_VALUE"""),"")</f>
        <v/>
      </c>
      <c r="K294" s="51"/>
      <c r="L294" s="51" t="s">
        <v>257</v>
      </c>
      <c r="M294" s="51"/>
      <c r="N294" s="51"/>
      <c r="O294" s="51"/>
      <c r="P294" s="51"/>
      <c r="Q294" s="51"/>
      <c r="R294" s="51"/>
      <c r="S294" s="51"/>
      <c r="T294" s="51"/>
    </row>
    <row r="295">
      <c r="A295" s="51"/>
      <c r="B295" s="51"/>
      <c r="C295" s="56"/>
      <c r="D295" s="51"/>
      <c r="E295" s="51"/>
      <c r="F295" s="51"/>
      <c r="G295" s="51" t="str">
        <f>IFERROR(__xludf.DUMMYFUNCTION("""COMPUTED_VALUE"""),"#VALUE!")</f>
        <v>#VALUE!</v>
      </c>
      <c r="H295" s="51" t="str">
        <f>IFERROR(__xludf.DUMMYFUNCTION("""COMPUTED_VALUE"""),"")</f>
        <v/>
      </c>
      <c r="I295" s="51" t="str">
        <f>IFERROR(__xludf.DUMMYFUNCTION("""COMPUTED_VALUE"""),"#VALUE!")</f>
        <v>#VALUE!</v>
      </c>
      <c r="J295" s="51" t="str">
        <f>IFERROR(__xludf.DUMMYFUNCTION("""COMPUTED_VALUE"""),"")</f>
        <v/>
      </c>
      <c r="K295" s="51"/>
      <c r="L295" s="51" t="s">
        <v>257</v>
      </c>
      <c r="M295" s="51"/>
      <c r="N295" s="51"/>
      <c r="O295" s="51"/>
      <c r="P295" s="51"/>
      <c r="Q295" s="51"/>
      <c r="R295" s="51"/>
      <c r="S295" s="51"/>
      <c r="T295" s="51"/>
    </row>
    <row r="296">
      <c r="A296" s="51"/>
      <c r="B296" s="51"/>
      <c r="C296" s="56"/>
      <c r="D296" s="51"/>
      <c r="E296" s="51"/>
      <c r="F296" s="51"/>
      <c r="G296" s="51" t="str">
        <f>IFERROR(__xludf.DUMMYFUNCTION("""COMPUTED_VALUE"""),"#VALUE!")</f>
        <v>#VALUE!</v>
      </c>
      <c r="H296" s="51" t="str">
        <f>IFERROR(__xludf.DUMMYFUNCTION("""COMPUTED_VALUE"""),"")</f>
        <v/>
      </c>
      <c r="I296" s="51" t="str">
        <f>IFERROR(__xludf.DUMMYFUNCTION("""COMPUTED_VALUE"""),"#VALUE!")</f>
        <v>#VALUE!</v>
      </c>
      <c r="J296" s="51" t="str">
        <f>IFERROR(__xludf.DUMMYFUNCTION("""COMPUTED_VALUE"""),"")</f>
        <v/>
      </c>
      <c r="K296" s="51"/>
      <c r="L296" s="51" t="s">
        <v>257</v>
      </c>
      <c r="M296" s="51"/>
      <c r="N296" s="51"/>
      <c r="O296" s="51"/>
      <c r="P296" s="51"/>
      <c r="Q296" s="51"/>
      <c r="R296" s="51"/>
      <c r="S296" s="51"/>
      <c r="T296" s="51"/>
    </row>
    <row r="297">
      <c r="A297" s="51"/>
      <c r="B297" s="51"/>
      <c r="C297" s="56"/>
      <c r="D297" s="51"/>
      <c r="E297" s="51"/>
      <c r="F297" s="51"/>
      <c r="G297" s="51" t="str">
        <f>IFERROR(__xludf.DUMMYFUNCTION("""COMPUTED_VALUE"""),"#VALUE!")</f>
        <v>#VALUE!</v>
      </c>
      <c r="H297" s="51" t="str">
        <f>IFERROR(__xludf.DUMMYFUNCTION("""COMPUTED_VALUE"""),"")</f>
        <v/>
      </c>
      <c r="I297" s="51" t="str">
        <f>IFERROR(__xludf.DUMMYFUNCTION("""COMPUTED_VALUE"""),"#VALUE!")</f>
        <v>#VALUE!</v>
      </c>
      <c r="J297" s="51" t="str">
        <f>IFERROR(__xludf.DUMMYFUNCTION("""COMPUTED_VALUE"""),"")</f>
        <v/>
      </c>
      <c r="K297" s="51"/>
      <c r="L297" s="51" t="s">
        <v>257</v>
      </c>
      <c r="M297" s="51"/>
      <c r="N297" s="51"/>
      <c r="O297" s="51"/>
      <c r="P297" s="51"/>
      <c r="Q297" s="51"/>
      <c r="R297" s="51"/>
      <c r="S297" s="51"/>
      <c r="T297" s="51"/>
    </row>
    <row r="298">
      <c r="A298" s="51"/>
      <c r="B298" s="51"/>
      <c r="C298" s="56"/>
      <c r="D298" s="51"/>
      <c r="E298" s="51"/>
      <c r="F298" s="51"/>
      <c r="G298" s="51" t="str">
        <f>IFERROR(__xludf.DUMMYFUNCTION("""COMPUTED_VALUE"""),"#VALUE!")</f>
        <v>#VALUE!</v>
      </c>
      <c r="H298" s="51" t="str">
        <f>IFERROR(__xludf.DUMMYFUNCTION("""COMPUTED_VALUE"""),"")</f>
        <v/>
      </c>
      <c r="I298" s="51" t="str">
        <f>IFERROR(__xludf.DUMMYFUNCTION("""COMPUTED_VALUE"""),"#VALUE!")</f>
        <v>#VALUE!</v>
      </c>
      <c r="J298" s="51" t="str">
        <f>IFERROR(__xludf.DUMMYFUNCTION("""COMPUTED_VALUE"""),"")</f>
        <v/>
      </c>
      <c r="K298" s="51"/>
      <c r="L298" s="51" t="s">
        <v>257</v>
      </c>
      <c r="M298" s="51"/>
      <c r="N298" s="51"/>
      <c r="O298" s="51"/>
      <c r="P298" s="51"/>
      <c r="Q298" s="51"/>
      <c r="R298" s="51"/>
      <c r="S298" s="51"/>
      <c r="T298" s="51"/>
    </row>
    <row r="299">
      <c r="A299" s="51"/>
      <c r="B299" s="51"/>
      <c r="C299" s="56"/>
      <c r="D299" s="51"/>
      <c r="E299" s="51"/>
      <c r="F299" s="51"/>
      <c r="G299" s="51" t="str">
        <f>IFERROR(__xludf.DUMMYFUNCTION("""COMPUTED_VALUE"""),"#VALUE!")</f>
        <v>#VALUE!</v>
      </c>
      <c r="H299" s="51" t="str">
        <f>IFERROR(__xludf.DUMMYFUNCTION("""COMPUTED_VALUE"""),"")</f>
        <v/>
      </c>
      <c r="I299" s="51" t="str">
        <f>IFERROR(__xludf.DUMMYFUNCTION("""COMPUTED_VALUE"""),"#VALUE!")</f>
        <v>#VALUE!</v>
      </c>
      <c r="J299" s="51" t="str">
        <f>IFERROR(__xludf.DUMMYFUNCTION("""COMPUTED_VALUE"""),"")</f>
        <v/>
      </c>
      <c r="K299" s="51"/>
      <c r="L299" s="51" t="s">
        <v>257</v>
      </c>
      <c r="M299" s="51"/>
      <c r="N299" s="51"/>
      <c r="O299" s="51"/>
      <c r="P299" s="51"/>
      <c r="Q299" s="51"/>
      <c r="R299" s="51"/>
      <c r="S299" s="51"/>
      <c r="T299" s="51"/>
    </row>
    <row r="300">
      <c r="A300" s="51"/>
      <c r="B300" s="51"/>
      <c r="C300" s="56"/>
      <c r="D300" s="51"/>
      <c r="E300" s="51"/>
      <c r="F300" s="51"/>
      <c r="G300" s="51" t="str">
        <f>IFERROR(__xludf.DUMMYFUNCTION("""COMPUTED_VALUE"""),"#VALUE!")</f>
        <v>#VALUE!</v>
      </c>
      <c r="H300" s="51" t="str">
        <f>IFERROR(__xludf.DUMMYFUNCTION("""COMPUTED_VALUE"""),"")</f>
        <v/>
      </c>
      <c r="I300" s="51" t="str">
        <f>IFERROR(__xludf.DUMMYFUNCTION("""COMPUTED_VALUE"""),"#VALUE!")</f>
        <v>#VALUE!</v>
      </c>
      <c r="J300" s="51" t="str">
        <f>IFERROR(__xludf.DUMMYFUNCTION("""COMPUTED_VALUE"""),"")</f>
        <v/>
      </c>
      <c r="K300" s="51"/>
      <c r="L300" s="51" t="s">
        <v>257</v>
      </c>
      <c r="M300" s="51"/>
      <c r="N300" s="51"/>
      <c r="O300" s="51"/>
      <c r="P300" s="51"/>
      <c r="Q300" s="51"/>
      <c r="R300" s="51"/>
      <c r="S300" s="51"/>
      <c r="T300" s="51"/>
    </row>
    <row r="301">
      <c r="A301" s="51"/>
      <c r="B301" s="51"/>
      <c r="C301" s="56"/>
      <c r="D301" s="51"/>
      <c r="E301" s="51"/>
      <c r="F301" s="51"/>
      <c r="G301" s="51" t="str">
        <f>IFERROR(__xludf.DUMMYFUNCTION("""COMPUTED_VALUE"""),"#VALUE!")</f>
        <v>#VALUE!</v>
      </c>
      <c r="H301" s="51" t="str">
        <f>IFERROR(__xludf.DUMMYFUNCTION("""COMPUTED_VALUE"""),"")</f>
        <v/>
      </c>
      <c r="I301" s="51" t="str">
        <f>IFERROR(__xludf.DUMMYFUNCTION("""COMPUTED_VALUE"""),"#VALUE!")</f>
        <v>#VALUE!</v>
      </c>
      <c r="J301" s="51" t="str">
        <f>IFERROR(__xludf.DUMMYFUNCTION("""COMPUTED_VALUE"""),"")</f>
        <v/>
      </c>
      <c r="K301" s="51"/>
      <c r="L301" s="51" t="s">
        <v>257</v>
      </c>
      <c r="M301" s="51"/>
      <c r="N301" s="51"/>
      <c r="O301" s="51"/>
      <c r="P301" s="51"/>
      <c r="Q301" s="51"/>
      <c r="R301" s="51"/>
      <c r="S301" s="51"/>
      <c r="T301" s="51"/>
    </row>
    <row r="302">
      <c r="A302" s="51"/>
      <c r="B302" s="51"/>
      <c r="C302" s="56"/>
      <c r="D302" s="51"/>
      <c r="E302" s="51"/>
      <c r="F302" s="51"/>
      <c r="G302" s="51" t="str">
        <f>IFERROR(__xludf.DUMMYFUNCTION("""COMPUTED_VALUE"""),"#VALUE!")</f>
        <v>#VALUE!</v>
      </c>
      <c r="H302" s="51" t="str">
        <f>IFERROR(__xludf.DUMMYFUNCTION("""COMPUTED_VALUE"""),"")</f>
        <v/>
      </c>
      <c r="I302" s="51" t="str">
        <f>IFERROR(__xludf.DUMMYFUNCTION("""COMPUTED_VALUE"""),"#VALUE!")</f>
        <v>#VALUE!</v>
      </c>
      <c r="J302" s="51" t="str">
        <f>IFERROR(__xludf.DUMMYFUNCTION("""COMPUTED_VALUE"""),"")</f>
        <v/>
      </c>
      <c r="K302" s="51"/>
      <c r="L302" s="51" t="s">
        <v>257</v>
      </c>
      <c r="M302" s="51"/>
      <c r="N302" s="51"/>
      <c r="O302" s="51"/>
      <c r="P302" s="51"/>
      <c r="Q302" s="51"/>
      <c r="R302" s="51"/>
      <c r="S302" s="51"/>
      <c r="T302" s="51"/>
    </row>
    <row r="303">
      <c r="A303" s="51"/>
      <c r="B303" s="51"/>
      <c r="C303" s="56"/>
      <c r="D303" s="51"/>
      <c r="E303" s="51"/>
      <c r="F303" s="51"/>
      <c r="G303" s="51" t="str">
        <f>IFERROR(__xludf.DUMMYFUNCTION("""COMPUTED_VALUE"""),"#VALUE!")</f>
        <v>#VALUE!</v>
      </c>
      <c r="H303" s="51" t="str">
        <f>IFERROR(__xludf.DUMMYFUNCTION("""COMPUTED_VALUE"""),"")</f>
        <v/>
      </c>
      <c r="I303" s="51" t="str">
        <f>IFERROR(__xludf.DUMMYFUNCTION("""COMPUTED_VALUE"""),"#VALUE!")</f>
        <v>#VALUE!</v>
      </c>
      <c r="J303" s="51" t="str">
        <f>IFERROR(__xludf.DUMMYFUNCTION("""COMPUTED_VALUE"""),"")</f>
        <v/>
      </c>
      <c r="K303" s="51"/>
      <c r="L303" s="51" t="s">
        <v>257</v>
      </c>
      <c r="M303" s="51"/>
      <c r="N303" s="51"/>
      <c r="O303" s="51"/>
      <c r="P303" s="51"/>
      <c r="Q303" s="51"/>
      <c r="R303" s="51"/>
      <c r="S303" s="51"/>
      <c r="T303" s="51"/>
    </row>
    <row r="304">
      <c r="A304" s="51"/>
      <c r="B304" s="51"/>
      <c r="C304" s="56"/>
      <c r="D304" s="51"/>
      <c r="E304" s="51"/>
      <c r="F304" s="51"/>
      <c r="G304" s="51" t="str">
        <f>IFERROR(__xludf.DUMMYFUNCTION("""COMPUTED_VALUE"""),"#VALUE!")</f>
        <v>#VALUE!</v>
      </c>
      <c r="H304" s="51" t="str">
        <f>IFERROR(__xludf.DUMMYFUNCTION("""COMPUTED_VALUE"""),"")</f>
        <v/>
      </c>
      <c r="I304" s="51" t="str">
        <f>IFERROR(__xludf.DUMMYFUNCTION("""COMPUTED_VALUE"""),"#VALUE!")</f>
        <v>#VALUE!</v>
      </c>
      <c r="J304" s="51" t="str">
        <f>IFERROR(__xludf.DUMMYFUNCTION("""COMPUTED_VALUE"""),"")</f>
        <v/>
      </c>
      <c r="K304" s="51"/>
      <c r="L304" s="51" t="s">
        <v>257</v>
      </c>
      <c r="M304" s="51"/>
      <c r="N304" s="51"/>
      <c r="O304" s="51"/>
      <c r="P304" s="51"/>
      <c r="Q304" s="51"/>
      <c r="R304" s="51"/>
      <c r="S304" s="51"/>
      <c r="T304" s="51"/>
    </row>
    <row r="305">
      <c r="A305" s="51"/>
      <c r="B305" s="51"/>
      <c r="C305" s="56"/>
      <c r="D305" s="51"/>
      <c r="E305" s="51"/>
      <c r="F305" s="51"/>
      <c r="G305" s="51" t="str">
        <f>IFERROR(__xludf.DUMMYFUNCTION("""COMPUTED_VALUE"""),"#VALUE!")</f>
        <v>#VALUE!</v>
      </c>
      <c r="H305" s="51" t="str">
        <f>IFERROR(__xludf.DUMMYFUNCTION("""COMPUTED_VALUE"""),"")</f>
        <v/>
      </c>
      <c r="I305" s="51" t="str">
        <f>IFERROR(__xludf.DUMMYFUNCTION("""COMPUTED_VALUE"""),"#VALUE!")</f>
        <v>#VALUE!</v>
      </c>
      <c r="J305" s="51" t="str">
        <f>IFERROR(__xludf.DUMMYFUNCTION("""COMPUTED_VALUE"""),"")</f>
        <v/>
      </c>
      <c r="K305" s="51"/>
      <c r="L305" s="51" t="s">
        <v>257</v>
      </c>
      <c r="M305" s="51"/>
      <c r="N305" s="51"/>
      <c r="O305" s="51"/>
      <c r="P305" s="51"/>
      <c r="Q305" s="51"/>
      <c r="R305" s="51"/>
      <c r="S305" s="51"/>
      <c r="T305" s="51"/>
    </row>
    <row r="306">
      <c r="A306" s="51"/>
      <c r="B306" s="51"/>
      <c r="C306" s="56"/>
      <c r="D306" s="51"/>
      <c r="E306" s="51"/>
      <c r="F306" s="51"/>
      <c r="G306" s="51" t="str">
        <f>IFERROR(__xludf.DUMMYFUNCTION("""COMPUTED_VALUE"""),"#VALUE!")</f>
        <v>#VALUE!</v>
      </c>
      <c r="H306" s="51" t="str">
        <f>IFERROR(__xludf.DUMMYFUNCTION("""COMPUTED_VALUE"""),"")</f>
        <v/>
      </c>
      <c r="I306" s="51" t="str">
        <f>IFERROR(__xludf.DUMMYFUNCTION("""COMPUTED_VALUE"""),"#VALUE!")</f>
        <v>#VALUE!</v>
      </c>
      <c r="J306" s="51" t="str">
        <f>IFERROR(__xludf.DUMMYFUNCTION("""COMPUTED_VALUE"""),"")</f>
        <v/>
      </c>
      <c r="K306" s="51"/>
      <c r="L306" s="51" t="s">
        <v>257</v>
      </c>
      <c r="M306" s="51"/>
      <c r="N306" s="51"/>
      <c r="O306" s="51"/>
      <c r="P306" s="51"/>
      <c r="Q306" s="51"/>
      <c r="R306" s="51"/>
      <c r="S306" s="51"/>
      <c r="T306" s="51"/>
    </row>
    <row r="307">
      <c r="A307" s="51"/>
      <c r="B307" s="51"/>
      <c r="C307" s="56"/>
      <c r="D307" s="51"/>
      <c r="E307" s="51"/>
      <c r="F307" s="51"/>
      <c r="G307" s="51" t="str">
        <f>IFERROR(__xludf.DUMMYFUNCTION("""COMPUTED_VALUE"""),"#VALUE!")</f>
        <v>#VALUE!</v>
      </c>
      <c r="H307" s="51" t="str">
        <f>IFERROR(__xludf.DUMMYFUNCTION("""COMPUTED_VALUE"""),"")</f>
        <v/>
      </c>
      <c r="I307" s="51" t="str">
        <f>IFERROR(__xludf.DUMMYFUNCTION("""COMPUTED_VALUE"""),"#VALUE!")</f>
        <v>#VALUE!</v>
      </c>
      <c r="J307" s="51" t="str">
        <f>IFERROR(__xludf.DUMMYFUNCTION("""COMPUTED_VALUE"""),"")</f>
        <v/>
      </c>
      <c r="K307" s="51"/>
      <c r="L307" s="51" t="s">
        <v>257</v>
      </c>
      <c r="M307" s="51"/>
      <c r="N307" s="51"/>
      <c r="O307" s="51"/>
      <c r="P307" s="51"/>
      <c r="Q307" s="51"/>
      <c r="R307" s="51"/>
      <c r="S307" s="51"/>
      <c r="T307" s="51"/>
    </row>
    <row r="308">
      <c r="A308" s="51"/>
      <c r="B308" s="51"/>
      <c r="C308" s="56"/>
      <c r="D308" s="51"/>
      <c r="E308" s="51"/>
      <c r="F308" s="51"/>
      <c r="G308" s="51" t="str">
        <f>IFERROR(__xludf.DUMMYFUNCTION("""COMPUTED_VALUE"""),"#VALUE!")</f>
        <v>#VALUE!</v>
      </c>
      <c r="H308" s="51" t="str">
        <f>IFERROR(__xludf.DUMMYFUNCTION("""COMPUTED_VALUE"""),"")</f>
        <v/>
      </c>
      <c r="I308" s="51" t="str">
        <f>IFERROR(__xludf.DUMMYFUNCTION("""COMPUTED_VALUE"""),"#VALUE!")</f>
        <v>#VALUE!</v>
      </c>
      <c r="J308" s="51" t="str">
        <f>IFERROR(__xludf.DUMMYFUNCTION("""COMPUTED_VALUE"""),"")</f>
        <v/>
      </c>
      <c r="K308" s="51"/>
      <c r="L308" s="51" t="s">
        <v>257</v>
      </c>
      <c r="M308" s="51"/>
      <c r="N308" s="51"/>
      <c r="O308" s="51"/>
      <c r="P308" s="51"/>
      <c r="Q308" s="51"/>
      <c r="R308" s="51"/>
      <c r="S308" s="51"/>
      <c r="T308" s="51"/>
    </row>
    <row r="309">
      <c r="A309" s="51"/>
      <c r="B309" s="51"/>
      <c r="C309" s="56"/>
      <c r="D309" s="51"/>
      <c r="E309" s="51"/>
      <c r="F309" s="51"/>
      <c r="G309" s="51" t="str">
        <f>IFERROR(__xludf.DUMMYFUNCTION("""COMPUTED_VALUE"""),"#VALUE!")</f>
        <v>#VALUE!</v>
      </c>
      <c r="H309" s="51" t="str">
        <f>IFERROR(__xludf.DUMMYFUNCTION("""COMPUTED_VALUE"""),"")</f>
        <v/>
      </c>
      <c r="I309" s="51" t="str">
        <f>IFERROR(__xludf.DUMMYFUNCTION("""COMPUTED_VALUE"""),"#VALUE!")</f>
        <v>#VALUE!</v>
      </c>
      <c r="J309" s="51" t="str">
        <f>IFERROR(__xludf.DUMMYFUNCTION("""COMPUTED_VALUE"""),"")</f>
        <v/>
      </c>
      <c r="K309" s="51"/>
      <c r="L309" s="51" t="s">
        <v>257</v>
      </c>
      <c r="M309" s="51"/>
      <c r="N309" s="51"/>
      <c r="O309" s="51"/>
      <c r="P309" s="51"/>
      <c r="Q309" s="51"/>
      <c r="R309" s="51"/>
      <c r="S309" s="51"/>
      <c r="T309" s="51"/>
    </row>
    <row r="310">
      <c r="A310" s="51"/>
      <c r="B310" s="51"/>
      <c r="C310" s="56"/>
      <c r="D310" s="51"/>
      <c r="E310" s="51"/>
      <c r="F310" s="51"/>
      <c r="G310" s="51" t="str">
        <f>IFERROR(__xludf.DUMMYFUNCTION("""COMPUTED_VALUE"""),"#VALUE!")</f>
        <v>#VALUE!</v>
      </c>
      <c r="H310" s="51" t="str">
        <f>IFERROR(__xludf.DUMMYFUNCTION("""COMPUTED_VALUE"""),"")</f>
        <v/>
      </c>
      <c r="I310" s="51" t="str">
        <f>IFERROR(__xludf.DUMMYFUNCTION("""COMPUTED_VALUE"""),"#VALUE!")</f>
        <v>#VALUE!</v>
      </c>
      <c r="J310" s="51" t="str">
        <f>IFERROR(__xludf.DUMMYFUNCTION("""COMPUTED_VALUE"""),"")</f>
        <v/>
      </c>
      <c r="K310" s="51"/>
      <c r="L310" s="51" t="s">
        <v>257</v>
      </c>
      <c r="M310" s="51"/>
      <c r="N310" s="51"/>
      <c r="O310" s="51"/>
      <c r="P310" s="51"/>
      <c r="Q310" s="51"/>
      <c r="R310" s="51"/>
      <c r="S310" s="51"/>
      <c r="T310" s="51"/>
    </row>
    <row r="311">
      <c r="A311" s="51"/>
      <c r="B311" s="51"/>
      <c r="C311" s="56"/>
      <c r="D311" s="51"/>
      <c r="E311" s="51"/>
      <c r="F311" s="51"/>
      <c r="G311" s="51" t="str">
        <f>IFERROR(__xludf.DUMMYFUNCTION("""COMPUTED_VALUE"""),"#VALUE!")</f>
        <v>#VALUE!</v>
      </c>
      <c r="H311" s="51" t="str">
        <f>IFERROR(__xludf.DUMMYFUNCTION("""COMPUTED_VALUE"""),"")</f>
        <v/>
      </c>
      <c r="I311" s="51" t="str">
        <f>IFERROR(__xludf.DUMMYFUNCTION("""COMPUTED_VALUE"""),"#VALUE!")</f>
        <v>#VALUE!</v>
      </c>
      <c r="J311" s="51" t="str">
        <f>IFERROR(__xludf.DUMMYFUNCTION("""COMPUTED_VALUE"""),"")</f>
        <v/>
      </c>
      <c r="K311" s="51"/>
      <c r="L311" s="51" t="s">
        <v>257</v>
      </c>
      <c r="M311" s="51"/>
      <c r="N311" s="51"/>
      <c r="O311" s="51"/>
      <c r="P311" s="51"/>
      <c r="Q311" s="51"/>
      <c r="R311" s="51"/>
      <c r="S311" s="51"/>
      <c r="T311" s="51"/>
    </row>
    <row r="312">
      <c r="A312" s="51"/>
      <c r="B312" s="51"/>
      <c r="C312" s="56"/>
      <c r="D312" s="51"/>
      <c r="E312" s="51"/>
      <c r="F312" s="51"/>
      <c r="G312" s="51" t="str">
        <f>IFERROR(__xludf.DUMMYFUNCTION("""COMPUTED_VALUE"""),"#VALUE!")</f>
        <v>#VALUE!</v>
      </c>
      <c r="H312" s="51" t="str">
        <f>IFERROR(__xludf.DUMMYFUNCTION("""COMPUTED_VALUE"""),"")</f>
        <v/>
      </c>
      <c r="I312" s="51" t="str">
        <f>IFERROR(__xludf.DUMMYFUNCTION("""COMPUTED_VALUE"""),"#VALUE!")</f>
        <v>#VALUE!</v>
      </c>
      <c r="J312" s="51" t="str">
        <f>IFERROR(__xludf.DUMMYFUNCTION("""COMPUTED_VALUE"""),"")</f>
        <v/>
      </c>
      <c r="K312" s="51"/>
      <c r="L312" s="51" t="s">
        <v>257</v>
      </c>
      <c r="M312" s="51"/>
      <c r="N312" s="51"/>
      <c r="O312" s="51"/>
      <c r="P312" s="51"/>
      <c r="Q312" s="51"/>
      <c r="R312" s="51"/>
      <c r="S312" s="51"/>
      <c r="T312" s="51"/>
    </row>
    <row r="313">
      <c r="A313" s="51"/>
      <c r="B313" s="51"/>
      <c r="C313" s="56"/>
      <c r="D313" s="51"/>
      <c r="E313" s="51"/>
      <c r="F313" s="51"/>
      <c r="G313" s="51" t="str">
        <f>IFERROR(__xludf.DUMMYFUNCTION("""COMPUTED_VALUE"""),"#VALUE!")</f>
        <v>#VALUE!</v>
      </c>
      <c r="H313" s="51" t="str">
        <f>IFERROR(__xludf.DUMMYFUNCTION("""COMPUTED_VALUE"""),"")</f>
        <v/>
      </c>
      <c r="I313" s="51" t="str">
        <f>IFERROR(__xludf.DUMMYFUNCTION("""COMPUTED_VALUE"""),"#VALUE!")</f>
        <v>#VALUE!</v>
      </c>
      <c r="J313" s="51" t="str">
        <f>IFERROR(__xludf.DUMMYFUNCTION("""COMPUTED_VALUE"""),"")</f>
        <v/>
      </c>
      <c r="K313" s="51"/>
      <c r="L313" s="51" t="s">
        <v>257</v>
      </c>
      <c r="M313" s="51"/>
      <c r="N313" s="51"/>
      <c r="O313" s="51"/>
      <c r="P313" s="51"/>
      <c r="Q313" s="51"/>
      <c r="R313" s="51"/>
      <c r="S313" s="51"/>
      <c r="T313" s="51"/>
    </row>
    <row r="314">
      <c r="A314" s="51"/>
      <c r="B314" s="51"/>
      <c r="C314" s="56"/>
      <c r="D314" s="51"/>
      <c r="E314" s="51"/>
      <c r="F314" s="51"/>
      <c r="G314" s="51" t="str">
        <f>IFERROR(__xludf.DUMMYFUNCTION("""COMPUTED_VALUE"""),"#VALUE!")</f>
        <v>#VALUE!</v>
      </c>
      <c r="H314" s="51" t="str">
        <f>IFERROR(__xludf.DUMMYFUNCTION("""COMPUTED_VALUE"""),"")</f>
        <v/>
      </c>
      <c r="I314" s="51" t="str">
        <f>IFERROR(__xludf.DUMMYFUNCTION("""COMPUTED_VALUE"""),"#VALUE!")</f>
        <v>#VALUE!</v>
      </c>
      <c r="J314" s="51" t="str">
        <f>IFERROR(__xludf.DUMMYFUNCTION("""COMPUTED_VALUE"""),"")</f>
        <v/>
      </c>
      <c r="K314" s="51"/>
      <c r="L314" s="51" t="s">
        <v>257</v>
      </c>
      <c r="M314" s="51"/>
      <c r="N314" s="51"/>
      <c r="O314" s="51"/>
      <c r="P314" s="51"/>
      <c r="Q314" s="51"/>
      <c r="R314" s="51"/>
      <c r="S314" s="51"/>
      <c r="T314" s="51"/>
    </row>
    <row r="315">
      <c r="A315" s="51"/>
      <c r="B315" s="51"/>
      <c r="C315" s="56"/>
      <c r="D315" s="51"/>
      <c r="E315" s="51"/>
      <c r="F315" s="51"/>
      <c r="G315" s="51" t="str">
        <f>IFERROR(__xludf.DUMMYFUNCTION("""COMPUTED_VALUE"""),"#VALUE!")</f>
        <v>#VALUE!</v>
      </c>
      <c r="H315" s="51" t="str">
        <f>IFERROR(__xludf.DUMMYFUNCTION("""COMPUTED_VALUE"""),"")</f>
        <v/>
      </c>
      <c r="I315" s="51" t="str">
        <f>IFERROR(__xludf.DUMMYFUNCTION("""COMPUTED_VALUE"""),"#VALUE!")</f>
        <v>#VALUE!</v>
      </c>
      <c r="J315" s="51" t="str">
        <f>IFERROR(__xludf.DUMMYFUNCTION("""COMPUTED_VALUE"""),"")</f>
        <v/>
      </c>
      <c r="K315" s="51"/>
      <c r="L315" s="51" t="s">
        <v>257</v>
      </c>
      <c r="M315" s="51"/>
      <c r="N315" s="51"/>
      <c r="O315" s="51"/>
      <c r="P315" s="51"/>
      <c r="Q315" s="51"/>
      <c r="R315" s="51"/>
      <c r="S315" s="51"/>
      <c r="T315" s="51"/>
    </row>
    <row r="316">
      <c r="A316" s="51"/>
      <c r="B316" s="51"/>
      <c r="C316" s="56"/>
      <c r="D316" s="51"/>
      <c r="E316" s="51"/>
      <c r="F316" s="51"/>
      <c r="G316" s="51" t="str">
        <f>IFERROR(__xludf.DUMMYFUNCTION("""COMPUTED_VALUE"""),"#VALUE!")</f>
        <v>#VALUE!</v>
      </c>
      <c r="H316" s="51" t="str">
        <f>IFERROR(__xludf.DUMMYFUNCTION("""COMPUTED_VALUE"""),"")</f>
        <v/>
      </c>
      <c r="I316" s="51" t="str">
        <f>IFERROR(__xludf.DUMMYFUNCTION("""COMPUTED_VALUE"""),"#VALUE!")</f>
        <v>#VALUE!</v>
      </c>
      <c r="J316" s="51" t="str">
        <f>IFERROR(__xludf.DUMMYFUNCTION("""COMPUTED_VALUE"""),"")</f>
        <v/>
      </c>
      <c r="K316" s="51"/>
      <c r="L316" s="51" t="s">
        <v>257</v>
      </c>
      <c r="M316" s="51"/>
      <c r="N316" s="51"/>
      <c r="O316" s="51"/>
      <c r="P316" s="51"/>
      <c r="Q316" s="51"/>
      <c r="R316" s="51"/>
      <c r="S316" s="51"/>
      <c r="T316" s="51"/>
    </row>
    <row r="317">
      <c r="A317" s="51"/>
      <c r="B317" s="51"/>
      <c r="C317" s="56"/>
      <c r="D317" s="51"/>
      <c r="E317" s="51"/>
      <c r="F317" s="51"/>
      <c r="G317" s="51" t="str">
        <f>IFERROR(__xludf.DUMMYFUNCTION("""COMPUTED_VALUE"""),"#VALUE!")</f>
        <v>#VALUE!</v>
      </c>
      <c r="H317" s="51" t="str">
        <f>IFERROR(__xludf.DUMMYFUNCTION("""COMPUTED_VALUE"""),"")</f>
        <v/>
      </c>
      <c r="I317" s="51" t="str">
        <f>IFERROR(__xludf.DUMMYFUNCTION("""COMPUTED_VALUE"""),"#VALUE!")</f>
        <v>#VALUE!</v>
      </c>
      <c r="J317" s="51" t="str">
        <f>IFERROR(__xludf.DUMMYFUNCTION("""COMPUTED_VALUE"""),"")</f>
        <v/>
      </c>
      <c r="K317" s="51"/>
      <c r="L317" s="51" t="s">
        <v>257</v>
      </c>
      <c r="M317" s="51"/>
      <c r="N317" s="51"/>
      <c r="O317" s="51"/>
      <c r="P317" s="51"/>
      <c r="Q317" s="51"/>
      <c r="R317" s="51"/>
      <c r="S317" s="51"/>
      <c r="T317" s="51"/>
    </row>
    <row r="318">
      <c r="A318" s="51"/>
      <c r="B318" s="51"/>
      <c r="C318" s="56"/>
      <c r="D318" s="51"/>
      <c r="E318" s="51"/>
      <c r="F318" s="51"/>
      <c r="G318" s="51" t="str">
        <f>IFERROR(__xludf.DUMMYFUNCTION("""COMPUTED_VALUE"""),"#VALUE!")</f>
        <v>#VALUE!</v>
      </c>
      <c r="H318" s="51" t="str">
        <f>IFERROR(__xludf.DUMMYFUNCTION("""COMPUTED_VALUE"""),"")</f>
        <v/>
      </c>
      <c r="I318" s="51" t="str">
        <f>IFERROR(__xludf.DUMMYFUNCTION("""COMPUTED_VALUE"""),"#VALUE!")</f>
        <v>#VALUE!</v>
      </c>
      <c r="J318" s="51" t="str">
        <f>IFERROR(__xludf.DUMMYFUNCTION("""COMPUTED_VALUE"""),"")</f>
        <v/>
      </c>
      <c r="K318" s="51"/>
      <c r="L318" s="51" t="s">
        <v>257</v>
      </c>
      <c r="M318" s="51"/>
      <c r="N318" s="51"/>
      <c r="O318" s="51"/>
      <c r="P318" s="51"/>
      <c r="Q318" s="51"/>
      <c r="R318" s="51"/>
      <c r="S318" s="51"/>
      <c r="T318" s="51"/>
    </row>
    <row r="319">
      <c r="A319" s="51"/>
      <c r="B319" s="51"/>
      <c r="C319" s="56"/>
      <c r="D319" s="51"/>
      <c r="E319" s="51"/>
      <c r="F319" s="51"/>
      <c r="G319" s="51" t="str">
        <f>IFERROR(__xludf.DUMMYFUNCTION("""COMPUTED_VALUE"""),"#VALUE!")</f>
        <v>#VALUE!</v>
      </c>
      <c r="H319" s="51" t="str">
        <f>IFERROR(__xludf.DUMMYFUNCTION("""COMPUTED_VALUE"""),"")</f>
        <v/>
      </c>
      <c r="I319" s="51" t="str">
        <f>IFERROR(__xludf.DUMMYFUNCTION("""COMPUTED_VALUE"""),"#VALUE!")</f>
        <v>#VALUE!</v>
      </c>
      <c r="J319" s="51" t="str">
        <f>IFERROR(__xludf.DUMMYFUNCTION("""COMPUTED_VALUE"""),"")</f>
        <v/>
      </c>
      <c r="K319" s="51"/>
      <c r="L319" s="51" t="s">
        <v>257</v>
      </c>
      <c r="M319" s="51"/>
      <c r="N319" s="51"/>
      <c r="O319" s="51"/>
      <c r="P319" s="51"/>
      <c r="Q319" s="51"/>
      <c r="R319" s="51"/>
      <c r="S319" s="51"/>
      <c r="T319" s="51"/>
    </row>
    <row r="320">
      <c r="A320" s="51"/>
      <c r="B320" s="51"/>
      <c r="C320" s="56"/>
      <c r="D320" s="51"/>
      <c r="E320" s="51"/>
      <c r="F320" s="51"/>
      <c r="G320" s="51" t="str">
        <f>IFERROR(__xludf.DUMMYFUNCTION("""COMPUTED_VALUE"""),"#VALUE!")</f>
        <v>#VALUE!</v>
      </c>
      <c r="H320" s="51" t="str">
        <f>IFERROR(__xludf.DUMMYFUNCTION("""COMPUTED_VALUE"""),"")</f>
        <v/>
      </c>
      <c r="I320" s="51" t="str">
        <f>IFERROR(__xludf.DUMMYFUNCTION("""COMPUTED_VALUE"""),"#VALUE!")</f>
        <v>#VALUE!</v>
      </c>
      <c r="J320" s="51" t="str">
        <f>IFERROR(__xludf.DUMMYFUNCTION("""COMPUTED_VALUE"""),"")</f>
        <v/>
      </c>
      <c r="K320" s="51"/>
      <c r="L320" s="51" t="s">
        <v>257</v>
      </c>
      <c r="M320" s="51"/>
      <c r="N320" s="51"/>
      <c r="O320" s="51"/>
      <c r="P320" s="51"/>
      <c r="Q320" s="51"/>
      <c r="R320" s="51"/>
      <c r="S320" s="51"/>
      <c r="T320" s="51"/>
    </row>
    <row r="321">
      <c r="A321" s="51"/>
      <c r="B321" s="51"/>
      <c r="C321" s="56"/>
      <c r="D321" s="51"/>
      <c r="E321" s="51"/>
      <c r="F321" s="51"/>
      <c r="G321" s="51" t="str">
        <f>IFERROR(__xludf.DUMMYFUNCTION("""COMPUTED_VALUE"""),"#VALUE!")</f>
        <v>#VALUE!</v>
      </c>
      <c r="H321" s="51" t="str">
        <f>IFERROR(__xludf.DUMMYFUNCTION("""COMPUTED_VALUE"""),"")</f>
        <v/>
      </c>
      <c r="I321" s="51" t="str">
        <f>IFERROR(__xludf.DUMMYFUNCTION("""COMPUTED_VALUE"""),"#VALUE!")</f>
        <v>#VALUE!</v>
      </c>
      <c r="J321" s="51" t="str">
        <f>IFERROR(__xludf.DUMMYFUNCTION("""COMPUTED_VALUE"""),"")</f>
        <v/>
      </c>
      <c r="K321" s="51"/>
      <c r="L321" s="51" t="s">
        <v>257</v>
      </c>
      <c r="M321" s="51"/>
      <c r="N321" s="51"/>
      <c r="O321" s="51"/>
      <c r="P321" s="51"/>
      <c r="Q321" s="51"/>
      <c r="R321" s="51"/>
      <c r="S321" s="51"/>
      <c r="T321" s="51"/>
    </row>
    <row r="322">
      <c r="A322" s="51"/>
      <c r="B322" s="51"/>
      <c r="C322" s="56"/>
      <c r="D322" s="51"/>
      <c r="E322" s="51"/>
      <c r="F322" s="51"/>
      <c r="G322" s="51" t="str">
        <f>IFERROR(__xludf.DUMMYFUNCTION("""COMPUTED_VALUE"""),"#VALUE!")</f>
        <v>#VALUE!</v>
      </c>
      <c r="H322" s="51" t="str">
        <f>IFERROR(__xludf.DUMMYFUNCTION("""COMPUTED_VALUE"""),"")</f>
        <v/>
      </c>
      <c r="I322" s="51" t="str">
        <f>IFERROR(__xludf.DUMMYFUNCTION("""COMPUTED_VALUE"""),"#VALUE!")</f>
        <v>#VALUE!</v>
      </c>
      <c r="J322" s="51" t="str">
        <f>IFERROR(__xludf.DUMMYFUNCTION("""COMPUTED_VALUE"""),"")</f>
        <v/>
      </c>
      <c r="K322" s="51"/>
      <c r="L322" s="51" t="s">
        <v>257</v>
      </c>
      <c r="M322" s="51"/>
      <c r="N322" s="51"/>
      <c r="O322" s="51"/>
      <c r="P322" s="51"/>
      <c r="Q322" s="51"/>
      <c r="R322" s="51"/>
      <c r="S322" s="51"/>
      <c r="T322" s="51"/>
    </row>
    <row r="323">
      <c r="A323" s="51"/>
      <c r="B323" s="51"/>
      <c r="C323" s="56"/>
      <c r="D323" s="51"/>
      <c r="E323" s="51"/>
      <c r="F323" s="51"/>
      <c r="G323" s="51" t="str">
        <f>IFERROR(__xludf.DUMMYFUNCTION("""COMPUTED_VALUE"""),"#VALUE!")</f>
        <v>#VALUE!</v>
      </c>
      <c r="H323" s="51" t="str">
        <f>IFERROR(__xludf.DUMMYFUNCTION("""COMPUTED_VALUE"""),"")</f>
        <v/>
      </c>
      <c r="I323" s="51" t="str">
        <f>IFERROR(__xludf.DUMMYFUNCTION("""COMPUTED_VALUE"""),"#VALUE!")</f>
        <v>#VALUE!</v>
      </c>
      <c r="J323" s="51" t="str">
        <f>IFERROR(__xludf.DUMMYFUNCTION("""COMPUTED_VALUE"""),"")</f>
        <v/>
      </c>
      <c r="K323" s="51"/>
      <c r="L323" s="51" t="s">
        <v>257</v>
      </c>
      <c r="M323" s="51"/>
      <c r="N323" s="51"/>
      <c r="O323" s="51"/>
      <c r="P323" s="51"/>
      <c r="Q323" s="51"/>
      <c r="R323" s="51"/>
      <c r="S323" s="51"/>
      <c r="T323" s="51"/>
    </row>
    <row r="324">
      <c r="A324" s="51"/>
      <c r="B324" s="51"/>
      <c r="C324" s="56"/>
      <c r="D324" s="51"/>
      <c r="E324" s="51"/>
      <c r="F324" s="51"/>
      <c r="G324" s="51" t="str">
        <f>IFERROR(__xludf.DUMMYFUNCTION("""COMPUTED_VALUE"""),"#VALUE!")</f>
        <v>#VALUE!</v>
      </c>
      <c r="H324" s="51" t="str">
        <f>IFERROR(__xludf.DUMMYFUNCTION("""COMPUTED_VALUE"""),"")</f>
        <v/>
      </c>
      <c r="I324" s="51" t="str">
        <f>IFERROR(__xludf.DUMMYFUNCTION("""COMPUTED_VALUE"""),"#VALUE!")</f>
        <v>#VALUE!</v>
      </c>
      <c r="J324" s="51" t="str">
        <f>IFERROR(__xludf.DUMMYFUNCTION("""COMPUTED_VALUE"""),"")</f>
        <v/>
      </c>
      <c r="K324" s="51"/>
      <c r="L324" s="51" t="s">
        <v>257</v>
      </c>
      <c r="M324" s="51"/>
      <c r="N324" s="51"/>
      <c r="O324" s="51"/>
      <c r="P324" s="51"/>
      <c r="Q324" s="51"/>
      <c r="R324" s="51"/>
      <c r="S324" s="51"/>
      <c r="T324" s="51"/>
    </row>
    <row r="325">
      <c r="A325" s="51"/>
      <c r="B325" s="51"/>
      <c r="C325" s="56"/>
      <c r="D325" s="51"/>
      <c r="E325" s="51"/>
      <c r="F325" s="51"/>
      <c r="G325" s="51" t="str">
        <f>IFERROR(__xludf.DUMMYFUNCTION("""COMPUTED_VALUE"""),"#VALUE!")</f>
        <v>#VALUE!</v>
      </c>
      <c r="H325" s="51" t="str">
        <f>IFERROR(__xludf.DUMMYFUNCTION("""COMPUTED_VALUE"""),"")</f>
        <v/>
      </c>
      <c r="I325" s="51" t="str">
        <f>IFERROR(__xludf.DUMMYFUNCTION("""COMPUTED_VALUE"""),"#VALUE!")</f>
        <v>#VALUE!</v>
      </c>
      <c r="J325" s="51" t="str">
        <f>IFERROR(__xludf.DUMMYFUNCTION("""COMPUTED_VALUE"""),"")</f>
        <v/>
      </c>
      <c r="K325" s="51"/>
      <c r="L325" s="51" t="s">
        <v>257</v>
      </c>
      <c r="M325" s="51"/>
      <c r="N325" s="51"/>
      <c r="O325" s="51"/>
      <c r="P325" s="51"/>
      <c r="Q325" s="51"/>
      <c r="R325" s="51"/>
      <c r="S325" s="51"/>
      <c r="T325" s="51"/>
    </row>
    <row r="326">
      <c r="A326" s="51"/>
      <c r="B326" s="51"/>
      <c r="C326" s="56"/>
      <c r="D326" s="51"/>
      <c r="E326" s="51"/>
      <c r="F326" s="51"/>
      <c r="G326" s="51" t="str">
        <f>IFERROR(__xludf.DUMMYFUNCTION("""COMPUTED_VALUE"""),"#VALUE!")</f>
        <v>#VALUE!</v>
      </c>
      <c r="H326" s="51" t="str">
        <f>IFERROR(__xludf.DUMMYFUNCTION("""COMPUTED_VALUE"""),"")</f>
        <v/>
      </c>
      <c r="I326" s="51" t="str">
        <f>IFERROR(__xludf.DUMMYFUNCTION("""COMPUTED_VALUE"""),"#VALUE!")</f>
        <v>#VALUE!</v>
      </c>
      <c r="J326" s="51" t="str">
        <f>IFERROR(__xludf.DUMMYFUNCTION("""COMPUTED_VALUE"""),"")</f>
        <v/>
      </c>
      <c r="K326" s="51"/>
      <c r="L326" s="51" t="s">
        <v>257</v>
      </c>
      <c r="M326" s="51"/>
      <c r="N326" s="51"/>
      <c r="O326" s="51"/>
      <c r="P326" s="51"/>
      <c r="Q326" s="51"/>
      <c r="R326" s="51"/>
      <c r="S326" s="51"/>
      <c r="T326" s="51"/>
    </row>
    <row r="327">
      <c r="A327" s="51"/>
      <c r="B327" s="51"/>
      <c r="C327" s="56"/>
      <c r="D327" s="51"/>
      <c r="E327" s="51"/>
      <c r="F327" s="51"/>
      <c r="G327" s="51" t="str">
        <f>IFERROR(__xludf.DUMMYFUNCTION("""COMPUTED_VALUE"""),"#VALUE!")</f>
        <v>#VALUE!</v>
      </c>
      <c r="H327" s="51" t="str">
        <f>IFERROR(__xludf.DUMMYFUNCTION("""COMPUTED_VALUE"""),"")</f>
        <v/>
      </c>
      <c r="I327" s="51" t="str">
        <f>IFERROR(__xludf.DUMMYFUNCTION("""COMPUTED_VALUE"""),"#VALUE!")</f>
        <v>#VALUE!</v>
      </c>
      <c r="J327" s="51" t="str">
        <f>IFERROR(__xludf.DUMMYFUNCTION("""COMPUTED_VALUE"""),"")</f>
        <v/>
      </c>
      <c r="K327" s="51"/>
      <c r="L327" s="51" t="s">
        <v>257</v>
      </c>
      <c r="M327" s="51"/>
      <c r="N327" s="51"/>
      <c r="O327" s="51"/>
      <c r="P327" s="51"/>
      <c r="Q327" s="51"/>
      <c r="R327" s="51"/>
      <c r="S327" s="51"/>
      <c r="T327" s="51"/>
    </row>
    <row r="328">
      <c r="A328" s="51"/>
      <c r="B328" s="51"/>
      <c r="C328" s="56"/>
      <c r="D328" s="51"/>
      <c r="E328" s="51"/>
      <c r="F328" s="51"/>
      <c r="G328" s="51" t="str">
        <f>IFERROR(__xludf.DUMMYFUNCTION("""COMPUTED_VALUE"""),"#VALUE!")</f>
        <v>#VALUE!</v>
      </c>
      <c r="H328" s="51" t="str">
        <f>IFERROR(__xludf.DUMMYFUNCTION("""COMPUTED_VALUE"""),"")</f>
        <v/>
      </c>
      <c r="I328" s="51" t="str">
        <f>IFERROR(__xludf.DUMMYFUNCTION("""COMPUTED_VALUE"""),"#VALUE!")</f>
        <v>#VALUE!</v>
      </c>
      <c r="J328" s="51" t="str">
        <f>IFERROR(__xludf.DUMMYFUNCTION("""COMPUTED_VALUE"""),"")</f>
        <v/>
      </c>
      <c r="K328" s="51"/>
      <c r="L328" s="51" t="s">
        <v>257</v>
      </c>
      <c r="M328" s="51"/>
      <c r="N328" s="51"/>
      <c r="O328" s="51"/>
      <c r="P328" s="51"/>
      <c r="Q328" s="51"/>
      <c r="R328" s="51"/>
      <c r="S328" s="51"/>
      <c r="T328" s="51"/>
    </row>
    <row r="329">
      <c r="A329" s="51"/>
      <c r="B329" s="51"/>
      <c r="C329" s="56"/>
      <c r="D329" s="51"/>
      <c r="E329" s="51"/>
      <c r="F329" s="51"/>
      <c r="G329" s="51" t="str">
        <f>IFERROR(__xludf.DUMMYFUNCTION("""COMPUTED_VALUE"""),"#VALUE!")</f>
        <v>#VALUE!</v>
      </c>
      <c r="H329" s="51" t="str">
        <f>IFERROR(__xludf.DUMMYFUNCTION("""COMPUTED_VALUE"""),"")</f>
        <v/>
      </c>
      <c r="I329" s="51" t="str">
        <f>IFERROR(__xludf.DUMMYFUNCTION("""COMPUTED_VALUE"""),"#VALUE!")</f>
        <v>#VALUE!</v>
      </c>
      <c r="J329" s="51" t="str">
        <f>IFERROR(__xludf.DUMMYFUNCTION("""COMPUTED_VALUE"""),"")</f>
        <v/>
      </c>
      <c r="K329" s="51"/>
      <c r="L329" s="51" t="s">
        <v>257</v>
      </c>
      <c r="M329" s="51"/>
      <c r="N329" s="51"/>
      <c r="O329" s="51"/>
      <c r="P329" s="51"/>
      <c r="Q329" s="51"/>
      <c r="R329" s="51"/>
      <c r="S329" s="51"/>
      <c r="T329" s="51"/>
    </row>
    <row r="330">
      <c r="A330" s="51"/>
      <c r="B330" s="51"/>
      <c r="C330" s="56"/>
      <c r="D330" s="51"/>
      <c r="E330" s="51"/>
      <c r="F330" s="51"/>
      <c r="G330" s="51" t="str">
        <f>IFERROR(__xludf.DUMMYFUNCTION("""COMPUTED_VALUE"""),"#VALUE!")</f>
        <v>#VALUE!</v>
      </c>
      <c r="H330" s="51" t="str">
        <f>IFERROR(__xludf.DUMMYFUNCTION("""COMPUTED_VALUE"""),"")</f>
        <v/>
      </c>
      <c r="I330" s="51" t="str">
        <f>IFERROR(__xludf.DUMMYFUNCTION("""COMPUTED_VALUE"""),"#VALUE!")</f>
        <v>#VALUE!</v>
      </c>
      <c r="J330" s="51" t="str">
        <f>IFERROR(__xludf.DUMMYFUNCTION("""COMPUTED_VALUE"""),"")</f>
        <v/>
      </c>
      <c r="K330" s="51"/>
      <c r="L330" s="51" t="s">
        <v>257</v>
      </c>
      <c r="M330" s="51"/>
      <c r="N330" s="51"/>
      <c r="O330" s="51"/>
      <c r="P330" s="51"/>
      <c r="Q330" s="51"/>
      <c r="R330" s="51"/>
      <c r="S330" s="51"/>
      <c r="T330" s="51"/>
    </row>
    <row r="331">
      <c r="A331" s="51"/>
      <c r="B331" s="51"/>
      <c r="C331" s="56"/>
      <c r="D331" s="51"/>
      <c r="E331" s="51"/>
      <c r="F331" s="51"/>
      <c r="G331" s="51" t="str">
        <f>IFERROR(__xludf.DUMMYFUNCTION("""COMPUTED_VALUE"""),"#VALUE!")</f>
        <v>#VALUE!</v>
      </c>
      <c r="H331" s="51" t="str">
        <f>IFERROR(__xludf.DUMMYFUNCTION("""COMPUTED_VALUE"""),"")</f>
        <v/>
      </c>
      <c r="I331" s="51" t="str">
        <f>IFERROR(__xludf.DUMMYFUNCTION("""COMPUTED_VALUE"""),"#VALUE!")</f>
        <v>#VALUE!</v>
      </c>
      <c r="J331" s="51" t="str">
        <f>IFERROR(__xludf.DUMMYFUNCTION("""COMPUTED_VALUE"""),"")</f>
        <v/>
      </c>
      <c r="K331" s="51"/>
      <c r="L331" s="51" t="s">
        <v>257</v>
      </c>
      <c r="M331" s="51"/>
      <c r="N331" s="51"/>
      <c r="O331" s="51"/>
      <c r="P331" s="51"/>
      <c r="Q331" s="51"/>
      <c r="R331" s="51"/>
      <c r="S331" s="51"/>
      <c r="T331" s="51"/>
    </row>
    <row r="332">
      <c r="A332" s="51"/>
      <c r="B332" s="51"/>
      <c r="C332" s="56"/>
      <c r="D332" s="51"/>
      <c r="E332" s="51"/>
      <c r="F332" s="51"/>
      <c r="G332" s="51" t="str">
        <f>IFERROR(__xludf.DUMMYFUNCTION("""COMPUTED_VALUE"""),"#VALUE!")</f>
        <v>#VALUE!</v>
      </c>
      <c r="H332" s="51" t="str">
        <f>IFERROR(__xludf.DUMMYFUNCTION("""COMPUTED_VALUE"""),"")</f>
        <v/>
      </c>
      <c r="I332" s="51" t="str">
        <f>IFERROR(__xludf.DUMMYFUNCTION("""COMPUTED_VALUE"""),"#VALUE!")</f>
        <v>#VALUE!</v>
      </c>
      <c r="J332" s="51" t="str">
        <f>IFERROR(__xludf.DUMMYFUNCTION("""COMPUTED_VALUE"""),"")</f>
        <v/>
      </c>
      <c r="K332" s="51"/>
      <c r="L332" s="51" t="s">
        <v>257</v>
      </c>
      <c r="M332" s="51"/>
      <c r="N332" s="51"/>
      <c r="O332" s="51"/>
      <c r="P332" s="51"/>
      <c r="Q332" s="51"/>
      <c r="R332" s="51"/>
      <c r="S332" s="51"/>
      <c r="T332" s="51"/>
    </row>
    <row r="333">
      <c r="A333" s="51"/>
      <c r="B333" s="51"/>
      <c r="C333" s="56"/>
      <c r="D333" s="51"/>
      <c r="E333" s="51"/>
      <c r="F333" s="51"/>
      <c r="G333" s="51" t="str">
        <f>IFERROR(__xludf.DUMMYFUNCTION("""COMPUTED_VALUE"""),"#VALUE!")</f>
        <v>#VALUE!</v>
      </c>
      <c r="H333" s="51" t="str">
        <f>IFERROR(__xludf.DUMMYFUNCTION("""COMPUTED_VALUE"""),"")</f>
        <v/>
      </c>
      <c r="I333" s="51" t="str">
        <f>IFERROR(__xludf.DUMMYFUNCTION("""COMPUTED_VALUE"""),"#VALUE!")</f>
        <v>#VALUE!</v>
      </c>
      <c r="J333" s="51" t="str">
        <f>IFERROR(__xludf.DUMMYFUNCTION("""COMPUTED_VALUE"""),"")</f>
        <v/>
      </c>
      <c r="K333" s="51"/>
      <c r="L333" s="51" t="s">
        <v>257</v>
      </c>
      <c r="M333" s="51"/>
      <c r="N333" s="51"/>
      <c r="O333" s="51"/>
      <c r="P333" s="51"/>
      <c r="Q333" s="51"/>
      <c r="R333" s="51"/>
      <c r="S333" s="51"/>
      <c r="T333" s="51"/>
    </row>
    <row r="334">
      <c r="A334" s="51"/>
      <c r="B334" s="51"/>
      <c r="C334" s="56"/>
      <c r="D334" s="51"/>
      <c r="E334" s="51"/>
      <c r="F334" s="51"/>
      <c r="G334" s="51" t="str">
        <f>IFERROR(__xludf.DUMMYFUNCTION("""COMPUTED_VALUE"""),"#VALUE!")</f>
        <v>#VALUE!</v>
      </c>
      <c r="H334" s="51" t="str">
        <f>IFERROR(__xludf.DUMMYFUNCTION("""COMPUTED_VALUE"""),"")</f>
        <v/>
      </c>
      <c r="I334" s="51" t="str">
        <f>IFERROR(__xludf.DUMMYFUNCTION("""COMPUTED_VALUE"""),"#VALUE!")</f>
        <v>#VALUE!</v>
      </c>
      <c r="J334" s="51" t="str">
        <f>IFERROR(__xludf.DUMMYFUNCTION("""COMPUTED_VALUE"""),"")</f>
        <v/>
      </c>
      <c r="K334" s="51"/>
      <c r="L334" s="51" t="s">
        <v>257</v>
      </c>
      <c r="M334" s="51"/>
      <c r="N334" s="51"/>
      <c r="O334" s="51"/>
      <c r="P334" s="51"/>
      <c r="Q334" s="51"/>
      <c r="R334" s="51"/>
      <c r="S334" s="51"/>
      <c r="T334" s="51"/>
    </row>
    <row r="335">
      <c r="A335" s="51"/>
      <c r="B335" s="51"/>
      <c r="C335" s="56"/>
      <c r="D335" s="51"/>
      <c r="E335" s="51"/>
      <c r="F335" s="51"/>
      <c r="G335" s="51" t="str">
        <f>IFERROR(__xludf.DUMMYFUNCTION("""COMPUTED_VALUE"""),"#VALUE!")</f>
        <v>#VALUE!</v>
      </c>
      <c r="H335" s="51" t="str">
        <f>IFERROR(__xludf.DUMMYFUNCTION("""COMPUTED_VALUE"""),"")</f>
        <v/>
      </c>
      <c r="I335" s="51" t="str">
        <f>IFERROR(__xludf.DUMMYFUNCTION("""COMPUTED_VALUE"""),"#VALUE!")</f>
        <v>#VALUE!</v>
      </c>
      <c r="J335" s="51" t="str">
        <f>IFERROR(__xludf.DUMMYFUNCTION("""COMPUTED_VALUE"""),"")</f>
        <v/>
      </c>
      <c r="K335" s="51"/>
      <c r="L335" s="51" t="s">
        <v>257</v>
      </c>
      <c r="M335" s="51"/>
      <c r="N335" s="51"/>
      <c r="O335" s="51"/>
      <c r="P335" s="51"/>
      <c r="Q335" s="51"/>
      <c r="R335" s="51"/>
      <c r="S335" s="51"/>
      <c r="T335" s="51"/>
    </row>
    <row r="336">
      <c r="A336" s="51"/>
      <c r="B336" s="51"/>
      <c r="C336" s="56"/>
      <c r="D336" s="51"/>
      <c r="E336" s="51"/>
      <c r="F336" s="51"/>
      <c r="G336" s="51" t="str">
        <f>IFERROR(__xludf.DUMMYFUNCTION("""COMPUTED_VALUE"""),"#VALUE!")</f>
        <v>#VALUE!</v>
      </c>
      <c r="H336" s="51" t="str">
        <f>IFERROR(__xludf.DUMMYFUNCTION("""COMPUTED_VALUE"""),"")</f>
        <v/>
      </c>
      <c r="I336" s="51" t="str">
        <f>IFERROR(__xludf.DUMMYFUNCTION("""COMPUTED_VALUE"""),"#VALUE!")</f>
        <v>#VALUE!</v>
      </c>
      <c r="J336" s="51" t="str">
        <f>IFERROR(__xludf.DUMMYFUNCTION("""COMPUTED_VALUE"""),"")</f>
        <v/>
      </c>
      <c r="K336" s="51"/>
      <c r="L336" s="51" t="s">
        <v>257</v>
      </c>
      <c r="M336" s="51"/>
      <c r="N336" s="51"/>
      <c r="O336" s="51"/>
      <c r="P336" s="51"/>
      <c r="Q336" s="51"/>
      <c r="R336" s="51"/>
      <c r="S336" s="51"/>
      <c r="T336" s="51"/>
    </row>
    <row r="337">
      <c r="A337" s="51"/>
      <c r="B337" s="51"/>
      <c r="C337" s="56"/>
      <c r="D337" s="51"/>
      <c r="E337" s="51"/>
      <c r="F337" s="51"/>
      <c r="G337" s="51" t="str">
        <f>IFERROR(__xludf.DUMMYFUNCTION("""COMPUTED_VALUE"""),"#VALUE!")</f>
        <v>#VALUE!</v>
      </c>
      <c r="H337" s="51" t="str">
        <f>IFERROR(__xludf.DUMMYFUNCTION("""COMPUTED_VALUE"""),"")</f>
        <v/>
      </c>
      <c r="I337" s="51" t="str">
        <f>IFERROR(__xludf.DUMMYFUNCTION("""COMPUTED_VALUE"""),"#VALUE!")</f>
        <v>#VALUE!</v>
      </c>
      <c r="J337" s="51" t="str">
        <f>IFERROR(__xludf.DUMMYFUNCTION("""COMPUTED_VALUE"""),"")</f>
        <v/>
      </c>
      <c r="K337" s="51"/>
      <c r="L337" s="51" t="s">
        <v>257</v>
      </c>
      <c r="M337" s="51"/>
      <c r="N337" s="51"/>
      <c r="O337" s="51"/>
      <c r="P337" s="51"/>
      <c r="Q337" s="51"/>
      <c r="R337" s="51"/>
      <c r="S337" s="51"/>
      <c r="T337" s="51"/>
    </row>
    <row r="338">
      <c r="A338" s="51"/>
      <c r="B338" s="51"/>
      <c r="C338" s="56"/>
      <c r="D338" s="51"/>
      <c r="E338" s="51"/>
      <c r="F338" s="51"/>
      <c r="G338" s="51" t="str">
        <f>IFERROR(__xludf.DUMMYFUNCTION("""COMPUTED_VALUE"""),"#VALUE!")</f>
        <v>#VALUE!</v>
      </c>
      <c r="H338" s="51" t="str">
        <f>IFERROR(__xludf.DUMMYFUNCTION("""COMPUTED_VALUE"""),"")</f>
        <v/>
      </c>
      <c r="I338" s="51" t="str">
        <f>IFERROR(__xludf.DUMMYFUNCTION("""COMPUTED_VALUE"""),"#VALUE!")</f>
        <v>#VALUE!</v>
      </c>
      <c r="J338" s="51" t="str">
        <f>IFERROR(__xludf.DUMMYFUNCTION("""COMPUTED_VALUE"""),"")</f>
        <v/>
      </c>
      <c r="K338" s="51"/>
      <c r="L338" s="51" t="s">
        <v>257</v>
      </c>
      <c r="M338" s="51"/>
      <c r="N338" s="51"/>
      <c r="O338" s="51"/>
      <c r="P338" s="51"/>
      <c r="Q338" s="51"/>
      <c r="R338" s="51"/>
      <c r="S338" s="51"/>
      <c r="T338" s="51"/>
    </row>
    <row r="339">
      <c r="A339" s="51"/>
      <c r="B339" s="51"/>
      <c r="C339" s="56"/>
      <c r="D339" s="51"/>
      <c r="E339" s="51"/>
      <c r="F339" s="51"/>
      <c r="G339" s="51" t="str">
        <f>IFERROR(__xludf.DUMMYFUNCTION("""COMPUTED_VALUE"""),"#VALUE!")</f>
        <v>#VALUE!</v>
      </c>
      <c r="H339" s="51" t="str">
        <f>IFERROR(__xludf.DUMMYFUNCTION("""COMPUTED_VALUE"""),"")</f>
        <v/>
      </c>
      <c r="I339" s="51" t="str">
        <f>IFERROR(__xludf.DUMMYFUNCTION("""COMPUTED_VALUE"""),"#VALUE!")</f>
        <v>#VALUE!</v>
      </c>
      <c r="J339" s="51" t="str">
        <f>IFERROR(__xludf.DUMMYFUNCTION("""COMPUTED_VALUE"""),"")</f>
        <v/>
      </c>
      <c r="K339" s="51"/>
      <c r="L339" s="51" t="s">
        <v>257</v>
      </c>
      <c r="M339" s="51"/>
      <c r="N339" s="51"/>
      <c r="O339" s="51"/>
      <c r="P339" s="51"/>
      <c r="Q339" s="51"/>
      <c r="R339" s="51"/>
      <c r="S339" s="51"/>
      <c r="T339" s="51"/>
    </row>
    <row r="340">
      <c r="A340" s="51"/>
      <c r="B340" s="51"/>
      <c r="C340" s="56"/>
      <c r="D340" s="51"/>
      <c r="E340" s="51"/>
      <c r="F340" s="51"/>
      <c r="G340" s="51" t="str">
        <f>IFERROR(__xludf.DUMMYFUNCTION("""COMPUTED_VALUE"""),"#VALUE!")</f>
        <v>#VALUE!</v>
      </c>
      <c r="H340" s="51" t="str">
        <f>IFERROR(__xludf.DUMMYFUNCTION("""COMPUTED_VALUE"""),"")</f>
        <v/>
      </c>
      <c r="I340" s="51" t="str">
        <f>IFERROR(__xludf.DUMMYFUNCTION("""COMPUTED_VALUE"""),"#VALUE!")</f>
        <v>#VALUE!</v>
      </c>
      <c r="J340" s="51" t="str">
        <f>IFERROR(__xludf.DUMMYFUNCTION("""COMPUTED_VALUE"""),"")</f>
        <v/>
      </c>
      <c r="K340" s="51"/>
      <c r="L340" s="51" t="s">
        <v>257</v>
      </c>
      <c r="M340" s="51"/>
      <c r="N340" s="51"/>
      <c r="O340" s="51"/>
      <c r="P340" s="51"/>
      <c r="Q340" s="51"/>
      <c r="R340" s="51"/>
      <c r="S340" s="51"/>
      <c r="T340" s="51"/>
    </row>
    <row r="341">
      <c r="A341" s="51"/>
      <c r="B341" s="51"/>
      <c r="C341" s="56"/>
      <c r="D341" s="51"/>
      <c r="E341" s="51"/>
      <c r="F341" s="51"/>
      <c r="G341" s="51" t="str">
        <f>IFERROR(__xludf.DUMMYFUNCTION("""COMPUTED_VALUE"""),"#VALUE!")</f>
        <v>#VALUE!</v>
      </c>
      <c r="H341" s="51" t="str">
        <f>IFERROR(__xludf.DUMMYFUNCTION("""COMPUTED_VALUE"""),"")</f>
        <v/>
      </c>
      <c r="I341" s="51" t="str">
        <f>IFERROR(__xludf.DUMMYFUNCTION("""COMPUTED_VALUE"""),"#VALUE!")</f>
        <v>#VALUE!</v>
      </c>
      <c r="J341" s="51" t="str">
        <f>IFERROR(__xludf.DUMMYFUNCTION("""COMPUTED_VALUE"""),"")</f>
        <v/>
      </c>
      <c r="K341" s="51"/>
      <c r="L341" s="51" t="s">
        <v>257</v>
      </c>
      <c r="M341" s="51"/>
      <c r="N341" s="51"/>
      <c r="O341" s="51"/>
      <c r="P341" s="51"/>
      <c r="Q341" s="51"/>
      <c r="R341" s="51"/>
      <c r="S341" s="51"/>
      <c r="T341" s="51"/>
    </row>
    <row r="342">
      <c r="A342" s="51"/>
      <c r="B342" s="51"/>
      <c r="C342" s="56"/>
      <c r="D342" s="51"/>
      <c r="E342" s="51"/>
      <c r="F342" s="51"/>
      <c r="G342" s="51" t="str">
        <f>IFERROR(__xludf.DUMMYFUNCTION("""COMPUTED_VALUE"""),"#VALUE!")</f>
        <v>#VALUE!</v>
      </c>
      <c r="H342" s="51" t="str">
        <f>IFERROR(__xludf.DUMMYFUNCTION("""COMPUTED_VALUE"""),"")</f>
        <v/>
      </c>
      <c r="I342" s="51" t="str">
        <f>IFERROR(__xludf.DUMMYFUNCTION("""COMPUTED_VALUE"""),"#VALUE!")</f>
        <v>#VALUE!</v>
      </c>
      <c r="J342" s="51" t="str">
        <f>IFERROR(__xludf.DUMMYFUNCTION("""COMPUTED_VALUE"""),"")</f>
        <v/>
      </c>
      <c r="K342" s="51"/>
      <c r="L342" s="51" t="s">
        <v>257</v>
      </c>
      <c r="M342" s="51"/>
      <c r="N342" s="51"/>
      <c r="O342" s="51"/>
      <c r="P342" s="51"/>
      <c r="Q342" s="51"/>
      <c r="R342" s="51"/>
      <c r="S342" s="51"/>
      <c r="T342" s="51"/>
    </row>
    <row r="343">
      <c r="A343" s="51"/>
      <c r="B343" s="51"/>
      <c r="C343" s="56"/>
      <c r="D343" s="51"/>
      <c r="E343" s="51"/>
      <c r="F343" s="51"/>
      <c r="G343" s="51" t="str">
        <f>IFERROR(__xludf.DUMMYFUNCTION("""COMPUTED_VALUE"""),"#VALUE!")</f>
        <v>#VALUE!</v>
      </c>
      <c r="H343" s="51" t="str">
        <f>IFERROR(__xludf.DUMMYFUNCTION("""COMPUTED_VALUE"""),"")</f>
        <v/>
      </c>
      <c r="I343" s="51" t="str">
        <f>IFERROR(__xludf.DUMMYFUNCTION("""COMPUTED_VALUE"""),"#VALUE!")</f>
        <v>#VALUE!</v>
      </c>
      <c r="J343" s="51" t="str">
        <f>IFERROR(__xludf.DUMMYFUNCTION("""COMPUTED_VALUE"""),"")</f>
        <v/>
      </c>
      <c r="K343" s="51"/>
      <c r="L343" s="51" t="s">
        <v>257</v>
      </c>
      <c r="M343" s="51"/>
      <c r="N343" s="51"/>
      <c r="O343" s="51"/>
      <c r="P343" s="51"/>
      <c r="Q343" s="51"/>
      <c r="R343" s="51"/>
      <c r="S343" s="51"/>
      <c r="T343" s="51"/>
    </row>
    <row r="344">
      <c r="A344" s="51"/>
      <c r="B344" s="51"/>
      <c r="C344" s="56"/>
      <c r="D344" s="51"/>
      <c r="E344" s="51"/>
      <c r="F344" s="51"/>
      <c r="G344" s="51" t="str">
        <f>IFERROR(__xludf.DUMMYFUNCTION("""COMPUTED_VALUE"""),"#VALUE!")</f>
        <v>#VALUE!</v>
      </c>
      <c r="H344" s="51" t="str">
        <f>IFERROR(__xludf.DUMMYFUNCTION("""COMPUTED_VALUE"""),"")</f>
        <v/>
      </c>
      <c r="I344" s="51" t="str">
        <f>IFERROR(__xludf.DUMMYFUNCTION("""COMPUTED_VALUE"""),"#VALUE!")</f>
        <v>#VALUE!</v>
      </c>
      <c r="J344" s="51" t="str">
        <f>IFERROR(__xludf.DUMMYFUNCTION("""COMPUTED_VALUE"""),"")</f>
        <v/>
      </c>
      <c r="K344" s="51"/>
      <c r="L344" s="51" t="s">
        <v>257</v>
      </c>
      <c r="M344" s="51"/>
      <c r="N344" s="51"/>
      <c r="O344" s="51"/>
      <c r="P344" s="51"/>
      <c r="Q344" s="51"/>
      <c r="R344" s="51"/>
      <c r="S344" s="51"/>
      <c r="T344" s="51"/>
    </row>
    <row r="345">
      <c r="A345" s="51"/>
      <c r="B345" s="51"/>
      <c r="C345" s="56"/>
      <c r="D345" s="51"/>
      <c r="E345" s="51"/>
      <c r="F345" s="51"/>
      <c r="G345" s="51" t="str">
        <f>IFERROR(__xludf.DUMMYFUNCTION("""COMPUTED_VALUE"""),"#VALUE!")</f>
        <v>#VALUE!</v>
      </c>
      <c r="H345" s="51" t="str">
        <f>IFERROR(__xludf.DUMMYFUNCTION("""COMPUTED_VALUE"""),"")</f>
        <v/>
      </c>
      <c r="I345" s="51" t="str">
        <f>IFERROR(__xludf.DUMMYFUNCTION("""COMPUTED_VALUE"""),"#VALUE!")</f>
        <v>#VALUE!</v>
      </c>
      <c r="J345" s="51" t="str">
        <f>IFERROR(__xludf.DUMMYFUNCTION("""COMPUTED_VALUE"""),"")</f>
        <v/>
      </c>
      <c r="K345" s="51"/>
      <c r="L345" s="51" t="s">
        <v>257</v>
      </c>
      <c r="M345" s="51"/>
      <c r="N345" s="51"/>
      <c r="O345" s="51"/>
      <c r="P345" s="51"/>
      <c r="Q345" s="51"/>
      <c r="R345" s="51"/>
      <c r="S345" s="51"/>
      <c r="T345" s="51"/>
    </row>
    <row r="346">
      <c r="A346" s="51"/>
      <c r="B346" s="51"/>
      <c r="C346" s="56"/>
      <c r="D346" s="51"/>
      <c r="E346" s="51"/>
      <c r="F346" s="51"/>
      <c r="G346" s="51" t="str">
        <f>IFERROR(__xludf.DUMMYFUNCTION("""COMPUTED_VALUE"""),"#VALUE!")</f>
        <v>#VALUE!</v>
      </c>
      <c r="H346" s="51" t="str">
        <f>IFERROR(__xludf.DUMMYFUNCTION("""COMPUTED_VALUE"""),"")</f>
        <v/>
      </c>
      <c r="I346" s="51" t="str">
        <f>IFERROR(__xludf.DUMMYFUNCTION("""COMPUTED_VALUE"""),"#VALUE!")</f>
        <v>#VALUE!</v>
      </c>
      <c r="J346" s="51" t="str">
        <f>IFERROR(__xludf.DUMMYFUNCTION("""COMPUTED_VALUE"""),"")</f>
        <v/>
      </c>
      <c r="K346" s="51"/>
      <c r="L346" s="51" t="s">
        <v>257</v>
      </c>
      <c r="M346" s="51"/>
      <c r="N346" s="51"/>
      <c r="O346" s="51"/>
      <c r="P346" s="51"/>
      <c r="Q346" s="51"/>
      <c r="R346" s="51"/>
      <c r="S346" s="51"/>
      <c r="T346" s="51"/>
    </row>
    <row r="347">
      <c r="A347" s="51"/>
      <c r="B347" s="51"/>
      <c r="C347" s="56"/>
      <c r="D347" s="51"/>
      <c r="E347" s="51"/>
      <c r="F347" s="51"/>
      <c r="G347" s="51" t="str">
        <f>IFERROR(__xludf.DUMMYFUNCTION("""COMPUTED_VALUE"""),"#VALUE!")</f>
        <v>#VALUE!</v>
      </c>
      <c r="H347" s="51" t="str">
        <f>IFERROR(__xludf.DUMMYFUNCTION("""COMPUTED_VALUE"""),"")</f>
        <v/>
      </c>
      <c r="I347" s="51" t="str">
        <f>IFERROR(__xludf.DUMMYFUNCTION("""COMPUTED_VALUE"""),"#VALUE!")</f>
        <v>#VALUE!</v>
      </c>
      <c r="J347" s="51" t="str">
        <f>IFERROR(__xludf.DUMMYFUNCTION("""COMPUTED_VALUE"""),"")</f>
        <v/>
      </c>
      <c r="K347" s="51"/>
      <c r="L347" s="51" t="s">
        <v>257</v>
      </c>
      <c r="M347" s="51"/>
      <c r="N347" s="51"/>
      <c r="O347" s="51"/>
      <c r="P347" s="51"/>
      <c r="Q347" s="51"/>
      <c r="R347" s="51"/>
      <c r="S347" s="51"/>
      <c r="T347" s="51"/>
    </row>
    <row r="348">
      <c r="A348" s="51"/>
      <c r="B348" s="51"/>
      <c r="C348" s="56"/>
      <c r="D348" s="51"/>
      <c r="E348" s="51"/>
      <c r="F348" s="51"/>
      <c r="G348" s="51" t="str">
        <f>IFERROR(__xludf.DUMMYFUNCTION("""COMPUTED_VALUE"""),"#VALUE!")</f>
        <v>#VALUE!</v>
      </c>
      <c r="H348" s="51" t="str">
        <f>IFERROR(__xludf.DUMMYFUNCTION("""COMPUTED_VALUE"""),"")</f>
        <v/>
      </c>
      <c r="I348" s="51" t="str">
        <f>IFERROR(__xludf.DUMMYFUNCTION("""COMPUTED_VALUE"""),"#VALUE!")</f>
        <v>#VALUE!</v>
      </c>
      <c r="J348" s="51" t="str">
        <f>IFERROR(__xludf.DUMMYFUNCTION("""COMPUTED_VALUE"""),"")</f>
        <v/>
      </c>
      <c r="K348" s="51"/>
      <c r="L348" s="51" t="s">
        <v>257</v>
      </c>
      <c r="M348" s="51"/>
      <c r="N348" s="51"/>
      <c r="O348" s="51"/>
      <c r="P348" s="51"/>
      <c r="Q348" s="51"/>
      <c r="R348" s="51"/>
      <c r="S348" s="51"/>
      <c r="T348" s="51"/>
    </row>
    <row r="349">
      <c r="A349" s="51"/>
      <c r="B349" s="51"/>
      <c r="C349" s="56"/>
      <c r="D349" s="51"/>
      <c r="E349" s="51"/>
      <c r="F349" s="51"/>
      <c r="G349" s="51" t="str">
        <f>IFERROR(__xludf.DUMMYFUNCTION("""COMPUTED_VALUE"""),"#VALUE!")</f>
        <v>#VALUE!</v>
      </c>
      <c r="H349" s="51" t="str">
        <f>IFERROR(__xludf.DUMMYFUNCTION("""COMPUTED_VALUE"""),"")</f>
        <v/>
      </c>
      <c r="I349" s="51" t="str">
        <f>IFERROR(__xludf.DUMMYFUNCTION("""COMPUTED_VALUE"""),"#VALUE!")</f>
        <v>#VALUE!</v>
      </c>
      <c r="J349" s="51" t="str">
        <f>IFERROR(__xludf.DUMMYFUNCTION("""COMPUTED_VALUE"""),"")</f>
        <v/>
      </c>
      <c r="K349" s="51"/>
      <c r="L349" s="51" t="s">
        <v>257</v>
      </c>
      <c r="M349" s="51"/>
      <c r="N349" s="51"/>
      <c r="O349" s="51"/>
      <c r="P349" s="51"/>
      <c r="Q349" s="51"/>
      <c r="R349" s="51"/>
      <c r="S349" s="51"/>
      <c r="T349" s="51"/>
    </row>
    <row r="350">
      <c r="A350" s="51"/>
      <c r="B350" s="51"/>
      <c r="C350" s="56"/>
      <c r="D350" s="51"/>
      <c r="E350" s="51"/>
      <c r="F350" s="51"/>
      <c r="G350" s="51" t="str">
        <f>IFERROR(__xludf.DUMMYFUNCTION("""COMPUTED_VALUE"""),"#VALUE!")</f>
        <v>#VALUE!</v>
      </c>
      <c r="H350" s="51" t="str">
        <f>IFERROR(__xludf.DUMMYFUNCTION("""COMPUTED_VALUE"""),"")</f>
        <v/>
      </c>
      <c r="I350" s="51" t="str">
        <f>IFERROR(__xludf.DUMMYFUNCTION("""COMPUTED_VALUE"""),"#VALUE!")</f>
        <v>#VALUE!</v>
      </c>
      <c r="J350" s="51" t="str">
        <f>IFERROR(__xludf.DUMMYFUNCTION("""COMPUTED_VALUE"""),"")</f>
        <v/>
      </c>
      <c r="K350" s="51"/>
      <c r="L350" s="51" t="s">
        <v>257</v>
      </c>
      <c r="M350" s="51"/>
      <c r="N350" s="51"/>
      <c r="O350" s="51"/>
      <c r="P350" s="51"/>
      <c r="Q350" s="51"/>
      <c r="R350" s="51"/>
      <c r="S350" s="51"/>
      <c r="T350" s="51"/>
    </row>
    <row r="351">
      <c r="A351" s="51"/>
      <c r="B351" s="51"/>
      <c r="C351" s="56"/>
      <c r="D351" s="51"/>
      <c r="E351" s="51"/>
      <c r="F351" s="51"/>
      <c r="G351" s="51" t="str">
        <f>IFERROR(__xludf.DUMMYFUNCTION("""COMPUTED_VALUE"""),"#VALUE!")</f>
        <v>#VALUE!</v>
      </c>
      <c r="H351" s="51" t="str">
        <f>IFERROR(__xludf.DUMMYFUNCTION("""COMPUTED_VALUE"""),"")</f>
        <v/>
      </c>
      <c r="I351" s="51" t="str">
        <f>IFERROR(__xludf.DUMMYFUNCTION("""COMPUTED_VALUE"""),"#VALUE!")</f>
        <v>#VALUE!</v>
      </c>
      <c r="J351" s="51" t="str">
        <f>IFERROR(__xludf.DUMMYFUNCTION("""COMPUTED_VALUE"""),"")</f>
        <v/>
      </c>
      <c r="K351" s="51"/>
      <c r="L351" s="51" t="s">
        <v>257</v>
      </c>
      <c r="M351" s="51"/>
      <c r="N351" s="51"/>
      <c r="O351" s="51"/>
      <c r="P351" s="51"/>
      <c r="Q351" s="51"/>
      <c r="R351" s="51"/>
      <c r="S351" s="51"/>
      <c r="T351" s="51"/>
    </row>
    <row r="352">
      <c r="A352" s="51"/>
      <c r="B352" s="51"/>
      <c r="C352" s="56"/>
      <c r="D352" s="51"/>
      <c r="E352" s="51"/>
      <c r="F352" s="51"/>
      <c r="G352" s="51" t="str">
        <f>IFERROR(__xludf.DUMMYFUNCTION("""COMPUTED_VALUE"""),"#VALUE!")</f>
        <v>#VALUE!</v>
      </c>
      <c r="H352" s="51" t="str">
        <f>IFERROR(__xludf.DUMMYFUNCTION("""COMPUTED_VALUE"""),"")</f>
        <v/>
      </c>
      <c r="I352" s="51" t="str">
        <f>IFERROR(__xludf.DUMMYFUNCTION("""COMPUTED_VALUE"""),"#VALUE!")</f>
        <v>#VALUE!</v>
      </c>
      <c r="J352" s="51" t="str">
        <f>IFERROR(__xludf.DUMMYFUNCTION("""COMPUTED_VALUE"""),"")</f>
        <v/>
      </c>
      <c r="K352" s="51"/>
      <c r="L352" s="51" t="s">
        <v>257</v>
      </c>
      <c r="M352" s="51"/>
      <c r="N352" s="51"/>
      <c r="O352" s="51"/>
      <c r="P352" s="51"/>
      <c r="Q352" s="51"/>
      <c r="R352" s="51"/>
      <c r="S352" s="51"/>
      <c r="T352" s="51"/>
    </row>
    <row r="353">
      <c r="A353" s="51"/>
      <c r="B353" s="51"/>
      <c r="C353" s="56"/>
      <c r="D353" s="51"/>
      <c r="E353" s="51"/>
      <c r="F353" s="51"/>
      <c r="G353" s="51" t="str">
        <f>IFERROR(__xludf.DUMMYFUNCTION("""COMPUTED_VALUE"""),"#VALUE!")</f>
        <v>#VALUE!</v>
      </c>
      <c r="H353" s="51" t="str">
        <f>IFERROR(__xludf.DUMMYFUNCTION("""COMPUTED_VALUE"""),"")</f>
        <v/>
      </c>
      <c r="I353" s="51" t="str">
        <f>IFERROR(__xludf.DUMMYFUNCTION("""COMPUTED_VALUE"""),"#VALUE!")</f>
        <v>#VALUE!</v>
      </c>
      <c r="J353" s="51" t="str">
        <f>IFERROR(__xludf.DUMMYFUNCTION("""COMPUTED_VALUE"""),"")</f>
        <v/>
      </c>
      <c r="K353" s="51"/>
      <c r="L353" s="51" t="s">
        <v>257</v>
      </c>
      <c r="M353" s="51"/>
      <c r="N353" s="51"/>
      <c r="O353" s="51"/>
      <c r="P353" s="51"/>
      <c r="Q353" s="51"/>
      <c r="R353" s="51"/>
      <c r="S353" s="51"/>
      <c r="T353" s="51"/>
    </row>
    <row r="354">
      <c r="A354" s="51"/>
      <c r="B354" s="51"/>
      <c r="C354" s="56"/>
      <c r="D354" s="51"/>
      <c r="E354" s="51"/>
      <c r="F354" s="51"/>
      <c r="G354" s="51" t="str">
        <f>IFERROR(__xludf.DUMMYFUNCTION("""COMPUTED_VALUE"""),"#VALUE!")</f>
        <v>#VALUE!</v>
      </c>
      <c r="H354" s="51" t="str">
        <f>IFERROR(__xludf.DUMMYFUNCTION("""COMPUTED_VALUE"""),"")</f>
        <v/>
      </c>
      <c r="I354" s="51" t="str">
        <f>IFERROR(__xludf.DUMMYFUNCTION("""COMPUTED_VALUE"""),"#VALUE!")</f>
        <v>#VALUE!</v>
      </c>
      <c r="J354" s="51" t="str">
        <f>IFERROR(__xludf.DUMMYFUNCTION("""COMPUTED_VALUE"""),"")</f>
        <v/>
      </c>
      <c r="K354" s="51"/>
      <c r="L354" s="51" t="s">
        <v>257</v>
      </c>
      <c r="M354" s="51"/>
      <c r="N354" s="51"/>
      <c r="O354" s="51"/>
      <c r="P354" s="51"/>
      <c r="Q354" s="51"/>
      <c r="R354" s="51"/>
      <c r="S354" s="51"/>
      <c r="T354" s="51"/>
    </row>
    <row r="355">
      <c r="A355" s="51"/>
      <c r="B355" s="51"/>
      <c r="C355" s="56"/>
      <c r="D355" s="51"/>
      <c r="E355" s="51"/>
      <c r="F355" s="51"/>
      <c r="G355" s="51" t="str">
        <f>IFERROR(__xludf.DUMMYFUNCTION("""COMPUTED_VALUE"""),"#VALUE!")</f>
        <v>#VALUE!</v>
      </c>
      <c r="H355" s="51" t="str">
        <f>IFERROR(__xludf.DUMMYFUNCTION("""COMPUTED_VALUE"""),"")</f>
        <v/>
      </c>
      <c r="I355" s="51" t="str">
        <f>IFERROR(__xludf.DUMMYFUNCTION("""COMPUTED_VALUE"""),"#VALUE!")</f>
        <v>#VALUE!</v>
      </c>
      <c r="J355" s="51" t="str">
        <f>IFERROR(__xludf.DUMMYFUNCTION("""COMPUTED_VALUE"""),"")</f>
        <v/>
      </c>
      <c r="K355" s="51"/>
      <c r="L355" s="51" t="s">
        <v>257</v>
      </c>
      <c r="M355" s="51"/>
      <c r="N355" s="51"/>
      <c r="O355" s="51"/>
      <c r="P355" s="51"/>
      <c r="Q355" s="51"/>
      <c r="R355" s="51"/>
      <c r="S355" s="51"/>
      <c r="T355" s="51"/>
    </row>
    <row r="356">
      <c r="A356" s="51"/>
      <c r="B356" s="51"/>
      <c r="C356" s="56"/>
      <c r="D356" s="51"/>
      <c r="E356" s="51"/>
      <c r="F356" s="51"/>
      <c r="G356" s="51" t="str">
        <f>IFERROR(__xludf.DUMMYFUNCTION("""COMPUTED_VALUE"""),"#VALUE!")</f>
        <v>#VALUE!</v>
      </c>
      <c r="H356" s="51" t="str">
        <f>IFERROR(__xludf.DUMMYFUNCTION("""COMPUTED_VALUE"""),"")</f>
        <v/>
      </c>
      <c r="I356" s="51" t="str">
        <f>IFERROR(__xludf.DUMMYFUNCTION("""COMPUTED_VALUE"""),"#VALUE!")</f>
        <v>#VALUE!</v>
      </c>
      <c r="J356" s="51" t="str">
        <f>IFERROR(__xludf.DUMMYFUNCTION("""COMPUTED_VALUE"""),"")</f>
        <v/>
      </c>
      <c r="K356" s="51"/>
      <c r="L356" s="51" t="s">
        <v>257</v>
      </c>
      <c r="M356" s="51"/>
      <c r="N356" s="51"/>
      <c r="O356" s="51"/>
      <c r="P356" s="51"/>
      <c r="Q356" s="51"/>
      <c r="R356" s="51"/>
      <c r="S356" s="51"/>
      <c r="T356" s="51"/>
    </row>
    <row r="357">
      <c r="A357" s="51"/>
      <c r="B357" s="51"/>
      <c r="C357" s="56"/>
      <c r="D357" s="51"/>
      <c r="E357" s="51"/>
      <c r="F357" s="51"/>
      <c r="G357" s="51" t="str">
        <f>IFERROR(__xludf.DUMMYFUNCTION("""COMPUTED_VALUE"""),"#VALUE!")</f>
        <v>#VALUE!</v>
      </c>
      <c r="H357" s="51" t="str">
        <f>IFERROR(__xludf.DUMMYFUNCTION("""COMPUTED_VALUE"""),"")</f>
        <v/>
      </c>
      <c r="I357" s="51" t="str">
        <f>IFERROR(__xludf.DUMMYFUNCTION("""COMPUTED_VALUE"""),"#VALUE!")</f>
        <v>#VALUE!</v>
      </c>
      <c r="J357" s="51" t="str">
        <f>IFERROR(__xludf.DUMMYFUNCTION("""COMPUTED_VALUE"""),"")</f>
        <v/>
      </c>
      <c r="K357" s="51"/>
      <c r="L357" s="51" t="s">
        <v>257</v>
      </c>
      <c r="M357" s="51"/>
      <c r="N357" s="51"/>
      <c r="O357" s="51"/>
      <c r="P357" s="51"/>
      <c r="Q357" s="51"/>
      <c r="R357" s="51"/>
      <c r="S357" s="51"/>
      <c r="T357" s="51"/>
    </row>
    <row r="358">
      <c r="A358" s="51"/>
      <c r="B358" s="51"/>
      <c r="C358" s="56"/>
      <c r="D358" s="51"/>
      <c r="E358" s="51"/>
      <c r="F358" s="51"/>
      <c r="G358" s="51" t="str">
        <f>IFERROR(__xludf.DUMMYFUNCTION("""COMPUTED_VALUE"""),"#VALUE!")</f>
        <v>#VALUE!</v>
      </c>
      <c r="H358" s="51" t="str">
        <f>IFERROR(__xludf.DUMMYFUNCTION("""COMPUTED_VALUE"""),"")</f>
        <v/>
      </c>
      <c r="I358" s="51" t="str">
        <f>IFERROR(__xludf.DUMMYFUNCTION("""COMPUTED_VALUE"""),"#VALUE!")</f>
        <v>#VALUE!</v>
      </c>
      <c r="J358" s="51" t="str">
        <f>IFERROR(__xludf.DUMMYFUNCTION("""COMPUTED_VALUE"""),"")</f>
        <v/>
      </c>
      <c r="K358" s="51"/>
      <c r="L358" s="51" t="s">
        <v>257</v>
      </c>
      <c r="M358" s="51"/>
      <c r="N358" s="51"/>
      <c r="O358" s="51"/>
      <c r="P358" s="51"/>
      <c r="Q358" s="51"/>
      <c r="R358" s="51"/>
      <c r="S358" s="51"/>
      <c r="T358" s="51"/>
    </row>
    <row r="359">
      <c r="A359" s="51"/>
      <c r="B359" s="51"/>
      <c r="C359" s="56"/>
      <c r="D359" s="51"/>
      <c r="E359" s="51"/>
      <c r="F359" s="51"/>
      <c r="G359" s="51" t="str">
        <f>IFERROR(__xludf.DUMMYFUNCTION("""COMPUTED_VALUE"""),"#VALUE!")</f>
        <v>#VALUE!</v>
      </c>
      <c r="H359" s="51" t="str">
        <f>IFERROR(__xludf.DUMMYFUNCTION("""COMPUTED_VALUE"""),"")</f>
        <v/>
      </c>
      <c r="I359" s="51" t="str">
        <f>IFERROR(__xludf.DUMMYFUNCTION("""COMPUTED_VALUE"""),"#VALUE!")</f>
        <v>#VALUE!</v>
      </c>
      <c r="J359" s="51" t="str">
        <f>IFERROR(__xludf.DUMMYFUNCTION("""COMPUTED_VALUE"""),"")</f>
        <v/>
      </c>
      <c r="K359" s="51"/>
      <c r="L359" s="51" t="s">
        <v>257</v>
      </c>
      <c r="M359" s="51"/>
      <c r="N359" s="51"/>
      <c r="O359" s="51"/>
      <c r="P359" s="51"/>
      <c r="Q359" s="51"/>
      <c r="R359" s="51"/>
      <c r="S359" s="51"/>
      <c r="T359" s="51"/>
    </row>
    <row r="360">
      <c r="A360" s="51"/>
      <c r="B360" s="51"/>
      <c r="C360" s="56"/>
      <c r="D360" s="51"/>
      <c r="E360" s="51"/>
      <c r="F360" s="51"/>
      <c r="G360" s="51" t="str">
        <f>IFERROR(__xludf.DUMMYFUNCTION("""COMPUTED_VALUE"""),"#VALUE!")</f>
        <v>#VALUE!</v>
      </c>
      <c r="H360" s="51" t="str">
        <f>IFERROR(__xludf.DUMMYFUNCTION("""COMPUTED_VALUE"""),"")</f>
        <v/>
      </c>
      <c r="I360" s="51" t="str">
        <f>IFERROR(__xludf.DUMMYFUNCTION("""COMPUTED_VALUE"""),"#VALUE!")</f>
        <v>#VALUE!</v>
      </c>
      <c r="J360" s="51" t="str">
        <f>IFERROR(__xludf.DUMMYFUNCTION("""COMPUTED_VALUE"""),"")</f>
        <v/>
      </c>
      <c r="K360" s="51"/>
      <c r="L360" s="51" t="s">
        <v>257</v>
      </c>
      <c r="M360" s="51"/>
      <c r="N360" s="51"/>
      <c r="O360" s="51"/>
      <c r="P360" s="51"/>
      <c r="Q360" s="51"/>
      <c r="R360" s="51"/>
      <c r="S360" s="51"/>
      <c r="T360" s="51"/>
    </row>
    <row r="361">
      <c r="A361" s="51"/>
      <c r="B361" s="51"/>
      <c r="C361" s="56"/>
      <c r="D361" s="51"/>
      <c r="E361" s="51"/>
      <c r="F361" s="51"/>
      <c r="G361" s="51" t="str">
        <f>IFERROR(__xludf.DUMMYFUNCTION("""COMPUTED_VALUE"""),"#VALUE!")</f>
        <v>#VALUE!</v>
      </c>
      <c r="H361" s="51" t="str">
        <f>IFERROR(__xludf.DUMMYFUNCTION("""COMPUTED_VALUE"""),"")</f>
        <v/>
      </c>
      <c r="I361" s="51" t="str">
        <f>IFERROR(__xludf.DUMMYFUNCTION("""COMPUTED_VALUE"""),"#VALUE!")</f>
        <v>#VALUE!</v>
      </c>
      <c r="J361" s="51" t="str">
        <f>IFERROR(__xludf.DUMMYFUNCTION("""COMPUTED_VALUE"""),"")</f>
        <v/>
      </c>
      <c r="K361" s="51"/>
      <c r="L361" s="51" t="s">
        <v>257</v>
      </c>
      <c r="M361" s="51"/>
      <c r="N361" s="51"/>
      <c r="O361" s="51"/>
      <c r="P361" s="51"/>
      <c r="Q361" s="51"/>
      <c r="R361" s="51"/>
      <c r="S361" s="51"/>
      <c r="T361" s="51"/>
    </row>
    <row r="362">
      <c r="A362" s="51"/>
      <c r="B362" s="51"/>
      <c r="C362" s="56"/>
      <c r="D362" s="51"/>
      <c r="E362" s="51"/>
      <c r="F362" s="51"/>
      <c r="G362" s="51" t="str">
        <f>IFERROR(__xludf.DUMMYFUNCTION("""COMPUTED_VALUE"""),"#VALUE!")</f>
        <v>#VALUE!</v>
      </c>
      <c r="H362" s="51" t="str">
        <f>IFERROR(__xludf.DUMMYFUNCTION("""COMPUTED_VALUE"""),"")</f>
        <v/>
      </c>
      <c r="I362" s="51" t="str">
        <f>IFERROR(__xludf.DUMMYFUNCTION("""COMPUTED_VALUE"""),"#VALUE!")</f>
        <v>#VALUE!</v>
      </c>
      <c r="J362" s="51" t="str">
        <f>IFERROR(__xludf.DUMMYFUNCTION("""COMPUTED_VALUE"""),"")</f>
        <v/>
      </c>
      <c r="K362" s="51"/>
      <c r="L362" s="51" t="s">
        <v>257</v>
      </c>
      <c r="M362" s="51"/>
      <c r="N362" s="51"/>
      <c r="O362" s="51"/>
      <c r="P362" s="51"/>
      <c r="Q362" s="51"/>
      <c r="R362" s="51"/>
      <c r="S362" s="51"/>
      <c r="T362" s="51"/>
    </row>
    <row r="363">
      <c r="A363" s="51"/>
      <c r="B363" s="51"/>
      <c r="C363" s="56"/>
      <c r="D363" s="51"/>
      <c r="E363" s="51"/>
      <c r="F363" s="51"/>
      <c r="G363" s="51" t="str">
        <f>IFERROR(__xludf.DUMMYFUNCTION("""COMPUTED_VALUE"""),"#VALUE!")</f>
        <v>#VALUE!</v>
      </c>
      <c r="H363" s="51" t="str">
        <f>IFERROR(__xludf.DUMMYFUNCTION("""COMPUTED_VALUE"""),"")</f>
        <v/>
      </c>
      <c r="I363" s="51" t="str">
        <f>IFERROR(__xludf.DUMMYFUNCTION("""COMPUTED_VALUE"""),"#VALUE!")</f>
        <v>#VALUE!</v>
      </c>
      <c r="J363" s="51" t="str">
        <f>IFERROR(__xludf.DUMMYFUNCTION("""COMPUTED_VALUE"""),"")</f>
        <v/>
      </c>
      <c r="K363" s="51"/>
      <c r="L363" s="51" t="s">
        <v>257</v>
      </c>
      <c r="M363" s="51"/>
      <c r="N363" s="51"/>
      <c r="O363" s="51"/>
      <c r="P363" s="51"/>
      <c r="Q363" s="51"/>
      <c r="R363" s="51"/>
      <c r="S363" s="51"/>
      <c r="T363" s="51"/>
    </row>
    <row r="364">
      <c r="A364" s="51"/>
      <c r="B364" s="51"/>
      <c r="C364" s="56"/>
      <c r="D364" s="51"/>
      <c r="E364" s="51"/>
      <c r="F364" s="51"/>
      <c r="G364" s="51" t="str">
        <f>IFERROR(__xludf.DUMMYFUNCTION("""COMPUTED_VALUE"""),"#VALUE!")</f>
        <v>#VALUE!</v>
      </c>
      <c r="H364" s="51" t="str">
        <f>IFERROR(__xludf.DUMMYFUNCTION("""COMPUTED_VALUE"""),"")</f>
        <v/>
      </c>
      <c r="I364" s="51" t="str">
        <f>IFERROR(__xludf.DUMMYFUNCTION("""COMPUTED_VALUE"""),"#VALUE!")</f>
        <v>#VALUE!</v>
      </c>
      <c r="J364" s="51" t="str">
        <f>IFERROR(__xludf.DUMMYFUNCTION("""COMPUTED_VALUE"""),"")</f>
        <v/>
      </c>
      <c r="K364" s="51"/>
      <c r="L364" s="51" t="s">
        <v>257</v>
      </c>
      <c r="M364" s="51"/>
      <c r="N364" s="51"/>
      <c r="O364" s="51"/>
      <c r="P364" s="51"/>
      <c r="Q364" s="51"/>
      <c r="R364" s="51"/>
      <c r="S364" s="51"/>
      <c r="T364" s="51"/>
    </row>
    <row r="365">
      <c r="A365" s="51"/>
      <c r="B365" s="51"/>
      <c r="C365" s="56"/>
      <c r="D365" s="51"/>
      <c r="E365" s="51"/>
      <c r="F365" s="51"/>
      <c r="G365" s="51" t="str">
        <f>IFERROR(__xludf.DUMMYFUNCTION("""COMPUTED_VALUE"""),"#VALUE!")</f>
        <v>#VALUE!</v>
      </c>
      <c r="H365" s="51" t="str">
        <f>IFERROR(__xludf.DUMMYFUNCTION("""COMPUTED_VALUE"""),"")</f>
        <v/>
      </c>
      <c r="I365" s="51" t="str">
        <f>IFERROR(__xludf.DUMMYFUNCTION("""COMPUTED_VALUE"""),"#VALUE!")</f>
        <v>#VALUE!</v>
      </c>
      <c r="J365" s="51" t="str">
        <f>IFERROR(__xludf.DUMMYFUNCTION("""COMPUTED_VALUE"""),"")</f>
        <v/>
      </c>
      <c r="K365" s="51"/>
      <c r="L365" s="51" t="s">
        <v>257</v>
      </c>
      <c r="M365" s="51"/>
      <c r="N365" s="51"/>
      <c r="O365" s="51"/>
      <c r="P365" s="51"/>
      <c r="Q365" s="51"/>
      <c r="R365" s="51"/>
      <c r="S365" s="51"/>
      <c r="T365" s="51"/>
    </row>
    <row r="366">
      <c r="A366" s="51"/>
      <c r="B366" s="51"/>
      <c r="C366" s="56"/>
      <c r="D366" s="51"/>
      <c r="E366" s="51"/>
      <c r="F366" s="51"/>
      <c r="G366" s="51" t="str">
        <f>IFERROR(__xludf.DUMMYFUNCTION("""COMPUTED_VALUE"""),"#VALUE!")</f>
        <v>#VALUE!</v>
      </c>
      <c r="H366" s="51" t="str">
        <f>IFERROR(__xludf.DUMMYFUNCTION("""COMPUTED_VALUE"""),"")</f>
        <v/>
      </c>
      <c r="I366" s="51" t="str">
        <f>IFERROR(__xludf.DUMMYFUNCTION("""COMPUTED_VALUE"""),"#VALUE!")</f>
        <v>#VALUE!</v>
      </c>
      <c r="J366" s="51" t="str">
        <f>IFERROR(__xludf.DUMMYFUNCTION("""COMPUTED_VALUE"""),"")</f>
        <v/>
      </c>
      <c r="K366" s="51"/>
      <c r="L366" s="51" t="s">
        <v>257</v>
      </c>
      <c r="M366" s="51"/>
      <c r="N366" s="51"/>
      <c r="O366" s="51"/>
      <c r="P366" s="51"/>
      <c r="Q366" s="51"/>
      <c r="R366" s="51"/>
      <c r="S366" s="51"/>
      <c r="T366" s="51"/>
    </row>
    <row r="367">
      <c r="A367" s="51"/>
      <c r="B367" s="51"/>
      <c r="C367" s="56"/>
      <c r="D367" s="51"/>
      <c r="E367" s="51"/>
      <c r="F367" s="51"/>
      <c r="G367" s="51" t="str">
        <f>IFERROR(__xludf.DUMMYFUNCTION("""COMPUTED_VALUE"""),"#VALUE!")</f>
        <v>#VALUE!</v>
      </c>
      <c r="H367" s="51" t="str">
        <f>IFERROR(__xludf.DUMMYFUNCTION("""COMPUTED_VALUE"""),"")</f>
        <v/>
      </c>
      <c r="I367" s="51" t="str">
        <f>IFERROR(__xludf.DUMMYFUNCTION("""COMPUTED_VALUE"""),"#VALUE!")</f>
        <v>#VALUE!</v>
      </c>
      <c r="J367" s="51" t="str">
        <f>IFERROR(__xludf.DUMMYFUNCTION("""COMPUTED_VALUE"""),"")</f>
        <v/>
      </c>
      <c r="K367" s="51"/>
      <c r="L367" s="51" t="s">
        <v>257</v>
      </c>
      <c r="M367" s="51"/>
      <c r="N367" s="51"/>
      <c r="O367" s="51"/>
      <c r="P367" s="51"/>
      <c r="Q367" s="51"/>
      <c r="R367" s="51"/>
      <c r="S367" s="51"/>
      <c r="T367" s="51"/>
    </row>
    <row r="368">
      <c r="A368" s="51"/>
      <c r="B368" s="51"/>
      <c r="C368" s="56"/>
      <c r="D368" s="51"/>
      <c r="E368" s="51"/>
      <c r="F368" s="51"/>
      <c r="G368" s="51" t="str">
        <f>IFERROR(__xludf.DUMMYFUNCTION("""COMPUTED_VALUE"""),"#VALUE!")</f>
        <v>#VALUE!</v>
      </c>
      <c r="H368" s="51" t="str">
        <f>IFERROR(__xludf.DUMMYFUNCTION("""COMPUTED_VALUE"""),"")</f>
        <v/>
      </c>
      <c r="I368" s="51" t="str">
        <f>IFERROR(__xludf.DUMMYFUNCTION("""COMPUTED_VALUE"""),"#VALUE!")</f>
        <v>#VALUE!</v>
      </c>
      <c r="J368" s="51" t="str">
        <f>IFERROR(__xludf.DUMMYFUNCTION("""COMPUTED_VALUE"""),"")</f>
        <v/>
      </c>
      <c r="K368" s="51"/>
      <c r="L368" s="51" t="s">
        <v>257</v>
      </c>
      <c r="M368" s="51"/>
      <c r="N368" s="51"/>
      <c r="O368" s="51"/>
      <c r="P368" s="51"/>
      <c r="Q368" s="51"/>
      <c r="R368" s="51"/>
      <c r="S368" s="51"/>
      <c r="T368" s="51"/>
    </row>
    <row r="369">
      <c r="A369" s="51"/>
      <c r="B369" s="51"/>
      <c r="C369" s="56"/>
      <c r="D369" s="51"/>
      <c r="E369" s="51"/>
      <c r="F369" s="51"/>
      <c r="G369" s="51" t="str">
        <f>IFERROR(__xludf.DUMMYFUNCTION("""COMPUTED_VALUE"""),"#VALUE!")</f>
        <v>#VALUE!</v>
      </c>
      <c r="H369" s="51" t="str">
        <f>IFERROR(__xludf.DUMMYFUNCTION("""COMPUTED_VALUE"""),"")</f>
        <v/>
      </c>
      <c r="I369" s="51" t="str">
        <f>IFERROR(__xludf.DUMMYFUNCTION("""COMPUTED_VALUE"""),"#VALUE!")</f>
        <v>#VALUE!</v>
      </c>
      <c r="J369" s="51" t="str">
        <f>IFERROR(__xludf.DUMMYFUNCTION("""COMPUTED_VALUE"""),"")</f>
        <v/>
      </c>
      <c r="K369" s="51"/>
      <c r="L369" s="51" t="s">
        <v>257</v>
      </c>
      <c r="M369" s="51"/>
      <c r="N369" s="51"/>
      <c r="O369" s="51"/>
      <c r="P369" s="51"/>
      <c r="Q369" s="51"/>
      <c r="R369" s="51"/>
      <c r="S369" s="51"/>
      <c r="T369" s="51"/>
    </row>
    <row r="370">
      <c r="A370" s="51"/>
      <c r="B370" s="51"/>
      <c r="C370" s="56"/>
      <c r="D370" s="51"/>
      <c r="E370" s="51"/>
      <c r="F370" s="51"/>
      <c r="G370" s="51" t="str">
        <f>IFERROR(__xludf.DUMMYFUNCTION("""COMPUTED_VALUE"""),"#VALUE!")</f>
        <v>#VALUE!</v>
      </c>
      <c r="H370" s="51" t="str">
        <f>IFERROR(__xludf.DUMMYFUNCTION("""COMPUTED_VALUE"""),"")</f>
        <v/>
      </c>
      <c r="I370" s="51" t="str">
        <f>IFERROR(__xludf.DUMMYFUNCTION("""COMPUTED_VALUE"""),"#VALUE!")</f>
        <v>#VALUE!</v>
      </c>
      <c r="J370" s="51" t="str">
        <f>IFERROR(__xludf.DUMMYFUNCTION("""COMPUTED_VALUE"""),"")</f>
        <v/>
      </c>
      <c r="K370" s="51"/>
      <c r="L370" s="51" t="s">
        <v>257</v>
      </c>
      <c r="M370" s="51"/>
      <c r="N370" s="51"/>
      <c r="O370" s="51"/>
      <c r="P370" s="51"/>
      <c r="Q370" s="51"/>
      <c r="R370" s="51"/>
      <c r="S370" s="51"/>
      <c r="T370" s="51"/>
    </row>
    <row r="371">
      <c r="A371" s="51"/>
      <c r="B371" s="51"/>
      <c r="C371" s="56"/>
      <c r="D371" s="51"/>
      <c r="E371" s="51"/>
      <c r="F371" s="51"/>
      <c r="G371" s="51" t="str">
        <f>IFERROR(__xludf.DUMMYFUNCTION("""COMPUTED_VALUE"""),"#VALUE!")</f>
        <v>#VALUE!</v>
      </c>
      <c r="H371" s="51" t="str">
        <f>IFERROR(__xludf.DUMMYFUNCTION("""COMPUTED_VALUE"""),"")</f>
        <v/>
      </c>
      <c r="I371" s="51" t="str">
        <f>IFERROR(__xludf.DUMMYFUNCTION("""COMPUTED_VALUE"""),"#VALUE!")</f>
        <v>#VALUE!</v>
      </c>
      <c r="J371" s="51" t="str">
        <f>IFERROR(__xludf.DUMMYFUNCTION("""COMPUTED_VALUE"""),"")</f>
        <v/>
      </c>
      <c r="K371" s="51"/>
      <c r="L371" s="51" t="s">
        <v>257</v>
      </c>
      <c r="M371" s="51"/>
      <c r="N371" s="51"/>
      <c r="O371" s="51"/>
      <c r="P371" s="51"/>
      <c r="Q371" s="51"/>
      <c r="R371" s="51"/>
      <c r="S371" s="51"/>
      <c r="T371" s="51"/>
    </row>
    <row r="372">
      <c r="A372" s="51"/>
      <c r="B372" s="51"/>
      <c r="C372" s="56"/>
      <c r="D372" s="51"/>
      <c r="E372" s="51"/>
      <c r="F372" s="51"/>
      <c r="G372" s="51" t="str">
        <f>IFERROR(__xludf.DUMMYFUNCTION("""COMPUTED_VALUE"""),"#VALUE!")</f>
        <v>#VALUE!</v>
      </c>
      <c r="H372" s="51" t="str">
        <f>IFERROR(__xludf.DUMMYFUNCTION("""COMPUTED_VALUE"""),"")</f>
        <v/>
      </c>
      <c r="I372" s="51" t="str">
        <f>IFERROR(__xludf.DUMMYFUNCTION("""COMPUTED_VALUE"""),"#VALUE!")</f>
        <v>#VALUE!</v>
      </c>
      <c r="J372" s="51" t="str">
        <f>IFERROR(__xludf.DUMMYFUNCTION("""COMPUTED_VALUE"""),"")</f>
        <v/>
      </c>
      <c r="K372" s="51"/>
      <c r="L372" s="51" t="s">
        <v>257</v>
      </c>
      <c r="M372" s="51"/>
      <c r="N372" s="51"/>
      <c r="O372" s="51"/>
      <c r="P372" s="51"/>
      <c r="Q372" s="51"/>
      <c r="R372" s="51"/>
      <c r="S372" s="51"/>
      <c r="T372" s="51"/>
    </row>
    <row r="373">
      <c r="A373" s="51"/>
      <c r="B373" s="51"/>
      <c r="C373" s="56"/>
      <c r="D373" s="51"/>
      <c r="E373" s="51"/>
      <c r="F373" s="51"/>
      <c r="G373" s="51" t="str">
        <f>IFERROR(__xludf.DUMMYFUNCTION("""COMPUTED_VALUE"""),"#VALUE!")</f>
        <v>#VALUE!</v>
      </c>
      <c r="H373" s="51" t="str">
        <f>IFERROR(__xludf.DUMMYFUNCTION("""COMPUTED_VALUE"""),"")</f>
        <v/>
      </c>
      <c r="I373" s="51" t="str">
        <f>IFERROR(__xludf.DUMMYFUNCTION("""COMPUTED_VALUE"""),"#VALUE!")</f>
        <v>#VALUE!</v>
      </c>
      <c r="J373" s="51" t="str">
        <f>IFERROR(__xludf.DUMMYFUNCTION("""COMPUTED_VALUE"""),"")</f>
        <v/>
      </c>
      <c r="K373" s="51"/>
      <c r="L373" s="51" t="s">
        <v>257</v>
      </c>
      <c r="M373" s="51"/>
      <c r="N373" s="51"/>
      <c r="O373" s="51"/>
      <c r="P373" s="51"/>
      <c r="Q373" s="51"/>
      <c r="R373" s="51"/>
      <c r="S373" s="51"/>
      <c r="T373" s="51"/>
    </row>
    <row r="374">
      <c r="A374" s="51"/>
      <c r="B374" s="51"/>
      <c r="C374" s="56"/>
      <c r="D374" s="51"/>
      <c r="E374" s="51"/>
      <c r="F374" s="51"/>
      <c r="G374" s="51" t="str">
        <f>IFERROR(__xludf.DUMMYFUNCTION("""COMPUTED_VALUE"""),"#VALUE!")</f>
        <v>#VALUE!</v>
      </c>
      <c r="H374" s="51" t="str">
        <f>IFERROR(__xludf.DUMMYFUNCTION("""COMPUTED_VALUE"""),"")</f>
        <v/>
      </c>
      <c r="I374" s="51" t="str">
        <f>IFERROR(__xludf.DUMMYFUNCTION("""COMPUTED_VALUE"""),"#VALUE!")</f>
        <v>#VALUE!</v>
      </c>
      <c r="J374" s="51" t="str">
        <f>IFERROR(__xludf.DUMMYFUNCTION("""COMPUTED_VALUE"""),"")</f>
        <v/>
      </c>
      <c r="K374" s="51"/>
      <c r="L374" s="51" t="s">
        <v>257</v>
      </c>
      <c r="M374" s="51"/>
      <c r="N374" s="51"/>
      <c r="O374" s="51"/>
      <c r="P374" s="51"/>
      <c r="Q374" s="51"/>
      <c r="R374" s="51"/>
      <c r="S374" s="51"/>
      <c r="T374" s="51"/>
    </row>
    <row r="375">
      <c r="A375" s="51"/>
      <c r="B375" s="51"/>
      <c r="C375" s="56"/>
      <c r="D375" s="51"/>
      <c r="E375" s="51"/>
      <c r="F375" s="51"/>
      <c r="G375" s="51" t="str">
        <f>IFERROR(__xludf.DUMMYFUNCTION("""COMPUTED_VALUE"""),"#VALUE!")</f>
        <v>#VALUE!</v>
      </c>
      <c r="H375" s="51" t="str">
        <f>IFERROR(__xludf.DUMMYFUNCTION("""COMPUTED_VALUE"""),"")</f>
        <v/>
      </c>
      <c r="I375" s="51" t="str">
        <f>IFERROR(__xludf.DUMMYFUNCTION("""COMPUTED_VALUE"""),"#VALUE!")</f>
        <v>#VALUE!</v>
      </c>
      <c r="J375" s="51" t="str">
        <f>IFERROR(__xludf.DUMMYFUNCTION("""COMPUTED_VALUE"""),"")</f>
        <v/>
      </c>
      <c r="K375" s="51"/>
      <c r="L375" s="51" t="s">
        <v>257</v>
      </c>
      <c r="M375" s="51"/>
      <c r="N375" s="51"/>
      <c r="O375" s="51"/>
      <c r="P375" s="51"/>
      <c r="Q375" s="51"/>
      <c r="R375" s="51"/>
      <c r="S375" s="51"/>
      <c r="T375" s="51"/>
    </row>
    <row r="376">
      <c r="A376" s="51"/>
      <c r="B376" s="51"/>
      <c r="C376" s="56"/>
      <c r="D376" s="51"/>
      <c r="E376" s="51"/>
      <c r="F376" s="51"/>
      <c r="G376" s="51" t="str">
        <f>IFERROR(__xludf.DUMMYFUNCTION("""COMPUTED_VALUE"""),"#VALUE!")</f>
        <v>#VALUE!</v>
      </c>
      <c r="H376" s="51" t="str">
        <f>IFERROR(__xludf.DUMMYFUNCTION("""COMPUTED_VALUE"""),"")</f>
        <v/>
      </c>
      <c r="I376" s="51" t="str">
        <f>IFERROR(__xludf.DUMMYFUNCTION("""COMPUTED_VALUE"""),"#VALUE!")</f>
        <v>#VALUE!</v>
      </c>
      <c r="J376" s="51" t="str">
        <f>IFERROR(__xludf.DUMMYFUNCTION("""COMPUTED_VALUE"""),"")</f>
        <v/>
      </c>
      <c r="K376" s="51"/>
      <c r="L376" s="51" t="s">
        <v>257</v>
      </c>
      <c r="M376" s="51"/>
      <c r="N376" s="51"/>
      <c r="O376" s="51"/>
      <c r="P376" s="51"/>
      <c r="Q376" s="51"/>
      <c r="R376" s="51"/>
      <c r="S376" s="51"/>
      <c r="T376" s="51"/>
    </row>
    <row r="377">
      <c r="A377" s="51"/>
      <c r="B377" s="51"/>
      <c r="C377" s="56"/>
      <c r="D377" s="51"/>
      <c r="E377" s="51"/>
      <c r="F377" s="51"/>
      <c r="G377" s="51" t="str">
        <f>IFERROR(__xludf.DUMMYFUNCTION("""COMPUTED_VALUE"""),"#VALUE!")</f>
        <v>#VALUE!</v>
      </c>
      <c r="H377" s="51" t="str">
        <f>IFERROR(__xludf.DUMMYFUNCTION("""COMPUTED_VALUE"""),"")</f>
        <v/>
      </c>
      <c r="I377" s="51" t="str">
        <f>IFERROR(__xludf.DUMMYFUNCTION("""COMPUTED_VALUE"""),"#VALUE!")</f>
        <v>#VALUE!</v>
      </c>
      <c r="J377" s="51" t="str">
        <f>IFERROR(__xludf.DUMMYFUNCTION("""COMPUTED_VALUE"""),"")</f>
        <v/>
      </c>
      <c r="K377" s="51"/>
      <c r="L377" s="51" t="s">
        <v>257</v>
      </c>
      <c r="M377" s="51"/>
      <c r="N377" s="51"/>
      <c r="O377" s="51"/>
      <c r="P377" s="51"/>
      <c r="Q377" s="51"/>
      <c r="R377" s="51"/>
      <c r="S377" s="51"/>
      <c r="T377" s="51"/>
    </row>
    <row r="378">
      <c r="A378" s="51"/>
      <c r="B378" s="51"/>
      <c r="C378" s="56"/>
      <c r="D378" s="51"/>
      <c r="E378" s="51"/>
      <c r="F378" s="51"/>
      <c r="G378" s="51" t="str">
        <f>IFERROR(__xludf.DUMMYFUNCTION("""COMPUTED_VALUE"""),"#VALUE!")</f>
        <v>#VALUE!</v>
      </c>
      <c r="H378" s="51" t="str">
        <f>IFERROR(__xludf.DUMMYFUNCTION("""COMPUTED_VALUE"""),"")</f>
        <v/>
      </c>
      <c r="I378" s="51" t="str">
        <f>IFERROR(__xludf.DUMMYFUNCTION("""COMPUTED_VALUE"""),"#VALUE!")</f>
        <v>#VALUE!</v>
      </c>
      <c r="J378" s="51" t="str">
        <f>IFERROR(__xludf.DUMMYFUNCTION("""COMPUTED_VALUE"""),"")</f>
        <v/>
      </c>
      <c r="K378" s="51"/>
      <c r="L378" s="51" t="s">
        <v>257</v>
      </c>
      <c r="M378" s="51"/>
      <c r="N378" s="51"/>
      <c r="O378" s="51"/>
      <c r="P378" s="51"/>
      <c r="Q378" s="51"/>
      <c r="R378" s="51"/>
      <c r="S378" s="51"/>
      <c r="T378" s="51"/>
    </row>
    <row r="379">
      <c r="A379" s="51"/>
      <c r="B379" s="51"/>
      <c r="C379" s="56"/>
      <c r="D379" s="51"/>
      <c r="E379" s="51"/>
      <c r="F379" s="51"/>
      <c r="G379" s="51" t="str">
        <f>IFERROR(__xludf.DUMMYFUNCTION("""COMPUTED_VALUE"""),"#VALUE!")</f>
        <v>#VALUE!</v>
      </c>
      <c r="H379" s="51" t="str">
        <f>IFERROR(__xludf.DUMMYFUNCTION("""COMPUTED_VALUE"""),"")</f>
        <v/>
      </c>
      <c r="I379" s="51" t="str">
        <f>IFERROR(__xludf.DUMMYFUNCTION("""COMPUTED_VALUE"""),"#VALUE!")</f>
        <v>#VALUE!</v>
      </c>
      <c r="J379" s="51" t="str">
        <f>IFERROR(__xludf.DUMMYFUNCTION("""COMPUTED_VALUE"""),"")</f>
        <v/>
      </c>
      <c r="K379" s="51"/>
      <c r="L379" s="51" t="s">
        <v>257</v>
      </c>
      <c r="M379" s="51"/>
      <c r="N379" s="51"/>
      <c r="O379" s="51"/>
      <c r="P379" s="51"/>
      <c r="Q379" s="51"/>
      <c r="R379" s="51"/>
      <c r="S379" s="51"/>
      <c r="T379" s="51"/>
    </row>
    <row r="380">
      <c r="A380" s="51"/>
      <c r="B380" s="51"/>
      <c r="C380" s="56"/>
      <c r="D380" s="51"/>
      <c r="E380" s="51"/>
      <c r="F380" s="51"/>
      <c r="G380" s="51" t="str">
        <f>IFERROR(__xludf.DUMMYFUNCTION("""COMPUTED_VALUE"""),"#VALUE!")</f>
        <v>#VALUE!</v>
      </c>
      <c r="H380" s="51" t="str">
        <f>IFERROR(__xludf.DUMMYFUNCTION("""COMPUTED_VALUE"""),"")</f>
        <v/>
      </c>
      <c r="I380" s="51" t="str">
        <f>IFERROR(__xludf.DUMMYFUNCTION("""COMPUTED_VALUE"""),"#VALUE!")</f>
        <v>#VALUE!</v>
      </c>
      <c r="J380" s="51" t="str">
        <f>IFERROR(__xludf.DUMMYFUNCTION("""COMPUTED_VALUE"""),"")</f>
        <v/>
      </c>
      <c r="K380" s="51"/>
      <c r="L380" s="51" t="s">
        <v>257</v>
      </c>
      <c r="M380" s="51"/>
      <c r="N380" s="51"/>
      <c r="O380" s="51"/>
      <c r="P380" s="51"/>
      <c r="Q380" s="51"/>
      <c r="R380" s="51"/>
      <c r="S380" s="51"/>
      <c r="T380" s="51"/>
    </row>
    <row r="381">
      <c r="A381" s="51"/>
      <c r="B381" s="51"/>
      <c r="C381" s="56"/>
      <c r="D381" s="51"/>
      <c r="E381" s="51"/>
      <c r="F381" s="51"/>
      <c r="G381" s="51" t="str">
        <f>IFERROR(__xludf.DUMMYFUNCTION("""COMPUTED_VALUE"""),"#VALUE!")</f>
        <v>#VALUE!</v>
      </c>
      <c r="H381" s="51" t="str">
        <f>IFERROR(__xludf.DUMMYFUNCTION("""COMPUTED_VALUE"""),"")</f>
        <v/>
      </c>
      <c r="I381" s="51" t="str">
        <f>IFERROR(__xludf.DUMMYFUNCTION("""COMPUTED_VALUE"""),"#VALUE!")</f>
        <v>#VALUE!</v>
      </c>
      <c r="J381" s="51" t="str">
        <f>IFERROR(__xludf.DUMMYFUNCTION("""COMPUTED_VALUE"""),"")</f>
        <v/>
      </c>
      <c r="K381" s="51"/>
      <c r="L381" s="51" t="s">
        <v>257</v>
      </c>
      <c r="M381" s="51"/>
      <c r="N381" s="51"/>
      <c r="O381" s="51"/>
      <c r="P381" s="51"/>
      <c r="Q381" s="51"/>
      <c r="R381" s="51"/>
      <c r="S381" s="51"/>
      <c r="T381" s="51"/>
    </row>
    <row r="382">
      <c r="A382" s="51"/>
      <c r="B382" s="51"/>
      <c r="C382" s="56"/>
      <c r="D382" s="51"/>
      <c r="E382" s="51"/>
      <c r="F382" s="51"/>
      <c r="G382" s="51" t="str">
        <f>IFERROR(__xludf.DUMMYFUNCTION("""COMPUTED_VALUE"""),"#VALUE!")</f>
        <v>#VALUE!</v>
      </c>
      <c r="H382" s="51" t="str">
        <f>IFERROR(__xludf.DUMMYFUNCTION("""COMPUTED_VALUE"""),"")</f>
        <v/>
      </c>
      <c r="I382" s="51" t="str">
        <f>IFERROR(__xludf.DUMMYFUNCTION("""COMPUTED_VALUE"""),"#VALUE!")</f>
        <v>#VALUE!</v>
      </c>
      <c r="J382" s="51" t="str">
        <f>IFERROR(__xludf.DUMMYFUNCTION("""COMPUTED_VALUE"""),"")</f>
        <v/>
      </c>
      <c r="K382" s="51"/>
      <c r="L382" s="51" t="s">
        <v>257</v>
      </c>
      <c r="M382" s="51"/>
      <c r="N382" s="51"/>
      <c r="O382" s="51"/>
      <c r="P382" s="51"/>
      <c r="Q382" s="51"/>
      <c r="R382" s="51"/>
      <c r="S382" s="51"/>
      <c r="T382" s="51"/>
    </row>
    <row r="383">
      <c r="A383" s="51"/>
      <c r="B383" s="51"/>
      <c r="C383" s="56"/>
      <c r="D383" s="51"/>
      <c r="E383" s="51"/>
      <c r="F383" s="51"/>
      <c r="G383" s="51" t="str">
        <f>IFERROR(__xludf.DUMMYFUNCTION("""COMPUTED_VALUE"""),"#VALUE!")</f>
        <v>#VALUE!</v>
      </c>
      <c r="H383" s="51" t="str">
        <f>IFERROR(__xludf.DUMMYFUNCTION("""COMPUTED_VALUE"""),"")</f>
        <v/>
      </c>
      <c r="I383" s="51" t="str">
        <f>IFERROR(__xludf.DUMMYFUNCTION("""COMPUTED_VALUE"""),"#VALUE!")</f>
        <v>#VALUE!</v>
      </c>
      <c r="J383" s="51" t="str">
        <f>IFERROR(__xludf.DUMMYFUNCTION("""COMPUTED_VALUE"""),"")</f>
        <v/>
      </c>
      <c r="K383" s="51"/>
      <c r="L383" s="51" t="s">
        <v>257</v>
      </c>
      <c r="M383" s="51"/>
      <c r="N383" s="51"/>
      <c r="O383" s="51"/>
      <c r="P383" s="51"/>
      <c r="Q383" s="51"/>
      <c r="R383" s="51"/>
      <c r="S383" s="51"/>
      <c r="T383" s="51"/>
    </row>
    <row r="384">
      <c r="A384" s="51"/>
      <c r="B384" s="51"/>
      <c r="C384" s="56"/>
      <c r="D384" s="51"/>
      <c r="E384" s="51"/>
      <c r="F384" s="51"/>
      <c r="G384" s="51" t="str">
        <f>IFERROR(__xludf.DUMMYFUNCTION("""COMPUTED_VALUE"""),"#VALUE!")</f>
        <v>#VALUE!</v>
      </c>
      <c r="H384" s="51" t="str">
        <f>IFERROR(__xludf.DUMMYFUNCTION("""COMPUTED_VALUE"""),"")</f>
        <v/>
      </c>
      <c r="I384" s="51" t="str">
        <f>IFERROR(__xludf.DUMMYFUNCTION("""COMPUTED_VALUE"""),"#VALUE!")</f>
        <v>#VALUE!</v>
      </c>
      <c r="J384" s="51" t="str">
        <f>IFERROR(__xludf.DUMMYFUNCTION("""COMPUTED_VALUE"""),"")</f>
        <v/>
      </c>
      <c r="K384" s="51"/>
      <c r="L384" s="51" t="s">
        <v>257</v>
      </c>
      <c r="M384" s="51"/>
      <c r="N384" s="51"/>
      <c r="O384" s="51"/>
      <c r="P384" s="51"/>
      <c r="Q384" s="51"/>
      <c r="R384" s="51"/>
      <c r="S384" s="51"/>
      <c r="T384" s="51"/>
    </row>
    <row r="385">
      <c r="A385" s="51"/>
      <c r="B385" s="51"/>
      <c r="C385" s="56"/>
      <c r="D385" s="51"/>
      <c r="E385" s="51"/>
      <c r="F385" s="51"/>
      <c r="G385" s="51" t="str">
        <f>IFERROR(__xludf.DUMMYFUNCTION("""COMPUTED_VALUE"""),"#VALUE!")</f>
        <v>#VALUE!</v>
      </c>
      <c r="H385" s="51" t="str">
        <f>IFERROR(__xludf.DUMMYFUNCTION("""COMPUTED_VALUE"""),"")</f>
        <v/>
      </c>
      <c r="I385" s="51" t="str">
        <f>IFERROR(__xludf.DUMMYFUNCTION("""COMPUTED_VALUE"""),"#VALUE!")</f>
        <v>#VALUE!</v>
      </c>
      <c r="J385" s="51" t="str">
        <f>IFERROR(__xludf.DUMMYFUNCTION("""COMPUTED_VALUE"""),"")</f>
        <v/>
      </c>
      <c r="K385" s="51"/>
      <c r="L385" s="51" t="s">
        <v>257</v>
      </c>
      <c r="M385" s="51"/>
      <c r="N385" s="51"/>
      <c r="O385" s="51"/>
      <c r="P385" s="51"/>
      <c r="Q385" s="51"/>
      <c r="R385" s="51"/>
      <c r="S385" s="51"/>
      <c r="T385" s="51"/>
    </row>
    <row r="386">
      <c r="A386" s="51"/>
      <c r="B386" s="51"/>
      <c r="C386" s="56"/>
      <c r="D386" s="51"/>
      <c r="E386" s="51"/>
      <c r="F386" s="51"/>
      <c r="G386" s="51" t="str">
        <f>IFERROR(__xludf.DUMMYFUNCTION("""COMPUTED_VALUE"""),"#VALUE!")</f>
        <v>#VALUE!</v>
      </c>
      <c r="H386" s="51" t="str">
        <f>IFERROR(__xludf.DUMMYFUNCTION("""COMPUTED_VALUE"""),"")</f>
        <v/>
      </c>
      <c r="I386" s="51" t="str">
        <f>IFERROR(__xludf.DUMMYFUNCTION("""COMPUTED_VALUE"""),"#VALUE!")</f>
        <v>#VALUE!</v>
      </c>
      <c r="J386" s="51" t="str">
        <f>IFERROR(__xludf.DUMMYFUNCTION("""COMPUTED_VALUE"""),"")</f>
        <v/>
      </c>
      <c r="K386" s="51"/>
      <c r="L386" s="51" t="s">
        <v>257</v>
      </c>
      <c r="M386" s="51"/>
      <c r="N386" s="51"/>
      <c r="O386" s="51"/>
      <c r="P386" s="51"/>
      <c r="Q386" s="51"/>
      <c r="R386" s="51"/>
      <c r="S386" s="51"/>
      <c r="T386" s="51"/>
    </row>
    <row r="387">
      <c r="A387" s="51"/>
      <c r="B387" s="51"/>
      <c r="C387" s="56"/>
      <c r="D387" s="51"/>
      <c r="E387" s="51"/>
      <c r="F387" s="51"/>
      <c r="G387" s="51" t="str">
        <f>IFERROR(__xludf.DUMMYFUNCTION("""COMPUTED_VALUE"""),"#VALUE!")</f>
        <v>#VALUE!</v>
      </c>
      <c r="H387" s="51" t="str">
        <f>IFERROR(__xludf.DUMMYFUNCTION("""COMPUTED_VALUE"""),"")</f>
        <v/>
      </c>
      <c r="I387" s="51" t="str">
        <f>IFERROR(__xludf.DUMMYFUNCTION("""COMPUTED_VALUE"""),"#VALUE!")</f>
        <v>#VALUE!</v>
      </c>
      <c r="J387" s="51" t="str">
        <f>IFERROR(__xludf.DUMMYFUNCTION("""COMPUTED_VALUE"""),"")</f>
        <v/>
      </c>
      <c r="K387" s="51"/>
      <c r="L387" s="51" t="s">
        <v>257</v>
      </c>
      <c r="M387" s="51"/>
      <c r="N387" s="51"/>
      <c r="O387" s="51"/>
      <c r="P387" s="51"/>
      <c r="Q387" s="51"/>
      <c r="R387" s="51"/>
      <c r="S387" s="51"/>
      <c r="T387" s="51"/>
    </row>
    <row r="388">
      <c r="A388" s="51"/>
      <c r="B388" s="51"/>
      <c r="C388" s="56"/>
      <c r="D388" s="51"/>
      <c r="E388" s="51"/>
      <c r="F388" s="51"/>
      <c r="G388" s="51" t="str">
        <f>IFERROR(__xludf.DUMMYFUNCTION("""COMPUTED_VALUE"""),"#VALUE!")</f>
        <v>#VALUE!</v>
      </c>
      <c r="H388" s="51" t="str">
        <f>IFERROR(__xludf.DUMMYFUNCTION("""COMPUTED_VALUE"""),"")</f>
        <v/>
      </c>
      <c r="I388" s="51" t="str">
        <f>IFERROR(__xludf.DUMMYFUNCTION("""COMPUTED_VALUE"""),"#VALUE!")</f>
        <v>#VALUE!</v>
      </c>
      <c r="J388" s="51" t="str">
        <f>IFERROR(__xludf.DUMMYFUNCTION("""COMPUTED_VALUE"""),"")</f>
        <v/>
      </c>
      <c r="K388" s="51"/>
      <c r="L388" s="51" t="s">
        <v>257</v>
      </c>
      <c r="M388" s="51"/>
      <c r="N388" s="51"/>
      <c r="O388" s="51"/>
      <c r="P388" s="51"/>
      <c r="Q388" s="51"/>
      <c r="R388" s="51"/>
      <c r="S388" s="51"/>
      <c r="T388" s="51"/>
    </row>
    <row r="389">
      <c r="A389" s="51"/>
      <c r="B389" s="51"/>
      <c r="C389" s="56"/>
      <c r="D389" s="51"/>
      <c r="E389" s="51"/>
      <c r="F389" s="51"/>
      <c r="G389" s="51" t="str">
        <f>IFERROR(__xludf.DUMMYFUNCTION("""COMPUTED_VALUE"""),"#VALUE!")</f>
        <v>#VALUE!</v>
      </c>
      <c r="H389" s="51" t="str">
        <f>IFERROR(__xludf.DUMMYFUNCTION("""COMPUTED_VALUE"""),"")</f>
        <v/>
      </c>
      <c r="I389" s="51" t="str">
        <f>IFERROR(__xludf.DUMMYFUNCTION("""COMPUTED_VALUE"""),"#VALUE!")</f>
        <v>#VALUE!</v>
      </c>
      <c r="J389" s="51" t="str">
        <f>IFERROR(__xludf.DUMMYFUNCTION("""COMPUTED_VALUE"""),"")</f>
        <v/>
      </c>
      <c r="K389" s="51"/>
      <c r="L389" s="51" t="s">
        <v>257</v>
      </c>
      <c r="M389" s="51"/>
      <c r="N389" s="51"/>
      <c r="O389" s="51"/>
      <c r="P389" s="51"/>
      <c r="Q389" s="51"/>
      <c r="R389" s="51"/>
      <c r="S389" s="51"/>
      <c r="T389" s="51"/>
    </row>
    <row r="390">
      <c r="A390" s="51"/>
      <c r="B390" s="51"/>
      <c r="C390" s="56"/>
      <c r="D390" s="51"/>
      <c r="E390" s="51"/>
      <c r="F390" s="51"/>
      <c r="G390" s="51" t="str">
        <f>IFERROR(__xludf.DUMMYFUNCTION("""COMPUTED_VALUE"""),"#VALUE!")</f>
        <v>#VALUE!</v>
      </c>
      <c r="H390" s="51" t="str">
        <f>IFERROR(__xludf.DUMMYFUNCTION("""COMPUTED_VALUE"""),"")</f>
        <v/>
      </c>
      <c r="I390" s="51" t="str">
        <f>IFERROR(__xludf.DUMMYFUNCTION("""COMPUTED_VALUE"""),"#VALUE!")</f>
        <v>#VALUE!</v>
      </c>
      <c r="J390" s="51" t="str">
        <f>IFERROR(__xludf.DUMMYFUNCTION("""COMPUTED_VALUE"""),"")</f>
        <v/>
      </c>
      <c r="K390" s="51"/>
      <c r="L390" s="51" t="s">
        <v>257</v>
      </c>
      <c r="M390" s="51"/>
      <c r="N390" s="51"/>
      <c r="O390" s="51"/>
      <c r="P390" s="51"/>
      <c r="Q390" s="51"/>
      <c r="R390" s="51"/>
      <c r="S390" s="51"/>
      <c r="T390" s="51"/>
    </row>
    <row r="391">
      <c r="A391" s="51"/>
      <c r="B391" s="51"/>
      <c r="C391" s="56"/>
      <c r="D391" s="51"/>
      <c r="E391" s="51"/>
      <c r="F391" s="51"/>
      <c r="G391" s="51" t="str">
        <f>IFERROR(__xludf.DUMMYFUNCTION("""COMPUTED_VALUE"""),"#VALUE!")</f>
        <v>#VALUE!</v>
      </c>
      <c r="H391" s="51" t="str">
        <f>IFERROR(__xludf.DUMMYFUNCTION("""COMPUTED_VALUE"""),"")</f>
        <v/>
      </c>
      <c r="I391" s="51" t="str">
        <f>IFERROR(__xludf.DUMMYFUNCTION("""COMPUTED_VALUE"""),"#VALUE!")</f>
        <v>#VALUE!</v>
      </c>
      <c r="J391" s="51" t="str">
        <f>IFERROR(__xludf.DUMMYFUNCTION("""COMPUTED_VALUE"""),"")</f>
        <v/>
      </c>
      <c r="K391" s="51"/>
      <c r="L391" s="51" t="s">
        <v>257</v>
      </c>
      <c r="M391" s="51"/>
      <c r="N391" s="51"/>
      <c r="O391" s="51"/>
      <c r="P391" s="51"/>
      <c r="Q391" s="51"/>
      <c r="R391" s="51"/>
      <c r="S391" s="51"/>
      <c r="T391" s="51"/>
    </row>
    <row r="392">
      <c r="A392" s="51"/>
      <c r="B392" s="51"/>
      <c r="C392" s="56"/>
      <c r="D392" s="51"/>
      <c r="E392" s="51"/>
      <c r="F392" s="51"/>
      <c r="G392" s="51" t="str">
        <f>IFERROR(__xludf.DUMMYFUNCTION("""COMPUTED_VALUE"""),"#VALUE!")</f>
        <v>#VALUE!</v>
      </c>
      <c r="H392" s="51" t="str">
        <f>IFERROR(__xludf.DUMMYFUNCTION("""COMPUTED_VALUE"""),"")</f>
        <v/>
      </c>
      <c r="I392" s="51" t="str">
        <f>IFERROR(__xludf.DUMMYFUNCTION("""COMPUTED_VALUE"""),"#VALUE!")</f>
        <v>#VALUE!</v>
      </c>
      <c r="J392" s="51" t="str">
        <f>IFERROR(__xludf.DUMMYFUNCTION("""COMPUTED_VALUE"""),"")</f>
        <v/>
      </c>
      <c r="K392" s="51"/>
      <c r="L392" s="51" t="s">
        <v>257</v>
      </c>
      <c r="M392" s="51"/>
      <c r="N392" s="51"/>
      <c r="O392" s="51"/>
      <c r="P392" s="51"/>
      <c r="Q392" s="51"/>
      <c r="R392" s="51"/>
      <c r="S392" s="51"/>
      <c r="T392" s="51"/>
    </row>
    <row r="393">
      <c r="A393" s="51"/>
      <c r="B393" s="51"/>
      <c r="C393" s="56"/>
      <c r="D393" s="51"/>
      <c r="E393" s="51"/>
      <c r="F393" s="51"/>
      <c r="G393" s="51" t="str">
        <f>IFERROR(__xludf.DUMMYFUNCTION("""COMPUTED_VALUE"""),"#VALUE!")</f>
        <v>#VALUE!</v>
      </c>
      <c r="H393" s="51" t="str">
        <f>IFERROR(__xludf.DUMMYFUNCTION("""COMPUTED_VALUE"""),"")</f>
        <v/>
      </c>
      <c r="I393" s="51" t="str">
        <f>IFERROR(__xludf.DUMMYFUNCTION("""COMPUTED_VALUE"""),"#VALUE!")</f>
        <v>#VALUE!</v>
      </c>
      <c r="J393" s="51" t="str">
        <f>IFERROR(__xludf.DUMMYFUNCTION("""COMPUTED_VALUE"""),"")</f>
        <v/>
      </c>
      <c r="K393" s="51"/>
      <c r="L393" s="51" t="s">
        <v>257</v>
      </c>
      <c r="M393" s="51"/>
      <c r="N393" s="51"/>
      <c r="O393" s="51"/>
      <c r="P393" s="51"/>
      <c r="Q393" s="51"/>
      <c r="R393" s="51"/>
      <c r="S393" s="51"/>
      <c r="T393" s="51"/>
    </row>
    <row r="394">
      <c r="A394" s="51"/>
      <c r="B394" s="51"/>
      <c r="C394" s="56"/>
      <c r="D394" s="51"/>
      <c r="E394" s="51"/>
      <c r="F394" s="51"/>
      <c r="G394" s="51" t="str">
        <f>IFERROR(__xludf.DUMMYFUNCTION("""COMPUTED_VALUE"""),"#VALUE!")</f>
        <v>#VALUE!</v>
      </c>
      <c r="H394" s="51" t="str">
        <f>IFERROR(__xludf.DUMMYFUNCTION("""COMPUTED_VALUE"""),"")</f>
        <v/>
      </c>
      <c r="I394" s="51" t="str">
        <f>IFERROR(__xludf.DUMMYFUNCTION("""COMPUTED_VALUE"""),"#VALUE!")</f>
        <v>#VALUE!</v>
      </c>
      <c r="J394" s="51" t="str">
        <f>IFERROR(__xludf.DUMMYFUNCTION("""COMPUTED_VALUE"""),"")</f>
        <v/>
      </c>
      <c r="K394" s="51"/>
      <c r="L394" s="51" t="s">
        <v>257</v>
      </c>
      <c r="M394" s="51"/>
      <c r="N394" s="51"/>
      <c r="O394" s="51"/>
      <c r="P394" s="51"/>
      <c r="Q394" s="51"/>
      <c r="R394" s="51"/>
      <c r="S394" s="51"/>
      <c r="T394" s="51"/>
    </row>
    <row r="395">
      <c r="A395" s="51"/>
      <c r="B395" s="51"/>
      <c r="C395" s="56"/>
      <c r="D395" s="51"/>
      <c r="E395" s="51"/>
      <c r="F395" s="51"/>
      <c r="G395" s="51" t="str">
        <f>IFERROR(__xludf.DUMMYFUNCTION("""COMPUTED_VALUE"""),"#VALUE!")</f>
        <v>#VALUE!</v>
      </c>
      <c r="H395" s="51" t="str">
        <f>IFERROR(__xludf.DUMMYFUNCTION("""COMPUTED_VALUE"""),"")</f>
        <v/>
      </c>
      <c r="I395" s="51" t="str">
        <f>IFERROR(__xludf.DUMMYFUNCTION("""COMPUTED_VALUE"""),"#VALUE!")</f>
        <v>#VALUE!</v>
      </c>
      <c r="J395" s="51" t="str">
        <f>IFERROR(__xludf.DUMMYFUNCTION("""COMPUTED_VALUE"""),"")</f>
        <v/>
      </c>
      <c r="K395" s="51"/>
      <c r="L395" s="51" t="s">
        <v>257</v>
      </c>
      <c r="M395" s="51"/>
      <c r="N395" s="51"/>
      <c r="O395" s="51"/>
      <c r="P395" s="51"/>
      <c r="Q395" s="51"/>
      <c r="R395" s="51"/>
      <c r="S395" s="51"/>
      <c r="T395" s="51"/>
    </row>
    <row r="396">
      <c r="A396" s="51"/>
      <c r="B396" s="51"/>
      <c r="C396" s="56"/>
      <c r="D396" s="51"/>
      <c r="E396" s="51"/>
      <c r="F396" s="51"/>
      <c r="G396" s="51" t="str">
        <f>IFERROR(__xludf.DUMMYFUNCTION("""COMPUTED_VALUE"""),"#VALUE!")</f>
        <v>#VALUE!</v>
      </c>
      <c r="H396" s="51" t="str">
        <f>IFERROR(__xludf.DUMMYFUNCTION("""COMPUTED_VALUE"""),"")</f>
        <v/>
      </c>
      <c r="I396" s="51" t="str">
        <f>IFERROR(__xludf.DUMMYFUNCTION("""COMPUTED_VALUE"""),"#VALUE!")</f>
        <v>#VALUE!</v>
      </c>
      <c r="J396" s="51" t="str">
        <f>IFERROR(__xludf.DUMMYFUNCTION("""COMPUTED_VALUE"""),"")</f>
        <v/>
      </c>
      <c r="K396" s="51"/>
      <c r="L396" s="51" t="s">
        <v>257</v>
      </c>
      <c r="M396" s="51"/>
      <c r="N396" s="51"/>
      <c r="O396" s="51"/>
      <c r="P396" s="51"/>
      <c r="Q396" s="51"/>
      <c r="R396" s="51"/>
      <c r="S396" s="51"/>
      <c r="T396" s="51"/>
    </row>
    <row r="397">
      <c r="A397" s="51"/>
      <c r="B397" s="51"/>
      <c r="C397" s="56"/>
      <c r="D397" s="51"/>
      <c r="E397" s="51"/>
      <c r="F397" s="51"/>
      <c r="G397" s="51" t="str">
        <f>IFERROR(__xludf.DUMMYFUNCTION("""COMPUTED_VALUE"""),"#VALUE!")</f>
        <v>#VALUE!</v>
      </c>
      <c r="H397" s="51" t="str">
        <f>IFERROR(__xludf.DUMMYFUNCTION("""COMPUTED_VALUE"""),"")</f>
        <v/>
      </c>
      <c r="I397" s="51" t="str">
        <f>IFERROR(__xludf.DUMMYFUNCTION("""COMPUTED_VALUE"""),"#VALUE!")</f>
        <v>#VALUE!</v>
      </c>
      <c r="J397" s="51" t="str">
        <f>IFERROR(__xludf.DUMMYFUNCTION("""COMPUTED_VALUE"""),"")</f>
        <v/>
      </c>
      <c r="K397" s="51"/>
      <c r="L397" s="51" t="s">
        <v>257</v>
      </c>
      <c r="M397" s="51"/>
      <c r="N397" s="51"/>
      <c r="O397" s="51"/>
      <c r="P397" s="51"/>
      <c r="Q397" s="51"/>
      <c r="R397" s="51"/>
      <c r="S397" s="51"/>
      <c r="T397" s="51"/>
    </row>
    <row r="398">
      <c r="A398" s="51"/>
      <c r="B398" s="51"/>
      <c r="C398" s="56"/>
      <c r="D398" s="51"/>
      <c r="E398" s="51"/>
      <c r="F398" s="51"/>
      <c r="G398" s="51" t="str">
        <f>IFERROR(__xludf.DUMMYFUNCTION("""COMPUTED_VALUE"""),"#VALUE!")</f>
        <v>#VALUE!</v>
      </c>
      <c r="H398" s="51" t="str">
        <f>IFERROR(__xludf.DUMMYFUNCTION("""COMPUTED_VALUE"""),"")</f>
        <v/>
      </c>
      <c r="I398" s="51" t="str">
        <f>IFERROR(__xludf.DUMMYFUNCTION("""COMPUTED_VALUE"""),"#VALUE!")</f>
        <v>#VALUE!</v>
      </c>
      <c r="J398" s="51" t="str">
        <f>IFERROR(__xludf.DUMMYFUNCTION("""COMPUTED_VALUE"""),"")</f>
        <v/>
      </c>
      <c r="K398" s="51"/>
      <c r="L398" s="51" t="s">
        <v>257</v>
      </c>
      <c r="M398" s="51"/>
      <c r="N398" s="51"/>
      <c r="O398" s="51"/>
      <c r="P398" s="51"/>
      <c r="Q398" s="51"/>
      <c r="R398" s="51"/>
      <c r="S398" s="51"/>
      <c r="T398" s="51"/>
    </row>
    <row r="399">
      <c r="A399" s="51"/>
      <c r="B399" s="51"/>
      <c r="C399" s="56"/>
      <c r="D399" s="51"/>
      <c r="E399" s="51"/>
      <c r="F399" s="51"/>
      <c r="G399" s="51" t="str">
        <f>IFERROR(__xludf.DUMMYFUNCTION("""COMPUTED_VALUE"""),"#VALUE!")</f>
        <v>#VALUE!</v>
      </c>
      <c r="H399" s="51" t="str">
        <f>IFERROR(__xludf.DUMMYFUNCTION("""COMPUTED_VALUE"""),"")</f>
        <v/>
      </c>
      <c r="I399" s="51" t="str">
        <f>IFERROR(__xludf.DUMMYFUNCTION("""COMPUTED_VALUE"""),"#VALUE!")</f>
        <v>#VALUE!</v>
      </c>
      <c r="J399" s="51" t="str">
        <f>IFERROR(__xludf.DUMMYFUNCTION("""COMPUTED_VALUE"""),"")</f>
        <v/>
      </c>
      <c r="K399" s="51"/>
      <c r="L399" s="51" t="s">
        <v>257</v>
      </c>
      <c r="M399" s="51"/>
      <c r="N399" s="51"/>
      <c r="O399" s="51"/>
      <c r="P399" s="51"/>
      <c r="Q399" s="51"/>
      <c r="R399" s="51"/>
      <c r="S399" s="51"/>
      <c r="T399" s="51"/>
    </row>
    <row r="400">
      <c r="A400" s="51"/>
      <c r="B400" s="51"/>
      <c r="C400" s="56"/>
      <c r="D400" s="51"/>
      <c r="E400" s="51"/>
      <c r="F400" s="51"/>
      <c r="G400" s="51" t="str">
        <f>IFERROR(__xludf.DUMMYFUNCTION("""COMPUTED_VALUE"""),"#VALUE!")</f>
        <v>#VALUE!</v>
      </c>
      <c r="H400" s="51" t="str">
        <f>IFERROR(__xludf.DUMMYFUNCTION("""COMPUTED_VALUE"""),"")</f>
        <v/>
      </c>
      <c r="I400" s="51" t="str">
        <f>IFERROR(__xludf.DUMMYFUNCTION("""COMPUTED_VALUE"""),"#VALUE!")</f>
        <v>#VALUE!</v>
      </c>
      <c r="J400" s="51" t="str">
        <f>IFERROR(__xludf.DUMMYFUNCTION("""COMPUTED_VALUE"""),"")</f>
        <v/>
      </c>
      <c r="K400" s="51"/>
      <c r="L400" s="51" t="s">
        <v>257</v>
      </c>
      <c r="M400" s="51"/>
      <c r="N400" s="51"/>
      <c r="O400" s="51"/>
      <c r="P400" s="51"/>
      <c r="Q400" s="51"/>
      <c r="R400" s="51"/>
      <c r="S400" s="51"/>
      <c r="T400" s="51"/>
    </row>
    <row r="401">
      <c r="A401" s="51"/>
      <c r="B401" s="51"/>
      <c r="C401" s="56"/>
      <c r="D401" s="51"/>
      <c r="E401" s="51"/>
      <c r="F401" s="51"/>
      <c r="G401" s="51" t="str">
        <f>IFERROR(__xludf.DUMMYFUNCTION("""COMPUTED_VALUE"""),"#VALUE!")</f>
        <v>#VALUE!</v>
      </c>
      <c r="H401" s="51" t="str">
        <f>IFERROR(__xludf.DUMMYFUNCTION("""COMPUTED_VALUE"""),"")</f>
        <v/>
      </c>
      <c r="I401" s="51" t="str">
        <f>IFERROR(__xludf.DUMMYFUNCTION("""COMPUTED_VALUE"""),"#VALUE!")</f>
        <v>#VALUE!</v>
      </c>
      <c r="J401" s="51" t="str">
        <f>IFERROR(__xludf.DUMMYFUNCTION("""COMPUTED_VALUE"""),"")</f>
        <v/>
      </c>
      <c r="K401" s="51"/>
      <c r="L401" s="51" t="s">
        <v>257</v>
      </c>
      <c r="M401" s="51"/>
      <c r="N401" s="51"/>
      <c r="O401" s="51"/>
      <c r="P401" s="51"/>
      <c r="Q401" s="51"/>
      <c r="R401" s="51"/>
      <c r="S401" s="51"/>
      <c r="T401" s="51"/>
    </row>
    <row r="402">
      <c r="A402" s="51"/>
      <c r="B402" s="51"/>
      <c r="C402" s="56"/>
      <c r="D402" s="51"/>
      <c r="E402" s="51"/>
      <c r="F402" s="51"/>
      <c r="G402" s="51" t="str">
        <f>IFERROR(__xludf.DUMMYFUNCTION("""COMPUTED_VALUE"""),"#VALUE!")</f>
        <v>#VALUE!</v>
      </c>
      <c r="H402" s="51" t="str">
        <f>IFERROR(__xludf.DUMMYFUNCTION("""COMPUTED_VALUE"""),"")</f>
        <v/>
      </c>
      <c r="I402" s="51" t="str">
        <f>IFERROR(__xludf.DUMMYFUNCTION("""COMPUTED_VALUE"""),"#VALUE!")</f>
        <v>#VALUE!</v>
      </c>
      <c r="J402" s="51" t="str">
        <f>IFERROR(__xludf.DUMMYFUNCTION("""COMPUTED_VALUE"""),"")</f>
        <v/>
      </c>
      <c r="K402" s="51"/>
      <c r="L402" s="51" t="s">
        <v>257</v>
      </c>
      <c r="M402" s="51"/>
      <c r="N402" s="51"/>
      <c r="O402" s="51"/>
      <c r="P402" s="51"/>
      <c r="Q402" s="51"/>
      <c r="R402" s="51"/>
      <c r="S402" s="51"/>
      <c r="T402" s="51"/>
    </row>
    <row r="403">
      <c r="A403" s="51"/>
      <c r="B403" s="51"/>
      <c r="C403" s="56"/>
      <c r="D403" s="51"/>
      <c r="E403" s="51"/>
      <c r="F403" s="51"/>
      <c r="G403" s="51" t="str">
        <f>IFERROR(__xludf.DUMMYFUNCTION("""COMPUTED_VALUE"""),"#VALUE!")</f>
        <v>#VALUE!</v>
      </c>
      <c r="H403" s="51" t="str">
        <f>IFERROR(__xludf.DUMMYFUNCTION("""COMPUTED_VALUE"""),"")</f>
        <v/>
      </c>
      <c r="I403" s="51" t="str">
        <f>IFERROR(__xludf.DUMMYFUNCTION("""COMPUTED_VALUE"""),"#VALUE!")</f>
        <v>#VALUE!</v>
      </c>
      <c r="J403" s="51" t="str">
        <f>IFERROR(__xludf.DUMMYFUNCTION("""COMPUTED_VALUE"""),"")</f>
        <v/>
      </c>
      <c r="K403" s="51"/>
      <c r="L403" s="51" t="s">
        <v>257</v>
      </c>
      <c r="M403" s="51"/>
      <c r="N403" s="51"/>
      <c r="O403" s="51"/>
      <c r="P403" s="51"/>
      <c r="Q403" s="51"/>
      <c r="R403" s="51"/>
      <c r="S403" s="51"/>
      <c r="T403" s="51"/>
    </row>
    <row r="404">
      <c r="A404" s="51"/>
      <c r="B404" s="51"/>
      <c r="C404" s="56"/>
      <c r="D404" s="51"/>
      <c r="E404" s="51"/>
      <c r="F404" s="51"/>
      <c r="G404" s="51" t="str">
        <f>IFERROR(__xludf.DUMMYFUNCTION("""COMPUTED_VALUE"""),"#VALUE!")</f>
        <v>#VALUE!</v>
      </c>
      <c r="H404" s="51" t="str">
        <f>IFERROR(__xludf.DUMMYFUNCTION("""COMPUTED_VALUE"""),"")</f>
        <v/>
      </c>
      <c r="I404" s="51" t="str">
        <f>IFERROR(__xludf.DUMMYFUNCTION("""COMPUTED_VALUE"""),"#VALUE!")</f>
        <v>#VALUE!</v>
      </c>
      <c r="J404" s="51" t="str">
        <f>IFERROR(__xludf.DUMMYFUNCTION("""COMPUTED_VALUE"""),"")</f>
        <v/>
      </c>
      <c r="K404" s="51"/>
      <c r="L404" s="51" t="s">
        <v>257</v>
      </c>
      <c r="M404" s="51"/>
      <c r="N404" s="51"/>
      <c r="O404" s="51"/>
      <c r="P404" s="51"/>
      <c r="Q404" s="51"/>
      <c r="R404" s="51"/>
      <c r="S404" s="51"/>
      <c r="T404" s="51"/>
    </row>
    <row r="405">
      <c r="A405" s="51"/>
      <c r="B405" s="51"/>
      <c r="C405" s="56"/>
      <c r="D405" s="51"/>
      <c r="E405" s="51"/>
      <c r="F405" s="51"/>
      <c r="G405" s="51" t="str">
        <f>IFERROR(__xludf.DUMMYFUNCTION("""COMPUTED_VALUE"""),"#VALUE!")</f>
        <v>#VALUE!</v>
      </c>
      <c r="H405" s="51" t="str">
        <f>IFERROR(__xludf.DUMMYFUNCTION("""COMPUTED_VALUE"""),"")</f>
        <v/>
      </c>
      <c r="I405" s="51" t="str">
        <f>IFERROR(__xludf.DUMMYFUNCTION("""COMPUTED_VALUE"""),"#VALUE!")</f>
        <v>#VALUE!</v>
      </c>
      <c r="J405" s="51" t="str">
        <f>IFERROR(__xludf.DUMMYFUNCTION("""COMPUTED_VALUE"""),"")</f>
        <v/>
      </c>
      <c r="K405" s="51"/>
      <c r="L405" s="51" t="s">
        <v>257</v>
      </c>
      <c r="M405" s="51"/>
      <c r="N405" s="51"/>
      <c r="O405" s="51"/>
      <c r="P405" s="51"/>
      <c r="Q405" s="51"/>
      <c r="R405" s="51"/>
      <c r="S405" s="51"/>
      <c r="T405" s="51"/>
    </row>
    <row r="406">
      <c r="A406" s="51"/>
      <c r="B406" s="51"/>
      <c r="C406" s="56"/>
      <c r="D406" s="51"/>
      <c r="E406" s="51"/>
      <c r="F406" s="51"/>
      <c r="G406" s="51" t="str">
        <f>IFERROR(__xludf.DUMMYFUNCTION("""COMPUTED_VALUE"""),"#VALUE!")</f>
        <v>#VALUE!</v>
      </c>
      <c r="H406" s="51" t="str">
        <f>IFERROR(__xludf.DUMMYFUNCTION("""COMPUTED_VALUE"""),"")</f>
        <v/>
      </c>
      <c r="I406" s="51" t="str">
        <f>IFERROR(__xludf.DUMMYFUNCTION("""COMPUTED_VALUE"""),"#VALUE!")</f>
        <v>#VALUE!</v>
      </c>
      <c r="J406" s="51" t="str">
        <f>IFERROR(__xludf.DUMMYFUNCTION("""COMPUTED_VALUE"""),"")</f>
        <v/>
      </c>
      <c r="K406" s="51"/>
      <c r="L406" s="51" t="s">
        <v>257</v>
      </c>
      <c r="M406" s="51"/>
      <c r="N406" s="51"/>
      <c r="O406" s="51"/>
      <c r="P406" s="51"/>
      <c r="Q406" s="51"/>
      <c r="R406" s="51"/>
      <c r="S406" s="51"/>
      <c r="T406" s="51"/>
    </row>
    <row r="407">
      <c r="A407" s="51"/>
      <c r="B407" s="51"/>
      <c r="C407" s="56"/>
      <c r="D407" s="51"/>
      <c r="E407" s="51"/>
      <c r="F407" s="51"/>
      <c r="G407" s="51" t="str">
        <f>IFERROR(__xludf.DUMMYFUNCTION("""COMPUTED_VALUE"""),"#VALUE!")</f>
        <v>#VALUE!</v>
      </c>
      <c r="H407" s="51" t="str">
        <f>IFERROR(__xludf.DUMMYFUNCTION("""COMPUTED_VALUE"""),"")</f>
        <v/>
      </c>
      <c r="I407" s="51" t="str">
        <f>IFERROR(__xludf.DUMMYFUNCTION("""COMPUTED_VALUE"""),"#VALUE!")</f>
        <v>#VALUE!</v>
      </c>
      <c r="J407" s="51" t="str">
        <f>IFERROR(__xludf.DUMMYFUNCTION("""COMPUTED_VALUE"""),"")</f>
        <v/>
      </c>
      <c r="K407" s="51"/>
      <c r="L407" s="51" t="s">
        <v>257</v>
      </c>
      <c r="M407" s="51"/>
      <c r="N407" s="51"/>
      <c r="O407" s="51"/>
      <c r="P407" s="51"/>
      <c r="Q407" s="51"/>
      <c r="R407" s="51"/>
      <c r="S407" s="51"/>
      <c r="T407" s="51"/>
    </row>
    <row r="408">
      <c r="A408" s="51"/>
      <c r="B408" s="51"/>
      <c r="C408" s="56"/>
      <c r="D408" s="51"/>
      <c r="E408" s="51"/>
      <c r="F408" s="51"/>
      <c r="G408" s="51" t="str">
        <f>IFERROR(__xludf.DUMMYFUNCTION("""COMPUTED_VALUE"""),"#VALUE!")</f>
        <v>#VALUE!</v>
      </c>
      <c r="H408" s="51" t="str">
        <f>IFERROR(__xludf.DUMMYFUNCTION("""COMPUTED_VALUE"""),"")</f>
        <v/>
      </c>
      <c r="I408" s="51" t="str">
        <f>IFERROR(__xludf.DUMMYFUNCTION("""COMPUTED_VALUE"""),"#VALUE!")</f>
        <v>#VALUE!</v>
      </c>
      <c r="J408" s="51" t="str">
        <f>IFERROR(__xludf.DUMMYFUNCTION("""COMPUTED_VALUE"""),"")</f>
        <v/>
      </c>
      <c r="K408" s="51"/>
      <c r="L408" s="51" t="s">
        <v>257</v>
      </c>
      <c r="M408" s="51"/>
      <c r="N408" s="51"/>
      <c r="O408" s="51"/>
      <c r="P408" s="51"/>
      <c r="Q408" s="51"/>
      <c r="R408" s="51"/>
      <c r="S408" s="51"/>
      <c r="T408" s="51"/>
    </row>
    <row r="409">
      <c r="A409" s="51"/>
      <c r="B409" s="51"/>
      <c r="C409" s="56"/>
      <c r="D409" s="51"/>
      <c r="E409" s="51"/>
      <c r="F409" s="51"/>
      <c r="G409" s="51" t="str">
        <f>IFERROR(__xludf.DUMMYFUNCTION("""COMPUTED_VALUE"""),"#VALUE!")</f>
        <v>#VALUE!</v>
      </c>
      <c r="H409" s="51" t="str">
        <f>IFERROR(__xludf.DUMMYFUNCTION("""COMPUTED_VALUE"""),"")</f>
        <v/>
      </c>
      <c r="I409" s="51" t="str">
        <f>IFERROR(__xludf.DUMMYFUNCTION("""COMPUTED_VALUE"""),"#VALUE!")</f>
        <v>#VALUE!</v>
      </c>
      <c r="J409" s="51" t="str">
        <f>IFERROR(__xludf.DUMMYFUNCTION("""COMPUTED_VALUE"""),"")</f>
        <v/>
      </c>
      <c r="K409" s="51"/>
      <c r="L409" s="51" t="s">
        <v>257</v>
      </c>
      <c r="M409" s="51"/>
      <c r="N409" s="51"/>
      <c r="O409" s="51"/>
      <c r="P409" s="51"/>
      <c r="Q409" s="51"/>
      <c r="R409" s="51"/>
      <c r="S409" s="51"/>
      <c r="T409" s="51"/>
    </row>
    <row r="410">
      <c r="A410" s="51"/>
      <c r="B410" s="51"/>
      <c r="C410" s="56"/>
      <c r="D410" s="51"/>
      <c r="E410" s="51"/>
      <c r="F410" s="51"/>
      <c r="G410" s="51" t="str">
        <f>IFERROR(__xludf.DUMMYFUNCTION("""COMPUTED_VALUE"""),"#VALUE!")</f>
        <v>#VALUE!</v>
      </c>
      <c r="H410" s="51" t="str">
        <f>IFERROR(__xludf.DUMMYFUNCTION("""COMPUTED_VALUE"""),"")</f>
        <v/>
      </c>
      <c r="I410" s="51" t="str">
        <f>IFERROR(__xludf.DUMMYFUNCTION("""COMPUTED_VALUE"""),"#VALUE!")</f>
        <v>#VALUE!</v>
      </c>
      <c r="J410" s="51" t="str">
        <f>IFERROR(__xludf.DUMMYFUNCTION("""COMPUTED_VALUE"""),"")</f>
        <v/>
      </c>
      <c r="K410" s="51"/>
      <c r="L410" s="51" t="s">
        <v>257</v>
      </c>
      <c r="M410" s="51"/>
      <c r="N410" s="51"/>
      <c r="O410" s="51"/>
      <c r="P410" s="51"/>
      <c r="Q410" s="51"/>
      <c r="R410" s="51"/>
      <c r="S410" s="51"/>
      <c r="T410" s="51"/>
    </row>
    <row r="411">
      <c r="A411" s="51"/>
      <c r="B411" s="51"/>
      <c r="C411" s="56"/>
      <c r="D411" s="51"/>
      <c r="E411" s="51"/>
      <c r="F411" s="51"/>
      <c r="G411" s="51" t="str">
        <f>IFERROR(__xludf.DUMMYFUNCTION("""COMPUTED_VALUE"""),"#VALUE!")</f>
        <v>#VALUE!</v>
      </c>
      <c r="H411" s="51" t="str">
        <f>IFERROR(__xludf.DUMMYFUNCTION("""COMPUTED_VALUE"""),"")</f>
        <v/>
      </c>
      <c r="I411" s="51" t="str">
        <f>IFERROR(__xludf.DUMMYFUNCTION("""COMPUTED_VALUE"""),"#VALUE!")</f>
        <v>#VALUE!</v>
      </c>
      <c r="J411" s="51" t="str">
        <f>IFERROR(__xludf.DUMMYFUNCTION("""COMPUTED_VALUE"""),"")</f>
        <v/>
      </c>
      <c r="K411" s="51"/>
      <c r="L411" s="51" t="s">
        <v>257</v>
      </c>
      <c r="M411" s="51"/>
      <c r="N411" s="51"/>
      <c r="O411" s="51"/>
      <c r="P411" s="51"/>
      <c r="Q411" s="51"/>
      <c r="R411" s="51"/>
      <c r="S411" s="51"/>
      <c r="T411" s="51"/>
    </row>
    <row r="412">
      <c r="A412" s="51"/>
      <c r="B412" s="51"/>
      <c r="C412" s="56"/>
      <c r="D412" s="51"/>
      <c r="E412" s="51"/>
      <c r="F412" s="51"/>
      <c r="G412" s="51" t="str">
        <f>IFERROR(__xludf.DUMMYFUNCTION("""COMPUTED_VALUE"""),"#VALUE!")</f>
        <v>#VALUE!</v>
      </c>
      <c r="H412" s="51" t="str">
        <f>IFERROR(__xludf.DUMMYFUNCTION("""COMPUTED_VALUE"""),"")</f>
        <v/>
      </c>
      <c r="I412" s="51" t="str">
        <f>IFERROR(__xludf.DUMMYFUNCTION("""COMPUTED_VALUE"""),"#VALUE!")</f>
        <v>#VALUE!</v>
      </c>
      <c r="J412" s="51" t="str">
        <f>IFERROR(__xludf.DUMMYFUNCTION("""COMPUTED_VALUE"""),"")</f>
        <v/>
      </c>
      <c r="K412" s="51"/>
      <c r="L412" s="51" t="s">
        <v>257</v>
      </c>
      <c r="M412" s="51"/>
      <c r="N412" s="51"/>
      <c r="O412" s="51"/>
      <c r="P412" s="51"/>
      <c r="Q412" s="51"/>
      <c r="R412" s="51"/>
      <c r="S412" s="51"/>
      <c r="T412" s="51"/>
    </row>
    <row r="413">
      <c r="A413" s="51"/>
      <c r="B413" s="51"/>
      <c r="C413" s="56"/>
      <c r="D413" s="51"/>
      <c r="E413" s="51"/>
      <c r="F413" s="51"/>
      <c r="G413" s="51" t="str">
        <f>IFERROR(__xludf.DUMMYFUNCTION("""COMPUTED_VALUE"""),"#VALUE!")</f>
        <v>#VALUE!</v>
      </c>
      <c r="H413" s="51" t="str">
        <f>IFERROR(__xludf.DUMMYFUNCTION("""COMPUTED_VALUE"""),"")</f>
        <v/>
      </c>
      <c r="I413" s="51" t="str">
        <f>IFERROR(__xludf.DUMMYFUNCTION("""COMPUTED_VALUE"""),"#VALUE!")</f>
        <v>#VALUE!</v>
      </c>
      <c r="J413" s="51" t="str">
        <f>IFERROR(__xludf.DUMMYFUNCTION("""COMPUTED_VALUE"""),"")</f>
        <v/>
      </c>
      <c r="K413" s="51"/>
      <c r="L413" s="51" t="s">
        <v>257</v>
      </c>
      <c r="M413" s="51"/>
      <c r="N413" s="51"/>
      <c r="O413" s="51"/>
      <c r="P413" s="51"/>
      <c r="Q413" s="51"/>
      <c r="R413" s="51"/>
      <c r="S413" s="51"/>
      <c r="T413" s="51"/>
    </row>
    <row r="414">
      <c r="A414" s="51"/>
      <c r="B414" s="51"/>
      <c r="C414" s="56"/>
      <c r="D414" s="51"/>
      <c r="E414" s="51"/>
      <c r="F414" s="51"/>
      <c r="G414" s="51" t="str">
        <f>IFERROR(__xludf.DUMMYFUNCTION("""COMPUTED_VALUE"""),"#VALUE!")</f>
        <v>#VALUE!</v>
      </c>
      <c r="H414" s="51" t="str">
        <f>IFERROR(__xludf.DUMMYFUNCTION("""COMPUTED_VALUE"""),"")</f>
        <v/>
      </c>
      <c r="I414" s="51" t="str">
        <f>IFERROR(__xludf.DUMMYFUNCTION("""COMPUTED_VALUE"""),"#VALUE!")</f>
        <v>#VALUE!</v>
      </c>
      <c r="J414" s="51" t="str">
        <f>IFERROR(__xludf.DUMMYFUNCTION("""COMPUTED_VALUE"""),"")</f>
        <v/>
      </c>
      <c r="K414" s="51"/>
      <c r="L414" s="51" t="s">
        <v>257</v>
      </c>
      <c r="M414" s="51"/>
      <c r="N414" s="51"/>
      <c r="O414" s="51"/>
      <c r="P414" s="51"/>
      <c r="Q414" s="51"/>
      <c r="R414" s="51"/>
      <c r="S414" s="51"/>
      <c r="T414" s="51"/>
    </row>
    <row r="415">
      <c r="A415" s="51"/>
      <c r="B415" s="51"/>
      <c r="C415" s="56"/>
      <c r="D415" s="51"/>
      <c r="E415" s="51"/>
      <c r="F415" s="51"/>
      <c r="G415" s="51" t="str">
        <f>IFERROR(__xludf.DUMMYFUNCTION("""COMPUTED_VALUE"""),"#VALUE!")</f>
        <v>#VALUE!</v>
      </c>
      <c r="H415" s="51" t="str">
        <f>IFERROR(__xludf.DUMMYFUNCTION("""COMPUTED_VALUE"""),"")</f>
        <v/>
      </c>
      <c r="I415" s="51" t="str">
        <f>IFERROR(__xludf.DUMMYFUNCTION("""COMPUTED_VALUE"""),"#VALUE!")</f>
        <v>#VALUE!</v>
      </c>
      <c r="J415" s="51" t="str">
        <f>IFERROR(__xludf.DUMMYFUNCTION("""COMPUTED_VALUE"""),"")</f>
        <v/>
      </c>
      <c r="K415" s="51"/>
      <c r="L415" s="51" t="s">
        <v>257</v>
      </c>
      <c r="M415" s="51"/>
      <c r="N415" s="51"/>
      <c r="O415" s="51"/>
      <c r="P415" s="51"/>
      <c r="Q415" s="51"/>
      <c r="R415" s="51"/>
      <c r="S415" s="51"/>
      <c r="T415" s="51"/>
    </row>
    <row r="416">
      <c r="A416" s="51"/>
      <c r="B416" s="51"/>
      <c r="C416" s="56"/>
      <c r="D416" s="51"/>
      <c r="E416" s="51"/>
      <c r="F416" s="51"/>
      <c r="G416" s="51" t="str">
        <f>IFERROR(__xludf.DUMMYFUNCTION("""COMPUTED_VALUE"""),"#VALUE!")</f>
        <v>#VALUE!</v>
      </c>
      <c r="H416" s="51" t="str">
        <f>IFERROR(__xludf.DUMMYFUNCTION("""COMPUTED_VALUE"""),"")</f>
        <v/>
      </c>
      <c r="I416" s="51" t="str">
        <f>IFERROR(__xludf.DUMMYFUNCTION("""COMPUTED_VALUE"""),"#VALUE!")</f>
        <v>#VALUE!</v>
      </c>
      <c r="J416" s="51" t="str">
        <f>IFERROR(__xludf.DUMMYFUNCTION("""COMPUTED_VALUE"""),"")</f>
        <v/>
      </c>
      <c r="K416" s="51"/>
      <c r="L416" s="51" t="s">
        <v>257</v>
      </c>
      <c r="M416" s="51"/>
      <c r="N416" s="51"/>
      <c r="O416" s="51"/>
      <c r="P416" s="51"/>
      <c r="Q416" s="51"/>
      <c r="R416" s="51"/>
      <c r="S416" s="51"/>
      <c r="T416" s="51"/>
    </row>
    <row r="417">
      <c r="A417" s="51"/>
      <c r="B417" s="51"/>
      <c r="C417" s="56"/>
      <c r="D417" s="51"/>
      <c r="E417" s="51"/>
      <c r="F417" s="51"/>
      <c r="G417" s="51" t="str">
        <f>IFERROR(__xludf.DUMMYFUNCTION("""COMPUTED_VALUE"""),"#VALUE!")</f>
        <v>#VALUE!</v>
      </c>
      <c r="H417" s="51" t="str">
        <f>IFERROR(__xludf.DUMMYFUNCTION("""COMPUTED_VALUE"""),"")</f>
        <v/>
      </c>
      <c r="I417" s="51" t="str">
        <f>IFERROR(__xludf.DUMMYFUNCTION("""COMPUTED_VALUE"""),"#VALUE!")</f>
        <v>#VALUE!</v>
      </c>
      <c r="J417" s="51" t="str">
        <f>IFERROR(__xludf.DUMMYFUNCTION("""COMPUTED_VALUE"""),"")</f>
        <v/>
      </c>
      <c r="K417" s="51"/>
      <c r="L417" s="51" t="s">
        <v>257</v>
      </c>
      <c r="M417" s="51"/>
      <c r="N417" s="51"/>
      <c r="O417" s="51"/>
      <c r="P417" s="51"/>
      <c r="Q417" s="51"/>
      <c r="R417" s="51"/>
      <c r="S417" s="51"/>
      <c r="T417" s="51"/>
    </row>
    <row r="418">
      <c r="A418" s="51"/>
      <c r="B418" s="51"/>
      <c r="C418" s="56"/>
      <c r="D418" s="51"/>
      <c r="E418" s="51"/>
      <c r="F418" s="51"/>
      <c r="G418" s="51" t="str">
        <f>IFERROR(__xludf.DUMMYFUNCTION("""COMPUTED_VALUE"""),"#VALUE!")</f>
        <v>#VALUE!</v>
      </c>
      <c r="H418" s="51" t="str">
        <f>IFERROR(__xludf.DUMMYFUNCTION("""COMPUTED_VALUE"""),"")</f>
        <v/>
      </c>
      <c r="I418" s="51" t="str">
        <f>IFERROR(__xludf.DUMMYFUNCTION("""COMPUTED_VALUE"""),"#VALUE!")</f>
        <v>#VALUE!</v>
      </c>
      <c r="J418" s="51" t="str">
        <f>IFERROR(__xludf.DUMMYFUNCTION("""COMPUTED_VALUE"""),"")</f>
        <v/>
      </c>
      <c r="K418" s="51"/>
      <c r="L418" s="51" t="s">
        <v>257</v>
      </c>
      <c r="M418" s="51"/>
      <c r="N418" s="51"/>
      <c r="O418" s="51"/>
      <c r="P418" s="51"/>
      <c r="Q418" s="51"/>
      <c r="R418" s="51"/>
      <c r="S418" s="51"/>
      <c r="T418" s="51"/>
    </row>
    <row r="419">
      <c r="A419" s="51"/>
      <c r="B419" s="51"/>
      <c r="C419" s="56"/>
      <c r="D419" s="51"/>
      <c r="E419" s="51"/>
      <c r="F419" s="51"/>
      <c r="G419" s="51" t="str">
        <f>IFERROR(__xludf.DUMMYFUNCTION("""COMPUTED_VALUE"""),"#VALUE!")</f>
        <v>#VALUE!</v>
      </c>
      <c r="H419" s="51" t="str">
        <f>IFERROR(__xludf.DUMMYFUNCTION("""COMPUTED_VALUE"""),"")</f>
        <v/>
      </c>
      <c r="I419" s="51" t="str">
        <f>IFERROR(__xludf.DUMMYFUNCTION("""COMPUTED_VALUE"""),"#VALUE!")</f>
        <v>#VALUE!</v>
      </c>
      <c r="J419" s="51" t="str">
        <f>IFERROR(__xludf.DUMMYFUNCTION("""COMPUTED_VALUE"""),"")</f>
        <v/>
      </c>
      <c r="K419" s="51"/>
      <c r="L419" s="51" t="s">
        <v>257</v>
      </c>
      <c r="M419" s="51"/>
      <c r="N419" s="51"/>
      <c r="O419" s="51"/>
      <c r="P419" s="51"/>
      <c r="Q419" s="51"/>
      <c r="R419" s="51"/>
      <c r="S419" s="51"/>
      <c r="T419" s="51"/>
    </row>
    <row r="420">
      <c r="A420" s="51"/>
      <c r="B420" s="51"/>
      <c r="C420" s="56"/>
      <c r="D420" s="51"/>
      <c r="E420" s="51"/>
      <c r="F420" s="51"/>
      <c r="G420" s="51" t="str">
        <f>IFERROR(__xludf.DUMMYFUNCTION("""COMPUTED_VALUE"""),"#VALUE!")</f>
        <v>#VALUE!</v>
      </c>
      <c r="H420" s="51" t="str">
        <f>IFERROR(__xludf.DUMMYFUNCTION("""COMPUTED_VALUE"""),"")</f>
        <v/>
      </c>
      <c r="I420" s="51" t="str">
        <f>IFERROR(__xludf.DUMMYFUNCTION("""COMPUTED_VALUE"""),"#VALUE!")</f>
        <v>#VALUE!</v>
      </c>
      <c r="J420" s="51" t="str">
        <f>IFERROR(__xludf.DUMMYFUNCTION("""COMPUTED_VALUE"""),"")</f>
        <v/>
      </c>
      <c r="K420" s="51"/>
      <c r="L420" s="51" t="s">
        <v>257</v>
      </c>
      <c r="M420" s="51"/>
      <c r="N420" s="51"/>
      <c r="O420" s="51"/>
      <c r="P420" s="51"/>
      <c r="Q420" s="51"/>
      <c r="R420" s="51"/>
      <c r="S420" s="51"/>
      <c r="T420" s="51"/>
    </row>
    <row r="421">
      <c r="A421" s="51"/>
      <c r="B421" s="51"/>
      <c r="C421" s="56"/>
      <c r="D421" s="51"/>
      <c r="E421" s="51"/>
      <c r="F421" s="51"/>
      <c r="G421" s="51" t="str">
        <f>IFERROR(__xludf.DUMMYFUNCTION("""COMPUTED_VALUE"""),"#VALUE!")</f>
        <v>#VALUE!</v>
      </c>
      <c r="H421" s="51" t="str">
        <f>IFERROR(__xludf.DUMMYFUNCTION("""COMPUTED_VALUE"""),"")</f>
        <v/>
      </c>
      <c r="I421" s="51" t="str">
        <f>IFERROR(__xludf.DUMMYFUNCTION("""COMPUTED_VALUE"""),"#VALUE!")</f>
        <v>#VALUE!</v>
      </c>
      <c r="J421" s="51" t="str">
        <f>IFERROR(__xludf.DUMMYFUNCTION("""COMPUTED_VALUE"""),"")</f>
        <v/>
      </c>
      <c r="K421" s="51"/>
      <c r="L421" s="51" t="s">
        <v>257</v>
      </c>
      <c r="M421" s="51"/>
      <c r="N421" s="51"/>
      <c r="O421" s="51"/>
      <c r="P421" s="51"/>
      <c r="Q421" s="51"/>
      <c r="R421" s="51"/>
      <c r="S421" s="51"/>
      <c r="T421" s="51"/>
    </row>
    <row r="422">
      <c r="A422" s="51"/>
      <c r="B422" s="51"/>
      <c r="C422" s="56"/>
      <c r="D422" s="51"/>
      <c r="E422" s="51"/>
      <c r="F422" s="51"/>
      <c r="G422" s="51" t="str">
        <f>IFERROR(__xludf.DUMMYFUNCTION("""COMPUTED_VALUE"""),"#VALUE!")</f>
        <v>#VALUE!</v>
      </c>
      <c r="H422" s="51" t="str">
        <f>IFERROR(__xludf.DUMMYFUNCTION("""COMPUTED_VALUE"""),"")</f>
        <v/>
      </c>
      <c r="I422" s="51" t="str">
        <f>IFERROR(__xludf.DUMMYFUNCTION("""COMPUTED_VALUE"""),"#VALUE!")</f>
        <v>#VALUE!</v>
      </c>
      <c r="J422" s="51" t="str">
        <f>IFERROR(__xludf.DUMMYFUNCTION("""COMPUTED_VALUE"""),"")</f>
        <v/>
      </c>
      <c r="K422" s="51"/>
      <c r="L422" s="51" t="s">
        <v>257</v>
      </c>
      <c r="M422" s="51"/>
      <c r="N422" s="51"/>
      <c r="O422" s="51"/>
      <c r="P422" s="51"/>
      <c r="Q422" s="51"/>
      <c r="R422" s="51"/>
      <c r="S422" s="51"/>
      <c r="T422" s="51"/>
    </row>
    <row r="423">
      <c r="A423" s="51"/>
      <c r="B423" s="51"/>
      <c r="C423" s="56"/>
      <c r="D423" s="51"/>
      <c r="E423" s="51"/>
      <c r="F423" s="51"/>
      <c r="G423" s="51" t="str">
        <f>IFERROR(__xludf.DUMMYFUNCTION("""COMPUTED_VALUE"""),"#VALUE!")</f>
        <v>#VALUE!</v>
      </c>
      <c r="H423" s="51" t="str">
        <f>IFERROR(__xludf.DUMMYFUNCTION("""COMPUTED_VALUE"""),"")</f>
        <v/>
      </c>
      <c r="I423" s="51" t="str">
        <f>IFERROR(__xludf.DUMMYFUNCTION("""COMPUTED_VALUE"""),"#VALUE!")</f>
        <v>#VALUE!</v>
      </c>
      <c r="J423" s="51" t="str">
        <f>IFERROR(__xludf.DUMMYFUNCTION("""COMPUTED_VALUE"""),"")</f>
        <v/>
      </c>
      <c r="K423" s="51"/>
      <c r="L423" s="51" t="s">
        <v>257</v>
      </c>
      <c r="M423" s="51"/>
      <c r="N423" s="51"/>
      <c r="O423" s="51"/>
      <c r="P423" s="51"/>
      <c r="Q423" s="51"/>
      <c r="R423" s="51"/>
      <c r="S423" s="51"/>
      <c r="T423" s="51"/>
    </row>
    <row r="424">
      <c r="A424" s="51"/>
      <c r="B424" s="51"/>
      <c r="C424" s="56"/>
      <c r="D424" s="51"/>
      <c r="E424" s="51"/>
      <c r="F424" s="51"/>
      <c r="G424" s="51" t="str">
        <f>IFERROR(__xludf.DUMMYFUNCTION("""COMPUTED_VALUE"""),"#VALUE!")</f>
        <v>#VALUE!</v>
      </c>
      <c r="H424" s="51" t="str">
        <f>IFERROR(__xludf.DUMMYFUNCTION("""COMPUTED_VALUE"""),"")</f>
        <v/>
      </c>
      <c r="I424" s="51" t="str">
        <f>IFERROR(__xludf.DUMMYFUNCTION("""COMPUTED_VALUE"""),"#VALUE!")</f>
        <v>#VALUE!</v>
      </c>
      <c r="J424" s="51" t="str">
        <f>IFERROR(__xludf.DUMMYFUNCTION("""COMPUTED_VALUE"""),"")</f>
        <v/>
      </c>
      <c r="K424" s="51"/>
      <c r="L424" s="51" t="s">
        <v>257</v>
      </c>
      <c r="M424" s="51"/>
      <c r="N424" s="51"/>
      <c r="O424" s="51"/>
      <c r="P424" s="51"/>
      <c r="Q424" s="51"/>
      <c r="R424" s="51"/>
      <c r="S424" s="51"/>
      <c r="T424" s="51"/>
    </row>
    <row r="425">
      <c r="A425" s="51"/>
      <c r="B425" s="51"/>
      <c r="C425" s="56"/>
      <c r="D425" s="51"/>
      <c r="E425" s="51"/>
      <c r="F425" s="51"/>
      <c r="G425" s="51" t="str">
        <f>IFERROR(__xludf.DUMMYFUNCTION("""COMPUTED_VALUE"""),"#VALUE!")</f>
        <v>#VALUE!</v>
      </c>
      <c r="H425" s="51" t="str">
        <f>IFERROR(__xludf.DUMMYFUNCTION("""COMPUTED_VALUE"""),"")</f>
        <v/>
      </c>
      <c r="I425" s="51" t="str">
        <f>IFERROR(__xludf.DUMMYFUNCTION("""COMPUTED_VALUE"""),"#VALUE!")</f>
        <v>#VALUE!</v>
      </c>
      <c r="J425" s="51" t="str">
        <f>IFERROR(__xludf.DUMMYFUNCTION("""COMPUTED_VALUE"""),"")</f>
        <v/>
      </c>
      <c r="K425" s="51"/>
      <c r="L425" s="51" t="s">
        <v>257</v>
      </c>
      <c r="M425" s="51"/>
      <c r="N425" s="51"/>
      <c r="O425" s="51"/>
      <c r="P425" s="51"/>
      <c r="Q425" s="51"/>
      <c r="R425" s="51"/>
      <c r="S425" s="51"/>
      <c r="T425" s="51"/>
    </row>
    <row r="426">
      <c r="A426" s="51"/>
      <c r="B426" s="51"/>
      <c r="C426" s="56"/>
      <c r="D426" s="51"/>
      <c r="E426" s="51"/>
      <c r="F426" s="51"/>
      <c r="G426" s="51" t="str">
        <f>IFERROR(__xludf.DUMMYFUNCTION("""COMPUTED_VALUE"""),"#VALUE!")</f>
        <v>#VALUE!</v>
      </c>
      <c r="H426" s="51" t="str">
        <f>IFERROR(__xludf.DUMMYFUNCTION("""COMPUTED_VALUE"""),"")</f>
        <v/>
      </c>
      <c r="I426" s="51" t="str">
        <f>IFERROR(__xludf.DUMMYFUNCTION("""COMPUTED_VALUE"""),"#VALUE!")</f>
        <v>#VALUE!</v>
      </c>
      <c r="J426" s="51" t="str">
        <f>IFERROR(__xludf.DUMMYFUNCTION("""COMPUTED_VALUE"""),"")</f>
        <v/>
      </c>
      <c r="K426" s="51"/>
      <c r="L426" s="51" t="s">
        <v>257</v>
      </c>
      <c r="M426" s="51"/>
      <c r="N426" s="51"/>
      <c r="O426" s="51"/>
      <c r="P426" s="51"/>
      <c r="Q426" s="51"/>
      <c r="R426" s="51"/>
      <c r="S426" s="51"/>
      <c r="T426" s="51"/>
    </row>
    <row r="427">
      <c r="A427" s="51"/>
      <c r="B427" s="51"/>
      <c r="C427" s="56"/>
      <c r="D427" s="51"/>
      <c r="E427" s="51"/>
      <c r="F427" s="51"/>
      <c r="G427" s="51" t="str">
        <f>IFERROR(__xludf.DUMMYFUNCTION("""COMPUTED_VALUE"""),"#VALUE!")</f>
        <v>#VALUE!</v>
      </c>
      <c r="H427" s="51" t="str">
        <f>IFERROR(__xludf.DUMMYFUNCTION("""COMPUTED_VALUE"""),"")</f>
        <v/>
      </c>
      <c r="I427" s="51" t="str">
        <f>IFERROR(__xludf.DUMMYFUNCTION("""COMPUTED_VALUE"""),"#VALUE!")</f>
        <v>#VALUE!</v>
      </c>
      <c r="J427" s="51" t="str">
        <f>IFERROR(__xludf.DUMMYFUNCTION("""COMPUTED_VALUE"""),"")</f>
        <v/>
      </c>
      <c r="K427" s="51"/>
      <c r="L427" s="51" t="s">
        <v>257</v>
      </c>
      <c r="M427" s="51"/>
      <c r="N427" s="51"/>
      <c r="O427" s="51"/>
      <c r="P427" s="51"/>
      <c r="Q427" s="51"/>
      <c r="R427" s="51"/>
      <c r="S427" s="51"/>
      <c r="T427" s="51"/>
    </row>
    <row r="428">
      <c r="A428" s="51"/>
      <c r="B428" s="51"/>
      <c r="C428" s="56"/>
      <c r="D428" s="51"/>
      <c r="E428" s="51"/>
      <c r="F428" s="51"/>
      <c r="G428" s="51" t="str">
        <f>IFERROR(__xludf.DUMMYFUNCTION("""COMPUTED_VALUE"""),"#VALUE!")</f>
        <v>#VALUE!</v>
      </c>
      <c r="H428" s="51" t="str">
        <f>IFERROR(__xludf.DUMMYFUNCTION("""COMPUTED_VALUE"""),"")</f>
        <v/>
      </c>
      <c r="I428" s="51" t="str">
        <f>IFERROR(__xludf.DUMMYFUNCTION("""COMPUTED_VALUE"""),"#VALUE!")</f>
        <v>#VALUE!</v>
      </c>
      <c r="J428" s="51" t="str">
        <f>IFERROR(__xludf.DUMMYFUNCTION("""COMPUTED_VALUE"""),"")</f>
        <v/>
      </c>
      <c r="K428" s="51"/>
      <c r="L428" s="51" t="s">
        <v>257</v>
      </c>
      <c r="M428" s="51"/>
      <c r="N428" s="51"/>
      <c r="O428" s="51"/>
      <c r="P428" s="51"/>
      <c r="Q428" s="51"/>
      <c r="R428" s="51"/>
      <c r="S428" s="51"/>
      <c r="T428" s="51"/>
    </row>
    <row r="429">
      <c r="A429" s="51"/>
      <c r="B429" s="51"/>
      <c r="C429" s="56"/>
      <c r="D429" s="51"/>
      <c r="E429" s="51"/>
      <c r="F429" s="51"/>
      <c r="G429" s="51" t="str">
        <f>IFERROR(__xludf.DUMMYFUNCTION("""COMPUTED_VALUE"""),"#VALUE!")</f>
        <v>#VALUE!</v>
      </c>
      <c r="H429" s="51" t="str">
        <f>IFERROR(__xludf.DUMMYFUNCTION("""COMPUTED_VALUE"""),"")</f>
        <v/>
      </c>
      <c r="I429" s="51" t="str">
        <f>IFERROR(__xludf.DUMMYFUNCTION("""COMPUTED_VALUE"""),"#VALUE!")</f>
        <v>#VALUE!</v>
      </c>
      <c r="J429" s="51" t="str">
        <f>IFERROR(__xludf.DUMMYFUNCTION("""COMPUTED_VALUE"""),"")</f>
        <v/>
      </c>
      <c r="K429" s="51"/>
      <c r="L429" s="51" t="s">
        <v>257</v>
      </c>
      <c r="M429" s="51"/>
      <c r="N429" s="51"/>
      <c r="O429" s="51"/>
      <c r="P429" s="51"/>
      <c r="Q429" s="51"/>
      <c r="R429" s="51"/>
      <c r="S429" s="51"/>
      <c r="T429" s="51"/>
    </row>
    <row r="430">
      <c r="A430" s="51"/>
      <c r="B430" s="51"/>
      <c r="C430" s="56"/>
      <c r="D430" s="51"/>
      <c r="E430" s="51"/>
      <c r="F430" s="51"/>
      <c r="G430" s="51" t="str">
        <f>IFERROR(__xludf.DUMMYFUNCTION("""COMPUTED_VALUE"""),"#VALUE!")</f>
        <v>#VALUE!</v>
      </c>
      <c r="H430" s="51" t="str">
        <f>IFERROR(__xludf.DUMMYFUNCTION("""COMPUTED_VALUE"""),"")</f>
        <v/>
      </c>
      <c r="I430" s="51" t="str">
        <f>IFERROR(__xludf.DUMMYFUNCTION("""COMPUTED_VALUE"""),"#VALUE!")</f>
        <v>#VALUE!</v>
      </c>
      <c r="J430" s="51" t="str">
        <f>IFERROR(__xludf.DUMMYFUNCTION("""COMPUTED_VALUE"""),"")</f>
        <v/>
      </c>
      <c r="K430" s="51"/>
      <c r="L430" s="51" t="s">
        <v>257</v>
      </c>
      <c r="M430" s="51"/>
      <c r="N430" s="51"/>
      <c r="O430" s="51"/>
      <c r="P430" s="51"/>
      <c r="Q430" s="51"/>
      <c r="R430" s="51"/>
      <c r="S430" s="51"/>
      <c r="T430" s="51"/>
    </row>
    <row r="431">
      <c r="A431" s="51"/>
      <c r="B431" s="51"/>
      <c r="C431" s="56"/>
      <c r="D431" s="51"/>
      <c r="E431" s="51"/>
      <c r="F431" s="51"/>
      <c r="G431" s="51" t="str">
        <f>IFERROR(__xludf.DUMMYFUNCTION("""COMPUTED_VALUE"""),"#VALUE!")</f>
        <v>#VALUE!</v>
      </c>
      <c r="H431" s="51" t="str">
        <f>IFERROR(__xludf.DUMMYFUNCTION("""COMPUTED_VALUE"""),"")</f>
        <v/>
      </c>
      <c r="I431" s="51" t="str">
        <f>IFERROR(__xludf.DUMMYFUNCTION("""COMPUTED_VALUE"""),"#VALUE!")</f>
        <v>#VALUE!</v>
      </c>
      <c r="J431" s="51" t="str">
        <f>IFERROR(__xludf.DUMMYFUNCTION("""COMPUTED_VALUE"""),"")</f>
        <v/>
      </c>
      <c r="K431" s="51"/>
      <c r="L431" s="51" t="s">
        <v>257</v>
      </c>
      <c r="M431" s="51"/>
      <c r="N431" s="51"/>
      <c r="O431" s="51"/>
      <c r="P431" s="51"/>
      <c r="Q431" s="51"/>
      <c r="R431" s="51"/>
      <c r="S431" s="51"/>
      <c r="T431" s="51"/>
    </row>
    <row r="432">
      <c r="A432" s="51"/>
      <c r="B432" s="51"/>
      <c r="C432" s="56"/>
      <c r="D432" s="51"/>
      <c r="E432" s="51"/>
      <c r="F432" s="51"/>
      <c r="G432" s="51" t="str">
        <f>IFERROR(__xludf.DUMMYFUNCTION("""COMPUTED_VALUE"""),"#VALUE!")</f>
        <v>#VALUE!</v>
      </c>
      <c r="H432" s="51" t="str">
        <f>IFERROR(__xludf.DUMMYFUNCTION("""COMPUTED_VALUE"""),"")</f>
        <v/>
      </c>
      <c r="I432" s="51" t="str">
        <f>IFERROR(__xludf.DUMMYFUNCTION("""COMPUTED_VALUE"""),"#VALUE!")</f>
        <v>#VALUE!</v>
      </c>
      <c r="J432" s="51" t="str">
        <f>IFERROR(__xludf.DUMMYFUNCTION("""COMPUTED_VALUE"""),"")</f>
        <v/>
      </c>
      <c r="K432" s="51"/>
      <c r="L432" s="51" t="s">
        <v>257</v>
      </c>
      <c r="M432" s="51"/>
      <c r="N432" s="51"/>
      <c r="O432" s="51"/>
      <c r="P432" s="51"/>
      <c r="Q432" s="51"/>
      <c r="R432" s="51"/>
      <c r="S432" s="51"/>
      <c r="T432" s="51"/>
    </row>
    <row r="433">
      <c r="A433" s="51"/>
      <c r="B433" s="51"/>
      <c r="C433" s="56"/>
      <c r="D433" s="51"/>
      <c r="E433" s="51"/>
      <c r="F433" s="51"/>
      <c r="G433" s="51" t="str">
        <f>IFERROR(__xludf.DUMMYFUNCTION("""COMPUTED_VALUE"""),"#VALUE!")</f>
        <v>#VALUE!</v>
      </c>
      <c r="H433" s="51" t="str">
        <f>IFERROR(__xludf.DUMMYFUNCTION("""COMPUTED_VALUE"""),"")</f>
        <v/>
      </c>
      <c r="I433" s="51" t="str">
        <f>IFERROR(__xludf.DUMMYFUNCTION("""COMPUTED_VALUE"""),"#VALUE!")</f>
        <v>#VALUE!</v>
      </c>
      <c r="J433" s="51" t="str">
        <f>IFERROR(__xludf.DUMMYFUNCTION("""COMPUTED_VALUE"""),"")</f>
        <v/>
      </c>
      <c r="K433" s="51"/>
      <c r="L433" s="51" t="s">
        <v>257</v>
      </c>
      <c r="M433" s="51"/>
      <c r="N433" s="51"/>
      <c r="O433" s="51"/>
      <c r="P433" s="51"/>
      <c r="Q433" s="51"/>
      <c r="R433" s="51"/>
      <c r="S433" s="51"/>
      <c r="T433" s="51"/>
    </row>
    <row r="434">
      <c r="A434" s="51"/>
      <c r="B434" s="51"/>
      <c r="C434" s="56"/>
      <c r="D434" s="51"/>
      <c r="E434" s="51"/>
      <c r="F434" s="51"/>
      <c r="G434" s="51" t="str">
        <f>IFERROR(__xludf.DUMMYFUNCTION("""COMPUTED_VALUE"""),"#VALUE!")</f>
        <v>#VALUE!</v>
      </c>
      <c r="H434" s="51" t="str">
        <f>IFERROR(__xludf.DUMMYFUNCTION("""COMPUTED_VALUE"""),"")</f>
        <v/>
      </c>
      <c r="I434" s="51" t="str">
        <f>IFERROR(__xludf.DUMMYFUNCTION("""COMPUTED_VALUE"""),"#VALUE!")</f>
        <v>#VALUE!</v>
      </c>
      <c r="J434" s="51" t="str">
        <f>IFERROR(__xludf.DUMMYFUNCTION("""COMPUTED_VALUE"""),"")</f>
        <v/>
      </c>
      <c r="K434" s="51"/>
      <c r="L434" s="51" t="s">
        <v>257</v>
      </c>
      <c r="M434" s="51"/>
      <c r="N434" s="51"/>
      <c r="O434" s="51"/>
      <c r="P434" s="51"/>
      <c r="Q434" s="51"/>
      <c r="R434" s="51"/>
      <c r="S434" s="51"/>
      <c r="T434" s="51"/>
    </row>
    <row r="435">
      <c r="A435" s="51"/>
      <c r="B435" s="51"/>
      <c r="C435" s="56"/>
      <c r="D435" s="51"/>
      <c r="E435" s="51"/>
      <c r="F435" s="51"/>
      <c r="G435" s="51" t="str">
        <f>IFERROR(__xludf.DUMMYFUNCTION("""COMPUTED_VALUE"""),"#VALUE!")</f>
        <v>#VALUE!</v>
      </c>
      <c r="H435" s="51" t="str">
        <f>IFERROR(__xludf.DUMMYFUNCTION("""COMPUTED_VALUE"""),"")</f>
        <v/>
      </c>
      <c r="I435" s="51" t="str">
        <f>IFERROR(__xludf.DUMMYFUNCTION("""COMPUTED_VALUE"""),"#VALUE!")</f>
        <v>#VALUE!</v>
      </c>
      <c r="J435" s="51" t="str">
        <f>IFERROR(__xludf.DUMMYFUNCTION("""COMPUTED_VALUE"""),"")</f>
        <v/>
      </c>
      <c r="K435" s="51"/>
      <c r="L435" s="51" t="s">
        <v>257</v>
      </c>
      <c r="M435" s="51"/>
      <c r="N435" s="51"/>
      <c r="O435" s="51"/>
      <c r="P435" s="51"/>
      <c r="Q435" s="51"/>
      <c r="R435" s="51"/>
      <c r="S435" s="51"/>
      <c r="T435" s="51"/>
    </row>
    <row r="436">
      <c r="A436" s="51"/>
      <c r="B436" s="51"/>
      <c r="C436" s="56"/>
      <c r="D436" s="51"/>
      <c r="E436" s="51"/>
      <c r="F436" s="51"/>
      <c r="G436" s="51" t="str">
        <f>IFERROR(__xludf.DUMMYFUNCTION("""COMPUTED_VALUE"""),"#VALUE!")</f>
        <v>#VALUE!</v>
      </c>
      <c r="H436" s="51" t="str">
        <f>IFERROR(__xludf.DUMMYFUNCTION("""COMPUTED_VALUE"""),"")</f>
        <v/>
      </c>
      <c r="I436" s="51" t="str">
        <f>IFERROR(__xludf.DUMMYFUNCTION("""COMPUTED_VALUE"""),"#VALUE!")</f>
        <v>#VALUE!</v>
      </c>
      <c r="J436" s="51" t="str">
        <f>IFERROR(__xludf.DUMMYFUNCTION("""COMPUTED_VALUE"""),"")</f>
        <v/>
      </c>
      <c r="K436" s="51"/>
      <c r="L436" s="51" t="s">
        <v>257</v>
      </c>
      <c r="M436" s="51"/>
      <c r="N436" s="51"/>
      <c r="O436" s="51"/>
      <c r="P436" s="51"/>
      <c r="Q436" s="51"/>
      <c r="R436" s="51"/>
      <c r="S436" s="51"/>
      <c r="T436" s="51"/>
    </row>
    <row r="437">
      <c r="A437" s="51"/>
      <c r="B437" s="51"/>
      <c r="C437" s="56"/>
      <c r="D437" s="51"/>
      <c r="E437" s="51"/>
      <c r="F437" s="51"/>
      <c r="G437" s="51" t="str">
        <f>IFERROR(__xludf.DUMMYFUNCTION("""COMPUTED_VALUE"""),"#VALUE!")</f>
        <v>#VALUE!</v>
      </c>
      <c r="H437" s="51" t="str">
        <f>IFERROR(__xludf.DUMMYFUNCTION("""COMPUTED_VALUE"""),"")</f>
        <v/>
      </c>
      <c r="I437" s="51" t="str">
        <f>IFERROR(__xludf.DUMMYFUNCTION("""COMPUTED_VALUE"""),"#VALUE!")</f>
        <v>#VALUE!</v>
      </c>
      <c r="J437" s="51" t="str">
        <f>IFERROR(__xludf.DUMMYFUNCTION("""COMPUTED_VALUE"""),"")</f>
        <v/>
      </c>
      <c r="K437" s="51"/>
      <c r="L437" s="51" t="s">
        <v>257</v>
      </c>
      <c r="M437" s="51"/>
      <c r="N437" s="51"/>
      <c r="O437" s="51"/>
      <c r="P437" s="51"/>
      <c r="Q437" s="51"/>
      <c r="R437" s="51"/>
      <c r="S437" s="51"/>
      <c r="T437" s="51"/>
    </row>
    <row r="438">
      <c r="A438" s="51"/>
      <c r="B438" s="51"/>
      <c r="C438" s="56"/>
      <c r="D438" s="51"/>
      <c r="E438" s="51"/>
      <c r="F438" s="51"/>
      <c r="G438" s="51" t="str">
        <f>IFERROR(__xludf.DUMMYFUNCTION("""COMPUTED_VALUE"""),"#VALUE!")</f>
        <v>#VALUE!</v>
      </c>
      <c r="H438" s="51" t="str">
        <f>IFERROR(__xludf.DUMMYFUNCTION("""COMPUTED_VALUE"""),"")</f>
        <v/>
      </c>
      <c r="I438" s="51" t="str">
        <f>IFERROR(__xludf.DUMMYFUNCTION("""COMPUTED_VALUE"""),"#VALUE!")</f>
        <v>#VALUE!</v>
      </c>
      <c r="J438" s="51" t="str">
        <f>IFERROR(__xludf.DUMMYFUNCTION("""COMPUTED_VALUE"""),"")</f>
        <v/>
      </c>
      <c r="K438" s="51"/>
      <c r="L438" s="51" t="s">
        <v>257</v>
      </c>
      <c r="M438" s="51"/>
      <c r="N438" s="51"/>
      <c r="O438" s="51"/>
      <c r="P438" s="51"/>
      <c r="Q438" s="51"/>
      <c r="R438" s="51"/>
      <c r="S438" s="51"/>
      <c r="T438" s="51"/>
    </row>
    <row r="439">
      <c r="A439" s="51"/>
      <c r="B439" s="51"/>
      <c r="C439" s="56"/>
      <c r="D439" s="51"/>
      <c r="E439" s="51"/>
      <c r="F439" s="51"/>
      <c r="G439" s="51" t="str">
        <f>IFERROR(__xludf.DUMMYFUNCTION("""COMPUTED_VALUE"""),"#VALUE!")</f>
        <v>#VALUE!</v>
      </c>
      <c r="H439" s="51" t="str">
        <f>IFERROR(__xludf.DUMMYFUNCTION("""COMPUTED_VALUE"""),"")</f>
        <v/>
      </c>
      <c r="I439" s="51" t="str">
        <f>IFERROR(__xludf.DUMMYFUNCTION("""COMPUTED_VALUE"""),"#VALUE!")</f>
        <v>#VALUE!</v>
      </c>
      <c r="J439" s="51" t="str">
        <f>IFERROR(__xludf.DUMMYFUNCTION("""COMPUTED_VALUE"""),"")</f>
        <v/>
      </c>
      <c r="K439" s="51"/>
      <c r="L439" s="51" t="s">
        <v>257</v>
      </c>
      <c r="M439" s="51"/>
      <c r="N439" s="51"/>
      <c r="O439" s="51"/>
      <c r="P439" s="51"/>
      <c r="Q439" s="51"/>
      <c r="R439" s="51"/>
      <c r="S439" s="51"/>
      <c r="T439" s="51"/>
    </row>
    <row r="440">
      <c r="A440" s="51"/>
      <c r="B440" s="51"/>
      <c r="C440" s="56"/>
      <c r="D440" s="51"/>
      <c r="E440" s="51"/>
      <c r="F440" s="51"/>
      <c r="G440" s="51" t="str">
        <f>IFERROR(__xludf.DUMMYFUNCTION("""COMPUTED_VALUE"""),"#VALUE!")</f>
        <v>#VALUE!</v>
      </c>
      <c r="H440" s="51" t="str">
        <f>IFERROR(__xludf.DUMMYFUNCTION("""COMPUTED_VALUE"""),"")</f>
        <v/>
      </c>
      <c r="I440" s="51" t="str">
        <f>IFERROR(__xludf.DUMMYFUNCTION("""COMPUTED_VALUE"""),"#VALUE!")</f>
        <v>#VALUE!</v>
      </c>
      <c r="J440" s="51" t="str">
        <f>IFERROR(__xludf.DUMMYFUNCTION("""COMPUTED_VALUE"""),"")</f>
        <v/>
      </c>
      <c r="K440" s="51"/>
      <c r="L440" s="51" t="s">
        <v>257</v>
      </c>
      <c r="M440" s="51"/>
      <c r="N440" s="51"/>
      <c r="O440" s="51"/>
      <c r="P440" s="51"/>
      <c r="Q440" s="51"/>
      <c r="R440" s="51"/>
      <c r="S440" s="51"/>
      <c r="T440" s="51"/>
    </row>
    <row r="441">
      <c r="A441" s="51"/>
      <c r="B441" s="51"/>
      <c r="C441" s="56"/>
      <c r="D441" s="51"/>
      <c r="E441" s="51"/>
      <c r="F441" s="51"/>
      <c r="G441" s="51" t="str">
        <f>IFERROR(__xludf.DUMMYFUNCTION("""COMPUTED_VALUE"""),"#VALUE!")</f>
        <v>#VALUE!</v>
      </c>
      <c r="H441" s="51" t="str">
        <f>IFERROR(__xludf.DUMMYFUNCTION("""COMPUTED_VALUE"""),"")</f>
        <v/>
      </c>
      <c r="I441" s="51" t="str">
        <f>IFERROR(__xludf.DUMMYFUNCTION("""COMPUTED_VALUE"""),"#VALUE!")</f>
        <v>#VALUE!</v>
      </c>
      <c r="J441" s="51" t="str">
        <f>IFERROR(__xludf.DUMMYFUNCTION("""COMPUTED_VALUE"""),"")</f>
        <v/>
      </c>
      <c r="K441" s="51"/>
      <c r="L441" s="51" t="s">
        <v>257</v>
      </c>
      <c r="M441" s="51"/>
      <c r="N441" s="51"/>
      <c r="O441" s="51"/>
      <c r="P441" s="51"/>
      <c r="Q441" s="51"/>
      <c r="R441" s="51"/>
      <c r="S441" s="51"/>
      <c r="T441" s="51"/>
    </row>
    <row r="442">
      <c r="A442" s="51"/>
      <c r="B442" s="51"/>
      <c r="C442" s="56"/>
      <c r="D442" s="51"/>
      <c r="E442" s="51"/>
      <c r="F442" s="51"/>
      <c r="G442" s="51" t="str">
        <f>IFERROR(__xludf.DUMMYFUNCTION("""COMPUTED_VALUE"""),"#VALUE!")</f>
        <v>#VALUE!</v>
      </c>
      <c r="H442" s="51" t="str">
        <f>IFERROR(__xludf.DUMMYFUNCTION("""COMPUTED_VALUE"""),"")</f>
        <v/>
      </c>
      <c r="I442" s="51" t="str">
        <f>IFERROR(__xludf.DUMMYFUNCTION("""COMPUTED_VALUE"""),"#VALUE!")</f>
        <v>#VALUE!</v>
      </c>
      <c r="J442" s="51" t="str">
        <f>IFERROR(__xludf.DUMMYFUNCTION("""COMPUTED_VALUE"""),"")</f>
        <v/>
      </c>
      <c r="K442" s="51"/>
      <c r="L442" s="51" t="s">
        <v>257</v>
      </c>
      <c r="M442" s="51"/>
      <c r="N442" s="51"/>
      <c r="O442" s="51"/>
      <c r="P442" s="51"/>
      <c r="Q442" s="51"/>
      <c r="R442" s="51"/>
      <c r="S442" s="51"/>
      <c r="T442" s="51"/>
    </row>
    <row r="443">
      <c r="A443" s="51"/>
      <c r="B443" s="51"/>
      <c r="C443" s="56"/>
      <c r="D443" s="51"/>
      <c r="E443" s="51"/>
      <c r="F443" s="51"/>
      <c r="G443" s="51" t="str">
        <f>IFERROR(__xludf.DUMMYFUNCTION("""COMPUTED_VALUE"""),"#VALUE!")</f>
        <v>#VALUE!</v>
      </c>
      <c r="H443" s="51" t="str">
        <f>IFERROR(__xludf.DUMMYFUNCTION("""COMPUTED_VALUE"""),"")</f>
        <v/>
      </c>
      <c r="I443" s="51" t="str">
        <f>IFERROR(__xludf.DUMMYFUNCTION("""COMPUTED_VALUE"""),"#VALUE!")</f>
        <v>#VALUE!</v>
      </c>
      <c r="J443" s="51" t="str">
        <f>IFERROR(__xludf.DUMMYFUNCTION("""COMPUTED_VALUE"""),"")</f>
        <v/>
      </c>
      <c r="K443" s="51"/>
      <c r="L443" s="51" t="s">
        <v>257</v>
      </c>
      <c r="M443" s="51"/>
      <c r="N443" s="51"/>
      <c r="O443" s="51"/>
      <c r="P443" s="51"/>
      <c r="Q443" s="51"/>
      <c r="R443" s="51"/>
      <c r="S443" s="51"/>
      <c r="T443" s="51"/>
    </row>
    <row r="444">
      <c r="A444" s="51"/>
      <c r="B444" s="51"/>
      <c r="C444" s="56"/>
      <c r="D444" s="51"/>
      <c r="E444" s="51"/>
      <c r="F444" s="51"/>
      <c r="G444" s="51" t="str">
        <f>IFERROR(__xludf.DUMMYFUNCTION("""COMPUTED_VALUE"""),"#VALUE!")</f>
        <v>#VALUE!</v>
      </c>
      <c r="H444" s="51" t="str">
        <f>IFERROR(__xludf.DUMMYFUNCTION("""COMPUTED_VALUE"""),"")</f>
        <v/>
      </c>
      <c r="I444" s="51" t="str">
        <f>IFERROR(__xludf.DUMMYFUNCTION("""COMPUTED_VALUE"""),"#VALUE!")</f>
        <v>#VALUE!</v>
      </c>
      <c r="J444" s="51" t="str">
        <f>IFERROR(__xludf.DUMMYFUNCTION("""COMPUTED_VALUE"""),"")</f>
        <v/>
      </c>
      <c r="K444" s="51"/>
      <c r="L444" s="51" t="s">
        <v>257</v>
      </c>
      <c r="M444" s="51"/>
      <c r="N444" s="51"/>
      <c r="O444" s="51"/>
      <c r="P444" s="51"/>
      <c r="Q444" s="51"/>
      <c r="R444" s="51"/>
      <c r="S444" s="51"/>
      <c r="T444" s="51"/>
    </row>
    <row r="445">
      <c r="A445" s="51"/>
      <c r="B445" s="51"/>
      <c r="C445" s="56"/>
      <c r="D445" s="51"/>
      <c r="E445" s="51"/>
      <c r="F445" s="51"/>
      <c r="G445" s="51" t="str">
        <f>IFERROR(__xludf.DUMMYFUNCTION("""COMPUTED_VALUE"""),"#VALUE!")</f>
        <v>#VALUE!</v>
      </c>
      <c r="H445" s="51" t="str">
        <f>IFERROR(__xludf.DUMMYFUNCTION("""COMPUTED_VALUE"""),"")</f>
        <v/>
      </c>
      <c r="I445" s="51" t="str">
        <f>IFERROR(__xludf.DUMMYFUNCTION("""COMPUTED_VALUE"""),"#VALUE!")</f>
        <v>#VALUE!</v>
      </c>
      <c r="J445" s="51" t="str">
        <f>IFERROR(__xludf.DUMMYFUNCTION("""COMPUTED_VALUE"""),"")</f>
        <v/>
      </c>
      <c r="K445" s="51"/>
      <c r="L445" s="51" t="s">
        <v>257</v>
      </c>
      <c r="M445" s="51"/>
      <c r="N445" s="51"/>
      <c r="O445" s="51"/>
      <c r="P445" s="51"/>
      <c r="Q445" s="51"/>
      <c r="R445" s="51"/>
      <c r="S445" s="51"/>
      <c r="T445" s="51"/>
    </row>
    <row r="446">
      <c r="A446" s="51"/>
      <c r="B446" s="51"/>
      <c r="C446" s="56"/>
      <c r="D446" s="51"/>
      <c r="E446" s="51"/>
      <c r="F446" s="51"/>
      <c r="G446" s="51" t="str">
        <f>IFERROR(__xludf.DUMMYFUNCTION("""COMPUTED_VALUE"""),"#VALUE!")</f>
        <v>#VALUE!</v>
      </c>
      <c r="H446" s="51" t="str">
        <f>IFERROR(__xludf.DUMMYFUNCTION("""COMPUTED_VALUE"""),"")</f>
        <v/>
      </c>
      <c r="I446" s="51" t="str">
        <f>IFERROR(__xludf.DUMMYFUNCTION("""COMPUTED_VALUE"""),"#VALUE!")</f>
        <v>#VALUE!</v>
      </c>
      <c r="J446" s="51" t="str">
        <f>IFERROR(__xludf.DUMMYFUNCTION("""COMPUTED_VALUE"""),"")</f>
        <v/>
      </c>
      <c r="K446" s="51"/>
      <c r="L446" s="51" t="s">
        <v>257</v>
      </c>
      <c r="M446" s="51"/>
      <c r="N446" s="51"/>
      <c r="O446" s="51"/>
      <c r="P446" s="51"/>
      <c r="Q446" s="51"/>
      <c r="R446" s="51"/>
      <c r="S446" s="51"/>
      <c r="T446" s="51"/>
    </row>
    <row r="447">
      <c r="A447" s="51"/>
      <c r="B447" s="51"/>
      <c r="C447" s="56"/>
      <c r="D447" s="51"/>
      <c r="E447" s="51"/>
      <c r="F447" s="51"/>
      <c r="G447" s="51" t="str">
        <f>IFERROR(__xludf.DUMMYFUNCTION("""COMPUTED_VALUE"""),"#VALUE!")</f>
        <v>#VALUE!</v>
      </c>
      <c r="H447" s="51" t="str">
        <f>IFERROR(__xludf.DUMMYFUNCTION("""COMPUTED_VALUE"""),"")</f>
        <v/>
      </c>
      <c r="I447" s="51" t="str">
        <f>IFERROR(__xludf.DUMMYFUNCTION("""COMPUTED_VALUE"""),"#VALUE!")</f>
        <v>#VALUE!</v>
      </c>
      <c r="J447" s="51" t="str">
        <f>IFERROR(__xludf.DUMMYFUNCTION("""COMPUTED_VALUE"""),"")</f>
        <v/>
      </c>
      <c r="K447" s="51"/>
      <c r="L447" s="51" t="s">
        <v>257</v>
      </c>
      <c r="M447" s="51"/>
      <c r="N447" s="51"/>
      <c r="O447" s="51"/>
      <c r="P447" s="51"/>
      <c r="Q447" s="51"/>
      <c r="R447" s="51"/>
      <c r="S447" s="51"/>
      <c r="T447" s="51"/>
    </row>
    <row r="448">
      <c r="A448" s="51"/>
      <c r="B448" s="51"/>
      <c r="C448" s="56"/>
      <c r="D448" s="51"/>
      <c r="E448" s="51"/>
      <c r="F448" s="51"/>
      <c r="G448" s="51" t="str">
        <f>IFERROR(__xludf.DUMMYFUNCTION("""COMPUTED_VALUE"""),"#VALUE!")</f>
        <v>#VALUE!</v>
      </c>
      <c r="H448" s="51" t="str">
        <f>IFERROR(__xludf.DUMMYFUNCTION("""COMPUTED_VALUE"""),"")</f>
        <v/>
      </c>
      <c r="I448" s="51" t="str">
        <f>IFERROR(__xludf.DUMMYFUNCTION("""COMPUTED_VALUE"""),"#VALUE!")</f>
        <v>#VALUE!</v>
      </c>
      <c r="J448" s="51" t="str">
        <f>IFERROR(__xludf.DUMMYFUNCTION("""COMPUTED_VALUE"""),"")</f>
        <v/>
      </c>
      <c r="K448" s="51"/>
      <c r="L448" s="51" t="s">
        <v>257</v>
      </c>
      <c r="M448" s="51"/>
      <c r="N448" s="51"/>
      <c r="O448" s="51"/>
      <c r="P448" s="51"/>
      <c r="Q448" s="51"/>
      <c r="R448" s="51"/>
      <c r="S448" s="51"/>
      <c r="T448" s="51"/>
    </row>
    <row r="449">
      <c r="A449" s="51"/>
      <c r="B449" s="51"/>
      <c r="C449" s="56"/>
      <c r="D449" s="51"/>
      <c r="E449" s="51"/>
      <c r="F449" s="51"/>
      <c r="G449" s="51" t="str">
        <f>IFERROR(__xludf.DUMMYFUNCTION("""COMPUTED_VALUE"""),"#VALUE!")</f>
        <v>#VALUE!</v>
      </c>
      <c r="H449" s="51" t="str">
        <f>IFERROR(__xludf.DUMMYFUNCTION("""COMPUTED_VALUE"""),"")</f>
        <v/>
      </c>
      <c r="I449" s="51" t="str">
        <f>IFERROR(__xludf.DUMMYFUNCTION("""COMPUTED_VALUE"""),"#VALUE!")</f>
        <v>#VALUE!</v>
      </c>
      <c r="J449" s="51" t="str">
        <f>IFERROR(__xludf.DUMMYFUNCTION("""COMPUTED_VALUE"""),"")</f>
        <v/>
      </c>
      <c r="K449" s="51"/>
      <c r="L449" s="51" t="s">
        <v>257</v>
      </c>
      <c r="M449" s="51"/>
      <c r="N449" s="51"/>
      <c r="O449" s="51"/>
      <c r="P449" s="51"/>
      <c r="Q449" s="51"/>
      <c r="R449" s="51"/>
      <c r="S449" s="51"/>
      <c r="T449" s="51"/>
    </row>
    <row r="450">
      <c r="A450" s="51"/>
      <c r="B450" s="51"/>
      <c r="C450" s="56"/>
      <c r="D450" s="51"/>
      <c r="E450" s="51"/>
      <c r="F450" s="51"/>
      <c r="G450" s="51" t="str">
        <f>IFERROR(__xludf.DUMMYFUNCTION("""COMPUTED_VALUE"""),"#VALUE!")</f>
        <v>#VALUE!</v>
      </c>
      <c r="H450" s="51" t="str">
        <f>IFERROR(__xludf.DUMMYFUNCTION("""COMPUTED_VALUE"""),"")</f>
        <v/>
      </c>
      <c r="I450" s="51" t="str">
        <f>IFERROR(__xludf.DUMMYFUNCTION("""COMPUTED_VALUE"""),"#VALUE!")</f>
        <v>#VALUE!</v>
      </c>
      <c r="J450" s="51" t="str">
        <f>IFERROR(__xludf.DUMMYFUNCTION("""COMPUTED_VALUE"""),"")</f>
        <v/>
      </c>
      <c r="K450" s="51"/>
      <c r="L450" s="51" t="s">
        <v>257</v>
      </c>
      <c r="M450" s="51"/>
      <c r="N450" s="51"/>
      <c r="O450" s="51"/>
      <c r="P450" s="51"/>
      <c r="Q450" s="51"/>
      <c r="R450" s="51"/>
      <c r="S450" s="51"/>
      <c r="T450" s="51"/>
    </row>
    <row r="451">
      <c r="A451" s="51"/>
      <c r="B451" s="51"/>
      <c r="C451" s="56"/>
      <c r="D451" s="51"/>
      <c r="E451" s="51"/>
      <c r="F451" s="51"/>
      <c r="G451" s="51" t="str">
        <f>IFERROR(__xludf.DUMMYFUNCTION("""COMPUTED_VALUE"""),"#VALUE!")</f>
        <v>#VALUE!</v>
      </c>
      <c r="H451" s="51" t="str">
        <f>IFERROR(__xludf.DUMMYFUNCTION("""COMPUTED_VALUE"""),"")</f>
        <v/>
      </c>
      <c r="I451" s="51" t="str">
        <f>IFERROR(__xludf.DUMMYFUNCTION("""COMPUTED_VALUE"""),"#VALUE!")</f>
        <v>#VALUE!</v>
      </c>
      <c r="J451" s="51" t="str">
        <f>IFERROR(__xludf.DUMMYFUNCTION("""COMPUTED_VALUE"""),"")</f>
        <v/>
      </c>
      <c r="K451" s="51"/>
      <c r="L451" s="51" t="s">
        <v>257</v>
      </c>
      <c r="M451" s="51"/>
      <c r="N451" s="51"/>
      <c r="O451" s="51"/>
      <c r="P451" s="51"/>
      <c r="Q451" s="51"/>
      <c r="R451" s="51"/>
      <c r="S451" s="51"/>
      <c r="T451" s="51"/>
    </row>
    <row r="452">
      <c r="A452" s="51"/>
      <c r="B452" s="51"/>
      <c r="C452" s="56"/>
      <c r="D452" s="51"/>
      <c r="E452" s="51"/>
      <c r="F452" s="51"/>
      <c r="G452" s="51" t="str">
        <f>IFERROR(__xludf.DUMMYFUNCTION("""COMPUTED_VALUE"""),"#VALUE!")</f>
        <v>#VALUE!</v>
      </c>
      <c r="H452" s="51" t="str">
        <f>IFERROR(__xludf.DUMMYFUNCTION("""COMPUTED_VALUE"""),"")</f>
        <v/>
      </c>
      <c r="I452" s="51" t="str">
        <f>IFERROR(__xludf.DUMMYFUNCTION("""COMPUTED_VALUE"""),"#VALUE!")</f>
        <v>#VALUE!</v>
      </c>
      <c r="J452" s="51" t="str">
        <f>IFERROR(__xludf.DUMMYFUNCTION("""COMPUTED_VALUE"""),"")</f>
        <v/>
      </c>
      <c r="K452" s="51"/>
      <c r="L452" s="51" t="s">
        <v>257</v>
      </c>
      <c r="M452" s="51"/>
      <c r="N452" s="51"/>
      <c r="O452" s="51"/>
      <c r="P452" s="51"/>
      <c r="Q452" s="51"/>
      <c r="R452" s="51"/>
      <c r="S452" s="51"/>
      <c r="T452" s="51"/>
    </row>
    <row r="453">
      <c r="A453" s="51"/>
      <c r="B453" s="51"/>
      <c r="C453" s="56"/>
      <c r="D453" s="51"/>
      <c r="E453" s="51"/>
      <c r="F453" s="51"/>
      <c r="G453" s="51" t="str">
        <f>IFERROR(__xludf.DUMMYFUNCTION("""COMPUTED_VALUE"""),"#VALUE!")</f>
        <v>#VALUE!</v>
      </c>
      <c r="H453" s="51" t="str">
        <f>IFERROR(__xludf.DUMMYFUNCTION("""COMPUTED_VALUE"""),"")</f>
        <v/>
      </c>
      <c r="I453" s="51" t="str">
        <f>IFERROR(__xludf.DUMMYFUNCTION("""COMPUTED_VALUE"""),"#VALUE!")</f>
        <v>#VALUE!</v>
      </c>
      <c r="J453" s="51" t="str">
        <f>IFERROR(__xludf.DUMMYFUNCTION("""COMPUTED_VALUE"""),"")</f>
        <v/>
      </c>
      <c r="K453" s="51"/>
      <c r="L453" s="51" t="s">
        <v>257</v>
      </c>
      <c r="M453" s="51"/>
      <c r="N453" s="51"/>
      <c r="O453" s="51"/>
      <c r="P453" s="51"/>
      <c r="Q453" s="51"/>
      <c r="R453" s="51"/>
      <c r="S453" s="51"/>
      <c r="T453" s="51"/>
    </row>
    <row r="454">
      <c r="A454" s="51"/>
      <c r="B454" s="51"/>
      <c r="C454" s="56"/>
      <c r="D454" s="51"/>
      <c r="E454" s="51"/>
      <c r="F454" s="51"/>
      <c r="G454" s="51" t="str">
        <f>IFERROR(__xludf.DUMMYFUNCTION("""COMPUTED_VALUE"""),"#VALUE!")</f>
        <v>#VALUE!</v>
      </c>
      <c r="H454" s="51" t="str">
        <f>IFERROR(__xludf.DUMMYFUNCTION("""COMPUTED_VALUE"""),"")</f>
        <v/>
      </c>
      <c r="I454" s="51" t="str">
        <f>IFERROR(__xludf.DUMMYFUNCTION("""COMPUTED_VALUE"""),"#VALUE!")</f>
        <v>#VALUE!</v>
      </c>
      <c r="J454" s="51" t="str">
        <f>IFERROR(__xludf.DUMMYFUNCTION("""COMPUTED_VALUE"""),"")</f>
        <v/>
      </c>
      <c r="K454" s="51"/>
      <c r="L454" s="51" t="s">
        <v>257</v>
      </c>
      <c r="M454" s="51"/>
      <c r="N454" s="51"/>
      <c r="O454" s="51"/>
      <c r="P454" s="51"/>
      <c r="Q454" s="51"/>
      <c r="R454" s="51"/>
      <c r="S454" s="51"/>
      <c r="T454" s="51"/>
    </row>
    <row r="455">
      <c r="A455" s="51"/>
      <c r="B455" s="51"/>
      <c r="C455" s="56"/>
      <c r="D455" s="51"/>
      <c r="E455" s="51"/>
      <c r="F455" s="51"/>
      <c r="G455" s="51" t="str">
        <f>IFERROR(__xludf.DUMMYFUNCTION("""COMPUTED_VALUE"""),"#VALUE!")</f>
        <v>#VALUE!</v>
      </c>
      <c r="H455" s="51" t="str">
        <f>IFERROR(__xludf.DUMMYFUNCTION("""COMPUTED_VALUE"""),"")</f>
        <v/>
      </c>
      <c r="I455" s="51" t="str">
        <f>IFERROR(__xludf.DUMMYFUNCTION("""COMPUTED_VALUE"""),"#VALUE!")</f>
        <v>#VALUE!</v>
      </c>
      <c r="J455" s="51" t="str">
        <f>IFERROR(__xludf.DUMMYFUNCTION("""COMPUTED_VALUE"""),"")</f>
        <v/>
      </c>
      <c r="K455" s="51"/>
      <c r="L455" s="51" t="s">
        <v>257</v>
      </c>
      <c r="M455" s="51"/>
      <c r="N455" s="51"/>
      <c r="O455" s="51"/>
      <c r="P455" s="51"/>
      <c r="Q455" s="51"/>
      <c r="R455" s="51"/>
      <c r="S455" s="51"/>
      <c r="T455" s="51"/>
    </row>
    <row r="456">
      <c r="A456" s="51"/>
      <c r="B456" s="51"/>
      <c r="C456" s="56"/>
      <c r="D456" s="51"/>
      <c r="E456" s="51"/>
      <c r="F456" s="51"/>
      <c r="G456" s="51" t="str">
        <f>IFERROR(__xludf.DUMMYFUNCTION("""COMPUTED_VALUE"""),"#VALUE!")</f>
        <v>#VALUE!</v>
      </c>
      <c r="H456" s="51" t="str">
        <f>IFERROR(__xludf.DUMMYFUNCTION("""COMPUTED_VALUE"""),"")</f>
        <v/>
      </c>
      <c r="I456" s="51" t="str">
        <f>IFERROR(__xludf.DUMMYFUNCTION("""COMPUTED_VALUE"""),"#VALUE!")</f>
        <v>#VALUE!</v>
      </c>
      <c r="J456" s="51" t="str">
        <f>IFERROR(__xludf.DUMMYFUNCTION("""COMPUTED_VALUE"""),"")</f>
        <v/>
      </c>
      <c r="K456" s="51"/>
      <c r="L456" s="51" t="s">
        <v>257</v>
      </c>
      <c r="M456" s="51"/>
      <c r="N456" s="51"/>
      <c r="O456" s="51"/>
      <c r="P456" s="51"/>
      <c r="Q456" s="51"/>
      <c r="R456" s="51"/>
      <c r="S456" s="51"/>
      <c r="T456" s="51"/>
    </row>
    <row r="457">
      <c r="A457" s="51"/>
      <c r="B457" s="51"/>
      <c r="C457" s="56"/>
      <c r="D457" s="51"/>
      <c r="E457" s="51"/>
      <c r="F457" s="51"/>
      <c r="G457" s="51" t="str">
        <f>IFERROR(__xludf.DUMMYFUNCTION("""COMPUTED_VALUE"""),"#VALUE!")</f>
        <v>#VALUE!</v>
      </c>
      <c r="H457" s="51" t="str">
        <f>IFERROR(__xludf.DUMMYFUNCTION("""COMPUTED_VALUE"""),"")</f>
        <v/>
      </c>
      <c r="I457" s="51" t="str">
        <f>IFERROR(__xludf.DUMMYFUNCTION("""COMPUTED_VALUE"""),"#VALUE!")</f>
        <v>#VALUE!</v>
      </c>
      <c r="J457" s="51" t="str">
        <f>IFERROR(__xludf.DUMMYFUNCTION("""COMPUTED_VALUE"""),"")</f>
        <v/>
      </c>
      <c r="K457" s="51"/>
      <c r="L457" s="51" t="s">
        <v>257</v>
      </c>
      <c r="M457" s="51"/>
      <c r="N457" s="51"/>
      <c r="O457" s="51"/>
      <c r="P457" s="51"/>
      <c r="Q457" s="51"/>
      <c r="R457" s="51"/>
      <c r="S457" s="51"/>
      <c r="T457" s="51"/>
    </row>
    <row r="458">
      <c r="A458" s="51"/>
      <c r="B458" s="51"/>
      <c r="C458" s="56"/>
      <c r="D458" s="51"/>
      <c r="E458" s="51"/>
      <c r="F458" s="51"/>
      <c r="G458" s="51" t="str">
        <f>IFERROR(__xludf.DUMMYFUNCTION("""COMPUTED_VALUE"""),"#VALUE!")</f>
        <v>#VALUE!</v>
      </c>
      <c r="H458" s="51" t="str">
        <f>IFERROR(__xludf.DUMMYFUNCTION("""COMPUTED_VALUE"""),"")</f>
        <v/>
      </c>
      <c r="I458" s="51" t="str">
        <f>IFERROR(__xludf.DUMMYFUNCTION("""COMPUTED_VALUE"""),"#VALUE!")</f>
        <v>#VALUE!</v>
      </c>
      <c r="J458" s="51" t="str">
        <f>IFERROR(__xludf.DUMMYFUNCTION("""COMPUTED_VALUE"""),"")</f>
        <v/>
      </c>
      <c r="K458" s="51"/>
      <c r="L458" s="51" t="s">
        <v>257</v>
      </c>
      <c r="M458" s="51"/>
      <c r="N458" s="51"/>
      <c r="O458" s="51"/>
      <c r="P458" s="51"/>
      <c r="Q458" s="51"/>
      <c r="R458" s="51"/>
      <c r="S458" s="51"/>
      <c r="T458" s="51"/>
    </row>
    <row r="459">
      <c r="A459" s="51"/>
      <c r="B459" s="51"/>
      <c r="C459" s="56"/>
      <c r="D459" s="51"/>
      <c r="E459" s="51"/>
      <c r="F459" s="51"/>
      <c r="G459" s="51" t="str">
        <f>IFERROR(__xludf.DUMMYFUNCTION("""COMPUTED_VALUE"""),"#VALUE!")</f>
        <v>#VALUE!</v>
      </c>
      <c r="H459" s="51" t="str">
        <f>IFERROR(__xludf.DUMMYFUNCTION("""COMPUTED_VALUE"""),"")</f>
        <v/>
      </c>
      <c r="I459" s="51" t="str">
        <f>IFERROR(__xludf.DUMMYFUNCTION("""COMPUTED_VALUE"""),"#VALUE!")</f>
        <v>#VALUE!</v>
      </c>
      <c r="J459" s="51" t="str">
        <f>IFERROR(__xludf.DUMMYFUNCTION("""COMPUTED_VALUE"""),"")</f>
        <v/>
      </c>
      <c r="K459" s="51"/>
      <c r="L459" s="51" t="s">
        <v>257</v>
      </c>
      <c r="M459" s="51"/>
      <c r="N459" s="51"/>
      <c r="O459" s="51"/>
      <c r="P459" s="51"/>
      <c r="Q459" s="51"/>
      <c r="R459" s="51"/>
      <c r="S459" s="51"/>
      <c r="T459" s="51"/>
    </row>
    <row r="460">
      <c r="A460" s="51"/>
      <c r="B460" s="51"/>
      <c r="C460" s="56"/>
      <c r="D460" s="51"/>
      <c r="E460" s="51"/>
      <c r="F460" s="51"/>
      <c r="G460" s="51" t="str">
        <f>IFERROR(__xludf.DUMMYFUNCTION("""COMPUTED_VALUE"""),"#VALUE!")</f>
        <v>#VALUE!</v>
      </c>
      <c r="H460" s="51" t="str">
        <f>IFERROR(__xludf.DUMMYFUNCTION("""COMPUTED_VALUE"""),"")</f>
        <v/>
      </c>
      <c r="I460" s="51" t="str">
        <f>IFERROR(__xludf.DUMMYFUNCTION("""COMPUTED_VALUE"""),"#VALUE!")</f>
        <v>#VALUE!</v>
      </c>
      <c r="J460" s="51" t="str">
        <f>IFERROR(__xludf.DUMMYFUNCTION("""COMPUTED_VALUE"""),"")</f>
        <v/>
      </c>
      <c r="K460" s="51"/>
      <c r="L460" s="51" t="s">
        <v>257</v>
      </c>
      <c r="M460" s="51"/>
      <c r="N460" s="51"/>
      <c r="O460" s="51"/>
      <c r="P460" s="51"/>
      <c r="Q460" s="51"/>
      <c r="R460" s="51"/>
      <c r="S460" s="51"/>
      <c r="T460" s="51"/>
    </row>
    <row r="461">
      <c r="A461" s="51"/>
      <c r="B461" s="51"/>
      <c r="C461" s="56"/>
      <c r="D461" s="51"/>
      <c r="E461" s="51"/>
      <c r="F461" s="51"/>
      <c r="G461" s="51" t="str">
        <f>IFERROR(__xludf.DUMMYFUNCTION("""COMPUTED_VALUE"""),"#VALUE!")</f>
        <v>#VALUE!</v>
      </c>
      <c r="H461" s="51" t="str">
        <f>IFERROR(__xludf.DUMMYFUNCTION("""COMPUTED_VALUE"""),"")</f>
        <v/>
      </c>
      <c r="I461" s="51" t="str">
        <f>IFERROR(__xludf.DUMMYFUNCTION("""COMPUTED_VALUE"""),"#VALUE!")</f>
        <v>#VALUE!</v>
      </c>
      <c r="J461" s="51" t="str">
        <f>IFERROR(__xludf.DUMMYFUNCTION("""COMPUTED_VALUE"""),"")</f>
        <v/>
      </c>
      <c r="K461" s="51"/>
      <c r="L461" s="51" t="s">
        <v>257</v>
      </c>
      <c r="M461" s="51"/>
      <c r="N461" s="51"/>
      <c r="O461" s="51"/>
      <c r="P461" s="51"/>
      <c r="Q461" s="51"/>
      <c r="R461" s="51"/>
      <c r="S461" s="51"/>
      <c r="T461" s="51"/>
    </row>
    <row r="462">
      <c r="A462" s="51"/>
      <c r="B462" s="51"/>
      <c r="C462" s="56"/>
      <c r="D462" s="51"/>
      <c r="E462" s="51"/>
      <c r="F462" s="51"/>
      <c r="G462" s="51" t="str">
        <f>IFERROR(__xludf.DUMMYFUNCTION("""COMPUTED_VALUE"""),"#VALUE!")</f>
        <v>#VALUE!</v>
      </c>
      <c r="H462" s="51" t="str">
        <f>IFERROR(__xludf.DUMMYFUNCTION("""COMPUTED_VALUE"""),"")</f>
        <v/>
      </c>
      <c r="I462" s="51" t="str">
        <f>IFERROR(__xludf.DUMMYFUNCTION("""COMPUTED_VALUE"""),"#VALUE!")</f>
        <v>#VALUE!</v>
      </c>
      <c r="J462" s="51" t="str">
        <f>IFERROR(__xludf.DUMMYFUNCTION("""COMPUTED_VALUE"""),"")</f>
        <v/>
      </c>
      <c r="K462" s="51"/>
      <c r="L462" s="51" t="s">
        <v>257</v>
      </c>
      <c r="M462" s="51"/>
      <c r="N462" s="51"/>
      <c r="O462" s="51"/>
      <c r="P462" s="51"/>
      <c r="Q462" s="51"/>
      <c r="R462" s="51"/>
      <c r="S462" s="51"/>
      <c r="T462" s="51"/>
    </row>
    <row r="463">
      <c r="A463" s="51"/>
      <c r="B463" s="51"/>
      <c r="C463" s="56"/>
      <c r="D463" s="51"/>
      <c r="E463" s="51"/>
      <c r="F463" s="51"/>
      <c r="G463" s="51" t="str">
        <f>IFERROR(__xludf.DUMMYFUNCTION("""COMPUTED_VALUE"""),"#VALUE!")</f>
        <v>#VALUE!</v>
      </c>
      <c r="H463" s="51" t="str">
        <f>IFERROR(__xludf.DUMMYFUNCTION("""COMPUTED_VALUE"""),"")</f>
        <v/>
      </c>
      <c r="I463" s="51" t="str">
        <f>IFERROR(__xludf.DUMMYFUNCTION("""COMPUTED_VALUE"""),"#VALUE!")</f>
        <v>#VALUE!</v>
      </c>
      <c r="J463" s="51" t="str">
        <f>IFERROR(__xludf.DUMMYFUNCTION("""COMPUTED_VALUE"""),"")</f>
        <v/>
      </c>
      <c r="K463" s="51"/>
      <c r="L463" s="51" t="s">
        <v>257</v>
      </c>
      <c r="M463" s="51"/>
      <c r="N463" s="51"/>
      <c r="O463" s="51"/>
      <c r="P463" s="51"/>
      <c r="Q463" s="51"/>
      <c r="R463" s="51"/>
      <c r="S463" s="51"/>
      <c r="T463" s="51"/>
    </row>
    <row r="464">
      <c r="A464" s="51"/>
      <c r="B464" s="51"/>
      <c r="C464" s="56"/>
      <c r="D464" s="51"/>
      <c r="E464" s="51"/>
      <c r="F464" s="51"/>
      <c r="G464" s="51" t="str">
        <f>IFERROR(__xludf.DUMMYFUNCTION("""COMPUTED_VALUE"""),"#VALUE!")</f>
        <v>#VALUE!</v>
      </c>
      <c r="H464" s="51" t="str">
        <f>IFERROR(__xludf.DUMMYFUNCTION("""COMPUTED_VALUE"""),"")</f>
        <v/>
      </c>
      <c r="I464" s="51" t="str">
        <f>IFERROR(__xludf.DUMMYFUNCTION("""COMPUTED_VALUE"""),"#VALUE!")</f>
        <v>#VALUE!</v>
      </c>
      <c r="J464" s="51" t="str">
        <f>IFERROR(__xludf.DUMMYFUNCTION("""COMPUTED_VALUE"""),"")</f>
        <v/>
      </c>
      <c r="K464" s="51"/>
      <c r="L464" s="51" t="s">
        <v>257</v>
      </c>
      <c r="M464" s="51"/>
      <c r="N464" s="51"/>
      <c r="O464" s="51"/>
      <c r="P464" s="51"/>
      <c r="Q464" s="51"/>
      <c r="R464" s="51"/>
      <c r="S464" s="51"/>
      <c r="T464" s="51"/>
    </row>
    <row r="465">
      <c r="A465" s="51"/>
      <c r="B465" s="51"/>
      <c r="C465" s="56"/>
      <c r="D465" s="51"/>
      <c r="E465" s="51"/>
      <c r="F465" s="51"/>
      <c r="G465" s="51" t="str">
        <f>IFERROR(__xludf.DUMMYFUNCTION("""COMPUTED_VALUE"""),"#VALUE!")</f>
        <v>#VALUE!</v>
      </c>
      <c r="H465" s="51" t="str">
        <f>IFERROR(__xludf.DUMMYFUNCTION("""COMPUTED_VALUE"""),"")</f>
        <v/>
      </c>
      <c r="I465" s="51" t="str">
        <f>IFERROR(__xludf.DUMMYFUNCTION("""COMPUTED_VALUE"""),"#VALUE!")</f>
        <v>#VALUE!</v>
      </c>
      <c r="J465" s="51" t="str">
        <f>IFERROR(__xludf.DUMMYFUNCTION("""COMPUTED_VALUE"""),"")</f>
        <v/>
      </c>
      <c r="K465" s="51"/>
      <c r="L465" s="51" t="s">
        <v>257</v>
      </c>
      <c r="M465" s="51"/>
      <c r="N465" s="51"/>
      <c r="O465" s="51"/>
      <c r="P465" s="51"/>
      <c r="Q465" s="51"/>
      <c r="R465" s="51"/>
      <c r="S465" s="51"/>
      <c r="T465" s="51"/>
    </row>
    <row r="466">
      <c r="A466" s="51"/>
      <c r="B466" s="51"/>
      <c r="C466" s="56"/>
      <c r="D466" s="51"/>
      <c r="E466" s="51"/>
      <c r="F466" s="51"/>
      <c r="G466" s="51" t="str">
        <f>IFERROR(__xludf.DUMMYFUNCTION("""COMPUTED_VALUE"""),"#VALUE!")</f>
        <v>#VALUE!</v>
      </c>
      <c r="H466" s="51" t="str">
        <f>IFERROR(__xludf.DUMMYFUNCTION("""COMPUTED_VALUE"""),"")</f>
        <v/>
      </c>
      <c r="I466" s="51" t="str">
        <f>IFERROR(__xludf.DUMMYFUNCTION("""COMPUTED_VALUE"""),"#VALUE!")</f>
        <v>#VALUE!</v>
      </c>
      <c r="J466" s="51" t="str">
        <f>IFERROR(__xludf.DUMMYFUNCTION("""COMPUTED_VALUE"""),"")</f>
        <v/>
      </c>
      <c r="K466" s="51"/>
      <c r="L466" s="51" t="s">
        <v>257</v>
      </c>
      <c r="M466" s="51"/>
      <c r="N466" s="51"/>
      <c r="O466" s="51"/>
      <c r="P466" s="51"/>
      <c r="Q466" s="51"/>
      <c r="R466" s="51"/>
      <c r="S466" s="51"/>
      <c r="T466" s="51"/>
    </row>
    <row r="467">
      <c r="A467" s="51"/>
      <c r="B467" s="51"/>
      <c r="C467" s="56"/>
      <c r="D467" s="51"/>
      <c r="E467" s="51"/>
      <c r="F467" s="51"/>
      <c r="G467" s="51" t="str">
        <f>IFERROR(__xludf.DUMMYFUNCTION("""COMPUTED_VALUE"""),"#VALUE!")</f>
        <v>#VALUE!</v>
      </c>
      <c r="H467" s="51" t="str">
        <f>IFERROR(__xludf.DUMMYFUNCTION("""COMPUTED_VALUE"""),"")</f>
        <v/>
      </c>
      <c r="I467" s="51" t="str">
        <f>IFERROR(__xludf.DUMMYFUNCTION("""COMPUTED_VALUE"""),"#VALUE!")</f>
        <v>#VALUE!</v>
      </c>
      <c r="J467" s="51" t="str">
        <f>IFERROR(__xludf.DUMMYFUNCTION("""COMPUTED_VALUE"""),"")</f>
        <v/>
      </c>
      <c r="K467" s="51"/>
      <c r="L467" s="51" t="s">
        <v>257</v>
      </c>
      <c r="M467" s="51"/>
      <c r="N467" s="51"/>
      <c r="O467" s="51"/>
      <c r="P467" s="51"/>
      <c r="Q467" s="51"/>
      <c r="R467" s="51"/>
      <c r="S467" s="51"/>
      <c r="T467" s="51"/>
    </row>
    <row r="468">
      <c r="A468" s="51"/>
      <c r="B468" s="51"/>
      <c r="C468" s="56"/>
      <c r="D468" s="51"/>
      <c r="E468" s="51"/>
      <c r="F468" s="51"/>
      <c r="G468" s="51" t="str">
        <f>IFERROR(__xludf.DUMMYFUNCTION("""COMPUTED_VALUE"""),"#VALUE!")</f>
        <v>#VALUE!</v>
      </c>
      <c r="H468" s="51" t="str">
        <f>IFERROR(__xludf.DUMMYFUNCTION("""COMPUTED_VALUE"""),"")</f>
        <v/>
      </c>
      <c r="I468" s="51" t="str">
        <f>IFERROR(__xludf.DUMMYFUNCTION("""COMPUTED_VALUE"""),"#VALUE!")</f>
        <v>#VALUE!</v>
      </c>
      <c r="J468" s="51" t="str">
        <f>IFERROR(__xludf.DUMMYFUNCTION("""COMPUTED_VALUE"""),"")</f>
        <v/>
      </c>
      <c r="K468" s="51"/>
      <c r="L468" s="51" t="s">
        <v>257</v>
      </c>
      <c r="M468" s="51"/>
      <c r="N468" s="51"/>
      <c r="O468" s="51"/>
      <c r="P468" s="51"/>
      <c r="Q468" s="51"/>
      <c r="R468" s="51"/>
      <c r="S468" s="51"/>
      <c r="T468" s="51"/>
    </row>
    <row r="469">
      <c r="A469" s="51"/>
      <c r="B469" s="51"/>
      <c r="C469" s="56"/>
      <c r="D469" s="51"/>
      <c r="E469" s="51"/>
      <c r="F469" s="51"/>
      <c r="G469" s="51" t="str">
        <f>IFERROR(__xludf.DUMMYFUNCTION("""COMPUTED_VALUE"""),"#VALUE!")</f>
        <v>#VALUE!</v>
      </c>
      <c r="H469" s="51" t="str">
        <f>IFERROR(__xludf.DUMMYFUNCTION("""COMPUTED_VALUE"""),"")</f>
        <v/>
      </c>
      <c r="I469" s="51" t="str">
        <f>IFERROR(__xludf.DUMMYFUNCTION("""COMPUTED_VALUE"""),"#VALUE!")</f>
        <v>#VALUE!</v>
      </c>
      <c r="J469" s="51" t="str">
        <f>IFERROR(__xludf.DUMMYFUNCTION("""COMPUTED_VALUE"""),"")</f>
        <v/>
      </c>
      <c r="K469" s="51"/>
      <c r="L469" s="51" t="s">
        <v>257</v>
      </c>
      <c r="M469" s="51"/>
      <c r="N469" s="51"/>
      <c r="O469" s="51"/>
      <c r="P469" s="51"/>
      <c r="Q469" s="51"/>
      <c r="R469" s="51"/>
      <c r="S469" s="51"/>
      <c r="T469" s="51"/>
    </row>
    <row r="470">
      <c r="A470" s="51"/>
      <c r="B470" s="51"/>
      <c r="C470" s="56"/>
      <c r="D470" s="51"/>
      <c r="E470" s="51"/>
      <c r="F470" s="51"/>
      <c r="G470" s="51" t="str">
        <f>IFERROR(__xludf.DUMMYFUNCTION("""COMPUTED_VALUE"""),"#VALUE!")</f>
        <v>#VALUE!</v>
      </c>
      <c r="H470" s="51" t="str">
        <f>IFERROR(__xludf.DUMMYFUNCTION("""COMPUTED_VALUE"""),"")</f>
        <v/>
      </c>
      <c r="I470" s="51" t="str">
        <f>IFERROR(__xludf.DUMMYFUNCTION("""COMPUTED_VALUE"""),"#VALUE!")</f>
        <v>#VALUE!</v>
      </c>
      <c r="J470" s="51" t="str">
        <f>IFERROR(__xludf.DUMMYFUNCTION("""COMPUTED_VALUE"""),"")</f>
        <v/>
      </c>
      <c r="K470" s="51"/>
      <c r="L470" s="51" t="s">
        <v>257</v>
      </c>
      <c r="M470" s="51"/>
      <c r="N470" s="51"/>
      <c r="O470" s="51"/>
      <c r="P470" s="51"/>
      <c r="Q470" s="51"/>
      <c r="R470" s="51"/>
      <c r="S470" s="51"/>
      <c r="T470" s="51"/>
    </row>
    <row r="471">
      <c r="A471" s="51"/>
      <c r="B471" s="51"/>
      <c r="C471" s="56"/>
      <c r="D471" s="51"/>
      <c r="E471" s="51"/>
      <c r="F471" s="51"/>
      <c r="G471" s="51" t="str">
        <f>IFERROR(__xludf.DUMMYFUNCTION("""COMPUTED_VALUE"""),"#VALUE!")</f>
        <v>#VALUE!</v>
      </c>
      <c r="H471" s="51" t="str">
        <f>IFERROR(__xludf.DUMMYFUNCTION("""COMPUTED_VALUE"""),"")</f>
        <v/>
      </c>
      <c r="I471" s="51" t="str">
        <f>IFERROR(__xludf.DUMMYFUNCTION("""COMPUTED_VALUE"""),"#VALUE!")</f>
        <v>#VALUE!</v>
      </c>
      <c r="J471" s="51" t="str">
        <f>IFERROR(__xludf.DUMMYFUNCTION("""COMPUTED_VALUE"""),"")</f>
        <v/>
      </c>
      <c r="K471" s="51"/>
      <c r="L471" s="51" t="s">
        <v>257</v>
      </c>
      <c r="M471" s="51"/>
      <c r="N471" s="51"/>
      <c r="O471" s="51"/>
      <c r="P471" s="51"/>
      <c r="Q471" s="51"/>
      <c r="R471" s="51"/>
      <c r="S471" s="51"/>
      <c r="T471" s="51"/>
    </row>
    <row r="472">
      <c r="A472" s="51"/>
      <c r="B472" s="51"/>
      <c r="C472" s="56"/>
      <c r="D472" s="51"/>
      <c r="E472" s="51"/>
      <c r="F472" s="51"/>
      <c r="G472" s="51" t="str">
        <f>IFERROR(__xludf.DUMMYFUNCTION("""COMPUTED_VALUE"""),"#VALUE!")</f>
        <v>#VALUE!</v>
      </c>
      <c r="H472" s="51" t="str">
        <f>IFERROR(__xludf.DUMMYFUNCTION("""COMPUTED_VALUE"""),"")</f>
        <v/>
      </c>
      <c r="I472" s="51" t="str">
        <f>IFERROR(__xludf.DUMMYFUNCTION("""COMPUTED_VALUE"""),"#VALUE!")</f>
        <v>#VALUE!</v>
      </c>
      <c r="J472" s="51" t="str">
        <f>IFERROR(__xludf.DUMMYFUNCTION("""COMPUTED_VALUE"""),"")</f>
        <v/>
      </c>
      <c r="K472" s="51"/>
      <c r="L472" s="51" t="s">
        <v>257</v>
      </c>
      <c r="M472" s="51"/>
      <c r="N472" s="51"/>
      <c r="O472" s="51"/>
      <c r="P472" s="51"/>
      <c r="Q472" s="51"/>
      <c r="R472" s="51"/>
      <c r="S472" s="51"/>
      <c r="T472" s="51"/>
    </row>
    <row r="473">
      <c r="A473" s="51"/>
      <c r="B473" s="51"/>
      <c r="C473" s="56"/>
      <c r="D473" s="51"/>
      <c r="E473" s="51"/>
      <c r="F473" s="51"/>
      <c r="G473" s="51" t="str">
        <f>IFERROR(__xludf.DUMMYFUNCTION("""COMPUTED_VALUE"""),"#VALUE!")</f>
        <v>#VALUE!</v>
      </c>
      <c r="H473" s="51" t="str">
        <f>IFERROR(__xludf.DUMMYFUNCTION("""COMPUTED_VALUE"""),"")</f>
        <v/>
      </c>
      <c r="I473" s="51" t="str">
        <f>IFERROR(__xludf.DUMMYFUNCTION("""COMPUTED_VALUE"""),"#VALUE!")</f>
        <v>#VALUE!</v>
      </c>
      <c r="J473" s="51" t="str">
        <f>IFERROR(__xludf.DUMMYFUNCTION("""COMPUTED_VALUE"""),"")</f>
        <v/>
      </c>
      <c r="K473" s="51"/>
      <c r="L473" s="51" t="s">
        <v>257</v>
      </c>
      <c r="M473" s="51"/>
      <c r="N473" s="51"/>
      <c r="O473" s="51"/>
      <c r="P473" s="51"/>
      <c r="Q473" s="51"/>
      <c r="R473" s="51"/>
      <c r="S473" s="51"/>
      <c r="T473" s="51"/>
    </row>
    <row r="474">
      <c r="A474" s="51"/>
      <c r="B474" s="51"/>
      <c r="C474" s="56"/>
      <c r="D474" s="51"/>
      <c r="E474" s="51"/>
      <c r="F474" s="51"/>
      <c r="G474" s="51" t="str">
        <f>IFERROR(__xludf.DUMMYFUNCTION("""COMPUTED_VALUE"""),"#VALUE!")</f>
        <v>#VALUE!</v>
      </c>
      <c r="H474" s="51" t="str">
        <f>IFERROR(__xludf.DUMMYFUNCTION("""COMPUTED_VALUE"""),"")</f>
        <v/>
      </c>
      <c r="I474" s="51" t="str">
        <f>IFERROR(__xludf.DUMMYFUNCTION("""COMPUTED_VALUE"""),"#VALUE!")</f>
        <v>#VALUE!</v>
      </c>
      <c r="J474" s="51" t="str">
        <f>IFERROR(__xludf.DUMMYFUNCTION("""COMPUTED_VALUE"""),"")</f>
        <v/>
      </c>
      <c r="K474" s="51"/>
      <c r="L474" s="51" t="s">
        <v>257</v>
      </c>
      <c r="M474" s="51"/>
      <c r="N474" s="51"/>
      <c r="O474" s="51"/>
      <c r="P474" s="51"/>
      <c r="Q474" s="51"/>
      <c r="R474" s="51"/>
      <c r="S474" s="51"/>
      <c r="T474" s="51"/>
    </row>
    <row r="475">
      <c r="A475" s="51"/>
      <c r="B475" s="51"/>
      <c r="C475" s="56"/>
      <c r="D475" s="51"/>
      <c r="E475" s="51"/>
      <c r="F475" s="51"/>
      <c r="G475" s="51" t="str">
        <f>IFERROR(__xludf.DUMMYFUNCTION("""COMPUTED_VALUE"""),"#VALUE!")</f>
        <v>#VALUE!</v>
      </c>
      <c r="H475" s="51" t="str">
        <f>IFERROR(__xludf.DUMMYFUNCTION("""COMPUTED_VALUE"""),"")</f>
        <v/>
      </c>
      <c r="I475" s="51" t="str">
        <f>IFERROR(__xludf.DUMMYFUNCTION("""COMPUTED_VALUE"""),"#VALUE!")</f>
        <v>#VALUE!</v>
      </c>
      <c r="J475" s="51" t="str">
        <f>IFERROR(__xludf.DUMMYFUNCTION("""COMPUTED_VALUE"""),"")</f>
        <v/>
      </c>
      <c r="K475" s="51"/>
      <c r="L475" s="51" t="s">
        <v>257</v>
      </c>
      <c r="M475" s="51"/>
      <c r="N475" s="51"/>
      <c r="O475" s="51"/>
      <c r="P475" s="51"/>
      <c r="Q475" s="51"/>
      <c r="R475" s="51"/>
      <c r="S475" s="51"/>
      <c r="T475" s="51"/>
    </row>
    <row r="476">
      <c r="A476" s="51"/>
      <c r="B476" s="51"/>
      <c r="C476" s="56"/>
      <c r="D476" s="51"/>
      <c r="E476" s="51"/>
      <c r="F476" s="51"/>
      <c r="G476" s="51" t="str">
        <f>IFERROR(__xludf.DUMMYFUNCTION("""COMPUTED_VALUE"""),"#VALUE!")</f>
        <v>#VALUE!</v>
      </c>
      <c r="H476" s="51" t="str">
        <f>IFERROR(__xludf.DUMMYFUNCTION("""COMPUTED_VALUE"""),"")</f>
        <v/>
      </c>
      <c r="I476" s="51" t="str">
        <f>IFERROR(__xludf.DUMMYFUNCTION("""COMPUTED_VALUE"""),"#VALUE!")</f>
        <v>#VALUE!</v>
      </c>
      <c r="J476" s="51" t="str">
        <f>IFERROR(__xludf.DUMMYFUNCTION("""COMPUTED_VALUE"""),"")</f>
        <v/>
      </c>
      <c r="K476" s="51"/>
      <c r="L476" s="51" t="s">
        <v>257</v>
      </c>
      <c r="M476" s="51"/>
      <c r="N476" s="51"/>
      <c r="O476" s="51"/>
      <c r="P476" s="51"/>
      <c r="Q476" s="51"/>
      <c r="R476" s="51"/>
      <c r="S476" s="51"/>
      <c r="T476" s="51"/>
    </row>
    <row r="477">
      <c r="A477" s="51"/>
      <c r="B477" s="51"/>
      <c r="C477" s="56"/>
      <c r="D477" s="51"/>
      <c r="E477" s="51"/>
      <c r="F477" s="51"/>
      <c r="G477" s="51" t="str">
        <f>IFERROR(__xludf.DUMMYFUNCTION("""COMPUTED_VALUE"""),"#VALUE!")</f>
        <v>#VALUE!</v>
      </c>
      <c r="H477" s="51" t="str">
        <f>IFERROR(__xludf.DUMMYFUNCTION("""COMPUTED_VALUE"""),"")</f>
        <v/>
      </c>
      <c r="I477" s="51" t="str">
        <f>IFERROR(__xludf.DUMMYFUNCTION("""COMPUTED_VALUE"""),"#VALUE!")</f>
        <v>#VALUE!</v>
      </c>
      <c r="J477" s="51" t="str">
        <f>IFERROR(__xludf.DUMMYFUNCTION("""COMPUTED_VALUE"""),"")</f>
        <v/>
      </c>
      <c r="K477" s="51"/>
      <c r="L477" s="51" t="s">
        <v>257</v>
      </c>
      <c r="M477" s="51"/>
      <c r="N477" s="51"/>
      <c r="O477" s="51"/>
      <c r="P477" s="51"/>
      <c r="Q477" s="51"/>
      <c r="R477" s="51"/>
      <c r="S477" s="51"/>
      <c r="T477" s="51"/>
    </row>
    <row r="478">
      <c r="A478" s="51"/>
      <c r="B478" s="51"/>
      <c r="C478" s="56"/>
      <c r="D478" s="51"/>
      <c r="E478" s="51"/>
      <c r="F478" s="51"/>
      <c r="G478" s="51" t="str">
        <f>IFERROR(__xludf.DUMMYFUNCTION("""COMPUTED_VALUE"""),"#VALUE!")</f>
        <v>#VALUE!</v>
      </c>
      <c r="H478" s="51" t="str">
        <f>IFERROR(__xludf.DUMMYFUNCTION("""COMPUTED_VALUE"""),"")</f>
        <v/>
      </c>
      <c r="I478" s="51" t="str">
        <f>IFERROR(__xludf.DUMMYFUNCTION("""COMPUTED_VALUE"""),"#VALUE!")</f>
        <v>#VALUE!</v>
      </c>
      <c r="J478" s="51" t="str">
        <f>IFERROR(__xludf.DUMMYFUNCTION("""COMPUTED_VALUE"""),"")</f>
        <v/>
      </c>
      <c r="K478" s="51"/>
      <c r="L478" s="51" t="s">
        <v>257</v>
      </c>
      <c r="M478" s="51"/>
      <c r="N478" s="51"/>
      <c r="O478" s="51"/>
      <c r="P478" s="51"/>
      <c r="Q478" s="51"/>
      <c r="R478" s="51"/>
      <c r="S478" s="51"/>
      <c r="T478" s="51"/>
    </row>
    <row r="479">
      <c r="A479" s="51"/>
      <c r="B479" s="51"/>
      <c r="C479" s="56"/>
      <c r="D479" s="51"/>
      <c r="E479" s="51"/>
      <c r="F479" s="51"/>
      <c r="G479" s="51" t="str">
        <f>IFERROR(__xludf.DUMMYFUNCTION("""COMPUTED_VALUE"""),"#VALUE!")</f>
        <v>#VALUE!</v>
      </c>
      <c r="H479" s="51" t="str">
        <f>IFERROR(__xludf.DUMMYFUNCTION("""COMPUTED_VALUE"""),"")</f>
        <v/>
      </c>
      <c r="I479" s="51" t="str">
        <f>IFERROR(__xludf.DUMMYFUNCTION("""COMPUTED_VALUE"""),"#VALUE!")</f>
        <v>#VALUE!</v>
      </c>
      <c r="J479" s="51" t="str">
        <f>IFERROR(__xludf.DUMMYFUNCTION("""COMPUTED_VALUE"""),"")</f>
        <v/>
      </c>
      <c r="K479" s="51"/>
      <c r="L479" s="51" t="s">
        <v>257</v>
      </c>
      <c r="M479" s="51"/>
      <c r="N479" s="51"/>
      <c r="O479" s="51"/>
      <c r="P479" s="51"/>
      <c r="Q479" s="51"/>
      <c r="R479" s="51"/>
      <c r="S479" s="51"/>
      <c r="T479" s="51"/>
    </row>
    <row r="480">
      <c r="A480" s="51"/>
      <c r="B480" s="51"/>
      <c r="C480" s="56"/>
      <c r="D480" s="51"/>
      <c r="E480" s="51"/>
      <c r="F480" s="51"/>
      <c r="G480" s="51" t="str">
        <f>IFERROR(__xludf.DUMMYFUNCTION("""COMPUTED_VALUE"""),"#VALUE!")</f>
        <v>#VALUE!</v>
      </c>
      <c r="H480" s="51" t="str">
        <f>IFERROR(__xludf.DUMMYFUNCTION("""COMPUTED_VALUE"""),"")</f>
        <v/>
      </c>
      <c r="I480" s="51" t="str">
        <f>IFERROR(__xludf.DUMMYFUNCTION("""COMPUTED_VALUE"""),"#VALUE!")</f>
        <v>#VALUE!</v>
      </c>
      <c r="J480" s="51" t="str">
        <f>IFERROR(__xludf.DUMMYFUNCTION("""COMPUTED_VALUE"""),"")</f>
        <v/>
      </c>
      <c r="K480" s="51"/>
      <c r="L480" s="51" t="s">
        <v>257</v>
      </c>
      <c r="M480" s="51"/>
      <c r="N480" s="51"/>
      <c r="O480" s="51"/>
      <c r="P480" s="51"/>
      <c r="Q480" s="51"/>
      <c r="R480" s="51"/>
      <c r="S480" s="51"/>
      <c r="T480" s="51"/>
    </row>
    <row r="481">
      <c r="A481" s="51"/>
      <c r="B481" s="51"/>
      <c r="C481" s="56"/>
      <c r="D481" s="51"/>
      <c r="E481" s="51"/>
      <c r="F481" s="51"/>
      <c r="G481" s="51" t="str">
        <f>IFERROR(__xludf.DUMMYFUNCTION("""COMPUTED_VALUE"""),"#VALUE!")</f>
        <v>#VALUE!</v>
      </c>
      <c r="H481" s="51" t="str">
        <f>IFERROR(__xludf.DUMMYFUNCTION("""COMPUTED_VALUE"""),"")</f>
        <v/>
      </c>
      <c r="I481" s="51" t="str">
        <f>IFERROR(__xludf.DUMMYFUNCTION("""COMPUTED_VALUE"""),"#VALUE!")</f>
        <v>#VALUE!</v>
      </c>
      <c r="J481" s="51" t="str">
        <f>IFERROR(__xludf.DUMMYFUNCTION("""COMPUTED_VALUE"""),"")</f>
        <v/>
      </c>
      <c r="K481" s="51"/>
      <c r="L481" s="51" t="s">
        <v>257</v>
      </c>
      <c r="M481" s="51"/>
      <c r="N481" s="51"/>
      <c r="O481" s="51"/>
      <c r="P481" s="51"/>
      <c r="Q481" s="51"/>
      <c r="R481" s="51"/>
      <c r="S481" s="51"/>
      <c r="T481" s="51"/>
    </row>
    <row r="482">
      <c r="A482" s="51"/>
      <c r="B482" s="51"/>
      <c r="C482" s="56"/>
      <c r="D482" s="51"/>
      <c r="E482" s="51"/>
      <c r="F482" s="51"/>
      <c r="G482" s="51" t="str">
        <f>IFERROR(__xludf.DUMMYFUNCTION("""COMPUTED_VALUE"""),"#VALUE!")</f>
        <v>#VALUE!</v>
      </c>
      <c r="H482" s="51" t="str">
        <f>IFERROR(__xludf.DUMMYFUNCTION("""COMPUTED_VALUE"""),"")</f>
        <v/>
      </c>
      <c r="I482" s="51" t="str">
        <f>IFERROR(__xludf.DUMMYFUNCTION("""COMPUTED_VALUE"""),"#VALUE!")</f>
        <v>#VALUE!</v>
      </c>
      <c r="J482" s="51" t="str">
        <f>IFERROR(__xludf.DUMMYFUNCTION("""COMPUTED_VALUE"""),"")</f>
        <v/>
      </c>
      <c r="K482" s="51"/>
      <c r="L482" s="51" t="s">
        <v>257</v>
      </c>
      <c r="M482" s="51"/>
      <c r="N482" s="51"/>
      <c r="O482" s="51"/>
      <c r="P482" s="51"/>
      <c r="Q482" s="51"/>
      <c r="R482" s="51"/>
      <c r="S482" s="51"/>
      <c r="T482" s="51"/>
    </row>
    <row r="483">
      <c r="A483" s="51"/>
      <c r="B483" s="51"/>
      <c r="C483" s="56"/>
      <c r="D483" s="51"/>
      <c r="E483" s="51"/>
      <c r="F483" s="51"/>
      <c r="G483" s="51" t="str">
        <f>IFERROR(__xludf.DUMMYFUNCTION("""COMPUTED_VALUE"""),"#VALUE!")</f>
        <v>#VALUE!</v>
      </c>
      <c r="H483" s="51" t="str">
        <f>IFERROR(__xludf.DUMMYFUNCTION("""COMPUTED_VALUE"""),"")</f>
        <v/>
      </c>
      <c r="I483" s="51" t="str">
        <f>IFERROR(__xludf.DUMMYFUNCTION("""COMPUTED_VALUE"""),"#VALUE!")</f>
        <v>#VALUE!</v>
      </c>
      <c r="J483" s="51" t="str">
        <f>IFERROR(__xludf.DUMMYFUNCTION("""COMPUTED_VALUE"""),"")</f>
        <v/>
      </c>
      <c r="K483" s="51"/>
      <c r="L483" s="51" t="s">
        <v>257</v>
      </c>
      <c r="M483" s="51"/>
      <c r="N483" s="51"/>
      <c r="O483" s="51"/>
      <c r="P483" s="51"/>
      <c r="Q483" s="51"/>
      <c r="R483" s="51"/>
      <c r="S483" s="51"/>
      <c r="T483" s="51"/>
    </row>
    <row r="484">
      <c r="A484" s="51"/>
      <c r="B484" s="51"/>
      <c r="C484" s="56"/>
      <c r="D484" s="51"/>
      <c r="E484" s="51"/>
      <c r="F484" s="51"/>
      <c r="G484" s="51" t="str">
        <f>IFERROR(__xludf.DUMMYFUNCTION("""COMPUTED_VALUE"""),"#VALUE!")</f>
        <v>#VALUE!</v>
      </c>
      <c r="H484" s="51" t="str">
        <f>IFERROR(__xludf.DUMMYFUNCTION("""COMPUTED_VALUE"""),"")</f>
        <v/>
      </c>
      <c r="I484" s="51" t="str">
        <f>IFERROR(__xludf.DUMMYFUNCTION("""COMPUTED_VALUE"""),"#VALUE!")</f>
        <v>#VALUE!</v>
      </c>
      <c r="J484" s="51" t="str">
        <f>IFERROR(__xludf.DUMMYFUNCTION("""COMPUTED_VALUE"""),"")</f>
        <v/>
      </c>
      <c r="K484" s="51"/>
      <c r="L484" s="51" t="s">
        <v>257</v>
      </c>
      <c r="M484" s="51"/>
      <c r="N484" s="51"/>
      <c r="O484" s="51"/>
      <c r="P484" s="51"/>
      <c r="Q484" s="51"/>
      <c r="R484" s="51"/>
      <c r="S484" s="51"/>
      <c r="T484" s="51"/>
    </row>
    <row r="485">
      <c r="A485" s="51"/>
      <c r="B485" s="51"/>
      <c r="C485" s="56"/>
      <c r="D485" s="51"/>
      <c r="E485" s="51"/>
      <c r="F485" s="51"/>
      <c r="G485" s="51" t="str">
        <f>IFERROR(__xludf.DUMMYFUNCTION("""COMPUTED_VALUE"""),"#VALUE!")</f>
        <v>#VALUE!</v>
      </c>
      <c r="H485" s="51" t="str">
        <f>IFERROR(__xludf.DUMMYFUNCTION("""COMPUTED_VALUE"""),"")</f>
        <v/>
      </c>
      <c r="I485" s="51" t="str">
        <f>IFERROR(__xludf.DUMMYFUNCTION("""COMPUTED_VALUE"""),"#VALUE!")</f>
        <v>#VALUE!</v>
      </c>
      <c r="J485" s="51" t="str">
        <f>IFERROR(__xludf.DUMMYFUNCTION("""COMPUTED_VALUE"""),"")</f>
        <v/>
      </c>
      <c r="K485" s="51"/>
      <c r="L485" s="51" t="s">
        <v>257</v>
      </c>
      <c r="M485" s="51"/>
      <c r="N485" s="51"/>
      <c r="O485" s="51"/>
      <c r="P485" s="51"/>
      <c r="Q485" s="51"/>
      <c r="R485" s="51"/>
      <c r="S485" s="51"/>
      <c r="T485" s="51"/>
    </row>
    <row r="486">
      <c r="A486" s="51"/>
      <c r="B486" s="51"/>
      <c r="C486" s="56"/>
      <c r="D486" s="51"/>
      <c r="E486" s="51"/>
      <c r="F486" s="51"/>
      <c r="G486" s="51" t="str">
        <f>IFERROR(__xludf.DUMMYFUNCTION("""COMPUTED_VALUE"""),"#VALUE!")</f>
        <v>#VALUE!</v>
      </c>
      <c r="H486" s="51" t="str">
        <f>IFERROR(__xludf.DUMMYFUNCTION("""COMPUTED_VALUE"""),"")</f>
        <v/>
      </c>
      <c r="I486" s="51" t="str">
        <f>IFERROR(__xludf.DUMMYFUNCTION("""COMPUTED_VALUE"""),"#VALUE!")</f>
        <v>#VALUE!</v>
      </c>
      <c r="J486" s="51" t="str">
        <f>IFERROR(__xludf.DUMMYFUNCTION("""COMPUTED_VALUE"""),"")</f>
        <v/>
      </c>
      <c r="K486" s="51"/>
      <c r="L486" s="51" t="s">
        <v>257</v>
      </c>
      <c r="M486" s="51"/>
      <c r="N486" s="51"/>
      <c r="O486" s="51"/>
      <c r="P486" s="51"/>
      <c r="Q486" s="51"/>
      <c r="R486" s="51"/>
      <c r="S486" s="51"/>
      <c r="T486" s="51"/>
    </row>
    <row r="487">
      <c r="A487" s="51"/>
      <c r="B487" s="51"/>
      <c r="C487" s="56"/>
      <c r="D487" s="51"/>
      <c r="E487" s="51"/>
      <c r="F487" s="51"/>
      <c r="G487" s="51" t="str">
        <f>IFERROR(__xludf.DUMMYFUNCTION("""COMPUTED_VALUE"""),"#VALUE!")</f>
        <v>#VALUE!</v>
      </c>
      <c r="H487" s="51" t="str">
        <f>IFERROR(__xludf.DUMMYFUNCTION("""COMPUTED_VALUE"""),"")</f>
        <v/>
      </c>
      <c r="I487" s="51" t="str">
        <f>IFERROR(__xludf.DUMMYFUNCTION("""COMPUTED_VALUE"""),"#VALUE!")</f>
        <v>#VALUE!</v>
      </c>
      <c r="J487" s="51" t="str">
        <f>IFERROR(__xludf.DUMMYFUNCTION("""COMPUTED_VALUE"""),"")</f>
        <v/>
      </c>
      <c r="K487" s="51"/>
      <c r="L487" s="51" t="s">
        <v>257</v>
      </c>
      <c r="M487" s="51"/>
      <c r="N487" s="51"/>
      <c r="O487" s="51"/>
      <c r="P487" s="51"/>
      <c r="Q487" s="51"/>
      <c r="R487" s="51"/>
      <c r="S487" s="51"/>
      <c r="T487" s="51"/>
    </row>
    <row r="488">
      <c r="A488" s="51"/>
      <c r="B488" s="51"/>
      <c r="C488" s="56"/>
      <c r="D488" s="51"/>
      <c r="E488" s="51"/>
      <c r="F488" s="51"/>
      <c r="G488" s="51" t="str">
        <f>IFERROR(__xludf.DUMMYFUNCTION("""COMPUTED_VALUE"""),"#VALUE!")</f>
        <v>#VALUE!</v>
      </c>
      <c r="H488" s="51" t="str">
        <f>IFERROR(__xludf.DUMMYFUNCTION("""COMPUTED_VALUE"""),"")</f>
        <v/>
      </c>
      <c r="I488" s="51" t="str">
        <f>IFERROR(__xludf.DUMMYFUNCTION("""COMPUTED_VALUE"""),"#VALUE!")</f>
        <v>#VALUE!</v>
      </c>
      <c r="J488" s="51" t="str">
        <f>IFERROR(__xludf.DUMMYFUNCTION("""COMPUTED_VALUE"""),"")</f>
        <v/>
      </c>
      <c r="K488" s="51"/>
      <c r="L488" s="51" t="s">
        <v>257</v>
      </c>
      <c r="M488" s="51"/>
      <c r="N488" s="51"/>
      <c r="O488" s="51"/>
      <c r="P488" s="51"/>
      <c r="Q488" s="51"/>
      <c r="R488" s="51"/>
      <c r="S488" s="51"/>
      <c r="T488" s="51"/>
    </row>
    <row r="489">
      <c r="A489" s="51"/>
      <c r="B489" s="51"/>
      <c r="C489" s="56"/>
      <c r="D489" s="51"/>
      <c r="E489" s="51"/>
      <c r="F489" s="51"/>
      <c r="G489" s="51" t="str">
        <f>IFERROR(__xludf.DUMMYFUNCTION("""COMPUTED_VALUE"""),"#VALUE!")</f>
        <v>#VALUE!</v>
      </c>
      <c r="H489" s="51" t="str">
        <f>IFERROR(__xludf.DUMMYFUNCTION("""COMPUTED_VALUE"""),"")</f>
        <v/>
      </c>
      <c r="I489" s="51" t="str">
        <f>IFERROR(__xludf.DUMMYFUNCTION("""COMPUTED_VALUE"""),"#VALUE!")</f>
        <v>#VALUE!</v>
      </c>
      <c r="J489" s="51" t="str">
        <f>IFERROR(__xludf.DUMMYFUNCTION("""COMPUTED_VALUE"""),"")</f>
        <v/>
      </c>
      <c r="K489" s="51"/>
      <c r="L489" s="51" t="s">
        <v>257</v>
      </c>
      <c r="M489" s="51"/>
      <c r="N489" s="51"/>
      <c r="O489" s="51"/>
      <c r="P489" s="51"/>
      <c r="Q489" s="51"/>
      <c r="R489" s="51"/>
      <c r="S489" s="51"/>
      <c r="T489" s="51"/>
    </row>
    <row r="490">
      <c r="A490" s="51"/>
      <c r="B490" s="51"/>
      <c r="C490" s="56"/>
      <c r="D490" s="51"/>
      <c r="E490" s="51"/>
      <c r="F490" s="51"/>
      <c r="G490" s="51" t="str">
        <f>IFERROR(__xludf.DUMMYFUNCTION("""COMPUTED_VALUE"""),"#VALUE!")</f>
        <v>#VALUE!</v>
      </c>
      <c r="H490" s="51" t="str">
        <f>IFERROR(__xludf.DUMMYFUNCTION("""COMPUTED_VALUE"""),"")</f>
        <v/>
      </c>
      <c r="I490" s="51" t="str">
        <f>IFERROR(__xludf.DUMMYFUNCTION("""COMPUTED_VALUE"""),"#VALUE!")</f>
        <v>#VALUE!</v>
      </c>
      <c r="J490" s="51" t="str">
        <f>IFERROR(__xludf.DUMMYFUNCTION("""COMPUTED_VALUE"""),"")</f>
        <v/>
      </c>
      <c r="K490" s="51"/>
      <c r="L490" s="51" t="s">
        <v>257</v>
      </c>
      <c r="M490" s="51"/>
      <c r="N490" s="51"/>
      <c r="O490" s="51"/>
      <c r="P490" s="51"/>
      <c r="Q490" s="51"/>
      <c r="R490" s="51"/>
      <c r="S490" s="51"/>
      <c r="T490" s="51"/>
    </row>
    <row r="491">
      <c r="A491" s="51"/>
      <c r="B491" s="51"/>
      <c r="C491" s="56"/>
      <c r="D491" s="51"/>
      <c r="E491" s="51"/>
      <c r="F491" s="51"/>
      <c r="G491" s="51" t="str">
        <f>IFERROR(__xludf.DUMMYFUNCTION("""COMPUTED_VALUE"""),"#VALUE!")</f>
        <v>#VALUE!</v>
      </c>
      <c r="H491" s="51" t="str">
        <f>IFERROR(__xludf.DUMMYFUNCTION("""COMPUTED_VALUE"""),"")</f>
        <v/>
      </c>
      <c r="I491" s="51" t="str">
        <f>IFERROR(__xludf.DUMMYFUNCTION("""COMPUTED_VALUE"""),"#VALUE!")</f>
        <v>#VALUE!</v>
      </c>
      <c r="J491" s="51" t="str">
        <f>IFERROR(__xludf.DUMMYFUNCTION("""COMPUTED_VALUE"""),"")</f>
        <v/>
      </c>
      <c r="K491" s="51"/>
      <c r="L491" s="51" t="s">
        <v>257</v>
      </c>
      <c r="M491" s="51"/>
      <c r="N491" s="51"/>
      <c r="O491" s="51"/>
      <c r="P491" s="51"/>
      <c r="Q491" s="51"/>
      <c r="R491" s="51"/>
      <c r="S491" s="51"/>
      <c r="T491" s="51"/>
    </row>
    <row r="492">
      <c r="A492" s="51"/>
      <c r="B492" s="51"/>
      <c r="C492" s="56"/>
      <c r="D492" s="51"/>
      <c r="E492" s="51"/>
      <c r="F492" s="51"/>
      <c r="G492" s="51" t="str">
        <f>IFERROR(__xludf.DUMMYFUNCTION("""COMPUTED_VALUE"""),"#VALUE!")</f>
        <v>#VALUE!</v>
      </c>
      <c r="H492" s="51" t="str">
        <f>IFERROR(__xludf.DUMMYFUNCTION("""COMPUTED_VALUE"""),"")</f>
        <v/>
      </c>
      <c r="I492" s="51" t="str">
        <f>IFERROR(__xludf.DUMMYFUNCTION("""COMPUTED_VALUE"""),"#VALUE!")</f>
        <v>#VALUE!</v>
      </c>
      <c r="J492" s="51" t="str">
        <f>IFERROR(__xludf.DUMMYFUNCTION("""COMPUTED_VALUE"""),"")</f>
        <v/>
      </c>
      <c r="K492" s="51"/>
      <c r="L492" s="51" t="s">
        <v>257</v>
      </c>
      <c r="M492" s="51"/>
      <c r="N492" s="51"/>
      <c r="O492" s="51"/>
      <c r="P492" s="51"/>
      <c r="Q492" s="51"/>
      <c r="R492" s="51"/>
      <c r="S492" s="51"/>
      <c r="T492" s="51"/>
    </row>
    <row r="493">
      <c r="A493" s="51"/>
      <c r="B493" s="51"/>
      <c r="C493" s="56"/>
      <c r="D493" s="51"/>
      <c r="E493" s="51"/>
      <c r="F493" s="51"/>
      <c r="G493" s="51" t="str">
        <f>IFERROR(__xludf.DUMMYFUNCTION("""COMPUTED_VALUE"""),"#VALUE!")</f>
        <v>#VALUE!</v>
      </c>
      <c r="H493" s="51" t="str">
        <f>IFERROR(__xludf.DUMMYFUNCTION("""COMPUTED_VALUE"""),"")</f>
        <v/>
      </c>
      <c r="I493" s="51" t="str">
        <f>IFERROR(__xludf.DUMMYFUNCTION("""COMPUTED_VALUE"""),"#VALUE!")</f>
        <v>#VALUE!</v>
      </c>
      <c r="J493" s="51" t="str">
        <f>IFERROR(__xludf.DUMMYFUNCTION("""COMPUTED_VALUE"""),"")</f>
        <v/>
      </c>
      <c r="K493" s="51"/>
      <c r="L493" s="51" t="s">
        <v>257</v>
      </c>
      <c r="M493" s="51"/>
      <c r="N493" s="51"/>
      <c r="O493" s="51"/>
      <c r="P493" s="51"/>
      <c r="Q493" s="51"/>
      <c r="R493" s="51"/>
      <c r="S493" s="51"/>
      <c r="T493" s="51"/>
    </row>
    <row r="494">
      <c r="A494" s="51"/>
      <c r="B494" s="51"/>
      <c r="C494" s="56"/>
      <c r="D494" s="51"/>
      <c r="E494" s="51"/>
      <c r="F494" s="51"/>
      <c r="G494" s="51" t="str">
        <f>IFERROR(__xludf.DUMMYFUNCTION("""COMPUTED_VALUE"""),"#VALUE!")</f>
        <v>#VALUE!</v>
      </c>
      <c r="H494" s="51" t="str">
        <f>IFERROR(__xludf.DUMMYFUNCTION("""COMPUTED_VALUE"""),"")</f>
        <v/>
      </c>
      <c r="I494" s="51" t="str">
        <f>IFERROR(__xludf.DUMMYFUNCTION("""COMPUTED_VALUE"""),"#VALUE!")</f>
        <v>#VALUE!</v>
      </c>
      <c r="J494" s="51" t="str">
        <f>IFERROR(__xludf.DUMMYFUNCTION("""COMPUTED_VALUE"""),"")</f>
        <v/>
      </c>
      <c r="K494" s="51"/>
      <c r="L494" s="51" t="s">
        <v>257</v>
      </c>
      <c r="M494" s="51"/>
      <c r="N494" s="51"/>
      <c r="O494" s="51"/>
      <c r="P494" s="51"/>
      <c r="Q494" s="51"/>
      <c r="R494" s="51"/>
      <c r="S494" s="51"/>
      <c r="T494" s="51"/>
    </row>
    <row r="495">
      <c r="A495" s="51"/>
      <c r="B495" s="51"/>
      <c r="C495" s="56"/>
      <c r="D495" s="51"/>
      <c r="E495" s="51"/>
      <c r="F495" s="51"/>
      <c r="G495" s="51" t="str">
        <f>IFERROR(__xludf.DUMMYFUNCTION("""COMPUTED_VALUE"""),"#VALUE!")</f>
        <v>#VALUE!</v>
      </c>
      <c r="H495" s="51" t="str">
        <f>IFERROR(__xludf.DUMMYFUNCTION("""COMPUTED_VALUE"""),"")</f>
        <v/>
      </c>
      <c r="I495" s="51" t="str">
        <f>IFERROR(__xludf.DUMMYFUNCTION("""COMPUTED_VALUE"""),"#VALUE!")</f>
        <v>#VALUE!</v>
      </c>
      <c r="J495" s="51" t="str">
        <f>IFERROR(__xludf.DUMMYFUNCTION("""COMPUTED_VALUE"""),"")</f>
        <v/>
      </c>
      <c r="K495" s="51"/>
      <c r="L495" s="51" t="s">
        <v>257</v>
      </c>
      <c r="M495" s="51"/>
      <c r="N495" s="51"/>
      <c r="O495" s="51"/>
      <c r="P495" s="51"/>
      <c r="Q495" s="51"/>
      <c r="R495" s="51"/>
      <c r="S495" s="51"/>
      <c r="T495" s="51"/>
    </row>
    <row r="496">
      <c r="A496" s="51"/>
      <c r="B496" s="51"/>
      <c r="C496" s="56"/>
      <c r="D496" s="51"/>
      <c r="E496" s="51"/>
      <c r="F496" s="51"/>
      <c r="G496" s="51" t="str">
        <f>IFERROR(__xludf.DUMMYFUNCTION("""COMPUTED_VALUE"""),"#VALUE!")</f>
        <v>#VALUE!</v>
      </c>
      <c r="H496" s="51" t="str">
        <f>IFERROR(__xludf.DUMMYFUNCTION("""COMPUTED_VALUE"""),"")</f>
        <v/>
      </c>
      <c r="I496" s="51" t="str">
        <f>IFERROR(__xludf.DUMMYFUNCTION("""COMPUTED_VALUE"""),"#VALUE!")</f>
        <v>#VALUE!</v>
      </c>
      <c r="J496" s="51" t="str">
        <f>IFERROR(__xludf.DUMMYFUNCTION("""COMPUTED_VALUE"""),"")</f>
        <v/>
      </c>
      <c r="K496" s="51"/>
      <c r="L496" s="51" t="s">
        <v>257</v>
      </c>
      <c r="M496" s="51"/>
      <c r="N496" s="51"/>
      <c r="O496" s="51"/>
      <c r="P496" s="51"/>
      <c r="Q496" s="51"/>
      <c r="R496" s="51"/>
      <c r="S496" s="51"/>
      <c r="T496" s="51"/>
    </row>
    <row r="497">
      <c r="A497" s="51"/>
      <c r="B497" s="51"/>
      <c r="C497" s="56"/>
      <c r="D497" s="51"/>
      <c r="E497" s="51"/>
      <c r="F497" s="51"/>
      <c r="G497" s="51" t="str">
        <f>IFERROR(__xludf.DUMMYFUNCTION("""COMPUTED_VALUE"""),"#VALUE!")</f>
        <v>#VALUE!</v>
      </c>
      <c r="H497" s="51" t="str">
        <f>IFERROR(__xludf.DUMMYFUNCTION("""COMPUTED_VALUE"""),"")</f>
        <v/>
      </c>
      <c r="I497" s="51" t="str">
        <f>IFERROR(__xludf.DUMMYFUNCTION("""COMPUTED_VALUE"""),"#VALUE!")</f>
        <v>#VALUE!</v>
      </c>
      <c r="J497" s="51" t="str">
        <f>IFERROR(__xludf.DUMMYFUNCTION("""COMPUTED_VALUE"""),"")</f>
        <v/>
      </c>
      <c r="K497" s="51"/>
      <c r="L497" s="51" t="s">
        <v>257</v>
      </c>
      <c r="M497" s="51"/>
      <c r="N497" s="51"/>
      <c r="O497" s="51"/>
      <c r="P497" s="51"/>
      <c r="Q497" s="51"/>
      <c r="R497" s="51"/>
      <c r="S497" s="51"/>
      <c r="T497" s="51"/>
    </row>
    <row r="498">
      <c r="A498" s="51"/>
      <c r="B498" s="51"/>
      <c r="C498" s="56"/>
      <c r="D498" s="51"/>
      <c r="E498" s="51"/>
      <c r="F498" s="51"/>
      <c r="G498" s="51" t="str">
        <f>IFERROR(__xludf.DUMMYFUNCTION("""COMPUTED_VALUE"""),"#VALUE!")</f>
        <v>#VALUE!</v>
      </c>
      <c r="H498" s="51" t="str">
        <f>IFERROR(__xludf.DUMMYFUNCTION("""COMPUTED_VALUE"""),"")</f>
        <v/>
      </c>
      <c r="I498" s="51" t="str">
        <f>IFERROR(__xludf.DUMMYFUNCTION("""COMPUTED_VALUE"""),"#VALUE!")</f>
        <v>#VALUE!</v>
      </c>
      <c r="J498" s="51" t="str">
        <f>IFERROR(__xludf.DUMMYFUNCTION("""COMPUTED_VALUE"""),"")</f>
        <v/>
      </c>
      <c r="K498" s="51"/>
      <c r="L498" s="51" t="s">
        <v>257</v>
      </c>
      <c r="M498" s="51"/>
      <c r="N498" s="51"/>
      <c r="O498" s="51"/>
      <c r="P498" s="51"/>
      <c r="Q498" s="51"/>
      <c r="R498" s="51"/>
      <c r="S498" s="51"/>
      <c r="T498" s="51"/>
    </row>
    <row r="499">
      <c r="A499" s="51"/>
      <c r="B499" s="51"/>
      <c r="C499" s="56"/>
      <c r="D499" s="51"/>
      <c r="E499" s="51"/>
      <c r="F499" s="51"/>
      <c r="G499" s="51" t="str">
        <f>IFERROR(__xludf.DUMMYFUNCTION("""COMPUTED_VALUE"""),"#VALUE!")</f>
        <v>#VALUE!</v>
      </c>
      <c r="H499" s="51" t="str">
        <f>IFERROR(__xludf.DUMMYFUNCTION("""COMPUTED_VALUE"""),"")</f>
        <v/>
      </c>
      <c r="I499" s="51" t="str">
        <f>IFERROR(__xludf.DUMMYFUNCTION("""COMPUTED_VALUE"""),"#VALUE!")</f>
        <v>#VALUE!</v>
      </c>
      <c r="J499" s="51" t="str">
        <f>IFERROR(__xludf.DUMMYFUNCTION("""COMPUTED_VALUE"""),"")</f>
        <v/>
      </c>
      <c r="K499" s="51"/>
      <c r="L499" s="51" t="s">
        <v>257</v>
      </c>
      <c r="M499" s="51"/>
      <c r="N499" s="51"/>
      <c r="O499" s="51"/>
      <c r="P499" s="51"/>
      <c r="Q499" s="51"/>
      <c r="R499" s="51"/>
      <c r="S499" s="51"/>
      <c r="T499" s="51"/>
    </row>
    <row r="500">
      <c r="A500" s="51"/>
      <c r="B500" s="51"/>
      <c r="C500" s="56"/>
      <c r="D500" s="51"/>
      <c r="E500" s="51"/>
      <c r="F500" s="51"/>
      <c r="G500" s="51" t="str">
        <f>IFERROR(__xludf.DUMMYFUNCTION("""COMPUTED_VALUE"""),"#VALUE!")</f>
        <v>#VALUE!</v>
      </c>
      <c r="H500" s="51" t="str">
        <f>IFERROR(__xludf.DUMMYFUNCTION("""COMPUTED_VALUE"""),"")</f>
        <v/>
      </c>
      <c r="I500" s="51" t="str">
        <f>IFERROR(__xludf.DUMMYFUNCTION("""COMPUTED_VALUE"""),"#VALUE!")</f>
        <v>#VALUE!</v>
      </c>
      <c r="J500" s="51" t="str">
        <f>IFERROR(__xludf.DUMMYFUNCTION("""COMPUTED_VALUE"""),"")</f>
        <v/>
      </c>
      <c r="K500" s="51"/>
      <c r="L500" s="51" t="s">
        <v>257</v>
      </c>
      <c r="M500" s="51"/>
      <c r="N500" s="51"/>
      <c r="O500" s="51"/>
      <c r="P500" s="51"/>
      <c r="Q500" s="51"/>
      <c r="R500" s="51"/>
      <c r="S500" s="51"/>
      <c r="T500" s="51"/>
    </row>
    <row r="501">
      <c r="A501" s="51"/>
      <c r="B501" s="51"/>
      <c r="C501" s="56"/>
      <c r="D501" s="51"/>
      <c r="E501" s="51"/>
      <c r="F501" s="51"/>
      <c r="G501" s="51" t="str">
        <f>IFERROR(__xludf.DUMMYFUNCTION("""COMPUTED_VALUE"""),"#VALUE!")</f>
        <v>#VALUE!</v>
      </c>
      <c r="H501" s="51" t="str">
        <f>IFERROR(__xludf.DUMMYFUNCTION("""COMPUTED_VALUE"""),"")</f>
        <v/>
      </c>
      <c r="I501" s="51" t="str">
        <f>IFERROR(__xludf.DUMMYFUNCTION("""COMPUTED_VALUE"""),"#VALUE!")</f>
        <v>#VALUE!</v>
      </c>
      <c r="J501" s="51" t="str">
        <f>IFERROR(__xludf.DUMMYFUNCTION("""COMPUTED_VALUE"""),"")</f>
        <v/>
      </c>
      <c r="K501" s="51"/>
      <c r="L501" s="51" t="s">
        <v>257</v>
      </c>
      <c r="M501" s="51"/>
      <c r="N501" s="51"/>
      <c r="O501" s="51"/>
      <c r="P501" s="51"/>
      <c r="Q501" s="51"/>
      <c r="R501" s="51"/>
      <c r="S501" s="51"/>
      <c r="T501" s="51"/>
    </row>
    <row r="502">
      <c r="A502" s="51"/>
      <c r="B502" s="51"/>
      <c r="C502" s="56"/>
      <c r="D502" s="51"/>
      <c r="E502" s="51"/>
      <c r="F502" s="51"/>
      <c r="G502" s="51" t="str">
        <f>IFERROR(__xludf.DUMMYFUNCTION("""COMPUTED_VALUE"""),"#VALUE!")</f>
        <v>#VALUE!</v>
      </c>
      <c r="H502" s="51" t="str">
        <f>IFERROR(__xludf.DUMMYFUNCTION("""COMPUTED_VALUE"""),"")</f>
        <v/>
      </c>
      <c r="I502" s="51" t="str">
        <f>IFERROR(__xludf.DUMMYFUNCTION("""COMPUTED_VALUE"""),"#VALUE!")</f>
        <v>#VALUE!</v>
      </c>
      <c r="J502" s="51" t="str">
        <f>IFERROR(__xludf.DUMMYFUNCTION("""COMPUTED_VALUE"""),"")</f>
        <v/>
      </c>
      <c r="K502" s="51"/>
      <c r="L502" s="51" t="s">
        <v>257</v>
      </c>
      <c r="M502" s="51"/>
      <c r="N502" s="51"/>
      <c r="O502" s="51"/>
      <c r="P502" s="51"/>
      <c r="Q502" s="51"/>
      <c r="R502" s="51"/>
      <c r="S502" s="51"/>
      <c r="T502" s="51"/>
    </row>
    <row r="503">
      <c r="A503" s="51"/>
      <c r="B503" s="51"/>
      <c r="C503" s="56"/>
      <c r="D503" s="51"/>
      <c r="E503" s="51"/>
      <c r="F503" s="51"/>
      <c r="G503" s="51" t="str">
        <f>IFERROR(__xludf.DUMMYFUNCTION("""COMPUTED_VALUE"""),"#VALUE!")</f>
        <v>#VALUE!</v>
      </c>
      <c r="H503" s="51" t="str">
        <f>IFERROR(__xludf.DUMMYFUNCTION("""COMPUTED_VALUE"""),"")</f>
        <v/>
      </c>
      <c r="I503" s="51" t="str">
        <f>IFERROR(__xludf.DUMMYFUNCTION("""COMPUTED_VALUE"""),"#VALUE!")</f>
        <v>#VALUE!</v>
      </c>
      <c r="J503" s="51" t="str">
        <f>IFERROR(__xludf.DUMMYFUNCTION("""COMPUTED_VALUE"""),"")</f>
        <v/>
      </c>
      <c r="K503" s="51"/>
      <c r="L503" s="51" t="s">
        <v>257</v>
      </c>
      <c r="M503" s="51"/>
      <c r="N503" s="51"/>
      <c r="O503" s="51"/>
      <c r="P503" s="51"/>
      <c r="Q503" s="51"/>
      <c r="R503" s="51"/>
      <c r="S503" s="51"/>
      <c r="T503" s="51"/>
    </row>
    <row r="504">
      <c r="A504" s="51"/>
      <c r="B504" s="51"/>
      <c r="C504" s="56"/>
      <c r="D504" s="51"/>
      <c r="E504" s="51"/>
      <c r="F504" s="51"/>
      <c r="G504" s="51" t="str">
        <f>IFERROR(__xludf.DUMMYFUNCTION("""COMPUTED_VALUE"""),"#VALUE!")</f>
        <v>#VALUE!</v>
      </c>
      <c r="H504" s="51" t="str">
        <f>IFERROR(__xludf.DUMMYFUNCTION("""COMPUTED_VALUE"""),"")</f>
        <v/>
      </c>
      <c r="I504" s="51" t="str">
        <f>IFERROR(__xludf.DUMMYFUNCTION("""COMPUTED_VALUE"""),"#VALUE!")</f>
        <v>#VALUE!</v>
      </c>
      <c r="J504" s="51" t="str">
        <f>IFERROR(__xludf.DUMMYFUNCTION("""COMPUTED_VALUE"""),"")</f>
        <v/>
      </c>
      <c r="K504" s="51"/>
      <c r="L504" s="51" t="s">
        <v>257</v>
      </c>
      <c r="M504" s="51"/>
      <c r="N504" s="51"/>
      <c r="O504" s="51"/>
      <c r="P504" s="51"/>
      <c r="Q504" s="51"/>
      <c r="R504" s="51"/>
      <c r="S504" s="51"/>
      <c r="T504" s="51"/>
    </row>
    <row r="505">
      <c r="A505" s="51"/>
      <c r="B505" s="51"/>
      <c r="C505" s="56"/>
      <c r="D505" s="51"/>
      <c r="E505" s="51"/>
      <c r="F505" s="51"/>
      <c r="G505" s="51" t="str">
        <f>IFERROR(__xludf.DUMMYFUNCTION("""COMPUTED_VALUE"""),"#VALUE!")</f>
        <v>#VALUE!</v>
      </c>
      <c r="H505" s="51" t="str">
        <f>IFERROR(__xludf.DUMMYFUNCTION("""COMPUTED_VALUE"""),"")</f>
        <v/>
      </c>
      <c r="I505" s="51" t="str">
        <f>IFERROR(__xludf.DUMMYFUNCTION("""COMPUTED_VALUE"""),"#VALUE!")</f>
        <v>#VALUE!</v>
      </c>
      <c r="J505" s="51" t="str">
        <f>IFERROR(__xludf.DUMMYFUNCTION("""COMPUTED_VALUE"""),"")</f>
        <v/>
      </c>
      <c r="K505" s="51"/>
      <c r="L505" s="51" t="s">
        <v>257</v>
      </c>
      <c r="M505" s="51"/>
      <c r="N505" s="51"/>
      <c r="O505" s="51"/>
      <c r="P505" s="51"/>
      <c r="Q505" s="51"/>
      <c r="R505" s="51"/>
      <c r="S505" s="51"/>
      <c r="T505" s="51"/>
    </row>
    <row r="506">
      <c r="A506" s="51"/>
      <c r="B506" s="51"/>
      <c r="C506" s="56"/>
      <c r="D506" s="51"/>
      <c r="E506" s="51"/>
      <c r="F506" s="51"/>
      <c r="G506" s="51" t="str">
        <f>IFERROR(__xludf.DUMMYFUNCTION("""COMPUTED_VALUE"""),"#VALUE!")</f>
        <v>#VALUE!</v>
      </c>
      <c r="H506" s="51" t="str">
        <f>IFERROR(__xludf.DUMMYFUNCTION("""COMPUTED_VALUE"""),"")</f>
        <v/>
      </c>
      <c r="I506" s="51" t="str">
        <f>IFERROR(__xludf.DUMMYFUNCTION("""COMPUTED_VALUE"""),"#VALUE!")</f>
        <v>#VALUE!</v>
      </c>
      <c r="J506" s="51" t="str">
        <f>IFERROR(__xludf.DUMMYFUNCTION("""COMPUTED_VALUE"""),"")</f>
        <v/>
      </c>
      <c r="K506" s="51"/>
      <c r="L506" s="51" t="s">
        <v>257</v>
      </c>
      <c r="M506" s="51"/>
      <c r="N506" s="51"/>
      <c r="O506" s="51"/>
      <c r="P506" s="51"/>
      <c r="Q506" s="51"/>
      <c r="R506" s="51"/>
      <c r="S506" s="51"/>
      <c r="T506" s="51"/>
    </row>
    <row r="507">
      <c r="A507" s="51"/>
      <c r="B507" s="51"/>
      <c r="C507" s="56"/>
      <c r="D507" s="51"/>
      <c r="E507" s="51"/>
      <c r="F507" s="51"/>
      <c r="G507" s="51" t="str">
        <f>IFERROR(__xludf.DUMMYFUNCTION("""COMPUTED_VALUE"""),"#VALUE!")</f>
        <v>#VALUE!</v>
      </c>
      <c r="H507" s="51" t="str">
        <f>IFERROR(__xludf.DUMMYFUNCTION("""COMPUTED_VALUE"""),"")</f>
        <v/>
      </c>
      <c r="I507" s="51" t="str">
        <f>IFERROR(__xludf.DUMMYFUNCTION("""COMPUTED_VALUE"""),"#VALUE!")</f>
        <v>#VALUE!</v>
      </c>
      <c r="J507" s="51" t="str">
        <f>IFERROR(__xludf.DUMMYFUNCTION("""COMPUTED_VALUE"""),"")</f>
        <v/>
      </c>
      <c r="K507" s="51"/>
      <c r="L507" s="51" t="s">
        <v>257</v>
      </c>
      <c r="M507" s="51"/>
      <c r="N507" s="51"/>
      <c r="O507" s="51"/>
      <c r="P507" s="51"/>
      <c r="Q507" s="51"/>
      <c r="R507" s="51"/>
      <c r="S507" s="51"/>
      <c r="T507" s="51"/>
    </row>
    <row r="508">
      <c r="A508" s="51"/>
      <c r="B508" s="51"/>
      <c r="C508" s="56"/>
      <c r="D508" s="51"/>
      <c r="E508" s="51"/>
      <c r="F508" s="51"/>
      <c r="G508" s="51" t="str">
        <f>IFERROR(__xludf.DUMMYFUNCTION("""COMPUTED_VALUE"""),"#VALUE!")</f>
        <v>#VALUE!</v>
      </c>
      <c r="H508" s="51" t="str">
        <f>IFERROR(__xludf.DUMMYFUNCTION("""COMPUTED_VALUE"""),"")</f>
        <v/>
      </c>
      <c r="I508" s="51" t="str">
        <f>IFERROR(__xludf.DUMMYFUNCTION("""COMPUTED_VALUE"""),"#VALUE!")</f>
        <v>#VALUE!</v>
      </c>
      <c r="J508" s="51" t="str">
        <f>IFERROR(__xludf.DUMMYFUNCTION("""COMPUTED_VALUE"""),"")</f>
        <v/>
      </c>
      <c r="K508" s="51"/>
      <c r="L508" s="51" t="s">
        <v>257</v>
      </c>
      <c r="M508" s="51"/>
      <c r="N508" s="51"/>
      <c r="O508" s="51"/>
      <c r="P508" s="51"/>
      <c r="Q508" s="51"/>
      <c r="R508" s="51"/>
      <c r="S508" s="51"/>
      <c r="T508" s="51"/>
    </row>
    <row r="509">
      <c r="A509" s="51"/>
      <c r="B509" s="51"/>
      <c r="C509" s="56"/>
      <c r="D509" s="51"/>
      <c r="E509" s="51"/>
      <c r="F509" s="51"/>
      <c r="G509" s="51" t="str">
        <f>IFERROR(__xludf.DUMMYFUNCTION("""COMPUTED_VALUE"""),"#VALUE!")</f>
        <v>#VALUE!</v>
      </c>
      <c r="H509" s="51" t="str">
        <f>IFERROR(__xludf.DUMMYFUNCTION("""COMPUTED_VALUE"""),"")</f>
        <v/>
      </c>
      <c r="I509" s="51" t="str">
        <f>IFERROR(__xludf.DUMMYFUNCTION("""COMPUTED_VALUE"""),"#VALUE!")</f>
        <v>#VALUE!</v>
      </c>
      <c r="J509" s="51" t="str">
        <f>IFERROR(__xludf.DUMMYFUNCTION("""COMPUTED_VALUE"""),"")</f>
        <v/>
      </c>
      <c r="K509" s="51"/>
      <c r="L509" s="51" t="s">
        <v>257</v>
      </c>
      <c r="M509" s="51"/>
      <c r="N509" s="51"/>
      <c r="O509" s="51"/>
      <c r="P509" s="51"/>
      <c r="Q509" s="51"/>
      <c r="R509" s="51"/>
      <c r="S509" s="51"/>
      <c r="T509" s="51"/>
    </row>
    <row r="510">
      <c r="A510" s="51"/>
      <c r="B510" s="51"/>
      <c r="C510" s="56"/>
      <c r="D510" s="51"/>
      <c r="E510" s="51"/>
      <c r="F510" s="51"/>
      <c r="G510" s="51" t="str">
        <f>IFERROR(__xludf.DUMMYFUNCTION("""COMPUTED_VALUE"""),"#VALUE!")</f>
        <v>#VALUE!</v>
      </c>
      <c r="H510" s="51" t="str">
        <f>IFERROR(__xludf.DUMMYFUNCTION("""COMPUTED_VALUE"""),"")</f>
        <v/>
      </c>
      <c r="I510" s="51" t="str">
        <f>IFERROR(__xludf.DUMMYFUNCTION("""COMPUTED_VALUE"""),"#VALUE!")</f>
        <v>#VALUE!</v>
      </c>
      <c r="J510" s="51" t="str">
        <f>IFERROR(__xludf.DUMMYFUNCTION("""COMPUTED_VALUE"""),"")</f>
        <v/>
      </c>
      <c r="K510" s="51"/>
      <c r="L510" s="51" t="s">
        <v>257</v>
      </c>
      <c r="M510" s="51"/>
      <c r="N510" s="51"/>
      <c r="O510" s="51"/>
      <c r="P510" s="51"/>
      <c r="Q510" s="51"/>
      <c r="R510" s="51"/>
      <c r="S510" s="51"/>
      <c r="T510" s="51"/>
    </row>
    <row r="511">
      <c r="A511" s="51"/>
      <c r="B511" s="51"/>
      <c r="C511" s="56"/>
      <c r="D511" s="51"/>
      <c r="E511" s="51"/>
      <c r="F511" s="51"/>
      <c r="G511" s="51" t="str">
        <f>IFERROR(__xludf.DUMMYFUNCTION("""COMPUTED_VALUE"""),"#VALUE!")</f>
        <v>#VALUE!</v>
      </c>
      <c r="H511" s="51" t="str">
        <f>IFERROR(__xludf.DUMMYFUNCTION("""COMPUTED_VALUE"""),"")</f>
        <v/>
      </c>
      <c r="I511" s="51" t="str">
        <f>IFERROR(__xludf.DUMMYFUNCTION("""COMPUTED_VALUE"""),"#VALUE!")</f>
        <v>#VALUE!</v>
      </c>
      <c r="J511" s="51" t="str">
        <f>IFERROR(__xludf.DUMMYFUNCTION("""COMPUTED_VALUE"""),"")</f>
        <v/>
      </c>
      <c r="K511" s="51"/>
      <c r="L511" s="51" t="s">
        <v>257</v>
      </c>
      <c r="M511" s="51"/>
      <c r="N511" s="51"/>
      <c r="O511" s="51"/>
      <c r="P511" s="51"/>
      <c r="Q511" s="51"/>
      <c r="R511" s="51"/>
      <c r="S511" s="51"/>
      <c r="T511" s="51"/>
    </row>
    <row r="512">
      <c r="A512" s="51"/>
      <c r="B512" s="51"/>
      <c r="C512" s="56"/>
      <c r="D512" s="51"/>
      <c r="E512" s="51"/>
      <c r="F512" s="51"/>
      <c r="G512" s="51" t="str">
        <f>IFERROR(__xludf.DUMMYFUNCTION("""COMPUTED_VALUE"""),"#VALUE!")</f>
        <v>#VALUE!</v>
      </c>
      <c r="H512" s="51" t="str">
        <f>IFERROR(__xludf.DUMMYFUNCTION("""COMPUTED_VALUE"""),"")</f>
        <v/>
      </c>
      <c r="I512" s="51" t="str">
        <f>IFERROR(__xludf.DUMMYFUNCTION("""COMPUTED_VALUE"""),"#VALUE!")</f>
        <v>#VALUE!</v>
      </c>
      <c r="J512" s="51" t="str">
        <f>IFERROR(__xludf.DUMMYFUNCTION("""COMPUTED_VALUE"""),"")</f>
        <v/>
      </c>
      <c r="K512" s="51"/>
      <c r="L512" s="51" t="s">
        <v>257</v>
      </c>
      <c r="M512" s="51"/>
      <c r="N512" s="51"/>
      <c r="O512" s="51"/>
      <c r="P512" s="51"/>
      <c r="Q512" s="51"/>
      <c r="R512" s="51"/>
      <c r="S512" s="51"/>
      <c r="T512" s="51"/>
    </row>
    <row r="513">
      <c r="A513" s="51"/>
      <c r="B513" s="51"/>
      <c r="C513" s="56"/>
      <c r="D513" s="51"/>
      <c r="E513" s="51"/>
      <c r="F513" s="51"/>
      <c r="G513" s="51" t="str">
        <f>IFERROR(__xludf.DUMMYFUNCTION("""COMPUTED_VALUE"""),"#VALUE!")</f>
        <v>#VALUE!</v>
      </c>
      <c r="H513" s="51" t="str">
        <f>IFERROR(__xludf.DUMMYFUNCTION("""COMPUTED_VALUE"""),"")</f>
        <v/>
      </c>
      <c r="I513" s="51" t="str">
        <f>IFERROR(__xludf.DUMMYFUNCTION("""COMPUTED_VALUE"""),"#VALUE!")</f>
        <v>#VALUE!</v>
      </c>
      <c r="J513" s="51" t="str">
        <f>IFERROR(__xludf.DUMMYFUNCTION("""COMPUTED_VALUE"""),"")</f>
        <v/>
      </c>
      <c r="K513" s="51"/>
      <c r="L513" s="51" t="s">
        <v>257</v>
      </c>
      <c r="M513" s="51"/>
      <c r="N513" s="51"/>
      <c r="O513" s="51"/>
      <c r="P513" s="51"/>
      <c r="Q513" s="51"/>
      <c r="R513" s="51"/>
      <c r="S513" s="51"/>
      <c r="T513" s="51"/>
    </row>
    <row r="514">
      <c r="A514" s="51"/>
      <c r="B514" s="51"/>
      <c r="C514" s="56"/>
      <c r="D514" s="51"/>
      <c r="E514" s="51"/>
      <c r="F514" s="51"/>
      <c r="G514" s="51" t="str">
        <f>IFERROR(__xludf.DUMMYFUNCTION("""COMPUTED_VALUE"""),"#VALUE!")</f>
        <v>#VALUE!</v>
      </c>
      <c r="H514" s="51" t="str">
        <f>IFERROR(__xludf.DUMMYFUNCTION("""COMPUTED_VALUE"""),"")</f>
        <v/>
      </c>
      <c r="I514" s="51" t="str">
        <f>IFERROR(__xludf.DUMMYFUNCTION("""COMPUTED_VALUE"""),"#VALUE!")</f>
        <v>#VALUE!</v>
      </c>
      <c r="J514" s="51" t="str">
        <f>IFERROR(__xludf.DUMMYFUNCTION("""COMPUTED_VALUE"""),"")</f>
        <v/>
      </c>
      <c r="K514" s="51"/>
      <c r="L514" s="51" t="s">
        <v>257</v>
      </c>
      <c r="M514" s="51"/>
      <c r="N514" s="51"/>
      <c r="O514" s="51"/>
      <c r="P514" s="51"/>
      <c r="Q514" s="51"/>
      <c r="R514" s="51"/>
      <c r="S514" s="51"/>
      <c r="T514" s="51"/>
    </row>
    <row r="515">
      <c r="A515" s="51"/>
      <c r="B515" s="51"/>
      <c r="C515" s="56"/>
      <c r="D515" s="51"/>
      <c r="E515" s="51"/>
      <c r="F515" s="51"/>
      <c r="G515" s="51" t="str">
        <f>IFERROR(__xludf.DUMMYFUNCTION("""COMPUTED_VALUE"""),"#VALUE!")</f>
        <v>#VALUE!</v>
      </c>
      <c r="H515" s="51" t="str">
        <f>IFERROR(__xludf.DUMMYFUNCTION("""COMPUTED_VALUE"""),"")</f>
        <v/>
      </c>
      <c r="I515" s="51" t="str">
        <f>IFERROR(__xludf.DUMMYFUNCTION("""COMPUTED_VALUE"""),"#VALUE!")</f>
        <v>#VALUE!</v>
      </c>
      <c r="J515" s="51" t="str">
        <f>IFERROR(__xludf.DUMMYFUNCTION("""COMPUTED_VALUE"""),"")</f>
        <v/>
      </c>
      <c r="K515" s="51"/>
      <c r="L515" s="51" t="s">
        <v>257</v>
      </c>
      <c r="M515" s="51"/>
      <c r="N515" s="51"/>
      <c r="O515" s="51"/>
      <c r="P515" s="51"/>
      <c r="Q515" s="51"/>
      <c r="R515" s="51"/>
      <c r="S515" s="51"/>
      <c r="T515" s="51"/>
    </row>
    <row r="516">
      <c r="A516" s="51"/>
      <c r="B516" s="51"/>
      <c r="C516" s="56"/>
      <c r="D516" s="51"/>
      <c r="E516" s="51"/>
      <c r="F516" s="51"/>
      <c r="G516" s="51" t="str">
        <f>IFERROR(__xludf.DUMMYFUNCTION("""COMPUTED_VALUE"""),"#VALUE!")</f>
        <v>#VALUE!</v>
      </c>
      <c r="H516" s="51" t="str">
        <f>IFERROR(__xludf.DUMMYFUNCTION("""COMPUTED_VALUE"""),"")</f>
        <v/>
      </c>
      <c r="I516" s="51" t="str">
        <f>IFERROR(__xludf.DUMMYFUNCTION("""COMPUTED_VALUE"""),"#VALUE!")</f>
        <v>#VALUE!</v>
      </c>
      <c r="J516" s="51" t="str">
        <f>IFERROR(__xludf.DUMMYFUNCTION("""COMPUTED_VALUE"""),"")</f>
        <v/>
      </c>
      <c r="K516" s="51"/>
      <c r="L516" s="51" t="s">
        <v>257</v>
      </c>
      <c r="M516" s="51"/>
      <c r="N516" s="51"/>
      <c r="O516" s="51"/>
      <c r="P516" s="51"/>
      <c r="Q516" s="51"/>
      <c r="R516" s="51"/>
      <c r="S516" s="51"/>
      <c r="T516" s="51"/>
    </row>
    <row r="517">
      <c r="A517" s="51"/>
      <c r="B517" s="51"/>
      <c r="C517" s="56"/>
      <c r="D517" s="51"/>
      <c r="E517" s="51"/>
      <c r="F517" s="51"/>
      <c r="G517" s="51" t="str">
        <f>IFERROR(__xludf.DUMMYFUNCTION("""COMPUTED_VALUE"""),"#VALUE!")</f>
        <v>#VALUE!</v>
      </c>
      <c r="H517" s="51" t="str">
        <f>IFERROR(__xludf.DUMMYFUNCTION("""COMPUTED_VALUE"""),"")</f>
        <v/>
      </c>
      <c r="I517" s="51" t="str">
        <f>IFERROR(__xludf.DUMMYFUNCTION("""COMPUTED_VALUE"""),"#VALUE!")</f>
        <v>#VALUE!</v>
      </c>
      <c r="J517" s="51" t="str">
        <f>IFERROR(__xludf.DUMMYFUNCTION("""COMPUTED_VALUE"""),"")</f>
        <v/>
      </c>
      <c r="K517" s="51"/>
      <c r="L517" s="51" t="s">
        <v>257</v>
      </c>
      <c r="M517" s="51"/>
      <c r="N517" s="51"/>
      <c r="O517" s="51"/>
      <c r="P517" s="51"/>
      <c r="Q517" s="51"/>
      <c r="R517" s="51"/>
      <c r="S517" s="51"/>
      <c r="T517" s="51"/>
    </row>
    <row r="518">
      <c r="A518" s="51"/>
      <c r="B518" s="51"/>
      <c r="C518" s="56"/>
      <c r="D518" s="51"/>
      <c r="E518" s="51"/>
      <c r="F518" s="51"/>
      <c r="G518" s="51" t="str">
        <f>IFERROR(__xludf.DUMMYFUNCTION("""COMPUTED_VALUE"""),"#VALUE!")</f>
        <v>#VALUE!</v>
      </c>
      <c r="H518" s="51" t="str">
        <f>IFERROR(__xludf.DUMMYFUNCTION("""COMPUTED_VALUE"""),"")</f>
        <v/>
      </c>
      <c r="I518" s="51" t="str">
        <f>IFERROR(__xludf.DUMMYFUNCTION("""COMPUTED_VALUE"""),"#VALUE!")</f>
        <v>#VALUE!</v>
      </c>
      <c r="J518" s="51" t="str">
        <f>IFERROR(__xludf.DUMMYFUNCTION("""COMPUTED_VALUE"""),"")</f>
        <v/>
      </c>
      <c r="K518" s="51"/>
      <c r="L518" s="51" t="s">
        <v>257</v>
      </c>
      <c r="M518" s="51"/>
      <c r="N518" s="51"/>
      <c r="O518" s="51"/>
      <c r="P518" s="51"/>
      <c r="Q518" s="51"/>
      <c r="R518" s="51"/>
      <c r="S518" s="51"/>
      <c r="T518" s="51"/>
    </row>
    <row r="519">
      <c r="A519" s="51"/>
      <c r="B519" s="51"/>
      <c r="C519" s="56"/>
      <c r="D519" s="51"/>
      <c r="E519" s="51"/>
      <c r="F519" s="51"/>
      <c r="G519" s="51" t="str">
        <f>IFERROR(__xludf.DUMMYFUNCTION("""COMPUTED_VALUE"""),"#VALUE!")</f>
        <v>#VALUE!</v>
      </c>
      <c r="H519" s="51" t="str">
        <f>IFERROR(__xludf.DUMMYFUNCTION("""COMPUTED_VALUE"""),"")</f>
        <v/>
      </c>
      <c r="I519" s="51" t="str">
        <f>IFERROR(__xludf.DUMMYFUNCTION("""COMPUTED_VALUE"""),"#VALUE!")</f>
        <v>#VALUE!</v>
      </c>
      <c r="J519" s="51" t="str">
        <f>IFERROR(__xludf.DUMMYFUNCTION("""COMPUTED_VALUE"""),"")</f>
        <v/>
      </c>
      <c r="K519" s="51"/>
      <c r="L519" s="51" t="s">
        <v>257</v>
      </c>
      <c r="M519" s="51"/>
      <c r="N519" s="51"/>
      <c r="O519" s="51"/>
      <c r="P519" s="51"/>
      <c r="Q519" s="51"/>
      <c r="R519" s="51"/>
      <c r="S519" s="51"/>
      <c r="T519" s="51"/>
    </row>
    <row r="520">
      <c r="A520" s="51"/>
      <c r="B520" s="51"/>
      <c r="C520" s="56"/>
      <c r="D520" s="51"/>
      <c r="E520" s="51"/>
      <c r="F520" s="51"/>
      <c r="G520" s="51" t="str">
        <f>IFERROR(__xludf.DUMMYFUNCTION("""COMPUTED_VALUE"""),"#VALUE!")</f>
        <v>#VALUE!</v>
      </c>
      <c r="H520" s="51" t="str">
        <f>IFERROR(__xludf.DUMMYFUNCTION("""COMPUTED_VALUE"""),"")</f>
        <v/>
      </c>
      <c r="I520" s="51" t="str">
        <f>IFERROR(__xludf.DUMMYFUNCTION("""COMPUTED_VALUE"""),"#VALUE!")</f>
        <v>#VALUE!</v>
      </c>
      <c r="J520" s="51" t="str">
        <f>IFERROR(__xludf.DUMMYFUNCTION("""COMPUTED_VALUE"""),"")</f>
        <v/>
      </c>
      <c r="K520" s="51"/>
      <c r="L520" s="51" t="s">
        <v>257</v>
      </c>
      <c r="M520" s="51"/>
      <c r="N520" s="51"/>
      <c r="O520" s="51"/>
      <c r="P520" s="51"/>
      <c r="Q520" s="51"/>
      <c r="R520" s="51"/>
      <c r="S520" s="51"/>
      <c r="T520" s="51"/>
    </row>
    <row r="521">
      <c r="A521" s="51"/>
      <c r="B521" s="51"/>
      <c r="C521" s="56"/>
      <c r="D521" s="51"/>
      <c r="E521" s="51"/>
      <c r="F521" s="51"/>
      <c r="G521" s="51" t="str">
        <f>IFERROR(__xludf.DUMMYFUNCTION("""COMPUTED_VALUE"""),"#VALUE!")</f>
        <v>#VALUE!</v>
      </c>
      <c r="H521" s="51" t="str">
        <f>IFERROR(__xludf.DUMMYFUNCTION("""COMPUTED_VALUE"""),"")</f>
        <v/>
      </c>
      <c r="I521" s="51" t="str">
        <f>IFERROR(__xludf.DUMMYFUNCTION("""COMPUTED_VALUE"""),"#VALUE!")</f>
        <v>#VALUE!</v>
      </c>
      <c r="J521" s="51" t="str">
        <f>IFERROR(__xludf.DUMMYFUNCTION("""COMPUTED_VALUE"""),"")</f>
        <v/>
      </c>
      <c r="K521" s="51"/>
      <c r="L521" s="51" t="s">
        <v>257</v>
      </c>
      <c r="M521" s="51"/>
      <c r="N521" s="51"/>
      <c r="O521" s="51"/>
      <c r="P521" s="51"/>
      <c r="Q521" s="51"/>
      <c r="R521" s="51"/>
      <c r="S521" s="51"/>
      <c r="T521" s="51"/>
    </row>
    <row r="522">
      <c r="A522" s="51"/>
      <c r="B522" s="51"/>
      <c r="C522" s="56"/>
      <c r="D522" s="51"/>
      <c r="E522" s="51"/>
      <c r="F522" s="51"/>
      <c r="G522" s="51" t="str">
        <f>IFERROR(__xludf.DUMMYFUNCTION("""COMPUTED_VALUE"""),"#VALUE!")</f>
        <v>#VALUE!</v>
      </c>
      <c r="H522" s="51" t="str">
        <f>IFERROR(__xludf.DUMMYFUNCTION("""COMPUTED_VALUE"""),"")</f>
        <v/>
      </c>
      <c r="I522" s="51" t="str">
        <f>IFERROR(__xludf.DUMMYFUNCTION("""COMPUTED_VALUE"""),"#VALUE!")</f>
        <v>#VALUE!</v>
      </c>
      <c r="J522" s="51" t="str">
        <f>IFERROR(__xludf.DUMMYFUNCTION("""COMPUTED_VALUE"""),"")</f>
        <v/>
      </c>
      <c r="K522" s="51"/>
      <c r="L522" s="51" t="s">
        <v>257</v>
      </c>
      <c r="M522" s="51"/>
      <c r="N522" s="51"/>
      <c r="O522" s="51"/>
      <c r="P522" s="51"/>
      <c r="Q522" s="51"/>
      <c r="R522" s="51"/>
      <c r="S522" s="51"/>
      <c r="T522" s="51"/>
    </row>
    <row r="523">
      <c r="A523" s="51"/>
      <c r="B523" s="51"/>
      <c r="C523" s="56"/>
      <c r="D523" s="51"/>
      <c r="E523" s="51"/>
      <c r="F523" s="51"/>
      <c r="G523" s="51" t="str">
        <f>IFERROR(__xludf.DUMMYFUNCTION("""COMPUTED_VALUE"""),"#VALUE!")</f>
        <v>#VALUE!</v>
      </c>
      <c r="H523" s="51" t="str">
        <f>IFERROR(__xludf.DUMMYFUNCTION("""COMPUTED_VALUE"""),"")</f>
        <v/>
      </c>
      <c r="I523" s="51" t="str">
        <f>IFERROR(__xludf.DUMMYFUNCTION("""COMPUTED_VALUE"""),"#VALUE!")</f>
        <v>#VALUE!</v>
      </c>
      <c r="J523" s="51" t="str">
        <f>IFERROR(__xludf.DUMMYFUNCTION("""COMPUTED_VALUE"""),"")</f>
        <v/>
      </c>
      <c r="K523" s="51"/>
      <c r="L523" s="51" t="s">
        <v>257</v>
      </c>
      <c r="M523" s="51"/>
      <c r="N523" s="51"/>
      <c r="O523" s="51"/>
      <c r="P523" s="51"/>
      <c r="Q523" s="51"/>
      <c r="R523" s="51"/>
      <c r="S523" s="51"/>
      <c r="T523" s="51"/>
    </row>
    <row r="524">
      <c r="A524" s="51"/>
      <c r="B524" s="51"/>
      <c r="C524" s="56"/>
      <c r="D524" s="51"/>
      <c r="E524" s="51"/>
      <c r="F524" s="51"/>
      <c r="G524" s="51" t="str">
        <f>IFERROR(__xludf.DUMMYFUNCTION("""COMPUTED_VALUE"""),"#VALUE!")</f>
        <v>#VALUE!</v>
      </c>
      <c r="H524" s="51" t="str">
        <f>IFERROR(__xludf.DUMMYFUNCTION("""COMPUTED_VALUE"""),"")</f>
        <v/>
      </c>
      <c r="I524" s="51" t="str">
        <f>IFERROR(__xludf.DUMMYFUNCTION("""COMPUTED_VALUE"""),"#VALUE!")</f>
        <v>#VALUE!</v>
      </c>
      <c r="J524" s="51" t="str">
        <f>IFERROR(__xludf.DUMMYFUNCTION("""COMPUTED_VALUE"""),"")</f>
        <v/>
      </c>
      <c r="K524" s="51"/>
      <c r="L524" s="51" t="s">
        <v>257</v>
      </c>
      <c r="M524" s="51"/>
      <c r="N524" s="51"/>
      <c r="O524" s="51"/>
      <c r="P524" s="51"/>
      <c r="Q524" s="51"/>
      <c r="R524" s="51"/>
      <c r="S524" s="51"/>
      <c r="T524" s="51"/>
    </row>
    <row r="525">
      <c r="A525" s="51"/>
      <c r="B525" s="51"/>
      <c r="C525" s="56"/>
      <c r="D525" s="51"/>
      <c r="E525" s="51"/>
      <c r="F525" s="51"/>
      <c r="G525" s="51" t="str">
        <f>IFERROR(__xludf.DUMMYFUNCTION("""COMPUTED_VALUE"""),"#VALUE!")</f>
        <v>#VALUE!</v>
      </c>
      <c r="H525" s="51" t="str">
        <f>IFERROR(__xludf.DUMMYFUNCTION("""COMPUTED_VALUE"""),"")</f>
        <v/>
      </c>
      <c r="I525" s="51" t="str">
        <f>IFERROR(__xludf.DUMMYFUNCTION("""COMPUTED_VALUE"""),"#VALUE!")</f>
        <v>#VALUE!</v>
      </c>
      <c r="J525" s="51" t="str">
        <f>IFERROR(__xludf.DUMMYFUNCTION("""COMPUTED_VALUE"""),"")</f>
        <v/>
      </c>
      <c r="K525" s="51"/>
      <c r="L525" s="51" t="s">
        <v>257</v>
      </c>
      <c r="M525" s="51"/>
      <c r="N525" s="51"/>
      <c r="O525" s="51"/>
      <c r="P525" s="51"/>
      <c r="Q525" s="51"/>
      <c r="R525" s="51"/>
      <c r="S525" s="51"/>
      <c r="T525" s="51"/>
    </row>
    <row r="526">
      <c r="A526" s="51"/>
      <c r="B526" s="51"/>
      <c r="C526" s="56"/>
      <c r="D526" s="51"/>
      <c r="E526" s="51"/>
      <c r="F526" s="51"/>
      <c r="G526" s="51" t="str">
        <f>IFERROR(__xludf.DUMMYFUNCTION("""COMPUTED_VALUE"""),"#VALUE!")</f>
        <v>#VALUE!</v>
      </c>
      <c r="H526" s="51" t="str">
        <f>IFERROR(__xludf.DUMMYFUNCTION("""COMPUTED_VALUE"""),"")</f>
        <v/>
      </c>
      <c r="I526" s="51" t="str">
        <f>IFERROR(__xludf.DUMMYFUNCTION("""COMPUTED_VALUE"""),"#VALUE!")</f>
        <v>#VALUE!</v>
      </c>
      <c r="J526" s="51" t="str">
        <f>IFERROR(__xludf.DUMMYFUNCTION("""COMPUTED_VALUE"""),"")</f>
        <v/>
      </c>
      <c r="K526" s="51"/>
      <c r="L526" s="51" t="s">
        <v>257</v>
      </c>
      <c r="M526" s="51"/>
      <c r="N526" s="51"/>
      <c r="O526" s="51"/>
      <c r="P526" s="51"/>
      <c r="Q526" s="51"/>
      <c r="R526" s="51"/>
      <c r="S526" s="51"/>
      <c r="T526" s="51"/>
    </row>
    <row r="527">
      <c r="A527" s="51"/>
      <c r="B527" s="51"/>
      <c r="C527" s="56"/>
      <c r="D527" s="51"/>
      <c r="E527" s="51"/>
      <c r="F527" s="51"/>
      <c r="G527" s="51" t="str">
        <f>IFERROR(__xludf.DUMMYFUNCTION("""COMPUTED_VALUE"""),"#VALUE!")</f>
        <v>#VALUE!</v>
      </c>
      <c r="H527" s="51" t="str">
        <f>IFERROR(__xludf.DUMMYFUNCTION("""COMPUTED_VALUE"""),"")</f>
        <v/>
      </c>
      <c r="I527" s="51" t="str">
        <f>IFERROR(__xludf.DUMMYFUNCTION("""COMPUTED_VALUE"""),"#VALUE!")</f>
        <v>#VALUE!</v>
      </c>
      <c r="J527" s="51" t="str">
        <f>IFERROR(__xludf.DUMMYFUNCTION("""COMPUTED_VALUE"""),"")</f>
        <v/>
      </c>
      <c r="K527" s="51"/>
      <c r="L527" s="51" t="s">
        <v>257</v>
      </c>
      <c r="M527" s="51"/>
      <c r="N527" s="51"/>
      <c r="O527" s="51"/>
      <c r="P527" s="51"/>
      <c r="Q527" s="51"/>
      <c r="R527" s="51"/>
      <c r="S527" s="51"/>
      <c r="T527" s="51"/>
    </row>
    <row r="528">
      <c r="A528" s="51"/>
      <c r="B528" s="51"/>
      <c r="C528" s="56"/>
      <c r="D528" s="51"/>
      <c r="E528" s="51"/>
      <c r="F528" s="51"/>
      <c r="G528" s="51" t="str">
        <f>IFERROR(__xludf.DUMMYFUNCTION("""COMPUTED_VALUE"""),"#VALUE!")</f>
        <v>#VALUE!</v>
      </c>
      <c r="H528" s="51" t="str">
        <f>IFERROR(__xludf.DUMMYFUNCTION("""COMPUTED_VALUE"""),"")</f>
        <v/>
      </c>
      <c r="I528" s="51" t="str">
        <f>IFERROR(__xludf.DUMMYFUNCTION("""COMPUTED_VALUE"""),"#VALUE!")</f>
        <v>#VALUE!</v>
      </c>
      <c r="J528" s="51" t="str">
        <f>IFERROR(__xludf.DUMMYFUNCTION("""COMPUTED_VALUE"""),"")</f>
        <v/>
      </c>
      <c r="K528" s="51"/>
      <c r="L528" s="51" t="s">
        <v>257</v>
      </c>
      <c r="M528" s="51"/>
      <c r="N528" s="51"/>
      <c r="O528" s="51"/>
      <c r="P528" s="51"/>
      <c r="Q528" s="51"/>
      <c r="R528" s="51"/>
      <c r="S528" s="51"/>
      <c r="T528" s="51"/>
    </row>
    <row r="529">
      <c r="A529" s="51"/>
      <c r="B529" s="51"/>
      <c r="C529" s="56"/>
      <c r="D529" s="51"/>
      <c r="E529" s="51"/>
      <c r="F529" s="51"/>
      <c r="G529" s="51" t="str">
        <f>IFERROR(__xludf.DUMMYFUNCTION("""COMPUTED_VALUE"""),"#VALUE!")</f>
        <v>#VALUE!</v>
      </c>
      <c r="H529" s="51" t="str">
        <f>IFERROR(__xludf.DUMMYFUNCTION("""COMPUTED_VALUE"""),"")</f>
        <v/>
      </c>
      <c r="I529" s="51" t="str">
        <f>IFERROR(__xludf.DUMMYFUNCTION("""COMPUTED_VALUE"""),"#VALUE!")</f>
        <v>#VALUE!</v>
      </c>
      <c r="J529" s="51" t="str">
        <f>IFERROR(__xludf.DUMMYFUNCTION("""COMPUTED_VALUE"""),"")</f>
        <v/>
      </c>
      <c r="K529" s="51"/>
      <c r="L529" s="51" t="s">
        <v>257</v>
      </c>
      <c r="M529" s="51"/>
      <c r="N529" s="51"/>
      <c r="O529" s="51"/>
      <c r="P529" s="51"/>
      <c r="Q529" s="51"/>
      <c r="R529" s="51"/>
      <c r="S529" s="51"/>
      <c r="T529" s="51"/>
    </row>
    <row r="530">
      <c r="A530" s="51"/>
      <c r="B530" s="51"/>
      <c r="C530" s="56"/>
      <c r="D530" s="51"/>
      <c r="E530" s="51"/>
      <c r="F530" s="51"/>
      <c r="G530" s="51" t="str">
        <f>IFERROR(__xludf.DUMMYFUNCTION("""COMPUTED_VALUE"""),"#VALUE!")</f>
        <v>#VALUE!</v>
      </c>
      <c r="H530" s="51" t="str">
        <f>IFERROR(__xludf.DUMMYFUNCTION("""COMPUTED_VALUE"""),"")</f>
        <v/>
      </c>
      <c r="I530" s="51" t="str">
        <f>IFERROR(__xludf.DUMMYFUNCTION("""COMPUTED_VALUE"""),"#VALUE!")</f>
        <v>#VALUE!</v>
      </c>
      <c r="J530" s="51" t="str">
        <f>IFERROR(__xludf.DUMMYFUNCTION("""COMPUTED_VALUE"""),"")</f>
        <v/>
      </c>
      <c r="K530" s="51"/>
      <c r="L530" s="51" t="s">
        <v>257</v>
      </c>
      <c r="M530" s="51"/>
      <c r="N530" s="51"/>
      <c r="O530" s="51"/>
      <c r="P530" s="51"/>
      <c r="Q530" s="51"/>
      <c r="R530" s="51"/>
      <c r="S530" s="51"/>
      <c r="T530" s="51"/>
    </row>
    <row r="531">
      <c r="A531" s="51"/>
      <c r="B531" s="51"/>
      <c r="C531" s="56"/>
      <c r="D531" s="51"/>
      <c r="E531" s="51"/>
      <c r="F531" s="51"/>
      <c r="G531" s="51" t="str">
        <f>IFERROR(__xludf.DUMMYFUNCTION("""COMPUTED_VALUE"""),"#VALUE!")</f>
        <v>#VALUE!</v>
      </c>
      <c r="H531" s="51" t="str">
        <f>IFERROR(__xludf.DUMMYFUNCTION("""COMPUTED_VALUE"""),"")</f>
        <v/>
      </c>
      <c r="I531" s="51" t="str">
        <f>IFERROR(__xludf.DUMMYFUNCTION("""COMPUTED_VALUE"""),"#VALUE!")</f>
        <v>#VALUE!</v>
      </c>
      <c r="J531" s="51" t="str">
        <f>IFERROR(__xludf.DUMMYFUNCTION("""COMPUTED_VALUE"""),"")</f>
        <v/>
      </c>
      <c r="K531" s="51"/>
      <c r="L531" s="51" t="s">
        <v>257</v>
      </c>
      <c r="M531" s="51"/>
      <c r="N531" s="51"/>
      <c r="O531" s="51"/>
      <c r="P531" s="51"/>
      <c r="Q531" s="51"/>
      <c r="R531" s="51"/>
      <c r="S531" s="51"/>
      <c r="T531" s="51"/>
    </row>
    <row r="532">
      <c r="A532" s="51"/>
      <c r="B532" s="51"/>
      <c r="C532" s="56"/>
      <c r="D532" s="51"/>
      <c r="E532" s="51"/>
      <c r="F532" s="51"/>
      <c r="G532" s="51" t="str">
        <f>IFERROR(__xludf.DUMMYFUNCTION("""COMPUTED_VALUE"""),"#VALUE!")</f>
        <v>#VALUE!</v>
      </c>
      <c r="H532" s="51" t="str">
        <f>IFERROR(__xludf.DUMMYFUNCTION("""COMPUTED_VALUE"""),"")</f>
        <v/>
      </c>
      <c r="I532" s="51" t="str">
        <f>IFERROR(__xludf.DUMMYFUNCTION("""COMPUTED_VALUE"""),"#VALUE!")</f>
        <v>#VALUE!</v>
      </c>
      <c r="J532" s="51" t="str">
        <f>IFERROR(__xludf.DUMMYFUNCTION("""COMPUTED_VALUE"""),"")</f>
        <v/>
      </c>
      <c r="K532" s="51"/>
      <c r="L532" s="51" t="s">
        <v>257</v>
      </c>
      <c r="M532" s="51"/>
      <c r="N532" s="51"/>
      <c r="O532" s="51"/>
      <c r="P532" s="51"/>
      <c r="Q532" s="51"/>
      <c r="R532" s="51"/>
      <c r="S532" s="51"/>
      <c r="T532" s="51"/>
    </row>
    <row r="533">
      <c r="A533" s="51"/>
      <c r="B533" s="51"/>
      <c r="C533" s="56"/>
      <c r="D533" s="51"/>
      <c r="E533" s="51"/>
      <c r="F533" s="51"/>
      <c r="G533" s="51" t="str">
        <f>IFERROR(__xludf.DUMMYFUNCTION("""COMPUTED_VALUE"""),"#VALUE!")</f>
        <v>#VALUE!</v>
      </c>
      <c r="H533" s="51" t="str">
        <f>IFERROR(__xludf.DUMMYFUNCTION("""COMPUTED_VALUE"""),"")</f>
        <v/>
      </c>
      <c r="I533" s="51" t="str">
        <f>IFERROR(__xludf.DUMMYFUNCTION("""COMPUTED_VALUE"""),"#VALUE!")</f>
        <v>#VALUE!</v>
      </c>
      <c r="J533" s="51" t="str">
        <f>IFERROR(__xludf.DUMMYFUNCTION("""COMPUTED_VALUE"""),"")</f>
        <v/>
      </c>
      <c r="K533" s="51"/>
      <c r="L533" s="51" t="s">
        <v>257</v>
      </c>
      <c r="M533" s="51"/>
      <c r="N533" s="51"/>
      <c r="O533" s="51"/>
      <c r="P533" s="51"/>
      <c r="Q533" s="51"/>
      <c r="R533" s="51"/>
      <c r="S533" s="51"/>
      <c r="T533" s="51"/>
    </row>
    <row r="534">
      <c r="A534" s="51"/>
      <c r="B534" s="51"/>
      <c r="C534" s="56"/>
      <c r="D534" s="51"/>
      <c r="E534" s="51"/>
      <c r="F534" s="51"/>
      <c r="G534" s="51" t="str">
        <f>IFERROR(__xludf.DUMMYFUNCTION("""COMPUTED_VALUE"""),"#VALUE!")</f>
        <v>#VALUE!</v>
      </c>
      <c r="H534" s="51" t="str">
        <f>IFERROR(__xludf.DUMMYFUNCTION("""COMPUTED_VALUE"""),"")</f>
        <v/>
      </c>
      <c r="I534" s="51" t="str">
        <f>IFERROR(__xludf.DUMMYFUNCTION("""COMPUTED_VALUE"""),"#VALUE!")</f>
        <v>#VALUE!</v>
      </c>
      <c r="J534" s="51" t="str">
        <f>IFERROR(__xludf.DUMMYFUNCTION("""COMPUTED_VALUE"""),"")</f>
        <v/>
      </c>
      <c r="K534" s="51"/>
      <c r="L534" s="51" t="s">
        <v>257</v>
      </c>
      <c r="M534" s="51"/>
      <c r="N534" s="51"/>
      <c r="O534" s="51"/>
      <c r="P534" s="51"/>
      <c r="Q534" s="51"/>
      <c r="R534" s="51"/>
      <c r="S534" s="51"/>
      <c r="T534" s="51"/>
    </row>
    <row r="535">
      <c r="A535" s="51"/>
      <c r="B535" s="51"/>
      <c r="C535" s="56"/>
      <c r="D535" s="51"/>
      <c r="E535" s="51"/>
      <c r="F535" s="51"/>
      <c r="G535" s="51" t="str">
        <f>IFERROR(__xludf.DUMMYFUNCTION("""COMPUTED_VALUE"""),"#VALUE!")</f>
        <v>#VALUE!</v>
      </c>
      <c r="H535" s="51" t="str">
        <f>IFERROR(__xludf.DUMMYFUNCTION("""COMPUTED_VALUE"""),"")</f>
        <v/>
      </c>
      <c r="I535" s="51" t="str">
        <f>IFERROR(__xludf.DUMMYFUNCTION("""COMPUTED_VALUE"""),"#VALUE!")</f>
        <v>#VALUE!</v>
      </c>
      <c r="J535" s="51" t="str">
        <f>IFERROR(__xludf.DUMMYFUNCTION("""COMPUTED_VALUE"""),"")</f>
        <v/>
      </c>
      <c r="K535" s="51"/>
      <c r="L535" s="51" t="s">
        <v>257</v>
      </c>
      <c r="M535" s="51"/>
      <c r="N535" s="51"/>
      <c r="O535" s="51"/>
      <c r="P535" s="51"/>
      <c r="Q535" s="51"/>
      <c r="R535" s="51"/>
      <c r="S535" s="51"/>
      <c r="T535" s="51"/>
    </row>
    <row r="536">
      <c r="A536" s="51"/>
      <c r="B536" s="51"/>
      <c r="C536" s="56"/>
      <c r="D536" s="51"/>
      <c r="E536" s="51"/>
      <c r="F536" s="51"/>
      <c r="G536" s="51" t="str">
        <f>IFERROR(__xludf.DUMMYFUNCTION("""COMPUTED_VALUE"""),"#VALUE!")</f>
        <v>#VALUE!</v>
      </c>
      <c r="H536" s="51" t="str">
        <f>IFERROR(__xludf.DUMMYFUNCTION("""COMPUTED_VALUE"""),"")</f>
        <v/>
      </c>
      <c r="I536" s="51" t="str">
        <f>IFERROR(__xludf.DUMMYFUNCTION("""COMPUTED_VALUE"""),"#VALUE!")</f>
        <v>#VALUE!</v>
      </c>
      <c r="J536" s="51" t="str">
        <f>IFERROR(__xludf.DUMMYFUNCTION("""COMPUTED_VALUE"""),"")</f>
        <v/>
      </c>
      <c r="K536" s="51"/>
      <c r="L536" s="51" t="s">
        <v>257</v>
      </c>
      <c r="M536" s="51"/>
      <c r="N536" s="51"/>
      <c r="O536" s="51"/>
      <c r="P536" s="51"/>
      <c r="Q536" s="51"/>
      <c r="R536" s="51"/>
      <c r="S536" s="51"/>
      <c r="T536" s="51"/>
    </row>
    <row r="537">
      <c r="A537" s="51"/>
      <c r="B537" s="51"/>
      <c r="C537" s="56"/>
      <c r="D537" s="51"/>
      <c r="E537" s="51"/>
      <c r="F537" s="51"/>
      <c r="G537" s="51" t="str">
        <f>IFERROR(__xludf.DUMMYFUNCTION("""COMPUTED_VALUE"""),"#VALUE!")</f>
        <v>#VALUE!</v>
      </c>
      <c r="H537" s="51" t="str">
        <f>IFERROR(__xludf.DUMMYFUNCTION("""COMPUTED_VALUE"""),"")</f>
        <v/>
      </c>
      <c r="I537" s="51" t="str">
        <f>IFERROR(__xludf.DUMMYFUNCTION("""COMPUTED_VALUE"""),"#VALUE!")</f>
        <v>#VALUE!</v>
      </c>
      <c r="J537" s="51" t="str">
        <f>IFERROR(__xludf.DUMMYFUNCTION("""COMPUTED_VALUE"""),"")</f>
        <v/>
      </c>
      <c r="K537" s="51"/>
      <c r="L537" s="51" t="s">
        <v>257</v>
      </c>
      <c r="M537" s="51"/>
      <c r="N537" s="51"/>
      <c r="O537" s="51"/>
      <c r="P537" s="51"/>
      <c r="Q537" s="51"/>
      <c r="R537" s="51"/>
      <c r="S537" s="51"/>
      <c r="T537" s="51"/>
    </row>
    <row r="538">
      <c r="A538" s="51"/>
      <c r="B538" s="51"/>
      <c r="C538" s="56"/>
      <c r="D538" s="51"/>
      <c r="E538" s="51"/>
      <c r="F538" s="51"/>
      <c r="G538" s="51" t="str">
        <f>IFERROR(__xludf.DUMMYFUNCTION("""COMPUTED_VALUE"""),"#VALUE!")</f>
        <v>#VALUE!</v>
      </c>
      <c r="H538" s="51" t="str">
        <f>IFERROR(__xludf.DUMMYFUNCTION("""COMPUTED_VALUE"""),"")</f>
        <v/>
      </c>
      <c r="I538" s="51" t="str">
        <f>IFERROR(__xludf.DUMMYFUNCTION("""COMPUTED_VALUE"""),"#VALUE!")</f>
        <v>#VALUE!</v>
      </c>
      <c r="J538" s="51" t="str">
        <f>IFERROR(__xludf.DUMMYFUNCTION("""COMPUTED_VALUE"""),"")</f>
        <v/>
      </c>
      <c r="K538" s="51"/>
      <c r="L538" s="51" t="s">
        <v>257</v>
      </c>
      <c r="M538" s="51"/>
      <c r="N538" s="51"/>
      <c r="O538" s="51"/>
      <c r="P538" s="51"/>
      <c r="Q538" s="51"/>
      <c r="R538" s="51"/>
      <c r="S538" s="51"/>
      <c r="T538" s="51"/>
    </row>
    <row r="539">
      <c r="A539" s="51"/>
      <c r="B539" s="51"/>
      <c r="C539" s="56"/>
      <c r="D539" s="51"/>
      <c r="E539" s="51"/>
      <c r="F539" s="51"/>
      <c r="G539" s="51" t="str">
        <f>IFERROR(__xludf.DUMMYFUNCTION("""COMPUTED_VALUE"""),"#VALUE!")</f>
        <v>#VALUE!</v>
      </c>
      <c r="H539" s="51" t="str">
        <f>IFERROR(__xludf.DUMMYFUNCTION("""COMPUTED_VALUE"""),"")</f>
        <v/>
      </c>
      <c r="I539" s="51" t="str">
        <f>IFERROR(__xludf.DUMMYFUNCTION("""COMPUTED_VALUE"""),"#VALUE!")</f>
        <v>#VALUE!</v>
      </c>
      <c r="J539" s="51" t="str">
        <f>IFERROR(__xludf.DUMMYFUNCTION("""COMPUTED_VALUE"""),"")</f>
        <v/>
      </c>
      <c r="K539" s="51"/>
      <c r="L539" s="51" t="s">
        <v>257</v>
      </c>
      <c r="M539" s="51"/>
      <c r="N539" s="51"/>
      <c r="O539" s="51"/>
      <c r="P539" s="51"/>
      <c r="Q539" s="51"/>
      <c r="R539" s="51"/>
      <c r="S539" s="51"/>
      <c r="T539" s="51"/>
    </row>
    <row r="540">
      <c r="A540" s="51"/>
      <c r="B540" s="51"/>
      <c r="C540" s="56"/>
      <c r="D540" s="51"/>
      <c r="E540" s="51"/>
      <c r="F540" s="51"/>
      <c r="G540" s="51" t="str">
        <f>IFERROR(__xludf.DUMMYFUNCTION("""COMPUTED_VALUE"""),"#VALUE!")</f>
        <v>#VALUE!</v>
      </c>
      <c r="H540" s="51" t="str">
        <f>IFERROR(__xludf.DUMMYFUNCTION("""COMPUTED_VALUE"""),"")</f>
        <v/>
      </c>
      <c r="I540" s="51" t="str">
        <f>IFERROR(__xludf.DUMMYFUNCTION("""COMPUTED_VALUE"""),"#VALUE!")</f>
        <v>#VALUE!</v>
      </c>
      <c r="J540" s="51" t="str">
        <f>IFERROR(__xludf.DUMMYFUNCTION("""COMPUTED_VALUE"""),"")</f>
        <v/>
      </c>
      <c r="K540" s="51"/>
      <c r="L540" s="51" t="s">
        <v>257</v>
      </c>
      <c r="M540" s="51"/>
      <c r="N540" s="51"/>
      <c r="O540" s="51"/>
      <c r="P540" s="51"/>
      <c r="Q540" s="51"/>
      <c r="R540" s="51"/>
      <c r="S540" s="51"/>
      <c r="T540" s="51"/>
    </row>
    <row r="541">
      <c r="A541" s="51"/>
      <c r="B541" s="51"/>
      <c r="C541" s="56"/>
      <c r="D541" s="51"/>
      <c r="E541" s="51"/>
      <c r="F541" s="51"/>
      <c r="G541" s="51" t="str">
        <f>IFERROR(__xludf.DUMMYFUNCTION("""COMPUTED_VALUE"""),"#VALUE!")</f>
        <v>#VALUE!</v>
      </c>
      <c r="H541" s="51" t="str">
        <f>IFERROR(__xludf.DUMMYFUNCTION("""COMPUTED_VALUE"""),"")</f>
        <v/>
      </c>
      <c r="I541" s="51" t="str">
        <f>IFERROR(__xludf.DUMMYFUNCTION("""COMPUTED_VALUE"""),"#VALUE!")</f>
        <v>#VALUE!</v>
      </c>
      <c r="J541" s="51" t="str">
        <f>IFERROR(__xludf.DUMMYFUNCTION("""COMPUTED_VALUE"""),"")</f>
        <v/>
      </c>
      <c r="K541" s="51"/>
      <c r="L541" s="51" t="s">
        <v>257</v>
      </c>
      <c r="M541" s="51"/>
      <c r="N541" s="51"/>
      <c r="O541" s="51"/>
      <c r="P541" s="51"/>
      <c r="Q541" s="51"/>
      <c r="R541" s="51"/>
      <c r="S541" s="51"/>
      <c r="T541" s="51"/>
    </row>
    <row r="542">
      <c r="A542" s="51"/>
      <c r="B542" s="51"/>
      <c r="C542" s="56"/>
      <c r="D542" s="51"/>
      <c r="E542" s="51"/>
      <c r="F542" s="51"/>
      <c r="G542" s="51" t="str">
        <f>IFERROR(__xludf.DUMMYFUNCTION("""COMPUTED_VALUE"""),"#VALUE!")</f>
        <v>#VALUE!</v>
      </c>
      <c r="H542" s="51" t="str">
        <f>IFERROR(__xludf.DUMMYFUNCTION("""COMPUTED_VALUE"""),"")</f>
        <v/>
      </c>
      <c r="I542" s="51" t="str">
        <f>IFERROR(__xludf.DUMMYFUNCTION("""COMPUTED_VALUE"""),"#VALUE!")</f>
        <v>#VALUE!</v>
      </c>
      <c r="J542" s="51" t="str">
        <f>IFERROR(__xludf.DUMMYFUNCTION("""COMPUTED_VALUE"""),"")</f>
        <v/>
      </c>
      <c r="K542" s="51"/>
      <c r="L542" s="51" t="s">
        <v>257</v>
      </c>
      <c r="M542" s="51"/>
      <c r="N542" s="51"/>
      <c r="O542" s="51"/>
      <c r="P542" s="51"/>
      <c r="Q542" s="51"/>
      <c r="R542" s="51"/>
      <c r="S542" s="51"/>
      <c r="T542" s="51"/>
    </row>
    <row r="543">
      <c r="A543" s="51"/>
      <c r="B543" s="51"/>
      <c r="C543" s="56"/>
      <c r="D543" s="51"/>
      <c r="E543" s="51"/>
      <c r="F543" s="51"/>
      <c r="G543" s="51" t="str">
        <f>IFERROR(__xludf.DUMMYFUNCTION("""COMPUTED_VALUE"""),"#VALUE!")</f>
        <v>#VALUE!</v>
      </c>
      <c r="H543" s="51" t="str">
        <f>IFERROR(__xludf.DUMMYFUNCTION("""COMPUTED_VALUE"""),"")</f>
        <v/>
      </c>
      <c r="I543" s="51" t="str">
        <f>IFERROR(__xludf.DUMMYFUNCTION("""COMPUTED_VALUE"""),"#VALUE!")</f>
        <v>#VALUE!</v>
      </c>
      <c r="J543" s="51" t="str">
        <f>IFERROR(__xludf.DUMMYFUNCTION("""COMPUTED_VALUE"""),"")</f>
        <v/>
      </c>
      <c r="K543" s="51"/>
      <c r="L543" s="51" t="s">
        <v>257</v>
      </c>
      <c r="M543" s="51"/>
      <c r="N543" s="51"/>
      <c r="O543" s="51"/>
      <c r="P543" s="51"/>
      <c r="Q543" s="51"/>
      <c r="R543" s="51"/>
      <c r="S543" s="51"/>
      <c r="T543" s="51"/>
    </row>
    <row r="544">
      <c r="A544" s="51"/>
      <c r="B544" s="51"/>
      <c r="C544" s="56"/>
      <c r="D544" s="51"/>
      <c r="E544" s="51"/>
      <c r="F544" s="51"/>
      <c r="G544" s="51" t="str">
        <f>IFERROR(__xludf.DUMMYFUNCTION("""COMPUTED_VALUE"""),"#VALUE!")</f>
        <v>#VALUE!</v>
      </c>
      <c r="H544" s="51" t="str">
        <f>IFERROR(__xludf.DUMMYFUNCTION("""COMPUTED_VALUE"""),"")</f>
        <v/>
      </c>
      <c r="I544" s="51" t="str">
        <f>IFERROR(__xludf.DUMMYFUNCTION("""COMPUTED_VALUE"""),"#VALUE!")</f>
        <v>#VALUE!</v>
      </c>
      <c r="J544" s="51" t="str">
        <f>IFERROR(__xludf.DUMMYFUNCTION("""COMPUTED_VALUE"""),"")</f>
        <v/>
      </c>
      <c r="K544" s="51"/>
      <c r="L544" s="51" t="s">
        <v>257</v>
      </c>
      <c r="M544" s="51"/>
      <c r="N544" s="51"/>
      <c r="O544" s="51"/>
      <c r="P544" s="51"/>
      <c r="Q544" s="51"/>
      <c r="R544" s="51"/>
      <c r="S544" s="51"/>
      <c r="T544" s="51"/>
    </row>
    <row r="545">
      <c r="A545" s="51"/>
      <c r="B545" s="51"/>
      <c r="C545" s="56"/>
      <c r="D545" s="51"/>
      <c r="E545" s="51"/>
      <c r="F545" s="51"/>
      <c r="G545" s="51" t="str">
        <f>IFERROR(__xludf.DUMMYFUNCTION("""COMPUTED_VALUE"""),"#VALUE!")</f>
        <v>#VALUE!</v>
      </c>
      <c r="H545" s="51" t="str">
        <f>IFERROR(__xludf.DUMMYFUNCTION("""COMPUTED_VALUE"""),"")</f>
        <v/>
      </c>
      <c r="I545" s="51" t="str">
        <f>IFERROR(__xludf.DUMMYFUNCTION("""COMPUTED_VALUE"""),"#VALUE!")</f>
        <v>#VALUE!</v>
      </c>
      <c r="J545" s="51" t="str">
        <f>IFERROR(__xludf.DUMMYFUNCTION("""COMPUTED_VALUE"""),"")</f>
        <v/>
      </c>
      <c r="K545" s="51"/>
      <c r="L545" s="51" t="s">
        <v>257</v>
      </c>
      <c r="M545" s="51"/>
      <c r="N545" s="51"/>
      <c r="O545" s="51"/>
      <c r="P545" s="51"/>
      <c r="Q545" s="51"/>
      <c r="R545" s="51"/>
      <c r="S545" s="51"/>
      <c r="T545" s="51"/>
    </row>
  </sheetData>
  <conditionalFormatting sqref="O2:O33">
    <cfRule type="containsText" dxfId="4" priority="1" operator="containsText" text="YES">
      <formula>NOT(ISERROR(SEARCH(("YES"),(O2))))</formula>
    </cfRule>
  </conditionalFormatting>
  <conditionalFormatting sqref="O2:O33">
    <cfRule type="cellIs" dxfId="5" priority="2" operator="equal">
      <formula>"NO"</formula>
    </cfRule>
  </conditionalFormatting>
  <conditionalFormatting sqref="P2:P33">
    <cfRule type="cellIs" dxfId="4" priority="3" operator="equal">
      <formula>"AVAILABLE"</formula>
    </cfRule>
  </conditionalFormatting>
  <conditionalFormatting sqref="P2:P33">
    <cfRule type="cellIs" dxfId="5" priority="4" operator="equal">
      <formula>"NOT AVAILABLE"</formula>
    </cfRule>
  </conditionalFormatting>
  <conditionalFormatting sqref="Q2:Q33">
    <cfRule type="cellIs" dxfId="4" priority="5" operator="equal">
      <formula>"AVAILABLE"</formula>
    </cfRule>
  </conditionalFormatting>
  <conditionalFormatting sqref="Q2:Q33">
    <cfRule type="cellIs" dxfId="6" priority="6" operator="equal">
      <formula>"UPLOADING"</formula>
    </cfRule>
  </conditionalFormatting>
  <conditionalFormatting sqref="Q2:Q33">
    <cfRule type="cellIs" dxfId="5" priority="7" operator="equal">
      <formula>"NOT AVAILABLE"</formula>
    </cfRule>
  </conditionalFormatting>
  <dataValidations>
    <dataValidation type="list" allowBlank="1" sqref="O2:O33">
      <formula1>"YES,NO"</formula1>
    </dataValidation>
    <dataValidation type="list" allowBlank="1" sqref="P2:P33">
      <formula1>"AVAILABLE,NOT AVAILABLE"</formula1>
    </dataValidation>
    <dataValidation type="list" allowBlank="1" sqref="Q2:Q33">
      <formula1>"AVAILABLE,UPLOADING,NOT AVAILABLE"</formula1>
    </dataValidation>
  </dataValidations>
  <drawing r:id="rId1"/>
  <tableParts count="1">
    <tablePart r:id="rId3"/>
  </tableParts>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5.0"/>
    <col customWidth="1" min="3" max="3" width="26.0"/>
    <col hidden="1" min="4" max="5" width="14.43"/>
    <col hidden="1" min="9" max="9" width="14.43"/>
  </cols>
  <sheetData>
    <row r="1">
      <c r="A1" s="46" t="s">
        <v>79</v>
      </c>
      <c r="B1" s="46" t="s">
        <v>80</v>
      </c>
      <c r="C1" s="48" t="s">
        <v>81</v>
      </c>
      <c r="D1" s="46" t="s">
        <v>82</v>
      </c>
      <c r="E1" s="46" t="s">
        <v>83</v>
      </c>
      <c r="F1" s="46" t="s">
        <v>84</v>
      </c>
      <c r="G1" s="46" t="s">
        <v>85</v>
      </c>
      <c r="H1" s="46" t="s">
        <v>86</v>
      </c>
      <c r="I1" s="46" t="s">
        <v>87</v>
      </c>
      <c r="J1" s="46" t="s">
        <v>88</v>
      </c>
      <c r="K1" s="46" t="s">
        <v>89</v>
      </c>
      <c r="L1" s="46" t="s">
        <v>90</v>
      </c>
      <c r="M1" s="46" t="s">
        <v>91</v>
      </c>
      <c r="N1" s="46" t="s">
        <v>92</v>
      </c>
      <c r="O1" s="50" t="s">
        <v>93</v>
      </c>
      <c r="P1" s="50" t="s">
        <v>94</v>
      </c>
      <c r="Q1" s="50" t="s">
        <v>95</v>
      </c>
      <c r="R1" s="51"/>
      <c r="S1" s="51"/>
      <c r="T1" s="51"/>
    </row>
    <row r="2">
      <c r="A2" s="51" t="str">
        <f>IFERROR(__xludf.DUMMYFUNCTION("QUERY(Master!A:H,""SELECT A,C,D,F,G,H where C = 'Modum' ORDER BY F"")"),"Opening remarks")</f>
        <v>Opening remarks</v>
      </c>
      <c r="B2" s="51" t="str">
        <f>IFERROR(__xludf.DUMMYFUNCTION("""COMPUTED_VALUE"""),"Modum")</f>
        <v>Modum</v>
      </c>
      <c r="C2" s="56" t="str">
        <f>IFERROR(__xludf.DUMMYFUNCTION("""COMPUTED_VALUE"""),"Lais de Oliveira")</f>
        <v>Lais de Oliveira</v>
      </c>
      <c r="D2" s="51" t="str">
        <f>IFERROR(__xludf.DUMMYFUNCTION("""COMPUTED_VALUE"""),"2019/11/07 11:15:00")</f>
        <v>2019/11/07 11:15:00</v>
      </c>
      <c r="E2" s="51" t="str">
        <f>IFERROR(__xludf.DUMMYFUNCTION("""COMPUTED_VALUE"""),"2019/11/07 11:30:00")</f>
        <v>2019/11/07 11:30:00</v>
      </c>
      <c r="F2" s="51" t="str">
        <f>IFERROR(__xludf.DUMMYFUNCTION("""COMPUTED_VALUE"""),"a079030a-805d-4bc9-805c-6cb55eff3b3c")</f>
        <v>a079030a-805d-4bc9-805c-6cb55eff3b3c</v>
      </c>
      <c r="G2" s="58">
        <f>IFERROR(__xludf.DUMMYFUNCTION("ARRAYFORMULA(SPLIT(D2:D523,"" ""))"),43776.0)</f>
        <v>43776</v>
      </c>
      <c r="H2" s="60">
        <f>IFERROR(__xludf.DUMMYFUNCTION("""COMPUTED_VALUE"""),0.46875)</f>
        <v>0.46875</v>
      </c>
      <c r="I2" s="61">
        <f>IFERROR(__xludf.DUMMYFUNCTION("ARRAYFORMULA(SPLIT(E2:E523,"" ""))"),43776.0)</f>
        <v>43776</v>
      </c>
      <c r="J2" s="60">
        <f>IFERROR(__xludf.DUMMYFUNCTION("""COMPUTED_VALUE"""),0.4791666666666667)</f>
        <v>0.4791666667</v>
      </c>
      <c r="K2" s="60">
        <f t="shared" ref="K2:K22" si="1">J2-H2</f>
        <v>0.01041666667</v>
      </c>
      <c r="L2" s="54" t="str">
        <f t="array" ref="L2:L523">TEXT(K2:K523,"hhmmss")</f>
        <v>001500</v>
      </c>
      <c r="M2" s="62" t="s">
        <v>329</v>
      </c>
      <c r="N2" s="62" t="str">
        <f t="shared" ref="N2:N14" si="2">CONCATENATE(M2,"_",F2,"_","000000_000000.mp4")</f>
        <v>MD_7_1_a079030a-805d-4bc9-805c-6cb55eff3b3c_000000_000000.mp4</v>
      </c>
      <c r="O2" s="50"/>
      <c r="P2" s="50"/>
      <c r="Q2" s="63"/>
      <c r="R2" s="51"/>
      <c r="S2" s="51"/>
      <c r="T2" s="51"/>
    </row>
    <row r="3">
      <c r="A3" s="51" t="str">
        <f>IFERROR(__xludf.DUMMYFUNCTION("""COMPUTED_VALUE"""),"Building an anti-brand: The evolution of visual culture")</f>
        <v>Building an anti-brand: The evolution of visual culture</v>
      </c>
      <c r="B3" s="51" t="str">
        <f>IFERROR(__xludf.DUMMYFUNCTION("""COMPUTED_VALUE"""),"Modum")</f>
        <v>Modum</v>
      </c>
      <c r="C3" s="56" t="str">
        <f>IFERROR(__xludf.DUMMYFUNCTION("""COMPUTED_VALUE""")," , Greg Lutze, Kenneth Richard and Natalie Salmon")</f>
        <v> , Greg Lutze, Kenneth Richard and Natalie Salmon</v>
      </c>
      <c r="D3" s="51" t="str">
        <f>IFERROR(__xludf.DUMMYFUNCTION("""COMPUTED_VALUE"""),"2019/11/07 11:30:00")</f>
        <v>2019/11/07 11:30:00</v>
      </c>
      <c r="E3" s="51" t="str">
        <f>IFERROR(__xludf.DUMMYFUNCTION("""COMPUTED_VALUE"""),"2019/11/07 11:55:00")</f>
        <v>2019/11/07 11:55:00</v>
      </c>
      <c r="F3" s="51" t="str">
        <f>IFERROR(__xludf.DUMMYFUNCTION("""COMPUTED_VALUE"""),"5e0d7839-5cd6-4d94-928a-65450a52ee50")</f>
        <v>5e0d7839-5cd6-4d94-928a-65450a52ee50</v>
      </c>
      <c r="G3" s="58">
        <f>IFERROR(__xludf.DUMMYFUNCTION("""COMPUTED_VALUE"""),43776.0)</f>
        <v>43776</v>
      </c>
      <c r="H3" s="60">
        <f>IFERROR(__xludf.DUMMYFUNCTION("""COMPUTED_VALUE"""),0.4791666666666667)</f>
        <v>0.4791666667</v>
      </c>
      <c r="I3" s="58">
        <f>IFERROR(__xludf.DUMMYFUNCTION("""COMPUTED_VALUE"""),43776.0)</f>
        <v>43776</v>
      </c>
      <c r="J3" s="60">
        <f>IFERROR(__xludf.DUMMYFUNCTION("""COMPUTED_VALUE"""),0.4965277777777778)</f>
        <v>0.4965277778</v>
      </c>
      <c r="K3" s="60">
        <f t="shared" si="1"/>
        <v>0.01736111111</v>
      </c>
      <c r="L3" s="51" t="s">
        <v>107</v>
      </c>
      <c r="M3" s="62" t="s">
        <v>332</v>
      </c>
      <c r="N3" s="62" t="str">
        <f t="shared" si="2"/>
        <v>MD_7_2_5e0d7839-5cd6-4d94-928a-65450a52ee50_000000_000000.mp4</v>
      </c>
      <c r="O3" s="50"/>
      <c r="P3" s="50"/>
      <c r="Q3" s="63"/>
      <c r="R3" s="51"/>
      <c r="S3" s="51"/>
      <c r="T3" s="51"/>
    </row>
    <row r="4">
      <c r="A4" s="51" t="str">
        <f>IFERROR(__xludf.DUMMYFUNCTION("""COMPUTED_VALUE"""),"Will tech be the downfall of luxury?")</f>
        <v>Will tech be the downfall of luxury?</v>
      </c>
      <c r="B4" s="51" t="str">
        <f>IFERROR(__xludf.DUMMYFUNCTION("""COMPUTED_VALUE"""),"Modum")</f>
        <v>Modum</v>
      </c>
      <c r="C4" s="56" t="str">
        <f>IFERROR(__xludf.DUMMYFUNCTION("""COMPUTED_VALUE"""),"Josh Luber, Josh Builder and Maghan McDowell")</f>
        <v>Josh Luber, Josh Builder and Maghan McDowell</v>
      </c>
      <c r="D4" s="51" t="str">
        <f>IFERROR(__xludf.DUMMYFUNCTION("""COMPUTED_VALUE"""),"2019/11/07 11:55:00")</f>
        <v>2019/11/07 11:55:00</v>
      </c>
      <c r="E4" s="51" t="str">
        <f>IFERROR(__xludf.DUMMYFUNCTION("""COMPUTED_VALUE"""),"2019/11/07 12:15:00")</f>
        <v>2019/11/07 12:15:00</v>
      </c>
      <c r="F4" s="51" t="str">
        <f>IFERROR(__xludf.DUMMYFUNCTION("""COMPUTED_VALUE"""),"68eae125-59cb-4b05-ae94-556cedf8be73")</f>
        <v>68eae125-59cb-4b05-ae94-556cedf8be73</v>
      </c>
      <c r="G4" s="58">
        <f>IFERROR(__xludf.DUMMYFUNCTION("""COMPUTED_VALUE"""),43776.0)</f>
        <v>43776</v>
      </c>
      <c r="H4" s="60">
        <f>IFERROR(__xludf.DUMMYFUNCTION("""COMPUTED_VALUE"""),0.4965277777777778)</f>
        <v>0.4965277778</v>
      </c>
      <c r="I4" s="58">
        <f>IFERROR(__xludf.DUMMYFUNCTION("""COMPUTED_VALUE"""),43776.0)</f>
        <v>43776</v>
      </c>
      <c r="J4" s="60">
        <f>IFERROR(__xludf.DUMMYFUNCTION("""COMPUTED_VALUE"""),0.5104166666666666)</f>
        <v>0.5104166667</v>
      </c>
      <c r="K4" s="60">
        <f t="shared" si="1"/>
        <v>0.01388888889</v>
      </c>
      <c r="L4" s="51" t="s">
        <v>111</v>
      </c>
      <c r="M4" s="62" t="s">
        <v>335</v>
      </c>
      <c r="N4" s="62" t="str">
        <f t="shared" si="2"/>
        <v>MD_7_3_68eae125-59cb-4b05-ae94-556cedf8be73_000000_000000.mp4</v>
      </c>
      <c r="O4" s="50"/>
      <c r="P4" s="50"/>
      <c r="Q4" s="63"/>
      <c r="R4" s="51"/>
      <c r="S4" s="51"/>
      <c r="T4" s="51"/>
    </row>
    <row r="5">
      <c r="A5" s="51" t="str">
        <f>IFERROR(__xludf.DUMMYFUNCTION("""COMPUTED_VALUE"""),"Fashiontech: Transforming a timeless brand")</f>
        <v>Fashiontech: Transforming a timeless brand</v>
      </c>
      <c r="B5" s="51" t="str">
        <f>IFERROR(__xludf.DUMMYFUNCTION("""COMPUTED_VALUE"""),"Modum")</f>
        <v>Modum</v>
      </c>
      <c r="C5" s="56" t="str">
        <f>IFERROR(__xludf.DUMMYFUNCTION("""COMPUTED_VALUE"""),"Daniel Grieder")</f>
        <v>Daniel Grieder</v>
      </c>
      <c r="D5" s="51" t="str">
        <f>IFERROR(__xludf.DUMMYFUNCTION("""COMPUTED_VALUE"""),"2019/11/07 12:15:00")</f>
        <v>2019/11/07 12:15:00</v>
      </c>
      <c r="E5" s="51" t="str">
        <f>IFERROR(__xludf.DUMMYFUNCTION("""COMPUTED_VALUE"""),"2019/11/07 12:35:00")</f>
        <v>2019/11/07 12:35:00</v>
      </c>
      <c r="F5" s="51" t="str">
        <f>IFERROR(__xludf.DUMMYFUNCTION("""COMPUTED_VALUE"""),"0d5543cd-dd6e-4465-bb9d-54605cd5729c")</f>
        <v>0d5543cd-dd6e-4465-bb9d-54605cd5729c</v>
      </c>
      <c r="G5" s="58">
        <f>IFERROR(__xludf.DUMMYFUNCTION("""COMPUTED_VALUE"""),43776.0)</f>
        <v>43776</v>
      </c>
      <c r="H5" s="60">
        <f>IFERROR(__xludf.DUMMYFUNCTION("""COMPUTED_VALUE"""),0.5104166666666666)</f>
        <v>0.5104166667</v>
      </c>
      <c r="I5" s="58">
        <f>IFERROR(__xludf.DUMMYFUNCTION("""COMPUTED_VALUE"""),43776.0)</f>
        <v>43776</v>
      </c>
      <c r="J5" s="60">
        <f>IFERROR(__xludf.DUMMYFUNCTION("""COMPUTED_VALUE"""),0.5243055555555556)</f>
        <v>0.5243055556</v>
      </c>
      <c r="K5" s="60">
        <f t="shared" si="1"/>
        <v>0.01388888889</v>
      </c>
      <c r="L5" s="51" t="s">
        <v>111</v>
      </c>
      <c r="M5" s="62" t="s">
        <v>338</v>
      </c>
      <c r="N5" s="62" t="str">
        <f t="shared" si="2"/>
        <v>MD_7_4_0d5543cd-dd6e-4465-bb9d-54605cd5729c_000000_000000.mp4</v>
      </c>
      <c r="O5" s="50"/>
      <c r="P5" s="50"/>
      <c r="Q5" s="63"/>
      <c r="R5" s="51"/>
      <c r="S5" s="51"/>
      <c r="T5" s="51"/>
    </row>
    <row r="6">
      <c r="A6" s="51" t="str">
        <f>IFERROR(__xludf.DUMMYFUNCTION("""COMPUTED_VALUE"""),"Robotics... but make it fashion ")</f>
        <v>Robotics... but make it fashion </v>
      </c>
      <c r="B6" s="51" t="str">
        <f>IFERROR(__xludf.DUMMYFUNCTION("""COMPUTED_VALUE"""),"Modum")</f>
        <v>Modum</v>
      </c>
      <c r="C6" s="56" t="str">
        <f>IFERROR(__xludf.DUMMYFUNCTION("""COMPUTED_VALUE"""),"Florian Jansen, Lisa Lang, Amber Jae Slooten and Mark Russell")</f>
        <v>Florian Jansen, Lisa Lang, Amber Jae Slooten and Mark Russell</v>
      </c>
      <c r="D6" s="51" t="str">
        <f>IFERROR(__xludf.DUMMYFUNCTION("""COMPUTED_VALUE"""),"2019/11/07 12:35:00")</f>
        <v>2019/11/07 12:35:00</v>
      </c>
      <c r="E6" s="51" t="str">
        <f>IFERROR(__xludf.DUMMYFUNCTION("""COMPUTED_VALUE"""),"2019/11/07 13:00:00")</f>
        <v>2019/11/07 13:00:00</v>
      </c>
      <c r="F6" s="51" t="str">
        <f>IFERROR(__xludf.DUMMYFUNCTION("""COMPUTED_VALUE"""),"fcd3ef5d-ed1e-4ef9-8e1f-cd42aa06a500")</f>
        <v>fcd3ef5d-ed1e-4ef9-8e1f-cd42aa06a500</v>
      </c>
      <c r="G6" s="58">
        <f>IFERROR(__xludf.DUMMYFUNCTION("""COMPUTED_VALUE"""),43776.0)</f>
        <v>43776</v>
      </c>
      <c r="H6" s="60">
        <f>IFERROR(__xludf.DUMMYFUNCTION("""COMPUTED_VALUE"""),0.5243055555555556)</f>
        <v>0.5243055556</v>
      </c>
      <c r="I6" s="58">
        <f>IFERROR(__xludf.DUMMYFUNCTION("""COMPUTED_VALUE"""),43776.0)</f>
        <v>43776</v>
      </c>
      <c r="J6" s="60">
        <f>IFERROR(__xludf.DUMMYFUNCTION("""COMPUTED_VALUE"""),0.5416666666666666)</f>
        <v>0.5416666667</v>
      </c>
      <c r="K6" s="60">
        <f t="shared" si="1"/>
        <v>0.01736111111</v>
      </c>
      <c r="L6" s="51" t="s">
        <v>107</v>
      </c>
      <c r="M6" s="62" t="s">
        <v>662</v>
      </c>
      <c r="N6" s="62" t="str">
        <f t="shared" si="2"/>
        <v>MD_7_5_fcd3ef5d-ed1e-4ef9-8e1f-cd42aa06a500_000000_000000.mp4</v>
      </c>
      <c r="O6" s="50"/>
      <c r="P6" s="50"/>
      <c r="Q6" s="63"/>
      <c r="R6" s="51"/>
      <c r="S6" s="51"/>
      <c r="T6" s="51"/>
    </row>
    <row r="7">
      <c r="A7" s="51" t="str">
        <f>IFERROR(__xludf.DUMMYFUNCTION("""COMPUTED_VALUE"""),"What's in store for retail? The era of experience")</f>
        <v>What's in store for retail? The era of experience</v>
      </c>
      <c r="B7" s="51" t="str">
        <f>IFERROR(__xludf.DUMMYFUNCTION("""COMPUTED_VALUE"""),"Modum")</f>
        <v>Modum</v>
      </c>
      <c r="C7" s="56" t="str">
        <f>IFERROR(__xludf.DUMMYFUNCTION("""COMPUTED_VALUE"""),"Annia Spiliopoulos, Annastasia Seebohm and Alex Deane")</f>
        <v>Annia Spiliopoulos, Annastasia Seebohm and Alex Deane</v>
      </c>
      <c r="D7" s="51" t="str">
        <f>IFERROR(__xludf.DUMMYFUNCTION("""COMPUTED_VALUE"""),"2019/11/07 13:00:00")</f>
        <v>2019/11/07 13:00:00</v>
      </c>
      <c r="E7" s="51" t="str">
        <f>IFERROR(__xludf.DUMMYFUNCTION("""COMPUTED_VALUE"""),"2019/11/07 13:20:00")</f>
        <v>2019/11/07 13:20:00</v>
      </c>
      <c r="F7" s="51" t="str">
        <f>IFERROR(__xludf.DUMMYFUNCTION("""COMPUTED_VALUE"""),"11d33255-a863-4df8-8e46-9b07ab1fdd54")</f>
        <v>11d33255-a863-4df8-8e46-9b07ab1fdd54</v>
      </c>
      <c r="G7" s="58">
        <f>IFERROR(__xludf.DUMMYFUNCTION("""COMPUTED_VALUE"""),43776.0)</f>
        <v>43776</v>
      </c>
      <c r="H7" s="60">
        <f>IFERROR(__xludf.DUMMYFUNCTION("""COMPUTED_VALUE"""),0.5416666666666666)</f>
        <v>0.5416666667</v>
      </c>
      <c r="I7" s="58">
        <f>IFERROR(__xludf.DUMMYFUNCTION("""COMPUTED_VALUE"""),43776.0)</f>
        <v>43776</v>
      </c>
      <c r="J7" s="60">
        <f>IFERROR(__xludf.DUMMYFUNCTION("""COMPUTED_VALUE"""),0.5555555555555556)</f>
        <v>0.5555555556</v>
      </c>
      <c r="K7" s="60">
        <f t="shared" si="1"/>
        <v>0.01388888889</v>
      </c>
      <c r="L7" s="51" t="s">
        <v>111</v>
      </c>
      <c r="M7" s="62" t="s">
        <v>665</v>
      </c>
      <c r="N7" s="62" t="str">
        <f t="shared" si="2"/>
        <v>MD_7_6_11d33255-a863-4df8-8e46-9b07ab1fdd54_000000_000000.mp4</v>
      </c>
      <c r="O7" s="50"/>
      <c r="P7" s="50"/>
      <c r="Q7" s="63"/>
      <c r="R7" s="51"/>
      <c r="S7" s="51"/>
      <c r="T7" s="51"/>
    </row>
    <row r="8">
      <c r="A8" s="51" t="str">
        <f>IFERROR(__xludf.DUMMYFUNCTION("""COMPUTED_VALUE"""),"Democratising influencer marketing")</f>
        <v>Democratising influencer marketing</v>
      </c>
      <c r="B8" s="51" t="str">
        <f>IFERROR(__xludf.DUMMYFUNCTION("""COMPUTED_VALUE"""),"Modum")</f>
        <v>Modum</v>
      </c>
      <c r="C8" s="56" t="str">
        <f>IFERROR(__xludf.DUMMYFUNCTION("""COMPUTED_VALUE"""),"Rachel Waller, Bonnie Takhar, John Kinder, Brita Fernandez Schmidt and Natalie Salmon")</f>
        <v>Rachel Waller, Bonnie Takhar, John Kinder, Brita Fernandez Schmidt and Natalie Salmon</v>
      </c>
      <c r="D8" s="51" t="str">
        <f>IFERROR(__xludf.DUMMYFUNCTION("""COMPUTED_VALUE"""),"2019/11/07 13:20:00")</f>
        <v>2019/11/07 13:20:00</v>
      </c>
      <c r="E8" s="51" t="str">
        <f>IFERROR(__xludf.DUMMYFUNCTION("""COMPUTED_VALUE"""),"2019/11/07 13:45:00")</f>
        <v>2019/11/07 13:45:00</v>
      </c>
      <c r="F8" s="51" t="str">
        <f>IFERROR(__xludf.DUMMYFUNCTION("""COMPUTED_VALUE"""),"2226844c-4cf8-4e32-8e96-4ac0718464e9")</f>
        <v>2226844c-4cf8-4e32-8e96-4ac0718464e9</v>
      </c>
      <c r="G8" s="58">
        <f>IFERROR(__xludf.DUMMYFUNCTION("""COMPUTED_VALUE"""),43776.0)</f>
        <v>43776</v>
      </c>
      <c r="H8" s="60">
        <f>IFERROR(__xludf.DUMMYFUNCTION("""COMPUTED_VALUE"""),0.5555555555555556)</f>
        <v>0.5555555556</v>
      </c>
      <c r="I8" s="58">
        <f>IFERROR(__xludf.DUMMYFUNCTION("""COMPUTED_VALUE"""),43776.0)</f>
        <v>43776</v>
      </c>
      <c r="J8" s="60">
        <f>IFERROR(__xludf.DUMMYFUNCTION("""COMPUTED_VALUE"""),0.5729166666666666)</f>
        <v>0.5729166667</v>
      </c>
      <c r="K8" s="60">
        <f t="shared" si="1"/>
        <v>0.01736111111</v>
      </c>
      <c r="L8" s="51" t="s">
        <v>107</v>
      </c>
      <c r="M8" s="62" t="s">
        <v>668</v>
      </c>
      <c r="N8" s="62" t="str">
        <f t="shared" si="2"/>
        <v>MD_7_7_2226844c-4cf8-4e32-8e96-4ac0718464e9_000000_000000.mp4</v>
      </c>
      <c r="O8" s="50"/>
      <c r="P8" s="50"/>
      <c r="Q8" s="63"/>
      <c r="R8" s="51"/>
      <c r="S8" s="51"/>
      <c r="T8" s="51"/>
    </row>
    <row r="9">
      <c r="A9" s="51" t="str">
        <f>IFERROR(__xludf.DUMMYFUNCTION("""COMPUTED_VALUE"""),"Lunch break")</f>
        <v>Lunch break</v>
      </c>
      <c r="B9" s="51" t="str">
        <f>IFERROR(__xludf.DUMMYFUNCTION("""COMPUTED_VALUE"""),"Modum")</f>
        <v>Modum</v>
      </c>
      <c r="C9" s="56" t="str">
        <f>IFERROR(__xludf.DUMMYFUNCTION("""COMPUTED_VALUE"""),"")</f>
        <v/>
      </c>
      <c r="D9" s="51" t="str">
        <f>IFERROR(__xludf.DUMMYFUNCTION("""COMPUTED_VALUE"""),"2019/11/07 13:45:00")</f>
        <v>2019/11/07 13:45:00</v>
      </c>
      <c r="E9" s="51" t="str">
        <f>IFERROR(__xludf.DUMMYFUNCTION("""COMPUTED_VALUE"""),"2019/11/07 14:25:00")</f>
        <v>2019/11/07 14:25:00</v>
      </c>
      <c r="F9" s="51" t="str">
        <f>IFERROR(__xludf.DUMMYFUNCTION("""COMPUTED_VALUE"""),"1042baa7-d502-4e56-a154-39bac8cd874e")</f>
        <v>1042baa7-d502-4e56-a154-39bac8cd874e</v>
      </c>
      <c r="G9" s="58">
        <f>IFERROR(__xludf.DUMMYFUNCTION("""COMPUTED_VALUE"""),43776.0)</f>
        <v>43776</v>
      </c>
      <c r="H9" s="60">
        <f>IFERROR(__xludf.DUMMYFUNCTION("""COMPUTED_VALUE"""),0.5729166666666666)</f>
        <v>0.5729166667</v>
      </c>
      <c r="I9" s="58">
        <f>IFERROR(__xludf.DUMMYFUNCTION("""COMPUTED_VALUE"""),43776.0)</f>
        <v>43776</v>
      </c>
      <c r="J9" s="60">
        <f>IFERROR(__xludf.DUMMYFUNCTION("""COMPUTED_VALUE"""),0.6006944444444444)</f>
        <v>0.6006944444</v>
      </c>
      <c r="K9" s="60">
        <f t="shared" si="1"/>
        <v>0.02777777778</v>
      </c>
      <c r="L9" s="51" t="s">
        <v>571</v>
      </c>
      <c r="M9" s="51"/>
      <c r="N9" s="62" t="str">
        <f t="shared" si="2"/>
        <v>_1042baa7-d502-4e56-a154-39bac8cd874e_000000_000000.mp4</v>
      </c>
      <c r="O9" s="50"/>
      <c r="P9" s="50"/>
      <c r="Q9" s="63"/>
      <c r="R9" s="51"/>
      <c r="S9" s="51"/>
      <c r="T9" s="51"/>
    </row>
    <row r="10">
      <c r="A10" s="51" t="str">
        <f>IFERROR(__xludf.DUMMYFUNCTION("""COMPUTED_VALUE"""),"Opening remarks")</f>
        <v>Opening remarks</v>
      </c>
      <c r="B10" s="51" t="str">
        <f>IFERROR(__xludf.DUMMYFUNCTION("""COMPUTED_VALUE"""),"Modum")</f>
        <v>Modum</v>
      </c>
      <c r="C10" s="56" t="str">
        <f>IFERROR(__xludf.DUMMYFUNCTION("""COMPUTED_VALUE"""),"Susana Chaves")</f>
        <v>Susana Chaves</v>
      </c>
      <c r="D10" s="51" t="str">
        <f>IFERROR(__xludf.DUMMYFUNCTION("""COMPUTED_VALUE"""),"2019/11/07 14:25:00")</f>
        <v>2019/11/07 14:25:00</v>
      </c>
      <c r="E10" s="51" t="str">
        <f>IFERROR(__xludf.DUMMYFUNCTION("""COMPUTED_VALUE"""),"2019/11/07 14:40:00")</f>
        <v>2019/11/07 14:40:00</v>
      </c>
      <c r="F10" s="51" t="str">
        <f>IFERROR(__xludf.DUMMYFUNCTION("""COMPUTED_VALUE"""),"632dabad-ad39-47d5-bea4-caec36b1e8d5")</f>
        <v>632dabad-ad39-47d5-bea4-caec36b1e8d5</v>
      </c>
      <c r="G10" s="58">
        <f>IFERROR(__xludf.DUMMYFUNCTION("""COMPUTED_VALUE"""),43776.0)</f>
        <v>43776</v>
      </c>
      <c r="H10" s="60">
        <f>IFERROR(__xludf.DUMMYFUNCTION("""COMPUTED_VALUE"""),0.6006944444444444)</f>
        <v>0.6006944444</v>
      </c>
      <c r="I10" s="58">
        <f>IFERROR(__xludf.DUMMYFUNCTION("""COMPUTED_VALUE"""),43776.0)</f>
        <v>43776</v>
      </c>
      <c r="J10" s="60">
        <f>IFERROR(__xludf.DUMMYFUNCTION("""COMPUTED_VALUE"""),0.6111111111111112)</f>
        <v>0.6111111111</v>
      </c>
      <c r="K10" s="60">
        <f t="shared" si="1"/>
        <v>0.01041666667</v>
      </c>
      <c r="L10" s="51" t="s">
        <v>116</v>
      </c>
      <c r="M10" s="62" t="s">
        <v>672</v>
      </c>
      <c r="N10" s="62" t="str">
        <f t="shared" si="2"/>
        <v>MD_7_8_632dabad-ad39-47d5-bea4-caec36b1e8d5_000000_000000.mp4</v>
      </c>
      <c r="O10" s="50"/>
      <c r="P10" s="50"/>
      <c r="Q10" s="63"/>
      <c r="R10" s="51"/>
      <c r="S10" s="51"/>
      <c r="T10" s="51"/>
    </row>
    <row r="11">
      <c r="A11" s="51" t="str">
        <f>IFERROR(__xludf.DUMMYFUNCTION("""COMPUTED_VALUE"""),"Fashion, way beyond next season")</f>
        <v>Fashion, way beyond next season</v>
      </c>
      <c r="B11" s="51" t="str">
        <f>IFERROR(__xludf.DUMMYFUNCTION("""COMPUTED_VALUE"""),"Modum")</f>
        <v>Modum</v>
      </c>
      <c r="C11" s="56" t="str">
        <f>IFERROR(__xludf.DUMMYFUNCTION("""COMPUTED_VALUE"""),"Anna Gedda")</f>
        <v>Anna Gedda</v>
      </c>
      <c r="D11" s="51" t="str">
        <f>IFERROR(__xludf.DUMMYFUNCTION("""COMPUTED_VALUE"""),"2019/11/07 14:40:00")</f>
        <v>2019/11/07 14:40:00</v>
      </c>
      <c r="E11" s="51" t="str">
        <f>IFERROR(__xludf.DUMMYFUNCTION("""COMPUTED_VALUE"""),"2019/11/07 15:00:00")</f>
        <v>2019/11/07 15:00:00</v>
      </c>
      <c r="F11" s="51" t="str">
        <f>IFERROR(__xludf.DUMMYFUNCTION("""COMPUTED_VALUE"""),"c95f7b19-5806-423c-81a8-adf6d0a4bc83")</f>
        <v>c95f7b19-5806-423c-81a8-adf6d0a4bc83</v>
      </c>
      <c r="G11" s="58">
        <f>IFERROR(__xludf.DUMMYFUNCTION("""COMPUTED_VALUE"""),43776.0)</f>
        <v>43776</v>
      </c>
      <c r="H11" s="60">
        <f>IFERROR(__xludf.DUMMYFUNCTION("""COMPUTED_VALUE"""),0.6111111111111112)</f>
        <v>0.6111111111</v>
      </c>
      <c r="I11" s="58">
        <f>IFERROR(__xludf.DUMMYFUNCTION("""COMPUTED_VALUE"""),43776.0)</f>
        <v>43776</v>
      </c>
      <c r="J11" s="60">
        <f>IFERROR(__xludf.DUMMYFUNCTION("""COMPUTED_VALUE"""),0.625)</f>
        <v>0.625</v>
      </c>
      <c r="K11" s="60">
        <f t="shared" si="1"/>
        <v>0.01388888889</v>
      </c>
      <c r="L11" s="51" t="s">
        <v>111</v>
      </c>
      <c r="M11" s="62" t="s">
        <v>675</v>
      </c>
      <c r="N11" s="62" t="str">
        <f t="shared" si="2"/>
        <v>MD_7_9_c95f7b19-5806-423c-81a8-adf6d0a4bc83_000000_000000.mp4</v>
      </c>
      <c r="O11" s="50"/>
      <c r="P11" s="50"/>
      <c r="Q11" s="63"/>
      <c r="R11" s="51"/>
      <c r="S11" s="51"/>
      <c r="T11" s="51"/>
    </row>
    <row r="12">
      <c r="A12" s="51" t="str">
        <f>IFERROR(__xludf.DUMMYFUNCTION("""COMPUTED_VALUE"""),"Sustainability: A moment, or a movement?")</f>
        <v>Sustainability: A moment, or a movement?</v>
      </c>
      <c r="B12" s="51" t="str">
        <f>IFERROR(__xludf.DUMMYFUNCTION("""COMPUTED_VALUE"""),"Modum")</f>
        <v>Modum</v>
      </c>
      <c r="C12" s="56" t="str">
        <f>IFERROR(__xludf.DUMMYFUNCTION("""COMPUTED_VALUE"""),"Katrin Ley, Charlotte Nisbet, Simon Beckerman and Mark Russell")</f>
        <v>Katrin Ley, Charlotte Nisbet, Simon Beckerman and Mark Russell</v>
      </c>
      <c r="D12" s="51" t="str">
        <f>IFERROR(__xludf.DUMMYFUNCTION("""COMPUTED_VALUE"""),"2019/11/07 15:00:00")</f>
        <v>2019/11/07 15:00:00</v>
      </c>
      <c r="E12" s="51" t="str">
        <f>IFERROR(__xludf.DUMMYFUNCTION("""COMPUTED_VALUE"""),"2019/11/07 15:25:00")</f>
        <v>2019/11/07 15:25:00</v>
      </c>
      <c r="F12" s="51" t="str">
        <f>IFERROR(__xludf.DUMMYFUNCTION("""COMPUTED_VALUE"""),"586a71c2-3585-4d55-9eb9-3505a177046a")</f>
        <v>586a71c2-3585-4d55-9eb9-3505a177046a</v>
      </c>
      <c r="G12" s="58">
        <f>IFERROR(__xludf.DUMMYFUNCTION("""COMPUTED_VALUE"""),43776.0)</f>
        <v>43776</v>
      </c>
      <c r="H12" s="60">
        <f>IFERROR(__xludf.DUMMYFUNCTION("""COMPUTED_VALUE"""),0.625)</f>
        <v>0.625</v>
      </c>
      <c r="I12" s="58">
        <f>IFERROR(__xludf.DUMMYFUNCTION("""COMPUTED_VALUE"""),43776.0)</f>
        <v>43776</v>
      </c>
      <c r="J12" s="60">
        <f>IFERROR(__xludf.DUMMYFUNCTION("""COMPUTED_VALUE"""),0.6423611111111112)</f>
        <v>0.6423611111</v>
      </c>
      <c r="K12" s="60">
        <f t="shared" si="1"/>
        <v>0.01736111111</v>
      </c>
      <c r="L12" s="51" t="s">
        <v>107</v>
      </c>
      <c r="M12" s="62" t="s">
        <v>678</v>
      </c>
      <c r="N12" s="62" t="str">
        <f t="shared" si="2"/>
        <v>MD_7_10_586a71c2-3585-4d55-9eb9-3505a177046a_000000_000000.mp4</v>
      </c>
      <c r="O12" s="50"/>
      <c r="P12" s="50"/>
      <c r="Q12" s="63"/>
      <c r="R12" s="51"/>
      <c r="S12" s="51"/>
      <c r="T12" s="51"/>
    </row>
    <row r="13">
      <c r="A13" s="51" t="str">
        <f>IFERROR(__xludf.DUMMYFUNCTION("""COMPUTED_VALUE"""),"(Lab-grown) diamonds are a brand's best friend")</f>
        <v>(Lab-grown) diamonds are a brand's best friend</v>
      </c>
      <c r="B13" s="51" t="str">
        <f>IFERROR(__xludf.DUMMYFUNCTION("""COMPUTED_VALUE"""),"Modum")</f>
        <v>Modum</v>
      </c>
      <c r="C13" s="56" t="str">
        <f>IFERROR(__xludf.DUMMYFUNCTION("""COMPUTED_VALUE"""),"Rosemarie Ryan, Sally Morrison and Joana Petiz")</f>
        <v>Rosemarie Ryan, Sally Morrison and Joana Petiz</v>
      </c>
      <c r="D13" s="51" t="str">
        <f>IFERROR(__xludf.DUMMYFUNCTION("""COMPUTED_VALUE"""),"2019/11/07 15:25:00")</f>
        <v>2019/11/07 15:25:00</v>
      </c>
      <c r="E13" s="51" t="str">
        <f>IFERROR(__xludf.DUMMYFUNCTION("""COMPUTED_VALUE"""),"2019/11/07 15:45:00")</f>
        <v>2019/11/07 15:45:00</v>
      </c>
      <c r="F13" s="51" t="str">
        <f>IFERROR(__xludf.DUMMYFUNCTION("""COMPUTED_VALUE"""),"03f6221f-cfdc-4252-9d31-2b978d683588")</f>
        <v>03f6221f-cfdc-4252-9d31-2b978d683588</v>
      </c>
      <c r="G13" s="58">
        <f>IFERROR(__xludf.DUMMYFUNCTION("""COMPUTED_VALUE"""),43776.0)</f>
        <v>43776</v>
      </c>
      <c r="H13" s="60">
        <f>IFERROR(__xludf.DUMMYFUNCTION("""COMPUTED_VALUE"""),0.6423611111111112)</f>
        <v>0.6423611111</v>
      </c>
      <c r="I13" s="58">
        <f>IFERROR(__xludf.DUMMYFUNCTION("""COMPUTED_VALUE"""),43776.0)</f>
        <v>43776</v>
      </c>
      <c r="J13" s="60">
        <f>IFERROR(__xludf.DUMMYFUNCTION("""COMPUTED_VALUE"""),0.65625)</f>
        <v>0.65625</v>
      </c>
      <c r="K13" s="60">
        <f t="shared" si="1"/>
        <v>0.01388888889</v>
      </c>
      <c r="L13" s="51" t="s">
        <v>111</v>
      </c>
      <c r="M13" s="62" t="s">
        <v>681</v>
      </c>
      <c r="N13" s="62" t="str">
        <f t="shared" si="2"/>
        <v>MD_7_11_03f6221f-cfdc-4252-9d31-2b978d683588_000000_000000.mp4</v>
      </c>
      <c r="O13" s="50"/>
      <c r="P13" s="50"/>
      <c r="Q13" s="63"/>
      <c r="R13" s="51"/>
      <c r="S13" s="51"/>
      <c r="T13" s="51"/>
    </row>
    <row r="14">
      <c r="A14" s="51" t="str">
        <f>IFERROR(__xludf.DUMMYFUNCTION("""COMPUTED_VALUE"""),"Turning legacy brands into digital innovators")</f>
        <v>Turning legacy brands into digital innovators</v>
      </c>
      <c r="B14" s="51" t="str">
        <f>IFERROR(__xludf.DUMMYFUNCTION("""COMPUTED_VALUE"""),"Modum")</f>
        <v>Modum</v>
      </c>
      <c r="C14" s="56" t="str">
        <f>IFERROR(__xludf.DUMMYFUNCTION("""COMPUTED_VALUE"""),"Grégory Boutté and Maghan McDowell")</f>
        <v>Grégory Boutté and Maghan McDowell</v>
      </c>
      <c r="D14" s="51" t="str">
        <f>IFERROR(__xludf.DUMMYFUNCTION("""COMPUTED_VALUE"""),"2019/11/07 15:45:00")</f>
        <v>2019/11/07 15:45:00</v>
      </c>
      <c r="E14" s="51" t="str">
        <f>IFERROR(__xludf.DUMMYFUNCTION("""COMPUTED_VALUE"""),"2019/11/07 16:05:00")</f>
        <v>2019/11/07 16:05:00</v>
      </c>
      <c r="F14" s="51" t="str">
        <f>IFERROR(__xludf.DUMMYFUNCTION("""COMPUTED_VALUE"""),"a67a80fc-d55d-4f93-b012-a33d7e416490")</f>
        <v>a67a80fc-d55d-4f93-b012-a33d7e416490</v>
      </c>
      <c r="G14" s="58">
        <f>IFERROR(__xludf.DUMMYFUNCTION("""COMPUTED_VALUE"""),43776.0)</f>
        <v>43776</v>
      </c>
      <c r="H14" s="60">
        <f>IFERROR(__xludf.DUMMYFUNCTION("""COMPUTED_VALUE"""),0.65625)</f>
        <v>0.65625</v>
      </c>
      <c r="I14" s="58">
        <f>IFERROR(__xludf.DUMMYFUNCTION("""COMPUTED_VALUE"""),43776.0)</f>
        <v>43776</v>
      </c>
      <c r="J14" s="60">
        <f>IFERROR(__xludf.DUMMYFUNCTION("""COMPUTED_VALUE"""),0.6701388888888888)</f>
        <v>0.6701388889</v>
      </c>
      <c r="K14" s="60">
        <f t="shared" si="1"/>
        <v>0.01388888889</v>
      </c>
      <c r="L14" s="51" t="s">
        <v>111</v>
      </c>
      <c r="M14" s="62" t="s">
        <v>686</v>
      </c>
      <c r="N14" s="62" t="str">
        <f t="shared" si="2"/>
        <v>MD_7_12_a67a80fc-d55d-4f93-b012-a33d7e416490_000000_000000.mp4</v>
      </c>
      <c r="O14" s="50"/>
      <c r="P14" s="50"/>
      <c r="Q14" s="63"/>
      <c r="R14" s="51"/>
      <c r="S14" s="51"/>
      <c r="T14" s="51"/>
    </row>
    <row r="15">
      <c r="A15" s="51"/>
      <c r="B15" s="51"/>
      <c r="C15" s="56"/>
      <c r="D15" s="51"/>
      <c r="E15" s="51"/>
      <c r="F15" s="51"/>
      <c r="G15" s="51" t="str">
        <f>IFERROR(__xludf.DUMMYFUNCTION("""COMPUTED_VALUE"""),"#VALUE!")</f>
        <v>#VALUE!</v>
      </c>
      <c r="H15" s="51" t="str">
        <f>IFERROR(__xludf.DUMMYFUNCTION("""COMPUTED_VALUE"""),"")</f>
        <v/>
      </c>
      <c r="I15" s="51" t="str">
        <f>IFERROR(__xludf.DUMMYFUNCTION("""COMPUTED_VALUE"""),"#VALUE!")</f>
        <v>#VALUE!</v>
      </c>
      <c r="J15" s="51" t="str">
        <f>IFERROR(__xludf.DUMMYFUNCTION("""COMPUTED_VALUE"""),"")</f>
        <v/>
      </c>
      <c r="K15" s="51">
        <f t="shared" si="1"/>
        <v>0</v>
      </c>
      <c r="L15" s="51" t="s">
        <v>257</v>
      </c>
      <c r="M15" s="51"/>
      <c r="N15" s="51"/>
      <c r="O15" s="51"/>
      <c r="P15" s="51"/>
      <c r="Q15" s="51"/>
      <c r="R15" s="51"/>
      <c r="S15" s="51"/>
      <c r="T15" s="51"/>
    </row>
    <row r="16">
      <c r="A16" s="51"/>
      <c r="B16" s="51"/>
      <c r="C16" s="56"/>
      <c r="D16" s="51"/>
      <c r="E16" s="51"/>
      <c r="F16" s="51"/>
      <c r="G16" s="51" t="str">
        <f>IFERROR(__xludf.DUMMYFUNCTION("""COMPUTED_VALUE"""),"#VALUE!")</f>
        <v>#VALUE!</v>
      </c>
      <c r="H16" s="51" t="str">
        <f>IFERROR(__xludf.DUMMYFUNCTION("""COMPUTED_VALUE"""),"")</f>
        <v/>
      </c>
      <c r="I16" s="51" t="str">
        <f>IFERROR(__xludf.DUMMYFUNCTION("""COMPUTED_VALUE"""),"#VALUE!")</f>
        <v>#VALUE!</v>
      </c>
      <c r="J16" s="51" t="str">
        <f>IFERROR(__xludf.DUMMYFUNCTION("""COMPUTED_VALUE"""),"")</f>
        <v/>
      </c>
      <c r="K16" s="51">
        <f t="shared" si="1"/>
        <v>0</v>
      </c>
      <c r="L16" s="51" t="s">
        <v>257</v>
      </c>
      <c r="M16" s="51"/>
      <c r="N16" s="51"/>
      <c r="O16" s="51"/>
      <c r="P16" s="51"/>
      <c r="Q16" s="51"/>
      <c r="R16" s="51"/>
      <c r="S16" s="51"/>
      <c r="T16" s="51"/>
    </row>
    <row r="17">
      <c r="A17" s="51"/>
      <c r="B17" s="51"/>
      <c r="C17" s="56"/>
      <c r="D17" s="51"/>
      <c r="E17" s="51"/>
      <c r="F17" s="51"/>
      <c r="G17" s="51" t="str">
        <f>IFERROR(__xludf.DUMMYFUNCTION("""COMPUTED_VALUE"""),"#VALUE!")</f>
        <v>#VALUE!</v>
      </c>
      <c r="H17" s="51" t="str">
        <f>IFERROR(__xludf.DUMMYFUNCTION("""COMPUTED_VALUE"""),"")</f>
        <v/>
      </c>
      <c r="I17" s="51" t="str">
        <f>IFERROR(__xludf.DUMMYFUNCTION("""COMPUTED_VALUE"""),"#VALUE!")</f>
        <v>#VALUE!</v>
      </c>
      <c r="J17" s="51" t="str">
        <f>IFERROR(__xludf.DUMMYFUNCTION("""COMPUTED_VALUE"""),"")</f>
        <v/>
      </c>
      <c r="K17" s="51">
        <f t="shared" si="1"/>
        <v>0</v>
      </c>
      <c r="L17" s="51" t="s">
        <v>257</v>
      </c>
      <c r="M17" s="51"/>
      <c r="N17" s="51"/>
      <c r="O17" s="51"/>
      <c r="P17" s="51"/>
      <c r="Q17" s="51"/>
      <c r="R17" s="51"/>
      <c r="S17" s="51"/>
      <c r="T17" s="51"/>
    </row>
    <row r="18">
      <c r="A18" s="51"/>
      <c r="B18" s="51"/>
      <c r="C18" s="56"/>
      <c r="D18" s="51"/>
      <c r="E18" s="51"/>
      <c r="F18" s="51"/>
      <c r="G18" s="51" t="str">
        <f>IFERROR(__xludf.DUMMYFUNCTION("""COMPUTED_VALUE"""),"#VALUE!")</f>
        <v>#VALUE!</v>
      </c>
      <c r="H18" s="51" t="str">
        <f>IFERROR(__xludf.DUMMYFUNCTION("""COMPUTED_VALUE"""),"")</f>
        <v/>
      </c>
      <c r="I18" s="51" t="str">
        <f>IFERROR(__xludf.DUMMYFUNCTION("""COMPUTED_VALUE"""),"#VALUE!")</f>
        <v>#VALUE!</v>
      </c>
      <c r="J18" s="51" t="str">
        <f>IFERROR(__xludf.DUMMYFUNCTION("""COMPUTED_VALUE"""),"")</f>
        <v/>
      </c>
      <c r="K18" s="51">
        <f t="shared" si="1"/>
        <v>0</v>
      </c>
      <c r="L18" s="51" t="s">
        <v>257</v>
      </c>
      <c r="M18" s="51"/>
      <c r="N18" s="51"/>
      <c r="O18" s="51"/>
      <c r="P18" s="51"/>
      <c r="Q18" s="51"/>
      <c r="R18" s="51"/>
      <c r="S18" s="51"/>
      <c r="T18" s="51"/>
    </row>
    <row r="19">
      <c r="A19" s="51"/>
      <c r="B19" s="51"/>
      <c r="C19" s="56"/>
      <c r="D19" s="51"/>
      <c r="E19" s="51"/>
      <c r="F19" s="51"/>
      <c r="G19" s="51" t="str">
        <f>IFERROR(__xludf.DUMMYFUNCTION("""COMPUTED_VALUE"""),"#VALUE!")</f>
        <v>#VALUE!</v>
      </c>
      <c r="H19" s="51" t="str">
        <f>IFERROR(__xludf.DUMMYFUNCTION("""COMPUTED_VALUE"""),"")</f>
        <v/>
      </c>
      <c r="I19" s="51" t="str">
        <f>IFERROR(__xludf.DUMMYFUNCTION("""COMPUTED_VALUE"""),"#VALUE!")</f>
        <v>#VALUE!</v>
      </c>
      <c r="J19" s="51" t="str">
        <f>IFERROR(__xludf.DUMMYFUNCTION("""COMPUTED_VALUE"""),"")</f>
        <v/>
      </c>
      <c r="K19" s="51">
        <f t="shared" si="1"/>
        <v>0</v>
      </c>
      <c r="L19" s="51" t="s">
        <v>257</v>
      </c>
      <c r="M19" s="51"/>
      <c r="N19" s="51"/>
      <c r="O19" s="51"/>
      <c r="P19" s="51"/>
      <c r="Q19" s="51"/>
      <c r="R19" s="51"/>
      <c r="S19" s="51"/>
      <c r="T19" s="51"/>
    </row>
    <row r="20">
      <c r="A20" s="51"/>
      <c r="B20" s="51"/>
      <c r="C20" s="56"/>
      <c r="D20" s="51"/>
      <c r="E20" s="51"/>
      <c r="F20" s="51"/>
      <c r="G20" s="51" t="str">
        <f>IFERROR(__xludf.DUMMYFUNCTION("""COMPUTED_VALUE"""),"#VALUE!")</f>
        <v>#VALUE!</v>
      </c>
      <c r="H20" s="51" t="str">
        <f>IFERROR(__xludf.DUMMYFUNCTION("""COMPUTED_VALUE"""),"")</f>
        <v/>
      </c>
      <c r="I20" s="51" t="str">
        <f>IFERROR(__xludf.DUMMYFUNCTION("""COMPUTED_VALUE"""),"#VALUE!")</f>
        <v>#VALUE!</v>
      </c>
      <c r="J20" s="51" t="str">
        <f>IFERROR(__xludf.DUMMYFUNCTION("""COMPUTED_VALUE"""),"")</f>
        <v/>
      </c>
      <c r="K20" s="51">
        <f t="shared" si="1"/>
        <v>0</v>
      </c>
      <c r="L20" s="51" t="s">
        <v>257</v>
      </c>
      <c r="M20" s="51"/>
      <c r="N20" s="51"/>
      <c r="O20" s="51"/>
      <c r="P20" s="51"/>
      <c r="Q20" s="51"/>
      <c r="R20" s="51"/>
      <c r="S20" s="51"/>
      <c r="T20" s="51"/>
    </row>
    <row r="21">
      <c r="A21" s="51"/>
      <c r="B21" s="51"/>
      <c r="C21" s="56"/>
      <c r="D21" s="51"/>
      <c r="E21" s="51"/>
      <c r="F21" s="51"/>
      <c r="G21" s="51" t="str">
        <f>IFERROR(__xludf.DUMMYFUNCTION("""COMPUTED_VALUE"""),"#VALUE!")</f>
        <v>#VALUE!</v>
      </c>
      <c r="H21" s="51" t="str">
        <f>IFERROR(__xludf.DUMMYFUNCTION("""COMPUTED_VALUE"""),"")</f>
        <v/>
      </c>
      <c r="I21" s="51" t="str">
        <f>IFERROR(__xludf.DUMMYFUNCTION("""COMPUTED_VALUE"""),"#VALUE!")</f>
        <v>#VALUE!</v>
      </c>
      <c r="J21" s="51" t="str">
        <f>IFERROR(__xludf.DUMMYFUNCTION("""COMPUTED_VALUE"""),"")</f>
        <v/>
      </c>
      <c r="K21" s="51">
        <f t="shared" si="1"/>
        <v>0</v>
      </c>
      <c r="L21" s="51" t="s">
        <v>257</v>
      </c>
      <c r="M21" s="51"/>
      <c r="N21" s="51"/>
      <c r="O21" s="51"/>
      <c r="P21" s="51"/>
      <c r="Q21" s="51"/>
      <c r="R21" s="51"/>
      <c r="S21" s="51"/>
      <c r="T21" s="51"/>
    </row>
    <row r="22">
      <c r="A22" s="51"/>
      <c r="B22" s="51"/>
      <c r="C22" s="56"/>
      <c r="D22" s="51"/>
      <c r="E22" s="51"/>
      <c r="F22" s="51"/>
      <c r="G22" s="51" t="str">
        <f>IFERROR(__xludf.DUMMYFUNCTION("""COMPUTED_VALUE"""),"#VALUE!")</f>
        <v>#VALUE!</v>
      </c>
      <c r="H22" s="51" t="str">
        <f>IFERROR(__xludf.DUMMYFUNCTION("""COMPUTED_VALUE"""),"")</f>
        <v/>
      </c>
      <c r="I22" s="51" t="str">
        <f>IFERROR(__xludf.DUMMYFUNCTION("""COMPUTED_VALUE"""),"#VALUE!")</f>
        <v>#VALUE!</v>
      </c>
      <c r="J22" s="51" t="str">
        <f>IFERROR(__xludf.DUMMYFUNCTION("""COMPUTED_VALUE"""),"")</f>
        <v/>
      </c>
      <c r="K22" s="51">
        <f t="shared" si="1"/>
        <v>0</v>
      </c>
      <c r="L22" s="51" t="s">
        <v>257</v>
      </c>
      <c r="M22" s="51"/>
      <c r="N22" s="51"/>
      <c r="O22" s="51"/>
      <c r="P22" s="51"/>
      <c r="Q22" s="51"/>
      <c r="R22" s="51"/>
      <c r="S22" s="51"/>
      <c r="T22" s="51"/>
    </row>
    <row r="23">
      <c r="A23" s="51"/>
      <c r="B23" s="51"/>
      <c r="C23" s="56"/>
      <c r="D23" s="51"/>
      <c r="E23" s="51"/>
      <c r="F23" s="51"/>
      <c r="G23" s="51" t="str">
        <f>IFERROR(__xludf.DUMMYFUNCTION("""COMPUTED_VALUE"""),"#VALUE!")</f>
        <v>#VALUE!</v>
      </c>
      <c r="H23" s="51" t="str">
        <f>IFERROR(__xludf.DUMMYFUNCTION("""COMPUTED_VALUE"""),"")</f>
        <v/>
      </c>
      <c r="I23" s="51" t="str">
        <f>IFERROR(__xludf.DUMMYFUNCTION("""COMPUTED_VALUE"""),"#VALUE!")</f>
        <v>#VALUE!</v>
      </c>
      <c r="J23" s="51" t="str">
        <f>IFERROR(__xludf.DUMMYFUNCTION("""COMPUTED_VALUE"""),"")</f>
        <v/>
      </c>
      <c r="K23" s="51"/>
      <c r="L23" s="51" t="s">
        <v>257</v>
      </c>
      <c r="M23" s="51"/>
      <c r="N23" s="51"/>
      <c r="O23" s="51"/>
      <c r="P23" s="51"/>
      <c r="Q23" s="51"/>
      <c r="R23" s="51"/>
      <c r="S23" s="51"/>
      <c r="T23" s="51"/>
    </row>
    <row r="24">
      <c r="A24" s="51"/>
      <c r="B24" s="51"/>
      <c r="C24" s="56"/>
      <c r="D24" s="51"/>
      <c r="E24" s="51"/>
      <c r="F24" s="51"/>
      <c r="G24" s="51" t="str">
        <f>IFERROR(__xludf.DUMMYFUNCTION("""COMPUTED_VALUE"""),"#VALUE!")</f>
        <v>#VALUE!</v>
      </c>
      <c r="H24" s="51" t="str">
        <f>IFERROR(__xludf.DUMMYFUNCTION("""COMPUTED_VALUE"""),"")</f>
        <v/>
      </c>
      <c r="I24" s="51" t="str">
        <f>IFERROR(__xludf.DUMMYFUNCTION("""COMPUTED_VALUE"""),"#VALUE!")</f>
        <v>#VALUE!</v>
      </c>
      <c r="J24" s="51" t="str">
        <f>IFERROR(__xludf.DUMMYFUNCTION("""COMPUTED_VALUE"""),"")</f>
        <v/>
      </c>
      <c r="K24" s="51"/>
      <c r="L24" s="51" t="s">
        <v>257</v>
      </c>
      <c r="M24" s="51"/>
      <c r="N24" s="51"/>
      <c r="O24" s="51"/>
      <c r="P24" s="51"/>
      <c r="Q24" s="51"/>
      <c r="R24" s="51"/>
      <c r="S24" s="51"/>
      <c r="T24" s="51"/>
    </row>
    <row r="25">
      <c r="A25" s="51"/>
      <c r="B25" s="51"/>
      <c r="C25" s="56"/>
      <c r="D25" s="51"/>
      <c r="E25" s="51"/>
      <c r="F25" s="51"/>
      <c r="G25" s="51" t="str">
        <f>IFERROR(__xludf.DUMMYFUNCTION("""COMPUTED_VALUE"""),"#VALUE!")</f>
        <v>#VALUE!</v>
      </c>
      <c r="H25" s="51" t="str">
        <f>IFERROR(__xludf.DUMMYFUNCTION("""COMPUTED_VALUE"""),"")</f>
        <v/>
      </c>
      <c r="I25" s="51" t="str">
        <f>IFERROR(__xludf.DUMMYFUNCTION("""COMPUTED_VALUE"""),"#VALUE!")</f>
        <v>#VALUE!</v>
      </c>
      <c r="J25" s="51" t="str">
        <f>IFERROR(__xludf.DUMMYFUNCTION("""COMPUTED_VALUE"""),"")</f>
        <v/>
      </c>
      <c r="K25" s="51"/>
      <c r="L25" s="51" t="s">
        <v>257</v>
      </c>
      <c r="M25" s="51"/>
      <c r="N25" s="51"/>
      <c r="O25" s="51"/>
      <c r="P25" s="51"/>
      <c r="Q25" s="51"/>
      <c r="R25" s="51"/>
      <c r="S25" s="51"/>
      <c r="T25" s="51"/>
    </row>
    <row r="26">
      <c r="A26" s="51"/>
      <c r="B26" s="51"/>
      <c r="C26" s="56"/>
      <c r="D26" s="51"/>
      <c r="E26" s="51"/>
      <c r="F26" s="51"/>
      <c r="G26" s="51" t="str">
        <f>IFERROR(__xludf.DUMMYFUNCTION("""COMPUTED_VALUE"""),"#VALUE!")</f>
        <v>#VALUE!</v>
      </c>
      <c r="H26" s="51" t="str">
        <f>IFERROR(__xludf.DUMMYFUNCTION("""COMPUTED_VALUE"""),"")</f>
        <v/>
      </c>
      <c r="I26" s="51" t="str">
        <f>IFERROR(__xludf.DUMMYFUNCTION("""COMPUTED_VALUE"""),"#VALUE!")</f>
        <v>#VALUE!</v>
      </c>
      <c r="J26" s="51" t="str">
        <f>IFERROR(__xludf.DUMMYFUNCTION("""COMPUTED_VALUE"""),"")</f>
        <v/>
      </c>
      <c r="K26" s="51"/>
      <c r="L26" s="51" t="s">
        <v>257</v>
      </c>
      <c r="M26" s="51"/>
      <c r="N26" s="51"/>
      <c r="O26" s="51"/>
      <c r="P26" s="51"/>
      <c r="Q26" s="51"/>
      <c r="R26" s="51"/>
      <c r="S26" s="51"/>
      <c r="T26" s="51"/>
    </row>
    <row r="27">
      <c r="A27" s="51"/>
      <c r="B27" s="51"/>
      <c r="C27" s="56"/>
      <c r="D27" s="51"/>
      <c r="E27" s="51"/>
      <c r="F27" s="51"/>
      <c r="G27" s="51" t="str">
        <f>IFERROR(__xludf.DUMMYFUNCTION("""COMPUTED_VALUE"""),"#VALUE!")</f>
        <v>#VALUE!</v>
      </c>
      <c r="H27" s="51" t="str">
        <f>IFERROR(__xludf.DUMMYFUNCTION("""COMPUTED_VALUE"""),"")</f>
        <v/>
      </c>
      <c r="I27" s="51" t="str">
        <f>IFERROR(__xludf.DUMMYFUNCTION("""COMPUTED_VALUE"""),"#VALUE!")</f>
        <v>#VALUE!</v>
      </c>
      <c r="J27" s="51" t="str">
        <f>IFERROR(__xludf.DUMMYFUNCTION("""COMPUTED_VALUE"""),"")</f>
        <v/>
      </c>
      <c r="K27" s="51"/>
      <c r="L27" s="51" t="s">
        <v>257</v>
      </c>
      <c r="M27" s="51"/>
      <c r="N27" s="51"/>
      <c r="O27" s="51"/>
      <c r="P27" s="51"/>
      <c r="Q27" s="51"/>
      <c r="R27" s="51"/>
      <c r="S27" s="51"/>
      <c r="T27" s="51"/>
    </row>
    <row r="28">
      <c r="A28" s="51"/>
      <c r="B28" s="51"/>
      <c r="C28" s="56"/>
      <c r="D28" s="51"/>
      <c r="E28" s="51"/>
      <c r="F28" s="51"/>
      <c r="G28" s="51" t="str">
        <f>IFERROR(__xludf.DUMMYFUNCTION("""COMPUTED_VALUE"""),"#VALUE!")</f>
        <v>#VALUE!</v>
      </c>
      <c r="H28" s="51" t="str">
        <f>IFERROR(__xludf.DUMMYFUNCTION("""COMPUTED_VALUE"""),"")</f>
        <v/>
      </c>
      <c r="I28" s="51" t="str">
        <f>IFERROR(__xludf.DUMMYFUNCTION("""COMPUTED_VALUE"""),"#VALUE!")</f>
        <v>#VALUE!</v>
      </c>
      <c r="J28" s="51" t="str">
        <f>IFERROR(__xludf.DUMMYFUNCTION("""COMPUTED_VALUE"""),"")</f>
        <v/>
      </c>
      <c r="K28" s="51"/>
      <c r="L28" s="51" t="s">
        <v>257</v>
      </c>
      <c r="M28" s="51"/>
      <c r="N28" s="51"/>
      <c r="O28" s="51"/>
      <c r="P28" s="51"/>
      <c r="Q28" s="51"/>
      <c r="R28" s="51"/>
      <c r="S28" s="51"/>
      <c r="T28" s="51"/>
    </row>
    <row r="29">
      <c r="A29" s="51"/>
      <c r="B29" s="51"/>
      <c r="C29" s="56"/>
      <c r="D29" s="51"/>
      <c r="E29" s="51"/>
      <c r="F29" s="51"/>
      <c r="G29" s="51" t="str">
        <f>IFERROR(__xludf.DUMMYFUNCTION("""COMPUTED_VALUE"""),"#VALUE!")</f>
        <v>#VALUE!</v>
      </c>
      <c r="H29" s="51" t="str">
        <f>IFERROR(__xludf.DUMMYFUNCTION("""COMPUTED_VALUE"""),"")</f>
        <v/>
      </c>
      <c r="I29" s="51" t="str">
        <f>IFERROR(__xludf.DUMMYFUNCTION("""COMPUTED_VALUE"""),"#VALUE!")</f>
        <v>#VALUE!</v>
      </c>
      <c r="J29" s="51" t="str">
        <f>IFERROR(__xludf.DUMMYFUNCTION("""COMPUTED_VALUE"""),"")</f>
        <v/>
      </c>
      <c r="K29" s="51"/>
      <c r="L29" s="51" t="s">
        <v>257</v>
      </c>
      <c r="M29" s="51"/>
      <c r="N29" s="51"/>
      <c r="O29" s="51"/>
      <c r="P29" s="51"/>
      <c r="Q29" s="51"/>
      <c r="R29" s="51"/>
      <c r="S29" s="51"/>
      <c r="T29" s="51"/>
    </row>
    <row r="30">
      <c r="A30" s="51"/>
      <c r="B30" s="51"/>
      <c r="C30" s="56"/>
      <c r="D30" s="51"/>
      <c r="E30" s="51"/>
      <c r="F30" s="51"/>
      <c r="G30" s="51" t="str">
        <f>IFERROR(__xludf.DUMMYFUNCTION("""COMPUTED_VALUE"""),"#VALUE!")</f>
        <v>#VALUE!</v>
      </c>
      <c r="H30" s="51" t="str">
        <f>IFERROR(__xludf.DUMMYFUNCTION("""COMPUTED_VALUE"""),"")</f>
        <v/>
      </c>
      <c r="I30" s="51" t="str">
        <f>IFERROR(__xludf.DUMMYFUNCTION("""COMPUTED_VALUE"""),"#VALUE!")</f>
        <v>#VALUE!</v>
      </c>
      <c r="J30" s="51" t="str">
        <f>IFERROR(__xludf.DUMMYFUNCTION("""COMPUTED_VALUE"""),"")</f>
        <v/>
      </c>
      <c r="K30" s="51"/>
      <c r="L30" s="51" t="s">
        <v>257</v>
      </c>
      <c r="M30" s="51"/>
      <c r="N30" s="51"/>
      <c r="O30" s="51"/>
      <c r="P30" s="51"/>
      <c r="Q30" s="51"/>
      <c r="R30" s="51"/>
      <c r="S30" s="51"/>
      <c r="T30" s="51"/>
    </row>
    <row r="31">
      <c r="A31" s="51"/>
      <c r="B31" s="51"/>
      <c r="C31" s="56"/>
      <c r="D31" s="51"/>
      <c r="E31" s="51"/>
      <c r="F31" s="51"/>
      <c r="G31" s="51" t="str">
        <f>IFERROR(__xludf.DUMMYFUNCTION("""COMPUTED_VALUE"""),"#VALUE!")</f>
        <v>#VALUE!</v>
      </c>
      <c r="H31" s="51" t="str">
        <f>IFERROR(__xludf.DUMMYFUNCTION("""COMPUTED_VALUE"""),"")</f>
        <v/>
      </c>
      <c r="I31" s="51" t="str">
        <f>IFERROR(__xludf.DUMMYFUNCTION("""COMPUTED_VALUE"""),"#VALUE!")</f>
        <v>#VALUE!</v>
      </c>
      <c r="J31" s="51" t="str">
        <f>IFERROR(__xludf.DUMMYFUNCTION("""COMPUTED_VALUE"""),"")</f>
        <v/>
      </c>
      <c r="K31" s="51"/>
      <c r="L31" s="51" t="s">
        <v>257</v>
      </c>
      <c r="M31" s="51"/>
      <c r="N31" s="51"/>
      <c r="O31" s="51"/>
      <c r="P31" s="51"/>
      <c r="Q31" s="51"/>
      <c r="R31" s="51"/>
      <c r="S31" s="51"/>
      <c r="T31" s="51"/>
    </row>
    <row r="32">
      <c r="A32" s="51"/>
      <c r="B32" s="51"/>
      <c r="C32" s="56"/>
      <c r="D32" s="51"/>
      <c r="E32" s="51"/>
      <c r="F32" s="51"/>
      <c r="G32" s="51" t="str">
        <f>IFERROR(__xludf.DUMMYFUNCTION("""COMPUTED_VALUE"""),"#VALUE!")</f>
        <v>#VALUE!</v>
      </c>
      <c r="H32" s="51" t="str">
        <f>IFERROR(__xludf.DUMMYFUNCTION("""COMPUTED_VALUE"""),"")</f>
        <v/>
      </c>
      <c r="I32" s="51" t="str">
        <f>IFERROR(__xludf.DUMMYFUNCTION("""COMPUTED_VALUE"""),"#VALUE!")</f>
        <v>#VALUE!</v>
      </c>
      <c r="J32" s="51" t="str">
        <f>IFERROR(__xludf.DUMMYFUNCTION("""COMPUTED_VALUE"""),"")</f>
        <v/>
      </c>
      <c r="K32" s="51"/>
      <c r="L32" s="51" t="s">
        <v>257</v>
      </c>
      <c r="M32" s="51"/>
      <c r="N32" s="51"/>
      <c r="O32" s="51"/>
      <c r="P32" s="51"/>
      <c r="Q32" s="51"/>
      <c r="R32" s="51"/>
      <c r="S32" s="51"/>
      <c r="T32" s="51"/>
    </row>
    <row r="33">
      <c r="A33" s="51"/>
      <c r="B33" s="51"/>
      <c r="C33" s="56"/>
      <c r="D33" s="51"/>
      <c r="E33" s="51"/>
      <c r="F33" s="51"/>
      <c r="G33" s="51" t="str">
        <f>IFERROR(__xludf.DUMMYFUNCTION("""COMPUTED_VALUE"""),"#VALUE!")</f>
        <v>#VALUE!</v>
      </c>
      <c r="H33" s="51" t="str">
        <f>IFERROR(__xludf.DUMMYFUNCTION("""COMPUTED_VALUE"""),"")</f>
        <v/>
      </c>
      <c r="I33" s="51" t="str">
        <f>IFERROR(__xludf.DUMMYFUNCTION("""COMPUTED_VALUE"""),"#VALUE!")</f>
        <v>#VALUE!</v>
      </c>
      <c r="J33" s="51" t="str">
        <f>IFERROR(__xludf.DUMMYFUNCTION("""COMPUTED_VALUE"""),"")</f>
        <v/>
      </c>
      <c r="K33" s="51"/>
      <c r="L33" s="51" t="s">
        <v>257</v>
      </c>
      <c r="M33" s="51"/>
      <c r="N33" s="51"/>
      <c r="O33" s="51"/>
      <c r="P33" s="51"/>
      <c r="Q33" s="51"/>
      <c r="R33" s="51"/>
      <c r="S33" s="51"/>
      <c r="T33" s="51"/>
    </row>
    <row r="34">
      <c r="A34" s="51"/>
      <c r="B34" s="51"/>
      <c r="C34" s="56"/>
      <c r="D34" s="51"/>
      <c r="E34" s="51"/>
      <c r="F34" s="51"/>
      <c r="G34" s="51" t="str">
        <f>IFERROR(__xludf.DUMMYFUNCTION("""COMPUTED_VALUE"""),"#VALUE!")</f>
        <v>#VALUE!</v>
      </c>
      <c r="H34" s="51" t="str">
        <f>IFERROR(__xludf.DUMMYFUNCTION("""COMPUTED_VALUE"""),"")</f>
        <v/>
      </c>
      <c r="I34" s="51" t="str">
        <f>IFERROR(__xludf.DUMMYFUNCTION("""COMPUTED_VALUE"""),"#VALUE!")</f>
        <v>#VALUE!</v>
      </c>
      <c r="J34" s="51" t="str">
        <f>IFERROR(__xludf.DUMMYFUNCTION("""COMPUTED_VALUE"""),"")</f>
        <v/>
      </c>
      <c r="K34" s="51"/>
      <c r="L34" s="51" t="s">
        <v>257</v>
      </c>
      <c r="M34" s="51"/>
      <c r="N34" s="51"/>
      <c r="O34" s="51"/>
      <c r="P34" s="51"/>
      <c r="Q34" s="51"/>
      <c r="R34" s="51"/>
      <c r="S34" s="51"/>
      <c r="T34" s="51"/>
    </row>
    <row r="35">
      <c r="A35" s="51"/>
      <c r="B35" s="51"/>
      <c r="C35" s="56"/>
      <c r="D35" s="51"/>
      <c r="E35" s="51"/>
      <c r="F35" s="51"/>
      <c r="G35" s="51" t="str">
        <f>IFERROR(__xludf.DUMMYFUNCTION("""COMPUTED_VALUE"""),"#VALUE!")</f>
        <v>#VALUE!</v>
      </c>
      <c r="H35" s="51" t="str">
        <f>IFERROR(__xludf.DUMMYFUNCTION("""COMPUTED_VALUE"""),"")</f>
        <v/>
      </c>
      <c r="I35" s="51" t="str">
        <f>IFERROR(__xludf.DUMMYFUNCTION("""COMPUTED_VALUE"""),"#VALUE!")</f>
        <v>#VALUE!</v>
      </c>
      <c r="J35" s="51" t="str">
        <f>IFERROR(__xludf.DUMMYFUNCTION("""COMPUTED_VALUE"""),"")</f>
        <v/>
      </c>
      <c r="K35" s="51"/>
      <c r="L35" s="51" t="s">
        <v>257</v>
      </c>
      <c r="M35" s="51"/>
      <c r="N35" s="51"/>
      <c r="O35" s="51"/>
      <c r="P35" s="51"/>
      <c r="Q35" s="51"/>
      <c r="R35" s="51"/>
      <c r="S35" s="51"/>
      <c r="T35" s="51"/>
    </row>
    <row r="36">
      <c r="A36" s="51"/>
      <c r="B36" s="51"/>
      <c r="C36" s="56"/>
      <c r="D36" s="51"/>
      <c r="E36" s="51"/>
      <c r="F36" s="51"/>
      <c r="G36" s="51" t="str">
        <f>IFERROR(__xludf.DUMMYFUNCTION("""COMPUTED_VALUE"""),"#VALUE!")</f>
        <v>#VALUE!</v>
      </c>
      <c r="H36" s="51" t="str">
        <f>IFERROR(__xludf.DUMMYFUNCTION("""COMPUTED_VALUE"""),"")</f>
        <v/>
      </c>
      <c r="I36" s="51" t="str">
        <f>IFERROR(__xludf.DUMMYFUNCTION("""COMPUTED_VALUE"""),"#VALUE!")</f>
        <v>#VALUE!</v>
      </c>
      <c r="J36" s="51" t="str">
        <f>IFERROR(__xludf.DUMMYFUNCTION("""COMPUTED_VALUE"""),"")</f>
        <v/>
      </c>
      <c r="K36" s="51"/>
      <c r="L36" s="51" t="s">
        <v>257</v>
      </c>
      <c r="M36" s="51"/>
      <c r="N36" s="51"/>
      <c r="O36" s="51"/>
      <c r="P36" s="51"/>
      <c r="Q36" s="51"/>
      <c r="R36" s="51"/>
      <c r="S36" s="51"/>
      <c r="T36" s="51"/>
    </row>
    <row r="37">
      <c r="A37" s="51"/>
      <c r="B37" s="51"/>
      <c r="C37" s="56"/>
      <c r="D37" s="51"/>
      <c r="E37" s="51"/>
      <c r="F37" s="51"/>
      <c r="G37" s="51" t="str">
        <f>IFERROR(__xludf.DUMMYFUNCTION("""COMPUTED_VALUE"""),"#VALUE!")</f>
        <v>#VALUE!</v>
      </c>
      <c r="H37" s="51" t="str">
        <f>IFERROR(__xludf.DUMMYFUNCTION("""COMPUTED_VALUE"""),"")</f>
        <v/>
      </c>
      <c r="I37" s="51" t="str">
        <f>IFERROR(__xludf.DUMMYFUNCTION("""COMPUTED_VALUE"""),"#VALUE!")</f>
        <v>#VALUE!</v>
      </c>
      <c r="J37" s="51" t="str">
        <f>IFERROR(__xludf.DUMMYFUNCTION("""COMPUTED_VALUE"""),"")</f>
        <v/>
      </c>
      <c r="K37" s="51"/>
      <c r="L37" s="51" t="s">
        <v>257</v>
      </c>
      <c r="M37" s="51"/>
      <c r="N37" s="51"/>
      <c r="O37" s="51"/>
      <c r="P37" s="51"/>
      <c r="Q37" s="51"/>
      <c r="R37" s="51"/>
      <c r="S37" s="51"/>
      <c r="T37" s="51"/>
    </row>
    <row r="38">
      <c r="A38" s="51"/>
      <c r="B38" s="51"/>
      <c r="C38" s="56"/>
      <c r="D38" s="51"/>
      <c r="E38" s="51"/>
      <c r="F38" s="51"/>
      <c r="G38" s="51" t="str">
        <f>IFERROR(__xludf.DUMMYFUNCTION("""COMPUTED_VALUE"""),"#VALUE!")</f>
        <v>#VALUE!</v>
      </c>
      <c r="H38" s="51" t="str">
        <f>IFERROR(__xludf.DUMMYFUNCTION("""COMPUTED_VALUE"""),"")</f>
        <v/>
      </c>
      <c r="I38" s="51" t="str">
        <f>IFERROR(__xludf.DUMMYFUNCTION("""COMPUTED_VALUE"""),"#VALUE!")</f>
        <v>#VALUE!</v>
      </c>
      <c r="J38" s="51" t="str">
        <f>IFERROR(__xludf.DUMMYFUNCTION("""COMPUTED_VALUE"""),"")</f>
        <v/>
      </c>
      <c r="K38" s="51"/>
      <c r="L38" s="51" t="s">
        <v>257</v>
      </c>
      <c r="M38" s="51"/>
      <c r="N38" s="51"/>
      <c r="O38" s="51"/>
      <c r="P38" s="51"/>
      <c r="Q38" s="51"/>
      <c r="R38" s="51"/>
      <c r="S38" s="51"/>
      <c r="T38" s="51"/>
    </row>
    <row r="39">
      <c r="A39" s="51"/>
      <c r="B39" s="51"/>
      <c r="C39" s="56"/>
      <c r="D39" s="51"/>
      <c r="E39" s="51"/>
      <c r="F39" s="51"/>
      <c r="G39" s="51" t="str">
        <f>IFERROR(__xludf.DUMMYFUNCTION("""COMPUTED_VALUE"""),"#VALUE!")</f>
        <v>#VALUE!</v>
      </c>
      <c r="H39" s="51" t="str">
        <f>IFERROR(__xludf.DUMMYFUNCTION("""COMPUTED_VALUE"""),"")</f>
        <v/>
      </c>
      <c r="I39" s="51" t="str">
        <f>IFERROR(__xludf.DUMMYFUNCTION("""COMPUTED_VALUE"""),"#VALUE!")</f>
        <v>#VALUE!</v>
      </c>
      <c r="J39" s="51" t="str">
        <f>IFERROR(__xludf.DUMMYFUNCTION("""COMPUTED_VALUE"""),"")</f>
        <v/>
      </c>
      <c r="K39" s="51"/>
      <c r="L39" s="51" t="s">
        <v>257</v>
      </c>
      <c r="M39" s="51"/>
      <c r="N39" s="51"/>
      <c r="O39" s="51"/>
      <c r="P39" s="51"/>
      <c r="Q39" s="51"/>
      <c r="R39" s="51"/>
      <c r="S39" s="51"/>
      <c r="T39" s="51"/>
    </row>
    <row r="40">
      <c r="A40" s="51"/>
      <c r="B40" s="51"/>
      <c r="C40" s="56"/>
      <c r="D40" s="51"/>
      <c r="E40" s="51"/>
      <c r="F40" s="51"/>
      <c r="G40" s="51" t="str">
        <f>IFERROR(__xludf.DUMMYFUNCTION("""COMPUTED_VALUE"""),"#VALUE!")</f>
        <v>#VALUE!</v>
      </c>
      <c r="H40" s="51" t="str">
        <f>IFERROR(__xludf.DUMMYFUNCTION("""COMPUTED_VALUE"""),"")</f>
        <v/>
      </c>
      <c r="I40" s="51" t="str">
        <f>IFERROR(__xludf.DUMMYFUNCTION("""COMPUTED_VALUE"""),"#VALUE!")</f>
        <v>#VALUE!</v>
      </c>
      <c r="J40" s="51" t="str">
        <f>IFERROR(__xludf.DUMMYFUNCTION("""COMPUTED_VALUE"""),"")</f>
        <v/>
      </c>
      <c r="K40" s="51"/>
      <c r="L40" s="51" t="s">
        <v>257</v>
      </c>
      <c r="M40" s="51"/>
      <c r="N40" s="51"/>
      <c r="O40" s="51"/>
      <c r="P40" s="51"/>
      <c r="Q40" s="51"/>
      <c r="R40" s="51"/>
      <c r="S40" s="51"/>
      <c r="T40" s="51"/>
    </row>
    <row r="41">
      <c r="A41" s="51"/>
      <c r="B41" s="51"/>
      <c r="C41" s="56"/>
      <c r="D41" s="51"/>
      <c r="E41" s="51"/>
      <c r="F41" s="51"/>
      <c r="G41" s="51" t="str">
        <f>IFERROR(__xludf.DUMMYFUNCTION("""COMPUTED_VALUE"""),"#VALUE!")</f>
        <v>#VALUE!</v>
      </c>
      <c r="H41" s="51" t="str">
        <f>IFERROR(__xludf.DUMMYFUNCTION("""COMPUTED_VALUE"""),"")</f>
        <v/>
      </c>
      <c r="I41" s="51" t="str">
        <f>IFERROR(__xludf.DUMMYFUNCTION("""COMPUTED_VALUE"""),"#VALUE!")</f>
        <v>#VALUE!</v>
      </c>
      <c r="J41" s="51" t="str">
        <f>IFERROR(__xludf.DUMMYFUNCTION("""COMPUTED_VALUE"""),"")</f>
        <v/>
      </c>
      <c r="K41" s="51"/>
      <c r="L41" s="51" t="s">
        <v>257</v>
      </c>
      <c r="M41" s="51"/>
      <c r="N41" s="51"/>
      <c r="O41" s="51"/>
      <c r="P41" s="51"/>
      <c r="Q41" s="51"/>
      <c r="R41" s="51"/>
      <c r="S41" s="51"/>
      <c r="T41" s="51"/>
    </row>
    <row r="42">
      <c r="A42" s="51"/>
      <c r="B42" s="51"/>
      <c r="C42" s="56"/>
      <c r="D42" s="51"/>
      <c r="E42" s="51"/>
      <c r="F42" s="51"/>
      <c r="G42" s="51" t="str">
        <f>IFERROR(__xludf.DUMMYFUNCTION("""COMPUTED_VALUE"""),"#VALUE!")</f>
        <v>#VALUE!</v>
      </c>
      <c r="H42" s="51" t="str">
        <f>IFERROR(__xludf.DUMMYFUNCTION("""COMPUTED_VALUE"""),"")</f>
        <v/>
      </c>
      <c r="I42" s="51" t="str">
        <f>IFERROR(__xludf.DUMMYFUNCTION("""COMPUTED_VALUE"""),"#VALUE!")</f>
        <v>#VALUE!</v>
      </c>
      <c r="J42" s="51" t="str">
        <f>IFERROR(__xludf.DUMMYFUNCTION("""COMPUTED_VALUE"""),"")</f>
        <v/>
      </c>
      <c r="K42" s="51"/>
      <c r="L42" s="51" t="s">
        <v>257</v>
      </c>
      <c r="M42" s="51"/>
      <c r="N42" s="51"/>
      <c r="O42" s="51"/>
      <c r="P42" s="51"/>
      <c r="Q42" s="51"/>
      <c r="R42" s="51"/>
      <c r="S42" s="51"/>
      <c r="T42" s="51"/>
    </row>
    <row r="43">
      <c r="A43" s="51"/>
      <c r="B43" s="51"/>
      <c r="C43" s="56"/>
      <c r="D43" s="51"/>
      <c r="E43" s="51"/>
      <c r="F43" s="51"/>
      <c r="G43" s="51" t="str">
        <f>IFERROR(__xludf.DUMMYFUNCTION("""COMPUTED_VALUE"""),"#VALUE!")</f>
        <v>#VALUE!</v>
      </c>
      <c r="H43" s="51" t="str">
        <f>IFERROR(__xludf.DUMMYFUNCTION("""COMPUTED_VALUE"""),"")</f>
        <v/>
      </c>
      <c r="I43" s="51" t="str">
        <f>IFERROR(__xludf.DUMMYFUNCTION("""COMPUTED_VALUE"""),"#VALUE!")</f>
        <v>#VALUE!</v>
      </c>
      <c r="J43" s="51" t="str">
        <f>IFERROR(__xludf.DUMMYFUNCTION("""COMPUTED_VALUE"""),"")</f>
        <v/>
      </c>
      <c r="K43" s="51"/>
      <c r="L43" s="51" t="s">
        <v>257</v>
      </c>
      <c r="M43" s="51"/>
      <c r="N43" s="51"/>
      <c r="O43" s="51"/>
      <c r="P43" s="51"/>
      <c r="Q43" s="51"/>
      <c r="R43" s="51"/>
      <c r="S43" s="51"/>
      <c r="T43" s="51"/>
    </row>
    <row r="44">
      <c r="A44" s="51"/>
      <c r="B44" s="51"/>
      <c r="C44" s="56"/>
      <c r="D44" s="51"/>
      <c r="E44" s="51"/>
      <c r="F44" s="51"/>
      <c r="G44" s="51" t="str">
        <f>IFERROR(__xludf.DUMMYFUNCTION("""COMPUTED_VALUE"""),"#VALUE!")</f>
        <v>#VALUE!</v>
      </c>
      <c r="H44" s="51" t="str">
        <f>IFERROR(__xludf.DUMMYFUNCTION("""COMPUTED_VALUE"""),"")</f>
        <v/>
      </c>
      <c r="I44" s="51" t="str">
        <f>IFERROR(__xludf.DUMMYFUNCTION("""COMPUTED_VALUE"""),"#VALUE!")</f>
        <v>#VALUE!</v>
      </c>
      <c r="J44" s="51" t="str">
        <f>IFERROR(__xludf.DUMMYFUNCTION("""COMPUTED_VALUE"""),"")</f>
        <v/>
      </c>
      <c r="K44" s="51"/>
      <c r="L44" s="51" t="s">
        <v>257</v>
      </c>
      <c r="M44" s="51"/>
      <c r="N44" s="51"/>
      <c r="O44" s="51"/>
      <c r="P44" s="51"/>
      <c r="Q44" s="51"/>
      <c r="R44" s="51"/>
      <c r="S44" s="51"/>
      <c r="T44" s="51"/>
    </row>
    <row r="45">
      <c r="A45" s="51"/>
      <c r="B45" s="51"/>
      <c r="C45" s="56"/>
      <c r="D45" s="51"/>
      <c r="E45" s="51"/>
      <c r="F45" s="51"/>
      <c r="G45" s="51" t="str">
        <f>IFERROR(__xludf.DUMMYFUNCTION("""COMPUTED_VALUE"""),"#VALUE!")</f>
        <v>#VALUE!</v>
      </c>
      <c r="H45" s="51" t="str">
        <f>IFERROR(__xludf.DUMMYFUNCTION("""COMPUTED_VALUE"""),"")</f>
        <v/>
      </c>
      <c r="I45" s="51" t="str">
        <f>IFERROR(__xludf.DUMMYFUNCTION("""COMPUTED_VALUE"""),"#VALUE!")</f>
        <v>#VALUE!</v>
      </c>
      <c r="J45" s="51" t="str">
        <f>IFERROR(__xludf.DUMMYFUNCTION("""COMPUTED_VALUE"""),"")</f>
        <v/>
      </c>
      <c r="K45" s="51"/>
      <c r="L45" s="51" t="s">
        <v>257</v>
      </c>
      <c r="M45" s="51"/>
      <c r="N45" s="51"/>
      <c r="O45" s="51"/>
      <c r="P45" s="51"/>
      <c r="Q45" s="51"/>
      <c r="R45" s="51"/>
      <c r="S45" s="51"/>
      <c r="T45" s="51"/>
    </row>
    <row r="46">
      <c r="A46" s="51"/>
      <c r="B46" s="51"/>
      <c r="C46" s="56"/>
      <c r="D46" s="51"/>
      <c r="E46" s="51"/>
      <c r="F46" s="51"/>
      <c r="G46" s="51" t="str">
        <f>IFERROR(__xludf.DUMMYFUNCTION("""COMPUTED_VALUE"""),"#VALUE!")</f>
        <v>#VALUE!</v>
      </c>
      <c r="H46" s="51" t="str">
        <f>IFERROR(__xludf.DUMMYFUNCTION("""COMPUTED_VALUE"""),"")</f>
        <v/>
      </c>
      <c r="I46" s="51" t="str">
        <f>IFERROR(__xludf.DUMMYFUNCTION("""COMPUTED_VALUE"""),"#VALUE!")</f>
        <v>#VALUE!</v>
      </c>
      <c r="J46" s="51" t="str">
        <f>IFERROR(__xludf.DUMMYFUNCTION("""COMPUTED_VALUE"""),"")</f>
        <v/>
      </c>
      <c r="K46" s="51"/>
      <c r="L46" s="51" t="s">
        <v>257</v>
      </c>
      <c r="M46" s="51"/>
      <c r="N46" s="51"/>
      <c r="O46" s="51"/>
      <c r="P46" s="51"/>
      <c r="Q46" s="51"/>
      <c r="R46" s="51"/>
      <c r="S46" s="51"/>
      <c r="T46" s="51"/>
    </row>
    <row r="47">
      <c r="A47" s="51"/>
      <c r="B47" s="51"/>
      <c r="C47" s="56"/>
      <c r="D47" s="51"/>
      <c r="E47" s="51"/>
      <c r="F47" s="51"/>
      <c r="G47" s="51" t="str">
        <f>IFERROR(__xludf.DUMMYFUNCTION("""COMPUTED_VALUE"""),"#VALUE!")</f>
        <v>#VALUE!</v>
      </c>
      <c r="H47" s="51" t="str">
        <f>IFERROR(__xludf.DUMMYFUNCTION("""COMPUTED_VALUE"""),"")</f>
        <v/>
      </c>
      <c r="I47" s="51" t="str">
        <f>IFERROR(__xludf.DUMMYFUNCTION("""COMPUTED_VALUE"""),"#VALUE!")</f>
        <v>#VALUE!</v>
      </c>
      <c r="J47" s="51" t="str">
        <f>IFERROR(__xludf.DUMMYFUNCTION("""COMPUTED_VALUE"""),"")</f>
        <v/>
      </c>
      <c r="K47" s="51"/>
      <c r="L47" s="51" t="s">
        <v>257</v>
      </c>
      <c r="M47" s="51"/>
      <c r="N47" s="51"/>
      <c r="O47" s="51"/>
      <c r="P47" s="51"/>
      <c r="Q47" s="51"/>
      <c r="R47" s="51"/>
      <c r="S47" s="51"/>
      <c r="T47" s="51"/>
    </row>
    <row r="48">
      <c r="A48" s="51"/>
      <c r="B48" s="51"/>
      <c r="C48" s="56"/>
      <c r="D48" s="51"/>
      <c r="E48" s="51"/>
      <c r="F48" s="51"/>
      <c r="G48" s="51" t="str">
        <f>IFERROR(__xludf.DUMMYFUNCTION("""COMPUTED_VALUE"""),"#VALUE!")</f>
        <v>#VALUE!</v>
      </c>
      <c r="H48" s="51" t="str">
        <f>IFERROR(__xludf.DUMMYFUNCTION("""COMPUTED_VALUE"""),"")</f>
        <v/>
      </c>
      <c r="I48" s="51" t="str">
        <f>IFERROR(__xludf.DUMMYFUNCTION("""COMPUTED_VALUE"""),"#VALUE!")</f>
        <v>#VALUE!</v>
      </c>
      <c r="J48" s="51" t="str">
        <f>IFERROR(__xludf.DUMMYFUNCTION("""COMPUTED_VALUE"""),"")</f>
        <v/>
      </c>
      <c r="K48" s="51"/>
      <c r="L48" s="51" t="s">
        <v>257</v>
      </c>
      <c r="M48" s="51"/>
      <c r="N48" s="51"/>
      <c r="O48" s="51"/>
      <c r="P48" s="51"/>
      <c r="Q48" s="51"/>
      <c r="R48" s="51"/>
      <c r="S48" s="51"/>
      <c r="T48" s="51"/>
    </row>
    <row r="49">
      <c r="A49" s="51"/>
      <c r="B49" s="51"/>
      <c r="C49" s="56"/>
      <c r="D49" s="51"/>
      <c r="E49" s="51"/>
      <c r="F49" s="51"/>
      <c r="G49" s="51" t="str">
        <f>IFERROR(__xludf.DUMMYFUNCTION("""COMPUTED_VALUE"""),"#VALUE!")</f>
        <v>#VALUE!</v>
      </c>
      <c r="H49" s="51" t="str">
        <f>IFERROR(__xludf.DUMMYFUNCTION("""COMPUTED_VALUE"""),"")</f>
        <v/>
      </c>
      <c r="I49" s="51" t="str">
        <f>IFERROR(__xludf.DUMMYFUNCTION("""COMPUTED_VALUE"""),"#VALUE!")</f>
        <v>#VALUE!</v>
      </c>
      <c r="J49" s="51" t="str">
        <f>IFERROR(__xludf.DUMMYFUNCTION("""COMPUTED_VALUE"""),"")</f>
        <v/>
      </c>
      <c r="K49" s="51"/>
      <c r="L49" s="51" t="s">
        <v>257</v>
      </c>
      <c r="M49" s="51"/>
      <c r="N49" s="51"/>
      <c r="O49" s="51"/>
      <c r="P49" s="51"/>
      <c r="Q49" s="51"/>
      <c r="R49" s="51"/>
      <c r="S49" s="51"/>
      <c r="T49" s="51"/>
    </row>
    <row r="50">
      <c r="A50" s="51"/>
      <c r="B50" s="51"/>
      <c r="C50" s="56"/>
      <c r="D50" s="51"/>
      <c r="E50" s="51"/>
      <c r="F50" s="51"/>
      <c r="G50" s="51" t="str">
        <f>IFERROR(__xludf.DUMMYFUNCTION("""COMPUTED_VALUE"""),"#VALUE!")</f>
        <v>#VALUE!</v>
      </c>
      <c r="H50" s="51" t="str">
        <f>IFERROR(__xludf.DUMMYFUNCTION("""COMPUTED_VALUE"""),"")</f>
        <v/>
      </c>
      <c r="I50" s="51" t="str">
        <f>IFERROR(__xludf.DUMMYFUNCTION("""COMPUTED_VALUE"""),"#VALUE!")</f>
        <v>#VALUE!</v>
      </c>
      <c r="J50" s="51" t="str">
        <f>IFERROR(__xludf.DUMMYFUNCTION("""COMPUTED_VALUE"""),"")</f>
        <v/>
      </c>
      <c r="K50" s="51"/>
      <c r="L50" s="51" t="s">
        <v>257</v>
      </c>
      <c r="M50" s="51"/>
      <c r="N50" s="51"/>
      <c r="O50" s="51"/>
      <c r="P50" s="51"/>
      <c r="Q50" s="51"/>
      <c r="R50" s="51"/>
      <c r="S50" s="51"/>
      <c r="T50" s="51"/>
    </row>
    <row r="51">
      <c r="A51" s="51"/>
      <c r="B51" s="51"/>
      <c r="C51" s="56"/>
      <c r="D51" s="51"/>
      <c r="E51" s="51"/>
      <c r="F51" s="51"/>
      <c r="G51" s="51" t="str">
        <f>IFERROR(__xludf.DUMMYFUNCTION("""COMPUTED_VALUE"""),"#VALUE!")</f>
        <v>#VALUE!</v>
      </c>
      <c r="H51" s="51" t="str">
        <f>IFERROR(__xludf.DUMMYFUNCTION("""COMPUTED_VALUE"""),"")</f>
        <v/>
      </c>
      <c r="I51" s="51" t="str">
        <f>IFERROR(__xludf.DUMMYFUNCTION("""COMPUTED_VALUE"""),"#VALUE!")</f>
        <v>#VALUE!</v>
      </c>
      <c r="J51" s="51" t="str">
        <f>IFERROR(__xludf.DUMMYFUNCTION("""COMPUTED_VALUE"""),"")</f>
        <v/>
      </c>
      <c r="K51" s="51"/>
      <c r="L51" s="51" t="s">
        <v>257</v>
      </c>
      <c r="M51" s="51"/>
      <c r="N51" s="51"/>
      <c r="O51" s="51"/>
      <c r="P51" s="51"/>
      <c r="Q51" s="51"/>
      <c r="R51" s="51"/>
      <c r="S51" s="51"/>
      <c r="T51" s="51"/>
    </row>
    <row r="52">
      <c r="A52" s="51"/>
      <c r="B52" s="51"/>
      <c r="C52" s="56"/>
      <c r="D52" s="51"/>
      <c r="E52" s="51"/>
      <c r="F52" s="51"/>
      <c r="G52" s="51" t="str">
        <f>IFERROR(__xludf.DUMMYFUNCTION("""COMPUTED_VALUE"""),"#VALUE!")</f>
        <v>#VALUE!</v>
      </c>
      <c r="H52" s="51" t="str">
        <f>IFERROR(__xludf.DUMMYFUNCTION("""COMPUTED_VALUE"""),"")</f>
        <v/>
      </c>
      <c r="I52" s="51" t="str">
        <f>IFERROR(__xludf.DUMMYFUNCTION("""COMPUTED_VALUE"""),"#VALUE!")</f>
        <v>#VALUE!</v>
      </c>
      <c r="J52" s="51" t="str">
        <f>IFERROR(__xludf.DUMMYFUNCTION("""COMPUTED_VALUE"""),"")</f>
        <v/>
      </c>
      <c r="K52" s="51"/>
      <c r="L52" s="51" t="s">
        <v>257</v>
      </c>
      <c r="M52" s="51"/>
      <c r="N52" s="51"/>
      <c r="O52" s="51"/>
      <c r="P52" s="51"/>
      <c r="Q52" s="51"/>
      <c r="R52" s="51"/>
      <c r="S52" s="51"/>
      <c r="T52" s="51"/>
    </row>
    <row r="53">
      <c r="A53" s="51"/>
      <c r="B53" s="51"/>
      <c r="C53" s="56"/>
      <c r="D53" s="51"/>
      <c r="E53" s="51"/>
      <c r="F53" s="51"/>
      <c r="G53" s="51" t="str">
        <f>IFERROR(__xludf.DUMMYFUNCTION("""COMPUTED_VALUE"""),"#VALUE!")</f>
        <v>#VALUE!</v>
      </c>
      <c r="H53" s="51" t="str">
        <f>IFERROR(__xludf.DUMMYFUNCTION("""COMPUTED_VALUE"""),"")</f>
        <v/>
      </c>
      <c r="I53" s="51" t="str">
        <f>IFERROR(__xludf.DUMMYFUNCTION("""COMPUTED_VALUE"""),"#VALUE!")</f>
        <v>#VALUE!</v>
      </c>
      <c r="J53" s="51" t="str">
        <f>IFERROR(__xludf.DUMMYFUNCTION("""COMPUTED_VALUE"""),"")</f>
        <v/>
      </c>
      <c r="K53" s="51"/>
      <c r="L53" s="51" t="s">
        <v>257</v>
      </c>
      <c r="M53" s="51"/>
      <c r="N53" s="51"/>
      <c r="O53" s="51"/>
      <c r="P53" s="51"/>
      <c r="Q53" s="51"/>
      <c r="R53" s="51"/>
      <c r="S53" s="51"/>
      <c r="T53" s="51"/>
    </row>
    <row r="54">
      <c r="A54" s="51"/>
      <c r="B54" s="51"/>
      <c r="C54" s="56"/>
      <c r="D54" s="51"/>
      <c r="E54" s="51"/>
      <c r="F54" s="51"/>
      <c r="G54" s="51" t="str">
        <f>IFERROR(__xludf.DUMMYFUNCTION("""COMPUTED_VALUE"""),"#VALUE!")</f>
        <v>#VALUE!</v>
      </c>
      <c r="H54" s="51" t="str">
        <f>IFERROR(__xludf.DUMMYFUNCTION("""COMPUTED_VALUE"""),"")</f>
        <v/>
      </c>
      <c r="I54" s="51" t="str">
        <f>IFERROR(__xludf.DUMMYFUNCTION("""COMPUTED_VALUE"""),"#VALUE!")</f>
        <v>#VALUE!</v>
      </c>
      <c r="J54" s="51" t="str">
        <f>IFERROR(__xludf.DUMMYFUNCTION("""COMPUTED_VALUE"""),"")</f>
        <v/>
      </c>
      <c r="K54" s="51"/>
      <c r="L54" s="51" t="s">
        <v>257</v>
      </c>
      <c r="M54" s="51"/>
      <c r="N54" s="51"/>
      <c r="O54" s="51"/>
      <c r="P54" s="51"/>
      <c r="Q54" s="51"/>
      <c r="R54" s="51"/>
      <c r="S54" s="51"/>
      <c r="T54" s="51"/>
    </row>
    <row r="55">
      <c r="A55" s="51"/>
      <c r="B55" s="51"/>
      <c r="C55" s="56"/>
      <c r="D55" s="51"/>
      <c r="E55" s="51"/>
      <c r="F55" s="51"/>
      <c r="G55" s="51" t="str">
        <f>IFERROR(__xludf.DUMMYFUNCTION("""COMPUTED_VALUE"""),"#VALUE!")</f>
        <v>#VALUE!</v>
      </c>
      <c r="H55" s="51" t="str">
        <f>IFERROR(__xludf.DUMMYFUNCTION("""COMPUTED_VALUE"""),"")</f>
        <v/>
      </c>
      <c r="I55" s="51" t="str">
        <f>IFERROR(__xludf.DUMMYFUNCTION("""COMPUTED_VALUE"""),"#VALUE!")</f>
        <v>#VALUE!</v>
      </c>
      <c r="J55" s="51" t="str">
        <f>IFERROR(__xludf.DUMMYFUNCTION("""COMPUTED_VALUE"""),"")</f>
        <v/>
      </c>
      <c r="K55" s="51"/>
      <c r="L55" s="51" t="s">
        <v>257</v>
      </c>
      <c r="M55" s="51"/>
      <c r="N55" s="51"/>
      <c r="O55" s="51"/>
      <c r="P55" s="51"/>
      <c r="Q55" s="51"/>
      <c r="R55" s="51"/>
      <c r="S55" s="51"/>
      <c r="T55" s="51"/>
    </row>
    <row r="56">
      <c r="A56" s="51"/>
      <c r="B56" s="51"/>
      <c r="C56" s="56"/>
      <c r="D56" s="51"/>
      <c r="E56" s="51"/>
      <c r="F56" s="51"/>
      <c r="G56" s="51" t="str">
        <f>IFERROR(__xludf.DUMMYFUNCTION("""COMPUTED_VALUE"""),"#VALUE!")</f>
        <v>#VALUE!</v>
      </c>
      <c r="H56" s="51" t="str">
        <f>IFERROR(__xludf.DUMMYFUNCTION("""COMPUTED_VALUE"""),"")</f>
        <v/>
      </c>
      <c r="I56" s="51" t="str">
        <f>IFERROR(__xludf.DUMMYFUNCTION("""COMPUTED_VALUE"""),"#VALUE!")</f>
        <v>#VALUE!</v>
      </c>
      <c r="J56" s="51" t="str">
        <f>IFERROR(__xludf.DUMMYFUNCTION("""COMPUTED_VALUE"""),"")</f>
        <v/>
      </c>
      <c r="K56" s="51"/>
      <c r="L56" s="51" t="s">
        <v>257</v>
      </c>
      <c r="M56" s="51"/>
      <c r="N56" s="51"/>
      <c r="O56" s="51"/>
      <c r="P56" s="51"/>
      <c r="Q56" s="51"/>
      <c r="R56" s="51"/>
      <c r="S56" s="51"/>
      <c r="T56" s="51"/>
    </row>
    <row r="57">
      <c r="A57" s="51"/>
      <c r="B57" s="51"/>
      <c r="C57" s="56"/>
      <c r="D57" s="51"/>
      <c r="E57" s="51"/>
      <c r="F57" s="51"/>
      <c r="G57" s="51" t="str">
        <f>IFERROR(__xludf.DUMMYFUNCTION("""COMPUTED_VALUE"""),"#VALUE!")</f>
        <v>#VALUE!</v>
      </c>
      <c r="H57" s="51" t="str">
        <f>IFERROR(__xludf.DUMMYFUNCTION("""COMPUTED_VALUE"""),"")</f>
        <v/>
      </c>
      <c r="I57" s="51" t="str">
        <f>IFERROR(__xludf.DUMMYFUNCTION("""COMPUTED_VALUE"""),"#VALUE!")</f>
        <v>#VALUE!</v>
      </c>
      <c r="J57" s="51" t="str">
        <f>IFERROR(__xludf.DUMMYFUNCTION("""COMPUTED_VALUE"""),"")</f>
        <v/>
      </c>
      <c r="K57" s="51"/>
      <c r="L57" s="51" t="s">
        <v>257</v>
      </c>
      <c r="M57" s="51"/>
      <c r="N57" s="51"/>
      <c r="O57" s="51"/>
      <c r="P57" s="51"/>
      <c r="Q57" s="51"/>
      <c r="R57" s="51"/>
      <c r="S57" s="51"/>
      <c r="T57" s="51"/>
    </row>
    <row r="58">
      <c r="A58" s="51"/>
      <c r="B58" s="51"/>
      <c r="C58" s="56"/>
      <c r="D58" s="51"/>
      <c r="E58" s="51"/>
      <c r="F58" s="51"/>
      <c r="G58" s="51" t="str">
        <f>IFERROR(__xludf.DUMMYFUNCTION("""COMPUTED_VALUE"""),"#VALUE!")</f>
        <v>#VALUE!</v>
      </c>
      <c r="H58" s="51" t="str">
        <f>IFERROR(__xludf.DUMMYFUNCTION("""COMPUTED_VALUE"""),"")</f>
        <v/>
      </c>
      <c r="I58" s="51" t="str">
        <f>IFERROR(__xludf.DUMMYFUNCTION("""COMPUTED_VALUE"""),"#VALUE!")</f>
        <v>#VALUE!</v>
      </c>
      <c r="J58" s="51" t="str">
        <f>IFERROR(__xludf.DUMMYFUNCTION("""COMPUTED_VALUE"""),"")</f>
        <v/>
      </c>
      <c r="K58" s="51"/>
      <c r="L58" s="51" t="s">
        <v>257</v>
      </c>
      <c r="M58" s="51"/>
      <c r="N58" s="51"/>
      <c r="O58" s="51"/>
      <c r="P58" s="51"/>
      <c r="Q58" s="51"/>
      <c r="R58" s="51"/>
      <c r="S58" s="51"/>
      <c r="T58" s="51"/>
    </row>
    <row r="59">
      <c r="A59" s="51"/>
      <c r="B59" s="51"/>
      <c r="C59" s="56"/>
      <c r="D59" s="51"/>
      <c r="E59" s="51"/>
      <c r="F59" s="51"/>
      <c r="G59" s="51" t="str">
        <f>IFERROR(__xludf.DUMMYFUNCTION("""COMPUTED_VALUE"""),"#VALUE!")</f>
        <v>#VALUE!</v>
      </c>
      <c r="H59" s="51" t="str">
        <f>IFERROR(__xludf.DUMMYFUNCTION("""COMPUTED_VALUE"""),"")</f>
        <v/>
      </c>
      <c r="I59" s="51" t="str">
        <f>IFERROR(__xludf.DUMMYFUNCTION("""COMPUTED_VALUE"""),"#VALUE!")</f>
        <v>#VALUE!</v>
      </c>
      <c r="J59" s="51" t="str">
        <f>IFERROR(__xludf.DUMMYFUNCTION("""COMPUTED_VALUE"""),"")</f>
        <v/>
      </c>
      <c r="K59" s="51"/>
      <c r="L59" s="51" t="s">
        <v>257</v>
      </c>
      <c r="M59" s="51"/>
      <c r="N59" s="51"/>
      <c r="O59" s="51"/>
      <c r="P59" s="51"/>
      <c r="Q59" s="51"/>
      <c r="R59" s="51"/>
      <c r="S59" s="51"/>
      <c r="T59" s="51"/>
    </row>
    <row r="60">
      <c r="A60" s="51"/>
      <c r="B60" s="51"/>
      <c r="C60" s="56"/>
      <c r="D60" s="51"/>
      <c r="E60" s="51"/>
      <c r="F60" s="51"/>
      <c r="G60" s="51" t="str">
        <f>IFERROR(__xludf.DUMMYFUNCTION("""COMPUTED_VALUE"""),"#VALUE!")</f>
        <v>#VALUE!</v>
      </c>
      <c r="H60" s="51" t="str">
        <f>IFERROR(__xludf.DUMMYFUNCTION("""COMPUTED_VALUE"""),"")</f>
        <v/>
      </c>
      <c r="I60" s="51" t="str">
        <f>IFERROR(__xludf.DUMMYFUNCTION("""COMPUTED_VALUE"""),"#VALUE!")</f>
        <v>#VALUE!</v>
      </c>
      <c r="J60" s="51" t="str">
        <f>IFERROR(__xludf.DUMMYFUNCTION("""COMPUTED_VALUE"""),"")</f>
        <v/>
      </c>
      <c r="K60" s="51"/>
      <c r="L60" s="51" t="s">
        <v>257</v>
      </c>
      <c r="M60" s="51"/>
      <c r="N60" s="51"/>
      <c r="O60" s="51"/>
      <c r="P60" s="51"/>
      <c r="Q60" s="51"/>
      <c r="R60" s="51"/>
      <c r="S60" s="51"/>
      <c r="T60" s="51"/>
    </row>
    <row r="61">
      <c r="A61" s="51"/>
      <c r="B61" s="51"/>
      <c r="C61" s="56"/>
      <c r="D61" s="51"/>
      <c r="E61" s="51"/>
      <c r="F61" s="51"/>
      <c r="G61" s="51" t="str">
        <f>IFERROR(__xludf.DUMMYFUNCTION("""COMPUTED_VALUE"""),"#VALUE!")</f>
        <v>#VALUE!</v>
      </c>
      <c r="H61" s="51" t="str">
        <f>IFERROR(__xludf.DUMMYFUNCTION("""COMPUTED_VALUE"""),"")</f>
        <v/>
      </c>
      <c r="I61" s="51" t="str">
        <f>IFERROR(__xludf.DUMMYFUNCTION("""COMPUTED_VALUE"""),"#VALUE!")</f>
        <v>#VALUE!</v>
      </c>
      <c r="J61" s="51" t="str">
        <f>IFERROR(__xludf.DUMMYFUNCTION("""COMPUTED_VALUE"""),"")</f>
        <v/>
      </c>
      <c r="K61" s="51"/>
      <c r="L61" s="51" t="s">
        <v>257</v>
      </c>
      <c r="M61" s="51"/>
      <c r="N61" s="51"/>
      <c r="O61" s="51"/>
      <c r="P61" s="51"/>
      <c r="Q61" s="51"/>
      <c r="R61" s="51"/>
      <c r="S61" s="51"/>
      <c r="T61" s="51"/>
    </row>
    <row r="62">
      <c r="A62" s="51"/>
      <c r="B62" s="51"/>
      <c r="C62" s="56"/>
      <c r="D62" s="51"/>
      <c r="E62" s="51"/>
      <c r="F62" s="51"/>
      <c r="G62" s="51" t="str">
        <f>IFERROR(__xludf.DUMMYFUNCTION("""COMPUTED_VALUE"""),"#VALUE!")</f>
        <v>#VALUE!</v>
      </c>
      <c r="H62" s="51" t="str">
        <f>IFERROR(__xludf.DUMMYFUNCTION("""COMPUTED_VALUE"""),"")</f>
        <v/>
      </c>
      <c r="I62" s="51" t="str">
        <f>IFERROR(__xludf.DUMMYFUNCTION("""COMPUTED_VALUE"""),"#VALUE!")</f>
        <v>#VALUE!</v>
      </c>
      <c r="J62" s="51" t="str">
        <f>IFERROR(__xludf.DUMMYFUNCTION("""COMPUTED_VALUE"""),"")</f>
        <v/>
      </c>
      <c r="K62" s="51"/>
      <c r="L62" s="51" t="s">
        <v>257</v>
      </c>
      <c r="M62" s="51"/>
      <c r="N62" s="51"/>
      <c r="O62" s="51"/>
      <c r="P62" s="51"/>
      <c r="Q62" s="51"/>
      <c r="R62" s="51"/>
      <c r="S62" s="51"/>
      <c r="T62" s="51"/>
    </row>
    <row r="63">
      <c r="A63" s="51"/>
      <c r="B63" s="51"/>
      <c r="C63" s="56"/>
      <c r="D63" s="51"/>
      <c r="E63" s="51"/>
      <c r="F63" s="51"/>
      <c r="G63" s="51" t="str">
        <f>IFERROR(__xludf.DUMMYFUNCTION("""COMPUTED_VALUE"""),"#VALUE!")</f>
        <v>#VALUE!</v>
      </c>
      <c r="H63" s="51" t="str">
        <f>IFERROR(__xludf.DUMMYFUNCTION("""COMPUTED_VALUE"""),"")</f>
        <v/>
      </c>
      <c r="I63" s="51" t="str">
        <f>IFERROR(__xludf.DUMMYFUNCTION("""COMPUTED_VALUE"""),"#VALUE!")</f>
        <v>#VALUE!</v>
      </c>
      <c r="J63" s="51" t="str">
        <f>IFERROR(__xludf.DUMMYFUNCTION("""COMPUTED_VALUE"""),"")</f>
        <v/>
      </c>
      <c r="K63" s="51"/>
      <c r="L63" s="51" t="s">
        <v>257</v>
      </c>
      <c r="M63" s="51"/>
      <c r="N63" s="51"/>
      <c r="O63" s="51"/>
      <c r="P63" s="51"/>
      <c r="Q63" s="51"/>
      <c r="R63" s="51"/>
      <c r="S63" s="51"/>
      <c r="T63" s="51"/>
    </row>
    <row r="64">
      <c r="A64" s="51"/>
      <c r="B64" s="51"/>
      <c r="C64" s="56"/>
      <c r="D64" s="51"/>
      <c r="E64" s="51"/>
      <c r="F64" s="51"/>
      <c r="G64" s="51" t="str">
        <f>IFERROR(__xludf.DUMMYFUNCTION("""COMPUTED_VALUE"""),"#VALUE!")</f>
        <v>#VALUE!</v>
      </c>
      <c r="H64" s="51" t="str">
        <f>IFERROR(__xludf.DUMMYFUNCTION("""COMPUTED_VALUE"""),"")</f>
        <v/>
      </c>
      <c r="I64" s="51" t="str">
        <f>IFERROR(__xludf.DUMMYFUNCTION("""COMPUTED_VALUE"""),"#VALUE!")</f>
        <v>#VALUE!</v>
      </c>
      <c r="J64" s="51" t="str">
        <f>IFERROR(__xludf.DUMMYFUNCTION("""COMPUTED_VALUE"""),"")</f>
        <v/>
      </c>
      <c r="K64" s="51"/>
      <c r="L64" s="51" t="s">
        <v>257</v>
      </c>
      <c r="M64" s="51"/>
      <c r="N64" s="51"/>
      <c r="O64" s="51"/>
      <c r="P64" s="51"/>
      <c r="Q64" s="51"/>
      <c r="R64" s="51"/>
      <c r="S64" s="51"/>
      <c r="T64" s="51"/>
    </row>
    <row r="65">
      <c r="A65" s="51"/>
      <c r="B65" s="51"/>
      <c r="C65" s="56"/>
      <c r="D65" s="51"/>
      <c r="E65" s="51"/>
      <c r="F65" s="51"/>
      <c r="G65" s="51" t="str">
        <f>IFERROR(__xludf.DUMMYFUNCTION("""COMPUTED_VALUE"""),"#VALUE!")</f>
        <v>#VALUE!</v>
      </c>
      <c r="H65" s="51" t="str">
        <f>IFERROR(__xludf.DUMMYFUNCTION("""COMPUTED_VALUE"""),"")</f>
        <v/>
      </c>
      <c r="I65" s="51" t="str">
        <f>IFERROR(__xludf.DUMMYFUNCTION("""COMPUTED_VALUE"""),"#VALUE!")</f>
        <v>#VALUE!</v>
      </c>
      <c r="J65" s="51" t="str">
        <f>IFERROR(__xludf.DUMMYFUNCTION("""COMPUTED_VALUE"""),"")</f>
        <v/>
      </c>
      <c r="K65" s="51"/>
      <c r="L65" s="51" t="s">
        <v>257</v>
      </c>
      <c r="M65" s="51"/>
      <c r="N65" s="51"/>
      <c r="O65" s="51"/>
      <c r="P65" s="51"/>
      <c r="Q65" s="51"/>
      <c r="R65" s="51"/>
      <c r="S65" s="51"/>
      <c r="T65" s="51"/>
    </row>
    <row r="66">
      <c r="A66" s="51"/>
      <c r="B66" s="51"/>
      <c r="C66" s="56"/>
      <c r="D66" s="51"/>
      <c r="E66" s="51"/>
      <c r="F66" s="51"/>
      <c r="G66" s="51" t="str">
        <f>IFERROR(__xludf.DUMMYFUNCTION("""COMPUTED_VALUE"""),"#VALUE!")</f>
        <v>#VALUE!</v>
      </c>
      <c r="H66" s="51" t="str">
        <f>IFERROR(__xludf.DUMMYFUNCTION("""COMPUTED_VALUE"""),"")</f>
        <v/>
      </c>
      <c r="I66" s="51" t="str">
        <f>IFERROR(__xludf.DUMMYFUNCTION("""COMPUTED_VALUE"""),"#VALUE!")</f>
        <v>#VALUE!</v>
      </c>
      <c r="J66" s="51" t="str">
        <f>IFERROR(__xludf.DUMMYFUNCTION("""COMPUTED_VALUE"""),"")</f>
        <v/>
      </c>
      <c r="K66" s="51"/>
      <c r="L66" s="51" t="s">
        <v>257</v>
      </c>
      <c r="M66" s="51"/>
      <c r="N66" s="51"/>
      <c r="O66" s="51"/>
      <c r="P66" s="51"/>
      <c r="Q66" s="51"/>
      <c r="R66" s="51"/>
      <c r="S66" s="51"/>
      <c r="T66" s="51"/>
    </row>
    <row r="67">
      <c r="A67" s="51"/>
      <c r="B67" s="51"/>
      <c r="C67" s="56"/>
      <c r="D67" s="51"/>
      <c r="E67" s="51"/>
      <c r="F67" s="51"/>
      <c r="G67" s="51" t="str">
        <f>IFERROR(__xludf.DUMMYFUNCTION("""COMPUTED_VALUE"""),"#VALUE!")</f>
        <v>#VALUE!</v>
      </c>
      <c r="H67" s="51" t="str">
        <f>IFERROR(__xludf.DUMMYFUNCTION("""COMPUTED_VALUE"""),"")</f>
        <v/>
      </c>
      <c r="I67" s="51" t="str">
        <f>IFERROR(__xludf.DUMMYFUNCTION("""COMPUTED_VALUE"""),"#VALUE!")</f>
        <v>#VALUE!</v>
      </c>
      <c r="J67" s="51" t="str">
        <f>IFERROR(__xludf.DUMMYFUNCTION("""COMPUTED_VALUE"""),"")</f>
        <v/>
      </c>
      <c r="K67" s="51"/>
      <c r="L67" s="51" t="s">
        <v>257</v>
      </c>
      <c r="M67" s="51"/>
      <c r="N67" s="51"/>
      <c r="O67" s="51"/>
      <c r="P67" s="51"/>
      <c r="Q67" s="51"/>
      <c r="R67" s="51"/>
      <c r="S67" s="51"/>
      <c r="T67" s="51"/>
    </row>
    <row r="68">
      <c r="A68" s="51"/>
      <c r="B68" s="51"/>
      <c r="C68" s="56"/>
      <c r="D68" s="51"/>
      <c r="E68" s="51"/>
      <c r="F68" s="51"/>
      <c r="G68" s="51" t="str">
        <f>IFERROR(__xludf.DUMMYFUNCTION("""COMPUTED_VALUE"""),"#VALUE!")</f>
        <v>#VALUE!</v>
      </c>
      <c r="H68" s="51" t="str">
        <f>IFERROR(__xludf.DUMMYFUNCTION("""COMPUTED_VALUE"""),"")</f>
        <v/>
      </c>
      <c r="I68" s="51" t="str">
        <f>IFERROR(__xludf.DUMMYFUNCTION("""COMPUTED_VALUE"""),"#VALUE!")</f>
        <v>#VALUE!</v>
      </c>
      <c r="J68" s="51" t="str">
        <f>IFERROR(__xludf.DUMMYFUNCTION("""COMPUTED_VALUE"""),"")</f>
        <v/>
      </c>
      <c r="K68" s="51"/>
      <c r="L68" s="51" t="s">
        <v>257</v>
      </c>
      <c r="M68" s="51"/>
      <c r="N68" s="51"/>
      <c r="O68" s="51"/>
      <c r="P68" s="51"/>
      <c r="Q68" s="51"/>
      <c r="R68" s="51"/>
      <c r="S68" s="51"/>
      <c r="T68" s="51"/>
    </row>
    <row r="69">
      <c r="A69" s="51"/>
      <c r="B69" s="51"/>
      <c r="C69" s="56"/>
      <c r="D69" s="51"/>
      <c r="E69" s="51"/>
      <c r="F69" s="51"/>
      <c r="G69" s="51" t="str">
        <f>IFERROR(__xludf.DUMMYFUNCTION("""COMPUTED_VALUE"""),"#VALUE!")</f>
        <v>#VALUE!</v>
      </c>
      <c r="H69" s="51" t="str">
        <f>IFERROR(__xludf.DUMMYFUNCTION("""COMPUTED_VALUE"""),"")</f>
        <v/>
      </c>
      <c r="I69" s="51" t="str">
        <f>IFERROR(__xludf.DUMMYFUNCTION("""COMPUTED_VALUE"""),"#VALUE!")</f>
        <v>#VALUE!</v>
      </c>
      <c r="J69" s="51" t="str">
        <f>IFERROR(__xludf.DUMMYFUNCTION("""COMPUTED_VALUE"""),"")</f>
        <v/>
      </c>
      <c r="K69" s="51"/>
      <c r="L69" s="51" t="s">
        <v>257</v>
      </c>
      <c r="M69" s="51"/>
      <c r="N69" s="51"/>
      <c r="O69" s="51"/>
      <c r="P69" s="51"/>
      <c r="Q69" s="51"/>
      <c r="R69" s="51"/>
      <c r="S69" s="51"/>
      <c r="T69" s="51"/>
    </row>
    <row r="70">
      <c r="A70" s="51"/>
      <c r="B70" s="51"/>
      <c r="C70" s="56"/>
      <c r="D70" s="51"/>
      <c r="E70" s="51"/>
      <c r="F70" s="51"/>
      <c r="G70" s="51" t="str">
        <f>IFERROR(__xludf.DUMMYFUNCTION("""COMPUTED_VALUE"""),"#VALUE!")</f>
        <v>#VALUE!</v>
      </c>
      <c r="H70" s="51" t="str">
        <f>IFERROR(__xludf.DUMMYFUNCTION("""COMPUTED_VALUE"""),"")</f>
        <v/>
      </c>
      <c r="I70" s="51" t="str">
        <f>IFERROR(__xludf.DUMMYFUNCTION("""COMPUTED_VALUE"""),"#VALUE!")</f>
        <v>#VALUE!</v>
      </c>
      <c r="J70" s="51" t="str">
        <f>IFERROR(__xludf.DUMMYFUNCTION("""COMPUTED_VALUE"""),"")</f>
        <v/>
      </c>
      <c r="K70" s="51"/>
      <c r="L70" s="51" t="s">
        <v>257</v>
      </c>
      <c r="M70" s="51"/>
      <c r="N70" s="51"/>
      <c r="O70" s="51"/>
      <c r="P70" s="51"/>
      <c r="Q70" s="51"/>
      <c r="R70" s="51"/>
      <c r="S70" s="51"/>
      <c r="T70" s="51"/>
    </row>
    <row r="71">
      <c r="A71" s="51"/>
      <c r="B71" s="51"/>
      <c r="C71" s="56"/>
      <c r="D71" s="51"/>
      <c r="E71" s="51"/>
      <c r="F71" s="51"/>
      <c r="G71" s="51" t="str">
        <f>IFERROR(__xludf.DUMMYFUNCTION("""COMPUTED_VALUE"""),"#VALUE!")</f>
        <v>#VALUE!</v>
      </c>
      <c r="H71" s="51" t="str">
        <f>IFERROR(__xludf.DUMMYFUNCTION("""COMPUTED_VALUE"""),"")</f>
        <v/>
      </c>
      <c r="I71" s="51" t="str">
        <f>IFERROR(__xludf.DUMMYFUNCTION("""COMPUTED_VALUE"""),"#VALUE!")</f>
        <v>#VALUE!</v>
      </c>
      <c r="J71" s="51" t="str">
        <f>IFERROR(__xludf.DUMMYFUNCTION("""COMPUTED_VALUE"""),"")</f>
        <v/>
      </c>
      <c r="K71" s="51"/>
      <c r="L71" s="51" t="s">
        <v>257</v>
      </c>
      <c r="M71" s="51"/>
      <c r="N71" s="51"/>
      <c r="O71" s="51"/>
      <c r="P71" s="51"/>
      <c r="Q71" s="51"/>
      <c r="R71" s="51"/>
      <c r="S71" s="51"/>
      <c r="T71" s="51"/>
    </row>
    <row r="72">
      <c r="A72" s="51"/>
      <c r="B72" s="51"/>
      <c r="C72" s="56"/>
      <c r="D72" s="51"/>
      <c r="E72" s="51"/>
      <c r="F72" s="51"/>
      <c r="G72" s="51" t="str">
        <f>IFERROR(__xludf.DUMMYFUNCTION("""COMPUTED_VALUE"""),"#VALUE!")</f>
        <v>#VALUE!</v>
      </c>
      <c r="H72" s="51" t="str">
        <f>IFERROR(__xludf.DUMMYFUNCTION("""COMPUTED_VALUE"""),"")</f>
        <v/>
      </c>
      <c r="I72" s="51" t="str">
        <f>IFERROR(__xludf.DUMMYFUNCTION("""COMPUTED_VALUE"""),"#VALUE!")</f>
        <v>#VALUE!</v>
      </c>
      <c r="J72" s="51" t="str">
        <f>IFERROR(__xludf.DUMMYFUNCTION("""COMPUTED_VALUE"""),"")</f>
        <v/>
      </c>
      <c r="K72" s="51"/>
      <c r="L72" s="51" t="s">
        <v>257</v>
      </c>
      <c r="M72" s="51"/>
      <c r="N72" s="51"/>
      <c r="O72" s="51"/>
      <c r="P72" s="51"/>
      <c r="Q72" s="51"/>
      <c r="R72" s="51"/>
      <c r="S72" s="51"/>
      <c r="T72" s="51"/>
    </row>
    <row r="73">
      <c r="A73" s="51"/>
      <c r="B73" s="51"/>
      <c r="C73" s="56"/>
      <c r="D73" s="51"/>
      <c r="E73" s="51"/>
      <c r="F73" s="51"/>
      <c r="G73" s="51" t="str">
        <f>IFERROR(__xludf.DUMMYFUNCTION("""COMPUTED_VALUE"""),"#VALUE!")</f>
        <v>#VALUE!</v>
      </c>
      <c r="H73" s="51" t="str">
        <f>IFERROR(__xludf.DUMMYFUNCTION("""COMPUTED_VALUE"""),"")</f>
        <v/>
      </c>
      <c r="I73" s="51" t="str">
        <f>IFERROR(__xludf.DUMMYFUNCTION("""COMPUTED_VALUE"""),"#VALUE!")</f>
        <v>#VALUE!</v>
      </c>
      <c r="J73" s="51" t="str">
        <f>IFERROR(__xludf.DUMMYFUNCTION("""COMPUTED_VALUE"""),"")</f>
        <v/>
      </c>
      <c r="K73" s="51"/>
      <c r="L73" s="51" t="s">
        <v>257</v>
      </c>
      <c r="M73" s="51"/>
      <c r="N73" s="51"/>
      <c r="O73" s="51"/>
      <c r="P73" s="51"/>
      <c r="Q73" s="51"/>
      <c r="R73" s="51"/>
      <c r="S73" s="51"/>
      <c r="T73" s="51"/>
    </row>
    <row r="74">
      <c r="A74" s="51"/>
      <c r="B74" s="51"/>
      <c r="C74" s="56"/>
      <c r="D74" s="51"/>
      <c r="E74" s="51"/>
      <c r="F74" s="51"/>
      <c r="G74" s="51" t="str">
        <f>IFERROR(__xludf.DUMMYFUNCTION("""COMPUTED_VALUE"""),"#VALUE!")</f>
        <v>#VALUE!</v>
      </c>
      <c r="H74" s="51" t="str">
        <f>IFERROR(__xludf.DUMMYFUNCTION("""COMPUTED_VALUE"""),"")</f>
        <v/>
      </c>
      <c r="I74" s="51" t="str">
        <f>IFERROR(__xludf.DUMMYFUNCTION("""COMPUTED_VALUE"""),"#VALUE!")</f>
        <v>#VALUE!</v>
      </c>
      <c r="J74" s="51" t="str">
        <f>IFERROR(__xludf.DUMMYFUNCTION("""COMPUTED_VALUE"""),"")</f>
        <v/>
      </c>
      <c r="K74" s="51"/>
      <c r="L74" s="51" t="s">
        <v>257</v>
      </c>
      <c r="M74" s="51"/>
      <c r="N74" s="51"/>
      <c r="O74" s="51"/>
      <c r="P74" s="51"/>
      <c r="Q74" s="51"/>
      <c r="R74" s="51"/>
      <c r="S74" s="51"/>
      <c r="T74" s="51"/>
    </row>
    <row r="75">
      <c r="A75" s="51"/>
      <c r="B75" s="51"/>
      <c r="C75" s="56"/>
      <c r="D75" s="51"/>
      <c r="E75" s="51"/>
      <c r="F75" s="51"/>
      <c r="G75" s="51" t="str">
        <f>IFERROR(__xludf.DUMMYFUNCTION("""COMPUTED_VALUE"""),"#VALUE!")</f>
        <v>#VALUE!</v>
      </c>
      <c r="H75" s="51" t="str">
        <f>IFERROR(__xludf.DUMMYFUNCTION("""COMPUTED_VALUE"""),"")</f>
        <v/>
      </c>
      <c r="I75" s="51" t="str">
        <f>IFERROR(__xludf.DUMMYFUNCTION("""COMPUTED_VALUE"""),"#VALUE!")</f>
        <v>#VALUE!</v>
      </c>
      <c r="J75" s="51" t="str">
        <f>IFERROR(__xludf.DUMMYFUNCTION("""COMPUTED_VALUE"""),"")</f>
        <v/>
      </c>
      <c r="K75" s="51"/>
      <c r="L75" s="51" t="s">
        <v>257</v>
      </c>
      <c r="M75" s="51"/>
      <c r="N75" s="51"/>
      <c r="O75" s="51"/>
      <c r="P75" s="51"/>
      <c r="Q75" s="51"/>
      <c r="R75" s="51"/>
      <c r="S75" s="51"/>
      <c r="T75" s="51"/>
    </row>
    <row r="76">
      <c r="A76" s="51"/>
      <c r="B76" s="51"/>
      <c r="C76" s="56"/>
      <c r="D76" s="51"/>
      <c r="E76" s="51"/>
      <c r="F76" s="51"/>
      <c r="G76" s="51" t="str">
        <f>IFERROR(__xludf.DUMMYFUNCTION("""COMPUTED_VALUE"""),"#VALUE!")</f>
        <v>#VALUE!</v>
      </c>
      <c r="H76" s="51" t="str">
        <f>IFERROR(__xludf.DUMMYFUNCTION("""COMPUTED_VALUE"""),"")</f>
        <v/>
      </c>
      <c r="I76" s="51" t="str">
        <f>IFERROR(__xludf.DUMMYFUNCTION("""COMPUTED_VALUE"""),"#VALUE!")</f>
        <v>#VALUE!</v>
      </c>
      <c r="J76" s="51" t="str">
        <f>IFERROR(__xludf.DUMMYFUNCTION("""COMPUTED_VALUE"""),"")</f>
        <v/>
      </c>
      <c r="K76" s="51"/>
      <c r="L76" s="51" t="s">
        <v>257</v>
      </c>
      <c r="M76" s="51"/>
      <c r="N76" s="51"/>
      <c r="O76" s="51"/>
      <c r="P76" s="51"/>
      <c r="Q76" s="51"/>
      <c r="R76" s="51"/>
      <c r="S76" s="51"/>
      <c r="T76" s="51"/>
    </row>
    <row r="77">
      <c r="A77" s="51"/>
      <c r="B77" s="51"/>
      <c r="C77" s="56"/>
      <c r="D77" s="51"/>
      <c r="E77" s="51"/>
      <c r="F77" s="51"/>
      <c r="G77" s="51" t="str">
        <f>IFERROR(__xludf.DUMMYFUNCTION("""COMPUTED_VALUE"""),"#VALUE!")</f>
        <v>#VALUE!</v>
      </c>
      <c r="H77" s="51" t="str">
        <f>IFERROR(__xludf.DUMMYFUNCTION("""COMPUTED_VALUE"""),"")</f>
        <v/>
      </c>
      <c r="I77" s="51" t="str">
        <f>IFERROR(__xludf.DUMMYFUNCTION("""COMPUTED_VALUE"""),"#VALUE!")</f>
        <v>#VALUE!</v>
      </c>
      <c r="J77" s="51" t="str">
        <f>IFERROR(__xludf.DUMMYFUNCTION("""COMPUTED_VALUE"""),"")</f>
        <v/>
      </c>
      <c r="K77" s="51"/>
      <c r="L77" s="51" t="s">
        <v>257</v>
      </c>
      <c r="M77" s="51"/>
      <c r="N77" s="51"/>
      <c r="O77" s="51"/>
      <c r="P77" s="51"/>
      <c r="Q77" s="51"/>
      <c r="R77" s="51"/>
      <c r="S77" s="51"/>
      <c r="T77" s="51"/>
    </row>
    <row r="78">
      <c r="A78" s="51"/>
      <c r="B78" s="51"/>
      <c r="C78" s="56"/>
      <c r="D78" s="51"/>
      <c r="E78" s="51"/>
      <c r="F78" s="51"/>
      <c r="G78" s="51" t="str">
        <f>IFERROR(__xludf.DUMMYFUNCTION("""COMPUTED_VALUE"""),"#VALUE!")</f>
        <v>#VALUE!</v>
      </c>
      <c r="H78" s="51" t="str">
        <f>IFERROR(__xludf.DUMMYFUNCTION("""COMPUTED_VALUE"""),"")</f>
        <v/>
      </c>
      <c r="I78" s="51" t="str">
        <f>IFERROR(__xludf.DUMMYFUNCTION("""COMPUTED_VALUE"""),"#VALUE!")</f>
        <v>#VALUE!</v>
      </c>
      <c r="J78" s="51" t="str">
        <f>IFERROR(__xludf.DUMMYFUNCTION("""COMPUTED_VALUE"""),"")</f>
        <v/>
      </c>
      <c r="K78" s="51"/>
      <c r="L78" s="51" t="s">
        <v>257</v>
      </c>
      <c r="M78" s="51"/>
      <c r="N78" s="51"/>
      <c r="O78" s="51"/>
      <c r="P78" s="51"/>
      <c r="Q78" s="51"/>
      <c r="R78" s="51"/>
      <c r="S78" s="51"/>
      <c r="T78" s="51"/>
    </row>
    <row r="79">
      <c r="A79" s="51"/>
      <c r="B79" s="51"/>
      <c r="C79" s="56"/>
      <c r="D79" s="51"/>
      <c r="E79" s="51"/>
      <c r="F79" s="51"/>
      <c r="G79" s="51" t="str">
        <f>IFERROR(__xludf.DUMMYFUNCTION("""COMPUTED_VALUE"""),"#VALUE!")</f>
        <v>#VALUE!</v>
      </c>
      <c r="H79" s="51" t="str">
        <f>IFERROR(__xludf.DUMMYFUNCTION("""COMPUTED_VALUE"""),"")</f>
        <v/>
      </c>
      <c r="I79" s="51" t="str">
        <f>IFERROR(__xludf.DUMMYFUNCTION("""COMPUTED_VALUE"""),"#VALUE!")</f>
        <v>#VALUE!</v>
      </c>
      <c r="J79" s="51" t="str">
        <f>IFERROR(__xludf.DUMMYFUNCTION("""COMPUTED_VALUE"""),"")</f>
        <v/>
      </c>
      <c r="K79" s="51"/>
      <c r="L79" s="51" t="s">
        <v>257</v>
      </c>
      <c r="M79" s="51"/>
      <c r="N79" s="51"/>
      <c r="O79" s="51"/>
      <c r="P79" s="51"/>
      <c r="Q79" s="51"/>
      <c r="R79" s="51"/>
      <c r="S79" s="51"/>
      <c r="T79" s="51"/>
    </row>
    <row r="80">
      <c r="A80" s="51"/>
      <c r="B80" s="51"/>
      <c r="C80" s="56"/>
      <c r="D80" s="51"/>
      <c r="E80" s="51"/>
      <c r="F80" s="51"/>
      <c r="G80" s="51" t="str">
        <f>IFERROR(__xludf.DUMMYFUNCTION("""COMPUTED_VALUE"""),"#VALUE!")</f>
        <v>#VALUE!</v>
      </c>
      <c r="H80" s="51" t="str">
        <f>IFERROR(__xludf.DUMMYFUNCTION("""COMPUTED_VALUE"""),"")</f>
        <v/>
      </c>
      <c r="I80" s="51" t="str">
        <f>IFERROR(__xludf.DUMMYFUNCTION("""COMPUTED_VALUE"""),"#VALUE!")</f>
        <v>#VALUE!</v>
      </c>
      <c r="J80" s="51" t="str">
        <f>IFERROR(__xludf.DUMMYFUNCTION("""COMPUTED_VALUE"""),"")</f>
        <v/>
      </c>
      <c r="K80" s="51"/>
      <c r="L80" s="51" t="s">
        <v>257</v>
      </c>
      <c r="M80" s="51"/>
      <c r="N80" s="51"/>
      <c r="O80" s="51"/>
      <c r="P80" s="51"/>
      <c r="Q80" s="51"/>
      <c r="R80" s="51"/>
      <c r="S80" s="51"/>
      <c r="T80" s="51"/>
    </row>
    <row r="81">
      <c r="A81" s="51"/>
      <c r="B81" s="51"/>
      <c r="C81" s="56"/>
      <c r="D81" s="51"/>
      <c r="E81" s="51"/>
      <c r="F81" s="51"/>
      <c r="G81" s="51" t="str">
        <f>IFERROR(__xludf.DUMMYFUNCTION("""COMPUTED_VALUE"""),"#VALUE!")</f>
        <v>#VALUE!</v>
      </c>
      <c r="H81" s="51" t="str">
        <f>IFERROR(__xludf.DUMMYFUNCTION("""COMPUTED_VALUE"""),"")</f>
        <v/>
      </c>
      <c r="I81" s="51" t="str">
        <f>IFERROR(__xludf.DUMMYFUNCTION("""COMPUTED_VALUE"""),"#VALUE!")</f>
        <v>#VALUE!</v>
      </c>
      <c r="J81" s="51" t="str">
        <f>IFERROR(__xludf.DUMMYFUNCTION("""COMPUTED_VALUE"""),"")</f>
        <v/>
      </c>
      <c r="K81" s="51"/>
      <c r="L81" s="51" t="s">
        <v>257</v>
      </c>
      <c r="M81" s="51"/>
      <c r="N81" s="51"/>
      <c r="O81" s="51"/>
      <c r="P81" s="51"/>
      <c r="Q81" s="51"/>
      <c r="R81" s="51"/>
      <c r="S81" s="51"/>
      <c r="T81" s="51"/>
    </row>
    <row r="82">
      <c r="A82" s="51"/>
      <c r="B82" s="51"/>
      <c r="C82" s="56"/>
      <c r="D82" s="51"/>
      <c r="E82" s="51"/>
      <c r="F82" s="51"/>
      <c r="G82" s="51" t="str">
        <f>IFERROR(__xludf.DUMMYFUNCTION("""COMPUTED_VALUE"""),"#VALUE!")</f>
        <v>#VALUE!</v>
      </c>
      <c r="H82" s="51" t="str">
        <f>IFERROR(__xludf.DUMMYFUNCTION("""COMPUTED_VALUE"""),"")</f>
        <v/>
      </c>
      <c r="I82" s="51" t="str">
        <f>IFERROR(__xludf.DUMMYFUNCTION("""COMPUTED_VALUE"""),"#VALUE!")</f>
        <v>#VALUE!</v>
      </c>
      <c r="J82" s="51" t="str">
        <f>IFERROR(__xludf.DUMMYFUNCTION("""COMPUTED_VALUE"""),"")</f>
        <v/>
      </c>
      <c r="K82" s="51"/>
      <c r="L82" s="51" t="s">
        <v>257</v>
      </c>
      <c r="M82" s="51"/>
      <c r="N82" s="51"/>
      <c r="O82" s="51"/>
      <c r="P82" s="51"/>
      <c r="Q82" s="51"/>
      <c r="R82" s="51"/>
      <c r="S82" s="51"/>
      <c r="T82" s="51"/>
    </row>
    <row r="83">
      <c r="A83" s="51"/>
      <c r="B83" s="51"/>
      <c r="C83" s="56"/>
      <c r="D83" s="51"/>
      <c r="E83" s="51"/>
      <c r="F83" s="51"/>
      <c r="G83" s="51" t="str">
        <f>IFERROR(__xludf.DUMMYFUNCTION("""COMPUTED_VALUE"""),"#VALUE!")</f>
        <v>#VALUE!</v>
      </c>
      <c r="H83" s="51" t="str">
        <f>IFERROR(__xludf.DUMMYFUNCTION("""COMPUTED_VALUE"""),"")</f>
        <v/>
      </c>
      <c r="I83" s="51" t="str">
        <f>IFERROR(__xludf.DUMMYFUNCTION("""COMPUTED_VALUE"""),"#VALUE!")</f>
        <v>#VALUE!</v>
      </c>
      <c r="J83" s="51" t="str">
        <f>IFERROR(__xludf.DUMMYFUNCTION("""COMPUTED_VALUE"""),"")</f>
        <v/>
      </c>
      <c r="K83" s="51"/>
      <c r="L83" s="51" t="s">
        <v>257</v>
      </c>
      <c r="M83" s="51"/>
      <c r="N83" s="51"/>
      <c r="O83" s="51"/>
      <c r="P83" s="51"/>
      <c r="Q83" s="51"/>
      <c r="R83" s="51"/>
      <c r="S83" s="51"/>
      <c r="T83" s="51"/>
    </row>
    <row r="84">
      <c r="A84" s="51"/>
      <c r="B84" s="51"/>
      <c r="C84" s="56"/>
      <c r="D84" s="51"/>
      <c r="E84" s="51"/>
      <c r="F84" s="51"/>
      <c r="G84" s="51" t="str">
        <f>IFERROR(__xludf.DUMMYFUNCTION("""COMPUTED_VALUE"""),"#VALUE!")</f>
        <v>#VALUE!</v>
      </c>
      <c r="H84" s="51" t="str">
        <f>IFERROR(__xludf.DUMMYFUNCTION("""COMPUTED_VALUE"""),"")</f>
        <v/>
      </c>
      <c r="I84" s="51" t="str">
        <f>IFERROR(__xludf.DUMMYFUNCTION("""COMPUTED_VALUE"""),"#VALUE!")</f>
        <v>#VALUE!</v>
      </c>
      <c r="J84" s="51" t="str">
        <f>IFERROR(__xludf.DUMMYFUNCTION("""COMPUTED_VALUE"""),"")</f>
        <v/>
      </c>
      <c r="K84" s="51"/>
      <c r="L84" s="51" t="s">
        <v>257</v>
      </c>
      <c r="M84" s="51"/>
      <c r="N84" s="51"/>
      <c r="O84" s="51"/>
      <c r="P84" s="51"/>
      <c r="Q84" s="51"/>
      <c r="R84" s="51"/>
      <c r="S84" s="51"/>
      <c r="T84" s="51"/>
    </row>
    <row r="85">
      <c r="A85" s="51"/>
      <c r="B85" s="51"/>
      <c r="C85" s="56"/>
      <c r="D85" s="51"/>
      <c r="E85" s="51"/>
      <c r="F85" s="51"/>
      <c r="G85" s="51" t="str">
        <f>IFERROR(__xludf.DUMMYFUNCTION("""COMPUTED_VALUE"""),"#VALUE!")</f>
        <v>#VALUE!</v>
      </c>
      <c r="H85" s="51" t="str">
        <f>IFERROR(__xludf.DUMMYFUNCTION("""COMPUTED_VALUE"""),"")</f>
        <v/>
      </c>
      <c r="I85" s="51" t="str">
        <f>IFERROR(__xludf.DUMMYFUNCTION("""COMPUTED_VALUE"""),"#VALUE!")</f>
        <v>#VALUE!</v>
      </c>
      <c r="J85" s="51" t="str">
        <f>IFERROR(__xludf.DUMMYFUNCTION("""COMPUTED_VALUE"""),"")</f>
        <v/>
      </c>
      <c r="K85" s="51"/>
      <c r="L85" s="51" t="s">
        <v>257</v>
      </c>
      <c r="M85" s="51"/>
      <c r="N85" s="51"/>
      <c r="O85" s="51"/>
      <c r="P85" s="51"/>
      <c r="Q85" s="51"/>
      <c r="R85" s="51"/>
      <c r="S85" s="51"/>
      <c r="T85" s="51"/>
    </row>
    <row r="86">
      <c r="A86" s="51"/>
      <c r="B86" s="51"/>
      <c r="C86" s="56"/>
      <c r="D86" s="51"/>
      <c r="E86" s="51"/>
      <c r="F86" s="51"/>
      <c r="G86" s="51" t="str">
        <f>IFERROR(__xludf.DUMMYFUNCTION("""COMPUTED_VALUE"""),"#VALUE!")</f>
        <v>#VALUE!</v>
      </c>
      <c r="H86" s="51" t="str">
        <f>IFERROR(__xludf.DUMMYFUNCTION("""COMPUTED_VALUE"""),"")</f>
        <v/>
      </c>
      <c r="I86" s="51" t="str">
        <f>IFERROR(__xludf.DUMMYFUNCTION("""COMPUTED_VALUE"""),"#VALUE!")</f>
        <v>#VALUE!</v>
      </c>
      <c r="J86" s="51" t="str">
        <f>IFERROR(__xludf.DUMMYFUNCTION("""COMPUTED_VALUE"""),"")</f>
        <v/>
      </c>
      <c r="K86" s="51"/>
      <c r="L86" s="51" t="s">
        <v>257</v>
      </c>
      <c r="M86" s="51"/>
      <c r="N86" s="51"/>
      <c r="O86" s="51"/>
      <c r="P86" s="51"/>
      <c r="Q86" s="51"/>
      <c r="R86" s="51"/>
      <c r="S86" s="51"/>
      <c r="T86" s="51"/>
    </row>
    <row r="87">
      <c r="A87" s="51"/>
      <c r="B87" s="51"/>
      <c r="C87" s="56"/>
      <c r="D87" s="51"/>
      <c r="E87" s="51"/>
      <c r="F87" s="51"/>
      <c r="G87" s="51" t="str">
        <f>IFERROR(__xludf.DUMMYFUNCTION("""COMPUTED_VALUE"""),"#VALUE!")</f>
        <v>#VALUE!</v>
      </c>
      <c r="H87" s="51" t="str">
        <f>IFERROR(__xludf.DUMMYFUNCTION("""COMPUTED_VALUE"""),"")</f>
        <v/>
      </c>
      <c r="I87" s="51" t="str">
        <f>IFERROR(__xludf.DUMMYFUNCTION("""COMPUTED_VALUE"""),"#VALUE!")</f>
        <v>#VALUE!</v>
      </c>
      <c r="J87" s="51" t="str">
        <f>IFERROR(__xludf.DUMMYFUNCTION("""COMPUTED_VALUE"""),"")</f>
        <v/>
      </c>
      <c r="K87" s="51"/>
      <c r="L87" s="51" t="s">
        <v>257</v>
      </c>
      <c r="M87" s="51"/>
      <c r="N87" s="51"/>
      <c r="O87" s="51"/>
      <c r="P87" s="51"/>
      <c r="Q87" s="51"/>
      <c r="R87" s="51"/>
      <c r="S87" s="51"/>
      <c r="T87" s="51"/>
    </row>
    <row r="88">
      <c r="A88" s="51"/>
      <c r="B88" s="51"/>
      <c r="C88" s="56"/>
      <c r="D88" s="51"/>
      <c r="E88" s="51"/>
      <c r="F88" s="51"/>
      <c r="G88" s="51" t="str">
        <f>IFERROR(__xludf.DUMMYFUNCTION("""COMPUTED_VALUE"""),"#VALUE!")</f>
        <v>#VALUE!</v>
      </c>
      <c r="H88" s="51" t="str">
        <f>IFERROR(__xludf.DUMMYFUNCTION("""COMPUTED_VALUE"""),"")</f>
        <v/>
      </c>
      <c r="I88" s="51" t="str">
        <f>IFERROR(__xludf.DUMMYFUNCTION("""COMPUTED_VALUE"""),"#VALUE!")</f>
        <v>#VALUE!</v>
      </c>
      <c r="J88" s="51" t="str">
        <f>IFERROR(__xludf.DUMMYFUNCTION("""COMPUTED_VALUE"""),"")</f>
        <v/>
      </c>
      <c r="K88" s="51"/>
      <c r="L88" s="51" t="s">
        <v>257</v>
      </c>
      <c r="M88" s="51"/>
      <c r="N88" s="51"/>
      <c r="O88" s="51"/>
      <c r="P88" s="51"/>
      <c r="Q88" s="51"/>
      <c r="R88" s="51"/>
      <c r="S88" s="51"/>
      <c r="T88" s="51"/>
    </row>
    <row r="89">
      <c r="A89" s="51"/>
      <c r="B89" s="51"/>
      <c r="C89" s="56"/>
      <c r="D89" s="51"/>
      <c r="E89" s="51"/>
      <c r="F89" s="51"/>
      <c r="G89" s="51" t="str">
        <f>IFERROR(__xludf.DUMMYFUNCTION("""COMPUTED_VALUE"""),"#VALUE!")</f>
        <v>#VALUE!</v>
      </c>
      <c r="H89" s="51" t="str">
        <f>IFERROR(__xludf.DUMMYFUNCTION("""COMPUTED_VALUE"""),"")</f>
        <v/>
      </c>
      <c r="I89" s="51" t="str">
        <f>IFERROR(__xludf.DUMMYFUNCTION("""COMPUTED_VALUE"""),"#VALUE!")</f>
        <v>#VALUE!</v>
      </c>
      <c r="J89" s="51" t="str">
        <f>IFERROR(__xludf.DUMMYFUNCTION("""COMPUTED_VALUE"""),"")</f>
        <v/>
      </c>
      <c r="K89" s="51"/>
      <c r="L89" s="51" t="s">
        <v>257</v>
      </c>
      <c r="M89" s="51"/>
      <c r="N89" s="51"/>
      <c r="O89" s="51"/>
      <c r="P89" s="51"/>
      <c r="Q89" s="51"/>
      <c r="R89" s="51"/>
      <c r="S89" s="51"/>
      <c r="T89" s="51"/>
    </row>
    <row r="90">
      <c r="A90" s="51"/>
      <c r="B90" s="51"/>
      <c r="C90" s="56"/>
      <c r="D90" s="51"/>
      <c r="E90" s="51"/>
      <c r="F90" s="51"/>
      <c r="G90" s="51" t="str">
        <f>IFERROR(__xludf.DUMMYFUNCTION("""COMPUTED_VALUE"""),"#VALUE!")</f>
        <v>#VALUE!</v>
      </c>
      <c r="H90" s="51" t="str">
        <f>IFERROR(__xludf.DUMMYFUNCTION("""COMPUTED_VALUE"""),"")</f>
        <v/>
      </c>
      <c r="I90" s="51" t="str">
        <f>IFERROR(__xludf.DUMMYFUNCTION("""COMPUTED_VALUE"""),"#VALUE!")</f>
        <v>#VALUE!</v>
      </c>
      <c r="J90" s="51" t="str">
        <f>IFERROR(__xludf.DUMMYFUNCTION("""COMPUTED_VALUE"""),"")</f>
        <v/>
      </c>
      <c r="K90" s="51"/>
      <c r="L90" s="51" t="s">
        <v>257</v>
      </c>
      <c r="M90" s="51"/>
      <c r="N90" s="51"/>
      <c r="O90" s="51"/>
      <c r="P90" s="51"/>
      <c r="Q90" s="51"/>
      <c r="R90" s="51"/>
      <c r="S90" s="51"/>
      <c r="T90" s="51"/>
    </row>
    <row r="91">
      <c r="A91" s="51"/>
      <c r="B91" s="51"/>
      <c r="C91" s="56"/>
      <c r="D91" s="51"/>
      <c r="E91" s="51"/>
      <c r="F91" s="51"/>
      <c r="G91" s="51" t="str">
        <f>IFERROR(__xludf.DUMMYFUNCTION("""COMPUTED_VALUE"""),"#VALUE!")</f>
        <v>#VALUE!</v>
      </c>
      <c r="H91" s="51" t="str">
        <f>IFERROR(__xludf.DUMMYFUNCTION("""COMPUTED_VALUE"""),"")</f>
        <v/>
      </c>
      <c r="I91" s="51" t="str">
        <f>IFERROR(__xludf.DUMMYFUNCTION("""COMPUTED_VALUE"""),"#VALUE!")</f>
        <v>#VALUE!</v>
      </c>
      <c r="J91" s="51" t="str">
        <f>IFERROR(__xludf.DUMMYFUNCTION("""COMPUTED_VALUE"""),"")</f>
        <v/>
      </c>
      <c r="K91" s="51"/>
      <c r="L91" s="51" t="s">
        <v>257</v>
      </c>
      <c r="M91" s="51"/>
      <c r="N91" s="51"/>
      <c r="O91" s="51"/>
      <c r="P91" s="51"/>
      <c r="Q91" s="51"/>
      <c r="R91" s="51"/>
      <c r="S91" s="51"/>
      <c r="T91" s="51"/>
    </row>
    <row r="92">
      <c r="A92" s="51"/>
      <c r="B92" s="51"/>
      <c r="C92" s="56"/>
      <c r="D92" s="51"/>
      <c r="E92" s="51"/>
      <c r="F92" s="51"/>
      <c r="G92" s="51" t="str">
        <f>IFERROR(__xludf.DUMMYFUNCTION("""COMPUTED_VALUE"""),"#VALUE!")</f>
        <v>#VALUE!</v>
      </c>
      <c r="H92" s="51" t="str">
        <f>IFERROR(__xludf.DUMMYFUNCTION("""COMPUTED_VALUE"""),"")</f>
        <v/>
      </c>
      <c r="I92" s="51" t="str">
        <f>IFERROR(__xludf.DUMMYFUNCTION("""COMPUTED_VALUE"""),"#VALUE!")</f>
        <v>#VALUE!</v>
      </c>
      <c r="J92" s="51" t="str">
        <f>IFERROR(__xludf.DUMMYFUNCTION("""COMPUTED_VALUE"""),"")</f>
        <v/>
      </c>
      <c r="K92" s="51"/>
      <c r="L92" s="51" t="s">
        <v>257</v>
      </c>
      <c r="M92" s="51"/>
      <c r="N92" s="51"/>
      <c r="O92" s="51"/>
      <c r="P92" s="51"/>
      <c r="Q92" s="51"/>
      <c r="R92" s="51"/>
      <c r="S92" s="51"/>
      <c r="T92" s="51"/>
    </row>
    <row r="93">
      <c r="A93" s="51"/>
      <c r="B93" s="51"/>
      <c r="C93" s="56"/>
      <c r="D93" s="51"/>
      <c r="E93" s="51"/>
      <c r="F93" s="51"/>
      <c r="G93" s="51" t="str">
        <f>IFERROR(__xludf.DUMMYFUNCTION("""COMPUTED_VALUE"""),"#VALUE!")</f>
        <v>#VALUE!</v>
      </c>
      <c r="H93" s="51" t="str">
        <f>IFERROR(__xludf.DUMMYFUNCTION("""COMPUTED_VALUE"""),"")</f>
        <v/>
      </c>
      <c r="I93" s="51" t="str">
        <f>IFERROR(__xludf.DUMMYFUNCTION("""COMPUTED_VALUE"""),"#VALUE!")</f>
        <v>#VALUE!</v>
      </c>
      <c r="J93" s="51" t="str">
        <f>IFERROR(__xludf.DUMMYFUNCTION("""COMPUTED_VALUE"""),"")</f>
        <v/>
      </c>
      <c r="K93" s="51"/>
      <c r="L93" s="51" t="s">
        <v>257</v>
      </c>
      <c r="M93" s="51"/>
      <c r="N93" s="51"/>
      <c r="O93" s="51"/>
      <c r="P93" s="51"/>
      <c r="Q93" s="51"/>
      <c r="R93" s="51"/>
      <c r="S93" s="51"/>
      <c r="T93" s="51"/>
    </row>
    <row r="94">
      <c r="A94" s="51"/>
      <c r="B94" s="51"/>
      <c r="C94" s="56"/>
      <c r="D94" s="51"/>
      <c r="E94" s="51"/>
      <c r="F94" s="51"/>
      <c r="G94" s="51" t="str">
        <f>IFERROR(__xludf.DUMMYFUNCTION("""COMPUTED_VALUE"""),"#VALUE!")</f>
        <v>#VALUE!</v>
      </c>
      <c r="H94" s="51" t="str">
        <f>IFERROR(__xludf.DUMMYFUNCTION("""COMPUTED_VALUE"""),"")</f>
        <v/>
      </c>
      <c r="I94" s="51" t="str">
        <f>IFERROR(__xludf.DUMMYFUNCTION("""COMPUTED_VALUE"""),"#VALUE!")</f>
        <v>#VALUE!</v>
      </c>
      <c r="J94" s="51" t="str">
        <f>IFERROR(__xludf.DUMMYFUNCTION("""COMPUTED_VALUE"""),"")</f>
        <v/>
      </c>
      <c r="K94" s="51"/>
      <c r="L94" s="51" t="s">
        <v>257</v>
      </c>
      <c r="M94" s="51"/>
      <c r="N94" s="51"/>
      <c r="O94" s="51"/>
      <c r="P94" s="51"/>
      <c r="Q94" s="51"/>
      <c r="R94" s="51"/>
      <c r="S94" s="51"/>
      <c r="T94" s="51"/>
    </row>
    <row r="95">
      <c r="A95" s="51"/>
      <c r="B95" s="51"/>
      <c r="C95" s="56"/>
      <c r="D95" s="51"/>
      <c r="E95" s="51"/>
      <c r="F95" s="51"/>
      <c r="G95" s="51" t="str">
        <f>IFERROR(__xludf.DUMMYFUNCTION("""COMPUTED_VALUE"""),"#VALUE!")</f>
        <v>#VALUE!</v>
      </c>
      <c r="H95" s="51" t="str">
        <f>IFERROR(__xludf.DUMMYFUNCTION("""COMPUTED_VALUE"""),"")</f>
        <v/>
      </c>
      <c r="I95" s="51" t="str">
        <f>IFERROR(__xludf.DUMMYFUNCTION("""COMPUTED_VALUE"""),"#VALUE!")</f>
        <v>#VALUE!</v>
      </c>
      <c r="J95" s="51" t="str">
        <f>IFERROR(__xludf.DUMMYFUNCTION("""COMPUTED_VALUE"""),"")</f>
        <v/>
      </c>
      <c r="K95" s="51"/>
      <c r="L95" s="51" t="s">
        <v>257</v>
      </c>
      <c r="M95" s="51"/>
      <c r="N95" s="51"/>
      <c r="O95" s="51"/>
      <c r="P95" s="51"/>
      <c r="Q95" s="51"/>
      <c r="R95" s="51"/>
      <c r="S95" s="51"/>
      <c r="T95" s="51"/>
    </row>
    <row r="96">
      <c r="A96" s="51"/>
      <c r="B96" s="51"/>
      <c r="C96" s="56"/>
      <c r="D96" s="51"/>
      <c r="E96" s="51"/>
      <c r="F96" s="51"/>
      <c r="G96" s="51" t="str">
        <f>IFERROR(__xludf.DUMMYFUNCTION("""COMPUTED_VALUE"""),"#VALUE!")</f>
        <v>#VALUE!</v>
      </c>
      <c r="H96" s="51" t="str">
        <f>IFERROR(__xludf.DUMMYFUNCTION("""COMPUTED_VALUE"""),"")</f>
        <v/>
      </c>
      <c r="I96" s="51" t="str">
        <f>IFERROR(__xludf.DUMMYFUNCTION("""COMPUTED_VALUE"""),"#VALUE!")</f>
        <v>#VALUE!</v>
      </c>
      <c r="J96" s="51" t="str">
        <f>IFERROR(__xludf.DUMMYFUNCTION("""COMPUTED_VALUE"""),"")</f>
        <v/>
      </c>
      <c r="K96" s="51"/>
      <c r="L96" s="51" t="s">
        <v>257</v>
      </c>
      <c r="M96" s="51"/>
      <c r="N96" s="51"/>
      <c r="O96" s="51"/>
      <c r="P96" s="51"/>
      <c r="Q96" s="51"/>
      <c r="R96" s="51"/>
      <c r="S96" s="51"/>
      <c r="T96" s="51"/>
    </row>
    <row r="97">
      <c r="A97" s="51"/>
      <c r="B97" s="51"/>
      <c r="C97" s="56"/>
      <c r="D97" s="51"/>
      <c r="E97" s="51"/>
      <c r="F97" s="51"/>
      <c r="G97" s="51" t="str">
        <f>IFERROR(__xludf.DUMMYFUNCTION("""COMPUTED_VALUE"""),"#VALUE!")</f>
        <v>#VALUE!</v>
      </c>
      <c r="H97" s="51" t="str">
        <f>IFERROR(__xludf.DUMMYFUNCTION("""COMPUTED_VALUE"""),"")</f>
        <v/>
      </c>
      <c r="I97" s="51" t="str">
        <f>IFERROR(__xludf.DUMMYFUNCTION("""COMPUTED_VALUE"""),"#VALUE!")</f>
        <v>#VALUE!</v>
      </c>
      <c r="J97" s="51" t="str">
        <f>IFERROR(__xludf.DUMMYFUNCTION("""COMPUTED_VALUE"""),"")</f>
        <v/>
      </c>
      <c r="K97" s="51"/>
      <c r="L97" s="51" t="s">
        <v>257</v>
      </c>
      <c r="M97" s="51"/>
      <c r="N97" s="51"/>
      <c r="O97" s="51"/>
      <c r="P97" s="51"/>
      <c r="Q97" s="51"/>
      <c r="R97" s="51"/>
      <c r="S97" s="51"/>
      <c r="T97" s="51"/>
    </row>
    <row r="98">
      <c r="A98" s="51"/>
      <c r="B98" s="51"/>
      <c r="C98" s="56"/>
      <c r="D98" s="51"/>
      <c r="E98" s="51"/>
      <c r="F98" s="51"/>
      <c r="G98" s="51" t="str">
        <f>IFERROR(__xludf.DUMMYFUNCTION("""COMPUTED_VALUE"""),"#VALUE!")</f>
        <v>#VALUE!</v>
      </c>
      <c r="H98" s="51" t="str">
        <f>IFERROR(__xludf.DUMMYFUNCTION("""COMPUTED_VALUE"""),"")</f>
        <v/>
      </c>
      <c r="I98" s="51" t="str">
        <f>IFERROR(__xludf.DUMMYFUNCTION("""COMPUTED_VALUE"""),"#VALUE!")</f>
        <v>#VALUE!</v>
      </c>
      <c r="J98" s="51" t="str">
        <f>IFERROR(__xludf.DUMMYFUNCTION("""COMPUTED_VALUE"""),"")</f>
        <v/>
      </c>
      <c r="K98" s="51"/>
      <c r="L98" s="51" t="s">
        <v>257</v>
      </c>
      <c r="M98" s="51"/>
      <c r="N98" s="51"/>
      <c r="O98" s="51"/>
      <c r="P98" s="51"/>
      <c r="Q98" s="51"/>
      <c r="R98" s="51"/>
      <c r="S98" s="51"/>
      <c r="T98" s="51"/>
    </row>
    <row r="99">
      <c r="A99" s="51"/>
      <c r="B99" s="51"/>
      <c r="C99" s="56"/>
      <c r="D99" s="51"/>
      <c r="E99" s="51"/>
      <c r="F99" s="51"/>
      <c r="G99" s="51" t="str">
        <f>IFERROR(__xludf.DUMMYFUNCTION("""COMPUTED_VALUE"""),"#VALUE!")</f>
        <v>#VALUE!</v>
      </c>
      <c r="H99" s="51" t="str">
        <f>IFERROR(__xludf.DUMMYFUNCTION("""COMPUTED_VALUE"""),"")</f>
        <v/>
      </c>
      <c r="I99" s="51" t="str">
        <f>IFERROR(__xludf.DUMMYFUNCTION("""COMPUTED_VALUE"""),"#VALUE!")</f>
        <v>#VALUE!</v>
      </c>
      <c r="J99" s="51" t="str">
        <f>IFERROR(__xludf.DUMMYFUNCTION("""COMPUTED_VALUE"""),"")</f>
        <v/>
      </c>
      <c r="K99" s="51"/>
      <c r="L99" s="51" t="s">
        <v>257</v>
      </c>
      <c r="M99" s="51"/>
      <c r="N99" s="51"/>
      <c r="O99" s="51"/>
      <c r="P99" s="51"/>
      <c r="Q99" s="51"/>
      <c r="R99" s="51"/>
      <c r="S99" s="51"/>
      <c r="T99" s="51"/>
    </row>
    <row r="100">
      <c r="A100" s="51"/>
      <c r="B100" s="51"/>
      <c r="C100" s="56"/>
      <c r="D100" s="51"/>
      <c r="E100" s="51"/>
      <c r="F100" s="51"/>
      <c r="G100" s="51" t="str">
        <f>IFERROR(__xludf.DUMMYFUNCTION("""COMPUTED_VALUE"""),"#VALUE!")</f>
        <v>#VALUE!</v>
      </c>
      <c r="H100" s="51" t="str">
        <f>IFERROR(__xludf.DUMMYFUNCTION("""COMPUTED_VALUE"""),"")</f>
        <v/>
      </c>
      <c r="I100" s="51" t="str">
        <f>IFERROR(__xludf.DUMMYFUNCTION("""COMPUTED_VALUE"""),"#VALUE!")</f>
        <v>#VALUE!</v>
      </c>
      <c r="J100" s="51" t="str">
        <f>IFERROR(__xludf.DUMMYFUNCTION("""COMPUTED_VALUE"""),"")</f>
        <v/>
      </c>
      <c r="K100" s="51"/>
      <c r="L100" s="51" t="s">
        <v>257</v>
      </c>
      <c r="M100" s="51"/>
      <c r="N100" s="51"/>
      <c r="O100" s="51"/>
      <c r="P100" s="51"/>
      <c r="Q100" s="51"/>
      <c r="R100" s="51"/>
      <c r="S100" s="51"/>
      <c r="T100" s="51"/>
    </row>
    <row r="101">
      <c r="A101" s="51"/>
      <c r="B101" s="51"/>
      <c r="C101" s="56"/>
      <c r="D101" s="51"/>
      <c r="E101" s="51"/>
      <c r="F101" s="51"/>
      <c r="G101" s="51" t="str">
        <f>IFERROR(__xludf.DUMMYFUNCTION("""COMPUTED_VALUE"""),"#VALUE!")</f>
        <v>#VALUE!</v>
      </c>
      <c r="H101" s="51" t="str">
        <f>IFERROR(__xludf.DUMMYFUNCTION("""COMPUTED_VALUE"""),"")</f>
        <v/>
      </c>
      <c r="I101" s="51" t="str">
        <f>IFERROR(__xludf.DUMMYFUNCTION("""COMPUTED_VALUE"""),"#VALUE!")</f>
        <v>#VALUE!</v>
      </c>
      <c r="J101" s="51" t="str">
        <f>IFERROR(__xludf.DUMMYFUNCTION("""COMPUTED_VALUE"""),"")</f>
        <v/>
      </c>
      <c r="K101" s="51"/>
      <c r="L101" s="51" t="s">
        <v>257</v>
      </c>
      <c r="M101" s="51"/>
      <c r="N101" s="51"/>
      <c r="O101" s="51"/>
      <c r="P101" s="51"/>
      <c r="Q101" s="51"/>
      <c r="R101" s="51"/>
      <c r="S101" s="51"/>
      <c r="T101" s="51"/>
    </row>
    <row r="102">
      <c r="A102" s="51"/>
      <c r="B102" s="51"/>
      <c r="C102" s="56"/>
      <c r="D102" s="51"/>
      <c r="E102" s="51"/>
      <c r="F102" s="51"/>
      <c r="G102" s="51" t="str">
        <f>IFERROR(__xludf.DUMMYFUNCTION("""COMPUTED_VALUE"""),"#VALUE!")</f>
        <v>#VALUE!</v>
      </c>
      <c r="H102" s="51" t="str">
        <f>IFERROR(__xludf.DUMMYFUNCTION("""COMPUTED_VALUE"""),"")</f>
        <v/>
      </c>
      <c r="I102" s="51" t="str">
        <f>IFERROR(__xludf.DUMMYFUNCTION("""COMPUTED_VALUE"""),"#VALUE!")</f>
        <v>#VALUE!</v>
      </c>
      <c r="J102" s="51" t="str">
        <f>IFERROR(__xludf.DUMMYFUNCTION("""COMPUTED_VALUE"""),"")</f>
        <v/>
      </c>
      <c r="K102" s="51"/>
      <c r="L102" s="51" t="s">
        <v>257</v>
      </c>
      <c r="M102" s="51"/>
      <c r="N102" s="51"/>
      <c r="O102" s="51"/>
      <c r="P102" s="51"/>
      <c r="Q102" s="51"/>
      <c r="R102" s="51"/>
      <c r="S102" s="51"/>
      <c r="T102" s="51"/>
    </row>
    <row r="103">
      <c r="A103" s="51"/>
      <c r="B103" s="51"/>
      <c r="C103" s="56"/>
      <c r="D103" s="51"/>
      <c r="E103" s="51"/>
      <c r="F103" s="51"/>
      <c r="G103" s="51" t="str">
        <f>IFERROR(__xludf.DUMMYFUNCTION("""COMPUTED_VALUE"""),"#VALUE!")</f>
        <v>#VALUE!</v>
      </c>
      <c r="H103" s="51" t="str">
        <f>IFERROR(__xludf.DUMMYFUNCTION("""COMPUTED_VALUE"""),"")</f>
        <v/>
      </c>
      <c r="I103" s="51" t="str">
        <f>IFERROR(__xludf.DUMMYFUNCTION("""COMPUTED_VALUE"""),"#VALUE!")</f>
        <v>#VALUE!</v>
      </c>
      <c r="J103" s="51" t="str">
        <f>IFERROR(__xludf.DUMMYFUNCTION("""COMPUTED_VALUE"""),"")</f>
        <v/>
      </c>
      <c r="K103" s="51"/>
      <c r="L103" s="51" t="s">
        <v>257</v>
      </c>
      <c r="M103" s="51"/>
      <c r="N103" s="51"/>
      <c r="O103" s="51"/>
      <c r="P103" s="51"/>
      <c r="Q103" s="51"/>
      <c r="R103" s="51"/>
      <c r="S103" s="51"/>
      <c r="T103" s="51"/>
    </row>
    <row r="104">
      <c r="A104" s="51"/>
      <c r="B104" s="51"/>
      <c r="C104" s="56"/>
      <c r="D104" s="51"/>
      <c r="E104" s="51"/>
      <c r="F104" s="51"/>
      <c r="G104" s="51" t="str">
        <f>IFERROR(__xludf.DUMMYFUNCTION("""COMPUTED_VALUE"""),"#VALUE!")</f>
        <v>#VALUE!</v>
      </c>
      <c r="H104" s="51" t="str">
        <f>IFERROR(__xludf.DUMMYFUNCTION("""COMPUTED_VALUE"""),"")</f>
        <v/>
      </c>
      <c r="I104" s="51" t="str">
        <f>IFERROR(__xludf.DUMMYFUNCTION("""COMPUTED_VALUE"""),"#VALUE!")</f>
        <v>#VALUE!</v>
      </c>
      <c r="J104" s="51" t="str">
        <f>IFERROR(__xludf.DUMMYFUNCTION("""COMPUTED_VALUE"""),"")</f>
        <v/>
      </c>
      <c r="K104" s="51"/>
      <c r="L104" s="51" t="s">
        <v>257</v>
      </c>
      <c r="M104" s="51"/>
      <c r="N104" s="51"/>
      <c r="O104" s="51"/>
      <c r="P104" s="51"/>
      <c r="Q104" s="51"/>
      <c r="R104" s="51"/>
      <c r="S104" s="51"/>
      <c r="T104" s="51"/>
    </row>
    <row r="105">
      <c r="A105" s="51"/>
      <c r="B105" s="51"/>
      <c r="C105" s="56"/>
      <c r="D105" s="51"/>
      <c r="E105" s="51"/>
      <c r="F105" s="51"/>
      <c r="G105" s="51" t="str">
        <f>IFERROR(__xludf.DUMMYFUNCTION("""COMPUTED_VALUE"""),"#VALUE!")</f>
        <v>#VALUE!</v>
      </c>
      <c r="H105" s="51" t="str">
        <f>IFERROR(__xludf.DUMMYFUNCTION("""COMPUTED_VALUE"""),"")</f>
        <v/>
      </c>
      <c r="I105" s="51" t="str">
        <f>IFERROR(__xludf.DUMMYFUNCTION("""COMPUTED_VALUE"""),"#VALUE!")</f>
        <v>#VALUE!</v>
      </c>
      <c r="J105" s="51" t="str">
        <f>IFERROR(__xludf.DUMMYFUNCTION("""COMPUTED_VALUE"""),"")</f>
        <v/>
      </c>
      <c r="K105" s="51"/>
      <c r="L105" s="51" t="s">
        <v>257</v>
      </c>
      <c r="M105" s="51"/>
      <c r="N105" s="51"/>
      <c r="O105" s="51"/>
      <c r="P105" s="51"/>
      <c r="Q105" s="51"/>
      <c r="R105" s="51"/>
      <c r="S105" s="51"/>
      <c r="T105" s="51"/>
    </row>
    <row r="106">
      <c r="A106" s="51"/>
      <c r="B106" s="51"/>
      <c r="C106" s="56"/>
      <c r="D106" s="51"/>
      <c r="E106" s="51"/>
      <c r="F106" s="51"/>
      <c r="G106" s="51" t="str">
        <f>IFERROR(__xludf.DUMMYFUNCTION("""COMPUTED_VALUE"""),"#VALUE!")</f>
        <v>#VALUE!</v>
      </c>
      <c r="H106" s="51" t="str">
        <f>IFERROR(__xludf.DUMMYFUNCTION("""COMPUTED_VALUE"""),"")</f>
        <v/>
      </c>
      <c r="I106" s="51" t="str">
        <f>IFERROR(__xludf.DUMMYFUNCTION("""COMPUTED_VALUE"""),"#VALUE!")</f>
        <v>#VALUE!</v>
      </c>
      <c r="J106" s="51" t="str">
        <f>IFERROR(__xludf.DUMMYFUNCTION("""COMPUTED_VALUE"""),"")</f>
        <v/>
      </c>
      <c r="K106" s="51"/>
      <c r="L106" s="51" t="s">
        <v>257</v>
      </c>
      <c r="M106" s="51"/>
      <c r="N106" s="51"/>
      <c r="O106" s="51"/>
      <c r="P106" s="51"/>
      <c r="Q106" s="51"/>
      <c r="R106" s="51"/>
      <c r="S106" s="51"/>
      <c r="T106" s="51"/>
    </row>
    <row r="107">
      <c r="A107" s="51"/>
      <c r="B107" s="51"/>
      <c r="C107" s="56"/>
      <c r="D107" s="51"/>
      <c r="E107" s="51"/>
      <c r="F107" s="51"/>
      <c r="G107" s="51" t="str">
        <f>IFERROR(__xludf.DUMMYFUNCTION("""COMPUTED_VALUE"""),"#VALUE!")</f>
        <v>#VALUE!</v>
      </c>
      <c r="H107" s="51" t="str">
        <f>IFERROR(__xludf.DUMMYFUNCTION("""COMPUTED_VALUE"""),"")</f>
        <v/>
      </c>
      <c r="I107" s="51" t="str">
        <f>IFERROR(__xludf.DUMMYFUNCTION("""COMPUTED_VALUE"""),"#VALUE!")</f>
        <v>#VALUE!</v>
      </c>
      <c r="J107" s="51" t="str">
        <f>IFERROR(__xludf.DUMMYFUNCTION("""COMPUTED_VALUE"""),"")</f>
        <v/>
      </c>
      <c r="K107" s="51"/>
      <c r="L107" s="51" t="s">
        <v>257</v>
      </c>
      <c r="M107" s="51"/>
      <c r="N107" s="51"/>
      <c r="O107" s="51"/>
      <c r="P107" s="51"/>
      <c r="Q107" s="51"/>
      <c r="R107" s="51"/>
      <c r="S107" s="51"/>
      <c r="T107" s="51"/>
    </row>
    <row r="108">
      <c r="A108" s="51"/>
      <c r="B108" s="51"/>
      <c r="C108" s="56"/>
      <c r="D108" s="51"/>
      <c r="E108" s="51"/>
      <c r="F108" s="51"/>
      <c r="G108" s="51" t="str">
        <f>IFERROR(__xludf.DUMMYFUNCTION("""COMPUTED_VALUE"""),"#VALUE!")</f>
        <v>#VALUE!</v>
      </c>
      <c r="H108" s="51" t="str">
        <f>IFERROR(__xludf.DUMMYFUNCTION("""COMPUTED_VALUE"""),"")</f>
        <v/>
      </c>
      <c r="I108" s="51" t="str">
        <f>IFERROR(__xludf.DUMMYFUNCTION("""COMPUTED_VALUE"""),"#VALUE!")</f>
        <v>#VALUE!</v>
      </c>
      <c r="J108" s="51" t="str">
        <f>IFERROR(__xludf.DUMMYFUNCTION("""COMPUTED_VALUE"""),"")</f>
        <v/>
      </c>
      <c r="K108" s="51"/>
      <c r="L108" s="51" t="s">
        <v>257</v>
      </c>
      <c r="M108" s="51"/>
      <c r="N108" s="51"/>
      <c r="O108" s="51"/>
      <c r="P108" s="51"/>
      <c r="Q108" s="51"/>
      <c r="R108" s="51"/>
      <c r="S108" s="51"/>
      <c r="T108" s="51"/>
    </row>
    <row r="109">
      <c r="A109" s="51"/>
      <c r="B109" s="51"/>
      <c r="C109" s="56"/>
      <c r="D109" s="51"/>
      <c r="E109" s="51"/>
      <c r="F109" s="51"/>
      <c r="G109" s="51" t="str">
        <f>IFERROR(__xludf.DUMMYFUNCTION("""COMPUTED_VALUE"""),"#VALUE!")</f>
        <v>#VALUE!</v>
      </c>
      <c r="H109" s="51" t="str">
        <f>IFERROR(__xludf.DUMMYFUNCTION("""COMPUTED_VALUE"""),"")</f>
        <v/>
      </c>
      <c r="I109" s="51" t="str">
        <f>IFERROR(__xludf.DUMMYFUNCTION("""COMPUTED_VALUE"""),"#VALUE!")</f>
        <v>#VALUE!</v>
      </c>
      <c r="J109" s="51" t="str">
        <f>IFERROR(__xludf.DUMMYFUNCTION("""COMPUTED_VALUE"""),"")</f>
        <v/>
      </c>
      <c r="K109" s="51"/>
      <c r="L109" s="51" t="s">
        <v>257</v>
      </c>
      <c r="M109" s="51"/>
      <c r="N109" s="51"/>
      <c r="O109" s="51"/>
      <c r="P109" s="51"/>
      <c r="Q109" s="51"/>
      <c r="R109" s="51"/>
      <c r="S109" s="51"/>
      <c r="T109" s="51"/>
    </row>
    <row r="110">
      <c r="A110" s="51"/>
      <c r="B110" s="51"/>
      <c r="C110" s="56"/>
      <c r="D110" s="51"/>
      <c r="E110" s="51"/>
      <c r="F110" s="51"/>
      <c r="G110" s="51" t="str">
        <f>IFERROR(__xludf.DUMMYFUNCTION("""COMPUTED_VALUE"""),"#VALUE!")</f>
        <v>#VALUE!</v>
      </c>
      <c r="H110" s="51" t="str">
        <f>IFERROR(__xludf.DUMMYFUNCTION("""COMPUTED_VALUE"""),"")</f>
        <v/>
      </c>
      <c r="I110" s="51" t="str">
        <f>IFERROR(__xludf.DUMMYFUNCTION("""COMPUTED_VALUE"""),"#VALUE!")</f>
        <v>#VALUE!</v>
      </c>
      <c r="J110" s="51" t="str">
        <f>IFERROR(__xludf.DUMMYFUNCTION("""COMPUTED_VALUE"""),"")</f>
        <v/>
      </c>
      <c r="K110" s="51"/>
      <c r="L110" s="51" t="s">
        <v>257</v>
      </c>
      <c r="M110" s="51"/>
      <c r="N110" s="51"/>
      <c r="O110" s="51"/>
      <c r="P110" s="51"/>
      <c r="Q110" s="51"/>
      <c r="R110" s="51"/>
      <c r="S110" s="51"/>
      <c r="T110" s="51"/>
    </row>
    <row r="111">
      <c r="A111" s="51"/>
      <c r="B111" s="51"/>
      <c r="C111" s="56"/>
      <c r="D111" s="51"/>
      <c r="E111" s="51"/>
      <c r="F111" s="51"/>
      <c r="G111" s="51" t="str">
        <f>IFERROR(__xludf.DUMMYFUNCTION("""COMPUTED_VALUE"""),"#VALUE!")</f>
        <v>#VALUE!</v>
      </c>
      <c r="H111" s="51" t="str">
        <f>IFERROR(__xludf.DUMMYFUNCTION("""COMPUTED_VALUE"""),"")</f>
        <v/>
      </c>
      <c r="I111" s="51" t="str">
        <f>IFERROR(__xludf.DUMMYFUNCTION("""COMPUTED_VALUE"""),"#VALUE!")</f>
        <v>#VALUE!</v>
      </c>
      <c r="J111" s="51" t="str">
        <f>IFERROR(__xludf.DUMMYFUNCTION("""COMPUTED_VALUE"""),"")</f>
        <v/>
      </c>
      <c r="K111" s="51"/>
      <c r="L111" s="51" t="s">
        <v>257</v>
      </c>
      <c r="M111" s="51"/>
      <c r="N111" s="51"/>
      <c r="O111" s="51"/>
      <c r="P111" s="51"/>
      <c r="Q111" s="51"/>
      <c r="R111" s="51"/>
      <c r="S111" s="51"/>
      <c r="T111" s="51"/>
    </row>
    <row r="112">
      <c r="A112" s="51"/>
      <c r="B112" s="51"/>
      <c r="C112" s="56"/>
      <c r="D112" s="51"/>
      <c r="E112" s="51"/>
      <c r="F112" s="51"/>
      <c r="G112" s="51" t="str">
        <f>IFERROR(__xludf.DUMMYFUNCTION("""COMPUTED_VALUE"""),"#VALUE!")</f>
        <v>#VALUE!</v>
      </c>
      <c r="H112" s="51" t="str">
        <f>IFERROR(__xludf.DUMMYFUNCTION("""COMPUTED_VALUE"""),"")</f>
        <v/>
      </c>
      <c r="I112" s="51" t="str">
        <f>IFERROR(__xludf.DUMMYFUNCTION("""COMPUTED_VALUE"""),"#VALUE!")</f>
        <v>#VALUE!</v>
      </c>
      <c r="J112" s="51" t="str">
        <f>IFERROR(__xludf.DUMMYFUNCTION("""COMPUTED_VALUE"""),"")</f>
        <v/>
      </c>
      <c r="K112" s="51"/>
      <c r="L112" s="51" t="s">
        <v>257</v>
      </c>
      <c r="M112" s="51"/>
      <c r="N112" s="51"/>
      <c r="O112" s="51"/>
      <c r="P112" s="51"/>
      <c r="Q112" s="51"/>
      <c r="R112" s="51"/>
      <c r="S112" s="51"/>
      <c r="T112" s="51"/>
    </row>
    <row r="113">
      <c r="A113" s="51"/>
      <c r="B113" s="51"/>
      <c r="C113" s="56"/>
      <c r="D113" s="51"/>
      <c r="E113" s="51"/>
      <c r="F113" s="51"/>
      <c r="G113" s="51" t="str">
        <f>IFERROR(__xludf.DUMMYFUNCTION("""COMPUTED_VALUE"""),"#VALUE!")</f>
        <v>#VALUE!</v>
      </c>
      <c r="H113" s="51" t="str">
        <f>IFERROR(__xludf.DUMMYFUNCTION("""COMPUTED_VALUE"""),"")</f>
        <v/>
      </c>
      <c r="I113" s="51" t="str">
        <f>IFERROR(__xludf.DUMMYFUNCTION("""COMPUTED_VALUE"""),"#VALUE!")</f>
        <v>#VALUE!</v>
      </c>
      <c r="J113" s="51" t="str">
        <f>IFERROR(__xludf.DUMMYFUNCTION("""COMPUTED_VALUE"""),"")</f>
        <v/>
      </c>
      <c r="K113" s="51"/>
      <c r="L113" s="51" t="s">
        <v>257</v>
      </c>
      <c r="M113" s="51"/>
      <c r="N113" s="51"/>
      <c r="O113" s="51"/>
      <c r="P113" s="51"/>
      <c r="Q113" s="51"/>
      <c r="R113" s="51"/>
      <c r="S113" s="51"/>
      <c r="T113" s="51"/>
    </row>
    <row r="114">
      <c r="A114" s="51"/>
      <c r="B114" s="51"/>
      <c r="C114" s="56"/>
      <c r="D114" s="51"/>
      <c r="E114" s="51"/>
      <c r="F114" s="51"/>
      <c r="G114" s="51" t="str">
        <f>IFERROR(__xludf.DUMMYFUNCTION("""COMPUTED_VALUE"""),"#VALUE!")</f>
        <v>#VALUE!</v>
      </c>
      <c r="H114" s="51" t="str">
        <f>IFERROR(__xludf.DUMMYFUNCTION("""COMPUTED_VALUE"""),"")</f>
        <v/>
      </c>
      <c r="I114" s="51" t="str">
        <f>IFERROR(__xludf.DUMMYFUNCTION("""COMPUTED_VALUE"""),"#VALUE!")</f>
        <v>#VALUE!</v>
      </c>
      <c r="J114" s="51" t="str">
        <f>IFERROR(__xludf.DUMMYFUNCTION("""COMPUTED_VALUE"""),"")</f>
        <v/>
      </c>
      <c r="K114" s="51"/>
      <c r="L114" s="51" t="s">
        <v>257</v>
      </c>
      <c r="M114" s="51"/>
      <c r="N114" s="51"/>
      <c r="O114" s="51"/>
      <c r="P114" s="51"/>
      <c r="Q114" s="51"/>
      <c r="R114" s="51"/>
      <c r="S114" s="51"/>
      <c r="T114" s="51"/>
    </row>
    <row r="115">
      <c r="A115" s="51"/>
      <c r="B115" s="51"/>
      <c r="C115" s="56"/>
      <c r="D115" s="51"/>
      <c r="E115" s="51"/>
      <c r="F115" s="51"/>
      <c r="G115" s="51" t="str">
        <f>IFERROR(__xludf.DUMMYFUNCTION("""COMPUTED_VALUE"""),"#VALUE!")</f>
        <v>#VALUE!</v>
      </c>
      <c r="H115" s="51" t="str">
        <f>IFERROR(__xludf.DUMMYFUNCTION("""COMPUTED_VALUE"""),"")</f>
        <v/>
      </c>
      <c r="I115" s="51" t="str">
        <f>IFERROR(__xludf.DUMMYFUNCTION("""COMPUTED_VALUE"""),"#VALUE!")</f>
        <v>#VALUE!</v>
      </c>
      <c r="J115" s="51" t="str">
        <f>IFERROR(__xludf.DUMMYFUNCTION("""COMPUTED_VALUE"""),"")</f>
        <v/>
      </c>
      <c r="K115" s="51"/>
      <c r="L115" s="51" t="s">
        <v>257</v>
      </c>
      <c r="M115" s="51"/>
      <c r="N115" s="51"/>
      <c r="O115" s="51"/>
      <c r="P115" s="51"/>
      <c r="Q115" s="51"/>
      <c r="R115" s="51"/>
      <c r="S115" s="51"/>
      <c r="T115" s="51"/>
    </row>
    <row r="116">
      <c r="A116" s="51"/>
      <c r="B116" s="51"/>
      <c r="C116" s="56"/>
      <c r="D116" s="51"/>
      <c r="E116" s="51"/>
      <c r="F116" s="51"/>
      <c r="G116" s="51" t="str">
        <f>IFERROR(__xludf.DUMMYFUNCTION("""COMPUTED_VALUE"""),"#VALUE!")</f>
        <v>#VALUE!</v>
      </c>
      <c r="H116" s="51" t="str">
        <f>IFERROR(__xludf.DUMMYFUNCTION("""COMPUTED_VALUE"""),"")</f>
        <v/>
      </c>
      <c r="I116" s="51" t="str">
        <f>IFERROR(__xludf.DUMMYFUNCTION("""COMPUTED_VALUE"""),"#VALUE!")</f>
        <v>#VALUE!</v>
      </c>
      <c r="J116" s="51" t="str">
        <f>IFERROR(__xludf.DUMMYFUNCTION("""COMPUTED_VALUE"""),"")</f>
        <v/>
      </c>
      <c r="K116" s="51"/>
      <c r="L116" s="51" t="s">
        <v>257</v>
      </c>
      <c r="M116" s="51"/>
      <c r="N116" s="51"/>
      <c r="O116" s="51"/>
      <c r="P116" s="51"/>
      <c r="Q116" s="51"/>
      <c r="R116" s="51"/>
      <c r="S116" s="51"/>
      <c r="T116" s="51"/>
    </row>
    <row r="117">
      <c r="A117" s="51"/>
      <c r="B117" s="51"/>
      <c r="C117" s="56"/>
      <c r="D117" s="51"/>
      <c r="E117" s="51"/>
      <c r="F117" s="51"/>
      <c r="G117" s="51" t="str">
        <f>IFERROR(__xludf.DUMMYFUNCTION("""COMPUTED_VALUE"""),"#VALUE!")</f>
        <v>#VALUE!</v>
      </c>
      <c r="H117" s="51" t="str">
        <f>IFERROR(__xludf.DUMMYFUNCTION("""COMPUTED_VALUE"""),"")</f>
        <v/>
      </c>
      <c r="I117" s="51" t="str">
        <f>IFERROR(__xludf.DUMMYFUNCTION("""COMPUTED_VALUE"""),"#VALUE!")</f>
        <v>#VALUE!</v>
      </c>
      <c r="J117" s="51" t="str">
        <f>IFERROR(__xludf.DUMMYFUNCTION("""COMPUTED_VALUE"""),"")</f>
        <v/>
      </c>
      <c r="K117" s="51"/>
      <c r="L117" s="51" t="s">
        <v>257</v>
      </c>
      <c r="M117" s="51"/>
      <c r="N117" s="51"/>
      <c r="O117" s="51"/>
      <c r="P117" s="51"/>
      <c r="Q117" s="51"/>
      <c r="R117" s="51"/>
      <c r="S117" s="51"/>
      <c r="T117" s="51"/>
    </row>
    <row r="118">
      <c r="A118" s="51"/>
      <c r="B118" s="51"/>
      <c r="C118" s="56"/>
      <c r="D118" s="51"/>
      <c r="E118" s="51"/>
      <c r="F118" s="51"/>
      <c r="G118" s="51" t="str">
        <f>IFERROR(__xludf.DUMMYFUNCTION("""COMPUTED_VALUE"""),"#VALUE!")</f>
        <v>#VALUE!</v>
      </c>
      <c r="H118" s="51" t="str">
        <f>IFERROR(__xludf.DUMMYFUNCTION("""COMPUTED_VALUE"""),"")</f>
        <v/>
      </c>
      <c r="I118" s="51" t="str">
        <f>IFERROR(__xludf.DUMMYFUNCTION("""COMPUTED_VALUE"""),"#VALUE!")</f>
        <v>#VALUE!</v>
      </c>
      <c r="J118" s="51" t="str">
        <f>IFERROR(__xludf.DUMMYFUNCTION("""COMPUTED_VALUE"""),"")</f>
        <v/>
      </c>
      <c r="K118" s="51"/>
      <c r="L118" s="51" t="s">
        <v>257</v>
      </c>
      <c r="M118" s="51"/>
      <c r="N118" s="51"/>
      <c r="O118" s="51"/>
      <c r="P118" s="51"/>
      <c r="Q118" s="51"/>
      <c r="R118" s="51"/>
      <c r="S118" s="51"/>
      <c r="T118" s="51"/>
    </row>
    <row r="119">
      <c r="A119" s="51"/>
      <c r="B119" s="51"/>
      <c r="C119" s="56"/>
      <c r="D119" s="51"/>
      <c r="E119" s="51"/>
      <c r="F119" s="51"/>
      <c r="G119" s="51" t="str">
        <f>IFERROR(__xludf.DUMMYFUNCTION("""COMPUTED_VALUE"""),"#VALUE!")</f>
        <v>#VALUE!</v>
      </c>
      <c r="H119" s="51" t="str">
        <f>IFERROR(__xludf.DUMMYFUNCTION("""COMPUTED_VALUE"""),"")</f>
        <v/>
      </c>
      <c r="I119" s="51" t="str">
        <f>IFERROR(__xludf.DUMMYFUNCTION("""COMPUTED_VALUE"""),"#VALUE!")</f>
        <v>#VALUE!</v>
      </c>
      <c r="J119" s="51" t="str">
        <f>IFERROR(__xludf.DUMMYFUNCTION("""COMPUTED_VALUE"""),"")</f>
        <v/>
      </c>
      <c r="K119" s="51"/>
      <c r="L119" s="51" t="s">
        <v>257</v>
      </c>
      <c r="M119" s="51"/>
      <c r="N119" s="51"/>
      <c r="O119" s="51"/>
      <c r="P119" s="51"/>
      <c r="Q119" s="51"/>
      <c r="R119" s="51"/>
      <c r="S119" s="51"/>
      <c r="T119" s="51"/>
    </row>
    <row r="120">
      <c r="A120" s="51"/>
      <c r="B120" s="51"/>
      <c r="C120" s="56"/>
      <c r="D120" s="51"/>
      <c r="E120" s="51"/>
      <c r="F120" s="51"/>
      <c r="G120" s="51" t="str">
        <f>IFERROR(__xludf.DUMMYFUNCTION("""COMPUTED_VALUE"""),"#VALUE!")</f>
        <v>#VALUE!</v>
      </c>
      <c r="H120" s="51" t="str">
        <f>IFERROR(__xludf.DUMMYFUNCTION("""COMPUTED_VALUE"""),"")</f>
        <v/>
      </c>
      <c r="I120" s="51" t="str">
        <f>IFERROR(__xludf.DUMMYFUNCTION("""COMPUTED_VALUE"""),"#VALUE!")</f>
        <v>#VALUE!</v>
      </c>
      <c r="J120" s="51" t="str">
        <f>IFERROR(__xludf.DUMMYFUNCTION("""COMPUTED_VALUE"""),"")</f>
        <v/>
      </c>
      <c r="K120" s="51"/>
      <c r="L120" s="51" t="s">
        <v>257</v>
      </c>
      <c r="M120" s="51"/>
      <c r="N120" s="51"/>
      <c r="O120" s="51"/>
      <c r="P120" s="51"/>
      <c r="Q120" s="51"/>
      <c r="R120" s="51"/>
      <c r="S120" s="51"/>
      <c r="T120" s="51"/>
    </row>
    <row r="121">
      <c r="A121" s="51"/>
      <c r="B121" s="51"/>
      <c r="C121" s="56"/>
      <c r="D121" s="51"/>
      <c r="E121" s="51"/>
      <c r="F121" s="51"/>
      <c r="G121" s="51" t="str">
        <f>IFERROR(__xludf.DUMMYFUNCTION("""COMPUTED_VALUE"""),"#VALUE!")</f>
        <v>#VALUE!</v>
      </c>
      <c r="H121" s="51" t="str">
        <f>IFERROR(__xludf.DUMMYFUNCTION("""COMPUTED_VALUE"""),"")</f>
        <v/>
      </c>
      <c r="I121" s="51" t="str">
        <f>IFERROR(__xludf.DUMMYFUNCTION("""COMPUTED_VALUE"""),"#VALUE!")</f>
        <v>#VALUE!</v>
      </c>
      <c r="J121" s="51" t="str">
        <f>IFERROR(__xludf.DUMMYFUNCTION("""COMPUTED_VALUE"""),"")</f>
        <v/>
      </c>
      <c r="K121" s="51"/>
      <c r="L121" s="51" t="s">
        <v>257</v>
      </c>
      <c r="M121" s="51"/>
      <c r="N121" s="51"/>
      <c r="O121" s="51"/>
      <c r="P121" s="51"/>
      <c r="Q121" s="51"/>
      <c r="R121" s="51"/>
      <c r="S121" s="51"/>
      <c r="T121" s="51"/>
    </row>
    <row r="122">
      <c r="A122" s="51"/>
      <c r="B122" s="51"/>
      <c r="C122" s="56"/>
      <c r="D122" s="51"/>
      <c r="E122" s="51"/>
      <c r="F122" s="51"/>
      <c r="G122" s="51" t="str">
        <f>IFERROR(__xludf.DUMMYFUNCTION("""COMPUTED_VALUE"""),"#VALUE!")</f>
        <v>#VALUE!</v>
      </c>
      <c r="H122" s="51" t="str">
        <f>IFERROR(__xludf.DUMMYFUNCTION("""COMPUTED_VALUE"""),"")</f>
        <v/>
      </c>
      <c r="I122" s="51" t="str">
        <f>IFERROR(__xludf.DUMMYFUNCTION("""COMPUTED_VALUE"""),"#VALUE!")</f>
        <v>#VALUE!</v>
      </c>
      <c r="J122" s="51" t="str">
        <f>IFERROR(__xludf.DUMMYFUNCTION("""COMPUTED_VALUE"""),"")</f>
        <v/>
      </c>
      <c r="K122" s="51"/>
      <c r="L122" s="51" t="s">
        <v>257</v>
      </c>
      <c r="M122" s="51"/>
      <c r="N122" s="51"/>
      <c r="O122" s="51"/>
      <c r="P122" s="51"/>
      <c r="Q122" s="51"/>
      <c r="R122" s="51"/>
      <c r="S122" s="51"/>
      <c r="T122" s="51"/>
    </row>
    <row r="123">
      <c r="A123" s="51"/>
      <c r="B123" s="51"/>
      <c r="C123" s="56"/>
      <c r="D123" s="51"/>
      <c r="E123" s="51"/>
      <c r="F123" s="51"/>
      <c r="G123" s="51" t="str">
        <f>IFERROR(__xludf.DUMMYFUNCTION("""COMPUTED_VALUE"""),"#VALUE!")</f>
        <v>#VALUE!</v>
      </c>
      <c r="H123" s="51" t="str">
        <f>IFERROR(__xludf.DUMMYFUNCTION("""COMPUTED_VALUE"""),"")</f>
        <v/>
      </c>
      <c r="I123" s="51" t="str">
        <f>IFERROR(__xludf.DUMMYFUNCTION("""COMPUTED_VALUE"""),"#VALUE!")</f>
        <v>#VALUE!</v>
      </c>
      <c r="J123" s="51" t="str">
        <f>IFERROR(__xludf.DUMMYFUNCTION("""COMPUTED_VALUE"""),"")</f>
        <v/>
      </c>
      <c r="K123" s="51"/>
      <c r="L123" s="51" t="s">
        <v>257</v>
      </c>
      <c r="M123" s="51"/>
      <c r="N123" s="51"/>
      <c r="O123" s="51"/>
      <c r="P123" s="51"/>
      <c r="Q123" s="51"/>
      <c r="R123" s="51"/>
      <c r="S123" s="51"/>
      <c r="T123" s="51"/>
    </row>
    <row r="124">
      <c r="A124" s="51"/>
      <c r="B124" s="51"/>
      <c r="C124" s="56"/>
      <c r="D124" s="51"/>
      <c r="E124" s="51"/>
      <c r="F124" s="51"/>
      <c r="G124" s="51" t="str">
        <f>IFERROR(__xludf.DUMMYFUNCTION("""COMPUTED_VALUE"""),"#VALUE!")</f>
        <v>#VALUE!</v>
      </c>
      <c r="H124" s="51" t="str">
        <f>IFERROR(__xludf.DUMMYFUNCTION("""COMPUTED_VALUE"""),"")</f>
        <v/>
      </c>
      <c r="I124" s="51" t="str">
        <f>IFERROR(__xludf.DUMMYFUNCTION("""COMPUTED_VALUE"""),"#VALUE!")</f>
        <v>#VALUE!</v>
      </c>
      <c r="J124" s="51" t="str">
        <f>IFERROR(__xludf.DUMMYFUNCTION("""COMPUTED_VALUE"""),"")</f>
        <v/>
      </c>
      <c r="K124" s="51"/>
      <c r="L124" s="51" t="s">
        <v>257</v>
      </c>
      <c r="M124" s="51"/>
      <c r="N124" s="51"/>
      <c r="O124" s="51"/>
      <c r="P124" s="51"/>
      <c r="Q124" s="51"/>
      <c r="R124" s="51"/>
      <c r="S124" s="51"/>
      <c r="T124" s="51"/>
    </row>
    <row r="125">
      <c r="A125" s="51"/>
      <c r="B125" s="51"/>
      <c r="C125" s="56"/>
      <c r="D125" s="51"/>
      <c r="E125" s="51"/>
      <c r="F125" s="51"/>
      <c r="G125" s="51" t="str">
        <f>IFERROR(__xludf.DUMMYFUNCTION("""COMPUTED_VALUE"""),"#VALUE!")</f>
        <v>#VALUE!</v>
      </c>
      <c r="H125" s="51" t="str">
        <f>IFERROR(__xludf.DUMMYFUNCTION("""COMPUTED_VALUE"""),"")</f>
        <v/>
      </c>
      <c r="I125" s="51" t="str">
        <f>IFERROR(__xludf.DUMMYFUNCTION("""COMPUTED_VALUE"""),"#VALUE!")</f>
        <v>#VALUE!</v>
      </c>
      <c r="J125" s="51" t="str">
        <f>IFERROR(__xludf.DUMMYFUNCTION("""COMPUTED_VALUE"""),"")</f>
        <v/>
      </c>
      <c r="K125" s="51"/>
      <c r="L125" s="51" t="s">
        <v>257</v>
      </c>
      <c r="M125" s="51"/>
      <c r="N125" s="51"/>
      <c r="O125" s="51"/>
      <c r="P125" s="51"/>
      <c r="Q125" s="51"/>
      <c r="R125" s="51"/>
      <c r="S125" s="51"/>
      <c r="T125" s="51"/>
    </row>
    <row r="126">
      <c r="A126" s="51"/>
      <c r="B126" s="51"/>
      <c r="C126" s="56"/>
      <c r="D126" s="51"/>
      <c r="E126" s="51"/>
      <c r="F126" s="51"/>
      <c r="G126" s="51" t="str">
        <f>IFERROR(__xludf.DUMMYFUNCTION("""COMPUTED_VALUE"""),"#VALUE!")</f>
        <v>#VALUE!</v>
      </c>
      <c r="H126" s="51" t="str">
        <f>IFERROR(__xludf.DUMMYFUNCTION("""COMPUTED_VALUE"""),"")</f>
        <v/>
      </c>
      <c r="I126" s="51" t="str">
        <f>IFERROR(__xludf.DUMMYFUNCTION("""COMPUTED_VALUE"""),"#VALUE!")</f>
        <v>#VALUE!</v>
      </c>
      <c r="J126" s="51" t="str">
        <f>IFERROR(__xludf.DUMMYFUNCTION("""COMPUTED_VALUE"""),"")</f>
        <v/>
      </c>
      <c r="K126" s="51"/>
      <c r="L126" s="51" t="s">
        <v>257</v>
      </c>
      <c r="M126" s="51"/>
      <c r="N126" s="51"/>
      <c r="O126" s="51"/>
      <c r="P126" s="51"/>
      <c r="Q126" s="51"/>
      <c r="R126" s="51"/>
      <c r="S126" s="51"/>
      <c r="T126" s="51"/>
    </row>
    <row r="127">
      <c r="A127" s="51"/>
      <c r="B127" s="51"/>
      <c r="C127" s="56"/>
      <c r="D127" s="51"/>
      <c r="E127" s="51"/>
      <c r="F127" s="51"/>
      <c r="G127" s="51" t="str">
        <f>IFERROR(__xludf.DUMMYFUNCTION("""COMPUTED_VALUE"""),"#VALUE!")</f>
        <v>#VALUE!</v>
      </c>
      <c r="H127" s="51" t="str">
        <f>IFERROR(__xludf.DUMMYFUNCTION("""COMPUTED_VALUE"""),"")</f>
        <v/>
      </c>
      <c r="I127" s="51" t="str">
        <f>IFERROR(__xludf.DUMMYFUNCTION("""COMPUTED_VALUE"""),"#VALUE!")</f>
        <v>#VALUE!</v>
      </c>
      <c r="J127" s="51" t="str">
        <f>IFERROR(__xludf.DUMMYFUNCTION("""COMPUTED_VALUE"""),"")</f>
        <v/>
      </c>
      <c r="K127" s="51"/>
      <c r="L127" s="51" t="s">
        <v>257</v>
      </c>
      <c r="M127" s="51"/>
      <c r="N127" s="51"/>
      <c r="O127" s="51"/>
      <c r="P127" s="51"/>
      <c r="Q127" s="51"/>
      <c r="R127" s="51"/>
      <c r="S127" s="51"/>
      <c r="T127" s="51"/>
    </row>
    <row r="128">
      <c r="A128" s="51"/>
      <c r="B128" s="51"/>
      <c r="C128" s="56"/>
      <c r="D128" s="51"/>
      <c r="E128" s="51"/>
      <c r="F128" s="51"/>
      <c r="G128" s="51" t="str">
        <f>IFERROR(__xludf.DUMMYFUNCTION("""COMPUTED_VALUE"""),"#VALUE!")</f>
        <v>#VALUE!</v>
      </c>
      <c r="H128" s="51" t="str">
        <f>IFERROR(__xludf.DUMMYFUNCTION("""COMPUTED_VALUE"""),"")</f>
        <v/>
      </c>
      <c r="I128" s="51" t="str">
        <f>IFERROR(__xludf.DUMMYFUNCTION("""COMPUTED_VALUE"""),"#VALUE!")</f>
        <v>#VALUE!</v>
      </c>
      <c r="J128" s="51" t="str">
        <f>IFERROR(__xludf.DUMMYFUNCTION("""COMPUTED_VALUE"""),"")</f>
        <v/>
      </c>
      <c r="K128" s="51"/>
      <c r="L128" s="51" t="s">
        <v>257</v>
      </c>
      <c r="M128" s="51"/>
      <c r="N128" s="51"/>
      <c r="O128" s="51"/>
      <c r="P128" s="51"/>
      <c r="Q128" s="51"/>
      <c r="R128" s="51"/>
      <c r="S128" s="51"/>
      <c r="T128" s="51"/>
    </row>
    <row r="129">
      <c r="A129" s="51"/>
      <c r="B129" s="51"/>
      <c r="C129" s="56"/>
      <c r="D129" s="51"/>
      <c r="E129" s="51"/>
      <c r="F129" s="51"/>
      <c r="G129" s="51" t="str">
        <f>IFERROR(__xludf.DUMMYFUNCTION("""COMPUTED_VALUE"""),"#VALUE!")</f>
        <v>#VALUE!</v>
      </c>
      <c r="H129" s="51" t="str">
        <f>IFERROR(__xludf.DUMMYFUNCTION("""COMPUTED_VALUE"""),"")</f>
        <v/>
      </c>
      <c r="I129" s="51" t="str">
        <f>IFERROR(__xludf.DUMMYFUNCTION("""COMPUTED_VALUE"""),"#VALUE!")</f>
        <v>#VALUE!</v>
      </c>
      <c r="J129" s="51" t="str">
        <f>IFERROR(__xludf.DUMMYFUNCTION("""COMPUTED_VALUE"""),"")</f>
        <v/>
      </c>
      <c r="K129" s="51"/>
      <c r="L129" s="51" t="s">
        <v>257</v>
      </c>
      <c r="M129" s="51"/>
      <c r="N129" s="51"/>
      <c r="O129" s="51"/>
      <c r="P129" s="51"/>
      <c r="Q129" s="51"/>
      <c r="R129" s="51"/>
      <c r="S129" s="51"/>
      <c r="T129" s="51"/>
    </row>
    <row r="130">
      <c r="A130" s="51"/>
      <c r="B130" s="51"/>
      <c r="C130" s="56"/>
      <c r="D130" s="51"/>
      <c r="E130" s="51"/>
      <c r="F130" s="51"/>
      <c r="G130" s="51" t="str">
        <f>IFERROR(__xludf.DUMMYFUNCTION("""COMPUTED_VALUE"""),"#VALUE!")</f>
        <v>#VALUE!</v>
      </c>
      <c r="H130" s="51" t="str">
        <f>IFERROR(__xludf.DUMMYFUNCTION("""COMPUTED_VALUE"""),"")</f>
        <v/>
      </c>
      <c r="I130" s="51" t="str">
        <f>IFERROR(__xludf.DUMMYFUNCTION("""COMPUTED_VALUE"""),"#VALUE!")</f>
        <v>#VALUE!</v>
      </c>
      <c r="J130" s="51" t="str">
        <f>IFERROR(__xludf.DUMMYFUNCTION("""COMPUTED_VALUE"""),"")</f>
        <v/>
      </c>
      <c r="K130" s="51"/>
      <c r="L130" s="51" t="s">
        <v>257</v>
      </c>
      <c r="M130" s="51"/>
      <c r="N130" s="51"/>
      <c r="O130" s="51"/>
      <c r="P130" s="51"/>
      <c r="Q130" s="51"/>
      <c r="R130" s="51"/>
      <c r="S130" s="51"/>
      <c r="T130" s="51"/>
    </row>
    <row r="131">
      <c r="A131" s="51"/>
      <c r="B131" s="51"/>
      <c r="C131" s="56"/>
      <c r="D131" s="51"/>
      <c r="E131" s="51"/>
      <c r="F131" s="51"/>
      <c r="G131" s="51" t="str">
        <f>IFERROR(__xludf.DUMMYFUNCTION("""COMPUTED_VALUE"""),"#VALUE!")</f>
        <v>#VALUE!</v>
      </c>
      <c r="H131" s="51" t="str">
        <f>IFERROR(__xludf.DUMMYFUNCTION("""COMPUTED_VALUE"""),"")</f>
        <v/>
      </c>
      <c r="I131" s="51" t="str">
        <f>IFERROR(__xludf.DUMMYFUNCTION("""COMPUTED_VALUE"""),"#VALUE!")</f>
        <v>#VALUE!</v>
      </c>
      <c r="J131" s="51" t="str">
        <f>IFERROR(__xludf.DUMMYFUNCTION("""COMPUTED_VALUE"""),"")</f>
        <v/>
      </c>
      <c r="K131" s="51"/>
      <c r="L131" s="51" t="s">
        <v>257</v>
      </c>
      <c r="M131" s="51"/>
      <c r="N131" s="51"/>
      <c r="O131" s="51"/>
      <c r="P131" s="51"/>
      <c r="Q131" s="51"/>
      <c r="R131" s="51"/>
      <c r="S131" s="51"/>
      <c r="T131" s="51"/>
    </row>
    <row r="132">
      <c r="A132" s="51"/>
      <c r="B132" s="51"/>
      <c r="C132" s="56"/>
      <c r="D132" s="51"/>
      <c r="E132" s="51"/>
      <c r="F132" s="51"/>
      <c r="G132" s="51" t="str">
        <f>IFERROR(__xludf.DUMMYFUNCTION("""COMPUTED_VALUE"""),"#VALUE!")</f>
        <v>#VALUE!</v>
      </c>
      <c r="H132" s="51" t="str">
        <f>IFERROR(__xludf.DUMMYFUNCTION("""COMPUTED_VALUE"""),"")</f>
        <v/>
      </c>
      <c r="I132" s="51" t="str">
        <f>IFERROR(__xludf.DUMMYFUNCTION("""COMPUTED_VALUE"""),"#VALUE!")</f>
        <v>#VALUE!</v>
      </c>
      <c r="J132" s="51" t="str">
        <f>IFERROR(__xludf.DUMMYFUNCTION("""COMPUTED_VALUE"""),"")</f>
        <v/>
      </c>
      <c r="K132" s="51"/>
      <c r="L132" s="51" t="s">
        <v>257</v>
      </c>
      <c r="M132" s="51"/>
      <c r="N132" s="51"/>
      <c r="O132" s="51"/>
      <c r="P132" s="51"/>
      <c r="Q132" s="51"/>
      <c r="R132" s="51"/>
      <c r="S132" s="51"/>
      <c r="T132" s="51"/>
    </row>
    <row r="133">
      <c r="A133" s="51"/>
      <c r="B133" s="51"/>
      <c r="C133" s="56"/>
      <c r="D133" s="51"/>
      <c r="E133" s="51"/>
      <c r="F133" s="51"/>
      <c r="G133" s="51" t="str">
        <f>IFERROR(__xludf.DUMMYFUNCTION("""COMPUTED_VALUE"""),"#VALUE!")</f>
        <v>#VALUE!</v>
      </c>
      <c r="H133" s="51" t="str">
        <f>IFERROR(__xludf.DUMMYFUNCTION("""COMPUTED_VALUE"""),"")</f>
        <v/>
      </c>
      <c r="I133" s="51" t="str">
        <f>IFERROR(__xludf.DUMMYFUNCTION("""COMPUTED_VALUE"""),"#VALUE!")</f>
        <v>#VALUE!</v>
      </c>
      <c r="J133" s="51" t="str">
        <f>IFERROR(__xludf.DUMMYFUNCTION("""COMPUTED_VALUE"""),"")</f>
        <v/>
      </c>
      <c r="K133" s="51"/>
      <c r="L133" s="51" t="s">
        <v>257</v>
      </c>
      <c r="M133" s="51"/>
      <c r="N133" s="51"/>
      <c r="O133" s="51"/>
      <c r="P133" s="51"/>
      <c r="Q133" s="51"/>
      <c r="R133" s="51"/>
      <c r="S133" s="51"/>
      <c r="T133" s="51"/>
    </row>
    <row r="134">
      <c r="A134" s="51"/>
      <c r="B134" s="51"/>
      <c r="C134" s="56"/>
      <c r="D134" s="51"/>
      <c r="E134" s="51"/>
      <c r="F134" s="51"/>
      <c r="G134" s="51" t="str">
        <f>IFERROR(__xludf.DUMMYFUNCTION("""COMPUTED_VALUE"""),"#VALUE!")</f>
        <v>#VALUE!</v>
      </c>
      <c r="H134" s="51" t="str">
        <f>IFERROR(__xludf.DUMMYFUNCTION("""COMPUTED_VALUE"""),"")</f>
        <v/>
      </c>
      <c r="I134" s="51" t="str">
        <f>IFERROR(__xludf.DUMMYFUNCTION("""COMPUTED_VALUE"""),"#VALUE!")</f>
        <v>#VALUE!</v>
      </c>
      <c r="J134" s="51" t="str">
        <f>IFERROR(__xludf.DUMMYFUNCTION("""COMPUTED_VALUE"""),"")</f>
        <v/>
      </c>
      <c r="K134" s="51"/>
      <c r="L134" s="51" t="s">
        <v>257</v>
      </c>
      <c r="M134" s="51"/>
      <c r="N134" s="51"/>
      <c r="O134" s="51"/>
      <c r="P134" s="51"/>
      <c r="Q134" s="51"/>
      <c r="R134" s="51"/>
      <c r="S134" s="51"/>
      <c r="T134" s="51"/>
    </row>
    <row r="135">
      <c r="A135" s="51"/>
      <c r="B135" s="51"/>
      <c r="C135" s="56"/>
      <c r="D135" s="51"/>
      <c r="E135" s="51"/>
      <c r="F135" s="51"/>
      <c r="G135" s="51" t="str">
        <f>IFERROR(__xludf.DUMMYFUNCTION("""COMPUTED_VALUE"""),"#VALUE!")</f>
        <v>#VALUE!</v>
      </c>
      <c r="H135" s="51" t="str">
        <f>IFERROR(__xludf.DUMMYFUNCTION("""COMPUTED_VALUE"""),"")</f>
        <v/>
      </c>
      <c r="I135" s="51" t="str">
        <f>IFERROR(__xludf.DUMMYFUNCTION("""COMPUTED_VALUE"""),"#VALUE!")</f>
        <v>#VALUE!</v>
      </c>
      <c r="J135" s="51" t="str">
        <f>IFERROR(__xludf.DUMMYFUNCTION("""COMPUTED_VALUE"""),"")</f>
        <v/>
      </c>
      <c r="K135" s="51"/>
      <c r="L135" s="51" t="s">
        <v>257</v>
      </c>
      <c r="M135" s="51"/>
      <c r="N135" s="51"/>
      <c r="O135" s="51"/>
      <c r="P135" s="51"/>
      <c r="Q135" s="51"/>
      <c r="R135" s="51"/>
      <c r="S135" s="51"/>
      <c r="T135" s="51"/>
    </row>
    <row r="136">
      <c r="A136" s="51"/>
      <c r="B136" s="51"/>
      <c r="C136" s="56"/>
      <c r="D136" s="51"/>
      <c r="E136" s="51"/>
      <c r="F136" s="51"/>
      <c r="G136" s="51" t="str">
        <f>IFERROR(__xludf.DUMMYFUNCTION("""COMPUTED_VALUE"""),"#VALUE!")</f>
        <v>#VALUE!</v>
      </c>
      <c r="H136" s="51" t="str">
        <f>IFERROR(__xludf.DUMMYFUNCTION("""COMPUTED_VALUE"""),"")</f>
        <v/>
      </c>
      <c r="I136" s="51" t="str">
        <f>IFERROR(__xludf.DUMMYFUNCTION("""COMPUTED_VALUE"""),"#VALUE!")</f>
        <v>#VALUE!</v>
      </c>
      <c r="J136" s="51" t="str">
        <f>IFERROR(__xludf.DUMMYFUNCTION("""COMPUTED_VALUE"""),"")</f>
        <v/>
      </c>
      <c r="K136" s="51"/>
      <c r="L136" s="51" t="s">
        <v>257</v>
      </c>
      <c r="M136" s="51"/>
      <c r="N136" s="51"/>
      <c r="O136" s="51"/>
      <c r="P136" s="51"/>
      <c r="Q136" s="51"/>
      <c r="R136" s="51"/>
      <c r="S136" s="51"/>
      <c r="T136" s="51"/>
    </row>
    <row r="137">
      <c r="A137" s="51"/>
      <c r="B137" s="51"/>
      <c r="C137" s="56"/>
      <c r="D137" s="51"/>
      <c r="E137" s="51"/>
      <c r="F137" s="51"/>
      <c r="G137" s="51" t="str">
        <f>IFERROR(__xludf.DUMMYFUNCTION("""COMPUTED_VALUE"""),"#VALUE!")</f>
        <v>#VALUE!</v>
      </c>
      <c r="H137" s="51" t="str">
        <f>IFERROR(__xludf.DUMMYFUNCTION("""COMPUTED_VALUE"""),"")</f>
        <v/>
      </c>
      <c r="I137" s="51" t="str">
        <f>IFERROR(__xludf.DUMMYFUNCTION("""COMPUTED_VALUE"""),"#VALUE!")</f>
        <v>#VALUE!</v>
      </c>
      <c r="J137" s="51" t="str">
        <f>IFERROR(__xludf.DUMMYFUNCTION("""COMPUTED_VALUE"""),"")</f>
        <v/>
      </c>
      <c r="K137" s="51"/>
      <c r="L137" s="51" t="s">
        <v>257</v>
      </c>
      <c r="M137" s="51"/>
      <c r="N137" s="51"/>
      <c r="O137" s="51"/>
      <c r="P137" s="51"/>
      <c r="Q137" s="51"/>
      <c r="R137" s="51"/>
      <c r="S137" s="51"/>
      <c r="T137" s="51"/>
    </row>
    <row r="138">
      <c r="A138" s="51"/>
      <c r="B138" s="51"/>
      <c r="C138" s="56"/>
      <c r="D138" s="51"/>
      <c r="E138" s="51"/>
      <c r="F138" s="51"/>
      <c r="G138" s="51" t="str">
        <f>IFERROR(__xludf.DUMMYFUNCTION("""COMPUTED_VALUE"""),"#VALUE!")</f>
        <v>#VALUE!</v>
      </c>
      <c r="H138" s="51" t="str">
        <f>IFERROR(__xludf.DUMMYFUNCTION("""COMPUTED_VALUE"""),"")</f>
        <v/>
      </c>
      <c r="I138" s="51" t="str">
        <f>IFERROR(__xludf.DUMMYFUNCTION("""COMPUTED_VALUE"""),"#VALUE!")</f>
        <v>#VALUE!</v>
      </c>
      <c r="J138" s="51" t="str">
        <f>IFERROR(__xludf.DUMMYFUNCTION("""COMPUTED_VALUE"""),"")</f>
        <v/>
      </c>
      <c r="K138" s="51"/>
      <c r="L138" s="51" t="s">
        <v>257</v>
      </c>
      <c r="M138" s="51"/>
      <c r="N138" s="51"/>
      <c r="O138" s="51"/>
      <c r="P138" s="51"/>
      <c r="Q138" s="51"/>
      <c r="R138" s="51"/>
      <c r="S138" s="51"/>
      <c r="T138" s="51"/>
    </row>
    <row r="139">
      <c r="A139" s="51"/>
      <c r="B139" s="51"/>
      <c r="C139" s="56"/>
      <c r="D139" s="51"/>
      <c r="E139" s="51"/>
      <c r="F139" s="51"/>
      <c r="G139" s="51" t="str">
        <f>IFERROR(__xludf.DUMMYFUNCTION("""COMPUTED_VALUE"""),"#VALUE!")</f>
        <v>#VALUE!</v>
      </c>
      <c r="H139" s="51" t="str">
        <f>IFERROR(__xludf.DUMMYFUNCTION("""COMPUTED_VALUE"""),"")</f>
        <v/>
      </c>
      <c r="I139" s="51" t="str">
        <f>IFERROR(__xludf.DUMMYFUNCTION("""COMPUTED_VALUE"""),"#VALUE!")</f>
        <v>#VALUE!</v>
      </c>
      <c r="J139" s="51" t="str">
        <f>IFERROR(__xludf.DUMMYFUNCTION("""COMPUTED_VALUE"""),"")</f>
        <v/>
      </c>
      <c r="K139" s="51"/>
      <c r="L139" s="51" t="s">
        <v>257</v>
      </c>
      <c r="M139" s="51"/>
      <c r="N139" s="51"/>
      <c r="O139" s="51"/>
      <c r="P139" s="51"/>
      <c r="Q139" s="51"/>
      <c r="R139" s="51"/>
      <c r="S139" s="51"/>
      <c r="T139" s="51"/>
    </row>
    <row r="140">
      <c r="A140" s="51"/>
      <c r="B140" s="51"/>
      <c r="C140" s="56"/>
      <c r="D140" s="51"/>
      <c r="E140" s="51"/>
      <c r="F140" s="51"/>
      <c r="G140" s="51" t="str">
        <f>IFERROR(__xludf.DUMMYFUNCTION("""COMPUTED_VALUE"""),"#VALUE!")</f>
        <v>#VALUE!</v>
      </c>
      <c r="H140" s="51" t="str">
        <f>IFERROR(__xludf.DUMMYFUNCTION("""COMPUTED_VALUE"""),"")</f>
        <v/>
      </c>
      <c r="I140" s="51" t="str">
        <f>IFERROR(__xludf.DUMMYFUNCTION("""COMPUTED_VALUE"""),"#VALUE!")</f>
        <v>#VALUE!</v>
      </c>
      <c r="J140" s="51" t="str">
        <f>IFERROR(__xludf.DUMMYFUNCTION("""COMPUTED_VALUE"""),"")</f>
        <v/>
      </c>
      <c r="K140" s="51"/>
      <c r="L140" s="51" t="s">
        <v>257</v>
      </c>
      <c r="M140" s="51"/>
      <c r="N140" s="51"/>
      <c r="O140" s="51"/>
      <c r="P140" s="51"/>
      <c r="Q140" s="51"/>
      <c r="R140" s="51"/>
      <c r="S140" s="51"/>
      <c r="T140" s="51"/>
    </row>
    <row r="141">
      <c r="A141" s="51"/>
      <c r="B141" s="51"/>
      <c r="C141" s="56"/>
      <c r="D141" s="51"/>
      <c r="E141" s="51"/>
      <c r="F141" s="51"/>
      <c r="G141" s="51" t="str">
        <f>IFERROR(__xludf.DUMMYFUNCTION("""COMPUTED_VALUE"""),"#VALUE!")</f>
        <v>#VALUE!</v>
      </c>
      <c r="H141" s="51" t="str">
        <f>IFERROR(__xludf.DUMMYFUNCTION("""COMPUTED_VALUE"""),"")</f>
        <v/>
      </c>
      <c r="I141" s="51" t="str">
        <f>IFERROR(__xludf.DUMMYFUNCTION("""COMPUTED_VALUE"""),"#VALUE!")</f>
        <v>#VALUE!</v>
      </c>
      <c r="J141" s="51" t="str">
        <f>IFERROR(__xludf.DUMMYFUNCTION("""COMPUTED_VALUE"""),"")</f>
        <v/>
      </c>
      <c r="K141" s="51"/>
      <c r="L141" s="51" t="s">
        <v>257</v>
      </c>
      <c r="M141" s="51"/>
      <c r="N141" s="51"/>
      <c r="O141" s="51"/>
      <c r="P141" s="51"/>
      <c r="Q141" s="51"/>
      <c r="R141" s="51"/>
      <c r="S141" s="51"/>
      <c r="T141" s="51"/>
    </row>
    <row r="142">
      <c r="A142" s="51"/>
      <c r="B142" s="51"/>
      <c r="C142" s="56"/>
      <c r="D142" s="51"/>
      <c r="E142" s="51"/>
      <c r="F142" s="51"/>
      <c r="G142" s="51" t="str">
        <f>IFERROR(__xludf.DUMMYFUNCTION("""COMPUTED_VALUE"""),"#VALUE!")</f>
        <v>#VALUE!</v>
      </c>
      <c r="H142" s="51" t="str">
        <f>IFERROR(__xludf.DUMMYFUNCTION("""COMPUTED_VALUE"""),"")</f>
        <v/>
      </c>
      <c r="I142" s="51" t="str">
        <f>IFERROR(__xludf.DUMMYFUNCTION("""COMPUTED_VALUE"""),"#VALUE!")</f>
        <v>#VALUE!</v>
      </c>
      <c r="J142" s="51" t="str">
        <f>IFERROR(__xludf.DUMMYFUNCTION("""COMPUTED_VALUE"""),"")</f>
        <v/>
      </c>
      <c r="K142" s="51"/>
      <c r="L142" s="51" t="s">
        <v>257</v>
      </c>
      <c r="M142" s="51"/>
      <c r="N142" s="51"/>
      <c r="O142" s="51"/>
      <c r="P142" s="51"/>
      <c r="Q142" s="51"/>
      <c r="R142" s="51"/>
      <c r="S142" s="51"/>
      <c r="T142" s="51"/>
    </row>
    <row r="143">
      <c r="A143" s="51"/>
      <c r="B143" s="51"/>
      <c r="C143" s="56"/>
      <c r="D143" s="51"/>
      <c r="E143" s="51"/>
      <c r="F143" s="51"/>
      <c r="G143" s="51" t="str">
        <f>IFERROR(__xludf.DUMMYFUNCTION("""COMPUTED_VALUE"""),"#VALUE!")</f>
        <v>#VALUE!</v>
      </c>
      <c r="H143" s="51" t="str">
        <f>IFERROR(__xludf.DUMMYFUNCTION("""COMPUTED_VALUE"""),"")</f>
        <v/>
      </c>
      <c r="I143" s="51" t="str">
        <f>IFERROR(__xludf.DUMMYFUNCTION("""COMPUTED_VALUE"""),"#VALUE!")</f>
        <v>#VALUE!</v>
      </c>
      <c r="J143" s="51" t="str">
        <f>IFERROR(__xludf.DUMMYFUNCTION("""COMPUTED_VALUE"""),"")</f>
        <v/>
      </c>
      <c r="K143" s="51"/>
      <c r="L143" s="51" t="s">
        <v>257</v>
      </c>
      <c r="M143" s="51"/>
      <c r="N143" s="51"/>
      <c r="O143" s="51"/>
      <c r="P143" s="51"/>
      <c r="Q143" s="51"/>
      <c r="R143" s="51"/>
      <c r="S143" s="51"/>
      <c r="T143" s="51"/>
    </row>
    <row r="144">
      <c r="A144" s="51"/>
      <c r="B144" s="51"/>
      <c r="C144" s="56"/>
      <c r="D144" s="51"/>
      <c r="E144" s="51"/>
      <c r="F144" s="51"/>
      <c r="G144" s="51" t="str">
        <f>IFERROR(__xludf.DUMMYFUNCTION("""COMPUTED_VALUE"""),"#VALUE!")</f>
        <v>#VALUE!</v>
      </c>
      <c r="H144" s="51" t="str">
        <f>IFERROR(__xludf.DUMMYFUNCTION("""COMPUTED_VALUE"""),"")</f>
        <v/>
      </c>
      <c r="I144" s="51" t="str">
        <f>IFERROR(__xludf.DUMMYFUNCTION("""COMPUTED_VALUE"""),"#VALUE!")</f>
        <v>#VALUE!</v>
      </c>
      <c r="J144" s="51" t="str">
        <f>IFERROR(__xludf.DUMMYFUNCTION("""COMPUTED_VALUE"""),"")</f>
        <v/>
      </c>
      <c r="K144" s="51"/>
      <c r="L144" s="51" t="s">
        <v>257</v>
      </c>
      <c r="M144" s="51"/>
      <c r="N144" s="51"/>
      <c r="O144" s="51"/>
      <c r="P144" s="51"/>
      <c r="Q144" s="51"/>
      <c r="R144" s="51"/>
      <c r="S144" s="51"/>
      <c r="T144" s="51"/>
    </row>
    <row r="145">
      <c r="A145" s="51"/>
      <c r="B145" s="51"/>
      <c r="C145" s="56"/>
      <c r="D145" s="51"/>
      <c r="E145" s="51"/>
      <c r="F145" s="51"/>
      <c r="G145" s="51" t="str">
        <f>IFERROR(__xludf.DUMMYFUNCTION("""COMPUTED_VALUE"""),"#VALUE!")</f>
        <v>#VALUE!</v>
      </c>
      <c r="H145" s="51" t="str">
        <f>IFERROR(__xludf.DUMMYFUNCTION("""COMPUTED_VALUE"""),"")</f>
        <v/>
      </c>
      <c r="I145" s="51" t="str">
        <f>IFERROR(__xludf.DUMMYFUNCTION("""COMPUTED_VALUE"""),"#VALUE!")</f>
        <v>#VALUE!</v>
      </c>
      <c r="J145" s="51" t="str">
        <f>IFERROR(__xludf.DUMMYFUNCTION("""COMPUTED_VALUE"""),"")</f>
        <v/>
      </c>
      <c r="K145" s="51"/>
      <c r="L145" s="51" t="s">
        <v>257</v>
      </c>
      <c r="M145" s="51"/>
      <c r="N145" s="51"/>
      <c r="O145" s="51"/>
      <c r="P145" s="51"/>
      <c r="Q145" s="51"/>
      <c r="R145" s="51"/>
      <c r="S145" s="51"/>
      <c r="T145" s="51"/>
    </row>
    <row r="146">
      <c r="A146" s="51"/>
      <c r="B146" s="51"/>
      <c r="C146" s="56"/>
      <c r="D146" s="51"/>
      <c r="E146" s="51"/>
      <c r="F146" s="51"/>
      <c r="G146" s="51" t="str">
        <f>IFERROR(__xludf.DUMMYFUNCTION("""COMPUTED_VALUE"""),"#VALUE!")</f>
        <v>#VALUE!</v>
      </c>
      <c r="H146" s="51" t="str">
        <f>IFERROR(__xludf.DUMMYFUNCTION("""COMPUTED_VALUE"""),"")</f>
        <v/>
      </c>
      <c r="I146" s="51" t="str">
        <f>IFERROR(__xludf.DUMMYFUNCTION("""COMPUTED_VALUE"""),"#VALUE!")</f>
        <v>#VALUE!</v>
      </c>
      <c r="J146" s="51" t="str">
        <f>IFERROR(__xludf.DUMMYFUNCTION("""COMPUTED_VALUE"""),"")</f>
        <v/>
      </c>
      <c r="K146" s="51"/>
      <c r="L146" s="51" t="s">
        <v>257</v>
      </c>
      <c r="M146" s="51"/>
      <c r="N146" s="51"/>
      <c r="O146" s="51"/>
      <c r="P146" s="51"/>
      <c r="Q146" s="51"/>
      <c r="R146" s="51"/>
      <c r="S146" s="51"/>
      <c r="T146" s="51"/>
    </row>
    <row r="147">
      <c r="A147" s="51"/>
      <c r="B147" s="51"/>
      <c r="C147" s="56"/>
      <c r="D147" s="51"/>
      <c r="E147" s="51"/>
      <c r="F147" s="51"/>
      <c r="G147" s="51" t="str">
        <f>IFERROR(__xludf.DUMMYFUNCTION("""COMPUTED_VALUE"""),"#VALUE!")</f>
        <v>#VALUE!</v>
      </c>
      <c r="H147" s="51" t="str">
        <f>IFERROR(__xludf.DUMMYFUNCTION("""COMPUTED_VALUE"""),"")</f>
        <v/>
      </c>
      <c r="I147" s="51" t="str">
        <f>IFERROR(__xludf.DUMMYFUNCTION("""COMPUTED_VALUE"""),"#VALUE!")</f>
        <v>#VALUE!</v>
      </c>
      <c r="J147" s="51" t="str">
        <f>IFERROR(__xludf.DUMMYFUNCTION("""COMPUTED_VALUE"""),"")</f>
        <v/>
      </c>
      <c r="K147" s="51"/>
      <c r="L147" s="51" t="s">
        <v>257</v>
      </c>
      <c r="M147" s="51"/>
      <c r="N147" s="51"/>
      <c r="O147" s="51"/>
      <c r="P147" s="51"/>
      <c r="Q147" s="51"/>
      <c r="R147" s="51"/>
      <c r="S147" s="51"/>
      <c r="T147" s="51"/>
    </row>
    <row r="148">
      <c r="A148" s="51"/>
      <c r="B148" s="51"/>
      <c r="C148" s="56"/>
      <c r="D148" s="51"/>
      <c r="E148" s="51"/>
      <c r="F148" s="51"/>
      <c r="G148" s="51" t="str">
        <f>IFERROR(__xludf.DUMMYFUNCTION("""COMPUTED_VALUE"""),"#VALUE!")</f>
        <v>#VALUE!</v>
      </c>
      <c r="H148" s="51" t="str">
        <f>IFERROR(__xludf.DUMMYFUNCTION("""COMPUTED_VALUE"""),"")</f>
        <v/>
      </c>
      <c r="I148" s="51" t="str">
        <f>IFERROR(__xludf.DUMMYFUNCTION("""COMPUTED_VALUE"""),"#VALUE!")</f>
        <v>#VALUE!</v>
      </c>
      <c r="J148" s="51" t="str">
        <f>IFERROR(__xludf.DUMMYFUNCTION("""COMPUTED_VALUE"""),"")</f>
        <v/>
      </c>
      <c r="K148" s="51"/>
      <c r="L148" s="51" t="s">
        <v>257</v>
      </c>
      <c r="M148" s="51"/>
      <c r="N148" s="51"/>
      <c r="O148" s="51"/>
      <c r="P148" s="51"/>
      <c r="Q148" s="51"/>
      <c r="R148" s="51"/>
      <c r="S148" s="51"/>
      <c r="T148" s="51"/>
    </row>
    <row r="149">
      <c r="A149" s="51"/>
      <c r="B149" s="51"/>
      <c r="C149" s="56"/>
      <c r="D149" s="51"/>
      <c r="E149" s="51"/>
      <c r="F149" s="51"/>
      <c r="G149" s="51" t="str">
        <f>IFERROR(__xludf.DUMMYFUNCTION("""COMPUTED_VALUE"""),"#VALUE!")</f>
        <v>#VALUE!</v>
      </c>
      <c r="H149" s="51" t="str">
        <f>IFERROR(__xludf.DUMMYFUNCTION("""COMPUTED_VALUE"""),"")</f>
        <v/>
      </c>
      <c r="I149" s="51" t="str">
        <f>IFERROR(__xludf.DUMMYFUNCTION("""COMPUTED_VALUE"""),"#VALUE!")</f>
        <v>#VALUE!</v>
      </c>
      <c r="J149" s="51" t="str">
        <f>IFERROR(__xludf.DUMMYFUNCTION("""COMPUTED_VALUE"""),"")</f>
        <v/>
      </c>
      <c r="K149" s="51"/>
      <c r="L149" s="51" t="s">
        <v>257</v>
      </c>
      <c r="M149" s="51"/>
      <c r="N149" s="51"/>
      <c r="O149" s="51"/>
      <c r="P149" s="51"/>
      <c r="Q149" s="51"/>
      <c r="R149" s="51"/>
      <c r="S149" s="51"/>
      <c r="T149" s="51"/>
    </row>
    <row r="150">
      <c r="A150" s="51"/>
      <c r="B150" s="51"/>
      <c r="C150" s="56"/>
      <c r="D150" s="51"/>
      <c r="E150" s="51"/>
      <c r="F150" s="51"/>
      <c r="G150" s="51" t="str">
        <f>IFERROR(__xludf.DUMMYFUNCTION("""COMPUTED_VALUE"""),"#VALUE!")</f>
        <v>#VALUE!</v>
      </c>
      <c r="H150" s="51" t="str">
        <f>IFERROR(__xludf.DUMMYFUNCTION("""COMPUTED_VALUE"""),"")</f>
        <v/>
      </c>
      <c r="I150" s="51" t="str">
        <f>IFERROR(__xludf.DUMMYFUNCTION("""COMPUTED_VALUE"""),"#VALUE!")</f>
        <v>#VALUE!</v>
      </c>
      <c r="J150" s="51" t="str">
        <f>IFERROR(__xludf.DUMMYFUNCTION("""COMPUTED_VALUE"""),"")</f>
        <v/>
      </c>
      <c r="K150" s="51"/>
      <c r="L150" s="51" t="s">
        <v>257</v>
      </c>
      <c r="M150" s="51"/>
      <c r="N150" s="51"/>
      <c r="O150" s="51"/>
      <c r="P150" s="51"/>
      <c r="Q150" s="51"/>
      <c r="R150" s="51"/>
      <c r="S150" s="51"/>
      <c r="T150" s="51"/>
    </row>
    <row r="151">
      <c r="A151" s="51"/>
      <c r="B151" s="51"/>
      <c r="C151" s="56"/>
      <c r="D151" s="51"/>
      <c r="E151" s="51"/>
      <c r="F151" s="51"/>
      <c r="G151" s="51" t="str">
        <f>IFERROR(__xludf.DUMMYFUNCTION("""COMPUTED_VALUE"""),"#VALUE!")</f>
        <v>#VALUE!</v>
      </c>
      <c r="H151" s="51" t="str">
        <f>IFERROR(__xludf.DUMMYFUNCTION("""COMPUTED_VALUE"""),"")</f>
        <v/>
      </c>
      <c r="I151" s="51" t="str">
        <f>IFERROR(__xludf.DUMMYFUNCTION("""COMPUTED_VALUE"""),"#VALUE!")</f>
        <v>#VALUE!</v>
      </c>
      <c r="J151" s="51" t="str">
        <f>IFERROR(__xludf.DUMMYFUNCTION("""COMPUTED_VALUE"""),"")</f>
        <v/>
      </c>
      <c r="K151" s="51"/>
      <c r="L151" s="51" t="s">
        <v>257</v>
      </c>
      <c r="M151" s="51"/>
      <c r="N151" s="51"/>
      <c r="O151" s="51"/>
      <c r="P151" s="51"/>
      <c r="Q151" s="51"/>
      <c r="R151" s="51"/>
      <c r="S151" s="51"/>
      <c r="T151" s="51"/>
    </row>
    <row r="152">
      <c r="A152" s="51"/>
      <c r="B152" s="51"/>
      <c r="C152" s="56"/>
      <c r="D152" s="51"/>
      <c r="E152" s="51"/>
      <c r="F152" s="51"/>
      <c r="G152" s="51" t="str">
        <f>IFERROR(__xludf.DUMMYFUNCTION("""COMPUTED_VALUE"""),"#VALUE!")</f>
        <v>#VALUE!</v>
      </c>
      <c r="H152" s="51" t="str">
        <f>IFERROR(__xludf.DUMMYFUNCTION("""COMPUTED_VALUE"""),"")</f>
        <v/>
      </c>
      <c r="I152" s="51" t="str">
        <f>IFERROR(__xludf.DUMMYFUNCTION("""COMPUTED_VALUE"""),"#VALUE!")</f>
        <v>#VALUE!</v>
      </c>
      <c r="J152" s="51" t="str">
        <f>IFERROR(__xludf.DUMMYFUNCTION("""COMPUTED_VALUE"""),"")</f>
        <v/>
      </c>
      <c r="K152" s="51"/>
      <c r="L152" s="51" t="s">
        <v>257</v>
      </c>
      <c r="M152" s="51"/>
      <c r="N152" s="51"/>
      <c r="O152" s="51"/>
      <c r="P152" s="51"/>
      <c r="Q152" s="51"/>
      <c r="R152" s="51"/>
      <c r="S152" s="51"/>
      <c r="T152" s="51"/>
    </row>
    <row r="153">
      <c r="A153" s="51"/>
      <c r="B153" s="51"/>
      <c r="C153" s="56"/>
      <c r="D153" s="51"/>
      <c r="E153" s="51"/>
      <c r="F153" s="51"/>
      <c r="G153" s="51" t="str">
        <f>IFERROR(__xludf.DUMMYFUNCTION("""COMPUTED_VALUE"""),"#VALUE!")</f>
        <v>#VALUE!</v>
      </c>
      <c r="H153" s="51" t="str">
        <f>IFERROR(__xludf.DUMMYFUNCTION("""COMPUTED_VALUE"""),"")</f>
        <v/>
      </c>
      <c r="I153" s="51" t="str">
        <f>IFERROR(__xludf.DUMMYFUNCTION("""COMPUTED_VALUE"""),"#VALUE!")</f>
        <v>#VALUE!</v>
      </c>
      <c r="J153" s="51" t="str">
        <f>IFERROR(__xludf.DUMMYFUNCTION("""COMPUTED_VALUE"""),"")</f>
        <v/>
      </c>
      <c r="K153" s="51"/>
      <c r="L153" s="51" t="s">
        <v>257</v>
      </c>
      <c r="M153" s="51"/>
      <c r="N153" s="51"/>
      <c r="O153" s="51"/>
      <c r="P153" s="51"/>
      <c r="Q153" s="51"/>
      <c r="R153" s="51"/>
      <c r="S153" s="51"/>
      <c r="T153" s="51"/>
    </row>
    <row r="154">
      <c r="A154" s="51"/>
      <c r="B154" s="51"/>
      <c r="C154" s="56"/>
      <c r="D154" s="51"/>
      <c r="E154" s="51"/>
      <c r="F154" s="51"/>
      <c r="G154" s="51" t="str">
        <f>IFERROR(__xludf.DUMMYFUNCTION("""COMPUTED_VALUE"""),"#VALUE!")</f>
        <v>#VALUE!</v>
      </c>
      <c r="H154" s="51" t="str">
        <f>IFERROR(__xludf.DUMMYFUNCTION("""COMPUTED_VALUE"""),"")</f>
        <v/>
      </c>
      <c r="I154" s="51" t="str">
        <f>IFERROR(__xludf.DUMMYFUNCTION("""COMPUTED_VALUE"""),"#VALUE!")</f>
        <v>#VALUE!</v>
      </c>
      <c r="J154" s="51" t="str">
        <f>IFERROR(__xludf.DUMMYFUNCTION("""COMPUTED_VALUE"""),"")</f>
        <v/>
      </c>
      <c r="K154" s="51"/>
      <c r="L154" s="51" t="s">
        <v>257</v>
      </c>
      <c r="M154" s="51"/>
      <c r="N154" s="51"/>
      <c r="O154" s="51"/>
      <c r="P154" s="51"/>
      <c r="Q154" s="51"/>
      <c r="R154" s="51"/>
      <c r="S154" s="51"/>
      <c r="T154" s="51"/>
    </row>
    <row r="155">
      <c r="A155" s="51"/>
      <c r="B155" s="51"/>
      <c r="C155" s="56"/>
      <c r="D155" s="51"/>
      <c r="E155" s="51"/>
      <c r="F155" s="51"/>
      <c r="G155" s="51" t="str">
        <f>IFERROR(__xludf.DUMMYFUNCTION("""COMPUTED_VALUE"""),"#VALUE!")</f>
        <v>#VALUE!</v>
      </c>
      <c r="H155" s="51" t="str">
        <f>IFERROR(__xludf.DUMMYFUNCTION("""COMPUTED_VALUE"""),"")</f>
        <v/>
      </c>
      <c r="I155" s="51" t="str">
        <f>IFERROR(__xludf.DUMMYFUNCTION("""COMPUTED_VALUE"""),"#VALUE!")</f>
        <v>#VALUE!</v>
      </c>
      <c r="J155" s="51" t="str">
        <f>IFERROR(__xludf.DUMMYFUNCTION("""COMPUTED_VALUE"""),"")</f>
        <v/>
      </c>
      <c r="K155" s="51"/>
      <c r="L155" s="51" t="s">
        <v>257</v>
      </c>
      <c r="M155" s="51"/>
      <c r="N155" s="51"/>
      <c r="O155" s="51"/>
      <c r="P155" s="51"/>
      <c r="Q155" s="51"/>
      <c r="R155" s="51"/>
      <c r="S155" s="51"/>
      <c r="T155" s="51"/>
    </row>
    <row r="156">
      <c r="A156" s="51"/>
      <c r="B156" s="51"/>
      <c r="C156" s="56"/>
      <c r="D156" s="51"/>
      <c r="E156" s="51"/>
      <c r="F156" s="51"/>
      <c r="G156" s="51" t="str">
        <f>IFERROR(__xludf.DUMMYFUNCTION("""COMPUTED_VALUE"""),"#VALUE!")</f>
        <v>#VALUE!</v>
      </c>
      <c r="H156" s="51" t="str">
        <f>IFERROR(__xludf.DUMMYFUNCTION("""COMPUTED_VALUE"""),"")</f>
        <v/>
      </c>
      <c r="I156" s="51" t="str">
        <f>IFERROR(__xludf.DUMMYFUNCTION("""COMPUTED_VALUE"""),"#VALUE!")</f>
        <v>#VALUE!</v>
      </c>
      <c r="J156" s="51" t="str">
        <f>IFERROR(__xludf.DUMMYFUNCTION("""COMPUTED_VALUE"""),"")</f>
        <v/>
      </c>
      <c r="K156" s="51"/>
      <c r="L156" s="51" t="s">
        <v>257</v>
      </c>
      <c r="M156" s="51"/>
      <c r="N156" s="51"/>
      <c r="O156" s="51"/>
      <c r="P156" s="51"/>
      <c r="Q156" s="51"/>
      <c r="R156" s="51"/>
      <c r="S156" s="51"/>
      <c r="T156" s="51"/>
    </row>
    <row r="157">
      <c r="A157" s="51"/>
      <c r="B157" s="51"/>
      <c r="C157" s="56"/>
      <c r="D157" s="51"/>
      <c r="E157" s="51"/>
      <c r="F157" s="51"/>
      <c r="G157" s="51" t="str">
        <f>IFERROR(__xludf.DUMMYFUNCTION("""COMPUTED_VALUE"""),"#VALUE!")</f>
        <v>#VALUE!</v>
      </c>
      <c r="H157" s="51" t="str">
        <f>IFERROR(__xludf.DUMMYFUNCTION("""COMPUTED_VALUE"""),"")</f>
        <v/>
      </c>
      <c r="I157" s="51" t="str">
        <f>IFERROR(__xludf.DUMMYFUNCTION("""COMPUTED_VALUE"""),"#VALUE!")</f>
        <v>#VALUE!</v>
      </c>
      <c r="J157" s="51" t="str">
        <f>IFERROR(__xludf.DUMMYFUNCTION("""COMPUTED_VALUE"""),"")</f>
        <v/>
      </c>
      <c r="K157" s="51"/>
      <c r="L157" s="51" t="s">
        <v>257</v>
      </c>
      <c r="M157" s="51"/>
      <c r="N157" s="51"/>
      <c r="O157" s="51"/>
      <c r="P157" s="51"/>
      <c r="Q157" s="51"/>
      <c r="R157" s="51"/>
      <c r="S157" s="51"/>
      <c r="T157" s="51"/>
    </row>
    <row r="158">
      <c r="A158" s="51"/>
      <c r="B158" s="51"/>
      <c r="C158" s="56"/>
      <c r="D158" s="51"/>
      <c r="E158" s="51"/>
      <c r="F158" s="51"/>
      <c r="G158" s="51" t="str">
        <f>IFERROR(__xludf.DUMMYFUNCTION("""COMPUTED_VALUE"""),"#VALUE!")</f>
        <v>#VALUE!</v>
      </c>
      <c r="H158" s="51" t="str">
        <f>IFERROR(__xludf.DUMMYFUNCTION("""COMPUTED_VALUE"""),"")</f>
        <v/>
      </c>
      <c r="I158" s="51" t="str">
        <f>IFERROR(__xludf.DUMMYFUNCTION("""COMPUTED_VALUE"""),"#VALUE!")</f>
        <v>#VALUE!</v>
      </c>
      <c r="J158" s="51" t="str">
        <f>IFERROR(__xludf.DUMMYFUNCTION("""COMPUTED_VALUE"""),"")</f>
        <v/>
      </c>
      <c r="K158" s="51"/>
      <c r="L158" s="51" t="s">
        <v>257</v>
      </c>
      <c r="M158" s="51"/>
      <c r="N158" s="51"/>
      <c r="O158" s="51"/>
      <c r="P158" s="51"/>
      <c r="Q158" s="51"/>
      <c r="R158" s="51"/>
      <c r="S158" s="51"/>
      <c r="T158" s="51"/>
    </row>
    <row r="159">
      <c r="A159" s="51"/>
      <c r="B159" s="51"/>
      <c r="C159" s="56"/>
      <c r="D159" s="51"/>
      <c r="E159" s="51"/>
      <c r="F159" s="51"/>
      <c r="G159" s="51" t="str">
        <f>IFERROR(__xludf.DUMMYFUNCTION("""COMPUTED_VALUE"""),"#VALUE!")</f>
        <v>#VALUE!</v>
      </c>
      <c r="H159" s="51" t="str">
        <f>IFERROR(__xludf.DUMMYFUNCTION("""COMPUTED_VALUE"""),"")</f>
        <v/>
      </c>
      <c r="I159" s="51" t="str">
        <f>IFERROR(__xludf.DUMMYFUNCTION("""COMPUTED_VALUE"""),"#VALUE!")</f>
        <v>#VALUE!</v>
      </c>
      <c r="J159" s="51" t="str">
        <f>IFERROR(__xludf.DUMMYFUNCTION("""COMPUTED_VALUE"""),"")</f>
        <v/>
      </c>
      <c r="K159" s="51"/>
      <c r="L159" s="51" t="s">
        <v>257</v>
      </c>
      <c r="M159" s="51"/>
      <c r="N159" s="51"/>
      <c r="O159" s="51"/>
      <c r="P159" s="51"/>
      <c r="Q159" s="51"/>
      <c r="R159" s="51"/>
      <c r="S159" s="51"/>
      <c r="T159" s="51"/>
    </row>
    <row r="160">
      <c r="A160" s="51"/>
      <c r="B160" s="51"/>
      <c r="C160" s="56"/>
      <c r="D160" s="51"/>
      <c r="E160" s="51"/>
      <c r="F160" s="51"/>
      <c r="G160" s="51" t="str">
        <f>IFERROR(__xludf.DUMMYFUNCTION("""COMPUTED_VALUE"""),"#VALUE!")</f>
        <v>#VALUE!</v>
      </c>
      <c r="H160" s="51" t="str">
        <f>IFERROR(__xludf.DUMMYFUNCTION("""COMPUTED_VALUE"""),"")</f>
        <v/>
      </c>
      <c r="I160" s="51" t="str">
        <f>IFERROR(__xludf.DUMMYFUNCTION("""COMPUTED_VALUE"""),"#VALUE!")</f>
        <v>#VALUE!</v>
      </c>
      <c r="J160" s="51" t="str">
        <f>IFERROR(__xludf.DUMMYFUNCTION("""COMPUTED_VALUE"""),"")</f>
        <v/>
      </c>
      <c r="K160" s="51"/>
      <c r="L160" s="51" t="s">
        <v>257</v>
      </c>
      <c r="M160" s="51"/>
      <c r="N160" s="51"/>
      <c r="O160" s="51"/>
      <c r="P160" s="51"/>
      <c r="Q160" s="51"/>
      <c r="R160" s="51"/>
      <c r="S160" s="51"/>
      <c r="T160" s="51"/>
    </row>
    <row r="161">
      <c r="A161" s="51"/>
      <c r="B161" s="51"/>
      <c r="C161" s="56"/>
      <c r="D161" s="51"/>
      <c r="E161" s="51"/>
      <c r="F161" s="51"/>
      <c r="G161" s="51" t="str">
        <f>IFERROR(__xludf.DUMMYFUNCTION("""COMPUTED_VALUE"""),"#VALUE!")</f>
        <v>#VALUE!</v>
      </c>
      <c r="H161" s="51" t="str">
        <f>IFERROR(__xludf.DUMMYFUNCTION("""COMPUTED_VALUE"""),"")</f>
        <v/>
      </c>
      <c r="I161" s="51" t="str">
        <f>IFERROR(__xludf.DUMMYFUNCTION("""COMPUTED_VALUE"""),"#VALUE!")</f>
        <v>#VALUE!</v>
      </c>
      <c r="J161" s="51" t="str">
        <f>IFERROR(__xludf.DUMMYFUNCTION("""COMPUTED_VALUE"""),"")</f>
        <v/>
      </c>
      <c r="K161" s="51"/>
      <c r="L161" s="51" t="s">
        <v>257</v>
      </c>
      <c r="M161" s="51"/>
      <c r="N161" s="51"/>
      <c r="O161" s="51"/>
      <c r="P161" s="51"/>
      <c r="Q161" s="51"/>
      <c r="R161" s="51"/>
      <c r="S161" s="51"/>
      <c r="T161" s="51"/>
    </row>
    <row r="162">
      <c r="A162" s="51"/>
      <c r="B162" s="51"/>
      <c r="C162" s="56"/>
      <c r="D162" s="51"/>
      <c r="E162" s="51"/>
      <c r="F162" s="51"/>
      <c r="G162" s="51" t="str">
        <f>IFERROR(__xludf.DUMMYFUNCTION("""COMPUTED_VALUE"""),"#VALUE!")</f>
        <v>#VALUE!</v>
      </c>
      <c r="H162" s="51" t="str">
        <f>IFERROR(__xludf.DUMMYFUNCTION("""COMPUTED_VALUE"""),"")</f>
        <v/>
      </c>
      <c r="I162" s="51" t="str">
        <f>IFERROR(__xludf.DUMMYFUNCTION("""COMPUTED_VALUE"""),"#VALUE!")</f>
        <v>#VALUE!</v>
      </c>
      <c r="J162" s="51" t="str">
        <f>IFERROR(__xludf.DUMMYFUNCTION("""COMPUTED_VALUE"""),"")</f>
        <v/>
      </c>
      <c r="K162" s="51"/>
      <c r="L162" s="51" t="s">
        <v>257</v>
      </c>
      <c r="M162" s="51"/>
      <c r="N162" s="51"/>
      <c r="O162" s="51"/>
      <c r="P162" s="51"/>
      <c r="Q162" s="51"/>
      <c r="R162" s="51"/>
      <c r="S162" s="51"/>
      <c r="T162" s="51"/>
    </row>
    <row r="163">
      <c r="A163" s="51"/>
      <c r="B163" s="51"/>
      <c r="C163" s="56"/>
      <c r="D163" s="51"/>
      <c r="E163" s="51"/>
      <c r="F163" s="51"/>
      <c r="G163" s="51" t="str">
        <f>IFERROR(__xludf.DUMMYFUNCTION("""COMPUTED_VALUE"""),"#VALUE!")</f>
        <v>#VALUE!</v>
      </c>
      <c r="H163" s="51" t="str">
        <f>IFERROR(__xludf.DUMMYFUNCTION("""COMPUTED_VALUE"""),"")</f>
        <v/>
      </c>
      <c r="I163" s="51" t="str">
        <f>IFERROR(__xludf.DUMMYFUNCTION("""COMPUTED_VALUE"""),"#VALUE!")</f>
        <v>#VALUE!</v>
      </c>
      <c r="J163" s="51" t="str">
        <f>IFERROR(__xludf.DUMMYFUNCTION("""COMPUTED_VALUE"""),"")</f>
        <v/>
      </c>
      <c r="K163" s="51"/>
      <c r="L163" s="51" t="s">
        <v>257</v>
      </c>
      <c r="M163" s="51"/>
      <c r="N163" s="51"/>
      <c r="O163" s="51"/>
      <c r="P163" s="51"/>
      <c r="Q163" s="51"/>
      <c r="R163" s="51"/>
      <c r="S163" s="51"/>
      <c r="T163" s="51"/>
    </row>
    <row r="164">
      <c r="A164" s="51"/>
      <c r="B164" s="51"/>
      <c r="C164" s="56"/>
      <c r="D164" s="51"/>
      <c r="E164" s="51"/>
      <c r="F164" s="51"/>
      <c r="G164" s="51" t="str">
        <f>IFERROR(__xludf.DUMMYFUNCTION("""COMPUTED_VALUE"""),"#VALUE!")</f>
        <v>#VALUE!</v>
      </c>
      <c r="H164" s="51" t="str">
        <f>IFERROR(__xludf.DUMMYFUNCTION("""COMPUTED_VALUE"""),"")</f>
        <v/>
      </c>
      <c r="I164" s="51" t="str">
        <f>IFERROR(__xludf.DUMMYFUNCTION("""COMPUTED_VALUE"""),"#VALUE!")</f>
        <v>#VALUE!</v>
      </c>
      <c r="J164" s="51" t="str">
        <f>IFERROR(__xludf.DUMMYFUNCTION("""COMPUTED_VALUE"""),"")</f>
        <v/>
      </c>
      <c r="K164" s="51"/>
      <c r="L164" s="51" t="s">
        <v>257</v>
      </c>
      <c r="M164" s="51"/>
      <c r="N164" s="51"/>
      <c r="O164" s="51"/>
      <c r="P164" s="51"/>
      <c r="Q164" s="51"/>
      <c r="R164" s="51"/>
      <c r="S164" s="51"/>
      <c r="T164" s="51"/>
    </row>
    <row r="165">
      <c r="A165" s="51"/>
      <c r="B165" s="51"/>
      <c r="C165" s="56"/>
      <c r="D165" s="51"/>
      <c r="E165" s="51"/>
      <c r="F165" s="51"/>
      <c r="G165" s="51" t="str">
        <f>IFERROR(__xludf.DUMMYFUNCTION("""COMPUTED_VALUE"""),"#VALUE!")</f>
        <v>#VALUE!</v>
      </c>
      <c r="H165" s="51" t="str">
        <f>IFERROR(__xludf.DUMMYFUNCTION("""COMPUTED_VALUE"""),"")</f>
        <v/>
      </c>
      <c r="I165" s="51" t="str">
        <f>IFERROR(__xludf.DUMMYFUNCTION("""COMPUTED_VALUE"""),"#VALUE!")</f>
        <v>#VALUE!</v>
      </c>
      <c r="J165" s="51" t="str">
        <f>IFERROR(__xludf.DUMMYFUNCTION("""COMPUTED_VALUE"""),"")</f>
        <v/>
      </c>
      <c r="K165" s="51"/>
      <c r="L165" s="51" t="s">
        <v>257</v>
      </c>
      <c r="M165" s="51"/>
      <c r="N165" s="51"/>
      <c r="O165" s="51"/>
      <c r="P165" s="51"/>
      <c r="Q165" s="51"/>
      <c r="R165" s="51"/>
      <c r="S165" s="51"/>
      <c r="T165" s="51"/>
    </row>
    <row r="166">
      <c r="A166" s="51"/>
      <c r="B166" s="51"/>
      <c r="C166" s="56"/>
      <c r="D166" s="51"/>
      <c r="E166" s="51"/>
      <c r="F166" s="51"/>
      <c r="G166" s="51" t="str">
        <f>IFERROR(__xludf.DUMMYFUNCTION("""COMPUTED_VALUE"""),"#VALUE!")</f>
        <v>#VALUE!</v>
      </c>
      <c r="H166" s="51" t="str">
        <f>IFERROR(__xludf.DUMMYFUNCTION("""COMPUTED_VALUE"""),"")</f>
        <v/>
      </c>
      <c r="I166" s="51" t="str">
        <f>IFERROR(__xludf.DUMMYFUNCTION("""COMPUTED_VALUE"""),"#VALUE!")</f>
        <v>#VALUE!</v>
      </c>
      <c r="J166" s="51" t="str">
        <f>IFERROR(__xludf.DUMMYFUNCTION("""COMPUTED_VALUE"""),"")</f>
        <v/>
      </c>
      <c r="K166" s="51"/>
      <c r="L166" s="51" t="s">
        <v>257</v>
      </c>
      <c r="M166" s="51"/>
      <c r="N166" s="51"/>
      <c r="O166" s="51"/>
      <c r="P166" s="51"/>
      <c r="Q166" s="51"/>
      <c r="R166" s="51"/>
      <c r="S166" s="51"/>
      <c r="T166" s="51"/>
    </row>
    <row r="167">
      <c r="A167" s="51"/>
      <c r="B167" s="51"/>
      <c r="C167" s="56"/>
      <c r="D167" s="51"/>
      <c r="E167" s="51"/>
      <c r="F167" s="51"/>
      <c r="G167" s="51" t="str">
        <f>IFERROR(__xludf.DUMMYFUNCTION("""COMPUTED_VALUE"""),"#VALUE!")</f>
        <v>#VALUE!</v>
      </c>
      <c r="H167" s="51" t="str">
        <f>IFERROR(__xludf.DUMMYFUNCTION("""COMPUTED_VALUE"""),"")</f>
        <v/>
      </c>
      <c r="I167" s="51" t="str">
        <f>IFERROR(__xludf.DUMMYFUNCTION("""COMPUTED_VALUE"""),"#VALUE!")</f>
        <v>#VALUE!</v>
      </c>
      <c r="J167" s="51" t="str">
        <f>IFERROR(__xludf.DUMMYFUNCTION("""COMPUTED_VALUE"""),"")</f>
        <v/>
      </c>
      <c r="K167" s="51"/>
      <c r="L167" s="51" t="s">
        <v>257</v>
      </c>
      <c r="M167" s="51"/>
      <c r="N167" s="51"/>
      <c r="O167" s="51"/>
      <c r="P167" s="51"/>
      <c r="Q167" s="51"/>
      <c r="R167" s="51"/>
      <c r="S167" s="51"/>
      <c r="T167" s="51"/>
    </row>
    <row r="168">
      <c r="A168" s="51"/>
      <c r="B168" s="51"/>
      <c r="C168" s="56"/>
      <c r="D168" s="51"/>
      <c r="E168" s="51"/>
      <c r="F168" s="51"/>
      <c r="G168" s="51" t="str">
        <f>IFERROR(__xludf.DUMMYFUNCTION("""COMPUTED_VALUE"""),"#VALUE!")</f>
        <v>#VALUE!</v>
      </c>
      <c r="H168" s="51" t="str">
        <f>IFERROR(__xludf.DUMMYFUNCTION("""COMPUTED_VALUE"""),"")</f>
        <v/>
      </c>
      <c r="I168" s="51" t="str">
        <f>IFERROR(__xludf.DUMMYFUNCTION("""COMPUTED_VALUE"""),"#VALUE!")</f>
        <v>#VALUE!</v>
      </c>
      <c r="J168" s="51" t="str">
        <f>IFERROR(__xludf.DUMMYFUNCTION("""COMPUTED_VALUE"""),"")</f>
        <v/>
      </c>
      <c r="K168" s="51"/>
      <c r="L168" s="51" t="s">
        <v>257</v>
      </c>
      <c r="M168" s="51"/>
      <c r="N168" s="51"/>
      <c r="O168" s="51"/>
      <c r="P168" s="51"/>
      <c r="Q168" s="51"/>
      <c r="R168" s="51"/>
      <c r="S168" s="51"/>
      <c r="T168" s="51"/>
    </row>
    <row r="169">
      <c r="A169" s="51"/>
      <c r="B169" s="51"/>
      <c r="C169" s="56"/>
      <c r="D169" s="51"/>
      <c r="E169" s="51"/>
      <c r="F169" s="51"/>
      <c r="G169" s="51" t="str">
        <f>IFERROR(__xludf.DUMMYFUNCTION("""COMPUTED_VALUE"""),"#VALUE!")</f>
        <v>#VALUE!</v>
      </c>
      <c r="H169" s="51" t="str">
        <f>IFERROR(__xludf.DUMMYFUNCTION("""COMPUTED_VALUE"""),"")</f>
        <v/>
      </c>
      <c r="I169" s="51" t="str">
        <f>IFERROR(__xludf.DUMMYFUNCTION("""COMPUTED_VALUE"""),"#VALUE!")</f>
        <v>#VALUE!</v>
      </c>
      <c r="J169" s="51" t="str">
        <f>IFERROR(__xludf.DUMMYFUNCTION("""COMPUTED_VALUE"""),"")</f>
        <v/>
      </c>
      <c r="K169" s="51"/>
      <c r="L169" s="51" t="s">
        <v>257</v>
      </c>
      <c r="M169" s="51"/>
      <c r="N169" s="51"/>
      <c r="O169" s="51"/>
      <c r="P169" s="51"/>
      <c r="Q169" s="51"/>
      <c r="R169" s="51"/>
      <c r="S169" s="51"/>
      <c r="T169" s="51"/>
    </row>
    <row r="170">
      <c r="A170" s="51"/>
      <c r="B170" s="51"/>
      <c r="C170" s="56"/>
      <c r="D170" s="51"/>
      <c r="E170" s="51"/>
      <c r="F170" s="51"/>
      <c r="G170" s="51" t="str">
        <f>IFERROR(__xludf.DUMMYFUNCTION("""COMPUTED_VALUE"""),"#VALUE!")</f>
        <v>#VALUE!</v>
      </c>
      <c r="H170" s="51" t="str">
        <f>IFERROR(__xludf.DUMMYFUNCTION("""COMPUTED_VALUE"""),"")</f>
        <v/>
      </c>
      <c r="I170" s="51" t="str">
        <f>IFERROR(__xludf.DUMMYFUNCTION("""COMPUTED_VALUE"""),"#VALUE!")</f>
        <v>#VALUE!</v>
      </c>
      <c r="J170" s="51" t="str">
        <f>IFERROR(__xludf.DUMMYFUNCTION("""COMPUTED_VALUE"""),"")</f>
        <v/>
      </c>
      <c r="K170" s="51"/>
      <c r="L170" s="51" t="s">
        <v>257</v>
      </c>
      <c r="M170" s="51"/>
      <c r="N170" s="51"/>
      <c r="O170" s="51"/>
      <c r="P170" s="51"/>
      <c r="Q170" s="51"/>
      <c r="R170" s="51"/>
      <c r="S170" s="51"/>
      <c r="T170" s="51"/>
    </row>
    <row r="171">
      <c r="A171" s="51"/>
      <c r="B171" s="51"/>
      <c r="C171" s="56"/>
      <c r="D171" s="51"/>
      <c r="E171" s="51"/>
      <c r="F171" s="51"/>
      <c r="G171" s="51" t="str">
        <f>IFERROR(__xludf.DUMMYFUNCTION("""COMPUTED_VALUE"""),"#VALUE!")</f>
        <v>#VALUE!</v>
      </c>
      <c r="H171" s="51" t="str">
        <f>IFERROR(__xludf.DUMMYFUNCTION("""COMPUTED_VALUE"""),"")</f>
        <v/>
      </c>
      <c r="I171" s="51" t="str">
        <f>IFERROR(__xludf.DUMMYFUNCTION("""COMPUTED_VALUE"""),"#VALUE!")</f>
        <v>#VALUE!</v>
      </c>
      <c r="J171" s="51" t="str">
        <f>IFERROR(__xludf.DUMMYFUNCTION("""COMPUTED_VALUE"""),"")</f>
        <v/>
      </c>
      <c r="K171" s="51"/>
      <c r="L171" s="51" t="s">
        <v>257</v>
      </c>
      <c r="M171" s="51"/>
      <c r="N171" s="51"/>
      <c r="O171" s="51"/>
      <c r="P171" s="51"/>
      <c r="Q171" s="51"/>
      <c r="R171" s="51"/>
      <c r="S171" s="51"/>
      <c r="T171" s="51"/>
    </row>
    <row r="172">
      <c r="A172" s="51"/>
      <c r="B172" s="51"/>
      <c r="C172" s="56"/>
      <c r="D172" s="51"/>
      <c r="E172" s="51"/>
      <c r="F172" s="51"/>
      <c r="G172" s="51" t="str">
        <f>IFERROR(__xludf.DUMMYFUNCTION("""COMPUTED_VALUE"""),"#VALUE!")</f>
        <v>#VALUE!</v>
      </c>
      <c r="H172" s="51" t="str">
        <f>IFERROR(__xludf.DUMMYFUNCTION("""COMPUTED_VALUE"""),"")</f>
        <v/>
      </c>
      <c r="I172" s="51" t="str">
        <f>IFERROR(__xludf.DUMMYFUNCTION("""COMPUTED_VALUE"""),"#VALUE!")</f>
        <v>#VALUE!</v>
      </c>
      <c r="J172" s="51" t="str">
        <f>IFERROR(__xludf.DUMMYFUNCTION("""COMPUTED_VALUE"""),"")</f>
        <v/>
      </c>
      <c r="K172" s="51"/>
      <c r="L172" s="51" t="s">
        <v>257</v>
      </c>
      <c r="M172" s="51"/>
      <c r="N172" s="51"/>
      <c r="O172" s="51"/>
      <c r="P172" s="51"/>
      <c r="Q172" s="51"/>
      <c r="R172" s="51"/>
      <c r="S172" s="51"/>
      <c r="T172" s="51"/>
    </row>
    <row r="173">
      <c r="A173" s="51"/>
      <c r="B173" s="51"/>
      <c r="C173" s="56"/>
      <c r="D173" s="51"/>
      <c r="E173" s="51"/>
      <c r="F173" s="51"/>
      <c r="G173" s="51" t="str">
        <f>IFERROR(__xludf.DUMMYFUNCTION("""COMPUTED_VALUE"""),"#VALUE!")</f>
        <v>#VALUE!</v>
      </c>
      <c r="H173" s="51" t="str">
        <f>IFERROR(__xludf.DUMMYFUNCTION("""COMPUTED_VALUE"""),"")</f>
        <v/>
      </c>
      <c r="I173" s="51" t="str">
        <f>IFERROR(__xludf.DUMMYFUNCTION("""COMPUTED_VALUE"""),"#VALUE!")</f>
        <v>#VALUE!</v>
      </c>
      <c r="J173" s="51" t="str">
        <f>IFERROR(__xludf.DUMMYFUNCTION("""COMPUTED_VALUE"""),"")</f>
        <v/>
      </c>
      <c r="K173" s="51"/>
      <c r="L173" s="51" t="s">
        <v>257</v>
      </c>
      <c r="M173" s="51"/>
      <c r="N173" s="51"/>
      <c r="O173" s="51"/>
      <c r="P173" s="51"/>
      <c r="Q173" s="51"/>
      <c r="R173" s="51"/>
      <c r="S173" s="51"/>
      <c r="T173" s="51"/>
    </row>
    <row r="174">
      <c r="A174" s="51"/>
      <c r="B174" s="51"/>
      <c r="C174" s="56"/>
      <c r="D174" s="51"/>
      <c r="E174" s="51"/>
      <c r="F174" s="51"/>
      <c r="G174" s="51" t="str">
        <f>IFERROR(__xludf.DUMMYFUNCTION("""COMPUTED_VALUE"""),"#VALUE!")</f>
        <v>#VALUE!</v>
      </c>
      <c r="H174" s="51" t="str">
        <f>IFERROR(__xludf.DUMMYFUNCTION("""COMPUTED_VALUE"""),"")</f>
        <v/>
      </c>
      <c r="I174" s="51" t="str">
        <f>IFERROR(__xludf.DUMMYFUNCTION("""COMPUTED_VALUE"""),"#VALUE!")</f>
        <v>#VALUE!</v>
      </c>
      <c r="J174" s="51" t="str">
        <f>IFERROR(__xludf.DUMMYFUNCTION("""COMPUTED_VALUE"""),"")</f>
        <v/>
      </c>
      <c r="K174" s="51"/>
      <c r="L174" s="51" t="s">
        <v>257</v>
      </c>
      <c r="M174" s="51"/>
      <c r="N174" s="51"/>
      <c r="O174" s="51"/>
      <c r="P174" s="51"/>
      <c r="Q174" s="51"/>
      <c r="R174" s="51"/>
      <c r="S174" s="51"/>
      <c r="T174" s="51"/>
    </row>
    <row r="175">
      <c r="A175" s="51"/>
      <c r="B175" s="51"/>
      <c r="C175" s="56"/>
      <c r="D175" s="51"/>
      <c r="E175" s="51"/>
      <c r="F175" s="51"/>
      <c r="G175" s="51" t="str">
        <f>IFERROR(__xludf.DUMMYFUNCTION("""COMPUTED_VALUE"""),"#VALUE!")</f>
        <v>#VALUE!</v>
      </c>
      <c r="H175" s="51" t="str">
        <f>IFERROR(__xludf.DUMMYFUNCTION("""COMPUTED_VALUE"""),"")</f>
        <v/>
      </c>
      <c r="I175" s="51" t="str">
        <f>IFERROR(__xludf.DUMMYFUNCTION("""COMPUTED_VALUE"""),"#VALUE!")</f>
        <v>#VALUE!</v>
      </c>
      <c r="J175" s="51" t="str">
        <f>IFERROR(__xludf.DUMMYFUNCTION("""COMPUTED_VALUE"""),"")</f>
        <v/>
      </c>
      <c r="K175" s="51"/>
      <c r="L175" s="51" t="s">
        <v>257</v>
      </c>
      <c r="M175" s="51"/>
      <c r="N175" s="51"/>
      <c r="O175" s="51"/>
      <c r="P175" s="51"/>
      <c r="Q175" s="51"/>
      <c r="R175" s="51"/>
      <c r="S175" s="51"/>
      <c r="T175" s="51"/>
    </row>
    <row r="176">
      <c r="A176" s="51"/>
      <c r="B176" s="51"/>
      <c r="C176" s="56"/>
      <c r="D176" s="51"/>
      <c r="E176" s="51"/>
      <c r="F176" s="51"/>
      <c r="G176" s="51" t="str">
        <f>IFERROR(__xludf.DUMMYFUNCTION("""COMPUTED_VALUE"""),"#VALUE!")</f>
        <v>#VALUE!</v>
      </c>
      <c r="H176" s="51" t="str">
        <f>IFERROR(__xludf.DUMMYFUNCTION("""COMPUTED_VALUE"""),"")</f>
        <v/>
      </c>
      <c r="I176" s="51" t="str">
        <f>IFERROR(__xludf.DUMMYFUNCTION("""COMPUTED_VALUE"""),"#VALUE!")</f>
        <v>#VALUE!</v>
      </c>
      <c r="J176" s="51" t="str">
        <f>IFERROR(__xludf.DUMMYFUNCTION("""COMPUTED_VALUE"""),"")</f>
        <v/>
      </c>
      <c r="K176" s="51"/>
      <c r="L176" s="51" t="s">
        <v>257</v>
      </c>
      <c r="M176" s="51"/>
      <c r="N176" s="51"/>
      <c r="O176" s="51"/>
      <c r="P176" s="51"/>
      <c r="Q176" s="51"/>
      <c r="R176" s="51"/>
      <c r="S176" s="51"/>
      <c r="T176" s="51"/>
    </row>
    <row r="177">
      <c r="A177" s="51"/>
      <c r="B177" s="51"/>
      <c r="C177" s="56"/>
      <c r="D177" s="51"/>
      <c r="E177" s="51"/>
      <c r="F177" s="51"/>
      <c r="G177" s="51" t="str">
        <f>IFERROR(__xludf.DUMMYFUNCTION("""COMPUTED_VALUE"""),"#VALUE!")</f>
        <v>#VALUE!</v>
      </c>
      <c r="H177" s="51" t="str">
        <f>IFERROR(__xludf.DUMMYFUNCTION("""COMPUTED_VALUE"""),"")</f>
        <v/>
      </c>
      <c r="I177" s="51" t="str">
        <f>IFERROR(__xludf.DUMMYFUNCTION("""COMPUTED_VALUE"""),"#VALUE!")</f>
        <v>#VALUE!</v>
      </c>
      <c r="J177" s="51" t="str">
        <f>IFERROR(__xludf.DUMMYFUNCTION("""COMPUTED_VALUE"""),"")</f>
        <v/>
      </c>
      <c r="K177" s="51"/>
      <c r="L177" s="51" t="s">
        <v>257</v>
      </c>
      <c r="M177" s="51"/>
      <c r="N177" s="51"/>
      <c r="O177" s="51"/>
      <c r="P177" s="51"/>
      <c r="Q177" s="51"/>
      <c r="R177" s="51"/>
      <c r="S177" s="51"/>
      <c r="T177" s="51"/>
    </row>
    <row r="178">
      <c r="A178" s="51"/>
      <c r="B178" s="51"/>
      <c r="C178" s="56"/>
      <c r="D178" s="51"/>
      <c r="E178" s="51"/>
      <c r="F178" s="51"/>
      <c r="G178" s="51" t="str">
        <f>IFERROR(__xludf.DUMMYFUNCTION("""COMPUTED_VALUE"""),"#VALUE!")</f>
        <v>#VALUE!</v>
      </c>
      <c r="H178" s="51" t="str">
        <f>IFERROR(__xludf.DUMMYFUNCTION("""COMPUTED_VALUE"""),"")</f>
        <v/>
      </c>
      <c r="I178" s="51" t="str">
        <f>IFERROR(__xludf.DUMMYFUNCTION("""COMPUTED_VALUE"""),"#VALUE!")</f>
        <v>#VALUE!</v>
      </c>
      <c r="J178" s="51" t="str">
        <f>IFERROR(__xludf.DUMMYFUNCTION("""COMPUTED_VALUE"""),"")</f>
        <v/>
      </c>
      <c r="K178" s="51"/>
      <c r="L178" s="51" t="s">
        <v>257</v>
      </c>
      <c r="M178" s="51"/>
      <c r="N178" s="51"/>
      <c r="O178" s="51"/>
      <c r="P178" s="51"/>
      <c r="Q178" s="51"/>
      <c r="R178" s="51"/>
      <c r="S178" s="51"/>
      <c r="T178" s="51"/>
    </row>
    <row r="179">
      <c r="A179" s="51"/>
      <c r="B179" s="51"/>
      <c r="C179" s="56"/>
      <c r="D179" s="51"/>
      <c r="E179" s="51"/>
      <c r="F179" s="51"/>
      <c r="G179" s="51" t="str">
        <f>IFERROR(__xludf.DUMMYFUNCTION("""COMPUTED_VALUE"""),"#VALUE!")</f>
        <v>#VALUE!</v>
      </c>
      <c r="H179" s="51" t="str">
        <f>IFERROR(__xludf.DUMMYFUNCTION("""COMPUTED_VALUE"""),"")</f>
        <v/>
      </c>
      <c r="I179" s="51" t="str">
        <f>IFERROR(__xludf.DUMMYFUNCTION("""COMPUTED_VALUE"""),"#VALUE!")</f>
        <v>#VALUE!</v>
      </c>
      <c r="J179" s="51" t="str">
        <f>IFERROR(__xludf.DUMMYFUNCTION("""COMPUTED_VALUE"""),"")</f>
        <v/>
      </c>
      <c r="K179" s="51"/>
      <c r="L179" s="51" t="s">
        <v>257</v>
      </c>
      <c r="M179" s="51"/>
      <c r="N179" s="51"/>
      <c r="O179" s="51"/>
      <c r="P179" s="51"/>
      <c r="Q179" s="51"/>
      <c r="R179" s="51"/>
      <c r="S179" s="51"/>
      <c r="T179" s="51"/>
    </row>
    <row r="180">
      <c r="A180" s="51"/>
      <c r="B180" s="51"/>
      <c r="C180" s="56"/>
      <c r="D180" s="51"/>
      <c r="E180" s="51"/>
      <c r="F180" s="51"/>
      <c r="G180" s="51" t="str">
        <f>IFERROR(__xludf.DUMMYFUNCTION("""COMPUTED_VALUE"""),"#VALUE!")</f>
        <v>#VALUE!</v>
      </c>
      <c r="H180" s="51" t="str">
        <f>IFERROR(__xludf.DUMMYFUNCTION("""COMPUTED_VALUE"""),"")</f>
        <v/>
      </c>
      <c r="I180" s="51" t="str">
        <f>IFERROR(__xludf.DUMMYFUNCTION("""COMPUTED_VALUE"""),"#VALUE!")</f>
        <v>#VALUE!</v>
      </c>
      <c r="J180" s="51" t="str">
        <f>IFERROR(__xludf.DUMMYFUNCTION("""COMPUTED_VALUE"""),"")</f>
        <v/>
      </c>
      <c r="K180" s="51"/>
      <c r="L180" s="51" t="s">
        <v>257</v>
      </c>
      <c r="M180" s="51"/>
      <c r="N180" s="51"/>
      <c r="O180" s="51"/>
      <c r="P180" s="51"/>
      <c r="Q180" s="51"/>
      <c r="R180" s="51"/>
      <c r="S180" s="51"/>
      <c r="T180" s="51"/>
    </row>
    <row r="181">
      <c r="A181" s="51"/>
      <c r="B181" s="51"/>
      <c r="C181" s="56"/>
      <c r="D181" s="51"/>
      <c r="E181" s="51"/>
      <c r="F181" s="51"/>
      <c r="G181" s="51" t="str">
        <f>IFERROR(__xludf.DUMMYFUNCTION("""COMPUTED_VALUE"""),"#VALUE!")</f>
        <v>#VALUE!</v>
      </c>
      <c r="H181" s="51" t="str">
        <f>IFERROR(__xludf.DUMMYFUNCTION("""COMPUTED_VALUE"""),"")</f>
        <v/>
      </c>
      <c r="I181" s="51" t="str">
        <f>IFERROR(__xludf.DUMMYFUNCTION("""COMPUTED_VALUE"""),"#VALUE!")</f>
        <v>#VALUE!</v>
      </c>
      <c r="J181" s="51" t="str">
        <f>IFERROR(__xludf.DUMMYFUNCTION("""COMPUTED_VALUE"""),"")</f>
        <v/>
      </c>
      <c r="K181" s="51"/>
      <c r="L181" s="51" t="s">
        <v>257</v>
      </c>
      <c r="M181" s="51"/>
      <c r="N181" s="51"/>
      <c r="O181" s="51"/>
      <c r="P181" s="51"/>
      <c r="Q181" s="51"/>
      <c r="R181" s="51"/>
      <c r="S181" s="51"/>
      <c r="T181" s="51"/>
    </row>
    <row r="182">
      <c r="A182" s="51"/>
      <c r="B182" s="51"/>
      <c r="C182" s="56"/>
      <c r="D182" s="51"/>
      <c r="E182" s="51"/>
      <c r="F182" s="51"/>
      <c r="G182" s="51" t="str">
        <f>IFERROR(__xludf.DUMMYFUNCTION("""COMPUTED_VALUE"""),"#VALUE!")</f>
        <v>#VALUE!</v>
      </c>
      <c r="H182" s="51" t="str">
        <f>IFERROR(__xludf.DUMMYFUNCTION("""COMPUTED_VALUE"""),"")</f>
        <v/>
      </c>
      <c r="I182" s="51" t="str">
        <f>IFERROR(__xludf.DUMMYFUNCTION("""COMPUTED_VALUE"""),"#VALUE!")</f>
        <v>#VALUE!</v>
      </c>
      <c r="J182" s="51" t="str">
        <f>IFERROR(__xludf.DUMMYFUNCTION("""COMPUTED_VALUE"""),"")</f>
        <v/>
      </c>
      <c r="K182" s="51"/>
      <c r="L182" s="51" t="s">
        <v>257</v>
      </c>
      <c r="M182" s="51"/>
      <c r="N182" s="51"/>
      <c r="O182" s="51"/>
      <c r="P182" s="51"/>
      <c r="Q182" s="51"/>
      <c r="R182" s="51"/>
      <c r="S182" s="51"/>
      <c r="T182" s="51"/>
    </row>
    <row r="183">
      <c r="A183" s="51"/>
      <c r="B183" s="51"/>
      <c r="C183" s="56"/>
      <c r="D183" s="51"/>
      <c r="E183" s="51"/>
      <c r="F183" s="51"/>
      <c r="G183" s="51" t="str">
        <f>IFERROR(__xludf.DUMMYFUNCTION("""COMPUTED_VALUE"""),"#VALUE!")</f>
        <v>#VALUE!</v>
      </c>
      <c r="H183" s="51" t="str">
        <f>IFERROR(__xludf.DUMMYFUNCTION("""COMPUTED_VALUE"""),"")</f>
        <v/>
      </c>
      <c r="I183" s="51" t="str">
        <f>IFERROR(__xludf.DUMMYFUNCTION("""COMPUTED_VALUE"""),"#VALUE!")</f>
        <v>#VALUE!</v>
      </c>
      <c r="J183" s="51" t="str">
        <f>IFERROR(__xludf.DUMMYFUNCTION("""COMPUTED_VALUE"""),"")</f>
        <v/>
      </c>
      <c r="K183" s="51"/>
      <c r="L183" s="51" t="s">
        <v>257</v>
      </c>
      <c r="M183" s="51"/>
      <c r="N183" s="51"/>
      <c r="O183" s="51"/>
      <c r="P183" s="51"/>
      <c r="Q183" s="51"/>
      <c r="R183" s="51"/>
      <c r="S183" s="51"/>
      <c r="T183" s="51"/>
    </row>
    <row r="184">
      <c r="A184" s="51"/>
      <c r="B184" s="51"/>
      <c r="C184" s="56"/>
      <c r="D184" s="51"/>
      <c r="E184" s="51"/>
      <c r="F184" s="51"/>
      <c r="G184" s="51" t="str">
        <f>IFERROR(__xludf.DUMMYFUNCTION("""COMPUTED_VALUE"""),"#VALUE!")</f>
        <v>#VALUE!</v>
      </c>
      <c r="H184" s="51" t="str">
        <f>IFERROR(__xludf.DUMMYFUNCTION("""COMPUTED_VALUE"""),"")</f>
        <v/>
      </c>
      <c r="I184" s="51" t="str">
        <f>IFERROR(__xludf.DUMMYFUNCTION("""COMPUTED_VALUE"""),"#VALUE!")</f>
        <v>#VALUE!</v>
      </c>
      <c r="J184" s="51" t="str">
        <f>IFERROR(__xludf.DUMMYFUNCTION("""COMPUTED_VALUE"""),"")</f>
        <v/>
      </c>
      <c r="K184" s="51"/>
      <c r="L184" s="51" t="s">
        <v>257</v>
      </c>
      <c r="M184" s="51"/>
      <c r="N184" s="51"/>
      <c r="O184" s="51"/>
      <c r="P184" s="51"/>
      <c r="Q184" s="51"/>
      <c r="R184" s="51"/>
      <c r="S184" s="51"/>
      <c r="T184" s="51"/>
    </row>
    <row r="185">
      <c r="A185" s="51"/>
      <c r="B185" s="51"/>
      <c r="C185" s="56"/>
      <c r="D185" s="51"/>
      <c r="E185" s="51"/>
      <c r="F185" s="51"/>
      <c r="G185" s="51" t="str">
        <f>IFERROR(__xludf.DUMMYFUNCTION("""COMPUTED_VALUE"""),"#VALUE!")</f>
        <v>#VALUE!</v>
      </c>
      <c r="H185" s="51" t="str">
        <f>IFERROR(__xludf.DUMMYFUNCTION("""COMPUTED_VALUE"""),"")</f>
        <v/>
      </c>
      <c r="I185" s="51" t="str">
        <f>IFERROR(__xludf.DUMMYFUNCTION("""COMPUTED_VALUE"""),"#VALUE!")</f>
        <v>#VALUE!</v>
      </c>
      <c r="J185" s="51" t="str">
        <f>IFERROR(__xludf.DUMMYFUNCTION("""COMPUTED_VALUE"""),"")</f>
        <v/>
      </c>
      <c r="K185" s="51"/>
      <c r="L185" s="51" t="s">
        <v>257</v>
      </c>
      <c r="M185" s="51"/>
      <c r="N185" s="51"/>
      <c r="O185" s="51"/>
      <c r="P185" s="51"/>
      <c r="Q185" s="51"/>
      <c r="R185" s="51"/>
      <c r="S185" s="51"/>
      <c r="T185" s="51"/>
    </row>
    <row r="186">
      <c r="A186" s="51"/>
      <c r="B186" s="51"/>
      <c r="C186" s="56"/>
      <c r="D186" s="51"/>
      <c r="E186" s="51"/>
      <c r="F186" s="51"/>
      <c r="G186" s="51" t="str">
        <f>IFERROR(__xludf.DUMMYFUNCTION("""COMPUTED_VALUE"""),"#VALUE!")</f>
        <v>#VALUE!</v>
      </c>
      <c r="H186" s="51" t="str">
        <f>IFERROR(__xludf.DUMMYFUNCTION("""COMPUTED_VALUE"""),"")</f>
        <v/>
      </c>
      <c r="I186" s="51" t="str">
        <f>IFERROR(__xludf.DUMMYFUNCTION("""COMPUTED_VALUE"""),"#VALUE!")</f>
        <v>#VALUE!</v>
      </c>
      <c r="J186" s="51" t="str">
        <f>IFERROR(__xludf.DUMMYFUNCTION("""COMPUTED_VALUE"""),"")</f>
        <v/>
      </c>
      <c r="K186" s="51"/>
      <c r="L186" s="51" t="s">
        <v>257</v>
      </c>
      <c r="M186" s="51"/>
      <c r="N186" s="51"/>
      <c r="O186" s="51"/>
      <c r="P186" s="51"/>
      <c r="Q186" s="51"/>
      <c r="R186" s="51"/>
      <c r="S186" s="51"/>
      <c r="T186" s="51"/>
    </row>
    <row r="187">
      <c r="A187" s="51"/>
      <c r="B187" s="51"/>
      <c r="C187" s="56"/>
      <c r="D187" s="51"/>
      <c r="E187" s="51"/>
      <c r="F187" s="51"/>
      <c r="G187" s="51" t="str">
        <f>IFERROR(__xludf.DUMMYFUNCTION("""COMPUTED_VALUE"""),"#VALUE!")</f>
        <v>#VALUE!</v>
      </c>
      <c r="H187" s="51" t="str">
        <f>IFERROR(__xludf.DUMMYFUNCTION("""COMPUTED_VALUE"""),"")</f>
        <v/>
      </c>
      <c r="I187" s="51" t="str">
        <f>IFERROR(__xludf.DUMMYFUNCTION("""COMPUTED_VALUE"""),"#VALUE!")</f>
        <v>#VALUE!</v>
      </c>
      <c r="J187" s="51" t="str">
        <f>IFERROR(__xludf.DUMMYFUNCTION("""COMPUTED_VALUE"""),"")</f>
        <v/>
      </c>
      <c r="K187" s="51"/>
      <c r="L187" s="51" t="s">
        <v>257</v>
      </c>
      <c r="M187" s="51"/>
      <c r="N187" s="51"/>
      <c r="O187" s="51"/>
      <c r="P187" s="51"/>
      <c r="Q187" s="51"/>
      <c r="R187" s="51"/>
      <c r="S187" s="51"/>
      <c r="T187" s="51"/>
    </row>
    <row r="188">
      <c r="A188" s="51"/>
      <c r="B188" s="51"/>
      <c r="C188" s="56"/>
      <c r="D188" s="51"/>
      <c r="E188" s="51"/>
      <c r="F188" s="51"/>
      <c r="G188" s="51" t="str">
        <f>IFERROR(__xludf.DUMMYFUNCTION("""COMPUTED_VALUE"""),"#VALUE!")</f>
        <v>#VALUE!</v>
      </c>
      <c r="H188" s="51" t="str">
        <f>IFERROR(__xludf.DUMMYFUNCTION("""COMPUTED_VALUE"""),"")</f>
        <v/>
      </c>
      <c r="I188" s="51" t="str">
        <f>IFERROR(__xludf.DUMMYFUNCTION("""COMPUTED_VALUE"""),"#VALUE!")</f>
        <v>#VALUE!</v>
      </c>
      <c r="J188" s="51" t="str">
        <f>IFERROR(__xludf.DUMMYFUNCTION("""COMPUTED_VALUE"""),"")</f>
        <v/>
      </c>
      <c r="K188" s="51"/>
      <c r="L188" s="51" t="s">
        <v>257</v>
      </c>
      <c r="M188" s="51"/>
      <c r="N188" s="51"/>
      <c r="O188" s="51"/>
      <c r="P188" s="51"/>
      <c r="Q188" s="51"/>
      <c r="R188" s="51"/>
      <c r="S188" s="51"/>
      <c r="T188" s="51"/>
    </row>
    <row r="189">
      <c r="A189" s="51"/>
      <c r="B189" s="51"/>
      <c r="C189" s="56"/>
      <c r="D189" s="51"/>
      <c r="E189" s="51"/>
      <c r="F189" s="51"/>
      <c r="G189" s="51" t="str">
        <f>IFERROR(__xludf.DUMMYFUNCTION("""COMPUTED_VALUE"""),"#VALUE!")</f>
        <v>#VALUE!</v>
      </c>
      <c r="H189" s="51" t="str">
        <f>IFERROR(__xludf.DUMMYFUNCTION("""COMPUTED_VALUE"""),"")</f>
        <v/>
      </c>
      <c r="I189" s="51" t="str">
        <f>IFERROR(__xludf.DUMMYFUNCTION("""COMPUTED_VALUE"""),"#VALUE!")</f>
        <v>#VALUE!</v>
      </c>
      <c r="J189" s="51" t="str">
        <f>IFERROR(__xludf.DUMMYFUNCTION("""COMPUTED_VALUE"""),"")</f>
        <v/>
      </c>
      <c r="K189" s="51"/>
      <c r="L189" s="51" t="s">
        <v>257</v>
      </c>
      <c r="M189" s="51"/>
      <c r="N189" s="51"/>
      <c r="O189" s="51"/>
      <c r="P189" s="51"/>
      <c r="Q189" s="51"/>
      <c r="R189" s="51"/>
      <c r="S189" s="51"/>
      <c r="T189" s="51"/>
    </row>
    <row r="190">
      <c r="A190" s="51"/>
      <c r="B190" s="51"/>
      <c r="C190" s="56"/>
      <c r="D190" s="51"/>
      <c r="E190" s="51"/>
      <c r="F190" s="51"/>
      <c r="G190" s="51" t="str">
        <f>IFERROR(__xludf.DUMMYFUNCTION("""COMPUTED_VALUE"""),"#VALUE!")</f>
        <v>#VALUE!</v>
      </c>
      <c r="H190" s="51" t="str">
        <f>IFERROR(__xludf.DUMMYFUNCTION("""COMPUTED_VALUE"""),"")</f>
        <v/>
      </c>
      <c r="I190" s="51" t="str">
        <f>IFERROR(__xludf.DUMMYFUNCTION("""COMPUTED_VALUE"""),"#VALUE!")</f>
        <v>#VALUE!</v>
      </c>
      <c r="J190" s="51" t="str">
        <f>IFERROR(__xludf.DUMMYFUNCTION("""COMPUTED_VALUE"""),"")</f>
        <v/>
      </c>
      <c r="K190" s="51"/>
      <c r="L190" s="51" t="s">
        <v>257</v>
      </c>
      <c r="M190" s="51"/>
      <c r="N190" s="51"/>
      <c r="O190" s="51"/>
      <c r="P190" s="51"/>
      <c r="Q190" s="51"/>
      <c r="R190" s="51"/>
      <c r="S190" s="51"/>
      <c r="T190" s="51"/>
    </row>
    <row r="191">
      <c r="A191" s="51"/>
      <c r="B191" s="51"/>
      <c r="C191" s="56"/>
      <c r="D191" s="51"/>
      <c r="E191" s="51"/>
      <c r="F191" s="51"/>
      <c r="G191" s="51" t="str">
        <f>IFERROR(__xludf.DUMMYFUNCTION("""COMPUTED_VALUE"""),"#VALUE!")</f>
        <v>#VALUE!</v>
      </c>
      <c r="H191" s="51" t="str">
        <f>IFERROR(__xludf.DUMMYFUNCTION("""COMPUTED_VALUE"""),"")</f>
        <v/>
      </c>
      <c r="I191" s="51" t="str">
        <f>IFERROR(__xludf.DUMMYFUNCTION("""COMPUTED_VALUE"""),"#VALUE!")</f>
        <v>#VALUE!</v>
      </c>
      <c r="J191" s="51" t="str">
        <f>IFERROR(__xludf.DUMMYFUNCTION("""COMPUTED_VALUE"""),"")</f>
        <v/>
      </c>
      <c r="K191" s="51"/>
      <c r="L191" s="51" t="s">
        <v>257</v>
      </c>
      <c r="M191" s="51"/>
      <c r="N191" s="51"/>
      <c r="O191" s="51"/>
      <c r="P191" s="51"/>
      <c r="Q191" s="51"/>
      <c r="R191" s="51"/>
      <c r="S191" s="51"/>
      <c r="T191" s="51"/>
    </row>
    <row r="192">
      <c r="A192" s="51"/>
      <c r="B192" s="51"/>
      <c r="C192" s="56"/>
      <c r="D192" s="51"/>
      <c r="E192" s="51"/>
      <c r="F192" s="51"/>
      <c r="G192" s="51" t="str">
        <f>IFERROR(__xludf.DUMMYFUNCTION("""COMPUTED_VALUE"""),"#VALUE!")</f>
        <v>#VALUE!</v>
      </c>
      <c r="H192" s="51" t="str">
        <f>IFERROR(__xludf.DUMMYFUNCTION("""COMPUTED_VALUE"""),"")</f>
        <v/>
      </c>
      <c r="I192" s="51" t="str">
        <f>IFERROR(__xludf.DUMMYFUNCTION("""COMPUTED_VALUE"""),"#VALUE!")</f>
        <v>#VALUE!</v>
      </c>
      <c r="J192" s="51" t="str">
        <f>IFERROR(__xludf.DUMMYFUNCTION("""COMPUTED_VALUE"""),"")</f>
        <v/>
      </c>
      <c r="K192" s="51"/>
      <c r="L192" s="51" t="s">
        <v>257</v>
      </c>
      <c r="M192" s="51"/>
      <c r="N192" s="51"/>
      <c r="O192" s="51"/>
      <c r="P192" s="51"/>
      <c r="Q192" s="51"/>
      <c r="R192" s="51"/>
      <c r="S192" s="51"/>
      <c r="T192" s="51"/>
    </row>
    <row r="193">
      <c r="A193" s="51"/>
      <c r="B193" s="51"/>
      <c r="C193" s="56"/>
      <c r="D193" s="51"/>
      <c r="E193" s="51"/>
      <c r="F193" s="51"/>
      <c r="G193" s="51" t="str">
        <f>IFERROR(__xludf.DUMMYFUNCTION("""COMPUTED_VALUE"""),"#VALUE!")</f>
        <v>#VALUE!</v>
      </c>
      <c r="H193" s="51" t="str">
        <f>IFERROR(__xludf.DUMMYFUNCTION("""COMPUTED_VALUE"""),"")</f>
        <v/>
      </c>
      <c r="I193" s="51" t="str">
        <f>IFERROR(__xludf.DUMMYFUNCTION("""COMPUTED_VALUE"""),"#VALUE!")</f>
        <v>#VALUE!</v>
      </c>
      <c r="J193" s="51" t="str">
        <f>IFERROR(__xludf.DUMMYFUNCTION("""COMPUTED_VALUE"""),"")</f>
        <v/>
      </c>
      <c r="K193" s="51"/>
      <c r="L193" s="51" t="s">
        <v>257</v>
      </c>
      <c r="M193" s="51"/>
      <c r="N193" s="51"/>
      <c r="O193" s="51"/>
      <c r="P193" s="51"/>
      <c r="Q193" s="51"/>
      <c r="R193" s="51"/>
      <c r="S193" s="51"/>
      <c r="T193" s="51"/>
    </row>
    <row r="194">
      <c r="A194" s="51"/>
      <c r="B194" s="51"/>
      <c r="C194" s="56"/>
      <c r="D194" s="51"/>
      <c r="E194" s="51"/>
      <c r="F194" s="51"/>
      <c r="G194" s="51" t="str">
        <f>IFERROR(__xludf.DUMMYFUNCTION("""COMPUTED_VALUE"""),"#VALUE!")</f>
        <v>#VALUE!</v>
      </c>
      <c r="H194" s="51" t="str">
        <f>IFERROR(__xludf.DUMMYFUNCTION("""COMPUTED_VALUE"""),"")</f>
        <v/>
      </c>
      <c r="I194" s="51" t="str">
        <f>IFERROR(__xludf.DUMMYFUNCTION("""COMPUTED_VALUE"""),"#VALUE!")</f>
        <v>#VALUE!</v>
      </c>
      <c r="J194" s="51" t="str">
        <f>IFERROR(__xludf.DUMMYFUNCTION("""COMPUTED_VALUE"""),"")</f>
        <v/>
      </c>
      <c r="K194" s="51"/>
      <c r="L194" s="51" t="s">
        <v>257</v>
      </c>
      <c r="M194" s="51"/>
      <c r="N194" s="51"/>
      <c r="O194" s="51"/>
      <c r="P194" s="51"/>
      <c r="Q194" s="51"/>
      <c r="R194" s="51"/>
      <c r="S194" s="51"/>
      <c r="T194" s="51"/>
    </row>
    <row r="195">
      <c r="A195" s="51"/>
      <c r="B195" s="51"/>
      <c r="C195" s="56"/>
      <c r="D195" s="51"/>
      <c r="E195" s="51"/>
      <c r="F195" s="51"/>
      <c r="G195" s="51" t="str">
        <f>IFERROR(__xludf.DUMMYFUNCTION("""COMPUTED_VALUE"""),"#VALUE!")</f>
        <v>#VALUE!</v>
      </c>
      <c r="H195" s="51" t="str">
        <f>IFERROR(__xludf.DUMMYFUNCTION("""COMPUTED_VALUE"""),"")</f>
        <v/>
      </c>
      <c r="I195" s="51" t="str">
        <f>IFERROR(__xludf.DUMMYFUNCTION("""COMPUTED_VALUE"""),"#VALUE!")</f>
        <v>#VALUE!</v>
      </c>
      <c r="J195" s="51" t="str">
        <f>IFERROR(__xludf.DUMMYFUNCTION("""COMPUTED_VALUE"""),"")</f>
        <v/>
      </c>
      <c r="K195" s="51"/>
      <c r="L195" s="51" t="s">
        <v>257</v>
      </c>
      <c r="M195" s="51"/>
      <c r="N195" s="51"/>
      <c r="O195" s="51"/>
      <c r="P195" s="51"/>
      <c r="Q195" s="51"/>
      <c r="R195" s="51"/>
      <c r="S195" s="51"/>
      <c r="T195" s="51"/>
    </row>
    <row r="196">
      <c r="A196" s="51"/>
      <c r="B196" s="51"/>
      <c r="C196" s="56"/>
      <c r="D196" s="51"/>
      <c r="E196" s="51"/>
      <c r="F196" s="51"/>
      <c r="G196" s="51" t="str">
        <f>IFERROR(__xludf.DUMMYFUNCTION("""COMPUTED_VALUE"""),"#VALUE!")</f>
        <v>#VALUE!</v>
      </c>
      <c r="H196" s="51" t="str">
        <f>IFERROR(__xludf.DUMMYFUNCTION("""COMPUTED_VALUE"""),"")</f>
        <v/>
      </c>
      <c r="I196" s="51" t="str">
        <f>IFERROR(__xludf.DUMMYFUNCTION("""COMPUTED_VALUE"""),"#VALUE!")</f>
        <v>#VALUE!</v>
      </c>
      <c r="J196" s="51" t="str">
        <f>IFERROR(__xludf.DUMMYFUNCTION("""COMPUTED_VALUE"""),"")</f>
        <v/>
      </c>
      <c r="K196" s="51"/>
      <c r="L196" s="51" t="s">
        <v>257</v>
      </c>
      <c r="M196" s="51"/>
      <c r="N196" s="51"/>
      <c r="O196" s="51"/>
      <c r="P196" s="51"/>
      <c r="Q196" s="51"/>
      <c r="R196" s="51"/>
      <c r="S196" s="51"/>
      <c r="T196" s="51"/>
    </row>
    <row r="197">
      <c r="A197" s="51"/>
      <c r="B197" s="51"/>
      <c r="C197" s="56"/>
      <c r="D197" s="51"/>
      <c r="E197" s="51"/>
      <c r="F197" s="51"/>
      <c r="G197" s="51" t="str">
        <f>IFERROR(__xludf.DUMMYFUNCTION("""COMPUTED_VALUE"""),"#VALUE!")</f>
        <v>#VALUE!</v>
      </c>
      <c r="H197" s="51" t="str">
        <f>IFERROR(__xludf.DUMMYFUNCTION("""COMPUTED_VALUE"""),"")</f>
        <v/>
      </c>
      <c r="I197" s="51" t="str">
        <f>IFERROR(__xludf.DUMMYFUNCTION("""COMPUTED_VALUE"""),"#VALUE!")</f>
        <v>#VALUE!</v>
      </c>
      <c r="J197" s="51" t="str">
        <f>IFERROR(__xludf.DUMMYFUNCTION("""COMPUTED_VALUE"""),"")</f>
        <v/>
      </c>
      <c r="K197" s="51"/>
      <c r="L197" s="51" t="s">
        <v>257</v>
      </c>
      <c r="M197" s="51"/>
      <c r="N197" s="51"/>
      <c r="O197" s="51"/>
      <c r="P197" s="51"/>
      <c r="Q197" s="51"/>
      <c r="R197" s="51"/>
      <c r="S197" s="51"/>
      <c r="T197" s="51"/>
    </row>
    <row r="198">
      <c r="A198" s="51"/>
      <c r="B198" s="51"/>
      <c r="C198" s="56"/>
      <c r="D198" s="51"/>
      <c r="E198" s="51"/>
      <c r="F198" s="51"/>
      <c r="G198" s="51" t="str">
        <f>IFERROR(__xludf.DUMMYFUNCTION("""COMPUTED_VALUE"""),"#VALUE!")</f>
        <v>#VALUE!</v>
      </c>
      <c r="H198" s="51" t="str">
        <f>IFERROR(__xludf.DUMMYFUNCTION("""COMPUTED_VALUE"""),"")</f>
        <v/>
      </c>
      <c r="I198" s="51" t="str">
        <f>IFERROR(__xludf.DUMMYFUNCTION("""COMPUTED_VALUE"""),"#VALUE!")</f>
        <v>#VALUE!</v>
      </c>
      <c r="J198" s="51" t="str">
        <f>IFERROR(__xludf.DUMMYFUNCTION("""COMPUTED_VALUE"""),"")</f>
        <v/>
      </c>
      <c r="K198" s="51"/>
      <c r="L198" s="51" t="s">
        <v>257</v>
      </c>
      <c r="M198" s="51"/>
      <c r="N198" s="51"/>
      <c r="O198" s="51"/>
      <c r="P198" s="51"/>
      <c r="Q198" s="51"/>
      <c r="R198" s="51"/>
      <c r="S198" s="51"/>
      <c r="T198" s="51"/>
    </row>
    <row r="199">
      <c r="A199" s="51"/>
      <c r="B199" s="51"/>
      <c r="C199" s="56"/>
      <c r="D199" s="51"/>
      <c r="E199" s="51"/>
      <c r="F199" s="51"/>
      <c r="G199" s="51" t="str">
        <f>IFERROR(__xludf.DUMMYFUNCTION("""COMPUTED_VALUE"""),"#VALUE!")</f>
        <v>#VALUE!</v>
      </c>
      <c r="H199" s="51" t="str">
        <f>IFERROR(__xludf.DUMMYFUNCTION("""COMPUTED_VALUE"""),"")</f>
        <v/>
      </c>
      <c r="I199" s="51" t="str">
        <f>IFERROR(__xludf.DUMMYFUNCTION("""COMPUTED_VALUE"""),"#VALUE!")</f>
        <v>#VALUE!</v>
      </c>
      <c r="J199" s="51" t="str">
        <f>IFERROR(__xludf.DUMMYFUNCTION("""COMPUTED_VALUE"""),"")</f>
        <v/>
      </c>
      <c r="K199" s="51"/>
      <c r="L199" s="51" t="s">
        <v>257</v>
      </c>
      <c r="M199" s="51"/>
      <c r="N199" s="51"/>
      <c r="O199" s="51"/>
      <c r="P199" s="51"/>
      <c r="Q199" s="51"/>
      <c r="R199" s="51"/>
      <c r="S199" s="51"/>
      <c r="T199" s="51"/>
    </row>
    <row r="200">
      <c r="A200" s="51"/>
      <c r="B200" s="51"/>
      <c r="C200" s="56"/>
      <c r="D200" s="51"/>
      <c r="E200" s="51"/>
      <c r="F200" s="51"/>
      <c r="G200" s="51" t="str">
        <f>IFERROR(__xludf.DUMMYFUNCTION("""COMPUTED_VALUE"""),"#VALUE!")</f>
        <v>#VALUE!</v>
      </c>
      <c r="H200" s="51" t="str">
        <f>IFERROR(__xludf.DUMMYFUNCTION("""COMPUTED_VALUE"""),"")</f>
        <v/>
      </c>
      <c r="I200" s="51" t="str">
        <f>IFERROR(__xludf.DUMMYFUNCTION("""COMPUTED_VALUE"""),"#VALUE!")</f>
        <v>#VALUE!</v>
      </c>
      <c r="J200" s="51" t="str">
        <f>IFERROR(__xludf.DUMMYFUNCTION("""COMPUTED_VALUE"""),"")</f>
        <v/>
      </c>
      <c r="K200" s="51"/>
      <c r="L200" s="51" t="s">
        <v>257</v>
      </c>
      <c r="M200" s="51"/>
      <c r="N200" s="51"/>
      <c r="O200" s="51"/>
      <c r="P200" s="51"/>
      <c r="Q200" s="51"/>
      <c r="R200" s="51"/>
      <c r="S200" s="51"/>
      <c r="T200" s="51"/>
    </row>
    <row r="201">
      <c r="A201" s="51"/>
      <c r="B201" s="51"/>
      <c r="C201" s="56"/>
      <c r="D201" s="51"/>
      <c r="E201" s="51"/>
      <c r="F201" s="51"/>
      <c r="G201" s="51" t="str">
        <f>IFERROR(__xludf.DUMMYFUNCTION("""COMPUTED_VALUE"""),"#VALUE!")</f>
        <v>#VALUE!</v>
      </c>
      <c r="H201" s="51" t="str">
        <f>IFERROR(__xludf.DUMMYFUNCTION("""COMPUTED_VALUE"""),"")</f>
        <v/>
      </c>
      <c r="I201" s="51" t="str">
        <f>IFERROR(__xludf.DUMMYFUNCTION("""COMPUTED_VALUE"""),"#VALUE!")</f>
        <v>#VALUE!</v>
      </c>
      <c r="J201" s="51" t="str">
        <f>IFERROR(__xludf.DUMMYFUNCTION("""COMPUTED_VALUE"""),"")</f>
        <v/>
      </c>
      <c r="K201" s="51"/>
      <c r="L201" s="51" t="s">
        <v>257</v>
      </c>
      <c r="M201" s="51"/>
      <c r="N201" s="51"/>
      <c r="O201" s="51"/>
      <c r="P201" s="51"/>
      <c r="Q201" s="51"/>
      <c r="R201" s="51"/>
      <c r="S201" s="51"/>
      <c r="T201" s="51"/>
    </row>
    <row r="202">
      <c r="A202" s="51"/>
      <c r="B202" s="51"/>
      <c r="C202" s="56"/>
      <c r="D202" s="51"/>
      <c r="E202" s="51"/>
      <c r="F202" s="51"/>
      <c r="G202" s="51" t="str">
        <f>IFERROR(__xludf.DUMMYFUNCTION("""COMPUTED_VALUE"""),"#VALUE!")</f>
        <v>#VALUE!</v>
      </c>
      <c r="H202" s="51" t="str">
        <f>IFERROR(__xludf.DUMMYFUNCTION("""COMPUTED_VALUE"""),"")</f>
        <v/>
      </c>
      <c r="I202" s="51" t="str">
        <f>IFERROR(__xludf.DUMMYFUNCTION("""COMPUTED_VALUE"""),"#VALUE!")</f>
        <v>#VALUE!</v>
      </c>
      <c r="J202" s="51" t="str">
        <f>IFERROR(__xludf.DUMMYFUNCTION("""COMPUTED_VALUE"""),"")</f>
        <v/>
      </c>
      <c r="K202" s="51"/>
      <c r="L202" s="51" t="s">
        <v>257</v>
      </c>
      <c r="M202" s="51"/>
      <c r="N202" s="51"/>
      <c r="O202" s="51"/>
      <c r="P202" s="51"/>
      <c r="Q202" s="51"/>
      <c r="R202" s="51"/>
      <c r="S202" s="51"/>
      <c r="T202" s="51"/>
    </row>
    <row r="203">
      <c r="A203" s="51"/>
      <c r="B203" s="51"/>
      <c r="C203" s="56"/>
      <c r="D203" s="51"/>
      <c r="E203" s="51"/>
      <c r="F203" s="51"/>
      <c r="G203" s="51" t="str">
        <f>IFERROR(__xludf.DUMMYFUNCTION("""COMPUTED_VALUE"""),"#VALUE!")</f>
        <v>#VALUE!</v>
      </c>
      <c r="H203" s="51" t="str">
        <f>IFERROR(__xludf.DUMMYFUNCTION("""COMPUTED_VALUE"""),"")</f>
        <v/>
      </c>
      <c r="I203" s="51" t="str">
        <f>IFERROR(__xludf.DUMMYFUNCTION("""COMPUTED_VALUE"""),"#VALUE!")</f>
        <v>#VALUE!</v>
      </c>
      <c r="J203" s="51" t="str">
        <f>IFERROR(__xludf.DUMMYFUNCTION("""COMPUTED_VALUE"""),"")</f>
        <v/>
      </c>
      <c r="K203" s="51"/>
      <c r="L203" s="51" t="s">
        <v>257</v>
      </c>
      <c r="M203" s="51"/>
      <c r="N203" s="51"/>
      <c r="O203" s="51"/>
      <c r="P203" s="51"/>
      <c r="Q203" s="51"/>
      <c r="R203" s="51"/>
      <c r="S203" s="51"/>
      <c r="T203" s="51"/>
    </row>
    <row r="204">
      <c r="A204" s="51"/>
      <c r="B204" s="51"/>
      <c r="C204" s="56"/>
      <c r="D204" s="51"/>
      <c r="E204" s="51"/>
      <c r="F204" s="51"/>
      <c r="G204" s="51" t="str">
        <f>IFERROR(__xludf.DUMMYFUNCTION("""COMPUTED_VALUE"""),"#VALUE!")</f>
        <v>#VALUE!</v>
      </c>
      <c r="H204" s="51" t="str">
        <f>IFERROR(__xludf.DUMMYFUNCTION("""COMPUTED_VALUE"""),"")</f>
        <v/>
      </c>
      <c r="I204" s="51" t="str">
        <f>IFERROR(__xludf.DUMMYFUNCTION("""COMPUTED_VALUE"""),"#VALUE!")</f>
        <v>#VALUE!</v>
      </c>
      <c r="J204" s="51" t="str">
        <f>IFERROR(__xludf.DUMMYFUNCTION("""COMPUTED_VALUE"""),"")</f>
        <v/>
      </c>
      <c r="K204" s="51"/>
      <c r="L204" s="51" t="s">
        <v>257</v>
      </c>
      <c r="M204" s="51"/>
      <c r="N204" s="51"/>
      <c r="O204" s="51"/>
      <c r="P204" s="51"/>
      <c r="Q204" s="51"/>
      <c r="R204" s="51"/>
      <c r="S204" s="51"/>
      <c r="T204" s="51"/>
    </row>
    <row r="205">
      <c r="A205" s="51"/>
      <c r="B205" s="51"/>
      <c r="C205" s="56"/>
      <c r="D205" s="51"/>
      <c r="E205" s="51"/>
      <c r="F205" s="51"/>
      <c r="G205" s="51" t="str">
        <f>IFERROR(__xludf.DUMMYFUNCTION("""COMPUTED_VALUE"""),"#VALUE!")</f>
        <v>#VALUE!</v>
      </c>
      <c r="H205" s="51" t="str">
        <f>IFERROR(__xludf.DUMMYFUNCTION("""COMPUTED_VALUE"""),"")</f>
        <v/>
      </c>
      <c r="I205" s="51" t="str">
        <f>IFERROR(__xludf.DUMMYFUNCTION("""COMPUTED_VALUE"""),"#VALUE!")</f>
        <v>#VALUE!</v>
      </c>
      <c r="J205" s="51" t="str">
        <f>IFERROR(__xludf.DUMMYFUNCTION("""COMPUTED_VALUE"""),"")</f>
        <v/>
      </c>
      <c r="K205" s="51"/>
      <c r="L205" s="51" t="s">
        <v>257</v>
      </c>
      <c r="M205" s="51"/>
      <c r="N205" s="51"/>
      <c r="O205" s="51"/>
      <c r="P205" s="51"/>
      <c r="Q205" s="51"/>
      <c r="R205" s="51"/>
      <c r="S205" s="51"/>
      <c r="T205" s="51"/>
    </row>
    <row r="206">
      <c r="A206" s="51"/>
      <c r="B206" s="51"/>
      <c r="C206" s="56"/>
      <c r="D206" s="51"/>
      <c r="E206" s="51"/>
      <c r="F206" s="51"/>
      <c r="G206" s="51" t="str">
        <f>IFERROR(__xludf.DUMMYFUNCTION("""COMPUTED_VALUE"""),"#VALUE!")</f>
        <v>#VALUE!</v>
      </c>
      <c r="H206" s="51" t="str">
        <f>IFERROR(__xludf.DUMMYFUNCTION("""COMPUTED_VALUE"""),"")</f>
        <v/>
      </c>
      <c r="I206" s="51" t="str">
        <f>IFERROR(__xludf.DUMMYFUNCTION("""COMPUTED_VALUE"""),"#VALUE!")</f>
        <v>#VALUE!</v>
      </c>
      <c r="J206" s="51" t="str">
        <f>IFERROR(__xludf.DUMMYFUNCTION("""COMPUTED_VALUE"""),"")</f>
        <v/>
      </c>
      <c r="K206" s="51"/>
      <c r="L206" s="51" t="s">
        <v>257</v>
      </c>
      <c r="M206" s="51"/>
      <c r="N206" s="51"/>
      <c r="O206" s="51"/>
      <c r="P206" s="51"/>
      <c r="Q206" s="51"/>
      <c r="R206" s="51"/>
      <c r="S206" s="51"/>
      <c r="T206" s="51"/>
    </row>
    <row r="207">
      <c r="A207" s="51"/>
      <c r="B207" s="51"/>
      <c r="C207" s="56"/>
      <c r="D207" s="51"/>
      <c r="E207" s="51"/>
      <c r="F207" s="51"/>
      <c r="G207" s="51" t="str">
        <f>IFERROR(__xludf.DUMMYFUNCTION("""COMPUTED_VALUE"""),"#VALUE!")</f>
        <v>#VALUE!</v>
      </c>
      <c r="H207" s="51" t="str">
        <f>IFERROR(__xludf.DUMMYFUNCTION("""COMPUTED_VALUE"""),"")</f>
        <v/>
      </c>
      <c r="I207" s="51" t="str">
        <f>IFERROR(__xludf.DUMMYFUNCTION("""COMPUTED_VALUE"""),"#VALUE!")</f>
        <v>#VALUE!</v>
      </c>
      <c r="J207" s="51" t="str">
        <f>IFERROR(__xludf.DUMMYFUNCTION("""COMPUTED_VALUE"""),"")</f>
        <v/>
      </c>
      <c r="K207" s="51"/>
      <c r="L207" s="51" t="s">
        <v>257</v>
      </c>
      <c r="M207" s="51"/>
      <c r="N207" s="51"/>
      <c r="O207" s="51"/>
      <c r="P207" s="51"/>
      <c r="Q207" s="51"/>
      <c r="R207" s="51"/>
      <c r="S207" s="51"/>
      <c r="T207" s="51"/>
    </row>
    <row r="208">
      <c r="A208" s="51"/>
      <c r="B208" s="51"/>
      <c r="C208" s="56"/>
      <c r="D208" s="51"/>
      <c r="E208" s="51"/>
      <c r="F208" s="51"/>
      <c r="G208" s="51" t="str">
        <f>IFERROR(__xludf.DUMMYFUNCTION("""COMPUTED_VALUE"""),"#VALUE!")</f>
        <v>#VALUE!</v>
      </c>
      <c r="H208" s="51" t="str">
        <f>IFERROR(__xludf.DUMMYFUNCTION("""COMPUTED_VALUE"""),"")</f>
        <v/>
      </c>
      <c r="I208" s="51" t="str">
        <f>IFERROR(__xludf.DUMMYFUNCTION("""COMPUTED_VALUE"""),"#VALUE!")</f>
        <v>#VALUE!</v>
      </c>
      <c r="J208" s="51" t="str">
        <f>IFERROR(__xludf.DUMMYFUNCTION("""COMPUTED_VALUE"""),"")</f>
        <v/>
      </c>
      <c r="K208" s="51"/>
      <c r="L208" s="51" t="s">
        <v>257</v>
      </c>
      <c r="M208" s="51"/>
      <c r="N208" s="51"/>
      <c r="O208" s="51"/>
      <c r="P208" s="51"/>
      <c r="Q208" s="51"/>
      <c r="R208" s="51"/>
      <c r="S208" s="51"/>
      <c r="T208" s="51"/>
    </row>
    <row r="209">
      <c r="A209" s="51"/>
      <c r="B209" s="51"/>
      <c r="C209" s="56"/>
      <c r="D209" s="51"/>
      <c r="E209" s="51"/>
      <c r="F209" s="51"/>
      <c r="G209" s="51" t="str">
        <f>IFERROR(__xludf.DUMMYFUNCTION("""COMPUTED_VALUE"""),"#VALUE!")</f>
        <v>#VALUE!</v>
      </c>
      <c r="H209" s="51" t="str">
        <f>IFERROR(__xludf.DUMMYFUNCTION("""COMPUTED_VALUE"""),"")</f>
        <v/>
      </c>
      <c r="I209" s="51" t="str">
        <f>IFERROR(__xludf.DUMMYFUNCTION("""COMPUTED_VALUE"""),"#VALUE!")</f>
        <v>#VALUE!</v>
      </c>
      <c r="J209" s="51" t="str">
        <f>IFERROR(__xludf.DUMMYFUNCTION("""COMPUTED_VALUE"""),"")</f>
        <v/>
      </c>
      <c r="K209" s="51"/>
      <c r="L209" s="51" t="s">
        <v>257</v>
      </c>
      <c r="M209" s="51"/>
      <c r="N209" s="51"/>
      <c r="O209" s="51"/>
      <c r="P209" s="51"/>
      <c r="Q209" s="51"/>
      <c r="R209" s="51"/>
      <c r="S209" s="51"/>
      <c r="T209" s="51"/>
    </row>
    <row r="210">
      <c r="A210" s="51"/>
      <c r="B210" s="51"/>
      <c r="C210" s="56"/>
      <c r="D210" s="51"/>
      <c r="E210" s="51"/>
      <c r="F210" s="51"/>
      <c r="G210" s="51" t="str">
        <f>IFERROR(__xludf.DUMMYFUNCTION("""COMPUTED_VALUE"""),"#VALUE!")</f>
        <v>#VALUE!</v>
      </c>
      <c r="H210" s="51" t="str">
        <f>IFERROR(__xludf.DUMMYFUNCTION("""COMPUTED_VALUE"""),"")</f>
        <v/>
      </c>
      <c r="I210" s="51" t="str">
        <f>IFERROR(__xludf.DUMMYFUNCTION("""COMPUTED_VALUE"""),"#VALUE!")</f>
        <v>#VALUE!</v>
      </c>
      <c r="J210" s="51" t="str">
        <f>IFERROR(__xludf.DUMMYFUNCTION("""COMPUTED_VALUE"""),"")</f>
        <v/>
      </c>
      <c r="K210" s="51"/>
      <c r="L210" s="51" t="s">
        <v>257</v>
      </c>
      <c r="M210" s="51"/>
      <c r="N210" s="51"/>
      <c r="O210" s="51"/>
      <c r="P210" s="51"/>
      <c r="Q210" s="51"/>
      <c r="R210" s="51"/>
      <c r="S210" s="51"/>
      <c r="T210" s="51"/>
    </row>
    <row r="211">
      <c r="A211" s="51"/>
      <c r="B211" s="51"/>
      <c r="C211" s="56"/>
      <c r="D211" s="51"/>
      <c r="E211" s="51"/>
      <c r="F211" s="51"/>
      <c r="G211" s="51" t="str">
        <f>IFERROR(__xludf.DUMMYFUNCTION("""COMPUTED_VALUE"""),"#VALUE!")</f>
        <v>#VALUE!</v>
      </c>
      <c r="H211" s="51" t="str">
        <f>IFERROR(__xludf.DUMMYFUNCTION("""COMPUTED_VALUE"""),"")</f>
        <v/>
      </c>
      <c r="I211" s="51" t="str">
        <f>IFERROR(__xludf.DUMMYFUNCTION("""COMPUTED_VALUE"""),"#VALUE!")</f>
        <v>#VALUE!</v>
      </c>
      <c r="J211" s="51" t="str">
        <f>IFERROR(__xludf.DUMMYFUNCTION("""COMPUTED_VALUE"""),"")</f>
        <v/>
      </c>
      <c r="K211" s="51"/>
      <c r="L211" s="51" t="s">
        <v>257</v>
      </c>
      <c r="M211" s="51"/>
      <c r="N211" s="51"/>
      <c r="O211" s="51"/>
      <c r="P211" s="51"/>
      <c r="Q211" s="51"/>
      <c r="R211" s="51"/>
      <c r="S211" s="51"/>
      <c r="T211" s="51"/>
    </row>
    <row r="212">
      <c r="A212" s="51"/>
      <c r="B212" s="51"/>
      <c r="C212" s="56"/>
      <c r="D212" s="51"/>
      <c r="E212" s="51"/>
      <c r="F212" s="51"/>
      <c r="G212" s="51" t="str">
        <f>IFERROR(__xludf.DUMMYFUNCTION("""COMPUTED_VALUE"""),"#VALUE!")</f>
        <v>#VALUE!</v>
      </c>
      <c r="H212" s="51" t="str">
        <f>IFERROR(__xludf.DUMMYFUNCTION("""COMPUTED_VALUE"""),"")</f>
        <v/>
      </c>
      <c r="I212" s="51" t="str">
        <f>IFERROR(__xludf.DUMMYFUNCTION("""COMPUTED_VALUE"""),"#VALUE!")</f>
        <v>#VALUE!</v>
      </c>
      <c r="J212" s="51" t="str">
        <f>IFERROR(__xludf.DUMMYFUNCTION("""COMPUTED_VALUE"""),"")</f>
        <v/>
      </c>
      <c r="K212" s="51"/>
      <c r="L212" s="51" t="s">
        <v>257</v>
      </c>
      <c r="M212" s="51"/>
      <c r="N212" s="51"/>
      <c r="O212" s="51"/>
      <c r="P212" s="51"/>
      <c r="Q212" s="51"/>
      <c r="R212" s="51"/>
      <c r="S212" s="51"/>
      <c r="T212" s="51"/>
    </row>
    <row r="213">
      <c r="A213" s="51"/>
      <c r="B213" s="51"/>
      <c r="C213" s="56"/>
      <c r="D213" s="51"/>
      <c r="E213" s="51"/>
      <c r="F213" s="51"/>
      <c r="G213" s="51" t="str">
        <f>IFERROR(__xludf.DUMMYFUNCTION("""COMPUTED_VALUE"""),"#VALUE!")</f>
        <v>#VALUE!</v>
      </c>
      <c r="H213" s="51" t="str">
        <f>IFERROR(__xludf.DUMMYFUNCTION("""COMPUTED_VALUE"""),"")</f>
        <v/>
      </c>
      <c r="I213" s="51" t="str">
        <f>IFERROR(__xludf.DUMMYFUNCTION("""COMPUTED_VALUE"""),"#VALUE!")</f>
        <v>#VALUE!</v>
      </c>
      <c r="J213" s="51" t="str">
        <f>IFERROR(__xludf.DUMMYFUNCTION("""COMPUTED_VALUE"""),"")</f>
        <v/>
      </c>
      <c r="K213" s="51"/>
      <c r="L213" s="51" t="s">
        <v>257</v>
      </c>
      <c r="M213" s="51"/>
      <c r="N213" s="51"/>
      <c r="O213" s="51"/>
      <c r="P213" s="51"/>
      <c r="Q213" s="51"/>
      <c r="R213" s="51"/>
      <c r="S213" s="51"/>
      <c r="T213" s="51"/>
    </row>
    <row r="214">
      <c r="A214" s="51"/>
      <c r="B214" s="51"/>
      <c r="C214" s="56"/>
      <c r="D214" s="51"/>
      <c r="E214" s="51"/>
      <c r="F214" s="51"/>
      <c r="G214" s="51" t="str">
        <f>IFERROR(__xludf.DUMMYFUNCTION("""COMPUTED_VALUE"""),"#VALUE!")</f>
        <v>#VALUE!</v>
      </c>
      <c r="H214" s="51" t="str">
        <f>IFERROR(__xludf.DUMMYFUNCTION("""COMPUTED_VALUE"""),"")</f>
        <v/>
      </c>
      <c r="I214" s="51" t="str">
        <f>IFERROR(__xludf.DUMMYFUNCTION("""COMPUTED_VALUE"""),"#VALUE!")</f>
        <v>#VALUE!</v>
      </c>
      <c r="J214" s="51" t="str">
        <f>IFERROR(__xludf.DUMMYFUNCTION("""COMPUTED_VALUE"""),"")</f>
        <v/>
      </c>
      <c r="K214" s="51"/>
      <c r="L214" s="51" t="s">
        <v>257</v>
      </c>
      <c r="M214" s="51"/>
      <c r="N214" s="51"/>
      <c r="O214" s="51"/>
      <c r="P214" s="51"/>
      <c r="Q214" s="51"/>
      <c r="R214" s="51"/>
      <c r="S214" s="51"/>
      <c r="T214" s="51"/>
    </row>
    <row r="215">
      <c r="A215" s="51"/>
      <c r="B215" s="51"/>
      <c r="C215" s="56"/>
      <c r="D215" s="51"/>
      <c r="E215" s="51"/>
      <c r="F215" s="51"/>
      <c r="G215" s="51" t="str">
        <f>IFERROR(__xludf.DUMMYFUNCTION("""COMPUTED_VALUE"""),"#VALUE!")</f>
        <v>#VALUE!</v>
      </c>
      <c r="H215" s="51" t="str">
        <f>IFERROR(__xludf.DUMMYFUNCTION("""COMPUTED_VALUE"""),"")</f>
        <v/>
      </c>
      <c r="I215" s="51" t="str">
        <f>IFERROR(__xludf.DUMMYFUNCTION("""COMPUTED_VALUE"""),"#VALUE!")</f>
        <v>#VALUE!</v>
      </c>
      <c r="J215" s="51" t="str">
        <f>IFERROR(__xludf.DUMMYFUNCTION("""COMPUTED_VALUE"""),"")</f>
        <v/>
      </c>
      <c r="K215" s="51"/>
      <c r="L215" s="51" t="s">
        <v>257</v>
      </c>
      <c r="M215" s="51"/>
      <c r="N215" s="51"/>
      <c r="O215" s="51"/>
      <c r="P215" s="51"/>
      <c r="Q215" s="51"/>
      <c r="R215" s="51"/>
      <c r="S215" s="51"/>
      <c r="T215" s="51"/>
    </row>
    <row r="216">
      <c r="A216" s="51"/>
      <c r="B216" s="51"/>
      <c r="C216" s="56"/>
      <c r="D216" s="51"/>
      <c r="E216" s="51"/>
      <c r="F216" s="51"/>
      <c r="G216" s="51" t="str">
        <f>IFERROR(__xludf.DUMMYFUNCTION("""COMPUTED_VALUE"""),"#VALUE!")</f>
        <v>#VALUE!</v>
      </c>
      <c r="H216" s="51" t="str">
        <f>IFERROR(__xludf.DUMMYFUNCTION("""COMPUTED_VALUE"""),"")</f>
        <v/>
      </c>
      <c r="I216" s="51" t="str">
        <f>IFERROR(__xludf.DUMMYFUNCTION("""COMPUTED_VALUE"""),"#VALUE!")</f>
        <v>#VALUE!</v>
      </c>
      <c r="J216" s="51" t="str">
        <f>IFERROR(__xludf.DUMMYFUNCTION("""COMPUTED_VALUE"""),"")</f>
        <v/>
      </c>
      <c r="K216" s="51"/>
      <c r="L216" s="51" t="s">
        <v>257</v>
      </c>
      <c r="M216" s="51"/>
      <c r="N216" s="51"/>
      <c r="O216" s="51"/>
      <c r="P216" s="51"/>
      <c r="Q216" s="51"/>
      <c r="R216" s="51"/>
      <c r="S216" s="51"/>
      <c r="T216" s="51"/>
    </row>
    <row r="217">
      <c r="A217" s="51"/>
      <c r="B217" s="51"/>
      <c r="C217" s="56"/>
      <c r="D217" s="51"/>
      <c r="E217" s="51"/>
      <c r="F217" s="51"/>
      <c r="G217" s="51" t="str">
        <f>IFERROR(__xludf.DUMMYFUNCTION("""COMPUTED_VALUE"""),"#VALUE!")</f>
        <v>#VALUE!</v>
      </c>
      <c r="H217" s="51" t="str">
        <f>IFERROR(__xludf.DUMMYFUNCTION("""COMPUTED_VALUE"""),"")</f>
        <v/>
      </c>
      <c r="I217" s="51" t="str">
        <f>IFERROR(__xludf.DUMMYFUNCTION("""COMPUTED_VALUE"""),"#VALUE!")</f>
        <v>#VALUE!</v>
      </c>
      <c r="J217" s="51" t="str">
        <f>IFERROR(__xludf.DUMMYFUNCTION("""COMPUTED_VALUE"""),"")</f>
        <v/>
      </c>
      <c r="K217" s="51"/>
      <c r="L217" s="51" t="s">
        <v>257</v>
      </c>
      <c r="M217" s="51"/>
      <c r="N217" s="51"/>
      <c r="O217" s="51"/>
      <c r="P217" s="51"/>
      <c r="Q217" s="51"/>
      <c r="R217" s="51"/>
      <c r="S217" s="51"/>
      <c r="T217" s="51"/>
    </row>
    <row r="218">
      <c r="A218" s="51"/>
      <c r="B218" s="51"/>
      <c r="C218" s="56"/>
      <c r="D218" s="51"/>
      <c r="E218" s="51"/>
      <c r="F218" s="51"/>
      <c r="G218" s="51" t="str">
        <f>IFERROR(__xludf.DUMMYFUNCTION("""COMPUTED_VALUE"""),"#VALUE!")</f>
        <v>#VALUE!</v>
      </c>
      <c r="H218" s="51" t="str">
        <f>IFERROR(__xludf.DUMMYFUNCTION("""COMPUTED_VALUE"""),"")</f>
        <v/>
      </c>
      <c r="I218" s="51" t="str">
        <f>IFERROR(__xludf.DUMMYFUNCTION("""COMPUTED_VALUE"""),"#VALUE!")</f>
        <v>#VALUE!</v>
      </c>
      <c r="J218" s="51" t="str">
        <f>IFERROR(__xludf.DUMMYFUNCTION("""COMPUTED_VALUE"""),"")</f>
        <v/>
      </c>
      <c r="K218" s="51"/>
      <c r="L218" s="51" t="s">
        <v>257</v>
      </c>
      <c r="M218" s="51"/>
      <c r="N218" s="51"/>
      <c r="O218" s="51"/>
      <c r="P218" s="51"/>
      <c r="Q218" s="51"/>
      <c r="R218" s="51"/>
      <c r="S218" s="51"/>
      <c r="T218" s="51"/>
    </row>
    <row r="219">
      <c r="A219" s="51"/>
      <c r="B219" s="51"/>
      <c r="C219" s="56"/>
      <c r="D219" s="51"/>
      <c r="E219" s="51"/>
      <c r="F219" s="51"/>
      <c r="G219" s="51" t="str">
        <f>IFERROR(__xludf.DUMMYFUNCTION("""COMPUTED_VALUE"""),"#VALUE!")</f>
        <v>#VALUE!</v>
      </c>
      <c r="H219" s="51" t="str">
        <f>IFERROR(__xludf.DUMMYFUNCTION("""COMPUTED_VALUE"""),"")</f>
        <v/>
      </c>
      <c r="I219" s="51" t="str">
        <f>IFERROR(__xludf.DUMMYFUNCTION("""COMPUTED_VALUE"""),"#VALUE!")</f>
        <v>#VALUE!</v>
      </c>
      <c r="J219" s="51" t="str">
        <f>IFERROR(__xludf.DUMMYFUNCTION("""COMPUTED_VALUE"""),"")</f>
        <v/>
      </c>
      <c r="K219" s="51"/>
      <c r="L219" s="51" t="s">
        <v>257</v>
      </c>
      <c r="M219" s="51"/>
      <c r="N219" s="51"/>
      <c r="O219" s="51"/>
      <c r="P219" s="51"/>
      <c r="Q219" s="51"/>
      <c r="R219" s="51"/>
      <c r="S219" s="51"/>
      <c r="T219" s="51"/>
    </row>
    <row r="220">
      <c r="A220" s="51"/>
      <c r="B220" s="51"/>
      <c r="C220" s="56"/>
      <c r="D220" s="51"/>
      <c r="E220" s="51"/>
      <c r="F220" s="51"/>
      <c r="G220" s="51" t="str">
        <f>IFERROR(__xludf.DUMMYFUNCTION("""COMPUTED_VALUE"""),"#VALUE!")</f>
        <v>#VALUE!</v>
      </c>
      <c r="H220" s="51" t="str">
        <f>IFERROR(__xludf.DUMMYFUNCTION("""COMPUTED_VALUE"""),"")</f>
        <v/>
      </c>
      <c r="I220" s="51" t="str">
        <f>IFERROR(__xludf.DUMMYFUNCTION("""COMPUTED_VALUE"""),"#VALUE!")</f>
        <v>#VALUE!</v>
      </c>
      <c r="J220" s="51" t="str">
        <f>IFERROR(__xludf.DUMMYFUNCTION("""COMPUTED_VALUE"""),"")</f>
        <v/>
      </c>
      <c r="K220" s="51"/>
      <c r="L220" s="51" t="s">
        <v>257</v>
      </c>
      <c r="M220" s="51"/>
      <c r="N220" s="51"/>
      <c r="O220" s="51"/>
      <c r="P220" s="51"/>
      <c r="Q220" s="51"/>
      <c r="R220" s="51"/>
      <c r="S220" s="51"/>
      <c r="T220" s="51"/>
    </row>
    <row r="221">
      <c r="A221" s="51"/>
      <c r="B221" s="51"/>
      <c r="C221" s="56"/>
      <c r="D221" s="51"/>
      <c r="E221" s="51"/>
      <c r="F221" s="51"/>
      <c r="G221" s="51" t="str">
        <f>IFERROR(__xludf.DUMMYFUNCTION("""COMPUTED_VALUE"""),"#VALUE!")</f>
        <v>#VALUE!</v>
      </c>
      <c r="H221" s="51" t="str">
        <f>IFERROR(__xludf.DUMMYFUNCTION("""COMPUTED_VALUE"""),"")</f>
        <v/>
      </c>
      <c r="I221" s="51" t="str">
        <f>IFERROR(__xludf.DUMMYFUNCTION("""COMPUTED_VALUE"""),"#VALUE!")</f>
        <v>#VALUE!</v>
      </c>
      <c r="J221" s="51" t="str">
        <f>IFERROR(__xludf.DUMMYFUNCTION("""COMPUTED_VALUE"""),"")</f>
        <v/>
      </c>
      <c r="K221" s="51"/>
      <c r="L221" s="51" t="s">
        <v>257</v>
      </c>
      <c r="M221" s="51"/>
      <c r="N221" s="51"/>
      <c r="O221" s="51"/>
      <c r="P221" s="51"/>
      <c r="Q221" s="51"/>
      <c r="R221" s="51"/>
      <c r="S221" s="51"/>
      <c r="T221" s="51"/>
    </row>
    <row r="222">
      <c r="A222" s="51"/>
      <c r="B222" s="51"/>
      <c r="C222" s="56"/>
      <c r="D222" s="51"/>
      <c r="E222" s="51"/>
      <c r="F222" s="51"/>
      <c r="G222" s="51" t="str">
        <f>IFERROR(__xludf.DUMMYFUNCTION("""COMPUTED_VALUE"""),"#VALUE!")</f>
        <v>#VALUE!</v>
      </c>
      <c r="H222" s="51" t="str">
        <f>IFERROR(__xludf.DUMMYFUNCTION("""COMPUTED_VALUE"""),"")</f>
        <v/>
      </c>
      <c r="I222" s="51" t="str">
        <f>IFERROR(__xludf.DUMMYFUNCTION("""COMPUTED_VALUE"""),"#VALUE!")</f>
        <v>#VALUE!</v>
      </c>
      <c r="J222" s="51" t="str">
        <f>IFERROR(__xludf.DUMMYFUNCTION("""COMPUTED_VALUE"""),"")</f>
        <v/>
      </c>
      <c r="K222" s="51"/>
      <c r="L222" s="51" t="s">
        <v>257</v>
      </c>
      <c r="M222" s="51"/>
      <c r="N222" s="51"/>
      <c r="O222" s="51"/>
      <c r="P222" s="51"/>
      <c r="Q222" s="51"/>
      <c r="R222" s="51"/>
      <c r="S222" s="51"/>
      <c r="T222" s="51"/>
    </row>
    <row r="223">
      <c r="A223" s="51"/>
      <c r="B223" s="51"/>
      <c r="C223" s="56"/>
      <c r="D223" s="51"/>
      <c r="E223" s="51"/>
      <c r="F223" s="51"/>
      <c r="G223" s="51" t="str">
        <f>IFERROR(__xludf.DUMMYFUNCTION("""COMPUTED_VALUE"""),"#VALUE!")</f>
        <v>#VALUE!</v>
      </c>
      <c r="H223" s="51" t="str">
        <f>IFERROR(__xludf.DUMMYFUNCTION("""COMPUTED_VALUE"""),"")</f>
        <v/>
      </c>
      <c r="I223" s="51" t="str">
        <f>IFERROR(__xludf.DUMMYFUNCTION("""COMPUTED_VALUE"""),"#VALUE!")</f>
        <v>#VALUE!</v>
      </c>
      <c r="J223" s="51" t="str">
        <f>IFERROR(__xludf.DUMMYFUNCTION("""COMPUTED_VALUE"""),"")</f>
        <v/>
      </c>
      <c r="K223" s="51"/>
      <c r="L223" s="51" t="s">
        <v>257</v>
      </c>
      <c r="M223" s="51"/>
      <c r="N223" s="51"/>
      <c r="O223" s="51"/>
      <c r="P223" s="51"/>
      <c r="Q223" s="51"/>
      <c r="R223" s="51"/>
      <c r="S223" s="51"/>
      <c r="T223" s="51"/>
    </row>
    <row r="224">
      <c r="A224" s="51"/>
      <c r="B224" s="51"/>
      <c r="C224" s="56"/>
      <c r="D224" s="51"/>
      <c r="E224" s="51"/>
      <c r="F224" s="51"/>
      <c r="G224" s="51" t="str">
        <f>IFERROR(__xludf.DUMMYFUNCTION("""COMPUTED_VALUE"""),"#VALUE!")</f>
        <v>#VALUE!</v>
      </c>
      <c r="H224" s="51" t="str">
        <f>IFERROR(__xludf.DUMMYFUNCTION("""COMPUTED_VALUE"""),"")</f>
        <v/>
      </c>
      <c r="I224" s="51" t="str">
        <f>IFERROR(__xludf.DUMMYFUNCTION("""COMPUTED_VALUE"""),"#VALUE!")</f>
        <v>#VALUE!</v>
      </c>
      <c r="J224" s="51" t="str">
        <f>IFERROR(__xludf.DUMMYFUNCTION("""COMPUTED_VALUE"""),"")</f>
        <v/>
      </c>
      <c r="K224" s="51"/>
      <c r="L224" s="51" t="s">
        <v>257</v>
      </c>
      <c r="M224" s="51"/>
      <c r="N224" s="51"/>
      <c r="O224" s="51"/>
      <c r="P224" s="51"/>
      <c r="Q224" s="51"/>
      <c r="R224" s="51"/>
      <c r="S224" s="51"/>
      <c r="T224" s="51"/>
    </row>
    <row r="225">
      <c r="A225" s="51"/>
      <c r="B225" s="51"/>
      <c r="C225" s="56"/>
      <c r="D225" s="51"/>
      <c r="E225" s="51"/>
      <c r="F225" s="51"/>
      <c r="G225" s="51" t="str">
        <f>IFERROR(__xludf.DUMMYFUNCTION("""COMPUTED_VALUE"""),"#VALUE!")</f>
        <v>#VALUE!</v>
      </c>
      <c r="H225" s="51" t="str">
        <f>IFERROR(__xludf.DUMMYFUNCTION("""COMPUTED_VALUE"""),"")</f>
        <v/>
      </c>
      <c r="I225" s="51" t="str">
        <f>IFERROR(__xludf.DUMMYFUNCTION("""COMPUTED_VALUE"""),"#VALUE!")</f>
        <v>#VALUE!</v>
      </c>
      <c r="J225" s="51" t="str">
        <f>IFERROR(__xludf.DUMMYFUNCTION("""COMPUTED_VALUE"""),"")</f>
        <v/>
      </c>
      <c r="K225" s="51"/>
      <c r="L225" s="51" t="s">
        <v>257</v>
      </c>
      <c r="M225" s="51"/>
      <c r="N225" s="51"/>
      <c r="O225" s="51"/>
      <c r="P225" s="51"/>
      <c r="Q225" s="51"/>
      <c r="R225" s="51"/>
      <c r="S225" s="51"/>
      <c r="T225" s="51"/>
    </row>
    <row r="226">
      <c r="A226" s="51"/>
      <c r="B226" s="51"/>
      <c r="C226" s="56"/>
      <c r="D226" s="51"/>
      <c r="E226" s="51"/>
      <c r="F226" s="51"/>
      <c r="G226" s="51" t="str">
        <f>IFERROR(__xludf.DUMMYFUNCTION("""COMPUTED_VALUE"""),"#VALUE!")</f>
        <v>#VALUE!</v>
      </c>
      <c r="H226" s="51" t="str">
        <f>IFERROR(__xludf.DUMMYFUNCTION("""COMPUTED_VALUE"""),"")</f>
        <v/>
      </c>
      <c r="I226" s="51" t="str">
        <f>IFERROR(__xludf.DUMMYFUNCTION("""COMPUTED_VALUE"""),"#VALUE!")</f>
        <v>#VALUE!</v>
      </c>
      <c r="J226" s="51" t="str">
        <f>IFERROR(__xludf.DUMMYFUNCTION("""COMPUTED_VALUE"""),"")</f>
        <v/>
      </c>
      <c r="K226" s="51"/>
      <c r="L226" s="51" t="s">
        <v>257</v>
      </c>
      <c r="M226" s="51"/>
      <c r="N226" s="51"/>
      <c r="O226" s="51"/>
      <c r="P226" s="51"/>
      <c r="Q226" s="51"/>
      <c r="R226" s="51"/>
      <c r="S226" s="51"/>
      <c r="T226" s="51"/>
    </row>
    <row r="227">
      <c r="A227" s="51"/>
      <c r="B227" s="51"/>
      <c r="C227" s="56"/>
      <c r="D227" s="51"/>
      <c r="E227" s="51"/>
      <c r="F227" s="51"/>
      <c r="G227" s="51" t="str">
        <f>IFERROR(__xludf.DUMMYFUNCTION("""COMPUTED_VALUE"""),"#VALUE!")</f>
        <v>#VALUE!</v>
      </c>
      <c r="H227" s="51" t="str">
        <f>IFERROR(__xludf.DUMMYFUNCTION("""COMPUTED_VALUE"""),"")</f>
        <v/>
      </c>
      <c r="I227" s="51" t="str">
        <f>IFERROR(__xludf.DUMMYFUNCTION("""COMPUTED_VALUE"""),"#VALUE!")</f>
        <v>#VALUE!</v>
      </c>
      <c r="J227" s="51" t="str">
        <f>IFERROR(__xludf.DUMMYFUNCTION("""COMPUTED_VALUE"""),"")</f>
        <v/>
      </c>
      <c r="K227" s="51"/>
      <c r="L227" s="51" t="s">
        <v>257</v>
      </c>
      <c r="M227" s="51"/>
      <c r="N227" s="51"/>
      <c r="O227" s="51"/>
      <c r="P227" s="51"/>
      <c r="Q227" s="51"/>
      <c r="R227" s="51"/>
      <c r="S227" s="51"/>
      <c r="T227" s="51"/>
    </row>
    <row r="228">
      <c r="A228" s="51"/>
      <c r="B228" s="51"/>
      <c r="C228" s="56"/>
      <c r="D228" s="51"/>
      <c r="E228" s="51"/>
      <c r="F228" s="51"/>
      <c r="G228" s="51" t="str">
        <f>IFERROR(__xludf.DUMMYFUNCTION("""COMPUTED_VALUE"""),"#VALUE!")</f>
        <v>#VALUE!</v>
      </c>
      <c r="H228" s="51" t="str">
        <f>IFERROR(__xludf.DUMMYFUNCTION("""COMPUTED_VALUE"""),"")</f>
        <v/>
      </c>
      <c r="I228" s="51" t="str">
        <f>IFERROR(__xludf.DUMMYFUNCTION("""COMPUTED_VALUE"""),"#VALUE!")</f>
        <v>#VALUE!</v>
      </c>
      <c r="J228" s="51" t="str">
        <f>IFERROR(__xludf.DUMMYFUNCTION("""COMPUTED_VALUE"""),"")</f>
        <v/>
      </c>
      <c r="K228" s="51"/>
      <c r="L228" s="51" t="s">
        <v>257</v>
      </c>
      <c r="M228" s="51"/>
      <c r="N228" s="51"/>
      <c r="O228" s="51"/>
      <c r="P228" s="51"/>
      <c r="Q228" s="51"/>
      <c r="R228" s="51"/>
      <c r="S228" s="51"/>
      <c r="T228" s="51"/>
    </row>
    <row r="229">
      <c r="A229" s="51"/>
      <c r="B229" s="51"/>
      <c r="C229" s="56"/>
      <c r="D229" s="51"/>
      <c r="E229" s="51"/>
      <c r="F229" s="51"/>
      <c r="G229" s="51" t="str">
        <f>IFERROR(__xludf.DUMMYFUNCTION("""COMPUTED_VALUE"""),"#VALUE!")</f>
        <v>#VALUE!</v>
      </c>
      <c r="H229" s="51" t="str">
        <f>IFERROR(__xludf.DUMMYFUNCTION("""COMPUTED_VALUE"""),"")</f>
        <v/>
      </c>
      <c r="I229" s="51" t="str">
        <f>IFERROR(__xludf.DUMMYFUNCTION("""COMPUTED_VALUE"""),"#VALUE!")</f>
        <v>#VALUE!</v>
      </c>
      <c r="J229" s="51" t="str">
        <f>IFERROR(__xludf.DUMMYFUNCTION("""COMPUTED_VALUE"""),"")</f>
        <v/>
      </c>
      <c r="K229" s="51"/>
      <c r="L229" s="51" t="s">
        <v>257</v>
      </c>
      <c r="M229" s="51"/>
      <c r="N229" s="51"/>
      <c r="O229" s="51"/>
      <c r="P229" s="51"/>
      <c r="Q229" s="51"/>
      <c r="R229" s="51"/>
      <c r="S229" s="51"/>
      <c r="T229" s="51"/>
    </row>
    <row r="230">
      <c r="A230" s="51"/>
      <c r="B230" s="51"/>
      <c r="C230" s="56"/>
      <c r="D230" s="51"/>
      <c r="E230" s="51"/>
      <c r="F230" s="51"/>
      <c r="G230" s="51" t="str">
        <f>IFERROR(__xludf.DUMMYFUNCTION("""COMPUTED_VALUE"""),"#VALUE!")</f>
        <v>#VALUE!</v>
      </c>
      <c r="H230" s="51" t="str">
        <f>IFERROR(__xludf.DUMMYFUNCTION("""COMPUTED_VALUE"""),"")</f>
        <v/>
      </c>
      <c r="I230" s="51" t="str">
        <f>IFERROR(__xludf.DUMMYFUNCTION("""COMPUTED_VALUE"""),"#VALUE!")</f>
        <v>#VALUE!</v>
      </c>
      <c r="J230" s="51" t="str">
        <f>IFERROR(__xludf.DUMMYFUNCTION("""COMPUTED_VALUE"""),"")</f>
        <v/>
      </c>
      <c r="K230" s="51"/>
      <c r="L230" s="51" t="s">
        <v>257</v>
      </c>
      <c r="M230" s="51"/>
      <c r="N230" s="51"/>
      <c r="O230" s="51"/>
      <c r="P230" s="51"/>
      <c r="Q230" s="51"/>
      <c r="R230" s="51"/>
      <c r="S230" s="51"/>
      <c r="T230" s="51"/>
    </row>
    <row r="231">
      <c r="A231" s="51"/>
      <c r="B231" s="51"/>
      <c r="C231" s="56"/>
      <c r="D231" s="51"/>
      <c r="E231" s="51"/>
      <c r="F231" s="51"/>
      <c r="G231" s="51" t="str">
        <f>IFERROR(__xludf.DUMMYFUNCTION("""COMPUTED_VALUE"""),"#VALUE!")</f>
        <v>#VALUE!</v>
      </c>
      <c r="H231" s="51" t="str">
        <f>IFERROR(__xludf.DUMMYFUNCTION("""COMPUTED_VALUE"""),"")</f>
        <v/>
      </c>
      <c r="I231" s="51" t="str">
        <f>IFERROR(__xludf.DUMMYFUNCTION("""COMPUTED_VALUE"""),"#VALUE!")</f>
        <v>#VALUE!</v>
      </c>
      <c r="J231" s="51" t="str">
        <f>IFERROR(__xludf.DUMMYFUNCTION("""COMPUTED_VALUE"""),"")</f>
        <v/>
      </c>
      <c r="K231" s="51"/>
      <c r="L231" s="51" t="s">
        <v>257</v>
      </c>
      <c r="M231" s="51"/>
      <c r="N231" s="51"/>
      <c r="O231" s="51"/>
      <c r="P231" s="51"/>
      <c r="Q231" s="51"/>
      <c r="R231" s="51"/>
      <c r="S231" s="51"/>
      <c r="T231" s="51"/>
    </row>
    <row r="232">
      <c r="A232" s="51"/>
      <c r="B232" s="51"/>
      <c r="C232" s="56"/>
      <c r="D232" s="51"/>
      <c r="E232" s="51"/>
      <c r="F232" s="51"/>
      <c r="G232" s="51" t="str">
        <f>IFERROR(__xludf.DUMMYFUNCTION("""COMPUTED_VALUE"""),"#VALUE!")</f>
        <v>#VALUE!</v>
      </c>
      <c r="H232" s="51" t="str">
        <f>IFERROR(__xludf.DUMMYFUNCTION("""COMPUTED_VALUE"""),"")</f>
        <v/>
      </c>
      <c r="I232" s="51" t="str">
        <f>IFERROR(__xludf.DUMMYFUNCTION("""COMPUTED_VALUE"""),"#VALUE!")</f>
        <v>#VALUE!</v>
      </c>
      <c r="J232" s="51" t="str">
        <f>IFERROR(__xludf.DUMMYFUNCTION("""COMPUTED_VALUE"""),"")</f>
        <v/>
      </c>
      <c r="K232" s="51"/>
      <c r="L232" s="51" t="s">
        <v>257</v>
      </c>
      <c r="M232" s="51"/>
      <c r="N232" s="51"/>
      <c r="O232" s="51"/>
      <c r="P232" s="51"/>
      <c r="Q232" s="51"/>
      <c r="R232" s="51"/>
      <c r="S232" s="51"/>
      <c r="T232" s="51"/>
    </row>
    <row r="233">
      <c r="A233" s="51"/>
      <c r="B233" s="51"/>
      <c r="C233" s="56"/>
      <c r="D233" s="51"/>
      <c r="E233" s="51"/>
      <c r="F233" s="51"/>
      <c r="G233" s="51" t="str">
        <f>IFERROR(__xludf.DUMMYFUNCTION("""COMPUTED_VALUE"""),"#VALUE!")</f>
        <v>#VALUE!</v>
      </c>
      <c r="H233" s="51" t="str">
        <f>IFERROR(__xludf.DUMMYFUNCTION("""COMPUTED_VALUE"""),"")</f>
        <v/>
      </c>
      <c r="I233" s="51" t="str">
        <f>IFERROR(__xludf.DUMMYFUNCTION("""COMPUTED_VALUE"""),"#VALUE!")</f>
        <v>#VALUE!</v>
      </c>
      <c r="J233" s="51" t="str">
        <f>IFERROR(__xludf.DUMMYFUNCTION("""COMPUTED_VALUE"""),"")</f>
        <v/>
      </c>
      <c r="K233" s="51"/>
      <c r="L233" s="51" t="s">
        <v>257</v>
      </c>
      <c r="M233" s="51"/>
      <c r="N233" s="51"/>
      <c r="O233" s="51"/>
      <c r="P233" s="51"/>
      <c r="Q233" s="51"/>
      <c r="R233" s="51"/>
      <c r="S233" s="51"/>
      <c r="T233" s="51"/>
    </row>
    <row r="234">
      <c r="A234" s="51"/>
      <c r="B234" s="51"/>
      <c r="C234" s="56"/>
      <c r="D234" s="51"/>
      <c r="E234" s="51"/>
      <c r="F234" s="51"/>
      <c r="G234" s="51" t="str">
        <f>IFERROR(__xludf.DUMMYFUNCTION("""COMPUTED_VALUE"""),"#VALUE!")</f>
        <v>#VALUE!</v>
      </c>
      <c r="H234" s="51" t="str">
        <f>IFERROR(__xludf.DUMMYFUNCTION("""COMPUTED_VALUE"""),"")</f>
        <v/>
      </c>
      <c r="I234" s="51" t="str">
        <f>IFERROR(__xludf.DUMMYFUNCTION("""COMPUTED_VALUE"""),"#VALUE!")</f>
        <v>#VALUE!</v>
      </c>
      <c r="J234" s="51" t="str">
        <f>IFERROR(__xludf.DUMMYFUNCTION("""COMPUTED_VALUE"""),"")</f>
        <v/>
      </c>
      <c r="K234" s="51"/>
      <c r="L234" s="51" t="s">
        <v>257</v>
      </c>
      <c r="M234" s="51"/>
      <c r="N234" s="51"/>
      <c r="O234" s="51"/>
      <c r="P234" s="51"/>
      <c r="Q234" s="51"/>
      <c r="R234" s="51"/>
      <c r="S234" s="51"/>
      <c r="T234" s="51"/>
    </row>
    <row r="235">
      <c r="A235" s="51"/>
      <c r="B235" s="51"/>
      <c r="C235" s="56"/>
      <c r="D235" s="51"/>
      <c r="E235" s="51"/>
      <c r="F235" s="51"/>
      <c r="G235" s="51" t="str">
        <f>IFERROR(__xludf.DUMMYFUNCTION("""COMPUTED_VALUE"""),"#VALUE!")</f>
        <v>#VALUE!</v>
      </c>
      <c r="H235" s="51" t="str">
        <f>IFERROR(__xludf.DUMMYFUNCTION("""COMPUTED_VALUE"""),"")</f>
        <v/>
      </c>
      <c r="I235" s="51" t="str">
        <f>IFERROR(__xludf.DUMMYFUNCTION("""COMPUTED_VALUE"""),"#VALUE!")</f>
        <v>#VALUE!</v>
      </c>
      <c r="J235" s="51" t="str">
        <f>IFERROR(__xludf.DUMMYFUNCTION("""COMPUTED_VALUE"""),"")</f>
        <v/>
      </c>
      <c r="K235" s="51"/>
      <c r="L235" s="51" t="s">
        <v>257</v>
      </c>
      <c r="M235" s="51"/>
      <c r="N235" s="51"/>
      <c r="O235" s="51"/>
      <c r="P235" s="51"/>
      <c r="Q235" s="51"/>
      <c r="R235" s="51"/>
      <c r="S235" s="51"/>
      <c r="T235" s="51"/>
    </row>
    <row r="236">
      <c r="A236" s="51"/>
      <c r="B236" s="51"/>
      <c r="C236" s="56"/>
      <c r="D236" s="51"/>
      <c r="E236" s="51"/>
      <c r="F236" s="51"/>
      <c r="G236" s="51" t="str">
        <f>IFERROR(__xludf.DUMMYFUNCTION("""COMPUTED_VALUE"""),"#VALUE!")</f>
        <v>#VALUE!</v>
      </c>
      <c r="H236" s="51" t="str">
        <f>IFERROR(__xludf.DUMMYFUNCTION("""COMPUTED_VALUE"""),"")</f>
        <v/>
      </c>
      <c r="I236" s="51" t="str">
        <f>IFERROR(__xludf.DUMMYFUNCTION("""COMPUTED_VALUE"""),"#VALUE!")</f>
        <v>#VALUE!</v>
      </c>
      <c r="J236" s="51" t="str">
        <f>IFERROR(__xludf.DUMMYFUNCTION("""COMPUTED_VALUE"""),"")</f>
        <v/>
      </c>
      <c r="K236" s="51"/>
      <c r="L236" s="51" t="s">
        <v>257</v>
      </c>
      <c r="M236" s="51"/>
      <c r="N236" s="51"/>
      <c r="O236" s="51"/>
      <c r="P236" s="51"/>
      <c r="Q236" s="51"/>
      <c r="R236" s="51"/>
      <c r="S236" s="51"/>
      <c r="T236" s="51"/>
    </row>
    <row r="237">
      <c r="A237" s="51"/>
      <c r="B237" s="51"/>
      <c r="C237" s="56"/>
      <c r="D237" s="51"/>
      <c r="E237" s="51"/>
      <c r="F237" s="51"/>
      <c r="G237" s="51" t="str">
        <f>IFERROR(__xludf.DUMMYFUNCTION("""COMPUTED_VALUE"""),"#VALUE!")</f>
        <v>#VALUE!</v>
      </c>
      <c r="H237" s="51" t="str">
        <f>IFERROR(__xludf.DUMMYFUNCTION("""COMPUTED_VALUE"""),"")</f>
        <v/>
      </c>
      <c r="I237" s="51" t="str">
        <f>IFERROR(__xludf.DUMMYFUNCTION("""COMPUTED_VALUE"""),"#VALUE!")</f>
        <v>#VALUE!</v>
      </c>
      <c r="J237" s="51" t="str">
        <f>IFERROR(__xludf.DUMMYFUNCTION("""COMPUTED_VALUE"""),"")</f>
        <v/>
      </c>
      <c r="K237" s="51"/>
      <c r="L237" s="51" t="s">
        <v>257</v>
      </c>
      <c r="M237" s="51"/>
      <c r="N237" s="51"/>
      <c r="O237" s="51"/>
      <c r="P237" s="51"/>
      <c r="Q237" s="51"/>
      <c r="R237" s="51"/>
      <c r="S237" s="51"/>
      <c r="T237" s="51"/>
    </row>
    <row r="238">
      <c r="A238" s="51"/>
      <c r="B238" s="51"/>
      <c r="C238" s="56"/>
      <c r="D238" s="51"/>
      <c r="E238" s="51"/>
      <c r="F238" s="51"/>
      <c r="G238" s="51" t="str">
        <f>IFERROR(__xludf.DUMMYFUNCTION("""COMPUTED_VALUE"""),"#VALUE!")</f>
        <v>#VALUE!</v>
      </c>
      <c r="H238" s="51" t="str">
        <f>IFERROR(__xludf.DUMMYFUNCTION("""COMPUTED_VALUE"""),"")</f>
        <v/>
      </c>
      <c r="I238" s="51" t="str">
        <f>IFERROR(__xludf.DUMMYFUNCTION("""COMPUTED_VALUE"""),"#VALUE!")</f>
        <v>#VALUE!</v>
      </c>
      <c r="J238" s="51" t="str">
        <f>IFERROR(__xludf.DUMMYFUNCTION("""COMPUTED_VALUE"""),"")</f>
        <v/>
      </c>
      <c r="K238" s="51"/>
      <c r="L238" s="51" t="s">
        <v>257</v>
      </c>
      <c r="M238" s="51"/>
      <c r="N238" s="51"/>
      <c r="O238" s="51"/>
      <c r="P238" s="51"/>
      <c r="Q238" s="51"/>
      <c r="R238" s="51"/>
      <c r="S238" s="51"/>
      <c r="T238" s="51"/>
    </row>
    <row r="239">
      <c r="A239" s="51"/>
      <c r="B239" s="51"/>
      <c r="C239" s="56"/>
      <c r="D239" s="51"/>
      <c r="E239" s="51"/>
      <c r="F239" s="51"/>
      <c r="G239" s="51" t="str">
        <f>IFERROR(__xludf.DUMMYFUNCTION("""COMPUTED_VALUE"""),"#VALUE!")</f>
        <v>#VALUE!</v>
      </c>
      <c r="H239" s="51" t="str">
        <f>IFERROR(__xludf.DUMMYFUNCTION("""COMPUTED_VALUE"""),"")</f>
        <v/>
      </c>
      <c r="I239" s="51" t="str">
        <f>IFERROR(__xludf.DUMMYFUNCTION("""COMPUTED_VALUE"""),"#VALUE!")</f>
        <v>#VALUE!</v>
      </c>
      <c r="J239" s="51" t="str">
        <f>IFERROR(__xludf.DUMMYFUNCTION("""COMPUTED_VALUE"""),"")</f>
        <v/>
      </c>
      <c r="K239" s="51"/>
      <c r="L239" s="51" t="s">
        <v>257</v>
      </c>
      <c r="M239" s="51"/>
      <c r="N239" s="51"/>
      <c r="O239" s="51"/>
      <c r="P239" s="51"/>
      <c r="Q239" s="51"/>
      <c r="R239" s="51"/>
      <c r="S239" s="51"/>
      <c r="T239" s="51"/>
    </row>
    <row r="240">
      <c r="A240" s="51"/>
      <c r="B240" s="51"/>
      <c r="C240" s="56"/>
      <c r="D240" s="51"/>
      <c r="E240" s="51"/>
      <c r="F240" s="51"/>
      <c r="G240" s="51" t="str">
        <f>IFERROR(__xludf.DUMMYFUNCTION("""COMPUTED_VALUE"""),"#VALUE!")</f>
        <v>#VALUE!</v>
      </c>
      <c r="H240" s="51" t="str">
        <f>IFERROR(__xludf.DUMMYFUNCTION("""COMPUTED_VALUE"""),"")</f>
        <v/>
      </c>
      <c r="I240" s="51" t="str">
        <f>IFERROR(__xludf.DUMMYFUNCTION("""COMPUTED_VALUE"""),"#VALUE!")</f>
        <v>#VALUE!</v>
      </c>
      <c r="J240" s="51" t="str">
        <f>IFERROR(__xludf.DUMMYFUNCTION("""COMPUTED_VALUE"""),"")</f>
        <v/>
      </c>
      <c r="K240" s="51"/>
      <c r="L240" s="51" t="s">
        <v>257</v>
      </c>
      <c r="M240" s="51"/>
      <c r="N240" s="51"/>
      <c r="O240" s="51"/>
      <c r="P240" s="51"/>
      <c r="Q240" s="51"/>
      <c r="R240" s="51"/>
      <c r="S240" s="51"/>
      <c r="T240" s="51"/>
    </row>
    <row r="241">
      <c r="A241" s="51"/>
      <c r="B241" s="51"/>
      <c r="C241" s="56"/>
      <c r="D241" s="51"/>
      <c r="E241" s="51"/>
      <c r="F241" s="51"/>
      <c r="G241" s="51" t="str">
        <f>IFERROR(__xludf.DUMMYFUNCTION("""COMPUTED_VALUE"""),"#VALUE!")</f>
        <v>#VALUE!</v>
      </c>
      <c r="H241" s="51" t="str">
        <f>IFERROR(__xludf.DUMMYFUNCTION("""COMPUTED_VALUE"""),"")</f>
        <v/>
      </c>
      <c r="I241" s="51" t="str">
        <f>IFERROR(__xludf.DUMMYFUNCTION("""COMPUTED_VALUE"""),"#VALUE!")</f>
        <v>#VALUE!</v>
      </c>
      <c r="J241" s="51" t="str">
        <f>IFERROR(__xludf.DUMMYFUNCTION("""COMPUTED_VALUE"""),"")</f>
        <v/>
      </c>
      <c r="K241" s="51"/>
      <c r="L241" s="51" t="s">
        <v>257</v>
      </c>
      <c r="M241" s="51"/>
      <c r="N241" s="51"/>
      <c r="O241" s="51"/>
      <c r="P241" s="51"/>
      <c r="Q241" s="51"/>
      <c r="R241" s="51"/>
      <c r="S241" s="51"/>
      <c r="T241" s="51"/>
    </row>
    <row r="242">
      <c r="A242" s="51"/>
      <c r="B242" s="51"/>
      <c r="C242" s="56"/>
      <c r="D242" s="51"/>
      <c r="E242" s="51"/>
      <c r="F242" s="51"/>
      <c r="G242" s="51" t="str">
        <f>IFERROR(__xludf.DUMMYFUNCTION("""COMPUTED_VALUE"""),"#VALUE!")</f>
        <v>#VALUE!</v>
      </c>
      <c r="H242" s="51" t="str">
        <f>IFERROR(__xludf.DUMMYFUNCTION("""COMPUTED_VALUE"""),"")</f>
        <v/>
      </c>
      <c r="I242" s="51" t="str">
        <f>IFERROR(__xludf.DUMMYFUNCTION("""COMPUTED_VALUE"""),"#VALUE!")</f>
        <v>#VALUE!</v>
      </c>
      <c r="J242" s="51" t="str">
        <f>IFERROR(__xludf.DUMMYFUNCTION("""COMPUTED_VALUE"""),"")</f>
        <v/>
      </c>
      <c r="K242" s="51"/>
      <c r="L242" s="51" t="s">
        <v>257</v>
      </c>
      <c r="M242" s="51"/>
      <c r="N242" s="51"/>
      <c r="O242" s="51"/>
      <c r="P242" s="51"/>
      <c r="Q242" s="51"/>
      <c r="R242" s="51"/>
      <c r="S242" s="51"/>
      <c r="T242" s="51"/>
    </row>
    <row r="243">
      <c r="A243" s="51"/>
      <c r="B243" s="51"/>
      <c r="C243" s="56"/>
      <c r="D243" s="51"/>
      <c r="E243" s="51"/>
      <c r="F243" s="51"/>
      <c r="G243" s="51" t="str">
        <f>IFERROR(__xludf.DUMMYFUNCTION("""COMPUTED_VALUE"""),"#VALUE!")</f>
        <v>#VALUE!</v>
      </c>
      <c r="H243" s="51" t="str">
        <f>IFERROR(__xludf.DUMMYFUNCTION("""COMPUTED_VALUE"""),"")</f>
        <v/>
      </c>
      <c r="I243" s="51" t="str">
        <f>IFERROR(__xludf.DUMMYFUNCTION("""COMPUTED_VALUE"""),"#VALUE!")</f>
        <v>#VALUE!</v>
      </c>
      <c r="J243" s="51" t="str">
        <f>IFERROR(__xludf.DUMMYFUNCTION("""COMPUTED_VALUE"""),"")</f>
        <v/>
      </c>
      <c r="K243" s="51"/>
      <c r="L243" s="51" t="s">
        <v>257</v>
      </c>
      <c r="M243" s="51"/>
      <c r="N243" s="51"/>
      <c r="O243" s="51"/>
      <c r="P243" s="51"/>
      <c r="Q243" s="51"/>
      <c r="R243" s="51"/>
      <c r="S243" s="51"/>
      <c r="T243" s="51"/>
    </row>
    <row r="244">
      <c r="A244" s="51"/>
      <c r="B244" s="51"/>
      <c r="C244" s="56"/>
      <c r="D244" s="51"/>
      <c r="E244" s="51"/>
      <c r="F244" s="51"/>
      <c r="G244" s="51" t="str">
        <f>IFERROR(__xludf.DUMMYFUNCTION("""COMPUTED_VALUE"""),"#VALUE!")</f>
        <v>#VALUE!</v>
      </c>
      <c r="H244" s="51" t="str">
        <f>IFERROR(__xludf.DUMMYFUNCTION("""COMPUTED_VALUE"""),"")</f>
        <v/>
      </c>
      <c r="I244" s="51" t="str">
        <f>IFERROR(__xludf.DUMMYFUNCTION("""COMPUTED_VALUE"""),"#VALUE!")</f>
        <v>#VALUE!</v>
      </c>
      <c r="J244" s="51" t="str">
        <f>IFERROR(__xludf.DUMMYFUNCTION("""COMPUTED_VALUE"""),"")</f>
        <v/>
      </c>
      <c r="K244" s="51"/>
      <c r="L244" s="51" t="s">
        <v>257</v>
      </c>
      <c r="M244" s="51"/>
      <c r="N244" s="51"/>
      <c r="O244" s="51"/>
      <c r="P244" s="51"/>
      <c r="Q244" s="51"/>
      <c r="R244" s="51"/>
      <c r="S244" s="51"/>
      <c r="T244" s="51"/>
    </row>
    <row r="245">
      <c r="A245" s="51"/>
      <c r="B245" s="51"/>
      <c r="C245" s="56"/>
      <c r="D245" s="51"/>
      <c r="E245" s="51"/>
      <c r="F245" s="51"/>
      <c r="G245" s="51" t="str">
        <f>IFERROR(__xludf.DUMMYFUNCTION("""COMPUTED_VALUE"""),"#VALUE!")</f>
        <v>#VALUE!</v>
      </c>
      <c r="H245" s="51" t="str">
        <f>IFERROR(__xludf.DUMMYFUNCTION("""COMPUTED_VALUE"""),"")</f>
        <v/>
      </c>
      <c r="I245" s="51" t="str">
        <f>IFERROR(__xludf.DUMMYFUNCTION("""COMPUTED_VALUE"""),"#VALUE!")</f>
        <v>#VALUE!</v>
      </c>
      <c r="J245" s="51" t="str">
        <f>IFERROR(__xludf.DUMMYFUNCTION("""COMPUTED_VALUE"""),"")</f>
        <v/>
      </c>
      <c r="K245" s="51"/>
      <c r="L245" s="51" t="s">
        <v>257</v>
      </c>
      <c r="M245" s="51"/>
      <c r="N245" s="51"/>
      <c r="O245" s="51"/>
      <c r="P245" s="51"/>
      <c r="Q245" s="51"/>
      <c r="R245" s="51"/>
      <c r="S245" s="51"/>
      <c r="T245" s="51"/>
    </row>
    <row r="246">
      <c r="A246" s="51"/>
      <c r="B246" s="51"/>
      <c r="C246" s="56"/>
      <c r="D246" s="51"/>
      <c r="E246" s="51"/>
      <c r="F246" s="51"/>
      <c r="G246" s="51" t="str">
        <f>IFERROR(__xludf.DUMMYFUNCTION("""COMPUTED_VALUE"""),"#VALUE!")</f>
        <v>#VALUE!</v>
      </c>
      <c r="H246" s="51" t="str">
        <f>IFERROR(__xludf.DUMMYFUNCTION("""COMPUTED_VALUE"""),"")</f>
        <v/>
      </c>
      <c r="I246" s="51" t="str">
        <f>IFERROR(__xludf.DUMMYFUNCTION("""COMPUTED_VALUE"""),"#VALUE!")</f>
        <v>#VALUE!</v>
      </c>
      <c r="J246" s="51" t="str">
        <f>IFERROR(__xludf.DUMMYFUNCTION("""COMPUTED_VALUE"""),"")</f>
        <v/>
      </c>
      <c r="K246" s="51"/>
      <c r="L246" s="51" t="s">
        <v>257</v>
      </c>
      <c r="M246" s="51"/>
      <c r="N246" s="51"/>
      <c r="O246" s="51"/>
      <c r="P246" s="51"/>
      <c r="Q246" s="51"/>
      <c r="R246" s="51"/>
      <c r="S246" s="51"/>
      <c r="T246" s="51"/>
    </row>
    <row r="247">
      <c r="A247" s="51"/>
      <c r="B247" s="51"/>
      <c r="C247" s="56"/>
      <c r="D247" s="51"/>
      <c r="E247" s="51"/>
      <c r="F247" s="51"/>
      <c r="G247" s="51" t="str">
        <f>IFERROR(__xludf.DUMMYFUNCTION("""COMPUTED_VALUE"""),"#VALUE!")</f>
        <v>#VALUE!</v>
      </c>
      <c r="H247" s="51" t="str">
        <f>IFERROR(__xludf.DUMMYFUNCTION("""COMPUTED_VALUE"""),"")</f>
        <v/>
      </c>
      <c r="I247" s="51" t="str">
        <f>IFERROR(__xludf.DUMMYFUNCTION("""COMPUTED_VALUE"""),"#VALUE!")</f>
        <v>#VALUE!</v>
      </c>
      <c r="J247" s="51" t="str">
        <f>IFERROR(__xludf.DUMMYFUNCTION("""COMPUTED_VALUE"""),"")</f>
        <v/>
      </c>
      <c r="K247" s="51"/>
      <c r="L247" s="51" t="s">
        <v>257</v>
      </c>
      <c r="M247" s="51"/>
      <c r="N247" s="51"/>
      <c r="O247" s="51"/>
      <c r="P247" s="51"/>
      <c r="Q247" s="51"/>
      <c r="R247" s="51"/>
      <c r="S247" s="51"/>
      <c r="T247" s="51"/>
    </row>
    <row r="248">
      <c r="A248" s="51"/>
      <c r="B248" s="51"/>
      <c r="C248" s="56"/>
      <c r="D248" s="51"/>
      <c r="E248" s="51"/>
      <c r="F248" s="51"/>
      <c r="G248" s="51" t="str">
        <f>IFERROR(__xludf.DUMMYFUNCTION("""COMPUTED_VALUE"""),"#VALUE!")</f>
        <v>#VALUE!</v>
      </c>
      <c r="H248" s="51" t="str">
        <f>IFERROR(__xludf.DUMMYFUNCTION("""COMPUTED_VALUE"""),"")</f>
        <v/>
      </c>
      <c r="I248" s="51" t="str">
        <f>IFERROR(__xludf.DUMMYFUNCTION("""COMPUTED_VALUE"""),"#VALUE!")</f>
        <v>#VALUE!</v>
      </c>
      <c r="J248" s="51" t="str">
        <f>IFERROR(__xludf.DUMMYFUNCTION("""COMPUTED_VALUE"""),"")</f>
        <v/>
      </c>
      <c r="K248" s="51"/>
      <c r="L248" s="51" t="s">
        <v>257</v>
      </c>
      <c r="M248" s="51"/>
      <c r="N248" s="51"/>
      <c r="O248" s="51"/>
      <c r="P248" s="51"/>
      <c r="Q248" s="51"/>
      <c r="R248" s="51"/>
      <c r="S248" s="51"/>
      <c r="T248" s="51"/>
    </row>
    <row r="249">
      <c r="A249" s="51"/>
      <c r="B249" s="51"/>
      <c r="C249" s="56"/>
      <c r="D249" s="51"/>
      <c r="E249" s="51"/>
      <c r="F249" s="51"/>
      <c r="G249" s="51" t="str">
        <f>IFERROR(__xludf.DUMMYFUNCTION("""COMPUTED_VALUE"""),"#VALUE!")</f>
        <v>#VALUE!</v>
      </c>
      <c r="H249" s="51" t="str">
        <f>IFERROR(__xludf.DUMMYFUNCTION("""COMPUTED_VALUE"""),"")</f>
        <v/>
      </c>
      <c r="I249" s="51" t="str">
        <f>IFERROR(__xludf.DUMMYFUNCTION("""COMPUTED_VALUE"""),"#VALUE!")</f>
        <v>#VALUE!</v>
      </c>
      <c r="J249" s="51" t="str">
        <f>IFERROR(__xludf.DUMMYFUNCTION("""COMPUTED_VALUE"""),"")</f>
        <v/>
      </c>
      <c r="K249" s="51"/>
      <c r="L249" s="51" t="s">
        <v>257</v>
      </c>
      <c r="M249" s="51"/>
      <c r="N249" s="51"/>
      <c r="O249" s="51"/>
      <c r="P249" s="51"/>
      <c r="Q249" s="51"/>
      <c r="R249" s="51"/>
      <c r="S249" s="51"/>
      <c r="T249" s="51"/>
    </row>
    <row r="250">
      <c r="A250" s="51"/>
      <c r="B250" s="51"/>
      <c r="C250" s="56"/>
      <c r="D250" s="51"/>
      <c r="E250" s="51"/>
      <c r="F250" s="51"/>
      <c r="G250" s="51" t="str">
        <f>IFERROR(__xludf.DUMMYFUNCTION("""COMPUTED_VALUE"""),"#VALUE!")</f>
        <v>#VALUE!</v>
      </c>
      <c r="H250" s="51" t="str">
        <f>IFERROR(__xludf.DUMMYFUNCTION("""COMPUTED_VALUE"""),"")</f>
        <v/>
      </c>
      <c r="I250" s="51" t="str">
        <f>IFERROR(__xludf.DUMMYFUNCTION("""COMPUTED_VALUE"""),"#VALUE!")</f>
        <v>#VALUE!</v>
      </c>
      <c r="J250" s="51" t="str">
        <f>IFERROR(__xludf.DUMMYFUNCTION("""COMPUTED_VALUE"""),"")</f>
        <v/>
      </c>
      <c r="K250" s="51"/>
      <c r="L250" s="51" t="s">
        <v>257</v>
      </c>
      <c r="M250" s="51"/>
      <c r="N250" s="51"/>
      <c r="O250" s="51"/>
      <c r="P250" s="51"/>
      <c r="Q250" s="51"/>
      <c r="R250" s="51"/>
      <c r="S250" s="51"/>
      <c r="T250" s="51"/>
    </row>
    <row r="251">
      <c r="A251" s="51"/>
      <c r="B251" s="51"/>
      <c r="C251" s="56"/>
      <c r="D251" s="51"/>
      <c r="E251" s="51"/>
      <c r="F251" s="51"/>
      <c r="G251" s="51" t="str">
        <f>IFERROR(__xludf.DUMMYFUNCTION("""COMPUTED_VALUE"""),"#VALUE!")</f>
        <v>#VALUE!</v>
      </c>
      <c r="H251" s="51" t="str">
        <f>IFERROR(__xludf.DUMMYFUNCTION("""COMPUTED_VALUE"""),"")</f>
        <v/>
      </c>
      <c r="I251" s="51" t="str">
        <f>IFERROR(__xludf.DUMMYFUNCTION("""COMPUTED_VALUE"""),"#VALUE!")</f>
        <v>#VALUE!</v>
      </c>
      <c r="J251" s="51" t="str">
        <f>IFERROR(__xludf.DUMMYFUNCTION("""COMPUTED_VALUE"""),"")</f>
        <v/>
      </c>
      <c r="K251" s="51"/>
      <c r="L251" s="51" t="s">
        <v>257</v>
      </c>
      <c r="M251" s="51"/>
      <c r="N251" s="51"/>
      <c r="O251" s="51"/>
      <c r="P251" s="51"/>
      <c r="Q251" s="51"/>
      <c r="R251" s="51"/>
      <c r="S251" s="51"/>
      <c r="T251" s="51"/>
    </row>
    <row r="252">
      <c r="A252" s="51"/>
      <c r="B252" s="51"/>
      <c r="C252" s="56"/>
      <c r="D252" s="51"/>
      <c r="E252" s="51"/>
      <c r="F252" s="51"/>
      <c r="G252" s="51" t="str">
        <f>IFERROR(__xludf.DUMMYFUNCTION("""COMPUTED_VALUE"""),"#VALUE!")</f>
        <v>#VALUE!</v>
      </c>
      <c r="H252" s="51" t="str">
        <f>IFERROR(__xludf.DUMMYFUNCTION("""COMPUTED_VALUE"""),"")</f>
        <v/>
      </c>
      <c r="I252" s="51" t="str">
        <f>IFERROR(__xludf.DUMMYFUNCTION("""COMPUTED_VALUE"""),"#VALUE!")</f>
        <v>#VALUE!</v>
      </c>
      <c r="J252" s="51" t="str">
        <f>IFERROR(__xludf.DUMMYFUNCTION("""COMPUTED_VALUE"""),"")</f>
        <v/>
      </c>
      <c r="K252" s="51"/>
      <c r="L252" s="51" t="s">
        <v>257</v>
      </c>
      <c r="M252" s="51"/>
      <c r="N252" s="51"/>
      <c r="O252" s="51"/>
      <c r="P252" s="51"/>
      <c r="Q252" s="51"/>
      <c r="R252" s="51"/>
      <c r="S252" s="51"/>
      <c r="T252" s="51"/>
    </row>
    <row r="253">
      <c r="A253" s="51"/>
      <c r="B253" s="51"/>
      <c r="C253" s="56"/>
      <c r="D253" s="51"/>
      <c r="E253" s="51"/>
      <c r="F253" s="51"/>
      <c r="G253" s="51" t="str">
        <f>IFERROR(__xludf.DUMMYFUNCTION("""COMPUTED_VALUE"""),"#VALUE!")</f>
        <v>#VALUE!</v>
      </c>
      <c r="H253" s="51" t="str">
        <f>IFERROR(__xludf.DUMMYFUNCTION("""COMPUTED_VALUE"""),"")</f>
        <v/>
      </c>
      <c r="I253" s="51" t="str">
        <f>IFERROR(__xludf.DUMMYFUNCTION("""COMPUTED_VALUE"""),"#VALUE!")</f>
        <v>#VALUE!</v>
      </c>
      <c r="J253" s="51" t="str">
        <f>IFERROR(__xludf.DUMMYFUNCTION("""COMPUTED_VALUE"""),"")</f>
        <v/>
      </c>
      <c r="K253" s="51"/>
      <c r="L253" s="51" t="s">
        <v>257</v>
      </c>
      <c r="M253" s="51"/>
      <c r="N253" s="51"/>
      <c r="O253" s="51"/>
      <c r="P253" s="51"/>
      <c r="Q253" s="51"/>
      <c r="R253" s="51"/>
      <c r="S253" s="51"/>
      <c r="T253" s="51"/>
    </row>
    <row r="254">
      <c r="A254" s="51"/>
      <c r="B254" s="51"/>
      <c r="C254" s="56"/>
      <c r="D254" s="51"/>
      <c r="E254" s="51"/>
      <c r="F254" s="51"/>
      <c r="G254" s="51" t="str">
        <f>IFERROR(__xludf.DUMMYFUNCTION("""COMPUTED_VALUE"""),"#VALUE!")</f>
        <v>#VALUE!</v>
      </c>
      <c r="H254" s="51" t="str">
        <f>IFERROR(__xludf.DUMMYFUNCTION("""COMPUTED_VALUE"""),"")</f>
        <v/>
      </c>
      <c r="I254" s="51" t="str">
        <f>IFERROR(__xludf.DUMMYFUNCTION("""COMPUTED_VALUE"""),"#VALUE!")</f>
        <v>#VALUE!</v>
      </c>
      <c r="J254" s="51" t="str">
        <f>IFERROR(__xludf.DUMMYFUNCTION("""COMPUTED_VALUE"""),"")</f>
        <v/>
      </c>
      <c r="K254" s="51"/>
      <c r="L254" s="51" t="s">
        <v>257</v>
      </c>
      <c r="M254" s="51"/>
      <c r="N254" s="51"/>
      <c r="O254" s="51"/>
      <c r="P254" s="51"/>
      <c r="Q254" s="51"/>
      <c r="R254" s="51"/>
      <c r="S254" s="51"/>
      <c r="T254" s="51"/>
    </row>
    <row r="255">
      <c r="A255" s="51"/>
      <c r="B255" s="51"/>
      <c r="C255" s="56"/>
      <c r="D255" s="51"/>
      <c r="E255" s="51"/>
      <c r="F255" s="51"/>
      <c r="G255" s="51" t="str">
        <f>IFERROR(__xludf.DUMMYFUNCTION("""COMPUTED_VALUE"""),"#VALUE!")</f>
        <v>#VALUE!</v>
      </c>
      <c r="H255" s="51" t="str">
        <f>IFERROR(__xludf.DUMMYFUNCTION("""COMPUTED_VALUE"""),"")</f>
        <v/>
      </c>
      <c r="I255" s="51" t="str">
        <f>IFERROR(__xludf.DUMMYFUNCTION("""COMPUTED_VALUE"""),"#VALUE!")</f>
        <v>#VALUE!</v>
      </c>
      <c r="J255" s="51" t="str">
        <f>IFERROR(__xludf.DUMMYFUNCTION("""COMPUTED_VALUE"""),"")</f>
        <v/>
      </c>
      <c r="K255" s="51"/>
      <c r="L255" s="51" t="s">
        <v>257</v>
      </c>
      <c r="M255" s="51"/>
      <c r="N255" s="51"/>
      <c r="O255" s="51"/>
      <c r="P255" s="51"/>
      <c r="Q255" s="51"/>
      <c r="R255" s="51"/>
      <c r="S255" s="51"/>
      <c r="T255" s="51"/>
    </row>
    <row r="256">
      <c r="A256" s="51"/>
      <c r="B256" s="51"/>
      <c r="C256" s="56"/>
      <c r="D256" s="51"/>
      <c r="E256" s="51"/>
      <c r="F256" s="51"/>
      <c r="G256" s="51" t="str">
        <f>IFERROR(__xludf.DUMMYFUNCTION("""COMPUTED_VALUE"""),"#VALUE!")</f>
        <v>#VALUE!</v>
      </c>
      <c r="H256" s="51" t="str">
        <f>IFERROR(__xludf.DUMMYFUNCTION("""COMPUTED_VALUE"""),"")</f>
        <v/>
      </c>
      <c r="I256" s="51" t="str">
        <f>IFERROR(__xludf.DUMMYFUNCTION("""COMPUTED_VALUE"""),"#VALUE!")</f>
        <v>#VALUE!</v>
      </c>
      <c r="J256" s="51" t="str">
        <f>IFERROR(__xludf.DUMMYFUNCTION("""COMPUTED_VALUE"""),"")</f>
        <v/>
      </c>
      <c r="K256" s="51"/>
      <c r="L256" s="51" t="s">
        <v>257</v>
      </c>
      <c r="M256" s="51"/>
      <c r="N256" s="51"/>
      <c r="O256" s="51"/>
      <c r="P256" s="51"/>
      <c r="Q256" s="51"/>
      <c r="R256" s="51"/>
      <c r="S256" s="51"/>
      <c r="T256" s="51"/>
    </row>
    <row r="257">
      <c r="A257" s="51"/>
      <c r="B257" s="51"/>
      <c r="C257" s="56"/>
      <c r="D257" s="51"/>
      <c r="E257" s="51"/>
      <c r="F257" s="51"/>
      <c r="G257" s="51" t="str">
        <f>IFERROR(__xludf.DUMMYFUNCTION("""COMPUTED_VALUE"""),"#VALUE!")</f>
        <v>#VALUE!</v>
      </c>
      <c r="H257" s="51" t="str">
        <f>IFERROR(__xludf.DUMMYFUNCTION("""COMPUTED_VALUE"""),"")</f>
        <v/>
      </c>
      <c r="I257" s="51" t="str">
        <f>IFERROR(__xludf.DUMMYFUNCTION("""COMPUTED_VALUE"""),"#VALUE!")</f>
        <v>#VALUE!</v>
      </c>
      <c r="J257" s="51" t="str">
        <f>IFERROR(__xludf.DUMMYFUNCTION("""COMPUTED_VALUE"""),"")</f>
        <v/>
      </c>
      <c r="K257" s="51"/>
      <c r="L257" s="51" t="s">
        <v>257</v>
      </c>
      <c r="M257" s="51"/>
      <c r="N257" s="51"/>
      <c r="O257" s="51"/>
      <c r="P257" s="51"/>
      <c r="Q257" s="51"/>
      <c r="R257" s="51"/>
      <c r="S257" s="51"/>
      <c r="T257" s="51"/>
    </row>
    <row r="258">
      <c r="A258" s="51"/>
      <c r="B258" s="51"/>
      <c r="C258" s="56"/>
      <c r="D258" s="51"/>
      <c r="E258" s="51"/>
      <c r="F258" s="51"/>
      <c r="G258" s="51" t="str">
        <f>IFERROR(__xludf.DUMMYFUNCTION("""COMPUTED_VALUE"""),"#VALUE!")</f>
        <v>#VALUE!</v>
      </c>
      <c r="H258" s="51" t="str">
        <f>IFERROR(__xludf.DUMMYFUNCTION("""COMPUTED_VALUE"""),"")</f>
        <v/>
      </c>
      <c r="I258" s="51" t="str">
        <f>IFERROR(__xludf.DUMMYFUNCTION("""COMPUTED_VALUE"""),"#VALUE!")</f>
        <v>#VALUE!</v>
      </c>
      <c r="J258" s="51" t="str">
        <f>IFERROR(__xludf.DUMMYFUNCTION("""COMPUTED_VALUE"""),"")</f>
        <v/>
      </c>
      <c r="K258" s="51"/>
      <c r="L258" s="51" t="s">
        <v>257</v>
      </c>
      <c r="M258" s="51"/>
      <c r="N258" s="51"/>
      <c r="O258" s="51"/>
      <c r="P258" s="51"/>
      <c r="Q258" s="51"/>
      <c r="R258" s="51"/>
      <c r="S258" s="51"/>
      <c r="T258" s="51"/>
    </row>
    <row r="259">
      <c r="A259" s="51"/>
      <c r="B259" s="51"/>
      <c r="C259" s="56"/>
      <c r="D259" s="51"/>
      <c r="E259" s="51"/>
      <c r="F259" s="51"/>
      <c r="G259" s="51" t="str">
        <f>IFERROR(__xludf.DUMMYFUNCTION("""COMPUTED_VALUE"""),"#VALUE!")</f>
        <v>#VALUE!</v>
      </c>
      <c r="H259" s="51" t="str">
        <f>IFERROR(__xludf.DUMMYFUNCTION("""COMPUTED_VALUE"""),"")</f>
        <v/>
      </c>
      <c r="I259" s="51" t="str">
        <f>IFERROR(__xludf.DUMMYFUNCTION("""COMPUTED_VALUE"""),"#VALUE!")</f>
        <v>#VALUE!</v>
      </c>
      <c r="J259" s="51" t="str">
        <f>IFERROR(__xludf.DUMMYFUNCTION("""COMPUTED_VALUE"""),"")</f>
        <v/>
      </c>
      <c r="K259" s="51"/>
      <c r="L259" s="51" t="s">
        <v>257</v>
      </c>
      <c r="M259" s="51"/>
      <c r="N259" s="51"/>
      <c r="O259" s="51"/>
      <c r="P259" s="51"/>
      <c r="Q259" s="51"/>
      <c r="R259" s="51"/>
      <c r="S259" s="51"/>
      <c r="T259" s="51"/>
    </row>
    <row r="260">
      <c r="A260" s="51"/>
      <c r="B260" s="51"/>
      <c r="C260" s="56"/>
      <c r="D260" s="51"/>
      <c r="E260" s="51"/>
      <c r="F260" s="51"/>
      <c r="G260" s="51" t="str">
        <f>IFERROR(__xludf.DUMMYFUNCTION("""COMPUTED_VALUE"""),"#VALUE!")</f>
        <v>#VALUE!</v>
      </c>
      <c r="H260" s="51" t="str">
        <f>IFERROR(__xludf.DUMMYFUNCTION("""COMPUTED_VALUE"""),"")</f>
        <v/>
      </c>
      <c r="I260" s="51" t="str">
        <f>IFERROR(__xludf.DUMMYFUNCTION("""COMPUTED_VALUE"""),"#VALUE!")</f>
        <v>#VALUE!</v>
      </c>
      <c r="J260" s="51" t="str">
        <f>IFERROR(__xludf.DUMMYFUNCTION("""COMPUTED_VALUE"""),"")</f>
        <v/>
      </c>
      <c r="K260" s="51"/>
      <c r="L260" s="51" t="s">
        <v>257</v>
      </c>
      <c r="M260" s="51"/>
      <c r="N260" s="51"/>
      <c r="O260" s="51"/>
      <c r="P260" s="51"/>
      <c r="Q260" s="51"/>
      <c r="R260" s="51"/>
      <c r="S260" s="51"/>
      <c r="T260" s="51"/>
    </row>
    <row r="261">
      <c r="A261" s="51"/>
      <c r="B261" s="51"/>
      <c r="C261" s="56"/>
      <c r="D261" s="51"/>
      <c r="E261" s="51"/>
      <c r="F261" s="51"/>
      <c r="G261" s="51" t="str">
        <f>IFERROR(__xludf.DUMMYFUNCTION("""COMPUTED_VALUE"""),"#VALUE!")</f>
        <v>#VALUE!</v>
      </c>
      <c r="H261" s="51" t="str">
        <f>IFERROR(__xludf.DUMMYFUNCTION("""COMPUTED_VALUE"""),"")</f>
        <v/>
      </c>
      <c r="I261" s="51" t="str">
        <f>IFERROR(__xludf.DUMMYFUNCTION("""COMPUTED_VALUE"""),"#VALUE!")</f>
        <v>#VALUE!</v>
      </c>
      <c r="J261" s="51" t="str">
        <f>IFERROR(__xludf.DUMMYFUNCTION("""COMPUTED_VALUE"""),"")</f>
        <v/>
      </c>
      <c r="K261" s="51"/>
      <c r="L261" s="51" t="s">
        <v>257</v>
      </c>
      <c r="M261" s="51"/>
      <c r="N261" s="51"/>
      <c r="O261" s="51"/>
      <c r="P261" s="51"/>
      <c r="Q261" s="51"/>
      <c r="R261" s="51"/>
      <c r="S261" s="51"/>
      <c r="T261" s="51"/>
    </row>
    <row r="262">
      <c r="A262" s="51"/>
      <c r="B262" s="51"/>
      <c r="C262" s="56"/>
      <c r="D262" s="51"/>
      <c r="E262" s="51"/>
      <c r="F262" s="51"/>
      <c r="G262" s="51" t="str">
        <f>IFERROR(__xludf.DUMMYFUNCTION("""COMPUTED_VALUE"""),"#VALUE!")</f>
        <v>#VALUE!</v>
      </c>
      <c r="H262" s="51" t="str">
        <f>IFERROR(__xludf.DUMMYFUNCTION("""COMPUTED_VALUE"""),"")</f>
        <v/>
      </c>
      <c r="I262" s="51" t="str">
        <f>IFERROR(__xludf.DUMMYFUNCTION("""COMPUTED_VALUE"""),"#VALUE!")</f>
        <v>#VALUE!</v>
      </c>
      <c r="J262" s="51" t="str">
        <f>IFERROR(__xludf.DUMMYFUNCTION("""COMPUTED_VALUE"""),"")</f>
        <v/>
      </c>
      <c r="K262" s="51"/>
      <c r="L262" s="51" t="s">
        <v>257</v>
      </c>
      <c r="M262" s="51"/>
      <c r="N262" s="51"/>
      <c r="O262" s="51"/>
      <c r="P262" s="51"/>
      <c r="Q262" s="51"/>
      <c r="R262" s="51"/>
      <c r="S262" s="51"/>
      <c r="T262" s="51"/>
    </row>
    <row r="263">
      <c r="A263" s="51"/>
      <c r="B263" s="51"/>
      <c r="C263" s="56"/>
      <c r="D263" s="51"/>
      <c r="E263" s="51"/>
      <c r="F263" s="51"/>
      <c r="G263" s="51" t="str">
        <f>IFERROR(__xludf.DUMMYFUNCTION("""COMPUTED_VALUE"""),"#VALUE!")</f>
        <v>#VALUE!</v>
      </c>
      <c r="H263" s="51" t="str">
        <f>IFERROR(__xludf.DUMMYFUNCTION("""COMPUTED_VALUE"""),"")</f>
        <v/>
      </c>
      <c r="I263" s="51" t="str">
        <f>IFERROR(__xludf.DUMMYFUNCTION("""COMPUTED_VALUE"""),"#VALUE!")</f>
        <v>#VALUE!</v>
      </c>
      <c r="J263" s="51" t="str">
        <f>IFERROR(__xludf.DUMMYFUNCTION("""COMPUTED_VALUE"""),"")</f>
        <v/>
      </c>
      <c r="K263" s="51"/>
      <c r="L263" s="51" t="s">
        <v>257</v>
      </c>
      <c r="M263" s="51"/>
      <c r="N263" s="51"/>
      <c r="O263" s="51"/>
      <c r="P263" s="51"/>
      <c r="Q263" s="51"/>
      <c r="R263" s="51"/>
      <c r="S263" s="51"/>
      <c r="T263" s="51"/>
    </row>
    <row r="264">
      <c r="A264" s="51"/>
      <c r="B264" s="51"/>
      <c r="C264" s="56"/>
      <c r="D264" s="51"/>
      <c r="E264" s="51"/>
      <c r="F264" s="51"/>
      <c r="G264" s="51" t="str">
        <f>IFERROR(__xludf.DUMMYFUNCTION("""COMPUTED_VALUE"""),"#VALUE!")</f>
        <v>#VALUE!</v>
      </c>
      <c r="H264" s="51" t="str">
        <f>IFERROR(__xludf.DUMMYFUNCTION("""COMPUTED_VALUE"""),"")</f>
        <v/>
      </c>
      <c r="I264" s="51" t="str">
        <f>IFERROR(__xludf.DUMMYFUNCTION("""COMPUTED_VALUE"""),"#VALUE!")</f>
        <v>#VALUE!</v>
      </c>
      <c r="J264" s="51" t="str">
        <f>IFERROR(__xludf.DUMMYFUNCTION("""COMPUTED_VALUE"""),"")</f>
        <v/>
      </c>
      <c r="K264" s="51"/>
      <c r="L264" s="51" t="s">
        <v>257</v>
      </c>
      <c r="M264" s="51"/>
      <c r="N264" s="51"/>
      <c r="O264" s="51"/>
      <c r="P264" s="51"/>
      <c r="Q264" s="51"/>
      <c r="R264" s="51"/>
      <c r="S264" s="51"/>
      <c r="T264" s="51"/>
    </row>
    <row r="265">
      <c r="A265" s="51"/>
      <c r="B265" s="51"/>
      <c r="C265" s="56"/>
      <c r="D265" s="51"/>
      <c r="E265" s="51"/>
      <c r="F265" s="51"/>
      <c r="G265" s="51" t="str">
        <f>IFERROR(__xludf.DUMMYFUNCTION("""COMPUTED_VALUE"""),"#VALUE!")</f>
        <v>#VALUE!</v>
      </c>
      <c r="H265" s="51" t="str">
        <f>IFERROR(__xludf.DUMMYFUNCTION("""COMPUTED_VALUE"""),"")</f>
        <v/>
      </c>
      <c r="I265" s="51" t="str">
        <f>IFERROR(__xludf.DUMMYFUNCTION("""COMPUTED_VALUE"""),"#VALUE!")</f>
        <v>#VALUE!</v>
      </c>
      <c r="J265" s="51" t="str">
        <f>IFERROR(__xludf.DUMMYFUNCTION("""COMPUTED_VALUE"""),"")</f>
        <v/>
      </c>
      <c r="K265" s="51"/>
      <c r="L265" s="51" t="s">
        <v>257</v>
      </c>
      <c r="M265" s="51"/>
      <c r="N265" s="51"/>
      <c r="O265" s="51"/>
      <c r="P265" s="51"/>
      <c r="Q265" s="51"/>
      <c r="R265" s="51"/>
      <c r="S265" s="51"/>
      <c r="T265" s="51"/>
    </row>
    <row r="266">
      <c r="A266" s="51"/>
      <c r="B266" s="51"/>
      <c r="C266" s="56"/>
      <c r="D266" s="51"/>
      <c r="E266" s="51"/>
      <c r="F266" s="51"/>
      <c r="G266" s="51" t="str">
        <f>IFERROR(__xludf.DUMMYFUNCTION("""COMPUTED_VALUE"""),"#VALUE!")</f>
        <v>#VALUE!</v>
      </c>
      <c r="H266" s="51" t="str">
        <f>IFERROR(__xludf.DUMMYFUNCTION("""COMPUTED_VALUE"""),"")</f>
        <v/>
      </c>
      <c r="I266" s="51" t="str">
        <f>IFERROR(__xludf.DUMMYFUNCTION("""COMPUTED_VALUE"""),"#VALUE!")</f>
        <v>#VALUE!</v>
      </c>
      <c r="J266" s="51" t="str">
        <f>IFERROR(__xludf.DUMMYFUNCTION("""COMPUTED_VALUE"""),"")</f>
        <v/>
      </c>
      <c r="K266" s="51"/>
      <c r="L266" s="51" t="s">
        <v>257</v>
      </c>
      <c r="M266" s="51"/>
      <c r="N266" s="51"/>
      <c r="O266" s="51"/>
      <c r="P266" s="51"/>
      <c r="Q266" s="51"/>
      <c r="R266" s="51"/>
      <c r="S266" s="51"/>
      <c r="T266" s="51"/>
    </row>
    <row r="267">
      <c r="A267" s="51"/>
      <c r="B267" s="51"/>
      <c r="C267" s="56"/>
      <c r="D267" s="51"/>
      <c r="E267" s="51"/>
      <c r="F267" s="51"/>
      <c r="G267" s="51" t="str">
        <f>IFERROR(__xludf.DUMMYFUNCTION("""COMPUTED_VALUE"""),"#VALUE!")</f>
        <v>#VALUE!</v>
      </c>
      <c r="H267" s="51" t="str">
        <f>IFERROR(__xludf.DUMMYFUNCTION("""COMPUTED_VALUE"""),"")</f>
        <v/>
      </c>
      <c r="I267" s="51" t="str">
        <f>IFERROR(__xludf.DUMMYFUNCTION("""COMPUTED_VALUE"""),"#VALUE!")</f>
        <v>#VALUE!</v>
      </c>
      <c r="J267" s="51" t="str">
        <f>IFERROR(__xludf.DUMMYFUNCTION("""COMPUTED_VALUE"""),"")</f>
        <v/>
      </c>
      <c r="K267" s="51"/>
      <c r="L267" s="51" t="s">
        <v>257</v>
      </c>
      <c r="M267" s="51"/>
      <c r="N267" s="51"/>
      <c r="O267" s="51"/>
      <c r="P267" s="51"/>
      <c r="Q267" s="51"/>
      <c r="R267" s="51"/>
      <c r="S267" s="51"/>
      <c r="T267" s="51"/>
    </row>
    <row r="268">
      <c r="A268" s="51"/>
      <c r="B268" s="51"/>
      <c r="C268" s="56"/>
      <c r="D268" s="51"/>
      <c r="E268" s="51"/>
      <c r="F268" s="51"/>
      <c r="G268" s="51" t="str">
        <f>IFERROR(__xludf.DUMMYFUNCTION("""COMPUTED_VALUE"""),"#VALUE!")</f>
        <v>#VALUE!</v>
      </c>
      <c r="H268" s="51" t="str">
        <f>IFERROR(__xludf.DUMMYFUNCTION("""COMPUTED_VALUE"""),"")</f>
        <v/>
      </c>
      <c r="I268" s="51" t="str">
        <f>IFERROR(__xludf.DUMMYFUNCTION("""COMPUTED_VALUE"""),"#VALUE!")</f>
        <v>#VALUE!</v>
      </c>
      <c r="J268" s="51" t="str">
        <f>IFERROR(__xludf.DUMMYFUNCTION("""COMPUTED_VALUE"""),"")</f>
        <v/>
      </c>
      <c r="K268" s="51"/>
      <c r="L268" s="51" t="s">
        <v>257</v>
      </c>
      <c r="M268" s="51"/>
      <c r="N268" s="51"/>
      <c r="O268" s="51"/>
      <c r="P268" s="51"/>
      <c r="Q268" s="51"/>
      <c r="R268" s="51"/>
      <c r="S268" s="51"/>
      <c r="T268" s="51"/>
    </row>
    <row r="269">
      <c r="A269" s="51"/>
      <c r="B269" s="51"/>
      <c r="C269" s="56"/>
      <c r="D269" s="51"/>
      <c r="E269" s="51"/>
      <c r="F269" s="51"/>
      <c r="G269" s="51" t="str">
        <f>IFERROR(__xludf.DUMMYFUNCTION("""COMPUTED_VALUE"""),"#VALUE!")</f>
        <v>#VALUE!</v>
      </c>
      <c r="H269" s="51" t="str">
        <f>IFERROR(__xludf.DUMMYFUNCTION("""COMPUTED_VALUE"""),"")</f>
        <v/>
      </c>
      <c r="I269" s="51" t="str">
        <f>IFERROR(__xludf.DUMMYFUNCTION("""COMPUTED_VALUE"""),"#VALUE!")</f>
        <v>#VALUE!</v>
      </c>
      <c r="J269" s="51" t="str">
        <f>IFERROR(__xludf.DUMMYFUNCTION("""COMPUTED_VALUE"""),"")</f>
        <v/>
      </c>
      <c r="K269" s="51"/>
      <c r="L269" s="51" t="s">
        <v>257</v>
      </c>
      <c r="M269" s="51"/>
      <c r="N269" s="51"/>
      <c r="O269" s="51"/>
      <c r="P269" s="51"/>
      <c r="Q269" s="51"/>
      <c r="R269" s="51"/>
      <c r="S269" s="51"/>
      <c r="T269" s="51"/>
    </row>
    <row r="270">
      <c r="A270" s="51"/>
      <c r="B270" s="51"/>
      <c r="C270" s="56"/>
      <c r="D270" s="51"/>
      <c r="E270" s="51"/>
      <c r="F270" s="51"/>
      <c r="G270" s="51" t="str">
        <f>IFERROR(__xludf.DUMMYFUNCTION("""COMPUTED_VALUE"""),"#VALUE!")</f>
        <v>#VALUE!</v>
      </c>
      <c r="H270" s="51" t="str">
        <f>IFERROR(__xludf.DUMMYFUNCTION("""COMPUTED_VALUE"""),"")</f>
        <v/>
      </c>
      <c r="I270" s="51" t="str">
        <f>IFERROR(__xludf.DUMMYFUNCTION("""COMPUTED_VALUE"""),"#VALUE!")</f>
        <v>#VALUE!</v>
      </c>
      <c r="J270" s="51" t="str">
        <f>IFERROR(__xludf.DUMMYFUNCTION("""COMPUTED_VALUE"""),"")</f>
        <v/>
      </c>
      <c r="K270" s="51"/>
      <c r="L270" s="51" t="s">
        <v>257</v>
      </c>
      <c r="M270" s="51"/>
      <c r="N270" s="51"/>
      <c r="O270" s="51"/>
      <c r="P270" s="51"/>
      <c r="Q270" s="51"/>
      <c r="R270" s="51"/>
      <c r="S270" s="51"/>
      <c r="T270" s="51"/>
    </row>
    <row r="271">
      <c r="A271" s="51"/>
      <c r="B271" s="51"/>
      <c r="C271" s="56"/>
      <c r="D271" s="51"/>
      <c r="E271" s="51"/>
      <c r="F271" s="51"/>
      <c r="G271" s="51" t="str">
        <f>IFERROR(__xludf.DUMMYFUNCTION("""COMPUTED_VALUE"""),"#VALUE!")</f>
        <v>#VALUE!</v>
      </c>
      <c r="H271" s="51" t="str">
        <f>IFERROR(__xludf.DUMMYFUNCTION("""COMPUTED_VALUE"""),"")</f>
        <v/>
      </c>
      <c r="I271" s="51" t="str">
        <f>IFERROR(__xludf.DUMMYFUNCTION("""COMPUTED_VALUE"""),"#VALUE!")</f>
        <v>#VALUE!</v>
      </c>
      <c r="J271" s="51" t="str">
        <f>IFERROR(__xludf.DUMMYFUNCTION("""COMPUTED_VALUE"""),"")</f>
        <v/>
      </c>
      <c r="K271" s="51"/>
      <c r="L271" s="51" t="s">
        <v>257</v>
      </c>
      <c r="M271" s="51"/>
      <c r="N271" s="51"/>
      <c r="O271" s="51"/>
      <c r="P271" s="51"/>
      <c r="Q271" s="51"/>
      <c r="R271" s="51"/>
      <c r="S271" s="51"/>
      <c r="T271" s="51"/>
    </row>
    <row r="272">
      <c r="A272" s="51"/>
      <c r="B272" s="51"/>
      <c r="C272" s="56"/>
      <c r="D272" s="51"/>
      <c r="E272" s="51"/>
      <c r="F272" s="51"/>
      <c r="G272" s="51" t="str">
        <f>IFERROR(__xludf.DUMMYFUNCTION("""COMPUTED_VALUE"""),"#VALUE!")</f>
        <v>#VALUE!</v>
      </c>
      <c r="H272" s="51" t="str">
        <f>IFERROR(__xludf.DUMMYFUNCTION("""COMPUTED_VALUE"""),"")</f>
        <v/>
      </c>
      <c r="I272" s="51" t="str">
        <f>IFERROR(__xludf.DUMMYFUNCTION("""COMPUTED_VALUE"""),"#VALUE!")</f>
        <v>#VALUE!</v>
      </c>
      <c r="J272" s="51" t="str">
        <f>IFERROR(__xludf.DUMMYFUNCTION("""COMPUTED_VALUE"""),"")</f>
        <v/>
      </c>
      <c r="K272" s="51"/>
      <c r="L272" s="51" t="s">
        <v>257</v>
      </c>
      <c r="M272" s="51"/>
      <c r="N272" s="51"/>
      <c r="O272" s="51"/>
      <c r="P272" s="51"/>
      <c r="Q272" s="51"/>
      <c r="R272" s="51"/>
      <c r="S272" s="51"/>
      <c r="T272" s="51"/>
    </row>
    <row r="273">
      <c r="A273" s="51"/>
      <c r="B273" s="51"/>
      <c r="C273" s="56"/>
      <c r="D273" s="51"/>
      <c r="E273" s="51"/>
      <c r="F273" s="51"/>
      <c r="G273" s="51" t="str">
        <f>IFERROR(__xludf.DUMMYFUNCTION("""COMPUTED_VALUE"""),"#VALUE!")</f>
        <v>#VALUE!</v>
      </c>
      <c r="H273" s="51" t="str">
        <f>IFERROR(__xludf.DUMMYFUNCTION("""COMPUTED_VALUE"""),"")</f>
        <v/>
      </c>
      <c r="I273" s="51" t="str">
        <f>IFERROR(__xludf.DUMMYFUNCTION("""COMPUTED_VALUE"""),"#VALUE!")</f>
        <v>#VALUE!</v>
      </c>
      <c r="J273" s="51" t="str">
        <f>IFERROR(__xludf.DUMMYFUNCTION("""COMPUTED_VALUE"""),"")</f>
        <v/>
      </c>
      <c r="K273" s="51"/>
      <c r="L273" s="51" t="s">
        <v>257</v>
      </c>
      <c r="M273" s="51"/>
      <c r="N273" s="51"/>
      <c r="O273" s="51"/>
      <c r="P273" s="51"/>
      <c r="Q273" s="51"/>
      <c r="R273" s="51"/>
      <c r="S273" s="51"/>
      <c r="T273" s="51"/>
    </row>
    <row r="274">
      <c r="A274" s="51"/>
      <c r="B274" s="51"/>
      <c r="C274" s="56"/>
      <c r="D274" s="51"/>
      <c r="E274" s="51"/>
      <c r="F274" s="51"/>
      <c r="G274" s="51" t="str">
        <f>IFERROR(__xludf.DUMMYFUNCTION("""COMPUTED_VALUE"""),"#VALUE!")</f>
        <v>#VALUE!</v>
      </c>
      <c r="H274" s="51" t="str">
        <f>IFERROR(__xludf.DUMMYFUNCTION("""COMPUTED_VALUE"""),"")</f>
        <v/>
      </c>
      <c r="I274" s="51" t="str">
        <f>IFERROR(__xludf.DUMMYFUNCTION("""COMPUTED_VALUE"""),"#VALUE!")</f>
        <v>#VALUE!</v>
      </c>
      <c r="J274" s="51" t="str">
        <f>IFERROR(__xludf.DUMMYFUNCTION("""COMPUTED_VALUE"""),"")</f>
        <v/>
      </c>
      <c r="K274" s="51"/>
      <c r="L274" s="51" t="s">
        <v>257</v>
      </c>
      <c r="M274" s="51"/>
      <c r="N274" s="51"/>
      <c r="O274" s="51"/>
      <c r="P274" s="51"/>
      <c r="Q274" s="51"/>
      <c r="R274" s="51"/>
      <c r="S274" s="51"/>
      <c r="T274" s="51"/>
    </row>
    <row r="275">
      <c r="A275" s="51"/>
      <c r="B275" s="51"/>
      <c r="C275" s="56"/>
      <c r="D275" s="51"/>
      <c r="E275" s="51"/>
      <c r="F275" s="51"/>
      <c r="G275" s="51" t="str">
        <f>IFERROR(__xludf.DUMMYFUNCTION("""COMPUTED_VALUE"""),"#VALUE!")</f>
        <v>#VALUE!</v>
      </c>
      <c r="H275" s="51" t="str">
        <f>IFERROR(__xludf.DUMMYFUNCTION("""COMPUTED_VALUE"""),"")</f>
        <v/>
      </c>
      <c r="I275" s="51" t="str">
        <f>IFERROR(__xludf.DUMMYFUNCTION("""COMPUTED_VALUE"""),"#VALUE!")</f>
        <v>#VALUE!</v>
      </c>
      <c r="J275" s="51" t="str">
        <f>IFERROR(__xludf.DUMMYFUNCTION("""COMPUTED_VALUE"""),"")</f>
        <v/>
      </c>
      <c r="K275" s="51"/>
      <c r="L275" s="51" t="s">
        <v>257</v>
      </c>
      <c r="M275" s="51"/>
      <c r="N275" s="51"/>
      <c r="O275" s="51"/>
      <c r="P275" s="51"/>
      <c r="Q275" s="51"/>
      <c r="R275" s="51"/>
      <c r="S275" s="51"/>
      <c r="T275" s="51"/>
    </row>
    <row r="276">
      <c r="A276" s="51"/>
      <c r="B276" s="51"/>
      <c r="C276" s="56"/>
      <c r="D276" s="51"/>
      <c r="E276" s="51"/>
      <c r="F276" s="51"/>
      <c r="G276" s="51" t="str">
        <f>IFERROR(__xludf.DUMMYFUNCTION("""COMPUTED_VALUE"""),"#VALUE!")</f>
        <v>#VALUE!</v>
      </c>
      <c r="H276" s="51" t="str">
        <f>IFERROR(__xludf.DUMMYFUNCTION("""COMPUTED_VALUE"""),"")</f>
        <v/>
      </c>
      <c r="I276" s="51" t="str">
        <f>IFERROR(__xludf.DUMMYFUNCTION("""COMPUTED_VALUE"""),"#VALUE!")</f>
        <v>#VALUE!</v>
      </c>
      <c r="J276" s="51" t="str">
        <f>IFERROR(__xludf.DUMMYFUNCTION("""COMPUTED_VALUE"""),"")</f>
        <v/>
      </c>
      <c r="K276" s="51"/>
      <c r="L276" s="51" t="s">
        <v>257</v>
      </c>
      <c r="M276" s="51"/>
      <c r="N276" s="51"/>
      <c r="O276" s="51"/>
      <c r="P276" s="51"/>
      <c r="Q276" s="51"/>
      <c r="R276" s="51"/>
      <c r="S276" s="51"/>
      <c r="T276" s="51"/>
    </row>
    <row r="277">
      <c r="A277" s="51"/>
      <c r="B277" s="51"/>
      <c r="C277" s="56"/>
      <c r="D277" s="51"/>
      <c r="E277" s="51"/>
      <c r="F277" s="51"/>
      <c r="G277" s="51" t="str">
        <f>IFERROR(__xludf.DUMMYFUNCTION("""COMPUTED_VALUE"""),"#VALUE!")</f>
        <v>#VALUE!</v>
      </c>
      <c r="H277" s="51" t="str">
        <f>IFERROR(__xludf.DUMMYFUNCTION("""COMPUTED_VALUE"""),"")</f>
        <v/>
      </c>
      <c r="I277" s="51" t="str">
        <f>IFERROR(__xludf.DUMMYFUNCTION("""COMPUTED_VALUE"""),"#VALUE!")</f>
        <v>#VALUE!</v>
      </c>
      <c r="J277" s="51" t="str">
        <f>IFERROR(__xludf.DUMMYFUNCTION("""COMPUTED_VALUE"""),"")</f>
        <v/>
      </c>
      <c r="K277" s="51"/>
      <c r="L277" s="51" t="s">
        <v>257</v>
      </c>
      <c r="M277" s="51"/>
      <c r="N277" s="51"/>
      <c r="O277" s="51"/>
      <c r="P277" s="51"/>
      <c r="Q277" s="51"/>
      <c r="R277" s="51"/>
      <c r="S277" s="51"/>
      <c r="T277" s="51"/>
    </row>
    <row r="278">
      <c r="A278" s="51"/>
      <c r="B278" s="51"/>
      <c r="C278" s="56"/>
      <c r="D278" s="51"/>
      <c r="E278" s="51"/>
      <c r="F278" s="51"/>
      <c r="G278" s="51" t="str">
        <f>IFERROR(__xludf.DUMMYFUNCTION("""COMPUTED_VALUE"""),"#VALUE!")</f>
        <v>#VALUE!</v>
      </c>
      <c r="H278" s="51" t="str">
        <f>IFERROR(__xludf.DUMMYFUNCTION("""COMPUTED_VALUE"""),"")</f>
        <v/>
      </c>
      <c r="I278" s="51" t="str">
        <f>IFERROR(__xludf.DUMMYFUNCTION("""COMPUTED_VALUE"""),"#VALUE!")</f>
        <v>#VALUE!</v>
      </c>
      <c r="J278" s="51" t="str">
        <f>IFERROR(__xludf.DUMMYFUNCTION("""COMPUTED_VALUE"""),"")</f>
        <v/>
      </c>
      <c r="K278" s="51"/>
      <c r="L278" s="51" t="s">
        <v>257</v>
      </c>
      <c r="M278" s="51"/>
      <c r="N278" s="51"/>
      <c r="O278" s="51"/>
      <c r="P278" s="51"/>
      <c r="Q278" s="51"/>
      <c r="R278" s="51"/>
      <c r="S278" s="51"/>
      <c r="T278" s="51"/>
    </row>
    <row r="279">
      <c r="A279" s="51"/>
      <c r="B279" s="51"/>
      <c r="C279" s="56"/>
      <c r="D279" s="51"/>
      <c r="E279" s="51"/>
      <c r="F279" s="51"/>
      <c r="G279" s="51" t="str">
        <f>IFERROR(__xludf.DUMMYFUNCTION("""COMPUTED_VALUE"""),"#VALUE!")</f>
        <v>#VALUE!</v>
      </c>
      <c r="H279" s="51" t="str">
        <f>IFERROR(__xludf.DUMMYFUNCTION("""COMPUTED_VALUE"""),"")</f>
        <v/>
      </c>
      <c r="I279" s="51" t="str">
        <f>IFERROR(__xludf.DUMMYFUNCTION("""COMPUTED_VALUE"""),"#VALUE!")</f>
        <v>#VALUE!</v>
      </c>
      <c r="J279" s="51" t="str">
        <f>IFERROR(__xludf.DUMMYFUNCTION("""COMPUTED_VALUE"""),"")</f>
        <v/>
      </c>
      <c r="K279" s="51"/>
      <c r="L279" s="51" t="s">
        <v>257</v>
      </c>
      <c r="M279" s="51"/>
      <c r="N279" s="51"/>
      <c r="O279" s="51"/>
      <c r="P279" s="51"/>
      <c r="Q279" s="51"/>
      <c r="R279" s="51"/>
      <c r="S279" s="51"/>
      <c r="T279" s="51"/>
    </row>
    <row r="280">
      <c r="A280" s="51"/>
      <c r="B280" s="51"/>
      <c r="C280" s="56"/>
      <c r="D280" s="51"/>
      <c r="E280" s="51"/>
      <c r="F280" s="51"/>
      <c r="G280" s="51" t="str">
        <f>IFERROR(__xludf.DUMMYFUNCTION("""COMPUTED_VALUE"""),"#VALUE!")</f>
        <v>#VALUE!</v>
      </c>
      <c r="H280" s="51" t="str">
        <f>IFERROR(__xludf.DUMMYFUNCTION("""COMPUTED_VALUE"""),"")</f>
        <v/>
      </c>
      <c r="I280" s="51" t="str">
        <f>IFERROR(__xludf.DUMMYFUNCTION("""COMPUTED_VALUE"""),"#VALUE!")</f>
        <v>#VALUE!</v>
      </c>
      <c r="J280" s="51" t="str">
        <f>IFERROR(__xludf.DUMMYFUNCTION("""COMPUTED_VALUE"""),"")</f>
        <v/>
      </c>
      <c r="K280" s="51"/>
      <c r="L280" s="51" t="s">
        <v>257</v>
      </c>
      <c r="M280" s="51"/>
      <c r="N280" s="51"/>
      <c r="O280" s="51"/>
      <c r="P280" s="51"/>
      <c r="Q280" s="51"/>
      <c r="R280" s="51"/>
      <c r="S280" s="51"/>
      <c r="T280" s="51"/>
    </row>
    <row r="281">
      <c r="A281" s="51"/>
      <c r="B281" s="51"/>
      <c r="C281" s="56"/>
      <c r="D281" s="51"/>
      <c r="E281" s="51"/>
      <c r="F281" s="51"/>
      <c r="G281" s="51" t="str">
        <f>IFERROR(__xludf.DUMMYFUNCTION("""COMPUTED_VALUE"""),"#VALUE!")</f>
        <v>#VALUE!</v>
      </c>
      <c r="H281" s="51" t="str">
        <f>IFERROR(__xludf.DUMMYFUNCTION("""COMPUTED_VALUE"""),"")</f>
        <v/>
      </c>
      <c r="I281" s="51" t="str">
        <f>IFERROR(__xludf.DUMMYFUNCTION("""COMPUTED_VALUE"""),"#VALUE!")</f>
        <v>#VALUE!</v>
      </c>
      <c r="J281" s="51" t="str">
        <f>IFERROR(__xludf.DUMMYFUNCTION("""COMPUTED_VALUE"""),"")</f>
        <v/>
      </c>
      <c r="K281" s="51"/>
      <c r="L281" s="51" t="s">
        <v>257</v>
      </c>
      <c r="M281" s="51"/>
      <c r="N281" s="51"/>
      <c r="O281" s="51"/>
      <c r="P281" s="51"/>
      <c r="Q281" s="51"/>
      <c r="R281" s="51"/>
      <c r="S281" s="51"/>
      <c r="T281" s="51"/>
    </row>
    <row r="282">
      <c r="A282" s="51"/>
      <c r="B282" s="51"/>
      <c r="C282" s="56"/>
      <c r="D282" s="51"/>
      <c r="E282" s="51"/>
      <c r="F282" s="51"/>
      <c r="G282" s="51" t="str">
        <f>IFERROR(__xludf.DUMMYFUNCTION("""COMPUTED_VALUE"""),"#VALUE!")</f>
        <v>#VALUE!</v>
      </c>
      <c r="H282" s="51" t="str">
        <f>IFERROR(__xludf.DUMMYFUNCTION("""COMPUTED_VALUE"""),"")</f>
        <v/>
      </c>
      <c r="I282" s="51" t="str">
        <f>IFERROR(__xludf.DUMMYFUNCTION("""COMPUTED_VALUE"""),"#VALUE!")</f>
        <v>#VALUE!</v>
      </c>
      <c r="J282" s="51" t="str">
        <f>IFERROR(__xludf.DUMMYFUNCTION("""COMPUTED_VALUE"""),"")</f>
        <v/>
      </c>
      <c r="K282" s="51"/>
      <c r="L282" s="51" t="s">
        <v>257</v>
      </c>
      <c r="M282" s="51"/>
      <c r="N282" s="51"/>
      <c r="O282" s="51"/>
      <c r="P282" s="51"/>
      <c r="Q282" s="51"/>
      <c r="R282" s="51"/>
      <c r="S282" s="51"/>
      <c r="T282" s="51"/>
    </row>
    <row r="283">
      <c r="A283" s="51"/>
      <c r="B283" s="51"/>
      <c r="C283" s="56"/>
      <c r="D283" s="51"/>
      <c r="E283" s="51"/>
      <c r="F283" s="51"/>
      <c r="G283" s="51" t="str">
        <f>IFERROR(__xludf.DUMMYFUNCTION("""COMPUTED_VALUE"""),"#VALUE!")</f>
        <v>#VALUE!</v>
      </c>
      <c r="H283" s="51" t="str">
        <f>IFERROR(__xludf.DUMMYFUNCTION("""COMPUTED_VALUE"""),"")</f>
        <v/>
      </c>
      <c r="I283" s="51" t="str">
        <f>IFERROR(__xludf.DUMMYFUNCTION("""COMPUTED_VALUE"""),"#VALUE!")</f>
        <v>#VALUE!</v>
      </c>
      <c r="J283" s="51" t="str">
        <f>IFERROR(__xludf.DUMMYFUNCTION("""COMPUTED_VALUE"""),"")</f>
        <v/>
      </c>
      <c r="K283" s="51"/>
      <c r="L283" s="51" t="s">
        <v>257</v>
      </c>
      <c r="M283" s="51"/>
      <c r="N283" s="51"/>
      <c r="O283" s="51"/>
      <c r="P283" s="51"/>
      <c r="Q283" s="51"/>
      <c r="R283" s="51"/>
      <c r="S283" s="51"/>
      <c r="T283" s="51"/>
    </row>
    <row r="284">
      <c r="A284" s="51"/>
      <c r="B284" s="51"/>
      <c r="C284" s="56"/>
      <c r="D284" s="51"/>
      <c r="E284" s="51"/>
      <c r="F284" s="51"/>
      <c r="G284" s="51" t="str">
        <f>IFERROR(__xludf.DUMMYFUNCTION("""COMPUTED_VALUE"""),"#VALUE!")</f>
        <v>#VALUE!</v>
      </c>
      <c r="H284" s="51" t="str">
        <f>IFERROR(__xludf.DUMMYFUNCTION("""COMPUTED_VALUE"""),"")</f>
        <v/>
      </c>
      <c r="I284" s="51" t="str">
        <f>IFERROR(__xludf.DUMMYFUNCTION("""COMPUTED_VALUE"""),"#VALUE!")</f>
        <v>#VALUE!</v>
      </c>
      <c r="J284" s="51" t="str">
        <f>IFERROR(__xludf.DUMMYFUNCTION("""COMPUTED_VALUE"""),"")</f>
        <v/>
      </c>
      <c r="K284" s="51"/>
      <c r="L284" s="51" t="s">
        <v>257</v>
      </c>
      <c r="M284" s="51"/>
      <c r="N284" s="51"/>
      <c r="O284" s="51"/>
      <c r="P284" s="51"/>
      <c r="Q284" s="51"/>
      <c r="R284" s="51"/>
      <c r="S284" s="51"/>
      <c r="T284" s="51"/>
    </row>
    <row r="285">
      <c r="A285" s="51"/>
      <c r="B285" s="51"/>
      <c r="C285" s="56"/>
      <c r="D285" s="51"/>
      <c r="E285" s="51"/>
      <c r="F285" s="51"/>
      <c r="G285" s="51" t="str">
        <f>IFERROR(__xludf.DUMMYFUNCTION("""COMPUTED_VALUE"""),"#VALUE!")</f>
        <v>#VALUE!</v>
      </c>
      <c r="H285" s="51" t="str">
        <f>IFERROR(__xludf.DUMMYFUNCTION("""COMPUTED_VALUE"""),"")</f>
        <v/>
      </c>
      <c r="I285" s="51" t="str">
        <f>IFERROR(__xludf.DUMMYFUNCTION("""COMPUTED_VALUE"""),"#VALUE!")</f>
        <v>#VALUE!</v>
      </c>
      <c r="J285" s="51" t="str">
        <f>IFERROR(__xludf.DUMMYFUNCTION("""COMPUTED_VALUE"""),"")</f>
        <v/>
      </c>
      <c r="K285" s="51"/>
      <c r="L285" s="51" t="s">
        <v>257</v>
      </c>
      <c r="M285" s="51"/>
      <c r="N285" s="51"/>
      <c r="O285" s="51"/>
      <c r="P285" s="51"/>
      <c r="Q285" s="51"/>
      <c r="R285" s="51"/>
      <c r="S285" s="51"/>
      <c r="T285" s="51"/>
    </row>
    <row r="286">
      <c r="A286" s="51"/>
      <c r="B286" s="51"/>
      <c r="C286" s="56"/>
      <c r="D286" s="51"/>
      <c r="E286" s="51"/>
      <c r="F286" s="51"/>
      <c r="G286" s="51" t="str">
        <f>IFERROR(__xludf.DUMMYFUNCTION("""COMPUTED_VALUE"""),"#VALUE!")</f>
        <v>#VALUE!</v>
      </c>
      <c r="H286" s="51" t="str">
        <f>IFERROR(__xludf.DUMMYFUNCTION("""COMPUTED_VALUE"""),"")</f>
        <v/>
      </c>
      <c r="I286" s="51" t="str">
        <f>IFERROR(__xludf.DUMMYFUNCTION("""COMPUTED_VALUE"""),"#VALUE!")</f>
        <v>#VALUE!</v>
      </c>
      <c r="J286" s="51" t="str">
        <f>IFERROR(__xludf.DUMMYFUNCTION("""COMPUTED_VALUE"""),"")</f>
        <v/>
      </c>
      <c r="K286" s="51"/>
      <c r="L286" s="51" t="s">
        <v>257</v>
      </c>
      <c r="M286" s="51"/>
      <c r="N286" s="51"/>
      <c r="O286" s="51"/>
      <c r="P286" s="51"/>
      <c r="Q286" s="51"/>
      <c r="R286" s="51"/>
      <c r="S286" s="51"/>
      <c r="T286" s="51"/>
    </row>
    <row r="287">
      <c r="A287" s="51"/>
      <c r="B287" s="51"/>
      <c r="C287" s="56"/>
      <c r="D287" s="51"/>
      <c r="E287" s="51"/>
      <c r="F287" s="51"/>
      <c r="G287" s="51" t="str">
        <f>IFERROR(__xludf.DUMMYFUNCTION("""COMPUTED_VALUE"""),"#VALUE!")</f>
        <v>#VALUE!</v>
      </c>
      <c r="H287" s="51" t="str">
        <f>IFERROR(__xludf.DUMMYFUNCTION("""COMPUTED_VALUE"""),"")</f>
        <v/>
      </c>
      <c r="I287" s="51" t="str">
        <f>IFERROR(__xludf.DUMMYFUNCTION("""COMPUTED_VALUE"""),"#VALUE!")</f>
        <v>#VALUE!</v>
      </c>
      <c r="J287" s="51" t="str">
        <f>IFERROR(__xludf.DUMMYFUNCTION("""COMPUTED_VALUE"""),"")</f>
        <v/>
      </c>
      <c r="K287" s="51"/>
      <c r="L287" s="51" t="s">
        <v>257</v>
      </c>
      <c r="M287" s="51"/>
      <c r="N287" s="51"/>
      <c r="O287" s="51"/>
      <c r="P287" s="51"/>
      <c r="Q287" s="51"/>
      <c r="R287" s="51"/>
      <c r="S287" s="51"/>
      <c r="T287" s="51"/>
    </row>
    <row r="288">
      <c r="A288" s="51"/>
      <c r="B288" s="51"/>
      <c r="C288" s="56"/>
      <c r="D288" s="51"/>
      <c r="E288" s="51"/>
      <c r="F288" s="51"/>
      <c r="G288" s="51" t="str">
        <f>IFERROR(__xludf.DUMMYFUNCTION("""COMPUTED_VALUE"""),"#VALUE!")</f>
        <v>#VALUE!</v>
      </c>
      <c r="H288" s="51" t="str">
        <f>IFERROR(__xludf.DUMMYFUNCTION("""COMPUTED_VALUE"""),"")</f>
        <v/>
      </c>
      <c r="I288" s="51" t="str">
        <f>IFERROR(__xludf.DUMMYFUNCTION("""COMPUTED_VALUE"""),"#VALUE!")</f>
        <v>#VALUE!</v>
      </c>
      <c r="J288" s="51" t="str">
        <f>IFERROR(__xludf.DUMMYFUNCTION("""COMPUTED_VALUE"""),"")</f>
        <v/>
      </c>
      <c r="K288" s="51"/>
      <c r="L288" s="51" t="s">
        <v>257</v>
      </c>
      <c r="M288" s="51"/>
      <c r="N288" s="51"/>
      <c r="O288" s="51"/>
      <c r="P288" s="51"/>
      <c r="Q288" s="51"/>
      <c r="R288" s="51"/>
      <c r="S288" s="51"/>
      <c r="T288" s="51"/>
    </row>
    <row r="289">
      <c r="A289" s="51"/>
      <c r="B289" s="51"/>
      <c r="C289" s="56"/>
      <c r="D289" s="51"/>
      <c r="E289" s="51"/>
      <c r="F289" s="51"/>
      <c r="G289" s="51" t="str">
        <f>IFERROR(__xludf.DUMMYFUNCTION("""COMPUTED_VALUE"""),"#VALUE!")</f>
        <v>#VALUE!</v>
      </c>
      <c r="H289" s="51" t="str">
        <f>IFERROR(__xludf.DUMMYFUNCTION("""COMPUTED_VALUE"""),"")</f>
        <v/>
      </c>
      <c r="I289" s="51" t="str">
        <f>IFERROR(__xludf.DUMMYFUNCTION("""COMPUTED_VALUE"""),"#VALUE!")</f>
        <v>#VALUE!</v>
      </c>
      <c r="J289" s="51" t="str">
        <f>IFERROR(__xludf.DUMMYFUNCTION("""COMPUTED_VALUE"""),"")</f>
        <v/>
      </c>
      <c r="K289" s="51"/>
      <c r="L289" s="51" t="s">
        <v>257</v>
      </c>
      <c r="M289" s="51"/>
      <c r="N289" s="51"/>
      <c r="O289" s="51"/>
      <c r="P289" s="51"/>
      <c r="Q289" s="51"/>
      <c r="R289" s="51"/>
      <c r="S289" s="51"/>
      <c r="T289" s="51"/>
    </row>
    <row r="290">
      <c r="A290" s="51"/>
      <c r="B290" s="51"/>
      <c r="C290" s="56"/>
      <c r="D290" s="51"/>
      <c r="E290" s="51"/>
      <c r="F290" s="51"/>
      <c r="G290" s="51" t="str">
        <f>IFERROR(__xludf.DUMMYFUNCTION("""COMPUTED_VALUE"""),"#VALUE!")</f>
        <v>#VALUE!</v>
      </c>
      <c r="H290" s="51" t="str">
        <f>IFERROR(__xludf.DUMMYFUNCTION("""COMPUTED_VALUE"""),"")</f>
        <v/>
      </c>
      <c r="I290" s="51" t="str">
        <f>IFERROR(__xludf.DUMMYFUNCTION("""COMPUTED_VALUE"""),"#VALUE!")</f>
        <v>#VALUE!</v>
      </c>
      <c r="J290" s="51" t="str">
        <f>IFERROR(__xludf.DUMMYFUNCTION("""COMPUTED_VALUE"""),"")</f>
        <v/>
      </c>
      <c r="K290" s="51"/>
      <c r="L290" s="51" t="s">
        <v>257</v>
      </c>
      <c r="M290" s="51"/>
      <c r="N290" s="51"/>
      <c r="O290" s="51"/>
      <c r="P290" s="51"/>
      <c r="Q290" s="51"/>
      <c r="R290" s="51"/>
      <c r="S290" s="51"/>
      <c r="T290" s="51"/>
    </row>
    <row r="291">
      <c r="A291" s="51"/>
      <c r="B291" s="51"/>
      <c r="C291" s="56"/>
      <c r="D291" s="51"/>
      <c r="E291" s="51"/>
      <c r="F291" s="51"/>
      <c r="G291" s="51" t="str">
        <f>IFERROR(__xludf.DUMMYFUNCTION("""COMPUTED_VALUE"""),"#VALUE!")</f>
        <v>#VALUE!</v>
      </c>
      <c r="H291" s="51" t="str">
        <f>IFERROR(__xludf.DUMMYFUNCTION("""COMPUTED_VALUE"""),"")</f>
        <v/>
      </c>
      <c r="I291" s="51" t="str">
        <f>IFERROR(__xludf.DUMMYFUNCTION("""COMPUTED_VALUE"""),"#VALUE!")</f>
        <v>#VALUE!</v>
      </c>
      <c r="J291" s="51" t="str">
        <f>IFERROR(__xludf.DUMMYFUNCTION("""COMPUTED_VALUE"""),"")</f>
        <v/>
      </c>
      <c r="K291" s="51"/>
      <c r="L291" s="51" t="s">
        <v>257</v>
      </c>
      <c r="M291" s="51"/>
      <c r="N291" s="51"/>
      <c r="O291" s="51"/>
      <c r="P291" s="51"/>
      <c r="Q291" s="51"/>
      <c r="R291" s="51"/>
      <c r="S291" s="51"/>
      <c r="T291" s="51"/>
    </row>
    <row r="292">
      <c r="A292" s="51"/>
      <c r="B292" s="51"/>
      <c r="C292" s="56"/>
      <c r="D292" s="51"/>
      <c r="E292" s="51"/>
      <c r="F292" s="51"/>
      <c r="G292" s="51" t="str">
        <f>IFERROR(__xludf.DUMMYFUNCTION("""COMPUTED_VALUE"""),"#VALUE!")</f>
        <v>#VALUE!</v>
      </c>
      <c r="H292" s="51" t="str">
        <f>IFERROR(__xludf.DUMMYFUNCTION("""COMPUTED_VALUE"""),"")</f>
        <v/>
      </c>
      <c r="I292" s="51" t="str">
        <f>IFERROR(__xludf.DUMMYFUNCTION("""COMPUTED_VALUE"""),"#VALUE!")</f>
        <v>#VALUE!</v>
      </c>
      <c r="J292" s="51" t="str">
        <f>IFERROR(__xludf.DUMMYFUNCTION("""COMPUTED_VALUE"""),"")</f>
        <v/>
      </c>
      <c r="K292" s="51"/>
      <c r="L292" s="51" t="s">
        <v>257</v>
      </c>
      <c r="M292" s="51"/>
      <c r="N292" s="51"/>
      <c r="O292" s="51"/>
      <c r="P292" s="51"/>
      <c r="Q292" s="51"/>
      <c r="R292" s="51"/>
      <c r="S292" s="51"/>
      <c r="T292" s="51"/>
    </row>
    <row r="293">
      <c r="A293" s="51"/>
      <c r="B293" s="51"/>
      <c r="C293" s="56"/>
      <c r="D293" s="51"/>
      <c r="E293" s="51"/>
      <c r="F293" s="51"/>
      <c r="G293" s="51" t="str">
        <f>IFERROR(__xludf.DUMMYFUNCTION("""COMPUTED_VALUE"""),"#VALUE!")</f>
        <v>#VALUE!</v>
      </c>
      <c r="H293" s="51" t="str">
        <f>IFERROR(__xludf.DUMMYFUNCTION("""COMPUTED_VALUE"""),"")</f>
        <v/>
      </c>
      <c r="I293" s="51" t="str">
        <f>IFERROR(__xludf.DUMMYFUNCTION("""COMPUTED_VALUE"""),"#VALUE!")</f>
        <v>#VALUE!</v>
      </c>
      <c r="J293" s="51" t="str">
        <f>IFERROR(__xludf.DUMMYFUNCTION("""COMPUTED_VALUE"""),"")</f>
        <v/>
      </c>
      <c r="K293" s="51"/>
      <c r="L293" s="51" t="s">
        <v>257</v>
      </c>
      <c r="M293" s="51"/>
      <c r="N293" s="51"/>
      <c r="O293" s="51"/>
      <c r="P293" s="51"/>
      <c r="Q293" s="51"/>
      <c r="R293" s="51"/>
      <c r="S293" s="51"/>
      <c r="T293" s="51"/>
    </row>
    <row r="294">
      <c r="A294" s="51"/>
      <c r="B294" s="51"/>
      <c r="C294" s="56"/>
      <c r="D294" s="51"/>
      <c r="E294" s="51"/>
      <c r="F294" s="51"/>
      <c r="G294" s="51" t="str">
        <f>IFERROR(__xludf.DUMMYFUNCTION("""COMPUTED_VALUE"""),"#VALUE!")</f>
        <v>#VALUE!</v>
      </c>
      <c r="H294" s="51" t="str">
        <f>IFERROR(__xludf.DUMMYFUNCTION("""COMPUTED_VALUE"""),"")</f>
        <v/>
      </c>
      <c r="I294" s="51" t="str">
        <f>IFERROR(__xludf.DUMMYFUNCTION("""COMPUTED_VALUE"""),"#VALUE!")</f>
        <v>#VALUE!</v>
      </c>
      <c r="J294" s="51" t="str">
        <f>IFERROR(__xludf.DUMMYFUNCTION("""COMPUTED_VALUE"""),"")</f>
        <v/>
      </c>
      <c r="K294" s="51"/>
      <c r="L294" s="51" t="s">
        <v>257</v>
      </c>
      <c r="M294" s="51"/>
      <c r="N294" s="51"/>
      <c r="O294" s="51"/>
      <c r="P294" s="51"/>
      <c r="Q294" s="51"/>
      <c r="R294" s="51"/>
      <c r="S294" s="51"/>
      <c r="T294" s="51"/>
    </row>
    <row r="295">
      <c r="A295" s="51"/>
      <c r="B295" s="51"/>
      <c r="C295" s="56"/>
      <c r="D295" s="51"/>
      <c r="E295" s="51"/>
      <c r="F295" s="51"/>
      <c r="G295" s="51" t="str">
        <f>IFERROR(__xludf.DUMMYFUNCTION("""COMPUTED_VALUE"""),"#VALUE!")</f>
        <v>#VALUE!</v>
      </c>
      <c r="H295" s="51" t="str">
        <f>IFERROR(__xludf.DUMMYFUNCTION("""COMPUTED_VALUE"""),"")</f>
        <v/>
      </c>
      <c r="I295" s="51" t="str">
        <f>IFERROR(__xludf.DUMMYFUNCTION("""COMPUTED_VALUE"""),"#VALUE!")</f>
        <v>#VALUE!</v>
      </c>
      <c r="J295" s="51" t="str">
        <f>IFERROR(__xludf.DUMMYFUNCTION("""COMPUTED_VALUE"""),"")</f>
        <v/>
      </c>
      <c r="K295" s="51"/>
      <c r="L295" s="51" t="s">
        <v>257</v>
      </c>
      <c r="M295" s="51"/>
      <c r="N295" s="51"/>
      <c r="O295" s="51"/>
      <c r="P295" s="51"/>
      <c r="Q295" s="51"/>
      <c r="R295" s="51"/>
      <c r="S295" s="51"/>
      <c r="T295" s="51"/>
    </row>
    <row r="296">
      <c r="A296" s="51"/>
      <c r="B296" s="51"/>
      <c r="C296" s="56"/>
      <c r="D296" s="51"/>
      <c r="E296" s="51"/>
      <c r="F296" s="51"/>
      <c r="G296" s="51" t="str">
        <f>IFERROR(__xludf.DUMMYFUNCTION("""COMPUTED_VALUE"""),"#VALUE!")</f>
        <v>#VALUE!</v>
      </c>
      <c r="H296" s="51" t="str">
        <f>IFERROR(__xludf.DUMMYFUNCTION("""COMPUTED_VALUE"""),"")</f>
        <v/>
      </c>
      <c r="I296" s="51" t="str">
        <f>IFERROR(__xludf.DUMMYFUNCTION("""COMPUTED_VALUE"""),"#VALUE!")</f>
        <v>#VALUE!</v>
      </c>
      <c r="J296" s="51" t="str">
        <f>IFERROR(__xludf.DUMMYFUNCTION("""COMPUTED_VALUE"""),"")</f>
        <v/>
      </c>
      <c r="K296" s="51"/>
      <c r="L296" s="51" t="s">
        <v>257</v>
      </c>
      <c r="M296" s="51"/>
      <c r="N296" s="51"/>
      <c r="O296" s="51"/>
      <c r="P296" s="51"/>
      <c r="Q296" s="51"/>
      <c r="R296" s="51"/>
      <c r="S296" s="51"/>
      <c r="T296" s="51"/>
    </row>
    <row r="297">
      <c r="A297" s="51"/>
      <c r="B297" s="51"/>
      <c r="C297" s="56"/>
      <c r="D297" s="51"/>
      <c r="E297" s="51"/>
      <c r="F297" s="51"/>
      <c r="G297" s="51" t="str">
        <f>IFERROR(__xludf.DUMMYFUNCTION("""COMPUTED_VALUE"""),"#VALUE!")</f>
        <v>#VALUE!</v>
      </c>
      <c r="H297" s="51" t="str">
        <f>IFERROR(__xludf.DUMMYFUNCTION("""COMPUTED_VALUE"""),"")</f>
        <v/>
      </c>
      <c r="I297" s="51" t="str">
        <f>IFERROR(__xludf.DUMMYFUNCTION("""COMPUTED_VALUE"""),"#VALUE!")</f>
        <v>#VALUE!</v>
      </c>
      <c r="J297" s="51" t="str">
        <f>IFERROR(__xludf.DUMMYFUNCTION("""COMPUTED_VALUE"""),"")</f>
        <v/>
      </c>
      <c r="K297" s="51"/>
      <c r="L297" s="51" t="s">
        <v>257</v>
      </c>
      <c r="M297" s="51"/>
      <c r="N297" s="51"/>
      <c r="O297" s="51"/>
      <c r="P297" s="51"/>
      <c r="Q297" s="51"/>
      <c r="R297" s="51"/>
      <c r="S297" s="51"/>
      <c r="T297" s="51"/>
    </row>
    <row r="298">
      <c r="A298" s="51"/>
      <c r="B298" s="51"/>
      <c r="C298" s="56"/>
      <c r="D298" s="51"/>
      <c r="E298" s="51"/>
      <c r="F298" s="51"/>
      <c r="G298" s="51" t="str">
        <f>IFERROR(__xludf.DUMMYFUNCTION("""COMPUTED_VALUE"""),"#VALUE!")</f>
        <v>#VALUE!</v>
      </c>
      <c r="H298" s="51" t="str">
        <f>IFERROR(__xludf.DUMMYFUNCTION("""COMPUTED_VALUE"""),"")</f>
        <v/>
      </c>
      <c r="I298" s="51" t="str">
        <f>IFERROR(__xludf.DUMMYFUNCTION("""COMPUTED_VALUE"""),"#VALUE!")</f>
        <v>#VALUE!</v>
      </c>
      <c r="J298" s="51" t="str">
        <f>IFERROR(__xludf.DUMMYFUNCTION("""COMPUTED_VALUE"""),"")</f>
        <v/>
      </c>
      <c r="K298" s="51"/>
      <c r="L298" s="51" t="s">
        <v>257</v>
      </c>
      <c r="M298" s="51"/>
      <c r="N298" s="51"/>
      <c r="O298" s="51"/>
      <c r="P298" s="51"/>
      <c r="Q298" s="51"/>
      <c r="R298" s="51"/>
      <c r="S298" s="51"/>
      <c r="T298" s="51"/>
    </row>
    <row r="299">
      <c r="A299" s="51"/>
      <c r="B299" s="51"/>
      <c r="C299" s="56"/>
      <c r="D299" s="51"/>
      <c r="E299" s="51"/>
      <c r="F299" s="51"/>
      <c r="G299" s="51" t="str">
        <f>IFERROR(__xludf.DUMMYFUNCTION("""COMPUTED_VALUE"""),"#VALUE!")</f>
        <v>#VALUE!</v>
      </c>
      <c r="H299" s="51" t="str">
        <f>IFERROR(__xludf.DUMMYFUNCTION("""COMPUTED_VALUE"""),"")</f>
        <v/>
      </c>
      <c r="I299" s="51" t="str">
        <f>IFERROR(__xludf.DUMMYFUNCTION("""COMPUTED_VALUE"""),"#VALUE!")</f>
        <v>#VALUE!</v>
      </c>
      <c r="J299" s="51" t="str">
        <f>IFERROR(__xludf.DUMMYFUNCTION("""COMPUTED_VALUE"""),"")</f>
        <v/>
      </c>
      <c r="K299" s="51"/>
      <c r="L299" s="51" t="s">
        <v>257</v>
      </c>
      <c r="M299" s="51"/>
      <c r="N299" s="51"/>
      <c r="O299" s="51"/>
      <c r="P299" s="51"/>
      <c r="Q299" s="51"/>
      <c r="R299" s="51"/>
      <c r="S299" s="51"/>
      <c r="T299" s="51"/>
    </row>
    <row r="300">
      <c r="A300" s="51"/>
      <c r="B300" s="51"/>
      <c r="C300" s="56"/>
      <c r="D300" s="51"/>
      <c r="E300" s="51"/>
      <c r="F300" s="51"/>
      <c r="G300" s="51" t="str">
        <f>IFERROR(__xludf.DUMMYFUNCTION("""COMPUTED_VALUE"""),"#VALUE!")</f>
        <v>#VALUE!</v>
      </c>
      <c r="H300" s="51" t="str">
        <f>IFERROR(__xludf.DUMMYFUNCTION("""COMPUTED_VALUE"""),"")</f>
        <v/>
      </c>
      <c r="I300" s="51" t="str">
        <f>IFERROR(__xludf.DUMMYFUNCTION("""COMPUTED_VALUE"""),"#VALUE!")</f>
        <v>#VALUE!</v>
      </c>
      <c r="J300" s="51" t="str">
        <f>IFERROR(__xludf.DUMMYFUNCTION("""COMPUTED_VALUE"""),"")</f>
        <v/>
      </c>
      <c r="K300" s="51"/>
      <c r="L300" s="51" t="s">
        <v>257</v>
      </c>
      <c r="M300" s="51"/>
      <c r="N300" s="51"/>
      <c r="O300" s="51"/>
      <c r="P300" s="51"/>
      <c r="Q300" s="51"/>
      <c r="R300" s="51"/>
      <c r="S300" s="51"/>
      <c r="T300" s="51"/>
    </row>
    <row r="301">
      <c r="A301" s="51"/>
      <c r="B301" s="51"/>
      <c r="C301" s="56"/>
      <c r="D301" s="51"/>
      <c r="E301" s="51"/>
      <c r="F301" s="51"/>
      <c r="G301" s="51" t="str">
        <f>IFERROR(__xludf.DUMMYFUNCTION("""COMPUTED_VALUE"""),"#VALUE!")</f>
        <v>#VALUE!</v>
      </c>
      <c r="H301" s="51" t="str">
        <f>IFERROR(__xludf.DUMMYFUNCTION("""COMPUTED_VALUE"""),"")</f>
        <v/>
      </c>
      <c r="I301" s="51" t="str">
        <f>IFERROR(__xludf.DUMMYFUNCTION("""COMPUTED_VALUE"""),"#VALUE!")</f>
        <v>#VALUE!</v>
      </c>
      <c r="J301" s="51" t="str">
        <f>IFERROR(__xludf.DUMMYFUNCTION("""COMPUTED_VALUE"""),"")</f>
        <v/>
      </c>
      <c r="K301" s="51"/>
      <c r="L301" s="51" t="s">
        <v>257</v>
      </c>
      <c r="M301" s="51"/>
      <c r="N301" s="51"/>
      <c r="O301" s="51"/>
      <c r="P301" s="51"/>
      <c r="Q301" s="51"/>
      <c r="R301" s="51"/>
      <c r="S301" s="51"/>
      <c r="T301" s="51"/>
    </row>
    <row r="302">
      <c r="A302" s="51"/>
      <c r="B302" s="51"/>
      <c r="C302" s="56"/>
      <c r="D302" s="51"/>
      <c r="E302" s="51"/>
      <c r="F302" s="51"/>
      <c r="G302" s="51" t="str">
        <f>IFERROR(__xludf.DUMMYFUNCTION("""COMPUTED_VALUE"""),"#VALUE!")</f>
        <v>#VALUE!</v>
      </c>
      <c r="H302" s="51" t="str">
        <f>IFERROR(__xludf.DUMMYFUNCTION("""COMPUTED_VALUE"""),"")</f>
        <v/>
      </c>
      <c r="I302" s="51" t="str">
        <f>IFERROR(__xludf.DUMMYFUNCTION("""COMPUTED_VALUE"""),"#VALUE!")</f>
        <v>#VALUE!</v>
      </c>
      <c r="J302" s="51" t="str">
        <f>IFERROR(__xludf.DUMMYFUNCTION("""COMPUTED_VALUE"""),"")</f>
        <v/>
      </c>
      <c r="K302" s="51"/>
      <c r="L302" s="51" t="s">
        <v>257</v>
      </c>
      <c r="M302" s="51"/>
      <c r="N302" s="51"/>
      <c r="O302" s="51"/>
      <c r="P302" s="51"/>
      <c r="Q302" s="51"/>
      <c r="R302" s="51"/>
      <c r="S302" s="51"/>
      <c r="T302" s="51"/>
    </row>
    <row r="303">
      <c r="A303" s="51"/>
      <c r="B303" s="51"/>
      <c r="C303" s="56"/>
      <c r="D303" s="51"/>
      <c r="E303" s="51"/>
      <c r="F303" s="51"/>
      <c r="G303" s="51" t="str">
        <f>IFERROR(__xludf.DUMMYFUNCTION("""COMPUTED_VALUE"""),"#VALUE!")</f>
        <v>#VALUE!</v>
      </c>
      <c r="H303" s="51" t="str">
        <f>IFERROR(__xludf.DUMMYFUNCTION("""COMPUTED_VALUE"""),"")</f>
        <v/>
      </c>
      <c r="I303" s="51" t="str">
        <f>IFERROR(__xludf.DUMMYFUNCTION("""COMPUTED_VALUE"""),"#VALUE!")</f>
        <v>#VALUE!</v>
      </c>
      <c r="J303" s="51" t="str">
        <f>IFERROR(__xludf.DUMMYFUNCTION("""COMPUTED_VALUE"""),"")</f>
        <v/>
      </c>
      <c r="K303" s="51"/>
      <c r="L303" s="51" t="s">
        <v>257</v>
      </c>
      <c r="M303" s="51"/>
      <c r="N303" s="51"/>
      <c r="O303" s="51"/>
      <c r="P303" s="51"/>
      <c r="Q303" s="51"/>
      <c r="R303" s="51"/>
      <c r="S303" s="51"/>
      <c r="T303" s="51"/>
    </row>
    <row r="304">
      <c r="A304" s="51"/>
      <c r="B304" s="51"/>
      <c r="C304" s="56"/>
      <c r="D304" s="51"/>
      <c r="E304" s="51"/>
      <c r="F304" s="51"/>
      <c r="G304" s="51" t="str">
        <f>IFERROR(__xludf.DUMMYFUNCTION("""COMPUTED_VALUE"""),"#VALUE!")</f>
        <v>#VALUE!</v>
      </c>
      <c r="H304" s="51" t="str">
        <f>IFERROR(__xludf.DUMMYFUNCTION("""COMPUTED_VALUE"""),"")</f>
        <v/>
      </c>
      <c r="I304" s="51" t="str">
        <f>IFERROR(__xludf.DUMMYFUNCTION("""COMPUTED_VALUE"""),"#VALUE!")</f>
        <v>#VALUE!</v>
      </c>
      <c r="J304" s="51" t="str">
        <f>IFERROR(__xludf.DUMMYFUNCTION("""COMPUTED_VALUE"""),"")</f>
        <v/>
      </c>
      <c r="K304" s="51"/>
      <c r="L304" s="51" t="s">
        <v>257</v>
      </c>
      <c r="M304" s="51"/>
      <c r="N304" s="51"/>
      <c r="O304" s="51"/>
      <c r="P304" s="51"/>
      <c r="Q304" s="51"/>
      <c r="R304" s="51"/>
      <c r="S304" s="51"/>
      <c r="T304" s="51"/>
    </row>
    <row r="305">
      <c r="A305" s="51"/>
      <c r="B305" s="51"/>
      <c r="C305" s="56"/>
      <c r="D305" s="51"/>
      <c r="E305" s="51"/>
      <c r="F305" s="51"/>
      <c r="G305" s="51" t="str">
        <f>IFERROR(__xludf.DUMMYFUNCTION("""COMPUTED_VALUE"""),"#VALUE!")</f>
        <v>#VALUE!</v>
      </c>
      <c r="H305" s="51" t="str">
        <f>IFERROR(__xludf.DUMMYFUNCTION("""COMPUTED_VALUE"""),"")</f>
        <v/>
      </c>
      <c r="I305" s="51" t="str">
        <f>IFERROR(__xludf.DUMMYFUNCTION("""COMPUTED_VALUE"""),"#VALUE!")</f>
        <v>#VALUE!</v>
      </c>
      <c r="J305" s="51" t="str">
        <f>IFERROR(__xludf.DUMMYFUNCTION("""COMPUTED_VALUE"""),"")</f>
        <v/>
      </c>
      <c r="K305" s="51"/>
      <c r="L305" s="51" t="s">
        <v>257</v>
      </c>
      <c r="M305" s="51"/>
      <c r="N305" s="51"/>
      <c r="O305" s="51"/>
      <c r="P305" s="51"/>
      <c r="Q305" s="51"/>
      <c r="R305" s="51"/>
      <c r="S305" s="51"/>
      <c r="T305" s="51"/>
    </row>
    <row r="306">
      <c r="A306" s="51"/>
      <c r="B306" s="51"/>
      <c r="C306" s="56"/>
      <c r="D306" s="51"/>
      <c r="E306" s="51"/>
      <c r="F306" s="51"/>
      <c r="G306" s="51" t="str">
        <f>IFERROR(__xludf.DUMMYFUNCTION("""COMPUTED_VALUE"""),"#VALUE!")</f>
        <v>#VALUE!</v>
      </c>
      <c r="H306" s="51" t="str">
        <f>IFERROR(__xludf.DUMMYFUNCTION("""COMPUTED_VALUE"""),"")</f>
        <v/>
      </c>
      <c r="I306" s="51" t="str">
        <f>IFERROR(__xludf.DUMMYFUNCTION("""COMPUTED_VALUE"""),"#VALUE!")</f>
        <v>#VALUE!</v>
      </c>
      <c r="J306" s="51" t="str">
        <f>IFERROR(__xludf.DUMMYFUNCTION("""COMPUTED_VALUE"""),"")</f>
        <v/>
      </c>
      <c r="K306" s="51"/>
      <c r="L306" s="51" t="s">
        <v>257</v>
      </c>
      <c r="M306" s="51"/>
      <c r="N306" s="51"/>
      <c r="O306" s="51"/>
      <c r="P306" s="51"/>
      <c r="Q306" s="51"/>
      <c r="R306" s="51"/>
      <c r="S306" s="51"/>
      <c r="T306" s="51"/>
    </row>
    <row r="307">
      <c r="A307" s="51"/>
      <c r="B307" s="51"/>
      <c r="C307" s="56"/>
      <c r="D307" s="51"/>
      <c r="E307" s="51"/>
      <c r="F307" s="51"/>
      <c r="G307" s="51" t="str">
        <f>IFERROR(__xludf.DUMMYFUNCTION("""COMPUTED_VALUE"""),"#VALUE!")</f>
        <v>#VALUE!</v>
      </c>
      <c r="H307" s="51" t="str">
        <f>IFERROR(__xludf.DUMMYFUNCTION("""COMPUTED_VALUE"""),"")</f>
        <v/>
      </c>
      <c r="I307" s="51" t="str">
        <f>IFERROR(__xludf.DUMMYFUNCTION("""COMPUTED_VALUE"""),"#VALUE!")</f>
        <v>#VALUE!</v>
      </c>
      <c r="J307" s="51" t="str">
        <f>IFERROR(__xludf.DUMMYFUNCTION("""COMPUTED_VALUE"""),"")</f>
        <v/>
      </c>
      <c r="K307" s="51"/>
      <c r="L307" s="51" t="s">
        <v>257</v>
      </c>
      <c r="M307" s="51"/>
      <c r="N307" s="51"/>
      <c r="O307" s="51"/>
      <c r="P307" s="51"/>
      <c r="Q307" s="51"/>
      <c r="R307" s="51"/>
      <c r="S307" s="51"/>
      <c r="T307" s="51"/>
    </row>
    <row r="308">
      <c r="A308" s="51"/>
      <c r="B308" s="51"/>
      <c r="C308" s="56"/>
      <c r="D308" s="51"/>
      <c r="E308" s="51"/>
      <c r="F308" s="51"/>
      <c r="G308" s="51" t="str">
        <f>IFERROR(__xludf.DUMMYFUNCTION("""COMPUTED_VALUE"""),"#VALUE!")</f>
        <v>#VALUE!</v>
      </c>
      <c r="H308" s="51" t="str">
        <f>IFERROR(__xludf.DUMMYFUNCTION("""COMPUTED_VALUE"""),"")</f>
        <v/>
      </c>
      <c r="I308" s="51" t="str">
        <f>IFERROR(__xludf.DUMMYFUNCTION("""COMPUTED_VALUE"""),"#VALUE!")</f>
        <v>#VALUE!</v>
      </c>
      <c r="J308" s="51" t="str">
        <f>IFERROR(__xludf.DUMMYFUNCTION("""COMPUTED_VALUE"""),"")</f>
        <v/>
      </c>
      <c r="K308" s="51"/>
      <c r="L308" s="51" t="s">
        <v>257</v>
      </c>
      <c r="M308" s="51"/>
      <c r="N308" s="51"/>
      <c r="O308" s="51"/>
      <c r="P308" s="51"/>
      <c r="Q308" s="51"/>
      <c r="R308" s="51"/>
      <c r="S308" s="51"/>
      <c r="T308" s="51"/>
    </row>
    <row r="309">
      <c r="A309" s="51"/>
      <c r="B309" s="51"/>
      <c r="C309" s="56"/>
      <c r="D309" s="51"/>
      <c r="E309" s="51"/>
      <c r="F309" s="51"/>
      <c r="G309" s="51" t="str">
        <f>IFERROR(__xludf.DUMMYFUNCTION("""COMPUTED_VALUE"""),"#VALUE!")</f>
        <v>#VALUE!</v>
      </c>
      <c r="H309" s="51" t="str">
        <f>IFERROR(__xludf.DUMMYFUNCTION("""COMPUTED_VALUE"""),"")</f>
        <v/>
      </c>
      <c r="I309" s="51" t="str">
        <f>IFERROR(__xludf.DUMMYFUNCTION("""COMPUTED_VALUE"""),"#VALUE!")</f>
        <v>#VALUE!</v>
      </c>
      <c r="J309" s="51" t="str">
        <f>IFERROR(__xludf.DUMMYFUNCTION("""COMPUTED_VALUE"""),"")</f>
        <v/>
      </c>
      <c r="K309" s="51"/>
      <c r="L309" s="51" t="s">
        <v>257</v>
      </c>
      <c r="M309" s="51"/>
      <c r="N309" s="51"/>
      <c r="O309" s="51"/>
      <c r="P309" s="51"/>
      <c r="Q309" s="51"/>
      <c r="R309" s="51"/>
      <c r="S309" s="51"/>
      <c r="T309" s="51"/>
    </row>
    <row r="310">
      <c r="A310" s="51"/>
      <c r="B310" s="51"/>
      <c r="C310" s="56"/>
      <c r="D310" s="51"/>
      <c r="E310" s="51"/>
      <c r="F310" s="51"/>
      <c r="G310" s="51" t="str">
        <f>IFERROR(__xludf.DUMMYFUNCTION("""COMPUTED_VALUE"""),"#VALUE!")</f>
        <v>#VALUE!</v>
      </c>
      <c r="H310" s="51" t="str">
        <f>IFERROR(__xludf.DUMMYFUNCTION("""COMPUTED_VALUE"""),"")</f>
        <v/>
      </c>
      <c r="I310" s="51" t="str">
        <f>IFERROR(__xludf.DUMMYFUNCTION("""COMPUTED_VALUE"""),"#VALUE!")</f>
        <v>#VALUE!</v>
      </c>
      <c r="J310" s="51" t="str">
        <f>IFERROR(__xludf.DUMMYFUNCTION("""COMPUTED_VALUE"""),"")</f>
        <v/>
      </c>
      <c r="K310" s="51"/>
      <c r="L310" s="51" t="s">
        <v>257</v>
      </c>
      <c r="M310" s="51"/>
      <c r="N310" s="51"/>
      <c r="O310" s="51"/>
      <c r="P310" s="51"/>
      <c r="Q310" s="51"/>
      <c r="R310" s="51"/>
      <c r="S310" s="51"/>
      <c r="T310" s="51"/>
    </row>
    <row r="311">
      <c r="A311" s="51"/>
      <c r="B311" s="51"/>
      <c r="C311" s="56"/>
      <c r="D311" s="51"/>
      <c r="E311" s="51"/>
      <c r="F311" s="51"/>
      <c r="G311" s="51" t="str">
        <f>IFERROR(__xludf.DUMMYFUNCTION("""COMPUTED_VALUE"""),"#VALUE!")</f>
        <v>#VALUE!</v>
      </c>
      <c r="H311" s="51" t="str">
        <f>IFERROR(__xludf.DUMMYFUNCTION("""COMPUTED_VALUE"""),"")</f>
        <v/>
      </c>
      <c r="I311" s="51" t="str">
        <f>IFERROR(__xludf.DUMMYFUNCTION("""COMPUTED_VALUE"""),"#VALUE!")</f>
        <v>#VALUE!</v>
      </c>
      <c r="J311" s="51" t="str">
        <f>IFERROR(__xludf.DUMMYFUNCTION("""COMPUTED_VALUE"""),"")</f>
        <v/>
      </c>
      <c r="K311" s="51"/>
      <c r="L311" s="51" t="s">
        <v>257</v>
      </c>
      <c r="M311" s="51"/>
      <c r="N311" s="51"/>
      <c r="O311" s="51"/>
      <c r="P311" s="51"/>
      <c r="Q311" s="51"/>
      <c r="R311" s="51"/>
      <c r="S311" s="51"/>
      <c r="T311" s="51"/>
    </row>
    <row r="312">
      <c r="A312" s="51"/>
      <c r="B312" s="51"/>
      <c r="C312" s="56"/>
      <c r="D312" s="51"/>
      <c r="E312" s="51"/>
      <c r="F312" s="51"/>
      <c r="G312" s="51" t="str">
        <f>IFERROR(__xludf.DUMMYFUNCTION("""COMPUTED_VALUE"""),"#VALUE!")</f>
        <v>#VALUE!</v>
      </c>
      <c r="H312" s="51" t="str">
        <f>IFERROR(__xludf.DUMMYFUNCTION("""COMPUTED_VALUE"""),"")</f>
        <v/>
      </c>
      <c r="I312" s="51" t="str">
        <f>IFERROR(__xludf.DUMMYFUNCTION("""COMPUTED_VALUE"""),"#VALUE!")</f>
        <v>#VALUE!</v>
      </c>
      <c r="J312" s="51" t="str">
        <f>IFERROR(__xludf.DUMMYFUNCTION("""COMPUTED_VALUE"""),"")</f>
        <v/>
      </c>
      <c r="K312" s="51"/>
      <c r="L312" s="51" t="s">
        <v>257</v>
      </c>
      <c r="M312" s="51"/>
      <c r="N312" s="51"/>
      <c r="O312" s="51"/>
      <c r="P312" s="51"/>
      <c r="Q312" s="51"/>
      <c r="R312" s="51"/>
      <c r="S312" s="51"/>
      <c r="T312" s="51"/>
    </row>
    <row r="313">
      <c r="A313" s="51"/>
      <c r="B313" s="51"/>
      <c r="C313" s="56"/>
      <c r="D313" s="51"/>
      <c r="E313" s="51"/>
      <c r="F313" s="51"/>
      <c r="G313" s="51" t="str">
        <f>IFERROR(__xludf.DUMMYFUNCTION("""COMPUTED_VALUE"""),"#VALUE!")</f>
        <v>#VALUE!</v>
      </c>
      <c r="H313" s="51" t="str">
        <f>IFERROR(__xludf.DUMMYFUNCTION("""COMPUTED_VALUE"""),"")</f>
        <v/>
      </c>
      <c r="I313" s="51" t="str">
        <f>IFERROR(__xludf.DUMMYFUNCTION("""COMPUTED_VALUE"""),"#VALUE!")</f>
        <v>#VALUE!</v>
      </c>
      <c r="J313" s="51" t="str">
        <f>IFERROR(__xludf.DUMMYFUNCTION("""COMPUTED_VALUE"""),"")</f>
        <v/>
      </c>
      <c r="K313" s="51"/>
      <c r="L313" s="51" t="s">
        <v>257</v>
      </c>
      <c r="M313" s="51"/>
      <c r="N313" s="51"/>
      <c r="O313" s="51"/>
      <c r="P313" s="51"/>
      <c r="Q313" s="51"/>
      <c r="R313" s="51"/>
      <c r="S313" s="51"/>
      <c r="T313" s="51"/>
    </row>
    <row r="314">
      <c r="A314" s="51"/>
      <c r="B314" s="51"/>
      <c r="C314" s="56"/>
      <c r="D314" s="51"/>
      <c r="E314" s="51"/>
      <c r="F314" s="51"/>
      <c r="G314" s="51" t="str">
        <f>IFERROR(__xludf.DUMMYFUNCTION("""COMPUTED_VALUE"""),"#VALUE!")</f>
        <v>#VALUE!</v>
      </c>
      <c r="H314" s="51" t="str">
        <f>IFERROR(__xludf.DUMMYFUNCTION("""COMPUTED_VALUE"""),"")</f>
        <v/>
      </c>
      <c r="I314" s="51" t="str">
        <f>IFERROR(__xludf.DUMMYFUNCTION("""COMPUTED_VALUE"""),"#VALUE!")</f>
        <v>#VALUE!</v>
      </c>
      <c r="J314" s="51" t="str">
        <f>IFERROR(__xludf.DUMMYFUNCTION("""COMPUTED_VALUE"""),"")</f>
        <v/>
      </c>
      <c r="K314" s="51"/>
      <c r="L314" s="51" t="s">
        <v>257</v>
      </c>
      <c r="M314" s="51"/>
      <c r="N314" s="51"/>
      <c r="O314" s="51"/>
      <c r="P314" s="51"/>
      <c r="Q314" s="51"/>
      <c r="R314" s="51"/>
      <c r="S314" s="51"/>
      <c r="T314" s="51"/>
    </row>
    <row r="315">
      <c r="A315" s="51"/>
      <c r="B315" s="51"/>
      <c r="C315" s="56"/>
      <c r="D315" s="51"/>
      <c r="E315" s="51"/>
      <c r="F315" s="51"/>
      <c r="G315" s="51" t="str">
        <f>IFERROR(__xludf.DUMMYFUNCTION("""COMPUTED_VALUE"""),"#VALUE!")</f>
        <v>#VALUE!</v>
      </c>
      <c r="H315" s="51" t="str">
        <f>IFERROR(__xludf.DUMMYFUNCTION("""COMPUTED_VALUE"""),"")</f>
        <v/>
      </c>
      <c r="I315" s="51" t="str">
        <f>IFERROR(__xludf.DUMMYFUNCTION("""COMPUTED_VALUE"""),"#VALUE!")</f>
        <v>#VALUE!</v>
      </c>
      <c r="J315" s="51" t="str">
        <f>IFERROR(__xludf.DUMMYFUNCTION("""COMPUTED_VALUE"""),"")</f>
        <v/>
      </c>
      <c r="K315" s="51"/>
      <c r="L315" s="51" t="s">
        <v>257</v>
      </c>
      <c r="M315" s="51"/>
      <c r="N315" s="51"/>
      <c r="O315" s="51"/>
      <c r="P315" s="51"/>
      <c r="Q315" s="51"/>
      <c r="R315" s="51"/>
      <c r="S315" s="51"/>
      <c r="T315" s="51"/>
    </row>
    <row r="316">
      <c r="A316" s="51"/>
      <c r="B316" s="51"/>
      <c r="C316" s="56"/>
      <c r="D316" s="51"/>
      <c r="E316" s="51"/>
      <c r="F316" s="51"/>
      <c r="G316" s="51" t="str">
        <f>IFERROR(__xludf.DUMMYFUNCTION("""COMPUTED_VALUE"""),"#VALUE!")</f>
        <v>#VALUE!</v>
      </c>
      <c r="H316" s="51" t="str">
        <f>IFERROR(__xludf.DUMMYFUNCTION("""COMPUTED_VALUE"""),"")</f>
        <v/>
      </c>
      <c r="I316" s="51" t="str">
        <f>IFERROR(__xludf.DUMMYFUNCTION("""COMPUTED_VALUE"""),"#VALUE!")</f>
        <v>#VALUE!</v>
      </c>
      <c r="J316" s="51" t="str">
        <f>IFERROR(__xludf.DUMMYFUNCTION("""COMPUTED_VALUE"""),"")</f>
        <v/>
      </c>
      <c r="K316" s="51"/>
      <c r="L316" s="51" t="s">
        <v>257</v>
      </c>
      <c r="M316" s="51"/>
      <c r="N316" s="51"/>
      <c r="O316" s="51"/>
      <c r="P316" s="51"/>
      <c r="Q316" s="51"/>
      <c r="R316" s="51"/>
      <c r="S316" s="51"/>
      <c r="T316" s="51"/>
    </row>
    <row r="317">
      <c r="A317" s="51"/>
      <c r="B317" s="51"/>
      <c r="C317" s="56"/>
      <c r="D317" s="51"/>
      <c r="E317" s="51"/>
      <c r="F317" s="51"/>
      <c r="G317" s="51" t="str">
        <f>IFERROR(__xludf.DUMMYFUNCTION("""COMPUTED_VALUE"""),"#VALUE!")</f>
        <v>#VALUE!</v>
      </c>
      <c r="H317" s="51" t="str">
        <f>IFERROR(__xludf.DUMMYFUNCTION("""COMPUTED_VALUE"""),"")</f>
        <v/>
      </c>
      <c r="I317" s="51" t="str">
        <f>IFERROR(__xludf.DUMMYFUNCTION("""COMPUTED_VALUE"""),"#VALUE!")</f>
        <v>#VALUE!</v>
      </c>
      <c r="J317" s="51" t="str">
        <f>IFERROR(__xludf.DUMMYFUNCTION("""COMPUTED_VALUE"""),"")</f>
        <v/>
      </c>
      <c r="K317" s="51"/>
      <c r="L317" s="51" t="s">
        <v>257</v>
      </c>
      <c r="M317" s="51"/>
      <c r="N317" s="51"/>
      <c r="O317" s="51"/>
      <c r="P317" s="51"/>
      <c r="Q317" s="51"/>
      <c r="R317" s="51"/>
      <c r="S317" s="51"/>
      <c r="T317" s="51"/>
    </row>
    <row r="318">
      <c r="A318" s="51"/>
      <c r="B318" s="51"/>
      <c r="C318" s="56"/>
      <c r="D318" s="51"/>
      <c r="E318" s="51"/>
      <c r="F318" s="51"/>
      <c r="G318" s="51" t="str">
        <f>IFERROR(__xludf.DUMMYFUNCTION("""COMPUTED_VALUE"""),"#VALUE!")</f>
        <v>#VALUE!</v>
      </c>
      <c r="H318" s="51" t="str">
        <f>IFERROR(__xludf.DUMMYFUNCTION("""COMPUTED_VALUE"""),"")</f>
        <v/>
      </c>
      <c r="I318" s="51" t="str">
        <f>IFERROR(__xludf.DUMMYFUNCTION("""COMPUTED_VALUE"""),"#VALUE!")</f>
        <v>#VALUE!</v>
      </c>
      <c r="J318" s="51" t="str">
        <f>IFERROR(__xludf.DUMMYFUNCTION("""COMPUTED_VALUE"""),"")</f>
        <v/>
      </c>
      <c r="K318" s="51"/>
      <c r="L318" s="51" t="s">
        <v>257</v>
      </c>
      <c r="M318" s="51"/>
      <c r="N318" s="51"/>
      <c r="O318" s="51"/>
      <c r="P318" s="51"/>
      <c r="Q318" s="51"/>
      <c r="R318" s="51"/>
      <c r="S318" s="51"/>
      <c r="T318" s="51"/>
    </row>
    <row r="319">
      <c r="A319" s="51"/>
      <c r="B319" s="51"/>
      <c r="C319" s="56"/>
      <c r="D319" s="51"/>
      <c r="E319" s="51"/>
      <c r="F319" s="51"/>
      <c r="G319" s="51" t="str">
        <f>IFERROR(__xludf.DUMMYFUNCTION("""COMPUTED_VALUE"""),"#VALUE!")</f>
        <v>#VALUE!</v>
      </c>
      <c r="H319" s="51" t="str">
        <f>IFERROR(__xludf.DUMMYFUNCTION("""COMPUTED_VALUE"""),"")</f>
        <v/>
      </c>
      <c r="I319" s="51" t="str">
        <f>IFERROR(__xludf.DUMMYFUNCTION("""COMPUTED_VALUE"""),"#VALUE!")</f>
        <v>#VALUE!</v>
      </c>
      <c r="J319" s="51" t="str">
        <f>IFERROR(__xludf.DUMMYFUNCTION("""COMPUTED_VALUE"""),"")</f>
        <v/>
      </c>
      <c r="K319" s="51"/>
      <c r="L319" s="51" t="s">
        <v>257</v>
      </c>
      <c r="M319" s="51"/>
      <c r="N319" s="51"/>
      <c r="O319" s="51"/>
      <c r="P319" s="51"/>
      <c r="Q319" s="51"/>
      <c r="R319" s="51"/>
      <c r="S319" s="51"/>
      <c r="T319" s="51"/>
    </row>
    <row r="320">
      <c r="A320" s="51"/>
      <c r="B320" s="51"/>
      <c r="C320" s="56"/>
      <c r="D320" s="51"/>
      <c r="E320" s="51"/>
      <c r="F320" s="51"/>
      <c r="G320" s="51" t="str">
        <f>IFERROR(__xludf.DUMMYFUNCTION("""COMPUTED_VALUE"""),"#VALUE!")</f>
        <v>#VALUE!</v>
      </c>
      <c r="H320" s="51" t="str">
        <f>IFERROR(__xludf.DUMMYFUNCTION("""COMPUTED_VALUE"""),"")</f>
        <v/>
      </c>
      <c r="I320" s="51" t="str">
        <f>IFERROR(__xludf.DUMMYFUNCTION("""COMPUTED_VALUE"""),"#VALUE!")</f>
        <v>#VALUE!</v>
      </c>
      <c r="J320" s="51" t="str">
        <f>IFERROR(__xludf.DUMMYFUNCTION("""COMPUTED_VALUE"""),"")</f>
        <v/>
      </c>
      <c r="K320" s="51"/>
      <c r="L320" s="51" t="s">
        <v>257</v>
      </c>
      <c r="M320" s="51"/>
      <c r="N320" s="51"/>
      <c r="O320" s="51"/>
      <c r="P320" s="51"/>
      <c r="Q320" s="51"/>
      <c r="R320" s="51"/>
      <c r="S320" s="51"/>
      <c r="T320" s="51"/>
    </row>
    <row r="321">
      <c r="A321" s="51"/>
      <c r="B321" s="51"/>
      <c r="C321" s="56"/>
      <c r="D321" s="51"/>
      <c r="E321" s="51"/>
      <c r="F321" s="51"/>
      <c r="G321" s="51" t="str">
        <f>IFERROR(__xludf.DUMMYFUNCTION("""COMPUTED_VALUE"""),"#VALUE!")</f>
        <v>#VALUE!</v>
      </c>
      <c r="H321" s="51" t="str">
        <f>IFERROR(__xludf.DUMMYFUNCTION("""COMPUTED_VALUE"""),"")</f>
        <v/>
      </c>
      <c r="I321" s="51" t="str">
        <f>IFERROR(__xludf.DUMMYFUNCTION("""COMPUTED_VALUE"""),"#VALUE!")</f>
        <v>#VALUE!</v>
      </c>
      <c r="J321" s="51" t="str">
        <f>IFERROR(__xludf.DUMMYFUNCTION("""COMPUTED_VALUE"""),"")</f>
        <v/>
      </c>
      <c r="K321" s="51"/>
      <c r="L321" s="51" t="s">
        <v>257</v>
      </c>
      <c r="M321" s="51"/>
      <c r="N321" s="51"/>
      <c r="O321" s="51"/>
      <c r="P321" s="51"/>
      <c r="Q321" s="51"/>
      <c r="R321" s="51"/>
      <c r="S321" s="51"/>
      <c r="T321" s="51"/>
    </row>
    <row r="322">
      <c r="A322" s="51"/>
      <c r="B322" s="51"/>
      <c r="C322" s="56"/>
      <c r="D322" s="51"/>
      <c r="E322" s="51"/>
      <c r="F322" s="51"/>
      <c r="G322" s="51" t="str">
        <f>IFERROR(__xludf.DUMMYFUNCTION("""COMPUTED_VALUE"""),"#VALUE!")</f>
        <v>#VALUE!</v>
      </c>
      <c r="H322" s="51" t="str">
        <f>IFERROR(__xludf.DUMMYFUNCTION("""COMPUTED_VALUE"""),"")</f>
        <v/>
      </c>
      <c r="I322" s="51" t="str">
        <f>IFERROR(__xludf.DUMMYFUNCTION("""COMPUTED_VALUE"""),"#VALUE!")</f>
        <v>#VALUE!</v>
      </c>
      <c r="J322" s="51" t="str">
        <f>IFERROR(__xludf.DUMMYFUNCTION("""COMPUTED_VALUE"""),"")</f>
        <v/>
      </c>
      <c r="K322" s="51"/>
      <c r="L322" s="51" t="s">
        <v>257</v>
      </c>
      <c r="M322" s="51"/>
      <c r="N322" s="51"/>
      <c r="O322" s="51"/>
      <c r="P322" s="51"/>
      <c r="Q322" s="51"/>
      <c r="R322" s="51"/>
      <c r="S322" s="51"/>
      <c r="T322" s="51"/>
    </row>
    <row r="323">
      <c r="A323" s="51"/>
      <c r="B323" s="51"/>
      <c r="C323" s="56"/>
      <c r="D323" s="51"/>
      <c r="E323" s="51"/>
      <c r="F323" s="51"/>
      <c r="G323" s="51" t="str">
        <f>IFERROR(__xludf.DUMMYFUNCTION("""COMPUTED_VALUE"""),"#VALUE!")</f>
        <v>#VALUE!</v>
      </c>
      <c r="H323" s="51" t="str">
        <f>IFERROR(__xludf.DUMMYFUNCTION("""COMPUTED_VALUE"""),"")</f>
        <v/>
      </c>
      <c r="I323" s="51" t="str">
        <f>IFERROR(__xludf.DUMMYFUNCTION("""COMPUTED_VALUE"""),"#VALUE!")</f>
        <v>#VALUE!</v>
      </c>
      <c r="J323" s="51" t="str">
        <f>IFERROR(__xludf.DUMMYFUNCTION("""COMPUTED_VALUE"""),"")</f>
        <v/>
      </c>
      <c r="K323" s="51"/>
      <c r="L323" s="51" t="s">
        <v>257</v>
      </c>
      <c r="M323" s="51"/>
      <c r="N323" s="51"/>
      <c r="O323" s="51"/>
      <c r="P323" s="51"/>
      <c r="Q323" s="51"/>
      <c r="R323" s="51"/>
      <c r="S323" s="51"/>
      <c r="T323" s="51"/>
    </row>
    <row r="324">
      <c r="A324" s="51"/>
      <c r="B324" s="51"/>
      <c r="C324" s="56"/>
      <c r="D324" s="51"/>
      <c r="E324" s="51"/>
      <c r="F324" s="51"/>
      <c r="G324" s="51" t="str">
        <f>IFERROR(__xludf.DUMMYFUNCTION("""COMPUTED_VALUE"""),"#VALUE!")</f>
        <v>#VALUE!</v>
      </c>
      <c r="H324" s="51" t="str">
        <f>IFERROR(__xludf.DUMMYFUNCTION("""COMPUTED_VALUE"""),"")</f>
        <v/>
      </c>
      <c r="I324" s="51" t="str">
        <f>IFERROR(__xludf.DUMMYFUNCTION("""COMPUTED_VALUE"""),"#VALUE!")</f>
        <v>#VALUE!</v>
      </c>
      <c r="J324" s="51" t="str">
        <f>IFERROR(__xludf.DUMMYFUNCTION("""COMPUTED_VALUE"""),"")</f>
        <v/>
      </c>
      <c r="K324" s="51"/>
      <c r="L324" s="51" t="s">
        <v>257</v>
      </c>
      <c r="M324" s="51"/>
      <c r="N324" s="51"/>
      <c r="O324" s="51"/>
      <c r="P324" s="51"/>
      <c r="Q324" s="51"/>
      <c r="R324" s="51"/>
      <c r="S324" s="51"/>
      <c r="T324" s="51"/>
    </row>
    <row r="325">
      <c r="A325" s="51"/>
      <c r="B325" s="51"/>
      <c r="C325" s="56"/>
      <c r="D325" s="51"/>
      <c r="E325" s="51"/>
      <c r="F325" s="51"/>
      <c r="G325" s="51" t="str">
        <f>IFERROR(__xludf.DUMMYFUNCTION("""COMPUTED_VALUE"""),"#VALUE!")</f>
        <v>#VALUE!</v>
      </c>
      <c r="H325" s="51" t="str">
        <f>IFERROR(__xludf.DUMMYFUNCTION("""COMPUTED_VALUE"""),"")</f>
        <v/>
      </c>
      <c r="I325" s="51" t="str">
        <f>IFERROR(__xludf.DUMMYFUNCTION("""COMPUTED_VALUE"""),"#VALUE!")</f>
        <v>#VALUE!</v>
      </c>
      <c r="J325" s="51" t="str">
        <f>IFERROR(__xludf.DUMMYFUNCTION("""COMPUTED_VALUE"""),"")</f>
        <v/>
      </c>
      <c r="K325" s="51"/>
      <c r="L325" s="51" t="s">
        <v>257</v>
      </c>
      <c r="M325" s="51"/>
      <c r="N325" s="51"/>
      <c r="O325" s="51"/>
      <c r="P325" s="51"/>
      <c r="Q325" s="51"/>
      <c r="R325" s="51"/>
      <c r="S325" s="51"/>
      <c r="T325" s="51"/>
    </row>
    <row r="326">
      <c r="A326" s="51"/>
      <c r="B326" s="51"/>
      <c r="C326" s="56"/>
      <c r="D326" s="51"/>
      <c r="E326" s="51"/>
      <c r="F326" s="51"/>
      <c r="G326" s="51" t="str">
        <f>IFERROR(__xludf.DUMMYFUNCTION("""COMPUTED_VALUE"""),"#VALUE!")</f>
        <v>#VALUE!</v>
      </c>
      <c r="H326" s="51" t="str">
        <f>IFERROR(__xludf.DUMMYFUNCTION("""COMPUTED_VALUE"""),"")</f>
        <v/>
      </c>
      <c r="I326" s="51" t="str">
        <f>IFERROR(__xludf.DUMMYFUNCTION("""COMPUTED_VALUE"""),"#VALUE!")</f>
        <v>#VALUE!</v>
      </c>
      <c r="J326" s="51" t="str">
        <f>IFERROR(__xludf.DUMMYFUNCTION("""COMPUTED_VALUE"""),"")</f>
        <v/>
      </c>
      <c r="K326" s="51"/>
      <c r="L326" s="51" t="s">
        <v>257</v>
      </c>
      <c r="M326" s="51"/>
      <c r="N326" s="51"/>
      <c r="O326" s="51"/>
      <c r="P326" s="51"/>
      <c r="Q326" s="51"/>
      <c r="R326" s="51"/>
      <c r="S326" s="51"/>
      <c r="T326" s="51"/>
    </row>
    <row r="327">
      <c r="A327" s="51"/>
      <c r="B327" s="51"/>
      <c r="C327" s="56"/>
      <c r="D327" s="51"/>
      <c r="E327" s="51"/>
      <c r="F327" s="51"/>
      <c r="G327" s="51" t="str">
        <f>IFERROR(__xludf.DUMMYFUNCTION("""COMPUTED_VALUE"""),"#VALUE!")</f>
        <v>#VALUE!</v>
      </c>
      <c r="H327" s="51" t="str">
        <f>IFERROR(__xludf.DUMMYFUNCTION("""COMPUTED_VALUE"""),"")</f>
        <v/>
      </c>
      <c r="I327" s="51" t="str">
        <f>IFERROR(__xludf.DUMMYFUNCTION("""COMPUTED_VALUE"""),"#VALUE!")</f>
        <v>#VALUE!</v>
      </c>
      <c r="J327" s="51" t="str">
        <f>IFERROR(__xludf.DUMMYFUNCTION("""COMPUTED_VALUE"""),"")</f>
        <v/>
      </c>
      <c r="K327" s="51"/>
      <c r="L327" s="51" t="s">
        <v>257</v>
      </c>
      <c r="M327" s="51"/>
      <c r="N327" s="51"/>
      <c r="O327" s="51"/>
      <c r="P327" s="51"/>
      <c r="Q327" s="51"/>
      <c r="R327" s="51"/>
      <c r="S327" s="51"/>
      <c r="T327" s="51"/>
    </row>
    <row r="328">
      <c r="A328" s="51"/>
      <c r="B328" s="51"/>
      <c r="C328" s="56"/>
      <c r="D328" s="51"/>
      <c r="E328" s="51"/>
      <c r="F328" s="51"/>
      <c r="G328" s="51" t="str">
        <f>IFERROR(__xludf.DUMMYFUNCTION("""COMPUTED_VALUE"""),"#VALUE!")</f>
        <v>#VALUE!</v>
      </c>
      <c r="H328" s="51" t="str">
        <f>IFERROR(__xludf.DUMMYFUNCTION("""COMPUTED_VALUE"""),"")</f>
        <v/>
      </c>
      <c r="I328" s="51" t="str">
        <f>IFERROR(__xludf.DUMMYFUNCTION("""COMPUTED_VALUE"""),"#VALUE!")</f>
        <v>#VALUE!</v>
      </c>
      <c r="J328" s="51" t="str">
        <f>IFERROR(__xludf.DUMMYFUNCTION("""COMPUTED_VALUE"""),"")</f>
        <v/>
      </c>
      <c r="K328" s="51"/>
      <c r="L328" s="51" t="s">
        <v>257</v>
      </c>
      <c r="M328" s="51"/>
      <c r="N328" s="51"/>
      <c r="O328" s="51"/>
      <c r="P328" s="51"/>
      <c r="Q328" s="51"/>
      <c r="R328" s="51"/>
      <c r="S328" s="51"/>
      <c r="T328" s="51"/>
    </row>
    <row r="329">
      <c r="A329" s="51"/>
      <c r="B329" s="51"/>
      <c r="C329" s="56"/>
      <c r="D329" s="51"/>
      <c r="E329" s="51"/>
      <c r="F329" s="51"/>
      <c r="G329" s="51" t="str">
        <f>IFERROR(__xludf.DUMMYFUNCTION("""COMPUTED_VALUE"""),"#VALUE!")</f>
        <v>#VALUE!</v>
      </c>
      <c r="H329" s="51" t="str">
        <f>IFERROR(__xludf.DUMMYFUNCTION("""COMPUTED_VALUE"""),"")</f>
        <v/>
      </c>
      <c r="I329" s="51" t="str">
        <f>IFERROR(__xludf.DUMMYFUNCTION("""COMPUTED_VALUE"""),"#VALUE!")</f>
        <v>#VALUE!</v>
      </c>
      <c r="J329" s="51" t="str">
        <f>IFERROR(__xludf.DUMMYFUNCTION("""COMPUTED_VALUE"""),"")</f>
        <v/>
      </c>
      <c r="K329" s="51"/>
      <c r="L329" s="51" t="s">
        <v>257</v>
      </c>
      <c r="M329" s="51"/>
      <c r="N329" s="51"/>
      <c r="O329" s="51"/>
      <c r="P329" s="51"/>
      <c r="Q329" s="51"/>
      <c r="R329" s="51"/>
      <c r="S329" s="51"/>
      <c r="T329" s="51"/>
    </row>
    <row r="330">
      <c r="A330" s="51"/>
      <c r="B330" s="51"/>
      <c r="C330" s="56"/>
      <c r="D330" s="51"/>
      <c r="E330" s="51"/>
      <c r="F330" s="51"/>
      <c r="G330" s="51" t="str">
        <f>IFERROR(__xludf.DUMMYFUNCTION("""COMPUTED_VALUE"""),"#VALUE!")</f>
        <v>#VALUE!</v>
      </c>
      <c r="H330" s="51" t="str">
        <f>IFERROR(__xludf.DUMMYFUNCTION("""COMPUTED_VALUE"""),"")</f>
        <v/>
      </c>
      <c r="I330" s="51" t="str">
        <f>IFERROR(__xludf.DUMMYFUNCTION("""COMPUTED_VALUE"""),"#VALUE!")</f>
        <v>#VALUE!</v>
      </c>
      <c r="J330" s="51" t="str">
        <f>IFERROR(__xludf.DUMMYFUNCTION("""COMPUTED_VALUE"""),"")</f>
        <v/>
      </c>
      <c r="K330" s="51"/>
      <c r="L330" s="51" t="s">
        <v>257</v>
      </c>
      <c r="M330" s="51"/>
      <c r="N330" s="51"/>
      <c r="O330" s="51"/>
      <c r="P330" s="51"/>
      <c r="Q330" s="51"/>
      <c r="R330" s="51"/>
      <c r="S330" s="51"/>
      <c r="T330" s="51"/>
    </row>
    <row r="331">
      <c r="A331" s="51"/>
      <c r="B331" s="51"/>
      <c r="C331" s="56"/>
      <c r="D331" s="51"/>
      <c r="E331" s="51"/>
      <c r="F331" s="51"/>
      <c r="G331" s="51" t="str">
        <f>IFERROR(__xludf.DUMMYFUNCTION("""COMPUTED_VALUE"""),"#VALUE!")</f>
        <v>#VALUE!</v>
      </c>
      <c r="H331" s="51" t="str">
        <f>IFERROR(__xludf.DUMMYFUNCTION("""COMPUTED_VALUE"""),"")</f>
        <v/>
      </c>
      <c r="I331" s="51" t="str">
        <f>IFERROR(__xludf.DUMMYFUNCTION("""COMPUTED_VALUE"""),"#VALUE!")</f>
        <v>#VALUE!</v>
      </c>
      <c r="J331" s="51" t="str">
        <f>IFERROR(__xludf.DUMMYFUNCTION("""COMPUTED_VALUE"""),"")</f>
        <v/>
      </c>
      <c r="K331" s="51"/>
      <c r="L331" s="51" t="s">
        <v>257</v>
      </c>
      <c r="M331" s="51"/>
      <c r="N331" s="51"/>
      <c r="O331" s="51"/>
      <c r="P331" s="51"/>
      <c r="Q331" s="51"/>
      <c r="R331" s="51"/>
      <c r="S331" s="51"/>
      <c r="T331" s="51"/>
    </row>
    <row r="332">
      <c r="A332" s="51"/>
      <c r="B332" s="51"/>
      <c r="C332" s="56"/>
      <c r="D332" s="51"/>
      <c r="E332" s="51"/>
      <c r="F332" s="51"/>
      <c r="G332" s="51" t="str">
        <f>IFERROR(__xludf.DUMMYFUNCTION("""COMPUTED_VALUE"""),"#VALUE!")</f>
        <v>#VALUE!</v>
      </c>
      <c r="H332" s="51" t="str">
        <f>IFERROR(__xludf.DUMMYFUNCTION("""COMPUTED_VALUE"""),"")</f>
        <v/>
      </c>
      <c r="I332" s="51" t="str">
        <f>IFERROR(__xludf.DUMMYFUNCTION("""COMPUTED_VALUE"""),"#VALUE!")</f>
        <v>#VALUE!</v>
      </c>
      <c r="J332" s="51" t="str">
        <f>IFERROR(__xludf.DUMMYFUNCTION("""COMPUTED_VALUE"""),"")</f>
        <v/>
      </c>
      <c r="K332" s="51"/>
      <c r="L332" s="51" t="s">
        <v>257</v>
      </c>
      <c r="M332" s="51"/>
      <c r="N332" s="51"/>
      <c r="O332" s="51"/>
      <c r="P332" s="51"/>
      <c r="Q332" s="51"/>
      <c r="R332" s="51"/>
      <c r="S332" s="51"/>
      <c r="T332" s="51"/>
    </row>
    <row r="333">
      <c r="A333" s="51"/>
      <c r="B333" s="51"/>
      <c r="C333" s="56"/>
      <c r="D333" s="51"/>
      <c r="E333" s="51"/>
      <c r="F333" s="51"/>
      <c r="G333" s="51" t="str">
        <f>IFERROR(__xludf.DUMMYFUNCTION("""COMPUTED_VALUE"""),"#VALUE!")</f>
        <v>#VALUE!</v>
      </c>
      <c r="H333" s="51" t="str">
        <f>IFERROR(__xludf.DUMMYFUNCTION("""COMPUTED_VALUE"""),"")</f>
        <v/>
      </c>
      <c r="I333" s="51" t="str">
        <f>IFERROR(__xludf.DUMMYFUNCTION("""COMPUTED_VALUE"""),"#VALUE!")</f>
        <v>#VALUE!</v>
      </c>
      <c r="J333" s="51" t="str">
        <f>IFERROR(__xludf.DUMMYFUNCTION("""COMPUTED_VALUE"""),"")</f>
        <v/>
      </c>
      <c r="K333" s="51"/>
      <c r="L333" s="51" t="s">
        <v>257</v>
      </c>
      <c r="M333" s="51"/>
      <c r="N333" s="51"/>
      <c r="O333" s="51"/>
      <c r="P333" s="51"/>
      <c r="Q333" s="51"/>
      <c r="R333" s="51"/>
      <c r="S333" s="51"/>
      <c r="T333" s="51"/>
    </row>
    <row r="334">
      <c r="A334" s="51"/>
      <c r="B334" s="51"/>
      <c r="C334" s="56"/>
      <c r="D334" s="51"/>
      <c r="E334" s="51"/>
      <c r="F334" s="51"/>
      <c r="G334" s="51" t="str">
        <f>IFERROR(__xludf.DUMMYFUNCTION("""COMPUTED_VALUE"""),"#VALUE!")</f>
        <v>#VALUE!</v>
      </c>
      <c r="H334" s="51" t="str">
        <f>IFERROR(__xludf.DUMMYFUNCTION("""COMPUTED_VALUE"""),"")</f>
        <v/>
      </c>
      <c r="I334" s="51" t="str">
        <f>IFERROR(__xludf.DUMMYFUNCTION("""COMPUTED_VALUE"""),"#VALUE!")</f>
        <v>#VALUE!</v>
      </c>
      <c r="J334" s="51" t="str">
        <f>IFERROR(__xludf.DUMMYFUNCTION("""COMPUTED_VALUE"""),"")</f>
        <v/>
      </c>
      <c r="K334" s="51"/>
      <c r="L334" s="51" t="s">
        <v>257</v>
      </c>
      <c r="M334" s="51"/>
      <c r="N334" s="51"/>
      <c r="O334" s="51"/>
      <c r="P334" s="51"/>
      <c r="Q334" s="51"/>
      <c r="R334" s="51"/>
      <c r="S334" s="51"/>
      <c r="T334" s="51"/>
    </row>
    <row r="335">
      <c r="A335" s="51"/>
      <c r="B335" s="51"/>
      <c r="C335" s="56"/>
      <c r="D335" s="51"/>
      <c r="E335" s="51"/>
      <c r="F335" s="51"/>
      <c r="G335" s="51" t="str">
        <f>IFERROR(__xludf.DUMMYFUNCTION("""COMPUTED_VALUE"""),"#VALUE!")</f>
        <v>#VALUE!</v>
      </c>
      <c r="H335" s="51" t="str">
        <f>IFERROR(__xludf.DUMMYFUNCTION("""COMPUTED_VALUE"""),"")</f>
        <v/>
      </c>
      <c r="I335" s="51" t="str">
        <f>IFERROR(__xludf.DUMMYFUNCTION("""COMPUTED_VALUE"""),"#VALUE!")</f>
        <v>#VALUE!</v>
      </c>
      <c r="J335" s="51" t="str">
        <f>IFERROR(__xludf.DUMMYFUNCTION("""COMPUTED_VALUE"""),"")</f>
        <v/>
      </c>
      <c r="K335" s="51"/>
      <c r="L335" s="51" t="s">
        <v>257</v>
      </c>
      <c r="M335" s="51"/>
      <c r="N335" s="51"/>
      <c r="O335" s="51"/>
      <c r="P335" s="51"/>
      <c r="Q335" s="51"/>
      <c r="R335" s="51"/>
      <c r="S335" s="51"/>
      <c r="T335" s="51"/>
    </row>
    <row r="336">
      <c r="A336" s="51"/>
      <c r="B336" s="51"/>
      <c r="C336" s="56"/>
      <c r="D336" s="51"/>
      <c r="E336" s="51"/>
      <c r="F336" s="51"/>
      <c r="G336" s="51" t="str">
        <f>IFERROR(__xludf.DUMMYFUNCTION("""COMPUTED_VALUE"""),"#VALUE!")</f>
        <v>#VALUE!</v>
      </c>
      <c r="H336" s="51" t="str">
        <f>IFERROR(__xludf.DUMMYFUNCTION("""COMPUTED_VALUE"""),"")</f>
        <v/>
      </c>
      <c r="I336" s="51" t="str">
        <f>IFERROR(__xludf.DUMMYFUNCTION("""COMPUTED_VALUE"""),"#VALUE!")</f>
        <v>#VALUE!</v>
      </c>
      <c r="J336" s="51" t="str">
        <f>IFERROR(__xludf.DUMMYFUNCTION("""COMPUTED_VALUE"""),"")</f>
        <v/>
      </c>
      <c r="K336" s="51"/>
      <c r="L336" s="51" t="s">
        <v>257</v>
      </c>
      <c r="M336" s="51"/>
      <c r="N336" s="51"/>
      <c r="O336" s="51"/>
      <c r="P336" s="51"/>
      <c r="Q336" s="51"/>
      <c r="R336" s="51"/>
      <c r="S336" s="51"/>
      <c r="T336" s="51"/>
    </row>
    <row r="337">
      <c r="A337" s="51"/>
      <c r="B337" s="51"/>
      <c r="C337" s="56"/>
      <c r="D337" s="51"/>
      <c r="E337" s="51"/>
      <c r="F337" s="51"/>
      <c r="G337" s="51" t="str">
        <f>IFERROR(__xludf.DUMMYFUNCTION("""COMPUTED_VALUE"""),"#VALUE!")</f>
        <v>#VALUE!</v>
      </c>
      <c r="H337" s="51" t="str">
        <f>IFERROR(__xludf.DUMMYFUNCTION("""COMPUTED_VALUE"""),"")</f>
        <v/>
      </c>
      <c r="I337" s="51" t="str">
        <f>IFERROR(__xludf.DUMMYFUNCTION("""COMPUTED_VALUE"""),"#VALUE!")</f>
        <v>#VALUE!</v>
      </c>
      <c r="J337" s="51" t="str">
        <f>IFERROR(__xludf.DUMMYFUNCTION("""COMPUTED_VALUE"""),"")</f>
        <v/>
      </c>
      <c r="K337" s="51"/>
      <c r="L337" s="51" t="s">
        <v>257</v>
      </c>
      <c r="M337" s="51"/>
      <c r="N337" s="51"/>
      <c r="O337" s="51"/>
      <c r="P337" s="51"/>
      <c r="Q337" s="51"/>
      <c r="R337" s="51"/>
      <c r="S337" s="51"/>
      <c r="T337" s="51"/>
    </row>
    <row r="338">
      <c r="A338" s="51"/>
      <c r="B338" s="51"/>
      <c r="C338" s="56"/>
      <c r="D338" s="51"/>
      <c r="E338" s="51"/>
      <c r="F338" s="51"/>
      <c r="G338" s="51" t="str">
        <f>IFERROR(__xludf.DUMMYFUNCTION("""COMPUTED_VALUE"""),"#VALUE!")</f>
        <v>#VALUE!</v>
      </c>
      <c r="H338" s="51" t="str">
        <f>IFERROR(__xludf.DUMMYFUNCTION("""COMPUTED_VALUE"""),"")</f>
        <v/>
      </c>
      <c r="I338" s="51" t="str">
        <f>IFERROR(__xludf.DUMMYFUNCTION("""COMPUTED_VALUE"""),"#VALUE!")</f>
        <v>#VALUE!</v>
      </c>
      <c r="J338" s="51" t="str">
        <f>IFERROR(__xludf.DUMMYFUNCTION("""COMPUTED_VALUE"""),"")</f>
        <v/>
      </c>
      <c r="K338" s="51"/>
      <c r="L338" s="51" t="s">
        <v>257</v>
      </c>
      <c r="M338" s="51"/>
      <c r="N338" s="51"/>
      <c r="O338" s="51"/>
      <c r="P338" s="51"/>
      <c r="Q338" s="51"/>
      <c r="R338" s="51"/>
      <c r="S338" s="51"/>
      <c r="T338" s="51"/>
    </row>
    <row r="339">
      <c r="A339" s="51"/>
      <c r="B339" s="51"/>
      <c r="C339" s="56"/>
      <c r="D339" s="51"/>
      <c r="E339" s="51"/>
      <c r="F339" s="51"/>
      <c r="G339" s="51" t="str">
        <f>IFERROR(__xludf.DUMMYFUNCTION("""COMPUTED_VALUE"""),"#VALUE!")</f>
        <v>#VALUE!</v>
      </c>
      <c r="H339" s="51" t="str">
        <f>IFERROR(__xludf.DUMMYFUNCTION("""COMPUTED_VALUE"""),"")</f>
        <v/>
      </c>
      <c r="I339" s="51" t="str">
        <f>IFERROR(__xludf.DUMMYFUNCTION("""COMPUTED_VALUE"""),"#VALUE!")</f>
        <v>#VALUE!</v>
      </c>
      <c r="J339" s="51" t="str">
        <f>IFERROR(__xludf.DUMMYFUNCTION("""COMPUTED_VALUE"""),"")</f>
        <v/>
      </c>
      <c r="K339" s="51"/>
      <c r="L339" s="51" t="s">
        <v>257</v>
      </c>
      <c r="M339" s="51"/>
      <c r="N339" s="51"/>
      <c r="O339" s="51"/>
      <c r="P339" s="51"/>
      <c r="Q339" s="51"/>
      <c r="R339" s="51"/>
      <c r="S339" s="51"/>
      <c r="T339" s="51"/>
    </row>
    <row r="340">
      <c r="A340" s="51"/>
      <c r="B340" s="51"/>
      <c r="C340" s="56"/>
      <c r="D340" s="51"/>
      <c r="E340" s="51"/>
      <c r="F340" s="51"/>
      <c r="G340" s="51" t="str">
        <f>IFERROR(__xludf.DUMMYFUNCTION("""COMPUTED_VALUE"""),"#VALUE!")</f>
        <v>#VALUE!</v>
      </c>
      <c r="H340" s="51" t="str">
        <f>IFERROR(__xludf.DUMMYFUNCTION("""COMPUTED_VALUE"""),"")</f>
        <v/>
      </c>
      <c r="I340" s="51" t="str">
        <f>IFERROR(__xludf.DUMMYFUNCTION("""COMPUTED_VALUE"""),"#VALUE!")</f>
        <v>#VALUE!</v>
      </c>
      <c r="J340" s="51" t="str">
        <f>IFERROR(__xludf.DUMMYFUNCTION("""COMPUTED_VALUE"""),"")</f>
        <v/>
      </c>
      <c r="K340" s="51"/>
      <c r="L340" s="51" t="s">
        <v>257</v>
      </c>
      <c r="M340" s="51"/>
      <c r="N340" s="51"/>
      <c r="O340" s="51"/>
      <c r="P340" s="51"/>
      <c r="Q340" s="51"/>
      <c r="R340" s="51"/>
      <c r="S340" s="51"/>
      <c r="T340" s="51"/>
    </row>
    <row r="341">
      <c r="A341" s="51"/>
      <c r="B341" s="51"/>
      <c r="C341" s="56"/>
      <c r="D341" s="51"/>
      <c r="E341" s="51"/>
      <c r="F341" s="51"/>
      <c r="G341" s="51" t="str">
        <f>IFERROR(__xludf.DUMMYFUNCTION("""COMPUTED_VALUE"""),"#VALUE!")</f>
        <v>#VALUE!</v>
      </c>
      <c r="H341" s="51" t="str">
        <f>IFERROR(__xludf.DUMMYFUNCTION("""COMPUTED_VALUE"""),"")</f>
        <v/>
      </c>
      <c r="I341" s="51" t="str">
        <f>IFERROR(__xludf.DUMMYFUNCTION("""COMPUTED_VALUE"""),"#VALUE!")</f>
        <v>#VALUE!</v>
      </c>
      <c r="J341" s="51" t="str">
        <f>IFERROR(__xludf.DUMMYFUNCTION("""COMPUTED_VALUE"""),"")</f>
        <v/>
      </c>
      <c r="K341" s="51"/>
      <c r="L341" s="51" t="s">
        <v>257</v>
      </c>
      <c r="M341" s="51"/>
      <c r="N341" s="51"/>
      <c r="O341" s="51"/>
      <c r="P341" s="51"/>
      <c r="Q341" s="51"/>
      <c r="R341" s="51"/>
      <c r="S341" s="51"/>
      <c r="T341" s="51"/>
    </row>
    <row r="342">
      <c r="A342" s="51"/>
      <c r="B342" s="51"/>
      <c r="C342" s="56"/>
      <c r="D342" s="51"/>
      <c r="E342" s="51"/>
      <c r="F342" s="51"/>
      <c r="G342" s="51" t="str">
        <f>IFERROR(__xludf.DUMMYFUNCTION("""COMPUTED_VALUE"""),"#VALUE!")</f>
        <v>#VALUE!</v>
      </c>
      <c r="H342" s="51" t="str">
        <f>IFERROR(__xludf.DUMMYFUNCTION("""COMPUTED_VALUE"""),"")</f>
        <v/>
      </c>
      <c r="I342" s="51" t="str">
        <f>IFERROR(__xludf.DUMMYFUNCTION("""COMPUTED_VALUE"""),"#VALUE!")</f>
        <v>#VALUE!</v>
      </c>
      <c r="J342" s="51" t="str">
        <f>IFERROR(__xludf.DUMMYFUNCTION("""COMPUTED_VALUE"""),"")</f>
        <v/>
      </c>
      <c r="K342" s="51"/>
      <c r="L342" s="51" t="s">
        <v>257</v>
      </c>
      <c r="M342" s="51"/>
      <c r="N342" s="51"/>
      <c r="O342" s="51"/>
      <c r="P342" s="51"/>
      <c r="Q342" s="51"/>
      <c r="R342" s="51"/>
      <c r="S342" s="51"/>
      <c r="T342" s="51"/>
    </row>
    <row r="343">
      <c r="A343" s="51"/>
      <c r="B343" s="51"/>
      <c r="C343" s="56"/>
      <c r="D343" s="51"/>
      <c r="E343" s="51"/>
      <c r="F343" s="51"/>
      <c r="G343" s="51" t="str">
        <f>IFERROR(__xludf.DUMMYFUNCTION("""COMPUTED_VALUE"""),"#VALUE!")</f>
        <v>#VALUE!</v>
      </c>
      <c r="H343" s="51" t="str">
        <f>IFERROR(__xludf.DUMMYFUNCTION("""COMPUTED_VALUE"""),"")</f>
        <v/>
      </c>
      <c r="I343" s="51" t="str">
        <f>IFERROR(__xludf.DUMMYFUNCTION("""COMPUTED_VALUE"""),"#VALUE!")</f>
        <v>#VALUE!</v>
      </c>
      <c r="J343" s="51" t="str">
        <f>IFERROR(__xludf.DUMMYFUNCTION("""COMPUTED_VALUE"""),"")</f>
        <v/>
      </c>
      <c r="K343" s="51"/>
      <c r="L343" s="51" t="s">
        <v>257</v>
      </c>
      <c r="M343" s="51"/>
      <c r="N343" s="51"/>
      <c r="O343" s="51"/>
      <c r="P343" s="51"/>
      <c r="Q343" s="51"/>
      <c r="R343" s="51"/>
      <c r="S343" s="51"/>
      <c r="T343" s="51"/>
    </row>
    <row r="344">
      <c r="A344" s="51"/>
      <c r="B344" s="51"/>
      <c r="C344" s="56"/>
      <c r="D344" s="51"/>
      <c r="E344" s="51"/>
      <c r="F344" s="51"/>
      <c r="G344" s="51" t="str">
        <f>IFERROR(__xludf.DUMMYFUNCTION("""COMPUTED_VALUE"""),"#VALUE!")</f>
        <v>#VALUE!</v>
      </c>
      <c r="H344" s="51" t="str">
        <f>IFERROR(__xludf.DUMMYFUNCTION("""COMPUTED_VALUE"""),"")</f>
        <v/>
      </c>
      <c r="I344" s="51" t="str">
        <f>IFERROR(__xludf.DUMMYFUNCTION("""COMPUTED_VALUE"""),"#VALUE!")</f>
        <v>#VALUE!</v>
      </c>
      <c r="J344" s="51" t="str">
        <f>IFERROR(__xludf.DUMMYFUNCTION("""COMPUTED_VALUE"""),"")</f>
        <v/>
      </c>
      <c r="K344" s="51"/>
      <c r="L344" s="51" t="s">
        <v>257</v>
      </c>
      <c r="M344" s="51"/>
      <c r="N344" s="51"/>
      <c r="O344" s="51"/>
      <c r="P344" s="51"/>
      <c r="Q344" s="51"/>
      <c r="R344" s="51"/>
      <c r="S344" s="51"/>
      <c r="T344" s="51"/>
    </row>
    <row r="345">
      <c r="A345" s="51"/>
      <c r="B345" s="51"/>
      <c r="C345" s="56"/>
      <c r="D345" s="51"/>
      <c r="E345" s="51"/>
      <c r="F345" s="51"/>
      <c r="G345" s="51" t="str">
        <f>IFERROR(__xludf.DUMMYFUNCTION("""COMPUTED_VALUE"""),"#VALUE!")</f>
        <v>#VALUE!</v>
      </c>
      <c r="H345" s="51" t="str">
        <f>IFERROR(__xludf.DUMMYFUNCTION("""COMPUTED_VALUE"""),"")</f>
        <v/>
      </c>
      <c r="I345" s="51" t="str">
        <f>IFERROR(__xludf.DUMMYFUNCTION("""COMPUTED_VALUE"""),"#VALUE!")</f>
        <v>#VALUE!</v>
      </c>
      <c r="J345" s="51" t="str">
        <f>IFERROR(__xludf.DUMMYFUNCTION("""COMPUTED_VALUE"""),"")</f>
        <v/>
      </c>
      <c r="K345" s="51"/>
      <c r="L345" s="51" t="s">
        <v>257</v>
      </c>
      <c r="M345" s="51"/>
      <c r="N345" s="51"/>
      <c r="O345" s="51"/>
      <c r="P345" s="51"/>
      <c r="Q345" s="51"/>
      <c r="R345" s="51"/>
      <c r="S345" s="51"/>
      <c r="T345" s="51"/>
    </row>
    <row r="346">
      <c r="A346" s="51"/>
      <c r="B346" s="51"/>
      <c r="C346" s="56"/>
      <c r="D346" s="51"/>
      <c r="E346" s="51"/>
      <c r="F346" s="51"/>
      <c r="G346" s="51" t="str">
        <f>IFERROR(__xludf.DUMMYFUNCTION("""COMPUTED_VALUE"""),"#VALUE!")</f>
        <v>#VALUE!</v>
      </c>
      <c r="H346" s="51" t="str">
        <f>IFERROR(__xludf.DUMMYFUNCTION("""COMPUTED_VALUE"""),"")</f>
        <v/>
      </c>
      <c r="I346" s="51" t="str">
        <f>IFERROR(__xludf.DUMMYFUNCTION("""COMPUTED_VALUE"""),"#VALUE!")</f>
        <v>#VALUE!</v>
      </c>
      <c r="J346" s="51" t="str">
        <f>IFERROR(__xludf.DUMMYFUNCTION("""COMPUTED_VALUE"""),"")</f>
        <v/>
      </c>
      <c r="K346" s="51"/>
      <c r="L346" s="51" t="s">
        <v>257</v>
      </c>
      <c r="M346" s="51"/>
      <c r="N346" s="51"/>
      <c r="O346" s="51"/>
      <c r="P346" s="51"/>
      <c r="Q346" s="51"/>
      <c r="R346" s="51"/>
      <c r="S346" s="51"/>
      <c r="T346" s="51"/>
    </row>
    <row r="347">
      <c r="A347" s="51"/>
      <c r="B347" s="51"/>
      <c r="C347" s="56"/>
      <c r="D347" s="51"/>
      <c r="E347" s="51"/>
      <c r="F347" s="51"/>
      <c r="G347" s="51" t="str">
        <f>IFERROR(__xludf.DUMMYFUNCTION("""COMPUTED_VALUE"""),"#VALUE!")</f>
        <v>#VALUE!</v>
      </c>
      <c r="H347" s="51" t="str">
        <f>IFERROR(__xludf.DUMMYFUNCTION("""COMPUTED_VALUE"""),"")</f>
        <v/>
      </c>
      <c r="I347" s="51" t="str">
        <f>IFERROR(__xludf.DUMMYFUNCTION("""COMPUTED_VALUE"""),"#VALUE!")</f>
        <v>#VALUE!</v>
      </c>
      <c r="J347" s="51" t="str">
        <f>IFERROR(__xludf.DUMMYFUNCTION("""COMPUTED_VALUE"""),"")</f>
        <v/>
      </c>
      <c r="K347" s="51"/>
      <c r="L347" s="51" t="s">
        <v>257</v>
      </c>
      <c r="M347" s="51"/>
      <c r="N347" s="51"/>
      <c r="O347" s="51"/>
      <c r="P347" s="51"/>
      <c r="Q347" s="51"/>
      <c r="R347" s="51"/>
      <c r="S347" s="51"/>
      <c r="T347" s="51"/>
    </row>
    <row r="348">
      <c r="A348" s="51"/>
      <c r="B348" s="51"/>
      <c r="C348" s="56"/>
      <c r="D348" s="51"/>
      <c r="E348" s="51"/>
      <c r="F348" s="51"/>
      <c r="G348" s="51" t="str">
        <f>IFERROR(__xludf.DUMMYFUNCTION("""COMPUTED_VALUE"""),"#VALUE!")</f>
        <v>#VALUE!</v>
      </c>
      <c r="H348" s="51" t="str">
        <f>IFERROR(__xludf.DUMMYFUNCTION("""COMPUTED_VALUE"""),"")</f>
        <v/>
      </c>
      <c r="I348" s="51" t="str">
        <f>IFERROR(__xludf.DUMMYFUNCTION("""COMPUTED_VALUE"""),"#VALUE!")</f>
        <v>#VALUE!</v>
      </c>
      <c r="J348" s="51" t="str">
        <f>IFERROR(__xludf.DUMMYFUNCTION("""COMPUTED_VALUE"""),"")</f>
        <v/>
      </c>
      <c r="K348" s="51"/>
      <c r="L348" s="51" t="s">
        <v>257</v>
      </c>
      <c r="M348" s="51"/>
      <c r="N348" s="51"/>
      <c r="O348" s="51"/>
      <c r="P348" s="51"/>
      <c r="Q348" s="51"/>
      <c r="R348" s="51"/>
      <c r="S348" s="51"/>
      <c r="T348" s="51"/>
    </row>
    <row r="349">
      <c r="A349" s="51"/>
      <c r="B349" s="51"/>
      <c r="C349" s="56"/>
      <c r="D349" s="51"/>
      <c r="E349" s="51"/>
      <c r="F349" s="51"/>
      <c r="G349" s="51" t="str">
        <f>IFERROR(__xludf.DUMMYFUNCTION("""COMPUTED_VALUE"""),"#VALUE!")</f>
        <v>#VALUE!</v>
      </c>
      <c r="H349" s="51" t="str">
        <f>IFERROR(__xludf.DUMMYFUNCTION("""COMPUTED_VALUE"""),"")</f>
        <v/>
      </c>
      <c r="I349" s="51" t="str">
        <f>IFERROR(__xludf.DUMMYFUNCTION("""COMPUTED_VALUE"""),"#VALUE!")</f>
        <v>#VALUE!</v>
      </c>
      <c r="J349" s="51" t="str">
        <f>IFERROR(__xludf.DUMMYFUNCTION("""COMPUTED_VALUE"""),"")</f>
        <v/>
      </c>
      <c r="K349" s="51"/>
      <c r="L349" s="51" t="s">
        <v>257</v>
      </c>
      <c r="M349" s="51"/>
      <c r="N349" s="51"/>
      <c r="O349" s="51"/>
      <c r="P349" s="51"/>
      <c r="Q349" s="51"/>
      <c r="R349" s="51"/>
      <c r="S349" s="51"/>
      <c r="T349" s="51"/>
    </row>
    <row r="350">
      <c r="A350" s="51"/>
      <c r="B350" s="51"/>
      <c r="C350" s="56"/>
      <c r="D350" s="51"/>
      <c r="E350" s="51"/>
      <c r="F350" s="51"/>
      <c r="G350" s="51" t="str">
        <f>IFERROR(__xludf.DUMMYFUNCTION("""COMPUTED_VALUE"""),"#VALUE!")</f>
        <v>#VALUE!</v>
      </c>
      <c r="H350" s="51" t="str">
        <f>IFERROR(__xludf.DUMMYFUNCTION("""COMPUTED_VALUE"""),"")</f>
        <v/>
      </c>
      <c r="I350" s="51" t="str">
        <f>IFERROR(__xludf.DUMMYFUNCTION("""COMPUTED_VALUE"""),"#VALUE!")</f>
        <v>#VALUE!</v>
      </c>
      <c r="J350" s="51" t="str">
        <f>IFERROR(__xludf.DUMMYFUNCTION("""COMPUTED_VALUE"""),"")</f>
        <v/>
      </c>
      <c r="K350" s="51"/>
      <c r="L350" s="51" t="s">
        <v>257</v>
      </c>
      <c r="M350" s="51"/>
      <c r="N350" s="51"/>
      <c r="O350" s="51"/>
      <c r="P350" s="51"/>
      <c r="Q350" s="51"/>
      <c r="R350" s="51"/>
      <c r="S350" s="51"/>
      <c r="T350" s="51"/>
    </row>
    <row r="351">
      <c r="A351" s="51"/>
      <c r="B351" s="51"/>
      <c r="C351" s="56"/>
      <c r="D351" s="51"/>
      <c r="E351" s="51"/>
      <c r="F351" s="51"/>
      <c r="G351" s="51" t="str">
        <f>IFERROR(__xludf.DUMMYFUNCTION("""COMPUTED_VALUE"""),"#VALUE!")</f>
        <v>#VALUE!</v>
      </c>
      <c r="H351" s="51" t="str">
        <f>IFERROR(__xludf.DUMMYFUNCTION("""COMPUTED_VALUE"""),"")</f>
        <v/>
      </c>
      <c r="I351" s="51" t="str">
        <f>IFERROR(__xludf.DUMMYFUNCTION("""COMPUTED_VALUE"""),"#VALUE!")</f>
        <v>#VALUE!</v>
      </c>
      <c r="J351" s="51" t="str">
        <f>IFERROR(__xludf.DUMMYFUNCTION("""COMPUTED_VALUE"""),"")</f>
        <v/>
      </c>
      <c r="K351" s="51"/>
      <c r="L351" s="51" t="s">
        <v>257</v>
      </c>
      <c r="M351" s="51"/>
      <c r="N351" s="51"/>
      <c r="O351" s="51"/>
      <c r="P351" s="51"/>
      <c r="Q351" s="51"/>
      <c r="R351" s="51"/>
      <c r="S351" s="51"/>
      <c r="T351" s="51"/>
    </row>
    <row r="352">
      <c r="A352" s="51"/>
      <c r="B352" s="51"/>
      <c r="C352" s="56"/>
      <c r="D352" s="51"/>
      <c r="E352" s="51"/>
      <c r="F352" s="51"/>
      <c r="G352" s="51" t="str">
        <f>IFERROR(__xludf.DUMMYFUNCTION("""COMPUTED_VALUE"""),"#VALUE!")</f>
        <v>#VALUE!</v>
      </c>
      <c r="H352" s="51" t="str">
        <f>IFERROR(__xludf.DUMMYFUNCTION("""COMPUTED_VALUE"""),"")</f>
        <v/>
      </c>
      <c r="I352" s="51" t="str">
        <f>IFERROR(__xludf.DUMMYFUNCTION("""COMPUTED_VALUE"""),"#VALUE!")</f>
        <v>#VALUE!</v>
      </c>
      <c r="J352" s="51" t="str">
        <f>IFERROR(__xludf.DUMMYFUNCTION("""COMPUTED_VALUE"""),"")</f>
        <v/>
      </c>
      <c r="K352" s="51"/>
      <c r="L352" s="51" t="s">
        <v>257</v>
      </c>
      <c r="M352" s="51"/>
      <c r="N352" s="51"/>
      <c r="O352" s="51"/>
      <c r="P352" s="51"/>
      <c r="Q352" s="51"/>
      <c r="R352" s="51"/>
      <c r="S352" s="51"/>
      <c r="T352" s="51"/>
    </row>
    <row r="353">
      <c r="A353" s="51"/>
      <c r="B353" s="51"/>
      <c r="C353" s="56"/>
      <c r="D353" s="51"/>
      <c r="E353" s="51"/>
      <c r="F353" s="51"/>
      <c r="G353" s="51" t="str">
        <f>IFERROR(__xludf.DUMMYFUNCTION("""COMPUTED_VALUE"""),"#VALUE!")</f>
        <v>#VALUE!</v>
      </c>
      <c r="H353" s="51" t="str">
        <f>IFERROR(__xludf.DUMMYFUNCTION("""COMPUTED_VALUE"""),"")</f>
        <v/>
      </c>
      <c r="I353" s="51" t="str">
        <f>IFERROR(__xludf.DUMMYFUNCTION("""COMPUTED_VALUE"""),"#VALUE!")</f>
        <v>#VALUE!</v>
      </c>
      <c r="J353" s="51" t="str">
        <f>IFERROR(__xludf.DUMMYFUNCTION("""COMPUTED_VALUE"""),"")</f>
        <v/>
      </c>
      <c r="K353" s="51"/>
      <c r="L353" s="51" t="s">
        <v>257</v>
      </c>
      <c r="M353" s="51"/>
      <c r="N353" s="51"/>
      <c r="O353" s="51"/>
      <c r="P353" s="51"/>
      <c r="Q353" s="51"/>
      <c r="R353" s="51"/>
      <c r="S353" s="51"/>
      <c r="T353" s="51"/>
    </row>
    <row r="354">
      <c r="A354" s="51"/>
      <c r="B354" s="51"/>
      <c r="C354" s="56"/>
      <c r="D354" s="51"/>
      <c r="E354" s="51"/>
      <c r="F354" s="51"/>
      <c r="G354" s="51" t="str">
        <f>IFERROR(__xludf.DUMMYFUNCTION("""COMPUTED_VALUE"""),"#VALUE!")</f>
        <v>#VALUE!</v>
      </c>
      <c r="H354" s="51" t="str">
        <f>IFERROR(__xludf.DUMMYFUNCTION("""COMPUTED_VALUE"""),"")</f>
        <v/>
      </c>
      <c r="I354" s="51" t="str">
        <f>IFERROR(__xludf.DUMMYFUNCTION("""COMPUTED_VALUE"""),"#VALUE!")</f>
        <v>#VALUE!</v>
      </c>
      <c r="J354" s="51" t="str">
        <f>IFERROR(__xludf.DUMMYFUNCTION("""COMPUTED_VALUE"""),"")</f>
        <v/>
      </c>
      <c r="K354" s="51"/>
      <c r="L354" s="51" t="s">
        <v>257</v>
      </c>
      <c r="M354" s="51"/>
      <c r="N354" s="51"/>
      <c r="O354" s="51"/>
      <c r="P354" s="51"/>
      <c r="Q354" s="51"/>
      <c r="R354" s="51"/>
      <c r="S354" s="51"/>
      <c r="T354" s="51"/>
    </row>
    <row r="355">
      <c r="A355" s="51"/>
      <c r="B355" s="51"/>
      <c r="C355" s="56"/>
      <c r="D355" s="51"/>
      <c r="E355" s="51"/>
      <c r="F355" s="51"/>
      <c r="G355" s="51" t="str">
        <f>IFERROR(__xludf.DUMMYFUNCTION("""COMPUTED_VALUE"""),"#VALUE!")</f>
        <v>#VALUE!</v>
      </c>
      <c r="H355" s="51" t="str">
        <f>IFERROR(__xludf.DUMMYFUNCTION("""COMPUTED_VALUE"""),"")</f>
        <v/>
      </c>
      <c r="I355" s="51" t="str">
        <f>IFERROR(__xludf.DUMMYFUNCTION("""COMPUTED_VALUE"""),"#VALUE!")</f>
        <v>#VALUE!</v>
      </c>
      <c r="J355" s="51" t="str">
        <f>IFERROR(__xludf.DUMMYFUNCTION("""COMPUTED_VALUE"""),"")</f>
        <v/>
      </c>
      <c r="K355" s="51"/>
      <c r="L355" s="51" t="s">
        <v>257</v>
      </c>
      <c r="M355" s="51"/>
      <c r="N355" s="51"/>
      <c r="O355" s="51"/>
      <c r="P355" s="51"/>
      <c r="Q355" s="51"/>
      <c r="R355" s="51"/>
      <c r="S355" s="51"/>
      <c r="T355" s="51"/>
    </row>
    <row r="356">
      <c r="A356" s="51"/>
      <c r="B356" s="51"/>
      <c r="C356" s="56"/>
      <c r="D356" s="51"/>
      <c r="E356" s="51"/>
      <c r="F356" s="51"/>
      <c r="G356" s="51" t="str">
        <f>IFERROR(__xludf.DUMMYFUNCTION("""COMPUTED_VALUE"""),"#VALUE!")</f>
        <v>#VALUE!</v>
      </c>
      <c r="H356" s="51" t="str">
        <f>IFERROR(__xludf.DUMMYFUNCTION("""COMPUTED_VALUE"""),"")</f>
        <v/>
      </c>
      <c r="I356" s="51" t="str">
        <f>IFERROR(__xludf.DUMMYFUNCTION("""COMPUTED_VALUE"""),"#VALUE!")</f>
        <v>#VALUE!</v>
      </c>
      <c r="J356" s="51" t="str">
        <f>IFERROR(__xludf.DUMMYFUNCTION("""COMPUTED_VALUE"""),"")</f>
        <v/>
      </c>
      <c r="K356" s="51"/>
      <c r="L356" s="51" t="s">
        <v>257</v>
      </c>
      <c r="M356" s="51"/>
      <c r="N356" s="51"/>
      <c r="O356" s="51"/>
      <c r="P356" s="51"/>
      <c r="Q356" s="51"/>
      <c r="R356" s="51"/>
      <c r="S356" s="51"/>
      <c r="T356" s="51"/>
    </row>
    <row r="357">
      <c r="A357" s="51"/>
      <c r="B357" s="51"/>
      <c r="C357" s="56"/>
      <c r="D357" s="51"/>
      <c r="E357" s="51"/>
      <c r="F357" s="51"/>
      <c r="G357" s="51" t="str">
        <f>IFERROR(__xludf.DUMMYFUNCTION("""COMPUTED_VALUE"""),"#VALUE!")</f>
        <v>#VALUE!</v>
      </c>
      <c r="H357" s="51" t="str">
        <f>IFERROR(__xludf.DUMMYFUNCTION("""COMPUTED_VALUE"""),"")</f>
        <v/>
      </c>
      <c r="I357" s="51" t="str">
        <f>IFERROR(__xludf.DUMMYFUNCTION("""COMPUTED_VALUE"""),"#VALUE!")</f>
        <v>#VALUE!</v>
      </c>
      <c r="J357" s="51" t="str">
        <f>IFERROR(__xludf.DUMMYFUNCTION("""COMPUTED_VALUE"""),"")</f>
        <v/>
      </c>
      <c r="K357" s="51"/>
      <c r="L357" s="51" t="s">
        <v>257</v>
      </c>
      <c r="M357" s="51"/>
      <c r="N357" s="51"/>
      <c r="O357" s="51"/>
      <c r="P357" s="51"/>
      <c r="Q357" s="51"/>
      <c r="R357" s="51"/>
      <c r="S357" s="51"/>
      <c r="T357" s="51"/>
    </row>
    <row r="358">
      <c r="A358" s="51"/>
      <c r="B358" s="51"/>
      <c r="C358" s="56"/>
      <c r="D358" s="51"/>
      <c r="E358" s="51"/>
      <c r="F358" s="51"/>
      <c r="G358" s="51" t="str">
        <f>IFERROR(__xludf.DUMMYFUNCTION("""COMPUTED_VALUE"""),"#VALUE!")</f>
        <v>#VALUE!</v>
      </c>
      <c r="H358" s="51" t="str">
        <f>IFERROR(__xludf.DUMMYFUNCTION("""COMPUTED_VALUE"""),"")</f>
        <v/>
      </c>
      <c r="I358" s="51" t="str">
        <f>IFERROR(__xludf.DUMMYFUNCTION("""COMPUTED_VALUE"""),"#VALUE!")</f>
        <v>#VALUE!</v>
      </c>
      <c r="J358" s="51" t="str">
        <f>IFERROR(__xludf.DUMMYFUNCTION("""COMPUTED_VALUE"""),"")</f>
        <v/>
      </c>
      <c r="K358" s="51"/>
      <c r="L358" s="51" t="s">
        <v>257</v>
      </c>
      <c r="M358" s="51"/>
      <c r="N358" s="51"/>
      <c r="O358" s="51"/>
      <c r="P358" s="51"/>
      <c r="Q358" s="51"/>
      <c r="R358" s="51"/>
      <c r="S358" s="51"/>
      <c r="T358" s="51"/>
    </row>
    <row r="359">
      <c r="A359" s="51"/>
      <c r="B359" s="51"/>
      <c r="C359" s="56"/>
      <c r="D359" s="51"/>
      <c r="E359" s="51"/>
      <c r="F359" s="51"/>
      <c r="G359" s="51" t="str">
        <f>IFERROR(__xludf.DUMMYFUNCTION("""COMPUTED_VALUE"""),"#VALUE!")</f>
        <v>#VALUE!</v>
      </c>
      <c r="H359" s="51" t="str">
        <f>IFERROR(__xludf.DUMMYFUNCTION("""COMPUTED_VALUE"""),"")</f>
        <v/>
      </c>
      <c r="I359" s="51" t="str">
        <f>IFERROR(__xludf.DUMMYFUNCTION("""COMPUTED_VALUE"""),"#VALUE!")</f>
        <v>#VALUE!</v>
      </c>
      <c r="J359" s="51" t="str">
        <f>IFERROR(__xludf.DUMMYFUNCTION("""COMPUTED_VALUE"""),"")</f>
        <v/>
      </c>
      <c r="K359" s="51"/>
      <c r="L359" s="51" t="s">
        <v>257</v>
      </c>
      <c r="M359" s="51"/>
      <c r="N359" s="51"/>
      <c r="O359" s="51"/>
      <c r="P359" s="51"/>
      <c r="Q359" s="51"/>
      <c r="R359" s="51"/>
      <c r="S359" s="51"/>
      <c r="T359" s="51"/>
    </row>
    <row r="360">
      <c r="A360" s="51"/>
      <c r="B360" s="51"/>
      <c r="C360" s="56"/>
      <c r="D360" s="51"/>
      <c r="E360" s="51"/>
      <c r="F360" s="51"/>
      <c r="G360" s="51" t="str">
        <f>IFERROR(__xludf.DUMMYFUNCTION("""COMPUTED_VALUE"""),"#VALUE!")</f>
        <v>#VALUE!</v>
      </c>
      <c r="H360" s="51" t="str">
        <f>IFERROR(__xludf.DUMMYFUNCTION("""COMPUTED_VALUE"""),"")</f>
        <v/>
      </c>
      <c r="I360" s="51" t="str">
        <f>IFERROR(__xludf.DUMMYFUNCTION("""COMPUTED_VALUE"""),"#VALUE!")</f>
        <v>#VALUE!</v>
      </c>
      <c r="J360" s="51" t="str">
        <f>IFERROR(__xludf.DUMMYFUNCTION("""COMPUTED_VALUE"""),"")</f>
        <v/>
      </c>
      <c r="K360" s="51"/>
      <c r="L360" s="51" t="s">
        <v>257</v>
      </c>
      <c r="M360" s="51"/>
      <c r="N360" s="51"/>
      <c r="O360" s="51"/>
      <c r="P360" s="51"/>
      <c r="Q360" s="51"/>
      <c r="R360" s="51"/>
      <c r="S360" s="51"/>
      <c r="T360" s="51"/>
    </row>
    <row r="361">
      <c r="A361" s="51"/>
      <c r="B361" s="51"/>
      <c r="C361" s="56"/>
      <c r="D361" s="51"/>
      <c r="E361" s="51"/>
      <c r="F361" s="51"/>
      <c r="G361" s="51" t="str">
        <f>IFERROR(__xludf.DUMMYFUNCTION("""COMPUTED_VALUE"""),"#VALUE!")</f>
        <v>#VALUE!</v>
      </c>
      <c r="H361" s="51" t="str">
        <f>IFERROR(__xludf.DUMMYFUNCTION("""COMPUTED_VALUE"""),"")</f>
        <v/>
      </c>
      <c r="I361" s="51" t="str">
        <f>IFERROR(__xludf.DUMMYFUNCTION("""COMPUTED_VALUE"""),"#VALUE!")</f>
        <v>#VALUE!</v>
      </c>
      <c r="J361" s="51" t="str">
        <f>IFERROR(__xludf.DUMMYFUNCTION("""COMPUTED_VALUE"""),"")</f>
        <v/>
      </c>
      <c r="K361" s="51"/>
      <c r="L361" s="51" t="s">
        <v>257</v>
      </c>
      <c r="M361" s="51"/>
      <c r="N361" s="51"/>
      <c r="O361" s="51"/>
      <c r="P361" s="51"/>
      <c r="Q361" s="51"/>
      <c r="R361" s="51"/>
      <c r="S361" s="51"/>
      <c r="T361" s="51"/>
    </row>
    <row r="362">
      <c r="A362" s="51"/>
      <c r="B362" s="51"/>
      <c r="C362" s="56"/>
      <c r="D362" s="51"/>
      <c r="E362" s="51"/>
      <c r="F362" s="51"/>
      <c r="G362" s="51" t="str">
        <f>IFERROR(__xludf.DUMMYFUNCTION("""COMPUTED_VALUE"""),"#VALUE!")</f>
        <v>#VALUE!</v>
      </c>
      <c r="H362" s="51" t="str">
        <f>IFERROR(__xludf.DUMMYFUNCTION("""COMPUTED_VALUE"""),"")</f>
        <v/>
      </c>
      <c r="I362" s="51" t="str">
        <f>IFERROR(__xludf.DUMMYFUNCTION("""COMPUTED_VALUE"""),"#VALUE!")</f>
        <v>#VALUE!</v>
      </c>
      <c r="J362" s="51" t="str">
        <f>IFERROR(__xludf.DUMMYFUNCTION("""COMPUTED_VALUE"""),"")</f>
        <v/>
      </c>
      <c r="K362" s="51"/>
      <c r="L362" s="51" t="s">
        <v>257</v>
      </c>
      <c r="M362" s="51"/>
      <c r="N362" s="51"/>
      <c r="O362" s="51"/>
      <c r="P362" s="51"/>
      <c r="Q362" s="51"/>
      <c r="R362" s="51"/>
      <c r="S362" s="51"/>
      <c r="T362" s="51"/>
    </row>
    <row r="363">
      <c r="A363" s="51"/>
      <c r="B363" s="51"/>
      <c r="C363" s="56"/>
      <c r="D363" s="51"/>
      <c r="E363" s="51"/>
      <c r="F363" s="51"/>
      <c r="G363" s="51" t="str">
        <f>IFERROR(__xludf.DUMMYFUNCTION("""COMPUTED_VALUE"""),"#VALUE!")</f>
        <v>#VALUE!</v>
      </c>
      <c r="H363" s="51" t="str">
        <f>IFERROR(__xludf.DUMMYFUNCTION("""COMPUTED_VALUE"""),"")</f>
        <v/>
      </c>
      <c r="I363" s="51" t="str">
        <f>IFERROR(__xludf.DUMMYFUNCTION("""COMPUTED_VALUE"""),"#VALUE!")</f>
        <v>#VALUE!</v>
      </c>
      <c r="J363" s="51" t="str">
        <f>IFERROR(__xludf.DUMMYFUNCTION("""COMPUTED_VALUE"""),"")</f>
        <v/>
      </c>
      <c r="K363" s="51"/>
      <c r="L363" s="51" t="s">
        <v>257</v>
      </c>
      <c r="M363" s="51"/>
      <c r="N363" s="51"/>
      <c r="O363" s="51"/>
      <c r="P363" s="51"/>
      <c r="Q363" s="51"/>
      <c r="R363" s="51"/>
      <c r="S363" s="51"/>
      <c r="T363" s="51"/>
    </row>
    <row r="364">
      <c r="A364" s="51"/>
      <c r="B364" s="51"/>
      <c r="C364" s="56"/>
      <c r="D364" s="51"/>
      <c r="E364" s="51"/>
      <c r="F364" s="51"/>
      <c r="G364" s="51" t="str">
        <f>IFERROR(__xludf.DUMMYFUNCTION("""COMPUTED_VALUE"""),"#VALUE!")</f>
        <v>#VALUE!</v>
      </c>
      <c r="H364" s="51" t="str">
        <f>IFERROR(__xludf.DUMMYFUNCTION("""COMPUTED_VALUE"""),"")</f>
        <v/>
      </c>
      <c r="I364" s="51" t="str">
        <f>IFERROR(__xludf.DUMMYFUNCTION("""COMPUTED_VALUE"""),"#VALUE!")</f>
        <v>#VALUE!</v>
      </c>
      <c r="J364" s="51" t="str">
        <f>IFERROR(__xludf.DUMMYFUNCTION("""COMPUTED_VALUE"""),"")</f>
        <v/>
      </c>
      <c r="K364" s="51"/>
      <c r="L364" s="51" t="s">
        <v>257</v>
      </c>
      <c r="M364" s="51"/>
      <c r="N364" s="51"/>
      <c r="O364" s="51"/>
      <c r="P364" s="51"/>
      <c r="Q364" s="51"/>
      <c r="R364" s="51"/>
      <c r="S364" s="51"/>
      <c r="T364" s="51"/>
    </row>
    <row r="365">
      <c r="A365" s="51"/>
      <c r="B365" s="51"/>
      <c r="C365" s="56"/>
      <c r="D365" s="51"/>
      <c r="E365" s="51"/>
      <c r="F365" s="51"/>
      <c r="G365" s="51" t="str">
        <f>IFERROR(__xludf.DUMMYFUNCTION("""COMPUTED_VALUE"""),"#VALUE!")</f>
        <v>#VALUE!</v>
      </c>
      <c r="H365" s="51" t="str">
        <f>IFERROR(__xludf.DUMMYFUNCTION("""COMPUTED_VALUE"""),"")</f>
        <v/>
      </c>
      <c r="I365" s="51" t="str">
        <f>IFERROR(__xludf.DUMMYFUNCTION("""COMPUTED_VALUE"""),"#VALUE!")</f>
        <v>#VALUE!</v>
      </c>
      <c r="J365" s="51" t="str">
        <f>IFERROR(__xludf.DUMMYFUNCTION("""COMPUTED_VALUE"""),"")</f>
        <v/>
      </c>
      <c r="K365" s="51"/>
      <c r="L365" s="51" t="s">
        <v>257</v>
      </c>
      <c r="M365" s="51"/>
      <c r="N365" s="51"/>
      <c r="O365" s="51"/>
      <c r="P365" s="51"/>
      <c r="Q365" s="51"/>
      <c r="R365" s="51"/>
      <c r="S365" s="51"/>
      <c r="T365" s="51"/>
    </row>
    <row r="366">
      <c r="A366" s="51"/>
      <c r="B366" s="51"/>
      <c r="C366" s="56"/>
      <c r="D366" s="51"/>
      <c r="E366" s="51"/>
      <c r="F366" s="51"/>
      <c r="G366" s="51" t="str">
        <f>IFERROR(__xludf.DUMMYFUNCTION("""COMPUTED_VALUE"""),"#VALUE!")</f>
        <v>#VALUE!</v>
      </c>
      <c r="H366" s="51" t="str">
        <f>IFERROR(__xludf.DUMMYFUNCTION("""COMPUTED_VALUE"""),"")</f>
        <v/>
      </c>
      <c r="I366" s="51" t="str">
        <f>IFERROR(__xludf.DUMMYFUNCTION("""COMPUTED_VALUE"""),"#VALUE!")</f>
        <v>#VALUE!</v>
      </c>
      <c r="J366" s="51" t="str">
        <f>IFERROR(__xludf.DUMMYFUNCTION("""COMPUTED_VALUE"""),"")</f>
        <v/>
      </c>
      <c r="K366" s="51"/>
      <c r="L366" s="51" t="s">
        <v>257</v>
      </c>
      <c r="M366" s="51"/>
      <c r="N366" s="51"/>
      <c r="O366" s="51"/>
      <c r="P366" s="51"/>
      <c r="Q366" s="51"/>
      <c r="R366" s="51"/>
      <c r="S366" s="51"/>
      <c r="T366" s="51"/>
    </row>
    <row r="367">
      <c r="A367" s="51"/>
      <c r="B367" s="51"/>
      <c r="C367" s="56"/>
      <c r="D367" s="51"/>
      <c r="E367" s="51"/>
      <c r="F367" s="51"/>
      <c r="G367" s="51" t="str">
        <f>IFERROR(__xludf.DUMMYFUNCTION("""COMPUTED_VALUE"""),"#VALUE!")</f>
        <v>#VALUE!</v>
      </c>
      <c r="H367" s="51" t="str">
        <f>IFERROR(__xludf.DUMMYFUNCTION("""COMPUTED_VALUE"""),"")</f>
        <v/>
      </c>
      <c r="I367" s="51" t="str">
        <f>IFERROR(__xludf.DUMMYFUNCTION("""COMPUTED_VALUE"""),"#VALUE!")</f>
        <v>#VALUE!</v>
      </c>
      <c r="J367" s="51" t="str">
        <f>IFERROR(__xludf.DUMMYFUNCTION("""COMPUTED_VALUE"""),"")</f>
        <v/>
      </c>
      <c r="K367" s="51"/>
      <c r="L367" s="51" t="s">
        <v>257</v>
      </c>
      <c r="M367" s="51"/>
      <c r="N367" s="51"/>
      <c r="O367" s="51"/>
      <c r="P367" s="51"/>
      <c r="Q367" s="51"/>
      <c r="R367" s="51"/>
      <c r="S367" s="51"/>
      <c r="T367" s="51"/>
    </row>
    <row r="368">
      <c r="A368" s="51"/>
      <c r="B368" s="51"/>
      <c r="C368" s="56"/>
      <c r="D368" s="51"/>
      <c r="E368" s="51"/>
      <c r="F368" s="51"/>
      <c r="G368" s="51" t="str">
        <f>IFERROR(__xludf.DUMMYFUNCTION("""COMPUTED_VALUE"""),"#VALUE!")</f>
        <v>#VALUE!</v>
      </c>
      <c r="H368" s="51" t="str">
        <f>IFERROR(__xludf.DUMMYFUNCTION("""COMPUTED_VALUE"""),"")</f>
        <v/>
      </c>
      <c r="I368" s="51" t="str">
        <f>IFERROR(__xludf.DUMMYFUNCTION("""COMPUTED_VALUE"""),"#VALUE!")</f>
        <v>#VALUE!</v>
      </c>
      <c r="J368" s="51" t="str">
        <f>IFERROR(__xludf.DUMMYFUNCTION("""COMPUTED_VALUE"""),"")</f>
        <v/>
      </c>
      <c r="K368" s="51"/>
      <c r="L368" s="51" t="s">
        <v>257</v>
      </c>
      <c r="M368" s="51"/>
      <c r="N368" s="51"/>
      <c r="O368" s="51"/>
      <c r="P368" s="51"/>
      <c r="Q368" s="51"/>
      <c r="R368" s="51"/>
      <c r="S368" s="51"/>
      <c r="T368" s="51"/>
    </row>
    <row r="369">
      <c r="A369" s="51"/>
      <c r="B369" s="51"/>
      <c r="C369" s="56"/>
      <c r="D369" s="51"/>
      <c r="E369" s="51"/>
      <c r="F369" s="51"/>
      <c r="G369" s="51" t="str">
        <f>IFERROR(__xludf.DUMMYFUNCTION("""COMPUTED_VALUE"""),"#VALUE!")</f>
        <v>#VALUE!</v>
      </c>
      <c r="H369" s="51" t="str">
        <f>IFERROR(__xludf.DUMMYFUNCTION("""COMPUTED_VALUE"""),"")</f>
        <v/>
      </c>
      <c r="I369" s="51" t="str">
        <f>IFERROR(__xludf.DUMMYFUNCTION("""COMPUTED_VALUE"""),"#VALUE!")</f>
        <v>#VALUE!</v>
      </c>
      <c r="J369" s="51" t="str">
        <f>IFERROR(__xludf.DUMMYFUNCTION("""COMPUTED_VALUE"""),"")</f>
        <v/>
      </c>
      <c r="K369" s="51"/>
      <c r="L369" s="51" t="s">
        <v>257</v>
      </c>
      <c r="M369" s="51"/>
      <c r="N369" s="51"/>
      <c r="O369" s="51"/>
      <c r="P369" s="51"/>
      <c r="Q369" s="51"/>
      <c r="R369" s="51"/>
      <c r="S369" s="51"/>
      <c r="T369" s="51"/>
    </row>
    <row r="370">
      <c r="A370" s="51"/>
      <c r="B370" s="51"/>
      <c r="C370" s="56"/>
      <c r="D370" s="51"/>
      <c r="E370" s="51"/>
      <c r="F370" s="51"/>
      <c r="G370" s="51" t="str">
        <f>IFERROR(__xludf.DUMMYFUNCTION("""COMPUTED_VALUE"""),"#VALUE!")</f>
        <v>#VALUE!</v>
      </c>
      <c r="H370" s="51" t="str">
        <f>IFERROR(__xludf.DUMMYFUNCTION("""COMPUTED_VALUE"""),"")</f>
        <v/>
      </c>
      <c r="I370" s="51" t="str">
        <f>IFERROR(__xludf.DUMMYFUNCTION("""COMPUTED_VALUE"""),"#VALUE!")</f>
        <v>#VALUE!</v>
      </c>
      <c r="J370" s="51" t="str">
        <f>IFERROR(__xludf.DUMMYFUNCTION("""COMPUTED_VALUE"""),"")</f>
        <v/>
      </c>
      <c r="K370" s="51"/>
      <c r="L370" s="51" t="s">
        <v>257</v>
      </c>
      <c r="M370" s="51"/>
      <c r="N370" s="51"/>
      <c r="O370" s="51"/>
      <c r="P370" s="51"/>
      <c r="Q370" s="51"/>
      <c r="R370" s="51"/>
      <c r="S370" s="51"/>
      <c r="T370" s="51"/>
    </row>
    <row r="371">
      <c r="A371" s="51"/>
      <c r="B371" s="51"/>
      <c r="C371" s="56"/>
      <c r="D371" s="51"/>
      <c r="E371" s="51"/>
      <c r="F371" s="51"/>
      <c r="G371" s="51" t="str">
        <f>IFERROR(__xludf.DUMMYFUNCTION("""COMPUTED_VALUE"""),"#VALUE!")</f>
        <v>#VALUE!</v>
      </c>
      <c r="H371" s="51" t="str">
        <f>IFERROR(__xludf.DUMMYFUNCTION("""COMPUTED_VALUE"""),"")</f>
        <v/>
      </c>
      <c r="I371" s="51" t="str">
        <f>IFERROR(__xludf.DUMMYFUNCTION("""COMPUTED_VALUE"""),"#VALUE!")</f>
        <v>#VALUE!</v>
      </c>
      <c r="J371" s="51" t="str">
        <f>IFERROR(__xludf.DUMMYFUNCTION("""COMPUTED_VALUE"""),"")</f>
        <v/>
      </c>
      <c r="K371" s="51"/>
      <c r="L371" s="51" t="s">
        <v>257</v>
      </c>
      <c r="M371" s="51"/>
      <c r="N371" s="51"/>
      <c r="O371" s="51"/>
      <c r="P371" s="51"/>
      <c r="Q371" s="51"/>
      <c r="R371" s="51"/>
      <c r="S371" s="51"/>
      <c r="T371" s="51"/>
    </row>
    <row r="372">
      <c r="A372" s="51"/>
      <c r="B372" s="51"/>
      <c r="C372" s="56"/>
      <c r="D372" s="51"/>
      <c r="E372" s="51"/>
      <c r="F372" s="51"/>
      <c r="G372" s="51" t="str">
        <f>IFERROR(__xludf.DUMMYFUNCTION("""COMPUTED_VALUE"""),"#VALUE!")</f>
        <v>#VALUE!</v>
      </c>
      <c r="H372" s="51" t="str">
        <f>IFERROR(__xludf.DUMMYFUNCTION("""COMPUTED_VALUE"""),"")</f>
        <v/>
      </c>
      <c r="I372" s="51" t="str">
        <f>IFERROR(__xludf.DUMMYFUNCTION("""COMPUTED_VALUE"""),"#VALUE!")</f>
        <v>#VALUE!</v>
      </c>
      <c r="J372" s="51" t="str">
        <f>IFERROR(__xludf.DUMMYFUNCTION("""COMPUTED_VALUE"""),"")</f>
        <v/>
      </c>
      <c r="K372" s="51"/>
      <c r="L372" s="51" t="s">
        <v>257</v>
      </c>
      <c r="M372" s="51"/>
      <c r="N372" s="51"/>
      <c r="O372" s="51"/>
      <c r="P372" s="51"/>
      <c r="Q372" s="51"/>
      <c r="R372" s="51"/>
      <c r="S372" s="51"/>
      <c r="T372" s="51"/>
    </row>
    <row r="373">
      <c r="A373" s="51"/>
      <c r="B373" s="51"/>
      <c r="C373" s="56"/>
      <c r="D373" s="51"/>
      <c r="E373" s="51"/>
      <c r="F373" s="51"/>
      <c r="G373" s="51" t="str">
        <f>IFERROR(__xludf.DUMMYFUNCTION("""COMPUTED_VALUE"""),"#VALUE!")</f>
        <v>#VALUE!</v>
      </c>
      <c r="H373" s="51" t="str">
        <f>IFERROR(__xludf.DUMMYFUNCTION("""COMPUTED_VALUE"""),"")</f>
        <v/>
      </c>
      <c r="I373" s="51" t="str">
        <f>IFERROR(__xludf.DUMMYFUNCTION("""COMPUTED_VALUE"""),"#VALUE!")</f>
        <v>#VALUE!</v>
      </c>
      <c r="J373" s="51" t="str">
        <f>IFERROR(__xludf.DUMMYFUNCTION("""COMPUTED_VALUE"""),"")</f>
        <v/>
      </c>
      <c r="K373" s="51"/>
      <c r="L373" s="51" t="s">
        <v>257</v>
      </c>
      <c r="M373" s="51"/>
      <c r="N373" s="51"/>
      <c r="O373" s="51"/>
      <c r="P373" s="51"/>
      <c r="Q373" s="51"/>
      <c r="R373" s="51"/>
      <c r="S373" s="51"/>
      <c r="T373" s="51"/>
    </row>
    <row r="374">
      <c r="A374" s="51"/>
      <c r="B374" s="51"/>
      <c r="C374" s="56"/>
      <c r="D374" s="51"/>
      <c r="E374" s="51"/>
      <c r="F374" s="51"/>
      <c r="G374" s="51" t="str">
        <f>IFERROR(__xludf.DUMMYFUNCTION("""COMPUTED_VALUE"""),"#VALUE!")</f>
        <v>#VALUE!</v>
      </c>
      <c r="H374" s="51" t="str">
        <f>IFERROR(__xludf.DUMMYFUNCTION("""COMPUTED_VALUE"""),"")</f>
        <v/>
      </c>
      <c r="I374" s="51" t="str">
        <f>IFERROR(__xludf.DUMMYFUNCTION("""COMPUTED_VALUE"""),"#VALUE!")</f>
        <v>#VALUE!</v>
      </c>
      <c r="J374" s="51" t="str">
        <f>IFERROR(__xludf.DUMMYFUNCTION("""COMPUTED_VALUE"""),"")</f>
        <v/>
      </c>
      <c r="K374" s="51"/>
      <c r="L374" s="51" t="s">
        <v>257</v>
      </c>
      <c r="M374" s="51"/>
      <c r="N374" s="51"/>
      <c r="O374" s="51"/>
      <c r="P374" s="51"/>
      <c r="Q374" s="51"/>
      <c r="R374" s="51"/>
      <c r="S374" s="51"/>
      <c r="T374" s="51"/>
    </row>
    <row r="375">
      <c r="A375" s="51"/>
      <c r="B375" s="51"/>
      <c r="C375" s="56"/>
      <c r="D375" s="51"/>
      <c r="E375" s="51"/>
      <c r="F375" s="51"/>
      <c r="G375" s="51" t="str">
        <f>IFERROR(__xludf.DUMMYFUNCTION("""COMPUTED_VALUE"""),"#VALUE!")</f>
        <v>#VALUE!</v>
      </c>
      <c r="H375" s="51" t="str">
        <f>IFERROR(__xludf.DUMMYFUNCTION("""COMPUTED_VALUE"""),"")</f>
        <v/>
      </c>
      <c r="I375" s="51" t="str">
        <f>IFERROR(__xludf.DUMMYFUNCTION("""COMPUTED_VALUE"""),"#VALUE!")</f>
        <v>#VALUE!</v>
      </c>
      <c r="J375" s="51" t="str">
        <f>IFERROR(__xludf.DUMMYFUNCTION("""COMPUTED_VALUE"""),"")</f>
        <v/>
      </c>
      <c r="K375" s="51"/>
      <c r="L375" s="51" t="s">
        <v>257</v>
      </c>
      <c r="M375" s="51"/>
      <c r="N375" s="51"/>
      <c r="O375" s="51"/>
      <c r="P375" s="51"/>
      <c r="Q375" s="51"/>
      <c r="R375" s="51"/>
      <c r="S375" s="51"/>
      <c r="T375" s="51"/>
    </row>
    <row r="376">
      <c r="A376" s="51"/>
      <c r="B376" s="51"/>
      <c r="C376" s="56"/>
      <c r="D376" s="51"/>
      <c r="E376" s="51"/>
      <c r="F376" s="51"/>
      <c r="G376" s="51" t="str">
        <f>IFERROR(__xludf.DUMMYFUNCTION("""COMPUTED_VALUE"""),"#VALUE!")</f>
        <v>#VALUE!</v>
      </c>
      <c r="H376" s="51" t="str">
        <f>IFERROR(__xludf.DUMMYFUNCTION("""COMPUTED_VALUE"""),"")</f>
        <v/>
      </c>
      <c r="I376" s="51" t="str">
        <f>IFERROR(__xludf.DUMMYFUNCTION("""COMPUTED_VALUE"""),"#VALUE!")</f>
        <v>#VALUE!</v>
      </c>
      <c r="J376" s="51" t="str">
        <f>IFERROR(__xludf.DUMMYFUNCTION("""COMPUTED_VALUE"""),"")</f>
        <v/>
      </c>
      <c r="K376" s="51"/>
      <c r="L376" s="51" t="s">
        <v>257</v>
      </c>
      <c r="M376" s="51"/>
      <c r="N376" s="51"/>
      <c r="O376" s="51"/>
      <c r="P376" s="51"/>
      <c r="Q376" s="51"/>
      <c r="R376" s="51"/>
      <c r="S376" s="51"/>
      <c r="T376" s="51"/>
    </row>
    <row r="377">
      <c r="A377" s="51"/>
      <c r="B377" s="51"/>
      <c r="C377" s="56"/>
      <c r="D377" s="51"/>
      <c r="E377" s="51"/>
      <c r="F377" s="51"/>
      <c r="G377" s="51" t="str">
        <f>IFERROR(__xludf.DUMMYFUNCTION("""COMPUTED_VALUE"""),"#VALUE!")</f>
        <v>#VALUE!</v>
      </c>
      <c r="H377" s="51" t="str">
        <f>IFERROR(__xludf.DUMMYFUNCTION("""COMPUTED_VALUE"""),"")</f>
        <v/>
      </c>
      <c r="I377" s="51" t="str">
        <f>IFERROR(__xludf.DUMMYFUNCTION("""COMPUTED_VALUE"""),"#VALUE!")</f>
        <v>#VALUE!</v>
      </c>
      <c r="J377" s="51" t="str">
        <f>IFERROR(__xludf.DUMMYFUNCTION("""COMPUTED_VALUE"""),"")</f>
        <v/>
      </c>
      <c r="K377" s="51"/>
      <c r="L377" s="51" t="s">
        <v>257</v>
      </c>
      <c r="M377" s="51"/>
      <c r="N377" s="51"/>
      <c r="O377" s="51"/>
      <c r="P377" s="51"/>
      <c r="Q377" s="51"/>
      <c r="R377" s="51"/>
      <c r="S377" s="51"/>
      <c r="T377" s="51"/>
    </row>
    <row r="378">
      <c r="A378" s="51"/>
      <c r="B378" s="51"/>
      <c r="C378" s="56"/>
      <c r="D378" s="51"/>
      <c r="E378" s="51"/>
      <c r="F378" s="51"/>
      <c r="G378" s="51" t="str">
        <f>IFERROR(__xludf.DUMMYFUNCTION("""COMPUTED_VALUE"""),"#VALUE!")</f>
        <v>#VALUE!</v>
      </c>
      <c r="H378" s="51" t="str">
        <f>IFERROR(__xludf.DUMMYFUNCTION("""COMPUTED_VALUE"""),"")</f>
        <v/>
      </c>
      <c r="I378" s="51" t="str">
        <f>IFERROR(__xludf.DUMMYFUNCTION("""COMPUTED_VALUE"""),"#VALUE!")</f>
        <v>#VALUE!</v>
      </c>
      <c r="J378" s="51" t="str">
        <f>IFERROR(__xludf.DUMMYFUNCTION("""COMPUTED_VALUE"""),"")</f>
        <v/>
      </c>
      <c r="K378" s="51"/>
      <c r="L378" s="51" t="s">
        <v>257</v>
      </c>
      <c r="M378" s="51"/>
      <c r="N378" s="51"/>
      <c r="O378" s="51"/>
      <c r="P378" s="51"/>
      <c r="Q378" s="51"/>
      <c r="R378" s="51"/>
      <c r="S378" s="51"/>
      <c r="T378" s="51"/>
    </row>
    <row r="379">
      <c r="A379" s="51"/>
      <c r="B379" s="51"/>
      <c r="C379" s="56"/>
      <c r="D379" s="51"/>
      <c r="E379" s="51"/>
      <c r="F379" s="51"/>
      <c r="G379" s="51" t="str">
        <f>IFERROR(__xludf.DUMMYFUNCTION("""COMPUTED_VALUE"""),"#VALUE!")</f>
        <v>#VALUE!</v>
      </c>
      <c r="H379" s="51" t="str">
        <f>IFERROR(__xludf.DUMMYFUNCTION("""COMPUTED_VALUE"""),"")</f>
        <v/>
      </c>
      <c r="I379" s="51" t="str">
        <f>IFERROR(__xludf.DUMMYFUNCTION("""COMPUTED_VALUE"""),"#VALUE!")</f>
        <v>#VALUE!</v>
      </c>
      <c r="J379" s="51" t="str">
        <f>IFERROR(__xludf.DUMMYFUNCTION("""COMPUTED_VALUE"""),"")</f>
        <v/>
      </c>
      <c r="K379" s="51"/>
      <c r="L379" s="51" t="s">
        <v>257</v>
      </c>
      <c r="M379" s="51"/>
      <c r="N379" s="51"/>
      <c r="O379" s="51"/>
      <c r="P379" s="51"/>
      <c r="Q379" s="51"/>
      <c r="R379" s="51"/>
      <c r="S379" s="51"/>
      <c r="T379" s="51"/>
    </row>
    <row r="380">
      <c r="A380" s="51"/>
      <c r="B380" s="51"/>
      <c r="C380" s="56"/>
      <c r="D380" s="51"/>
      <c r="E380" s="51"/>
      <c r="F380" s="51"/>
      <c r="G380" s="51" t="str">
        <f>IFERROR(__xludf.DUMMYFUNCTION("""COMPUTED_VALUE"""),"#VALUE!")</f>
        <v>#VALUE!</v>
      </c>
      <c r="H380" s="51" t="str">
        <f>IFERROR(__xludf.DUMMYFUNCTION("""COMPUTED_VALUE"""),"")</f>
        <v/>
      </c>
      <c r="I380" s="51" t="str">
        <f>IFERROR(__xludf.DUMMYFUNCTION("""COMPUTED_VALUE"""),"#VALUE!")</f>
        <v>#VALUE!</v>
      </c>
      <c r="J380" s="51" t="str">
        <f>IFERROR(__xludf.DUMMYFUNCTION("""COMPUTED_VALUE"""),"")</f>
        <v/>
      </c>
      <c r="K380" s="51"/>
      <c r="L380" s="51" t="s">
        <v>257</v>
      </c>
      <c r="M380" s="51"/>
      <c r="N380" s="51"/>
      <c r="O380" s="51"/>
      <c r="P380" s="51"/>
      <c r="Q380" s="51"/>
      <c r="R380" s="51"/>
      <c r="S380" s="51"/>
      <c r="T380" s="51"/>
    </row>
    <row r="381">
      <c r="A381" s="51"/>
      <c r="B381" s="51"/>
      <c r="C381" s="56"/>
      <c r="D381" s="51"/>
      <c r="E381" s="51"/>
      <c r="F381" s="51"/>
      <c r="G381" s="51" t="str">
        <f>IFERROR(__xludf.DUMMYFUNCTION("""COMPUTED_VALUE"""),"#VALUE!")</f>
        <v>#VALUE!</v>
      </c>
      <c r="H381" s="51" t="str">
        <f>IFERROR(__xludf.DUMMYFUNCTION("""COMPUTED_VALUE"""),"")</f>
        <v/>
      </c>
      <c r="I381" s="51" t="str">
        <f>IFERROR(__xludf.DUMMYFUNCTION("""COMPUTED_VALUE"""),"#VALUE!")</f>
        <v>#VALUE!</v>
      </c>
      <c r="J381" s="51" t="str">
        <f>IFERROR(__xludf.DUMMYFUNCTION("""COMPUTED_VALUE"""),"")</f>
        <v/>
      </c>
      <c r="K381" s="51"/>
      <c r="L381" s="51" t="s">
        <v>257</v>
      </c>
      <c r="M381" s="51"/>
      <c r="N381" s="51"/>
      <c r="O381" s="51"/>
      <c r="P381" s="51"/>
      <c r="Q381" s="51"/>
      <c r="R381" s="51"/>
      <c r="S381" s="51"/>
      <c r="T381" s="51"/>
    </row>
    <row r="382">
      <c r="A382" s="51"/>
      <c r="B382" s="51"/>
      <c r="C382" s="56"/>
      <c r="D382" s="51"/>
      <c r="E382" s="51"/>
      <c r="F382" s="51"/>
      <c r="G382" s="51" t="str">
        <f>IFERROR(__xludf.DUMMYFUNCTION("""COMPUTED_VALUE"""),"#VALUE!")</f>
        <v>#VALUE!</v>
      </c>
      <c r="H382" s="51" t="str">
        <f>IFERROR(__xludf.DUMMYFUNCTION("""COMPUTED_VALUE"""),"")</f>
        <v/>
      </c>
      <c r="I382" s="51" t="str">
        <f>IFERROR(__xludf.DUMMYFUNCTION("""COMPUTED_VALUE"""),"#VALUE!")</f>
        <v>#VALUE!</v>
      </c>
      <c r="J382" s="51" t="str">
        <f>IFERROR(__xludf.DUMMYFUNCTION("""COMPUTED_VALUE"""),"")</f>
        <v/>
      </c>
      <c r="K382" s="51"/>
      <c r="L382" s="51" t="s">
        <v>257</v>
      </c>
      <c r="M382" s="51"/>
      <c r="N382" s="51"/>
      <c r="O382" s="51"/>
      <c r="P382" s="51"/>
      <c r="Q382" s="51"/>
      <c r="R382" s="51"/>
      <c r="S382" s="51"/>
      <c r="T382" s="51"/>
    </row>
    <row r="383">
      <c r="A383" s="51"/>
      <c r="B383" s="51"/>
      <c r="C383" s="56"/>
      <c r="D383" s="51"/>
      <c r="E383" s="51"/>
      <c r="F383" s="51"/>
      <c r="G383" s="51" t="str">
        <f>IFERROR(__xludf.DUMMYFUNCTION("""COMPUTED_VALUE"""),"#VALUE!")</f>
        <v>#VALUE!</v>
      </c>
      <c r="H383" s="51" t="str">
        <f>IFERROR(__xludf.DUMMYFUNCTION("""COMPUTED_VALUE"""),"")</f>
        <v/>
      </c>
      <c r="I383" s="51" t="str">
        <f>IFERROR(__xludf.DUMMYFUNCTION("""COMPUTED_VALUE"""),"#VALUE!")</f>
        <v>#VALUE!</v>
      </c>
      <c r="J383" s="51" t="str">
        <f>IFERROR(__xludf.DUMMYFUNCTION("""COMPUTED_VALUE"""),"")</f>
        <v/>
      </c>
      <c r="K383" s="51"/>
      <c r="L383" s="51" t="s">
        <v>257</v>
      </c>
      <c r="M383" s="51"/>
      <c r="N383" s="51"/>
      <c r="O383" s="51"/>
      <c r="P383" s="51"/>
      <c r="Q383" s="51"/>
      <c r="R383" s="51"/>
      <c r="S383" s="51"/>
      <c r="T383" s="51"/>
    </row>
    <row r="384">
      <c r="A384" s="51"/>
      <c r="B384" s="51"/>
      <c r="C384" s="56"/>
      <c r="D384" s="51"/>
      <c r="E384" s="51"/>
      <c r="F384" s="51"/>
      <c r="G384" s="51" t="str">
        <f>IFERROR(__xludf.DUMMYFUNCTION("""COMPUTED_VALUE"""),"#VALUE!")</f>
        <v>#VALUE!</v>
      </c>
      <c r="H384" s="51" t="str">
        <f>IFERROR(__xludf.DUMMYFUNCTION("""COMPUTED_VALUE"""),"")</f>
        <v/>
      </c>
      <c r="I384" s="51" t="str">
        <f>IFERROR(__xludf.DUMMYFUNCTION("""COMPUTED_VALUE"""),"#VALUE!")</f>
        <v>#VALUE!</v>
      </c>
      <c r="J384" s="51" t="str">
        <f>IFERROR(__xludf.DUMMYFUNCTION("""COMPUTED_VALUE"""),"")</f>
        <v/>
      </c>
      <c r="K384" s="51"/>
      <c r="L384" s="51" t="s">
        <v>257</v>
      </c>
      <c r="M384" s="51"/>
      <c r="N384" s="51"/>
      <c r="O384" s="51"/>
      <c r="P384" s="51"/>
      <c r="Q384" s="51"/>
      <c r="R384" s="51"/>
      <c r="S384" s="51"/>
      <c r="T384" s="51"/>
    </row>
    <row r="385">
      <c r="A385" s="51"/>
      <c r="B385" s="51"/>
      <c r="C385" s="56"/>
      <c r="D385" s="51"/>
      <c r="E385" s="51"/>
      <c r="F385" s="51"/>
      <c r="G385" s="51" t="str">
        <f>IFERROR(__xludf.DUMMYFUNCTION("""COMPUTED_VALUE"""),"#VALUE!")</f>
        <v>#VALUE!</v>
      </c>
      <c r="H385" s="51" t="str">
        <f>IFERROR(__xludf.DUMMYFUNCTION("""COMPUTED_VALUE"""),"")</f>
        <v/>
      </c>
      <c r="I385" s="51" t="str">
        <f>IFERROR(__xludf.DUMMYFUNCTION("""COMPUTED_VALUE"""),"#VALUE!")</f>
        <v>#VALUE!</v>
      </c>
      <c r="J385" s="51" t="str">
        <f>IFERROR(__xludf.DUMMYFUNCTION("""COMPUTED_VALUE"""),"")</f>
        <v/>
      </c>
      <c r="K385" s="51"/>
      <c r="L385" s="51" t="s">
        <v>257</v>
      </c>
      <c r="M385" s="51"/>
      <c r="N385" s="51"/>
      <c r="O385" s="51"/>
      <c r="P385" s="51"/>
      <c r="Q385" s="51"/>
      <c r="R385" s="51"/>
      <c r="S385" s="51"/>
      <c r="T385" s="51"/>
    </row>
    <row r="386">
      <c r="A386" s="51"/>
      <c r="B386" s="51"/>
      <c r="C386" s="56"/>
      <c r="D386" s="51"/>
      <c r="E386" s="51"/>
      <c r="F386" s="51"/>
      <c r="G386" s="51" t="str">
        <f>IFERROR(__xludf.DUMMYFUNCTION("""COMPUTED_VALUE"""),"#VALUE!")</f>
        <v>#VALUE!</v>
      </c>
      <c r="H386" s="51" t="str">
        <f>IFERROR(__xludf.DUMMYFUNCTION("""COMPUTED_VALUE"""),"")</f>
        <v/>
      </c>
      <c r="I386" s="51" t="str">
        <f>IFERROR(__xludf.DUMMYFUNCTION("""COMPUTED_VALUE"""),"#VALUE!")</f>
        <v>#VALUE!</v>
      </c>
      <c r="J386" s="51" t="str">
        <f>IFERROR(__xludf.DUMMYFUNCTION("""COMPUTED_VALUE"""),"")</f>
        <v/>
      </c>
      <c r="K386" s="51"/>
      <c r="L386" s="51" t="s">
        <v>257</v>
      </c>
      <c r="M386" s="51"/>
      <c r="N386" s="51"/>
      <c r="O386" s="51"/>
      <c r="P386" s="51"/>
      <c r="Q386" s="51"/>
      <c r="R386" s="51"/>
      <c r="S386" s="51"/>
      <c r="T386" s="51"/>
    </row>
    <row r="387">
      <c r="A387" s="51"/>
      <c r="B387" s="51"/>
      <c r="C387" s="56"/>
      <c r="D387" s="51"/>
      <c r="E387" s="51"/>
      <c r="F387" s="51"/>
      <c r="G387" s="51" t="str">
        <f>IFERROR(__xludf.DUMMYFUNCTION("""COMPUTED_VALUE"""),"#VALUE!")</f>
        <v>#VALUE!</v>
      </c>
      <c r="H387" s="51" t="str">
        <f>IFERROR(__xludf.DUMMYFUNCTION("""COMPUTED_VALUE"""),"")</f>
        <v/>
      </c>
      <c r="I387" s="51" t="str">
        <f>IFERROR(__xludf.DUMMYFUNCTION("""COMPUTED_VALUE"""),"#VALUE!")</f>
        <v>#VALUE!</v>
      </c>
      <c r="J387" s="51" t="str">
        <f>IFERROR(__xludf.DUMMYFUNCTION("""COMPUTED_VALUE"""),"")</f>
        <v/>
      </c>
      <c r="K387" s="51"/>
      <c r="L387" s="51" t="s">
        <v>257</v>
      </c>
      <c r="M387" s="51"/>
      <c r="N387" s="51"/>
      <c r="O387" s="51"/>
      <c r="P387" s="51"/>
      <c r="Q387" s="51"/>
      <c r="R387" s="51"/>
      <c r="S387" s="51"/>
      <c r="T387" s="51"/>
    </row>
    <row r="388">
      <c r="A388" s="51"/>
      <c r="B388" s="51"/>
      <c r="C388" s="56"/>
      <c r="D388" s="51"/>
      <c r="E388" s="51"/>
      <c r="F388" s="51"/>
      <c r="G388" s="51" t="str">
        <f>IFERROR(__xludf.DUMMYFUNCTION("""COMPUTED_VALUE"""),"#VALUE!")</f>
        <v>#VALUE!</v>
      </c>
      <c r="H388" s="51" t="str">
        <f>IFERROR(__xludf.DUMMYFUNCTION("""COMPUTED_VALUE"""),"")</f>
        <v/>
      </c>
      <c r="I388" s="51" t="str">
        <f>IFERROR(__xludf.DUMMYFUNCTION("""COMPUTED_VALUE"""),"#VALUE!")</f>
        <v>#VALUE!</v>
      </c>
      <c r="J388" s="51" t="str">
        <f>IFERROR(__xludf.DUMMYFUNCTION("""COMPUTED_VALUE"""),"")</f>
        <v/>
      </c>
      <c r="K388" s="51"/>
      <c r="L388" s="51" t="s">
        <v>257</v>
      </c>
      <c r="M388" s="51"/>
      <c r="N388" s="51"/>
      <c r="O388" s="51"/>
      <c r="P388" s="51"/>
      <c r="Q388" s="51"/>
      <c r="R388" s="51"/>
      <c r="S388" s="51"/>
      <c r="T388" s="51"/>
    </row>
    <row r="389">
      <c r="A389" s="51"/>
      <c r="B389" s="51"/>
      <c r="C389" s="56"/>
      <c r="D389" s="51"/>
      <c r="E389" s="51"/>
      <c r="F389" s="51"/>
      <c r="G389" s="51" t="str">
        <f>IFERROR(__xludf.DUMMYFUNCTION("""COMPUTED_VALUE"""),"#VALUE!")</f>
        <v>#VALUE!</v>
      </c>
      <c r="H389" s="51" t="str">
        <f>IFERROR(__xludf.DUMMYFUNCTION("""COMPUTED_VALUE"""),"")</f>
        <v/>
      </c>
      <c r="I389" s="51" t="str">
        <f>IFERROR(__xludf.DUMMYFUNCTION("""COMPUTED_VALUE"""),"#VALUE!")</f>
        <v>#VALUE!</v>
      </c>
      <c r="J389" s="51" t="str">
        <f>IFERROR(__xludf.DUMMYFUNCTION("""COMPUTED_VALUE"""),"")</f>
        <v/>
      </c>
      <c r="K389" s="51"/>
      <c r="L389" s="51" t="s">
        <v>257</v>
      </c>
      <c r="M389" s="51"/>
      <c r="N389" s="51"/>
      <c r="O389" s="51"/>
      <c r="P389" s="51"/>
      <c r="Q389" s="51"/>
      <c r="R389" s="51"/>
      <c r="S389" s="51"/>
      <c r="T389" s="51"/>
    </row>
    <row r="390">
      <c r="A390" s="51"/>
      <c r="B390" s="51"/>
      <c r="C390" s="56"/>
      <c r="D390" s="51"/>
      <c r="E390" s="51"/>
      <c r="F390" s="51"/>
      <c r="G390" s="51" t="str">
        <f>IFERROR(__xludf.DUMMYFUNCTION("""COMPUTED_VALUE"""),"#VALUE!")</f>
        <v>#VALUE!</v>
      </c>
      <c r="H390" s="51" t="str">
        <f>IFERROR(__xludf.DUMMYFUNCTION("""COMPUTED_VALUE"""),"")</f>
        <v/>
      </c>
      <c r="I390" s="51" t="str">
        <f>IFERROR(__xludf.DUMMYFUNCTION("""COMPUTED_VALUE"""),"#VALUE!")</f>
        <v>#VALUE!</v>
      </c>
      <c r="J390" s="51" t="str">
        <f>IFERROR(__xludf.DUMMYFUNCTION("""COMPUTED_VALUE"""),"")</f>
        <v/>
      </c>
      <c r="K390" s="51"/>
      <c r="L390" s="51" t="s">
        <v>257</v>
      </c>
      <c r="M390" s="51"/>
      <c r="N390" s="51"/>
      <c r="O390" s="51"/>
      <c r="P390" s="51"/>
      <c r="Q390" s="51"/>
      <c r="R390" s="51"/>
      <c r="S390" s="51"/>
      <c r="T390" s="51"/>
    </row>
    <row r="391">
      <c r="A391" s="51"/>
      <c r="B391" s="51"/>
      <c r="C391" s="56"/>
      <c r="D391" s="51"/>
      <c r="E391" s="51"/>
      <c r="F391" s="51"/>
      <c r="G391" s="51" t="str">
        <f>IFERROR(__xludf.DUMMYFUNCTION("""COMPUTED_VALUE"""),"#VALUE!")</f>
        <v>#VALUE!</v>
      </c>
      <c r="H391" s="51" t="str">
        <f>IFERROR(__xludf.DUMMYFUNCTION("""COMPUTED_VALUE"""),"")</f>
        <v/>
      </c>
      <c r="I391" s="51" t="str">
        <f>IFERROR(__xludf.DUMMYFUNCTION("""COMPUTED_VALUE"""),"#VALUE!")</f>
        <v>#VALUE!</v>
      </c>
      <c r="J391" s="51" t="str">
        <f>IFERROR(__xludf.DUMMYFUNCTION("""COMPUTED_VALUE"""),"")</f>
        <v/>
      </c>
      <c r="K391" s="51"/>
      <c r="L391" s="51" t="s">
        <v>257</v>
      </c>
      <c r="M391" s="51"/>
      <c r="N391" s="51"/>
      <c r="O391" s="51"/>
      <c r="P391" s="51"/>
      <c r="Q391" s="51"/>
      <c r="R391" s="51"/>
      <c r="S391" s="51"/>
      <c r="T391" s="51"/>
    </row>
    <row r="392">
      <c r="A392" s="51"/>
      <c r="B392" s="51"/>
      <c r="C392" s="56"/>
      <c r="D392" s="51"/>
      <c r="E392" s="51"/>
      <c r="F392" s="51"/>
      <c r="G392" s="51" t="str">
        <f>IFERROR(__xludf.DUMMYFUNCTION("""COMPUTED_VALUE"""),"#VALUE!")</f>
        <v>#VALUE!</v>
      </c>
      <c r="H392" s="51" t="str">
        <f>IFERROR(__xludf.DUMMYFUNCTION("""COMPUTED_VALUE"""),"")</f>
        <v/>
      </c>
      <c r="I392" s="51" t="str">
        <f>IFERROR(__xludf.DUMMYFUNCTION("""COMPUTED_VALUE"""),"#VALUE!")</f>
        <v>#VALUE!</v>
      </c>
      <c r="J392" s="51" t="str">
        <f>IFERROR(__xludf.DUMMYFUNCTION("""COMPUTED_VALUE"""),"")</f>
        <v/>
      </c>
      <c r="K392" s="51"/>
      <c r="L392" s="51" t="s">
        <v>257</v>
      </c>
      <c r="M392" s="51"/>
      <c r="N392" s="51"/>
      <c r="O392" s="51"/>
      <c r="P392" s="51"/>
      <c r="Q392" s="51"/>
      <c r="R392" s="51"/>
      <c r="S392" s="51"/>
      <c r="T392" s="51"/>
    </row>
    <row r="393">
      <c r="A393" s="51"/>
      <c r="B393" s="51"/>
      <c r="C393" s="56"/>
      <c r="D393" s="51"/>
      <c r="E393" s="51"/>
      <c r="F393" s="51"/>
      <c r="G393" s="51" t="str">
        <f>IFERROR(__xludf.DUMMYFUNCTION("""COMPUTED_VALUE"""),"#VALUE!")</f>
        <v>#VALUE!</v>
      </c>
      <c r="H393" s="51" t="str">
        <f>IFERROR(__xludf.DUMMYFUNCTION("""COMPUTED_VALUE"""),"")</f>
        <v/>
      </c>
      <c r="I393" s="51" t="str">
        <f>IFERROR(__xludf.DUMMYFUNCTION("""COMPUTED_VALUE"""),"#VALUE!")</f>
        <v>#VALUE!</v>
      </c>
      <c r="J393" s="51" t="str">
        <f>IFERROR(__xludf.DUMMYFUNCTION("""COMPUTED_VALUE"""),"")</f>
        <v/>
      </c>
      <c r="K393" s="51"/>
      <c r="L393" s="51" t="s">
        <v>257</v>
      </c>
      <c r="M393" s="51"/>
      <c r="N393" s="51"/>
      <c r="O393" s="51"/>
      <c r="P393" s="51"/>
      <c r="Q393" s="51"/>
      <c r="R393" s="51"/>
      <c r="S393" s="51"/>
      <c r="T393" s="51"/>
    </row>
    <row r="394">
      <c r="A394" s="51"/>
      <c r="B394" s="51"/>
      <c r="C394" s="56"/>
      <c r="D394" s="51"/>
      <c r="E394" s="51"/>
      <c r="F394" s="51"/>
      <c r="G394" s="51" t="str">
        <f>IFERROR(__xludf.DUMMYFUNCTION("""COMPUTED_VALUE"""),"#VALUE!")</f>
        <v>#VALUE!</v>
      </c>
      <c r="H394" s="51" t="str">
        <f>IFERROR(__xludf.DUMMYFUNCTION("""COMPUTED_VALUE"""),"")</f>
        <v/>
      </c>
      <c r="I394" s="51" t="str">
        <f>IFERROR(__xludf.DUMMYFUNCTION("""COMPUTED_VALUE"""),"#VALUE!")</f>
        <v>#VALUE!</v>
      </c>
      <c r="J394" s="51" t="str">
        <f>IFERROR(__xludf.DUMMYFUNCTION("""COMPUTED_VALUE"""),"")</f>
        <v/>
      </c>
      <c r="K394" s="51"/>
      <c r="L394" s="51" t="s">
        <v>257</v>
      </c>
      <c r="M394" s="51"/>
      <c r="N394" s="51"/>
      <c r="O394" s="51"/>
      <c r="P394" s="51"/>
      <c r="Q394" s="51"/>
      <c r="R394" s="51"/>
      <c r="S394" s="51"/>
      <c r="T394" s="51"/>
    </row>
    <row r="395">
      <c r="A395" s="51"/>
      <c r="B395" s="51"/>
      <c r="C395" s="56"/>
      <c r="D395" s="51"/>
      <c r="E395" s="51"/>
      <c r="F395" s="51"/>
      <c r="G395" s="51" t="str">
        <f>IFERROR(__xludf.DUMMYFUNCTION("""COMPUTED_VALUE"""),"#VALUE!")</f>
        <v>#VALUE!</v>
      </c>
      <c r="H395" s="51" t="str">
        <f>IFERROR(__xludf.DUMMYFUNCTION("""COMPUTED_VALUE"""),"")</f>
        <v/>
      </c>
      <c r="I395" s="51" t="str">
        <f>IFERROR(__xludf.DUMMYFUNCTION("""COMPUTED_VALUE"""),"#VALUE!")</f>
        <v>#VALUE!</v>
      </c>
      <c r="J395" s="51" t="str">
        <f>IFERROR(__xludf.DUMMYFUNCTION("""COMPUTED_VALUE"""),"")</f>
        <v/>
      </c>
      <c r="K395" s="51"/>
      <c r="L395" s="51" t="s">
        <v>257</v>
      </c>
      <c r="M395" s="51"/>
      <c r="N395" s="51"/>
      <c r="O395" s="51"/>
      <c r="P395" s="51"/>
      <c r="Q395" s="51"/>
      <c r="R395" s="51"/>
      <c r="S395" s="51"/>
      <c r="T395" s="51"/>
    </row>
    <row r="396">
      <c r="A396" s="51"/>
      <c r="B396" s="51"/>
      <c r="C396" s="56"/>
      <c r="D396" s="51"/>
      <c r="E396" s="51"/>
      <c r="F396" s="51"/>
      <c r="G396" s="51" t="str">
        <f>IFERROR(__xludf.DUMMYFUNCTION("""COMPUTED_VALUE"""),"#VALUE!")</f>
        <v>#VALUE!</v>
      </c>
      <c r="H396" s="51" t="str">
        <f>IFERROR(__xludf.DUMMYFUNCTION("""COMPUTED_VALUE"""),"")</f>
        <v/>
      </c>
      <c r="I396" s="51" t="str">
        <f>IFERROR(__xludf.DUMMYFUNCTION("""COMPUTED_VALUE"""),"#VALUE!")</f>
        <v>#VALUE!</v>
      </c>
      <c r="J396" s="51" t="str">
        <f>IFERROR(__xludf.DUMMYFUNCTION("""COMPUTED_VALUE"""),"")</f>
        <v/>
      </c>
      <c r="K396" s="51"/>
      <c r="L396" s="51" t="s">
        <v>257</v>
      </c>
      <c r="M396" s="51"/>
      <c r="N396" s="51"/>
      <c r="O396" s="51"/>
      <c r="P396" s="51"/>
      <c r="Q396" s="51"/>
      <c r="R396" s="51"/>
      <c r="S396" s="51"/>
      <c r="T396" s="51"/>
    </row>
    <row r="397">
      <c r="A397" s="51"/>
      <c r="B397" s="51"/>
      <c r="C397" s="56"/>
      <c r="D397" s="51"/>
      <c r="E397" s="51"/>
      <c r="F397" s="51"/>
      <c r="G397" s="51" t="str">
        <f>IFERROR(__xludf.DUMMYFUNCTION("""COMPUTED_VALUE"""),"#VALUE!")</f>
        <v>#VALUE!</v>
      </c>
      <c r="H397" s="51" t="str">
        <f>IFERROR(__xludf.DUMMYFUNCTION("""COMPUTED_VALUE"""),"")</f>
        <v/>
      </c>
      <c r="I397" s="51" t="str">
        <f>IFERROR(__xludf.DUMMYFUNCTION("""COMPUTED_VALUE"""),"#VALUE!")</f>
        <v>#VALUE!</v>
      </c>
      <c r="J397" s="51" t="str">
        <f>IFERROR(__xludf.DUMMYFUNCTION("""COMPUTED_VALUE"""),"")</f>
        <v/>
      </c>
      <c r="K397" s="51"/>
      <c r="L397" s="51" t="s">
        <v>257</v>
      </c>
      <c r="M397" s="51"/>
      <c r="N397" s="51"/>
      <c r="O397" s="51"/>
      <c r="P397" s="51"/>
      <c r="Q397" s="51"/>
      <c r="R397" s="51"/>
      <c r="S397" s="51"/>
      <c r="T397" s="51"/>
    </row>
    <row r="398">
      <c r="A398" s="51"/>
      <c r="B398" s="51"/>
      <c r="C398" s="56"/>
      <c r="D398" s="51"/>
      <c r="E398" s="51"/>
      <c r="F398" s="51"/>
      <c r="G398" s="51" t="str">
        <f>IFERROR(__xludf.DUMMYFUNCTION("""COMPUTED_VALUE"""),"#VALUE!")</f>
        <v>#VALUE!</v>
      </c>
      <c r="H398" s="51" t="str">
        <f>IFERROR(__xludf.DUMMYFUNCTION("""COMPUTED_VALUE"""),"")</f>
        <v/>
      </c>
      <c r="I398" s="51" t="str">
        <f>IFERROR(__xludf.DUMMYFUNCTION("""COMPUTED_VALUE"""),"#VALUE!")</f>
        <v>#VALUE!</v>
      </c>
      <c r="J398" s="51" t="str">
        <f>IFERROR(__xludf.DUMMYFUNCTION("""COMPUTED_VALUE"""),"")</f>
        <v/>
      </c>
      <c r="K398" s="51"/>
      <c r="L398" s="51" t="s">
        <v>257</v>
      </c>
      <c r="M398" s="51"/>
      <c r="N398" s="51"/>
      <c r="O398" s="51"/>
      <c r="P398" s="51"/>
      <c r="Q398" s="51"/>
      <c r="R398" s="51"/>
      <c r="S398" s="51"/>
      <c r="T398" s="51"/>
    </row>
    <row r="399">
      <c r="A399" s="51"/>
      <c r="B399" s="51"/>
      <c r="C399" s="56"/>
      <c r="D399" s="51"/>
      <c r="E399" s="51"/>
      <c r="F399" s="51"/>
      <c r="G399" s="51" t="str">
        <f>IFERROR(__xludf.DUMMYFUNCTION("""COMPUTED_VALUE"""),"#VALUE!")</f>
        <v>#VALUE!</v>
      </c>
      <c r="H399" s="51" t="str">
        <f>IFERROR(__xludf.DUMMYFUNCTION("""COMPUTED_VALUE"""),"")</f>
        <v/>
      </c>
      <c r="I399" s="51" t="str">
        <f>IFERROR(__xludf.DUMMYFUNCTION("""COMPUTED_VALUE"""),"#VALUE!")</f>
        <v>#VALUE!</v>
      </c>
      <c r="J399" s="51" t="str">
        <f>IFERROR(__xludf.DUMMYFUNCTION("""COMPUTED_VALUE"""),"")</f>
        <v/>
      </c>
      <c r="K399" s="51"/>
      <c r="L399" s="51" t="s">
        <v>257</v>
      </c>
      <c r="M399" s="51"/>
      <c r="N399" s="51"/>
      <c r="O399" s="51"/>
      <c r="P399" s="51"/>
      <c r="Q399" s="51"/>
      <c r="R399" s="51"/>
      <c r="S399" s="51"/>
      <c r="T399" s="51"/>
    </row>
    <row r="400">
      <c r="A400" s="51"/>
      <c r="B400" s="51"/>
      <c r="C400" s="56"/>
      <c r="D400" s="51"/>
      <c r="E400" s="51"/>
      <c r="F400" s="51"/>
      <c r="G400" s="51" t="str">
        <f>IFERROR(__xludf.DUMMYFUNCTION("""COMPUTED_VALUE"""),"#VALUE!")</f>
        <v>#VALUE!</v>
      </c>
      <c r="H400" s="51" t="str">
        <f>IFERROR(__xludf.DUMMYFUNCTION("""COMPUTED_VALUE"""),"")</f>
        <v/>
      </c>
      <c r="I400" s="51" t="str">
        <f>IFERROR(__xludf.DUMMYFUNCTION("""COMPUTED_VALUE"""),"#VALUE!")</f>
        <v>#VALUE!</v>
      </c>
      <c r="J400" s="51" t="str">
        <f>IFERROR(__xludf.DUMMYFUNCTION("""COMPUTED_VALUE"""),"")</f>
        <v/>
      </c>
      <c r="K400" s="51"/>
      <c r="L400" s="51" t="s">
        <v>257</v>
      </c>
      <c r="M400" s="51"/>
      <c r="N400" s="51"/>
      <c r="O400" s="51"/>
      <c r="P400" s="51"/>
      <c r="Q400" s="51"/>
      <c r="R400" s="51"/>
      <c r="S400" s="51"/>
      <c r="T400" s="51"/>
    </row>
    <row r="401">
      <c r="A401" s="51"/>
      <c r="B401" s="51"/>
      <c r="C401" s="56"/>
      <c r="D401" s="51"/>
      <c r="E401" s="51"/>
      <c r="F401" s="51"/>
      <c r="G401" s="51" t="str">
        <f>IFERROR(__xludf.DUMMYFUNCTION("""COMPUTED_VALUE"""),"#VALUE!")</f>
        <v>#VALUE!</v>
      </c>
      <c r="H401" s="51" t="str">
        <f>IFERROR(__xludf.DUMMYFUNCTION("""COMPUTED_VALUE"""),"")</f>
        <v/>
      </c>
      <c r="I401" s="51" t="str">
        <f>IFERROR(__xludf.DUMMYFUNCTION("""COMPUTED_VALUE"""),"#VALUE!")</f>
        <v>#VALUE!</v>
      </c>
      <c r="J401" s="51" t="str">
        <f>IFERROR(__xludf.DUMMYFUNCTION("""COMPUTED_VALUE"""),"")</f>
        <v/>
      </c>
      <c r="K401" s="51"/>
      <c r="L401" s="51" t="s">
        <v>257</v>
      </c>
      <c r="M401" s="51"/>
      <c r="N401" s="51"/>
      <c r="O401" s="51"/>
      <c r="P401" s="51"/>
      <c r="Q401" s="51"/>
      <c r="R401" s="51"/>
      <c r="S401" s="51"/>
      <c r="T401" s="51"/>
    </row>
    <row r="402">
      <c r="A402" s="51"/>
      <c r="B402" s="51"/>
      <c r="C402" s="56"/>
      <c r="D402" s="51"/>
      <c r="E402" s="51"/>
      <c r="F402" s="51"/>
      <c r="G402" s="51" t="str">
        <f>IFERROR(__xludf.DUMMYFUNCTION("""COMPUTED_VALUE"""),"#VALUE!")</f>
        <v>#VALUE!</v>
      </c>
      <c r="H402" s="51" t="str">
        <f>IFERROR(__xludf.DUMMYFUNCTION("""COMPUTED_VALUE"""),"")</f>
        <v/>
      </c>
      <c r="I402" s="51" t="str">
        <f>IFERROR(__xludf.DUMMYFUNCTION("""COMPUTED_VALUE"""),"#VALUE!")</f>
        <v>#VALUE!</v>
      </c>
      <c r="J402" s="51" t="str">
        <f>IFERROR(__xludf.DUMMYFUNCTION("""COMPUTED_VALUE"""),"")</f>
        <v/>
      </c>
      <c r="K402" s="51"/>
      <c r="L402" s="51" t="s">
        <v>257</v>
      </c>
      <c r="M402" s="51"/>
      <c r="N402" s="51"/>
      <c r="O402" s="51"/>
      <c r="P402" s="51"/>
      <c r="Q402" s="51"/>
      <c r="R402" s="51"/>
      <c r="S402" s="51"/>
      <c r="T402" s="51"/>
    </row>
    <row r="403">
      <c r="A403" s="51"/>
      <c r="B403" s="51"/>
      <c r="C403" s="56"/>
      <c r="D403" s="51"/>
      <c r="E403" s="51"/>
      <c r="F403" s="51"/>
      <c r="G403" s="51" t="str">
        <f>IFERROR(__xludf.DUMMYFUNCTION("""COMPUTED_VALUE"""),"#VALUE!")</f>
        <v>#VALUE!</v>
      </c>
      <c r="H403" s="51" t="str">
        <f>IFERROR(__xludf.DUMMYFUNCTION("""COMPUTED_VALUE"""),"")</f>
        <v/>
      </c>
      <c r="I403" s="51" t="str">
        <f>IFERROR(__xludf.DUMMYFUNCTION("""COMPUTED_VALUE"""),"#VALUE!")</f>
        <v>#VALUE!</v>
      </c>
      <c r="J403" s="51" t="str">
        <f>IFERROR(__xludf.DUMMYFUNCTION("""COMPUTED_VALUE"""),"")</f>
        <v/>
      </c>
      <c r="K403" s="51"/>
      <c r="L403" s="51" t="s">
        <v>257</v>
      </c>
      <c r="M403" s="51"/>
      <c r="N403" s="51"/>
      <c r="O403" s="51"/>
      <c r="P403" s="51"/>
      <c r="Q403" s="51"/>
      <c r="R403" s="51"/>
      <c r="S403" s="51"/>
      <c r="T403" s="51"/>
    </row>
    <row r="404">
      <c r="A404" s="51"/>
      <c r="B404" s="51"/>
      <c r="C404" s="56"/>
      <c r="D404" s="51"/>
      <c r="E404" s="51"/>
      <c r="F404" s="51"/>
      <c r="G404" s="51" t="str">
        <f>IFERROR(__xludf.DUMMYFUNCTION("""COMPUTED_VALUE"""),"#VALUE!")</f>
        <v>#VALUE!</v>
      </c>
      <c r="H404" s="51" t="str">
        <f>IFERROR(__xludf.DUMMYFUNCTION("""COMPUTED_VALUE"""),"")</f>
        <v/>
      </c>
      <c r="I404" s="51" t="str">
        <f>IFERROR(__xludf.DUMMYFUNCTION("""COMPUTED_VALUE"""),"#VALUE!")</f>
        <v>#VALUE!</v>
      </c>
      <c r="J404" s="51" t="str">
        <f>IFERROR(__xludf.DUMMYFUNCTION("""COMPUTED_VALUE"""),"")</f>
        <v/>
      </c>
      <c r="K404" s="51"/>
      <c r="L404" s="51" t="s">
        <v>257</v>
      </c>
      <c r="M404" s="51"/>
      <c r="N404" s="51"/>
      <c r="O404" s="51"/>
      <c r="P404" s="51"/>
      <c r="Q404" s="51"/>
      <c r="R404" s="51"/>
      <c r="S404" s="51"/>
      <c r="T404" s="51"/>
    </row>
    <row r="405">
      <c r="A405" s="51"/>
      <c r="B405" s="51"/>
      <c r="C405" s="56"/>
      <c r="D405" s="51"/>
      <c r="E405" s="51"/>
      <c r="F405" s="51"/>
      <c r="G405" s="51" t="str">
        <f>IFERROR(__xludf.DUMMYFUNCTION("""COMPUTED_VALUE"""),"#VALUE!")</f>
        <v>#VALUE!</v>
      </c>
      <c r="H405" s="51" t="str">
        <f>IFERROR(__xludf.DUMMYFUNCTION("""COMPUTED_VALUE"""),"")</f>
        <v/>
      </c>
      <c r="I405" s="51" t="str">
        <f>IFERROR(__xludf.DUMMYFUNCTION("""COMPUTED_VALUE"""),"#VALUE!")</f>
        <v>#VALUE!</v>
      </c>
      <c r="J405" s="51" t="str">
        <f>IFERROR(__xludf.DUMMYFUNCTION("""COMPUTED_VALUE"""),"")</f>
        <v/>
      </c>
      <c r="K405" s="51"/>
      <c r="L405" s="51" t="s">
        <v>257</v>
      </c>
      <c r="M405" s="51"/>
      <c r="N405" s="51"/>
      <c r="O405" s="51"/>
      <c r="P405" s="51"/>
      <c r="Q405" s="51"/>
      <c r="R405" s="51"/>
      <c r="S405" s="51"/>
      <c r="T405" s="51"/>
    </row>
    <row r="406">
      <c r="A406" s="51"/>
      <c r="B406" s="51"/>
      <c r="C406" s="56"/>
      <c r="D406" s="51"/>
      <c r="E406" s="51"/>
      <c r="F406" s="51"/>
      <c r="G406" s="51" t="str">
        <f>IFERROR(__xludf.DUMMYFUNCTION("""COMPUTED_VALUE"""),"#VALUE!")</f>
        <v>#VALUE!</v>
      </c>
      <c r="H406" s="51" t="str">
        <f>IFERROR(__xludf.DUMMYFUNCTION("""COMPUTED_VALUE"""),"")</f>
        <v/>
      </c>
      <c r="I406" s="51" t="str">
        <f>IFERROR(__xludf.DUMMYFUNCTION("""COMPUTED_VALUE"""),"#VALUE!")</f>
        <v>#VALUE!</v>
      </c>
      <c r="J406" s="51" t="str">
        <f>IFERROR(__xludf.DUMMYFUNCTION("""COMPUTED_VALUE"""),"")</f>
        <v/>
      </c>
      <c r="K406" s="51"/>
      <c r="L406" s="51" t="s">
        <v>257</v>
      </c>
      <c r="M406" s="51"/>
      <c r="N406" s="51"/>
      <c r="O406" s="51"/>
      <c r="P406" s="51"/>
      <c r="Q406" s="51"/>
      <c r="R406" s="51"/>
      <c r="S406" s="51"/>
      <c r="T406" s="51"/>
    </row>
    <row r="407">
      <c r="A407" s="51"/>
      <c r="B407" s="51"/>
      <c r="C407" s="56"/>
      <c r="D407" s="51"/>
      <c r="E407" s="51"/>
      <c r="F407" s="51"/>
      <c r="G407" s="51" t="str">
        <f>IFERROR(__xludf.DUMMYFUNCTION("""COMPUTED_VALUE"""),"#VALUE!")</f>
        <v>#VALUE!</v>
      </c>
      <c r="H407" s="51" t="str">
        <f>IFERROR(__xludf.DUMMYFUNCTION("""COMPUTED_VALUE"""),"")</f>
        <v/>
      </c>
      <c r="I407" s="51" t="str">
        <f>IFERROR(__xludf.DUMMYFUNCTION("""COMPUTED_VALUE"""),"#VALUE!")</f>
        <v>#VALUE!</v>
      </c>
      <c r="J407" s="51" t="str">
        <f>IFERROR(__xludf.DUMMYFUNCTION("""COMPUTED_VALUE"""),"")</f>
        <v/>
      </c>
      <c r="K407" s="51"/>
      <c r="L407" s="51" t="s">
        <v>257</v>
      </c>
      <c r="M407" s="51"/>
      <c r="N407" s="51"/>
      <c r="O407" s="51"/>
      <c r="P407" s="51"/>
      <c r="Q407" s="51"/>
      <c r="R407" s="51"/>
      <c r="S407" s="51"/>
      <c r="T407" s="51"/>
    </row>
    <row r="408">
      <c r="A408" s="51"/>
      <c r="B408" s="51"/>
      <c r="C408" s="56"/>
      <c r="D408" s="51"/>
      <c r="E408" s="51"/>
      <c r="F408" s="51"/>
      <c r="G408" s="51" t="str">
        <f>IFERROR(__xludf.DUMMYFUNCTION("""COMPUTED_VALUE"""),"#VALUE!")</f>
        <v>#VALUE!</v>
      </c>
      <c r="H408" s="51" t="str">
        <f>IFERROR(__xludf.DUMMYFUNCTION("""COMPUTED_VALUE"""),"")</f>
        <v/>
      </c>
      <c r="I408" s="51" t="str">
        <f>IFERROR(__xludf.DUMMYFUNCTION("""COMPUTED_VALUE"""),"#VALUE!")</f>
        <v>#VALUE!</v>
      </c>
      <c r="J408" s="51" t="str">
        <f>IFERROR(__xludf.DUMMYFUNCTION("""COMPUTED_VALUE"""),"")</f>
        <v/>
      </c>
      <c r="K408" s="51"/>
      <c r="L408" s="51" t="s">
        <v>257</v>
      </c>
      <c r="M408" s="51"/>
      <c r="N408" s="51"/>
      <c r="O408" s="51"/>
      <c r="P408" s="51"/>
      <c r="Q408" s="51"/>
      <c r="R408" s="51"/>
      <c r="S408" s="51"/>
      <c r="T408" s="51"/>
    </row>
    <row r="409">
      <c r="A409" s="51"/>
      <c r="B409" s="51"/>
      <c r="C409" s="56"/>
      <c r="D409" s="51"/>
      <c r="E409" s="51"/>
      <c r="F409" s="51"/>
      <c r="G409" s="51" t="str">
        <f>IFERROR(__xludf.DUMMYFUNCTION("""COMPUTED_VALUE"""),"#VALUE!")</f>
        <v>#VALUE!</v>
      </c>
      <c r="H409" s="51" t="str">
        <f>IFERROR(__xludf.DUMMYFUNCTION("""COMPUTED_VALUE"""),"")</f>
        <v/>
      </c>
      <c r="I409" s="51" t="str">
        <f>IFERROR(__xludf.DUMMYFUNCTION("""COMPUTED_VALUE"""),"#VALUE!")</f>
        <v>#VALUE!</v>
      </c>
      <c r="J409" s="51" t="str">
        <f>IFERROR(__xludf.DUMMYFUNCTION("""COMPUTED_VALUE"""),"")</f>
        <v/>
      </c>
      <c r="K409" s="51"/>
      <c r="L409" s="51" t="s">
        <v>257</v>
      </c>
      <c r="M409" s="51"/>
      <c r="N409" s="51"/>
      <c r="O409" s="51"/>
      <c r="P409" s="51"/>
      <c r="Q409" s="51"/>
      <c r="R409" s="51"/>
      <c r="S409" s="51"/>
      <c r="T409" s="51"/>
    </row>
    <row r="410">
      <c r="A410" s="51"/>
      <c r="B410" s="51"/>
      <c r="C410" s="56"/>
      <c r="D410" s="51"/>
      <c r="E410" s="51"/>
      <c r="F410" s="51"/>
      <c r="G410" s="51" t="str">
        <f>IFERROR(__xludf.DUMMYFUNCTION("""COMPUTED_VALUE"""),"#VALUE!")</f>
        <v>#VALUE!</v>
      </c>
      <c r="H410" s="51" t="str">
        <f>IFERROR(__xludf.DUMMYFUNCTION("""COMPUTED_VALUE"""),"")</f>
        <v/>
      </c>
      <c r="I410" s="51" t="str">
        <f>IFERROR(__xludf.DUMMYFUNCTION("""COMPUTED_VALUE"""),"#VALUE!")</f>
        <v>#VALUE!</v>
      </c>
      <c r="J410" s="51" t="str">
        <f>IFERROR(__xludf.DUMMYFUNCTION("""COMPUTED_VALUE"""),"")</f>
        <v/>
      </c>
      <c r="K410" s="51"/>
      <c r="L410" s="51" t="s">
        <v>257</v>
      </c>
      <c r="M410" s="51"/>
      <c r="N410" s="51"/>
      <c r="O410" s="51"/>
      <c r="P410" s="51"/>
      <c r="Q410" s="51"/>
      <c r="R410" s="51"/>
      <c r="S410" s="51"/>
      <c r="T410" s="51"/>
    </row>
    <row r="411">
      <c r="A411" s="51"/>
      <c r="B411" s="51"/>
      <c r="C411" s="56"/>
      <c r="D411" s="51"/>
      <c r="E411" s="51"/>
      <c r="F411" s="51"/>
      <c r="G411" s="51" t="str">
        <f>IFERROR(__xludf.DUMMYFUNCTION("""COMPUTED_VALUE"""),"#VALUE!")</f>
        <v>#VALUE!</v>
      </c>
      <c r="H411" s="51" t="str">
        <f>IFERROR(__xludf.DUMMYFUNCTION("""COMPUTED_VALUE"""),"")</f>
        <v/>
      </c>
      <c r="I411" s="51" t="str">
        <f>IFERROR(__xludf.DUMMYFUNCTION("""COMPUTED_VALUE"""),"#VALUE!")</f>
        <v>#VALUE!</v>
      </c>
      <c r="J411" s="51" t="str">
        <f>IFERROR(__xludf.DUMMYFUNCTION("""COMPUTED_VALUE"""),"")</f>
        <v/>
      </c>
      <c r="K411" s="51"/>
      <c r="L411" s="51" t="s">
        <v>257</v>
      </c>
      <c r="M411" s="51"/>
      <c r="N411" s="51"/>
      <c r="O411" s="51"/>
      <c r="P411" s="51"/>
      <c r="Q411" s="51"/>
      <c r="R411" s="51"/>
      <c r="S411" s="51"/>
      <c r="T411" s="51"/>
    </row>
    <row r="412">
      <c r="A412" s="51"/>
      <c r="B412" s="51"/>
      <c r="C412" s="56"/>
      <c r="D412" s="51"/>
      <c r="E412" s="51"/>
      <c r="F412" s="51"/>
      <c r="G412" s="51" t="str">
        <f>IFERROR(__xludf.DUMMYFUNCTION("""COMPUTED_VALUE"""),"#VALUE!")</f>
        <v>#VALUE!</v>
      </c>
      <c r="H412" s="51" t="str">
        <f>IFERROR(__xludf.DUMMYFUNCTION("""COMPUTED_VALUE"""),"")</f>
        <v/>
      </c>
      <c r="I412" s="51" t="str">
        <f>IFERROR(__xludf.DUMMYFUNCTION("""COMPUTED_VALUE"""),"#VALUE!")</f>
        <v>#VALUE!</v>
      </c>
      <c r="J412" s="51" t="str">
        <f>IFERROR(__xludf.DUMMYFUNCTION("""COMPUTED_VALUE"""),"")</f>
        <v/>
      </c>
      <c r="K412" s="51"/>
      <c r="L412" s="51" t="s">
        <v>257</v>
      </c>
      <c r="M412" s="51"/>
      <c r="N412" s="51"/>
      <c r="O412" s="51"/>
      <c r="P412" s="51"/>
      <c r="Q412" s="51"/>
      <c r="R412" s="51"/>
      <c r="S412" s="51"/>
      <c r="T412" s="51"/>
    </row>
    <row r="413">
      <c r="A413" s="51"/>
      <c r="B413" s="51"/>
      <c r="C413" s="56"/>
      <c r="D413" s="51"/>
      <c r="E413" s="51"/>
      <c r="F413" s="51"/>
      <c r="G413" s="51" t="str">
        <f>IFERROR(__xludf.DUMMYFUNCTION("""COMPUTED_VALUE"""),"#VALUE!")</f>
        <v>#VALUE!</v>
      </c>
      <c r="H413" s="51" t="str">
        <f>IFERROR(__xludf.DUMMYFUNCTION("""COMPUTED_VALUE"""),"")</f>
        <v/>
      </c>
      <c r="I413" s="51" t="str">
        <f>IFERROR(__xludf.DUMMYFUNCTION("""COMPUTED_VALUE"""),"#VALUE!")</f>
        <v>#VALUE!</v>
      </c>
      <c r="J413" s="51" t="str">
        <f>IFERROR(__xludf.DUMMYFUNCTION("""COMPUTED_VALUE"""),"")</f>
        <v/>
      </c>
      <c r="K413" s="51"/>
      <c r="L413" s="51" t="s">
        <v>257</v>
      </c>
      <c r="M413" s="51"/>
      <c r="N413" s="51"/>
      <c r="O413" s="51"/>
      <c r="P413" s="51"/>
      <c r="Q413" s="51"/>
      <c r="R413" s="51"/>
      <c r="S413" s="51"/>
      <c r="T413" s="51"/>
    </row>
    <row r="414">
      <c r="A414" s="51"/>
      <c r="B414" s="51"/>
      <c r="C414" s="56"/>
      <c r="D414" s="51"/>
      <c r="E414" s="51"/>
      <c r="F414" s="51"/>
      <c r="G414" s="51" t="str">
        <f>IFERROR(__xludf.DUMMYFUNCTION("""COMPUTED_VALUE"""),"#VALUE!")</f>
        <v>#VALUE!</v>
      </c>
      <c r="H414" s="51" t="str">
        <f>IFERROR(__xludf.DUMMYFUNCTION("""COMPUTED_VALUE"""),"")</f>
        <v/>
      </c>
      <c r="I414" s="51" t="str">
        <f>IFERROR(__xludf.DUMMYFUNCTION("""COMPUTED_VALUE"""),"#VALUE!")</f>
        <v>#VALUE!</v>
      </c>
      <c r="J414" s="51" t="str">
        <f>IFERROR(__xludf.DUMMYFUNCTION("""COMPUTED_VALUE"""),"")</f>
        <v/>
      </c>
      <c r="K414" s="51"/>
      <c r="L414" s="51" t="s">
        <v>257</v>
      </c>
      <c r="M414" s="51"/>
      <c r="N414" s="51"/>
      <c r="O414" s="51"/>
      <c r="P414" s="51"/>
      <c r="Q414" s="51"/>
      <c r="R414" s="51"/>
      <c r="S414" s="51"/>
      <c r="T414" s="51"/>
    </row>
    <row r="415">
      <c r="A415" s="51"/>
      <c r="B415" s="51"/>
      <c r="C415" s="56"/>
      <c r="D415" s="51"/>
      <c r="E415" s="51"/>
      <c r="F415" s="51"/>
      <c r="G415" s="51" t="str">
        <f>IFERROR(__xludf.DUMMYFUNCTION("""COMPUTED_VALUE"""),"#VALUE!")</f>
        <v>#VALUE!</v>
      </c>
      <c r="H415" s="51" t="str">
        <f>IFERROR(__xludf.DUMMYFUNCTION("""COMPUTED_VALUE"""),"")</f>
        <v/>
      </c>
      <c r="I415" s="51" t="str">
        <f>IFERROR(__xludf.DUMMYFUNCTION("""COMPUTED_VALUE"""),"#VALUE!")</f>
        <v>#VALUE!</v>
      </c>
      <c r="J415" s="51" t="str">
        <f>IFERROR(__xludf.DUMMYFUNCTION("""COMPUTED_VALUE"""),"")</f>
        <v/>
      </c>
      <c r="K415" s="51"/>
      <c r="L415" s="51" t="s">
        <v>257</v>
      </c>
      <c r="M415" s="51"/>
      <c r="N415" s="51"/>
      <c r="O415" s="51"/>
      <c r="P415" s="51"/>
      <c r="Q415" s="51"/>
      <c r="R415" s="51"/>
      <c r="S415" s="51"/>
      <c r="T415" s="51"/>
    </row>
    <row r="416">
      <c r="A416" s="51"/>
      <c r="B416" s="51"/>
      <c r="C416" s="56"/>
      <c r="D416" s="51"/>
      <c r="E416" s="51"/>
      <c r="F416" s="51"/>
      <c r="G416" s="51" t="str">
        <f>IFERROR(__xludf.DUMMYFUNCTION("""COMPUTED_VALUE"""),"#VALUE!")</f>
        <v>#VALUE!</v>
      </c>
      <c r="H416" s="51" t="str">
        <f>IFERROR(__xludf.DUMMYFUNCTION("""COMPUTED_VALUE"""),"")</f>
        <v/>
      </c>
      <c r="I416" s="51" t="str">
        <f>IFERROR(__xludf.DUMMYFUNCTION("""COMPUTED_VALUE"""),"#VALUE!")</f>
        <v>#VALUE!</v>
      </c>
      <c r="J416" s="51" t="str">
        <f>IFERROR(__xludf.DUMMYFUNCTION("""COMPUTED_VALUE"""),"")</f>
        <v/>
      </c>
      <c r="K416" s="51"/>
      <c r="L416" s="51" t="s">
        <v>257</v>
      </c>
      <c r="M416" s="51"/>
      <c r="N416" s="51"/>
      <c r="O416" s="51"/>
      <c r="P416" s="51"/>
      <c r="Q416" s="51"/>
      <c r="R416" s="51"/>
      <c r="S416" s="51"/>
      <c r="T416" s="51"/>
    </row>
    <row r="417">
      <c r="A417" s="51"/>
      <c r="B417" s="51"/>
      <c r="C417" s="56"/>
      <c r="D417" s="51"/>
      <c r="E417" s="51"/>
      <c r="F417" s="51"/>
      <c r="G417" s="51" t="str">
        <f>IFERROR(__xludf.DUMMYFUNCTION("""COMPUTED_VALUE"""),"#VALUE!")</f>
        <v>#VALUE!</v>
      </c>
      <c r="H417" s="51" t="str">
        <f>IFERROR(__xludf.DUMMYFUNCTION("""COMPUTED_VALUE"""),"")</f>
        <v/>
      </c>
      <c r="I417" s="51" t="str">
        <f>IFERROR(__xludf.DUMMYFUNCTION("""COMPUTED_VALUE"""),"#VALUE!")</f>
        <v>#VALUE!</v>
      </c>
      <c r="J417" s="51" t="str">
        <f>IFERROR(__xludf.DUMMYFUNCTION("""COMPUTED_VALUE"""),"")</f>
        <v/>
      </c>
      <c r="K417" s="51"/>
      <c r="L417" s="51" t="s">
        <v>257</v>
      </c>
      <c r="M417" s="51"/>
      <c r="N417" s="51"/>
      <c r="O417" s="51"/>
      <c r="P417" s="51"/>
      <c r="Q417" s="51"/>
      <c r="R417" s="51"/>
      <c r="S417" s="51"/>
      <c r="T417" s="51"/>
    </row>
    <row r="418">
      <c r="A418" s="51"/>
      <c r="B418" s="51"/>
      <c r="C418" s="56"/>
      <c r="D418" s="51"/>
      <c r="E418" s="51"/>
      <c r="F418" s="51"/>
      <c r="G418" s="51" t="str">
        <f>IFERROR(__xludf.DUMMYFUNCTION("""COMPUTED_VALUE"""),"#VALUE!")</f>
        <v>#VALUE!</v>
      </c>
      <c r="H418" s="51" t="str">
        <f>IFERROR(__xludf.DUMMYFUNCTION("""COMPUTED_VALUE"""),"")</f>
        <v/>
      </c>
      <c r="I418" s="51" t="str">
        <f>IFERROR(__xludf.DUMMYFUNCTION("""COMPUTED_VALUE"""),"#VALUE!")</f>
        <v>#VALUE!</v>
      </c>
      <c r="J418" s="51" t="str">
        <f>IFERROR(__xludf.DUMMYFUNCTION("""COMPUTED_VALUE"""),"")</f>
        <v/>
      </c>
      <c r="K418" s="51"/>
      <c r="L418" s="51" t="s">
        <v>257</v>
      </c>
      <c r="M418" s="51"/>
      <c r="N418" s="51"/>
      <c r="O418" s="51"/>
      <c r="P418" s="51"/>
      <c r="Q418" s="51"/>
      <c r="R418" s="51"/>
      <c r="S418" s="51"/>
      <c r="T418" s="51"/>
    </row>
    <row r="419">
      <c r="A419" s="51"/>
      <c r="B419" s="51"/>
      <c r="C419" s="56"/>
      <c r="D419" s="51"/>
      <c r="E419" s="51"/>
      <c r="F419" s="51"/>
      <c r="G419" s="51" t="str">
        <f>IFERROR(__xludf.DUMMYFUNCTION("""COMPUTED_VALUE"""),"#VALUE!")</f>
        <v>#VALUE!</v>
      </c>
      <c r="H419" s="51" t="str">
        <f>IFERROR(__xludf.DUMMYFUNCTION("""COMPUTED_VALUE"""),"")</f>
        <v/>
      </c>
      <c r="I419" s="51" t="str">
        <f>IFERROR(__xludf.DUMMYFUNCTION("""COMPUTED_VALUE"""),"#VALUE!")</f>
        <v>#VALUE!</v>
      </c>
      <c r="J419" s="51" t="str">
        <f>IFERROR(__xludf.DUMMYFUNCTION("""COMPUTED_VALUE"""),"")</f>
        <v/>
      </c>
      <c r="K419" s="51"/>
      <c r="L419" s="51" t="s">
        <v>257</v>
      </c>
      <c r="M419" s="51"/>
      <c r="N419" s="51"/>
      <c r="O419" s="51"/>
      <c r="P419" s="51"/>
      <c r="Q419" s="51"/>
      <c r="R419" s="51"/>
      <c r="S419" s="51"/>
      <c r="T419" s="51"/>
    </row>
    <row r="420">
      <c r="A420" s="51"/>
      <c r="B420" s="51"/>
      <c r="C420" s="56"/>
      <c r="D420" s="51"/>
      <c r="E420" s="51"/>
      <c r="F420" s="51"/>
      <c r="G420" s="51" t="str">
        <f>IFERROR(__xludf.DUMMYFUNCTION("""COMPUTED_VALUE"""),"#VALUE!")</f>
        <v>#VALUE!</v>
      </c>
      <c r="H420" s="51" t="str">
        <f>IFERROR(__xludf.DUMMYFUNCTION("""COMPUTED_VALUE"""),"")</f>
        <v/>
      </c>
      <c r="I420" s="51" t="str">
        <f>IFERROR(__xludf.DUMMYFUNCTION("""COMPUTED_VALUE"""),"#VALUE!")</f>
        <v>#VALUE!</v>
      </c>
      <c r="J420" s="51" t="str">
        <f>IFERROR(__xludf.DUMMYFUNCTION("""COMPUTED_VALUE"""),"")</f>
        <v/>
      </c>
      <c r="K420" s="51"/>
      <c r="L420" s="51" t="s">
        <v>257</v>
      </c>
      <c r="M420" s="51"/>
      <c r="N420" s="51"/>
      <c r="O420" s="51"/>
      <c r="P420" s="51"/>
      <c r="Q420" s="51"/>
      <c r="R420" s="51"/>
      <c r="S420" s="51"/>
      <c r="T420" s="51"/>
    </row>
    <row r="421">
      <c r="A421" s="51"/>
      <c r="B421" s="51"/>
      <c r="C421" s="56"/>
      <c r="D421" s="51"/>
      <c r="E421" s="51"/>
      <c r="F421" s="51"/>
      <c r="G421" s="51" t="str">
        <f>IFERROR(__xludf.DUMMYFUNCTION("""COMPUTED_VALUE"""),"#VALUE!")</f>
        <v>#VALUE!</v>
      </c>
      <c r="H421" s="51" t="str">
        <f>IFERROR(__xludf.DUMMYFUNCTION("""COMPUTED_VALUE"""),"")</f>
        <v/>
      </c>
      <c r="I421" s="51" t="str">
        <f>IFERROR(__xludf.DUMMYFUNCTION("""COMPUTED_VALUE"""),"#VALUE!")</f>
        <v>#VALUE!</v>
      </c>
      <c r="J421" s="51" t="str">
        <f>IFERROR(__xludf.DUMMYFUNCTION("""COMPUTED_VALUE"""),"")</f>
        <v/>
      </c>
      <c r="K421" s="51"/>
      <c r="L421" s="51" t="s">
        <v>257</v>
      </c>
      <c r="M421" s="51"/>
      <c r="N421" s="51"/>
      <c r="O421" s="51"/>
      <c r="P421" s="51"/>
      <c r="Q421" s="51"/>
      <c r="R421" s="51"/>
      <c r="S421" s="51"/>
      <c r="T421" s="51"/>
    </row>
    <row r="422">
      <c r="A422" s="51"/>
      <c r="B422" s="51"/>
      <c r="C422" s="56"/>
      <c r="D422" s="51"/>
      <c r="E422" s="51"/>
      <c r="F422" s="51"/>
      <c r="G422" s="51" t="str">
        <f>IFERROR(__xludf.DUMMYFUNCTION("""COMPUTED_VALUE"""),"#VALUE!")</f>
        <v>#VALUE!</v>
      </c>
      <c r="H422" s="51" t="str">
        <f>IFERROR(__xludf.DUMMYFUNCTION("""COMPUTED_VALUE"""),"")</f>
        <v/>
      </c>
      <c r="I422" s="51" t="str">
        <f>IFERROR(__xludf.DUMMYFUNCTION("""COMPUTED_VALUE"""),"#VALUE!")</f>
        <v>#VALUE!</v>
      </c>
      <c r="J422" s="51" t="str">
        <f>IFERROR(__xludf.DUMMYFUNCTION("""COMPUTED_VALUE"""),"")</f>
        <v/>
      </c>
      <c r="K422" s="51"/>
      <c r="L422" s="51" t="s">
        <v>257</v>
      </c>
      <c r="M422" s="51"/>
      <c r="N422" s="51"/>
      <c r="O422" s="51"/>
      <c r="P422" s="51"/>
      <c r="Q422" s="51"/>
      <c r="R422" s="51"/>
      <c r="S422" s="51"/>
      <c r="T422" s="51"/>
    </row>
    <row r="423">
      <c r="A423" s="51"/>
      <c r="B423" s="51"/>
      <c r="C423" s="56"/>
      <c r="D423" s="51"/>
      <c r="E423" s="51"/>
      <c r="F423" s="51"/>
      <c r="G423" s="51" t="str">
        <f>IFERROR(__xludf.DUMMYFUNCTION("""COMPUTED_VALUE"""),"#VALUE!")</f>
        <v>#VALUE!</v>
      </c>
      <c r="H423" s="51" t="str">
        <f>IFERROR(__xludf.DUMMYFUNCTION("""COMPUTED_VALUE"""),"")</f>
        <v/>
      </c>
      <c r="I423" s="51" t="str">
        <f>IFERROR(__xludf.DUMMYFUNCTION("""COMPUTED_VALUE"""),"#VALUE!")</f>
        <v>#VALUE!</v>
      </c>
      <c r="J423" s="51" t="str">
        <f>IFERROR(__xludf.DUMMYFUNCTION("""COMPUTED_VALUE"""),"")</f>
        <v/>
      </c>
      <c r="K423" s="51"/>
      <c r="L423" s="51" t="s">
        <v>257</v>
      </c>
      <c r="M423" s="51"/>
      <c r="N423" s="51"/>
      <c r="O423" s="51"/>
      <c r="P423" s="51"/>
      <c r="Q423" s="51"/>
      <c r="R423" s="51"/>
      <c r="S423" s="51"/>
      <c r="T423" s="51"/>
    </row>
    <row r="424">
      <c r="A424" s="51"/>
      <c r="B424" s="51"/>
      <c r="C424" s="56"/>
      <c r="D424" s="51"/>
      <c r="E424" s="51"/>
      <c r="F424" s="51"/>
      <c r="G424" s="51" t="str">
        <f>IFERROR(__xludf.DUMMYFUNCTION("""COMPUTED_VALUE"""),"#VALUE!")</f>
        <v>#VALUE!</v>
      </c>
      <c r="H424" s="51" t="str">
        <f>IFERROR(__xludf.DUMMYFUNCTION("""COMPUTED_VALUE"""),"")</f>
        <v/>
      </c>
      <c r="I424" s="51" t="str">
        <f>IFERROR(__xludf.DUMMYFUNCTION("""COMPUTED_VALUE"""),"#VALUE!")</f>
        <v>#VALUE!</v>
      </c>
      <c r="J424" s="51" t="str">
        <f>IFERROR(__xludf.DUMMYFUNCTION("""COMPUTED_VALUE"""),"")</f>
        <v/>
      </c>
      <c r="K424" s="51"/>
      <c r="L424" s="51" t="s">
        <v>257</v>
      </c>
      <c r="M424" s="51"/>
      <c r="N424" s="51"/>
      <c r="O424" s="51"/>
      <c r="P424" s="51"/>
      <c r="Q424" s="51"/>
      <c r="R424" s="51"/>
      <c r="S424" s="51"/>
      <c r="T424" s="51"/>
    </row>
    <row r="425">
      <c r="A425" s="51"/>
      <c r="B425" s="51"/>
      <c r="C425" s="56"/>
      <c r="D425" s="51"/>
      <c r="E425" s="51"/>
      <c r="F425" s="51"/>
      <c r="G425" s="51" t="str">
        <f>IFERROR(__xludf.DUMMYFUNCTION("""COMPUTED_VALUE"""),"#VALUE!")</f>
        <v>#VALUE!</v>
      </c>
      <c r="H425" s="51" t="str">
        <f>IFERROR(__xludf.DUMMYFUNCTION("""COMPUTED_VALUE"""),"")</f>
        <v/>
      </c>
      <c r="I425" s="51" t="str">
        <f>IFERROR(__xludf.DUMMYFUNCTION("""COMPUTED_VALUE"""),"#VALUE!")</f>
        <v>#VALUE!</v>
      </c>
      <c r="J425" s="51" t="str">
        <f>IFERROR(__xludf.DUMMYFUNCTION("""COMPUTED_VALUE"""),"")</f>
        <v/>
      </c>
      <c r="K425" s="51"/>
      <c r="L425" s="51" t="s">
        <v>257</v>
      </c>
      <c r="M425" s="51"/>
      <c r="N425" s="51"/>
      <c r="O425" s="51"/>
      <c r="P425" s="51"/>
      <c r="Q425" s="51"/>
      <c r="R425" s="51"/>
      <c r="S425" s="51"/>
      <c r="T425" s="51"/>
    </row>
    <row r="426">
      <c r="A426" s="51"/>
      <c r="B426" s="51"/>
      <c r="C426" s="56"/>
      <c r="D426" s="51"/>
      <c r="E426" s="51"/>
      <c r="F426" s="51"/>
      <c r="G426" s="51" t="str">
        <f>IFERROR(__xludf.DUMMYFUNCTION("""COMPUTED_VALUE"""),"#VALUE!")</f>
        <v>#VALUE!</v>
      </c>
      <c r="H426" s="51" t="str">
        <f>IFERROR(__xludf.DUMMYFUNCTION("""COMPUTED_VALUE"""),"")</f>
        <v/>
      </c>
      <c r="I426" s="51" t="str">
        <f>IFERROR(__xludf.DUMMYFUNCTION("""COMPUTED_VALUE"""),"#VALUE!")</f>
        <v>#VALUE!</v>
      </c>
      <c r="J426" s="51" t="str">
        <f>IFERROR(__xludf.DUMMYFUNCTION("""COMPUTED_VALUE"""),"")</f>
        <v/>
      </c>
      <c r="K426" s="51"/>
      <c r="L426" s="51" t="s">
        <v>257</v>
      </c>
      <c r="M426" s="51"/>
      <c r="N426" s="51"/>
      <c r="O426" s="51"/>
      <c r="P426" s="51"/>
      <c r="Q426" s="51"/>
      <c r="R426" s="51"/>
      <c r="S426" s="51"/>
      <c r="T426" s="51"/>
    </row>
    <row r="427">
      <c r="A427" s="51"/>
      <c r="B427" s="51"/>
      <c r="C427" s="56"/>
      <c r="D427" s="51"/>
      <c r="E427" s="51"/>
      <c r="F427" s="51"/>
      <c r="G427" s="51" t="str">
        <f>IFERROR(__xludf.DUMMYFUNCTION("""COMPUTED_VALUE"""),"#VALUE!")</f>
        <v>#VALUE!</v>
      </c>
      <c r="H427" s="51" t="str">
        <f>IFERROR(__xludf.DUMMYFUNCTION("""COMPUTED_VALUE"""),"")</f>
        <v/>
      </c>
      <c r="I427" s="51" t="str">
        <f>IFERROR(__xludf.DUMMYFUNCTION("""COMPUTED_VALUE"""),"#VALUE!")</f>
        <v>#VALUE!</v>
      </c>
      <c r="J427" s="51" t="str">
        <f>IFERROR(__xludf.DUMMYFUNCTION("""COMPUTED_VALUE"""),"")</f>
        <v/>
      </c>
      <c r="K427" s="51"/>
      <c r="L427" s="51" t="s">
        <v>257</v>
      </c>
      <c r="M427" s="51"/>
      <c r="N427" s="51"/>
      <c r="O427" s="51"/>
      <c r="P427" s="51"/>
      <c r="Q427" s="51"/>
      <c r="R427" s="51"/>
      <c r="S427" s="51"/>
      <c r="T427" s="51"/>
    </row>
    <row r="428">
      <c r="A428" s="51"/>
      <c r="B428" s="51"/>
      <c r="C428" s="56"/>
      <c r="D428" s="51"/>
      <c r="E428" s="51"/>
      <c r="F428" s="51"/>
      <c r="G428" s="51" t="str">
        <f>IFERROR(__xludf.DUMMYFUNCTION("""COMPUTED_VALUE"""),"#VALUE!")</f>
        <v>#VALUE!</v>
      </c>
      <c r="H428" s="51" t="str">
        <f>IFERROR(__xludf.DUMMYFUNCTION("""COMPUTED_VALUE"""),"")</f>
        <v/>
      </c>
      <c r="I428" s="51" t="str">
        <f>IFERROR(__xludf.DUMMYFUNCTION("""COMPUTED_VALUE"""),"#VALUE!")</f>
        <v>#VALUE!</v>
      </c>
      <c r="J428" s="51" t="str">
        <f>IFERROR(__xludf.DUMMYFUNCTION("""COMPUTED_VALUE"""),"")</f>
        <v/>
      </c>
      <c r="K428" s="51"/>
      <c r="L428" s="51" t="s">
        <v>257</v>
      </c>
      <c r="M428" s="51"/>
      <c r="N428" s="51"/>
      <c r="O428" s="51"/>
      <c r="P428" s="51"/>
      <c r="Q428" s="51"/>
      <c r="R428" s="51"/>
      <c r="S428" s="51"/>
      <c r="T428" s="51"/>
    </row>
    <row r="429">
      <c r="A429" s="51"/>
      <c r="B429" s="51"/>
      <c r="C429" s="56"/>
      <c r="D429" s="51"/>
      <c r="E429" s="51"/>
      <c r="F429" s="51"/>
      <c r="G429" s="51" t="str">
        <f>IFERROR(__xludf.DUMMYFUNCTION("""COMPUTED_VALUE"""),"#VALUE!")</f>
        <v>#VALUE!</v>
      </c>
      <c r="H429" s="51" t="str">
        <f>IFERROR(__xludf.DUMMYFUNCTION("""COMPUTED_VALUE"""),"")</f>
        <v/>
      </c>
      <c r="I429" s="51" t="str">
        <f>IFERROR(__xludf.DUMMYFUNCTION("""COMPUTED_VALUE"""),"#VALUE!")</f>
        <v>#VALUE!</v>
      </c>
      <c r="J429" s="51" t="str">
        <f>IFERROR(__xludf.DUMMYFUNCTION("""COMPUTED_VALUE"""),"")</f>
        <v/>
      </c>
      <c r="K429" s="51"/>
      <c r="L429" s="51" t="s">
        <v>257</v>
      </c>
      <c r="M429" s="51"/>
      <c r="N429" s="51"/>
      <c r="O429" s="51"/>
      <c r="P429" s="51"/>
      <c r="Q429" s="51"/>
      <c r="R429" s="51"/>
      <c r="S429" s="51"/>
      <c r="T429" s="51"/>
    </row>
    <row r="430">
      <c r="A430" s="51"/>
      <c r="B430" s="51"/>
      <c r="C430" s="56"/>
      <c r="D430" s="51"/>
      <c r="E430" s="51"/>
      <c r="F430" s="51"/>
      <c r="G430" s="51" t="str">
        <f>IFERROR(__xludf.DUMMYFUNCTION("""COMPUTED_VALUE"""),"#VALUE!")</f>
        <v>#VALUE!</v>
      </c>
      <c r="H430" s="51" t="str">
        <f>IFERROR(__xludf.DUMMYFUNCTION("""COMPUTED_VALUE"""),"")</f>
        <v/>
      </c>
      <c r="I430" s="51" t="str">
        <f>IFERROR(__xludf.DUMMYFUNCTION("""COMPUTED_VALUE"""),"#VALUE!")</f>
        <v>#VALUE!</v>
      </c>
      <c r="J430" s="51" t="str">
        <f>IFERROR(__xludf.DUMMYFUNCTION("""COMPUTED_VALUE"""),"")</f>
        <v/>
      </c>
      <c r="K430" s="51"/>
      <c r="L430" s="51" t="s">
        <v>257</v>
      </c>
      <c r="M430" s="51"/>
      <c r="N430" s="51"/>
      <c r="O430" s="51"/>
      <c r="P430" s="51"/>
      <c r="Q430" s="51"/>
      <c r="R430" s="51"/>
      <c r="S430" s="51"/>
      <c r="T430" s="51"/>
    </row>
    <row r="431">
      <c r="A431" s="51"/>
      <c r="B431" s="51"/>
      <c r="C431" s="56"/>
      <c r="D431" s="51"/>
      <c r="E431" s="51"/>
      <c r="F431" s="51"/>
      <c r="G431" s="51" t="str">
        <f>IFERROR(__xludf.DUMMYFUNCTION("""COMPUTED_VALUE"""),"#VALUE!")</f>
        <v>#VALUE!</v>
      </c>
      <c r="H431" s="51" t="str">
        <f>IFERROR(__xludf.DUMMYFUNCTION("""COMPUTED_VALUE"""),"")</f>
        <v/>
      </c>
      <c r="I431" s="51" t="str">
        <f>IFERROR(__xludf.DUMMYFUNCTION("""COMPUTED_VALUE"""),"#VALUE!")</f>
        <v>#VALUE!</v>
      </c>
      <c r="J431" s="51" t="str">
        <f>IFERROR(__xludf.DUMMYFUNCTION("""COMPUTED_VALUE"""),"")</f>
        <v/>
      </c>
      <c r="K431" s="51"/>
      <c r="L431" s="51" t="s">
        <v>257</v>
      </c>
      <c r="M431" s="51"/>
      <c r="N431" s="51"/>
      <c r="O431" s="51"/>
      <c r="P431" s="51"/>
      <c r="Q431" s="51"/>
      <c r="R431" s="51"/>
      <c r="S431" s="51"/>
      <c r="T431" s="51"/>
    </row>
    <row r="432">
      <c r="A432" s="51"/>
      <c r="B432" s="51"/>
      <c r="C432" s="56"/>
      <c r="D432" s="51"/>
      <c r="E432" s="51"/>
      <c r="F432" s="51"/>
      <c r="G432" s="51" t="str">
        <f>IFERROR(__xludf.DUMMYFUNCTION("""COMPUTED_VALUE"""),"#VALUE!")</f>
        <v>#VALUE!</v>
      </c>
      <c r="H432" s="51" t="str">
        <f>IFERROR(__xludf.DUMMYFUNCTION("""COMPUTED_VALUE"""),"")</f>
        <v/>
      </c>
      <c r="I432" s="51" t="str">
        <f>IFERROR(__xludf.DUMMYFUNCTION("""COMPUTED_VALUE"""),"#VALUE!")</f>
        <v>#VALUE!</v>
      </c>
      <c r="J432" s="51" t="str">
        <f>IFERROR(__xludf.DUMMYFUNCTION("""COMPUTED_VALUE"""),"")</f>
        <v/>
      </c>
      <c r="K432" s="51"/>
      <c r="L432" s="51" t="s">
        <v>257</v>
      </c>
      <c r="M432" s="51"/>
      <c r="N432" s="51"/>
      <c r="O432" s="51"/>
      <c r="P432" s="51"/>
      <c r="Q432" s="51"/>
      <c r="R432" s="51"/>
      <c r="S432" s="51"/>
      <c r="T432" s="51"/>
    </row>
    <row r="433">
      <c r="A433" s="51"/>
      <c r="B433" s="51"/>
      <c r="C433" s="56"/>
      <c r="D433" s="51"/>
      <c r="E433" s="51"/>
      <c r="F433" s="51"/>
      <c r="G433" s="51" t="str">
        <f>IFERROR(__xludf.DUMMYFUNCTION("""COMPUTED_VALUE"""),"#VALUE!")</f>
        <v>#VALUE!</v>
      </c>
      <c r="H433" s="51" t="str">
        <f>IFERROR(__xludf.DUMMYFUNCTION("""COMPUTED_VALUE"""),"")</f>
        <v/>
      </c>
      <c r="I433" s="51" t="str">
        <f>IFERROR(__xludf.DUMMYFUNCTION("""COMPUTED_VALUE"""),"#VALUE!")</f>
        <v>#VALUE!</v>
      </c>
      <c r="J433" s="51" t="str">
        <f>IFERROR(__xludf.DUMMYFUNCTION("""COMPUTED_VALUE"""),"")</f>
        <v/>
      </c>
      <c r="K433" s="51"/>
      <c r="L433" s="51" t="s">
        <v>257</v>
      </c>
      <c r="M433" s="51"/>
      <c r="N433" s="51"/>
      <c r="O433" s="51"/>
      <c r="P433" s="51"/>
      <c r="Q433" s="51"/>
      <c r="R433" s="51"/>
      <c r="S433" s="51"/>
      <c r="T433" s="51"/>
    </row>
    <row r="434">
      <c r="A434" s="51"/>
      <c r="B434" s="51"/>
      <c r="C434" s="56"/>
      <c r="D434" s="51"/>
      <c r="E434" s="51"/>
      <c r="F434" s="51"/>
      <c r="G434" s="51" t="str">
        <f>IFERROR(__xludf.DUMMYFUNCTION("""COMPUTED_VALUE"""),"#VALUE!")</f>
        <v>#VALUE!</v>
      </c>
      <c r="H434" s="51" t="str">
        <f>IFERROR(__xludf.DUMMYFUNCTION("""COMPUTED_VALUE"""),"")</f>
        <v/>
      </c>
      <c r="I434" s="51" t="str">
        <f>IFERROR(__xludf.DUMMYFUNCTION("""COMPUTED_VALUE"""),"#VALUE!")</f>
        <v>#VALUE!</v>
      </c>
      <c r="J434" s="51" t="str">
        <f>IFERROR(__xludf.DUMMYFUNCTION("""COMPUTED_VALUE"""),"")</f>
        <v/>
      </c>
      <c r="K434" s="51"/>
      <c r="L434" s="51" t="s">
        <v>257</v>
      </c>
      <c r="M434" s="51"/>
      <c r="N434" s="51"/>
      <c r="O434" s="51"/>
      <c r="P434" s="51"/>
      <c r="Q434" s="51"/>
      <c r="R434" s="51"/>
      <c r="S434" s="51"/>
      <c r="T434" s="51"/>
    </row>
    <row r="435">
      <c r="A435" s="51"/>
      <c r="B435" s="51"/>
      <c r="C435" s="56"/>
      <c r="D435" s="51"/>
      <c r="E435" s="51"/>
      <c r="F435" s="51"/>
      <c r="G435" s="51" t="str">
        <f>IFERROR(__xludf.DUMMYFUNCTION("""COMPUTED_VALUE"""),"#VALUE!")</f>
        <v>#VALUE!</v>
      </c>
      <c r="H435" s="51" t="str">
        <f>IFERROR(__xludf.DUMMYFUNCTION("""COMPUTED_VALUE"""),"")</f>
        <v/>
      </c>
      <c r="I435" s="51" t="str">
        <f>IFERROR(__xludf.DUMMYFUNCTION("""COMPUTED_VALUE"""),"#VALUE!")</f>
        <v>#VALUE!</v>
      </c>
      <c r="J435" s="51" t="str">
        <f>IFERROR(__xludf.DUMMYFUNCTION("""COMPUTED_VALUE"""),"")</f>
        <v/>
      </c>
      <c r="K435" s="51"/>
      <c r="L435" s="51" t="s">
        <v>257</v>
      </c>
      <c r="M435" s="51"/>
      <c r="N435" s="51"/>
      <c r="O435" s="51"/>
      <c r="P435" s="51"/>
      <c r="Q435" s="51"/>
      <c r="R435" s="51"/>
      <c r="S435" s="51"/>
      <c r="T435" s="51"/>
    </row>
    <row r="436">
      <c r="A436" s="51"/>
      <c r="B436" s="51"/>
      <c r="C436" s="56"/>
      <c r="D436" s="51"/>
      <c r="E436" s="51"/>
      <c r="F436" s="51"/>
      <c r="G436" s="51" t="str">
        <f>IFERROR(__xludf.DUMMYFUNCTION("""COMPUTED_VALUE"""),"#VALUE!")</f>
        <v>#VALUE!</v>
      </c>
      <c r="H436" s="51" t="str">
        <f>IFERROR(__xludf.DUMMYFUNCTION("""COMPUTED_VALUE"""),"")</f>
        <v/>
      </c>
      <c r="I436" s="51" t="str">
        <f>IFERROR(__xludf.DUMMYFUNCTION("""COMPUTED_VALUE"""),"#VALUE!")</f>
        <v>#VALUE!</v>
      </c>
      <c r="J436" s="51" t="str">
        <f>IFERROR(__xludf.DUMMYFUNCTION("""COMPUTED_VALUE"""),"")</f>
        <v/>
      </c>
      <c r="K436" s="51"/>
      <c r="L436" s="51" t="s">
        <v>257</v>
      </c>
      <c r="M436" s="51"/>
      <c r="N436" s="51"/>
      <c r="O436" s="51"/>
      <c r="P436" s="51"/>
      <c r="Q436" s="51"/>
      <c r="R436" s="51"/>
      <c r="S436" s="51"/>
      <c r="T436" s="51"/>
    </row>
    <row r="437">
      <c r="A437" s="51"/>
      <c r="B437" s="51"/>
      <c r="C437" s="56"/>
      <c r="D437" s="51"/>
      <c r="E437" s="51"/>
      <c r="F437" s="51"/>
      <c r="G437" s="51" t="str">
        <f>IFERROR(__xludf.DUMMYFUNCTION("""COMPUTED_VALUE"""),"#VALUE!")</f>
        <v>#VALUE!</v>
      </c>
      <c r="H437" s="51" t="str">
        <f>IFERROR(__xludf.DUMMYFUNCTION("""COMPUTED_VALUE"""),"")</f>
        <v/>
      </c>
      <c r="I437" s="51" t="str">
        <f>IFERROR(__xludf.DUMMYFUNCTION("""COMPUTED_VALUE"""),"#VALUE!")</f>
        <v>#VALUE!</v>
      </c>
      <c r="J437" s="51" t="str">
        <f>IFERROR(__xludf.DUMMYFUNCTION("""COMPUTED_VALUE"""),"")</f>
        <v/>
      </c>
      <c r="K437" s="51"/>
      <c r="L437" s="51" t="s">
        <v>257</v>
      </c>
      <c r="M437" s="51"/>
      <c r="N437" s="51"/>
      <c r="O437" s="51"/>
      <c r="P437" s="51"/>
      <c r="Q437" s="51"/>
      <c r="R437" s="51"/>
      <c r="S437" s="51"/>
      <c r="T437" s="51"/>
    </row>
    <row r="438">
      <c r="A438" s="51"/>
      <c r="B438" s="51"/>
      <c r="C438" s="56"/>
      <c r="D438" s="51"/>
      <c r="E438" s="51"/>
      <c r="F438" s="51"/>
      <c r="G438" s="51" t="str">
        <f>IFERROR(__xludf.DUMMYFUNCTION("""COMPUTED_VALUE"""),"#VALUE!")</f>
        <v>#VALUE!</v>
      </c>
      <c r="H438" s="51" t="str">
        <f>IFERROR(__xludf.DUMMYFUNCTION("""COMPUTED_VALUE"""),"")</f>
        <v/>
      </c>
      <c r="I438" s="51" t="str">
        <f>IFERROR(__xludf.DUMMYFUNCTION("""COMPUTED_VALUE"""),"#VALUE!")</f>
        <v>#VALUE!</v>
      </c>
      <c r="J438" s="51" t="str">
        <f>IFERROR(__xludf.DUMMYFUNCTION("""COMPUTED_VALUE"""),"")</f>
        <v/>
      </c>
      <c r="K438" s="51"/>
      <c r="L438" s="51" t="s">
        <v>257</v>
      </c>
      <c r="M438" s="51"/>
      <c r="N438" s="51"/>
      <c r="O438" s="51"/>
      <c r="P438" s="51"/>
      <c r="Q438" s="51"/>
      <c r="R438" s="51"/>
      <c r="S438" s="51"/>
      <c r="T438" s="51"/>
    </row>
    <row r="439">
      <c r="A439" s="51"/>
      <c r="B439" s="51"/>
      <c r="C439" s="56"/>
      <c r="D439" s="51"/>
      <c r="E439" s="51"/>
      <c r="F439" s="51"/>
      <c r="G439" s="51" t="str">
        <f>IFERROR(__xludf.DUMMYFUNCTION("""COMPUTED_VALUE"""),"#VALUE!")</f>
        <v>#VALUE!</v>
      </c>
      <c r="H439" s="51" t="str">
        <f>IFERROR(__xludf.DUMMYFUNCTION("""COMPUTED_VALUE"""),"")</f>
        <v/>
      </c>
      <c r="I439" s="51" t="str">
        <f>IFERROR(__xludf.DUMMYFUNCTION("""COMPUTED_VALUE"""),"#VALUE!")</f>
        <v>#VALUE!</v>
      </c>
      <c r="J439" s="51" t="str">
        <f>IFERROR(__xludf.DUMMYFUNCTION("""COMPUTED_VALUE"""),"")</f>
        <v/>
      </c>
      <c r="K439" s="51"/>
      <c r="L439" s="51" t="s">
        <v>257</v>
      </c>
      <c r="M439" s="51"/>
      <c r="N439" s="51"/>
      <c r="O439" s="51"/>
      <c r="P439" s="51"/>
      <c r="Q439" s="51"/>
      <c r="R439" s="51"/>
      <c r="S439" s="51"/>
      <c r="T439" s="51"/>
    </row>
    <row r="440">
      <c r="A440" s="51"/>
      <c r="B440" s="51"/>
      <c r="C440" s="56"/>
      <c r="D440" s="51"/>
      <c r="E440" s="51"/>
      <c r="F440" s="51"/>
      <c r="G440" s="51" t="str">
        <f>IFERROR(__xludf.DUMMYFUNCTION("""COMPUTED_VALUE"""),"#VALUE!")</f>
        <v>#VALUE!</v>
      </c>
      <c r="H440" s="51" t="str">
        <f>IFERROR(__xludf.DUMMYFUNCTION("""COMPUTED_VALUE"""),"")</f>
        <v/>
      </c>
      <c r="I440" s="51" t="str">
        <f>IFERROR(__xludf.DUMMYFUNCTION("""COMPUTED_VALUE"""),"#VALUE!")</f>
        <v>#VALUE!</v>
      </c>
      <c r="J440" s="51" t="str">
        <f>IFERROR(__xludf.DUMMYFUNCTION("""COMPUTED_VALUE"""),"")</f>
        <v/>
      </c>
      <c r="K440" s="51"/>
      <c r="L440" s="51" t="s">
        <v>257</v>
      </c>
      <c r="M440" s="51"/>
      <c r="N440" s="51"/>
      <c r="O440" s="51"/>
      <c r="P440" s="51"/>
      <c r="Q440" s="51"/>
      <c r="R440" s="51"/>
      <c r="S440" s="51"/>
      <c r="T440" s="51"/>
    </row>
    <row r="441">
      <c r="A441" s="51"/>
      <c r="B441" s="51"/>
      <c r="C441" s="56"/>
      <c r="D441" s="51"/>
      <c r="E441" s="51"/>
      <c r="F441" s="51"/>
      <c r="G441" s="51" t="str">
        <f>IFERROR(__xludf.DUMMYFUNCTION("""COMPUTED_VALUE"""),"#VALUE!")</f>
        <v>#VALUE!</v>
      </c>
      <c r="H441" s="51" t="str">
        <f>IFERROR(__xludf.DUMMYFUNCTION("""COMPUTED_VALUE"""),"")</f>
        <v/>
      </c>
      <c r="I441" s="51" t="str">
        <f>IFERROR(__xludf.DUMMYFUNCTION("""COMPUTED_VALUE"""),"#VALUE!")</f>
        <v>#VALUE!</v>
      </c>
      <c r="J441" s="51" t="str">
        <f>IFERROR(__xludf.DUMMYFUNCTION("""COMPUTED_VALUE"""),"")</f>
        <v/>
      </c>
      <c r="K441" s="51"/>
      <c r="L441" s="51" t="s">
        <v>257</v>
      </c>
      <c r="M441" s="51"/>
      <c r="N441" s="51"/>
      <c r="O441" s="51"/>
      <c r="P441" s="51"/>
      <c r="Q441" s="51"/>
      <c r="R441" s="51"/>
      <c r="S441" s="51"/>
      <c r="T441" s="51"/>
    </row>
    <row r="442">
      <c r="A442" s="51"/>
      <c r="B442" s="51"/>
      <c r="C442" s="56"/>
      <c r="D442" s="51"/>
      <c r="E442" s="51"/>
      <c r="F442" s="51"/>
      <c r="G442" s="51" t="str">
        <f>IFERROR(__xludf.DUMMYFUNCTION("""COMPUTED_VALUE"""),"#VALUE!")</f>
        <v>#VALUE!</v>
      </c>
      <c r="H442" s="51" t="str">
        <f>IFERROR(__xludf.DUMMYFUNCTION("""COMPUTED_VALUE"""),"")</f>
        <v/>
      </c>
      <c r="I442" s="51" t="str">
        <f>IFERROR(__xludf.DUMMYFUNCTION("""COMPUTED_VALUE"""),"#VALUE!")</f>
        <v>#VALUE!</v>
      </c>
      <c r="J442" s="51" t="str">
        <f>IFERROR(__xludf.DUMMYFUNCTION("""COMPUTED_VALUE"""),"")</f>
        <v/>
      </c>
      <c r="K442" s="51"/>
      <c r="L442" s="51" t="s">
        <v>257</v>
      </c>
      <c r="M442" s="51"/>
      <c r="N442" s="51"/>
      <c r="O442" s="51"/>
      <c r="P442" s="51"/>
      <c r="Q442" s="51"/>
      <c r="R442" s="51"/>
      <c r="S442" s="51"/>
      <c r="T442" s="51"/>
    </row>
    <row r="443">
      <c r="A443" s="51"/>
      <c r="B443" s="51"/>
      <c r="C443" s="56"/>
      <c r="D443" s="51"/>
      <c r="E443" s="51"/>
      <c r="F443" s="51"/>
      <c r="G443" s="51" t="str">
        <f>IFERROR(__xludf.DUMMYFUNCTION("""COMPUTED_VALUE"""),"#VALUE!")</f>
        <v>#VALUE!</v>
      </c>
      <c r="H443" s="51" t="str">
        <f>IFERROR(__xludf.DUMMYFUNCTION("""COMPUTED_VALUE"""),"")</f>
        <v/>
      </c>
      <c r="I443" s="51" t="str">
        <f>IFERROR(__xludf.DUMMYFUNCTION("""COMPUTED_VALUE"""),"#VALUE!")</f>
        <v>#VALUE!</v>
      </c>
      <c r="J443" s="51" t="str">
        <f>IFERROR(__xludf.DUMMYFUNCTION("""COMPUTED_VALUE"""),"")</f>
        <v/>
      </c>
      <c r="K443" s="51"/>
      <c r="L443" s="51" t="s">
        <v>257</v>
      </c>
      <c r="M443" s="51"/>
      <c r="N443" s="51"/>
      <c r="O443" s="51"/>
      <c r="P443" s="51"/>
      <c r="Q443" s="51"/>
      <c r="R443" s="51"/>
      <c r="S443" s="51"/>
      <c r="T443" s="51"/>
    </row>
    <row r="444">
      <c r="A444" s="51"/>
      <c r="B444" s="51"/>
      <c r="C444" s="56"/>
      <c r="D444" s="51"/>
      <c r="E444" s="51"/>
      <c r="F444" s="51"/>
      <c r="G444" s="51" t="str">
        <f>IFERROR(__xludf.DUMMYFUNCTION("""COMPUTED_VALUE"""),"#VALUE!")</f>
        <v>#VALUE!</v>
      </c>
      <c r="H444" s="51" t="str">
        <f>IFERROR(__xludf.DUMMYFUNCTION("""COMPUTED_VALUE"""),"")</f>
        <v/>
      </c>
      <c r="I444" s="51" t="str">
        <f>IFERROR(__xludf.DUMMYFUNCTION("""COMPUTED_VALUE"""),"#VALUE!")</f>
        <v>#VALUE!</v>
      </c>
      <c r="J444" s="51" t="str">
        <f>IFERROR(__xludf.DUMMYFUNCTION("""COMPUTED_VALUE"""),"")</f>
        <v/>
      </c>
      <c r="K444" s="51"/>
      <c r="L444" s="51" t="s">
        <v>257</v>
      </c>
      <c r="M444" s="51"/>
      <c r="N444" s="51"/>
      <c r="O444" s="51"/>
      <c r="P444" s="51"/>
      <c r="Q444" s="51"/>
      <c r="R444" s="51"/>
      <c r="S444" s="51"/>
      <c r="T444" s="51"/>
    </row>
    <row r="445">
      <c r="A445" s="51"/>
      <c r="B445" s="51"/>
      <c r="C445" s="56"/>
      <c r="D445" s="51"/>
      <c r="E445" s="51"/>
      <c r="F445" s="51"/>
      <c r="G445" s="51" t="str">
        <f>IFERROR(__xludf.DUMMYFUNCTION("""COMPUTED_VALUE"""),"#VALUE!")</f>
        <v>#VALUE!</v>
      </c>
      <c r="H445" s="51" t="str">
        <f>IFERROR(__xludf.DUMMYFUNCTION("""COMPUTED_VALUE"""),"")</f>
        <v/>
      </c>
      <c r="I445" s="51" t="str">
        <f>IFERROR(__xludf.DUMMYFUNCTION("""COMPUTED_VALUE"""),"#VALUE!")</f>
        <v>#VALUE!</v>
      </c>
      <c r="J445" s="51" t="str">
        <f>IFERROR(__xludf.DUMMYFUNCTION("""COMPUTED_VALUE"""),"")</f>
        <v/>
      </c>
      <c r="K445" s="51"/>
      <c r="L445" s="51" t="s">
        <v>257</v>
      </c>
      <c r="M445" s="51"/>
      <c r="N445" s="51"/>
      <c r="O445" s="51"/>
      <c r="P445" s="51"/>
      <c r="Q445" s="51"/>
      <c r="R445" s="51"/>
      <c r="S445" s="51"/>
      <c r="T445" s="51"/>
    </row>
    <row r="446">
      <c r="A446" s="51"/>
      <c r="B446" s="51"/>
      <c r="C446" s="56"/>
      <c r="D446" s="51"/>
      <c r="E446" s="51"/>
      <c r="F446" s="51"/>
      <c r="G446" s="51" t="str">
        <f>IFERROR(__xludf.DUMMYFUNCTION("""COMPUTED_VALUE"""),"#VALUE!")</f>
        <v>#VALUE!</v>
      </c>
      <c r="H446" s="51" t="str">
        <f>IFERROR(__xludf.DUMMYFUNCTION("""COMPUTED_VALUE"""),"")</f>
        <v/>
      </c>
      <c r="I446" s="51" t="str">
        <f>IFERROR(__xludf.DUMMYFUNCTION("""COMPUTED_VALUE"""),"#VALUE!")</f>
        <v>#VALUE!</v>
      </c>
      <c r="J446" s="51" t="str">
        <f>IFERROR(__xludf.DUMMYFUNCTION("""COMPUTED_VALUE"""),"")</f>
        <v/>
      </c>
      <c r="K446" s="51"/>
      <c r="L446" s="51" t="s">
        <v>257</v>
      </c>
      <c r="M446" s="51"/>
      <c r="N446" s="51"/>
      <c r="O446" s="51"/>
      <c r="P446" s="51"/>
      <c r="Q446" s="51"/>
      <c r="R446" s="51"/>
      <c r="S446" s="51"/>
      <c r="T446" s="51"/>
    </row>
    <row r="447">
      <c r="A447" s="51"/>
      <c r="B447" s="51"/>
      <c r="C447" s="56"/>
      <c r="D447" s="51"/>
      <c r="E447" s="51"/>
      <c r="F447" s="51"/>
      <c r="G447" s="51" t="str">
        <f>IFERROR(__xludf.DUMMYFUNCTION("""COMPUTED_VALUE"""),"#VALUE!")</f>
        <v>#VALUE!</v>
      </c>
      <c r="H447" s="51" t="str">
        <f>IFERROR(__xludf.DUMMYFUNCTION("""COMPUTED_VALUE"""),"")</f>
        <v/>
      </c>
      <c r="I447" s="51" t="str">
        <f>IFERROR(__xludf.DUMMYFUNCTION("""COMPUTED_VALUE"""),"#VALUE!")</f>
        <v>#VALUE!</v>
      </c>
      <c r="J447" s="51" t="str">
        <f>IFERROR(__xludf.DUMMYFUNCTION("""COMPUTED_VALUE"""),"")</f>
        <v/>
      </c>
      <c r="K447" s="51"/>
      <c r="L447" s="51" t="s">
        <v>257</v>
      </c>
      <c r="M447" s="51"/>
      <c r="N447" s="51"/>
      <c r="O447" s="51"/>
      <c r="P447" s="51"/>
      <c r="Q447" s="51"/>
      <c r="R447" s="51"/>
      <c r="S447" s="51"/>
      <c r="T447" s="51"/>
    </row>
    <row r="448">
      <c r="A448" s="51"/>
      <c r="B448" s="51"/>
      <c r="C448" s="56"/>
      <c r="D448" s="51"/>
      <c r="E448" s="51"/>
      <c r="F448" s="51"/>
      <c r="G448" s="51" t="str">
        <f>IFERROR(__xludf.DUMMYFUNCTION("""COMPUTED_VALUE"""),"#VALUE!")</f>
        <v>#VALUE!</v>
      </c>
      <c r="H448" s="51" t="str">
        <f>IFERROR(__xludf.DUMMYFUNCTION("""COMPUTED_VALUE"""),"")</f>
        <v/>
      </c>
      <c r="I448" s="51" t="str">
        <f>IFERROR(__xludf.DUMMYFUNCTION("""COMPUTED_VALUE"""),"#VALUE!")</f>
        <v>#VALUE!</v>
      </c>
      <c r="J448" s="51" t="str">
        <f>IFERROR(__xludf.DUMMYFUNCTION("""COMPUTED_VALUE"""),"")</f>
        <v/>
      </c>
      <c r="K448" s="51"/>
      <c r="L448" s="51" t="s">
        <v>257</v>
      </c>
      <c r="M448" s="51"/>
      <c r="N448" s="51"/>
      <c r="O448" s="51"/>
      <c r="P448" s="51"/>
      <c r="Q448" s="51"/>
      <c r="R448" s="51"/>
      <c r="S448" s="51"/>
      <c r="T448" s="51"/>
    </row>
    <row r="449">
      <c r="A449" s="51"/>
      <c r="B449" s="51"/>
      <c r="C449" s="56"/>
      <c r="D449" s="51"/>
      <c r="E449" s="51"/>
      <c r="F449" s="51"/>
      <c r="G449" s="51" t="str">
        <f>IFERROR(__xludf.DUMMYFUNCTION("""COMPUTED_VALUE"""),"#VALUE!")</f>
        <v>#VALUE!</v>
      </c>
      <c r="H449" s="51" t="str">
        <f>IFERROR(__xludf.DUMMYFUNCTION("""COMPUTED_VALUE"""),"")</f>
        <v/>
      </c>
      <c r="I449" s="51" t="str">
        <f>IFERROR(__xludf.DUMMYFUNCTION("""COMPUTED_VALUE"""),"#VALUE!")</f>
        <v>#VALUE!</v>
      </c>
      <c r="J449" s="51" t="str">
        <f>IFERROR(__xludf.DUMMYFUNCTION("""COMPUTED_VALUE"""),"")</f>
        <v/>
      </c>
      <c r="K449" s="51"/>
      <c r="L449" s="51" t="s">
        <v>257</v>
      </c>
      <c r="M449" s="51"/>
      <c r="N449" s="51"/>
      <c r="O449" s="51"/>
      <c r="P449" s="51"/>
      <c r="Q449" s="51"/>
      <c r="R449" s="51"/>
      <c r="S449" s="51"/>
      <c r="T449" s="51"/>
    </row>
    <row r="450">
      <c r="A450" s="51"/>
      <c r="B450" s="51"/>
      <c r="C450" s="56"/>
      <c r="D450" s="51"/>
      <c r="E450" s="51"/>
      <c r="F450" s="51"/>
      <c r="G450" s="51" t="str">
        <f>IFERROR(__xludf.DUMMYFUNCTION("""COMPUTED_VALUE"""),"#VALUE!")</f>
        <v>#VALUE!</v>
      </c>
      <c r="H450" s="51" t="str">
        <f>IFERROR(__xludf.DUMMYFUNCTION("""COMPUTED_VALUE"""),"")</f>
        <v/>
      </c>
      <c r="I450" s="51" t="str">
        <f>IFERROR(__xludf.DUMMYFUNCTION("""COMPUTED_VALUE"""),"#VALUE!")</f>
        <v>#VALUE!</v>
      </c>
      <c r="J450" s="51" t="str">
        <f>IFERROR(__xludf.DUMMYFUNCTION("""COMPUTED_VALUE"""),"")</f>
        <v/>
      </c>
      <c r="K450" s="51"/>
      <c r="L450" s="51" t="s">
        <v>257</v>
      </c>
      <c r="M450" s="51"/>
      <c r="N450" s="51"/>
      <c r="O450" s="51"/>
      <c r="P450" s="51"/>
      <c r="Q450" s="51"/>
      <c r="R450" s="51"/>
      <c r="S450" s="51"/>
      <c r="T450" s="51"/>
    </row>
    <row r="451">
      <c r="A451" s="51"/>
      <c r="B451" s="51"/>
      <c r="C451" s="56"/>
      <c r="D451" s="51"/>
      <c r="E451" s="51"/>
      <c r="F451" s="51"/>
      <c r="G451" s="51" t="str">
        <f>IFERROR(__xludf.DUMMYFUNCTION("""COMPUTED_VALUE"""),"#VALUE!")</f>
        <v>#VALUE!</v>
      </c>
      <c r="H451" s="51" t="str">
        <f>IFERROR(__xludf.DUMMYFUNCTION("""COMPUTED_VALUE"""),"")</f>
        <v/>
      </c>
      <c r="I451" s="51" t="str">
        <f>IFERROR(__xludf.DUMMYFUNCTION("""COMPUTED_VALUE"""),"#VALUE!")</f>
        <v>#VALUE!</v>
      </c>
      <c r="J451" s="51" t="str">
        <f>IFERROR(__xludf.DUMMYFUNCTION("""COMPUTED_VALUE"""),"")</f>
        <v/>
      </c>
      <c r="K451" s="51"/>
      <c r="L451" s="51" t="s">
        <v>257</v>
      </c>
      <c r="M451" s="51"/>
      <c r="N451" s="51"/>
      <c r="O451" s="51"/>
      <c r="P451" s="51"/>
      <c r="Q451" s="51"/>
      <c r="R451" s="51"/>
      <c r="S451" s="51"/>
      <c r="T451" s="51"/>
    </row>
    <row r="452">
      <c r="A452" s="51"/>
      <c r="B452" s="51"/>
      <c r="C452" s="56"/>
      <c r="D452" s="51"/>
      <c r="E452" s="51"/>
      <c r="F452" s="51"/>
      <c r="G452" s="51" t="str">
        <f>IFERROR(__xludf.DUMMYFUNCTION("""COMPUTED_VALUE"""),"#VALUE!")</f>
        <v>#VALUE!</v>
      </c>
      <c r="H452" s="51" t="str">
        <f>IFERROR(__xludf.DUMMYFUNCTION("""COMPUTED_VALUE"""),"")</f>
        <v/>
      </c>
      <c r="I452" s="51" t="str">
        <f>IFERROR(__xludf.DUMMYFUNCTION("""COMPUTED_VALUE"""),"#VALUE!")</f>
        <v>#VALUE!</v>
      </c>
      <c r="J452" s="51" t="str">
        <f>IFERROR(__xludf.DUMMYFUNCTION("""COMPUTED_VALUE"""),"")</f>
        <v/>
      </c>
      <c r="K452" s="51"/>
      <c r="L452" s="51" t="s">
        <v>257</v>
      </c>
      <c r="M452" s="51"/>
      <c r="N452" s="51"/>
      <c r="O452" s="51"/>
      <c r="P452" s="51"/>
      <c r="Q452" s="51"/>
      <c r="R452" s="51"/>
      <c r="S452" s="51"/>
      <c r="T452" s="51"/>
    </row>
    <row r="453">
      <c r="A453" s="51"/>
      <c r="B453" s="51"/>
      <c r="C453" s="56"/>
      <c r="D453" s="51"/>
      <c r="E453" s="51"/>
      <c r="F453" s="51"/>
      <c r="G453" s="51" t="str">
        <f>IFERROR(__xludf.DUMMYFUNCTION("""COMPUTED_VALUE"""),"#VALUE!")</f>
        <v>#VALUE!</v>
      </c>
      <c r="H453" s="51" t="str">
        <f>IFERROR(__xludf.DUMMYFUNCTION("""COMPUTED_VALUE"""),"")</f>
        <v/>
      </c>
      <c r="I453" s="51" t="str">
        <f>IFERROR(__xludf.DUMMYFUNCTION("""COMPUTED_VALUE"""),"#VALUE!")</f>
        <v>#VALUE!</v>
      </c>
      <c r="J453" s="51" t="str">
        <f>IFERROR(__xludf.DUMMYFUNCTION("""COMPUTED_VALUE"""),"")</f>
        <v/>
      </c>
      <c r="K453" s="51"/>
      <c r="L453" s="51" t="s">
        <v>257</v>
      </c>
      <c r="M453" s="51"/>
      <c r="N453" s="51"/>
      <c r="O453" s="51"/>
      <c r="P453" s="51"/>
      <c r="Q453" s="51"/>
      <c r="R453" s="51"/>
      <c r="S453" s="51"/>
      <c r="T453" s="51"/>
    </row>
    <row r="454">
      <c r="A454" s="51"/>
      <c r="B454" s="51"/>
      <c r="C454" s="56"/>
      <c r="D454" s="51"/>
      <c r="E454" s="51"/>
      <c r="F454" s="51"/>
      <c r="G454" s="51" t="str">
        <f>IFERROR(__xludf.DUMMYFUNCTION("""COMPUTED_VALUE"""),"#VALUE!")</f>
        <v>#VALUE!</v>
      </c>
      <c r="H454" s="51" t="str">
        <f>IFERROR(__xludf.DUMMYFUNCTION("""COMPUTED_VALUE"""),"")</f>
        <v/>
      </c>
      <c r="I454" s="51" t="str">
        <f>IFERROR(__xludf.DUMMYFUNCTION("""COMPUTED_VALUE"""),"#VALUE!")</f>
        <v>#VALUE!</v>
      </c>
      <c r="J454" s="51" t="str">
        <f>IFERROR(__xludf.DUMMYFUNCTION("""COMPUTED_VALUE"""),"")</f>
        <v/>
      </c>
      <c r="K454" s="51"/>
      <c r="L454" s="51" t="s">
        <v>257</v>
      </c>
      <c r="M454" s="51"/>
      <c r="N454" s="51"/>
      <c r="O454" s="51"/>
      <c r="P454" s="51"/>
      <c r="Q454" s="51"/>
      <c r="R454" s="51"/>
      <c r="S454" s="51"/>
      <c r="T454" s="51"/>
    </row>
    <row r="455">
      <c r="A455" s="51"/>
      <c r="B455" s="51"/>
      <c r="C455" s="56"/>
      <c r="D455" s="51"/>
      <c r="E455" s="51"/>
      <c r="F455" s="51"/>
      <c r="G455" s="51" t="str">
        <f>IFERROR(__xludf.DUMMYFUNCTION("""COMPUTED_VALUE"""),"#VALUE!")</f>
        <v>#VALUE!</v>
      </c>
      <c r="H455" s="51" t="str">
        <f>IFERROR(__xludf.DUMMYFUNCTION("""COMPUTED_VALUE"""),"")</f>
        <v/>
      </c>
      <c r="I455" s="51" t="str">
        <f>IFERROR(__xludf.DUMMYFUNCTION("""COMPUTED_VALUE"""),"#VALUE!")</f>
        <v>#VALUE!</v>
      </c>
      <c r="J455" s="51" t="str">
        <f>IFERROR(__xludf.DUMMYFUNCTION("""COMPUTED_VALUE"""),"")</f>
        <v/>
      </c>
      <c r="K455" s="51"/>
      <c r="L455" s="51" t="s">
        <v>257</v>
      </c>
      <c r="M455" s="51"/>
      <c r="N455" s="51"/>
      <c r="O455" s="51"/>
      <c r="P455" s="51"/>
      <c r="Q455" s="51"/>
      <c r="R455" s="51"/>
      <c r="S455" s="51"/>
      <c r="T455" s="51"/>
    </row>
    <row r="456">
      <c r="A456" s="51"/>
      <c r="B456" s="51"/>
      <c r="C456" s="56"/>
      <c r="D456" s="51"/>
      <c r="E456" s="51"/>
      <c r="F456" s="51"/>
      <c r="G456" s="51" t="str">
        <f>IFERROR(__xludf.DUMMYFUNCTION("""COMPUTED_VALUE"""),"#VALUE!")</f>
        <v>#VALUE!</v>
      </c>
      <c r="H456" s="51" t="str">
        <f>IFERROR(__xludf.DUMMYFUNCTION("""COMPUTED_VALUE"""),"")</f>
        <v/>
      </c>
      <c r="I456" s="51" t="str">
        <f>IFERROR(__xludf.DUMMYFUNCTION("""COMPUTED_VALUE"""),"#VALUE!")</f>
        <v>#VALUE!</v>
      </c>
      <c r="J456" s="51" t="str">
        <f>IFERROR(__xludf.DUMMYFUNCTION("""COMPUTED_VALUE"""),"")</f>
        <v/>
      </c>
      <c r="K456" s="51"/>
      <c r="L456" s="51" t="s">
        <v>257</v>
      </c>
      <c r="M456" s="51"/>
      <c r="N456" s="51"/>
      <c r="O456" s="51"/>
      <c r="P456" s="51"/>
      <c r="Q456" s="51"/>
      <c r="R456" s="51"/>
      <c r="S456" s="51"/>
      <c r="T456" s="51"/>
    </row>
    <row r="457">
      <c r="A457" s="51"/>
      <c r="B457" s="51"/>
      <c r="C457" s="56"/>
      <c r="D457" s="51"/>
      <c r="E457" s="51"/>
      <c r="F457" s="51"/>
      <c r="G457" s="51" t="str">
        <f>IFERROR(__xludf.DUMMYFUNCTION("""COMPUTED_VALUE"""),"#VALUE!")</f>
        <v>#VALUE!</v>
      </c>
      <c r="H457" s="51" t="str">
        <f>IFERROR(__xludf.DUMMYFUNCTION("""COMPUTED_VALUE"""),"")</f>
        <v/>
      </c>
      <c r="I457" s="51" t="str">
        <f>IFERROR(__xludf.DUMMYFUNCTION("""COMPUTED_VALUE"""),"#VALUE!")</f>
        <v>#VALUE!</v>
      </c>
      <c r="J457" s="51" t="str">
        <f>IFERROR(__xludf.DUMMYFUNCTION("""COMPUTED_VALUE"""),"")</f>
        <v/>
      </c>
      <c r="K457" s="51"/>
      <c r="L457" s="51" t="s">
        <v>257</v>
      </c>
      <c r="M457" s="51"/>
      <c r="N457" s="51"/>
      <c r="O457" s="51"/>
      <c r="P457" s="51"/>
      <c r="Q457" s="51"/>
      <c r="R457" s="51"/>
      <c r="S457" s="51"/>
      <c r="T457" s="51"/>
    </row>
    <row r="458">
      <c r="A458" s="51"/>
      <c r="B458" s="51"/>
      <c r="C458" s="56"/>
      <c r="D458" s="51"/>
      <c r="E458" s="51"/>
      <c r="F458" s="51"/>
      <c r="G458" s="51" t="str">
        <f>IFERROR(__xludf.DUMMYFUNCTION("""COMPUTED_VALUE"""),"#VALUE!")</f>
        <v>#VALUE!</v>
      </c>
      <c r="H458" s="51" t="str">
        <f>IFERROR(__xludf.DUMMYFUNCTION("""COMPUTED_VALUE"""),"")</f>
        <v/>
      </c>
      <c r="I458" s="51" t="str">
        <f>IFERROR(__xludf.DUMMYFUNCTION("""COMPUTED_VALUE"""),"#VALUE!")</f>
        <v>#VALUE!</v>
      </c>
      <c r="J458" s="51" t="str">
        <f>IFERROR(__xludf.DUMMYFUNCTION("""COMPUTED_VALUE"""),"")</f>
        <v/>
      </c>
      <c r="K458" s="51"/>
      <c r="L458" s="51" t="s">
        <v>257</v>
      </c>
      <c r="M458" s="51"/>
      <c r="N458" s="51"/>
      <c r="O458" s="51"/>
      <c r="P458" s="51"/>
      <c r="Q458" s="51"/>
      <c r="R458" s="51"/>
      <c r="S458" s="51"/>
      <c r="T458" s="51"/>
    </row>
    <row r="459">
      <c r="A459" s="51"/>
      <c r="B459" s="51"/>
      <c r="C459" s="56"/>
      <c r="D459" s="51"/>
      <c r="E459" s="51"/>
      <c r="F459" s="51"/>
      <c r="G459" s="51" t="str">
        <f>IFERROR(__xludf.DUMMYFUNCTION("""COMPUTED_VALUE"""),"#VALUE!")</f>
        <v>#VALUE!</v>
      </c>
      <c r="H459" s="51" t="str">
        <f>IFERROR(__xludf.DUMMYFUNCTION("""COMPUTED_VALUE"""),"")</f>
        <v/>
      </c>
      <c r="I459" s="51" t="str">
        <f>IFERROR(__xludf.DUMMYFUNCTION("""COMPUTED_VALUE"""),"#VALUE!")</f>
        <v>#VALUE!</v>
      </c>
      <c r="J459" s="51" t="str">
        <f>IFERROR(__xludf.DUMMYFUNCTION("""COMPUTED_VALUE"""),"")</f>
        <v/>
      </c>
      <c r="K459" s="51"/>
      <c r="L459" s="51" t="s">
        <v>257</v>
      </c>
      <c r="M459" s="51"/>
      <c r="N459" s="51"/>
      <c r="O459" s="51"/>
      <c r="P459" s="51"/>
      <c r="Q459" s="51"/>
      <c r="R459" s="51"/>
      <c r="S459" s="51"/>
      <c r="T459" s="51"/>
    </row>
    <row r="460">
      <c r="A460" s="51"/>
      <c r="B460" s="51"/>
      <c r="C460" s="56"/>
      <c r="D460" s="51"/>
      <c r="E460" s="51"/>
      <c r="F460" s="51"/>
      <c r="G460" s="51" t="str">
        <f>IFERROR(__xludf.DUMMYFUNCTION("""COMPUTED_VALUE"""),"#VALUE!")</f>
        <v>#VALUE!</v>
      </c>
      <c r="H460" s="51" t="str">
        <f>IFERROR(__xludf.DUMMYFUNCTION("""COMPUTED_VALUE"""),"")</f>
        <v/>
      </c>
      <c r="I460" s="51" t="str">
        <f>IFERROR(__xludf.DUMMYFUNCTION("""COMPUTED_VALUE"""),"#VALUE!")</f>
        <v>#VALUE!</v>
      </c>
      <c r="J460" s="51" t="str">
        <f>IFERROR(__xludf.DUMMYFUNCTION("""COMPUTED_VALUE"""),"")</f>
        <v/>
      </c>
      <c r="K460" s="51"/>
      <c r="L460" s="51" t="s">
        <v>257</v>
      </c>
      <c r="M460" s="51"/>
      <c r="N460" s="51"/>
      <c r="O460" s="51"/>
      <c r="P460" s="51"/>
      <c r="Q460" s="51"/>
      <c r="R460" s="51"/>
      <c r="S460" s="51"/>
      <c r="T460" s="51"/>
    </row>
    <row r="461">
      <c r="A461" s="51"/>
      <c r="B461" s="51"/>
      <c r="C461" s="56"/>
      <c r="D461" s="51"/>
      <c r="E461" s="51"/>
      <c r="F461" s="51"/>
      <c r="G461" s="51" t="str">
        <f>IFERROR(__xludf.DUMMYFUNCTION("""COMPUTED_VALUE"""),"#VALUE!")</f>
        <v>#VALUE!</v>
      </c>
      <c r="H461" s="51" t="str">
        <f>IFERROR(__xludf.DUMMYFUNCTION("""COMPUTED_VALUE"""),"")</f>
        <v/>
      </c>
      <c r="I461" s="51" t="str">
        <f>IFERROR(__xludf.DUMMYFUNCTION("""COMPUTED_VALUE"""),"#VALUE!")</f>
        <v>#VALUE!</v>
      </c>
      <c r="J461" s="51" t="str">
        <f>IFERROR(__xludf.DUMMYFUNCTION("""COMPUTED_VALUE"""),"")</f>
        <v/>
      </c>
      <c r="K461" s="51"/>
      <c r="L461" s="51" t="s">
        <v>257</v>
      </c>
      <c r="M461" s="51"/>
      <c r="N461" s="51"/>
      <c r="O461" s="51"/>
      <c r="P461" s="51"/>
      <c r="Q461" s="51"/>
      <c r="R461" s="51"/>
      <c r="S461" s="51"/>
      <c r="T461" s="51"/>
    </row>
    <row r="462">
      <c r="A462" s="51"/>
      <c r="B462" s="51"/>
      <c r="C462" s="56"/>
      <c r="D462" s="51"/>
      <c r="E462" s="51"/>
      <c r="F462" s="51"/>
      <c r="G462" s="51" t="str">
        <f>IFERROR(__xludf.DUMMYFUNCTION("""COMPUTED_VALUE"""),"#VALUE!")</f>
        <v>#VALUE!</v>
      </c>
      <c r="H462" s="51" t="str">
        <f>IFERROR(__xludf.DUMMYFUNCTION("""COMPUTED_VALUE"""),"")</f>
        <v/>
      </c>
      <c r="I462" s="51" t="str">
        <f>IFERROR(__xludf.DUMMYFUNCTION("""COMPUTED_VALUE"""),"#VALUE!")</f>
        <v>#VALUE!</v>
      </c>
      <c r="J462" s="51" t="str">
        <f>IFERROR(__xludf.DUMMYFUNCTION("""COMPUTED_VALUE"""),"")</f>
        <v/>
      </c>
      <c r="K462" s="51"/>
      <c r="L462" s="51" t="s">
        <v>257</v>
      </c>
      <c r="M462" s="51"/>
      <c r="N462" s="51"/>
      <c r="O462" s="51"/>
      <c r="P462" s="51"/>
      <c r="Q462" s="51"/>
      <c r="R462" s="51"/>
      <c r="S462" s="51"/>
      <c r="T462" s="51"/>
    </row>
    <row r="463">
      <c r="A463" s="51"/>
      <c r="B463" s="51"/>
      <c r="C463" s="56"/>
      <c r="D463" s="51"/>
      <c r="E463" s="51"/>
      <c r="F463" s="51"/>
      <c r="G463" s="51" t="str">
        <f>IFERROR(__xludf.DUMMYFUNCTION("""COMPUTED_VALUE"""),"#VALUE!")</f>
        <v>#VALUE!</v>
      </c>
      <c r="H463" s="51" t="str">
        <f>IFERROR(__xludf.DUMMYFUNCTION("""COMPUTED_VALUE"""),"")</f>
        <v/>
      </c>
      <c r="I463" s="51" t="str">
        <f>IFERROR(__xludf.DUMMYFUNCTION("""COMPUTED_VALUE"""),"#VALUE!")</f>
        <v>#VALUE!</v>
      </c>
      <c r="J463" s="51" t="str">
        <f>IFERROR(__xludf.DUMMYFUNCTION("""COMPUTED_VALUE"""),"")</f>
        <v/>
      </c>
      <c r="K463" s="51"/>
      <c r="L463" s="51" t="s">
        <v>257</v>
      </c>
      <c r="M463" s="51"/>
      <c r="N463" s="51"/>
      <c r="O463" s="51"/>
      <c r="P463" s="51"/>
      <c r="Q463" s="51"/>
      <c r="R463" s="51"/>
      <c r="S463" s="51"/>
      <c r="T463" s="51"/>
    </row>
    <row r="464">
      <c r="A464" s="51"/>
      <c r="B464" s="51"/>
      <c r="C464" s="56"/>
      <c r="D464" s="51"/>
      <c r="E464" s="51"/>
      <c r="F464" s="51"/>
      <c r="G464" s="51" t="str">
        <f>IFERROR(__xludf.DUMMYFUNCTION("""COMPUTED_VALUE"""),"#VALUE!")</f>
        <v>#VALUE!</v>
      </c>
      <c r="H464" s="51" t="str">
        <f>IFERROR(__xludf.DUMMYFUNCTION("""COMPUTED_VALUE"""),"")</f>
        <v/>
      </c>
      <c r="I464" s="51" t="str">
        <f>IFERROR(__xludf.DUMMYFUNCTION("""COMPUTED_VALUE"""),"#VALUE!")</f>
        <v>#VALUE!</v>
      </c>
      <c r="J464" s="51" t="str">
        <f>IFERROR(__xludf.DUMMYFUNCTION("""COMPUTED_VALUE"""),"")</f>
        <v/>
      </c>
      <c r="K464" s="51"/>
      <c r="L464" s="51" t="s">
        <v>257</v>
      </c>
      <c r="M464" s="51"/>
      <c r="N464" s="51"/>
      <c r="O464" s="51"/>
      <c r="P464" s="51"/>
      <c r="Q464" s="51"/>
      <c r="R464" s="51"/>
      <c r="S464" s="51"/>
      <c r="T464" s="51"/>
    </row>
    <row r="465">
      <c r="A465" s="51"/>
      <c r="B465" s="51"/>
      <c r="C465" s="56"/>
      <c r="D465" s="51"/>
      <c r="E465" s="51"/>
      <c r="F465" s="51"/>
      <c r="G465" s="51" t="str">
        <f>IFERROR(__xludf.DUMMYFUNCTION("""COMPUTED_VALUE"""),"#VALUE!")</f>
        <v>#VALUE!</v>
      </c>
      <c r="H465" s="51" t="str">
        <f>IFERROR(__xludf.DUMMYFUNCTION("""COMPUTED_VALUE"""),"")</f>
        <v/>
      </c>
      <c r="I465" s="51" t="str">
        <f>IFERROR(__xludf.DUMMYFUNCTION("""COMPUTED_VALUE"""),"#VALUE!")</f>
        <v>#VALUE!</v>
      </c>
      <c r="J465" s="51" t="str">
        <f>IFERROR(__xludf.DUMMYFUNCTION("""COMPUTED_VALUE"""),"")</f>
        <v/>
      </c>
      <c r="K465" s="51"/>
      <c r="L465" s="51" t="s">
        <v>257</v>
      </c>
      <c r="M465" s="51"/>
      <c r="N465" s="51"/>
      <c r="O465" s="51"/>
      <c r="P465" s="51"/>
      <c r="Q465" s="51"/>
      <c r="R465" s="51"/>
      <c r="S465" s="51"/>
      <c r="T465" s="51"/>
    </row>
    <row r="466">
      <c r="A466" s="51"/>
      <c r="B466" s="51"/>
      <c r="C466" s="56"/>
      <c r="D466" s="51"/>
      <c r="E466" s="51"/>
      <c r="F466" s="51"/>
      <c r="G466" s="51" t="str">
        <f>IFERROR(__xludf.DUMMYFUNCTION("""COMPUTED_VALUE"""),"#VALUE!")</f>
        <v>#VALUE!</v>
      </c>
      <c r="H466" s="51" t="str">
        <f>IFERROR(__xludf.DUMMYFUNCTION("""COMPUTED_VALUE"""),"")</f>
        <v/>
      </c>
      <c r="I466" s="51" t="str">
        <f>IFERROR(__xludf.DUMMYFUNCTION("""COMPUTED_VALUE"""),"#VALUE!")</f>
        <v>#VALUE!</v>
      </c>
      <c r="J466" s="51" t="str">
        <f>IFERROR(__xludf.DUMMYFUNCTION("""COMPUTED_VALUE"""),"")</f>
        <v/>
      </c>
      <c r="K466" s="51"/>
      <c r="L466" s="51" t="s">
        <v>257</v>
      </c>
      <c r="M466" s="51"/>
      <c r="N466" s="51"/>
      <c r="O466" s="51"/>
      <c r="P466" s="51"/>
      <c r="Q466" s="51"/>
      <c r="R466" s="51"/>
      <c r="S466" s="51"/>
      <c r="T466" s="51"/>
    </row>
    <row r="467">
      <c r="A467" s="51"/>
      <c r="B467" s="51"/>
      <c r="C467" s="56"/>
      <c r="D467" s="51"/>
      <c r="E467" s="51"/>
      <c r="F467" s="51"/>
      <c r="G467" s="51" t="str">
        <f>IFERROR(__xludf.DUMMYFUNCTION("""COMPUTED_VALUE"""),"#VALUE!")</f>
        <v>#VALUE!</v>
      </c>
      <c r="H467" s="51" t="str">
        <f>IFERROR(__xludf.DUMMYFUNCTION("""COMPUTED_VALUE"""),"")</f>
        <v/>
      </c>
      <c r="I467" s="51" t="str">
        <f>IFERROR(__xludf.DUMMYFUNCTION("""COMPUTED_VALUE"""),"#VALUE!")</f>
        <v>#VALUE!</v>
      </c>
      <c r="J467" s="51" t="str">
        <f>IFERROR(__xludf.DUMMYFUNCTION("""COMPUTED_VALUE"""),"")</f>
        <v/>
      </c>
      <c r="K467" s="51"/>
      <c r="L467" s="51" t="s">
        <v>257</v>
      </c>
      <c r="M467" s="51"/>
      <c r="N467" s="51"/>
      <c r="O467" s="51"/>
      <c r="P467" s="51"/>
      <c r="Q467" s="51"/>
      <c r="R467" s="51"/>
      <c r="S467" s="51"/>
      <c r="T467" s="51"/>
    </row>
    <row r="468">
      <c r="A468" s="51"/>
      <c r="B468" s="51"/>
      <c r="C468" s="56"/>
      <c r="D468" s="51"/>
      <c r="E468" s="51"/>
      <c r="F468" s="51"/>
      <c r="G468" s="51" t="str">
        <f>IFERROR(__xludf.DUMMYFUNCTION("""COMPUTED_VALUE"""),"#VALUE!")</f>
        <v>#VALUE!</v>
      </c>
      <c r="H468" s="51" t="str">
        <f>IFERROR(__xludf.DUMMYFUNCTION("""COMPUTED_VALUE"""),"")</f>
        <v/>
      </c>
      <c r="I468" s="51" t="str">
        <f>IFERROR(__xludf.DUMMYFUNCTION("""COMPUTED_VALUE"""),"#VALUE!")</f>
        <v>#VALUE!</v>
      </c>
      <c r="J468" s="51" t="str">
        <f>IFERROR(__xludf.DUMMYFUNCTION("""COMPUTED_VALUE"""),"")</f>
        <v/>
      </c>
      <c r="K468" s="51"/>
      <c r="L468" s="51" t="s">
        <v>257</v>
      </c>
      <c r="M468" s="51"/>
      <c r="N468" s="51"/>
      <c r="O468" s="51"/>
      <c r="P468" s="51"/>
      <c r="Q468" s="51"/>
      <c r="R468" s="51"/>
      <c r="S468" s="51"/>
      <c r="T468" s="51"/>
    </row>
    <row r="469">
      <c r="A469" s="51"/>
      <c r="B469" s="51"/>
      <c r="C469" s="56"/>
      <c r="D469" s="51"/>
      <c r="E469" s="51"/>
      <c r="F469" s="51"/>
      <c r="G469" s="51" t="str">
        <f>IFERROR(__xludf.DUMMYFUNCTION("""COMPUTED_VALUE"""),"#VALUE!")</f>
        <v>#VALUE!</v>
      </c>
      <c r="H469" s="51" t="str">
        <f>IFERROR(__xludf.DUMMYFUNCTION("""COMPUTED_VALUE"""),"")</f>
        <v/>
      </c>
      <c r="I469" s="51" t="str">
        <f>IFERROR(__xludf.DUMMYFUNCTION("""COMPUTED_VALUE"""),"#VALUE!")</f>
        <v>#VALUE!</v>
      </c>
      <c r="J469" s="51" t="str">
        <f>IFERROR(__xludf.DUMMYFUNCTION("""COMPUTED_VALUE"""),"")</f>
        <v/>
      </c>
      <c r="K469" s="51"/>
      <c r="L469" s="51" t="s">
        <v>257</v>
      </c>
      <c r="M469" s="51"/>
      <c r="N469" s="51"/>
      <c r="O469" s="51"/>
      <c r="P469" s="51"/>
      <c r="Q469" s="51"/>
      <c r="R469" s="51"/>
      <c r="S469" s="51"/>
      <c r="T469" s="51"/>
    </row>
    <row r="470">
      <c r="A470" s="51"/>
      <c r="B470" s="51"/>
      <c r="C470" s="56"/>
      <c r="D470" s="51"/>
      <c r="E470" s="51"/>
      <c r="F470" s="51"/>
      <c r="G470" s="51" t="str">
        <f>IFERROR(__xludf.DUMMYFUNCTION("""COMPUTED_VALUE"""),"#VALUE!")</f>
        <v>#VALUE!</v>
      </c>
      <c r="H470" s="51" t="str">
        <f>IFERROR(__xludf.DUMMYFUNCTION("""COMPUTED_VALUE"""),"")</f>
        <v/>
      </c>
      <c r="I470" s="51" t="str">
        <f>IFERROR(__xludf.DUMMYFUNCTION("""COMPUTED_VALUE"""),"#VALUE!")</f>
        <v>#VALUE!</v>
      </c>
      <c r="J470" s="51" t="str">
        <f>IFERROR(__xludf.DUMMYFUNCTION("""COMPUTED_VALUE"""),"")</f>
        <v/>
      </c>
      <c r="K470" s="51"/>
      <c r="L470" s="51" t="s">
        <v>257</v>
      </c>
      <c r="M470" s="51"/>
      <c r="N470" s="51"/>
      <c r="O470" s="51"/>
      <c r="P470" s="51"/>
      <c r="Q470" s="51"/>
      <c r="R470" s="51"/>
      <c r="S470" s="51"/>
      <c r="T470" s="51"/>
    </row>
    <row r="471">
      <c r="A471" s="51"/>
      <c r="B471" s="51"/>
      <c r="C471" s="56"/>
      <c r="D471" s="51"/>
      <c r="E471" s="51"/>
      <c r="F471" s="51"/>
      <c r="G471" s="51" t="str">
        <f>IFERROR(__xludf.DUMMYFUNCTION("""COMPUTED_VALUE"""),"#VALUE!")</f>
        <v>#VALUE!</v>
      </c>
      <c r="H471" s="51" t="str">
        <f>IFERROR(__xludf.DUMMYFUNCTION("""COMPUTED_VALUE"""),"")</f>
        <v/>
      </c>
      <c r="I471" s="51" t="str">
        <f>IFERROR(__xludf.DUMMYFUNCTION("""COMPUTED_VALUE"""),"#VALUE!")</f>
        <v>#VALUE!</v>
      </c>
      <c r="J471" s="51" t="str">
        <f>IFERROR(__xludf.DUMMYFUNCTION("""COMPUTED_VALUE"""),"")</f>
        <v/>
      </c>
      <c r="K471" s="51"/>
      <c r="L471" s="51" t="s">
        <v>257</v>
      </c>
      <c r="M471" s="51"/>
      <c r="N471" s="51"/>
      <c r="O471" s="51"/>
      <c r="P471" s="51"/>
      <c r="Q471" s="51"/>
      <c r="R471" s="51"/>
      <c r="S471" s="51"/>
      <c r="T471" s="51"/>
    </row>
    <row r="472">
      <c r="A472" s="51"/>
      <c r="B472" s="51"/>
      <c r="C472" s="56"/>
      <c r="D472" s="51"/>
      <c r="E472" s="51"/>
      <c r="F472" s="51"/>
      <c r="G472" s="51" t="str">
        <f>IFERROR(__xludf.DUMMYFUNCTION("""COMPUTED_VALUE"""),"#VALUE!")</f>
        <v>#VALUE!</v>
      </c>
      <c r="H472" s="51" t="str">
        <f>IFERROR(__xludf.DUMMYFUNCTION("""COMPUTED_VALUE"""),"")</f>
        <v/>
      </c>
      <c r="I472" s="51" t="str">
        <f>IFERROR(__xludf.DUMMYFUNCTION("""COMPUTED_VALUE"""),"#VALUE!")</f>
        <v>#VALUE!</v>
      </c>
      <c r="J472" s="51" t="str">
        <f>IFERROR(__xludf.DUMMYFUNCTION("""COMPUTED_VALUE"""),"")</f>
        <v/>
      </c>
      <c r="K472" s="51"/>
      <c r="L472" s="51" t="s">
        <v>257</v>
      </c>
      <c r="M472" s="51"/>
      <c r="N472" s="51"/>
      <c r="O472" s="51"/>
      <c r="P472" s="51"/>
      <c r="Q472" s="51"/>
      <c r="R472" s="51"/>
      <c r="S472" s="51"/>
      <c r="T472" s="51"/>
    </row>
    <row r="473">
      <c r="A473" s="51"/>
      <c r="B473" s="51"/>
      <c r="C473" s="56"/>
      <c r="D473" s="51"/>
      <c r="E473" s="51"/>
      <c r="F473" s="51"/>
      <c r="G473" s="51" t="str">
        <f>IFERROR(__xludf.DUMMYFUNCTION("""COMPUTED_VALUE"""),"#VALUE!")</f>
        <v>#VALUE!</v>
      </c>
      <c r="H473" s="51" t="str">
        <f>IFERROR(__xludf.DUMMYFUNCTION("""COMPUTED_VALUE"""),"")</f>
        <v/>
      </c>
      <c r="I473" s="51" t="str">
        <f>IFERROR(__xludf.DUMMYFUNCTION("""COMPUTED_VALUE"""),"#VALUE!")</f>
        <v>#VALUE!</v>
      </c>
      <c r="J473" s="51" t="str">
        <f>IFERROR(__xludf.DUMMYFUNCTION("""COMPUTED_VALUE"""),"")</f>
        <v/>
      </c>
      <c r="K473" s="51"/>
      <c r="L473" s="51" t="s">
        <v>257</v>
      </c>
      <c r="M473" s="51"/>
      <c r="N473" s="51"/>
      <c r="O473" s="51"/>
      <c r="P473" s="51"/>
      <c r="Q473" s="51"/>
      <c r="R473" s="51"/>
      <c r="S473" s="51"/>
      <c r="T473" s="51"/>
    </row>
    <row r="474">
      <c r="A474" s="51"/>
      <c r="B474" s="51"/>
      <c r="C474" s="56"/>
      <c r="D474" s="51"/>
      <c r="E474" s="51"/>
      <c r="F474" s="51"/>
      <c r="G474" s="51" t="str">
        <f>IFERROR(__xludf.DUMMYFUNCTION("""COMPUTED_VALUE"""),"#VALUE!")</f>
        <v>#VALUE!</v>
      </c>
      <c r="H474" s="51" t="str">
        <f>IFERROR(__xludf.DUMMYFUNCTION("""COMPUTED_VALUE"""),"")</f>
        <v/>
      </c>
      <c r="I474" s="51" t="str">
        <f>IFERROR(__xludf.DUMMYFUNCTION("""COMPUTED_VALUE"""),"#VALUE!")</f>
        <v>#VALUE!</v>
      </c>
      <c r="J474" s="51" t="str">
        <f>IFERROR(__xludf.DUMMYFUNCTION("""COMPUTED_VALUE"""),"")</f>
        <v/>
      </c>
      <c r="K474" s="51"/>
      <c r="L474" s="51" t="s">
        <v>257</v>
      </c>
      <c r="M474" s="51"/>
      <c r="N474" s="51"/>
      <c r="O474" s="51"/>
      <c r="P474" s="51"/>
      <c r="Q474" s="51"/>
      <c r="R474" s="51"/>
      <c r="S474" s="51"/>
      <c r="T474" s="51"/>
    </row>
    <row r="475">
      <c r="A475" s="51"/>
      <c r="B475" s="51"/>
      <c r="C475" s="56"/>
      <c r="D475" s="51"/>
      <c r="E475" s="51"/>
      <c r="F475" s="51"/>
      <c r="G475" s="51" t="str">
        <f>IFERROR(__xludf.DUMMYFUNCTION("""COMPUTED_VALUE"""),"#VALUE!")</f>
        <v>#VALUE!</v>
      </c>
      <c r="H475" s="51" t="str">
        <f>IFERROR(__xludf.DUMMYFUNCTION("""COMPUTED_VALUE"""),"")</f>
        <v/>
      </c>
      <c r="I475" s="51" t="str">
        <f>IFERROR(__xludf.DUMMYFUNCTION("""COMPUTED_VALUE"""),"#VALUE!")</f>
        <v>#VALUE!</v>
      </c>
      <c r="J475" s="51" t="str">
        <f>IFERROR(__xludf.DUMMYFUNCTION("""COMPUTED_VALUE"""),"")</f>
        <v/>
      </c>
      <c r="K475" s="51"/>
      <c r="L475" s="51" t="s">
        <v>257</v>
      </c>
      <c r="M475" s="51"/>
      <c r="N475" s="51"/>
      <c r="O475" s="51"/>
      <c r="P475" s="51"/>
      <c r="Q475" s="51"/>
      <c r="R475" s="51"/>
      <c r="S475" s="51"/>
      <c r="T475" s="51"/>
    </row>
    <row r="476">
      <c r="A476" s="51"/>
      <c r="B476" s="51"/>
      <c r="C476" s="56"/>
      <c r="D476" s="51"/>
      <c r="E476" s="51"/>
      <c r="F476" s="51"/>
      <c r="G476" s="51" t="str">
        <f>IFERROR(__xludf.DUMMYFUNCTION("""COMPUTED_VALUE"""),"#VALUE!")</f>
        <v>#VALUE!</v>
      </c>
      <c r="H476" s="51" t="str">
        <f>IFERROR(__xludf.DUMMYFUNCTION("""COMPUTED_VALUE"""),"")</f>
        <v/>
      </c>
      <c r="I476" s="51" t="str">
        <f>IFERROR(__xludf.DUMMYFUNCTION("""COMPUTED_VALUE"""),"#VALUE!")</f>
        <v>#VALUE!</v>
      </c>
      <c r="J476" s="51" t="str">
        <f>IFERROR(__xludf.DUMMYFUNCTION("""COMPUTED_VALUE"""),"")</f>
        <v/>
      </c>
      <c r="K476" s="51"/>
      <c r="L476" s="51" t="s">
        <v>257</v>
      </c>
      <c r="M476" s="51"/>
      <c r="N476" s="51"/>
      <c r="O476" s="51"/>
      <c r="P476" s="51"/>
      <c r="Q476" s="51"/>
      <c r="R476" s="51"/>
      <c r="S476" s="51"/>
      <c r="T476" s="51"/>
    </row>
    <row r="477">
      <c r="A477" s="51"/>
      <c r="B477" s="51"/>
      <c r="C477" s="56"/>
      <c r="D477" s="51"/>
      <c r="E477" s="51"/>
      <c r="F477" s="51"/>
      <c r="G477" s="51" t="str">
        <f>IFERROR(__xludf.DUMMYFUNCTION("""COMPUTED_VALUE"""),"#VALUE!")</f>
        <v>#VALUE!</v>
      </c>
      <c r="H477" s="51" t="str">
        <f>IFERROR(__xludf.DUMMYFUNCTION("""COMPUTED_VALUE"""),"")</f>
        <v/>
      </c>
      <c r="I477" s="51" t="str">
        <f>IFERROR(__xludf.DUMMYFUNCTION("""COMPUTED_VALUE"""),"#VALUE!")</f>
        <v>#VALUE!</v>
      </c>
      <c r="J477" s="51" t="str">
        <f>IFERROR(__xludf.DUMMYFUNCTION("""COMPUTED_VALUE"""),"")</f>
        <v/>
      </c>
      <c r="K477" s="51"/>
      <c r="L477" s="51" t="s">
        <v>257</v>
      </c>
      <c r="M477" s="51"/>
      <c r="N477" s="51"/>
      <c r="O477" s="51"/>
      <c r="P477" s="51"/>
      <c r="Q477" s="51"/>
      <c r="R477" s="51"/>
      <c r="S477" s="51"/>
      <c r="T477" s="51"/>
    </row>
    <row r="478">
      <c r="A478" s="51"/>
      <c r="B478" s="51"/>
      <c r="C478" s="56"/>
      <c r="D478" s="51"/>
      <c r="E478" s="51"/>
      <c r="F478" s="51"/>
      <c r="G478" s="51" t="str">
        <f>IFERROR(__xludf.DUMMYFUNCTION("""COMPUTED_VALUE"""),"#VALUE!")</f>
        <v>#VALUE!</v>
      </c>
      <c r="H478" s="51" t="str">
        <f>IFERROR(__xludf.DUMMYFUNCTION("""COMPUTED_VALUE"""),"")</f>
        <v/>
      </c>
      <c r="I478" s="51" t="str">
        <f>IFERROR(__xludf.DUMMYFUNCTION("""COMPUTED_VALUE"""),"#VALUE!")</f>
        <v>#VALUE!</v>
      </c>
      <c r="J478" s="51" t="str">
        <f>IFERROR(__xludf.DUMMYFUNCTION("""COMPUTED_VALUE"""),"")</f>
        <v/>
      </c>
      <c r="K478" s="51"/>
      <c r="L478" s="51" t="s">
        <v>257</v>
      </c>
      <c r="M478" s="51"/>
      <c r="N478" s="51"/>
      <c r="O478" s="51"/>
      <c r="P478" s="51"/>
      <c r="Q478" s="51"/>
      <c r="R478" s="51"/>
      <c r="S478" s="51"/>
      <c r="T478" s="51"/>
    </row>
    <row r="479">
      <c r="A479" s="51"/>
      <c r="B479" s="51"/>
      <c r="C479" s="56"/>
      <c r="D479" s="51"/>
      <c r="E479" s="51"/>
      <c r="F479" s="51"/>
      <c r="G479" s="51" t="str">
        <f>IFERROR(__xludf.DUMMYFUNCTION("""COMPUTED_VALUE"""),"#VALUE!")</f>
        <v>#VALUE!</v>
      </c>
      <c r="H479" s="51" t="str">
        <f>IFERROR(__xludf.DUMMYFUNCTION("""COMPUTED_VALUE"""),"")</f>
        <v/>
      </c>
      <c r="I479" s="51" t="str">
        <f>IFERROR(__xludf.DUMMYFUNCTION("""COMPUTED_VALUE"""),"#VALUE!")</f>
        <v>#VALUE!</v>
      </c>
      <c r="J479" s="51" t="str">
        <f>IFERROR(__xludf.DUMMYFUNCTION("""COMPUTED_VALUE"""),"")</f>
        <v/>
      </c>
      <c r="K479" s="51"/>
      <c r="L479" s="51" t="s">
        <v>257</v>
      </c>
      <c r="M479" s="51"/>
      <c r="N479" s="51"/>
      <c r="O479" s="51"/>
      <c r="P479" s="51"/>
      <c r="Q479" s="51"/>
      <c r="R479" s="51"/>
      <c r="S479" s="51"/>
      <c r="T479" s="51"/>
    </row>
    <row r="480">
      <c r="A480" s="51"/>
      <c r="B480" s="51"/>
      <c r="C480" s="56"/>
      <c r="D480" s="51"/>
      <c r="E480" s="51"/>
      <c r="F480" s="51"/>
      <c r="G480" s="51" t="str">
        <f>IFERROR(__xludf.DUMMYFUNCTION("""COMPUTED_VALUE"""),"#VALUE!")</f>
        <v>#VALUE!</v>
      </c>
      <c r="H480" s="51" t="str">
        <f>IFERROR(__xludf.DUMMYFUNCTION("""COMPUTED_VALUE"""),"")</f>
        <v/>
      </c>
      <c r="I480" s="51" t="str">
        <f>IFERROR(__xludf.DUMMYFUNCTION("""COMPUTED_VALUE"""),"#VALUE!")</f>
        <v>#VALUE!</v>
      </c>
      <c r="J480" s="51" t="str">
        <f>IFERROR(__xludf.DUMMYFUNCTION("""COMPUTED_VALUE"""),"")</f>
        <v/>
      </c>
      <c r="K480" s="51"/>
      <c r="L480" s="51" t="s">
        <v>257</v>
      </c>
      <c r="M480" s="51"/>
      <c r="N480" s="51"/>
      <c r="O480" s="51"/>
      <c r="P480" s="51"/>
      <c r="Q480" s="51"/>
      <c r="R480" s="51"/>
      <c r="S480" s="51"/>
      <c r="T480" s="51"/>
    </row>
    <row r="481">
      <c r="A481" s="51"/>
      <c r="B481" s="51"/>
      <c r="C481" s="56"/>
      <c r="D481" s="51"/>
      <c r="E481" s="51"/>
      <c r="F481" s="51"/>
      <c r="G481" s="51" t="str">
        <f>IFERROR(__xludf.DUMMYFUNCTION("""COMPUTED_VALUE"""),"#VALUE!")</f>
        <v>#VALUE!</v>
      </c>
      <c r="H481" s="51" t="str">
        <f>IFERROR(__xludf.DUMMYFUNCTION("""COMPUTED_VALUE"""),"")</f>
        <v/>
      </c>
      <c r="I481" s="51" t="str">
        <f>IFERROR(__xludf.DUMMYFUNCTION("""COMPUTED_VALUE"""),"#VALUE!")</f>
        <v>#VALUE!</v>
      </c>
      <c r="J481" s="51" t="str">
        <f>IFERROR(__xludf.DUMMYFUNCTION("""COMPUTED_VALUE"""),"")</f>
        <v/>
      </c>
      <c r="K481" s="51"/>
      <c r="L481" s="51" t="s">
        <v>257</v>
      </c>
      <c r="M481" s="51"/>
      <c r="N481" s="51"/>
      <c r="O481" s="51"/>
      <c r="P481" s="51"/>
      <c r="Q481" s="51"/>
      <c r="R481" s="51"/>
      <c r="S481" s="51"/>
      <c r="T481" s="51"/>
    </row>
    <row r="482">
      <c r="A482" s="51"/>
      <c r="B482" s="51"/>
      <c r="C482" s="56"/>
      <c r="D482" s="51"/>
      <c r="E482" s="51"/>
      <c r="F482" s="51"/>
      <c r="G482" s="51" t="str">
        <f>IFERROR(__xludf.DUMMYFUNCTION("""COMPUTED_VALUE"""),"#VALUE!")</f>
        <v>#VALUE!</v>
      </c>
      <c r="H482" s="51" t="str">
        <f>IFERROR(__xludf.DUMMYFUNCTION("""COMPUTED_VALUE"""),"")</f>
        <v/>
      </c>
      <c r="I482" s="51" t="str">
        <f>IFERROR(__xludf.DUMMYFUNCTION("""COMPUTED_VALUE"""),"#VALUE!")</f>
        <v>#VALUE!</v>
      </c>
      <c r="J482" s="51" t="str">
        <f>IFERROR(__xludf.DUMMYFUNCTION("""COMPUTED_VALUE"""),"")</f>
        <v/>
      </c>
      <c r="K482" s="51"/>
      <c r="L482" s="51" t="s">
        <v>257</v>
      </c>
      <c r="M482" s="51"/>
      <c r="N482" s="51"/>
      <c r="O482" s="51"/>
      <c r="P482" s="51"/>
      <c r="Q482" s="51"/>
      <c r="R482" s="51"/>
      <c r="S482" s="51"/>
      <c r="T482" s="51"/>
    </row>
    <row r="483">
      <c r="A483" s="51"/>
      <c r="B483" s="51"/>
      <c r="C483" s="56"/>
      <c r="D483" s="51"/>
      <c r="E483" s="51"/>
      <c r="F483" s="51"/>
      <c r="G483" s="51" t="str">
        <f>IFERROR(__xludf.DUMMYFUNCTION("""COMPUTED_VALUE"""),"#VALUE!")</f>
        <v>#VALUE!</v>
      </c>
      <c r="H483" s="51" t="str">
        <f>IFERROR(__xludf.DUMMYFUNCTION("""COMPUTED_VALUE"""),"")</f>
        <v/>
      </c>
      <c r="I483" s="51" t="str">
        <f>IFERROR(__xludf.DUMMYFUNCTION("""COMPUTED_VALUE"""),"#VALUE!")</f>
        <v>#VALUE!</v>
      </c>
      <c r="J483" s="51" t="str">
        <f>IFERROR(__xludf.DUMMYFUNCTION("""COMPUTED_VALUE"""),"")</f>
        <v/>
      </c>
      <c r="K483" s="51"/>
      <c r="L483" s="51" t="s">
        <v>257</v>
      </c>
      <c r="M483" s="51"/>
      <c r="N483" s="51"/>
      <c r="O483" s="51"/>
      <c r="P483" s="51"/>
      <c r="Q483" s="51"/>
      <c r="R483" s="51"/>
      <c r="S483" s="51"/>
      <c r="T483" s="51"/>
    </row>
    <row r="484">
      <c r="A484" s="51"/>
      <c r="B484" s="51"/>
      <c r="C484" s="56"/>
      <c r="D484" s="51"/>
      <c r="E484" s="51"/>
      <c r="F484" s="51"/>
      <c r="G484" s="51" t="str">
        <f>IFERROR(__xludf.DUMMYFUNCTION("""COMPUTED_VALUE"""),"#VALUE!")</f>
        <v>#VALUE!</v>
      </c>
      <c r="H484" s="51" t="str">
        <f>IFERROR(__xludf.DUMMYFUNCTION("""COMPUTED_VALUE"""),"")</f>
        <v/>
      </c>
      <c r="I484" s="51" t="str">
        <f>IFERROR(__xludf.DUMMYFUNCTION("""COMPUTED_VALUE"""),"#VALUE!")</f>
        <v>#VALUE!</v>
      </c>
      <c r="J484" s="51" t="str">
        <f>IFERROR(__xludf.DUMMYFUNCTION("""COMPUTED_VALUE"""),"")</f>
        <v/>
      </c>
      <c r="K484" s="51"/>
      <c r="L484" s="51" t="s">
        <v>257</v>
      </c>
      <c r="M484" s="51"/>
      <c r="N484" s="51"/>
      <c r="O484" s="51"/>
      <c r="P484" s="51"/>
      <c r="Q484" s="51"/>
      <c r="R484" s="51"/>
      <c r="S484" s="51"/>
      <c r="T484" s="51"/>
    </row>
    <row r="485">
      <c r="A485" s="51"/>
      <c r="B485" s="51"/>
      <c r="C485" s="56"/>
      <c r="D485" s="51"/>
      <c r="E485" s="51"/>
      <c r="F485" s="51"/>
      <c r="G485" s="51" t="str">
        <f>IFERROR(__xludf.DUMMYFUNCTION("""COMPUTED_VALUE"""),"#VALUE!")</f>
        <v>#VALUE!</v>
      </c>
      <c r="H485" s="51" t="str">
        <f>IFERROR(__xludf.DUMMYFUNCTION("""COMPUTED_VALUE"""),"")</f>
        <v/>
      </c>
      <c r="I485" s="51" t="str">
        <f>IFERROR(__xludf.DUMMYFUNCTION("""COMPUTED_VALUE"""),"#VALUE!")</f>
        <v>#VALUE!</v>
      </c>
      <c r="J485" s="51" t="str">
        <f>IFERROR(__xludf.DUMMYFUNCTION("""COMPUTED_VALUE"""),"")</f>
        <v/>
      </c>
      <c r="K485" s="51"/>
      <c r="L485" s="51" t="s">
        <v>257</v>
      </c>
      <c r="M485" s="51"/>
      <c r="N485" s="51"/>
      <c r="O485" s="51"/>
      <c r="P485" s="51"/>
      <c r="Q485" s="51"/>
      <c r="R485" s="51"/>
      <c r="S485" s="51"/>
      <c r="T485" s="51"/>
    </row>
    <row r="486">
      <c r="A486" s="51"/>
      <c r="B486" s="51"/>
      <c r="C486" s="56"/>
      <c r="D486" s="51"/>
      <c r="E486" s="51"/>
      <c r="F486" s="51"/>
      <c r="G486" s="51" t="str">
        <f>IFERROR(__xludf.DUMMYFUNCTION("""COMPUTED_VALUE"""),"#VALUE!")</f>
        <v>#VALUE!</v>
      </c>
      <c r="H486" s="51" t="str">
        <f>IFERROR(__xludf.DUMMYFUNCTION("""COMPUTED_VALUE"""),"")</f>
        <v/>
      </c>
      <c r="I486" s="51" t="str">
        <f>IFERROR(__xludf.DUMMYFUNCTION("""COMPUTED_VALUE"""),"#VALUE!")</f>
        <v>#VALUE!</v>
      </c>
      <c r="J486" s="51" t="str">
        <f>IFERROR(__xludf.DUMMYFUNCTION("""COMPUTED_VALUE"""),"")</f>
        <v/>
      </c>
      <c r="K486" s="51"/>
      <c r="L486" s="51" t="s">
        <v>257</v>
      </c>
      <c r="M486" s="51"/>
      <c r="N486" s="51"/>
      <c r="O486" s="51"/>
      <c r="P486" s="51"/>
      <c r="Q486" s="51"/>
      <c r="R486" s="51"/>
      <c r="S486" s="51"/>
      <c r="T486" s="51"/>
    </row>
    <row r="487">
      <c r="A487" s="51"/>
      <c r="B487" s="51"/>
      <c r="C487" s="56"/>
      <c r="D487" s="51"/>
      <c r="E487" s="51"/>
      <c r="F487" s="51"/>
      <c r="G487" s="51" t="str">
        <f>IFERROR(__xludf.DUMMYFUNCTION("""COMPUTED_VALUE"""),"#VALUE!")</f>
        <v>#VALUE!</v>
      </c>
      <c r="H487" s="51" t="str">
        <f>IFERROR(__xludf.DUMMYFUNCTION("""COMPUTED_VALUE"""),"")</f>
        <v/>
      </c>
      <c r="I487" s="51" t="str">
        <f>IFERROR(__xludf.DUMMYFUNCTION("""COMPUTED_VALUE"""),"#VALUE!")</f>
        <v>#VALUE!</v>
      </c>
      <c r="J487" s="51" t="str">
        <f>IFERROR(__xludf.DUMMYFUNCTION("""COMPUTED_VALUE"""),"")</f>
        <v/>
      </c>
      <c r="K487" s="51"/>
      <c r="L487" s="51" t="s">
        <v>257</v>
      </c>
      <c r="M487" s="51"/>
      <c r="N487" s="51"/>
      <c r="O487" s="51"/>
      <c r="P487" s="51"/>
      <c r="Q487" s="51"/>
      <c r="R487" s="51"/>
      <c r="S487" s="51"/>
      <c r="T487" s="51"/>
    </row>
    <row r="488">
      <c r="A488" s="51"/>
      <c r="B488" s="51"/>
      <c r="C488" s="56"/>
      <c r="D488" s="51"/>
      <c r="E488" s="51"/>
      <c r="F488" s="51"/>
      <c r="G488" s="51" t="str">
        <f>IFERROR(__xludf.DUMMYFUNCTION("""COMPUTED_VALUE"""),"#VALUE!")</f>
        <v>#VALUE!</v>
      </c>
      <c r="H488" s="51" t="str">
        <f>IFERROR(__xludf.DUMMYFUNCTION("""COMPUTED_VALUE"""),"")</f>
        <v/>
      </c>
      <c r="I488" s="51" t="str">
        <f>IFERROR(__xludf.DUMMYFUNCTION("""COMPUTED_VALUE"""),"#VALUE!")</f>
        <v>#VALUE!</v>
      </c>
      <c r="J488" s="51" t="str">
        <f>IFERROR(__xludf.DUMMYFUNCTION("""COMPUTED_VALUE"""),"")</f>
        <v/>
      </c>
      <c r="K488" s="51"/>
      <c r="L488" s="51" t="s">
        <v>257</v>
      </c>
      <c r="M488" s="51"/>
      <c r="N488" s="51"/>
      <c r="O488" s="51"/>
      <c r="P488" s="51"/>
      <c r="Q488" s="51"/>
      <c r="R488" s="51"/>
      <c r="S488" s="51"/>
      <c r="T488" s="51"/>
    </row>
    <row r="489">
      <c r="A489" s="51"/>
      <c r="B489" s="51"/>
      <c r="C489" s="56"/>
      <c r="D489" s="51"/>
      <c r="E489" s="51"/>
      <c r="F489" s="51"/>
      <c r="G489" s="51" t="str">
        <f>IFERROR(__xludf.DUMMYFUNCTION("""COMPUTED_VALUE"""),"#VALUE!")</f>
        <v>#VALUE!</v>
      </c>
      <c r="H489" s="51" t="str">
        <f>IFERROR(__xludf.DUMMYFUNCTION("""COMPUTED_VALUE"""),"")</f>
        <v/>
      </c>
      <c r="I489" s="51" t="str">
        <f>IFERROR(__xludf.DUMMYFUNCTION("""COMPUTED_VALUE"""),"#VALUE!")</f>
        <v>#VALUE!</v>
      </c>
      <c r="J489" s="51" t="str">
        <f>IFERROR(__xludf.DUMMYFUNCTION("""COMPUTED_VALUE"""),"")</f>
        <v/>
      </c>
      <c r="K489" s="51"/>
      <c r="L489" s="51" t="s">
        <v>257</v>
      </c>
      <c r="M489" s="51"/>
      <c r="N489" s="51"/>
      <c r="O489" s="51"/>
      <c r="P489" s="51"/>
      <c r="Q489" s="51"/>
      <c r="R489" s="51"/>
      <c r="S489" s="51"/>
      <c r="T489" s="51"/>
    </row>
    <row r="490">
      <c r="A490" s="51"/>
      <c r="B490" s="51"/>
      <c r="C490" s="56"/>
      <c r="D490" s="51"/>
      <c r="E490" s="51"/>
      <c r="F490" s="51"/>
      <c r="G490" s="51" t="str">
        <f>IFERROR(__xludf.DUMMYFUNCTION("""COMPUTED_VALUE"""),"#VALUE!")</f>
        <v>#VALUE!</v>
      </c>
      <c r="H490" s="51" t="str">
        <f>IFERROR(__xludf.DUMMYFUNCTION("""COMPUTED_VALUE"""),"")</f>
        <v/>
      </c>
      <c r="I490" s="51" t="str">
        <f>IFERROR(__xludf.DUMMYFUNCTION("""COMPUTED_VALUE"""),"#VALUE!")</f>
        <v>#VALUE!</v>
      </c>
      <c r="J490" s="51" t="str">
        <f>IFERROR(__xludf.DUMMYFUNCTION("""COMPUTED_VALUE"""),"")</f>
        <v/>
      </c>
      <c r="K490" s="51"/>
      <c r="L490" s="51" t="s">
        <v>257</v>
      </c>
      <c r="M490" s="51"/>
      <c r="N490" s="51"/>
      <c r="O490" s="51"/>
      <c r="P490" s="51"/>
      <c r="Q490" s="51"/>
      <c r="R490" s="51"/>
      <c r="S490" s="51"/>
      <c r="T490" s="51"/>
    </row>
    <row r="491">
      <c r="A491" s="51"/>
      <c r="B491" s="51"/>
      <c r="C491" s="56"/>
      <c r="D491" s="51"/>
      <c r="E491" s="51"/>
      <c r="F491" s="51"/>
      <c r="G491" s="51" t="str">
        <f>IFERROR(__xludf.DUMMYFUNCTION("""COMPUTED_VALUE"""),"#VALUE!")</f>
        <v>#VALUE!</v>
      </c>
      <c r="H491" s="51" t="str">
        <f>IFERROR(__xludf.DUMMYFUNCTION("""COMPUTED_VALUE"""),"")</f>
        <v/>
      </c>
      <c r="I491" s="51" t="str">
        <f>IFERROR(__xludf.DUMMYFUNCTION("""COMPUTED_VALUE"""),"#VALUE!")</f>
        <v>#VALUE!</v>
      </c>
      <c r="J491" s="51" t="str">
        <f>IFERROR(__xludf.DUMMYFUNCTION("""COMPUTED_VALUE"""),"")</f>
        <v/>
      </c>
      <c r="K491" s="51"/>
      <c r="L491" s="51" t="s">
        <v>257</v>
      </c>
      <c r="M491" s="51"/>
      <c r="N491" s="51"/>
      <c r="O491" s="51"/>
      <c r="P491" s="51"/>
      <c r="Q491" s="51"/>
      <c r="R491" s="51"/>
      <c r="S491" s="51"/>
      <c r="T491" s="51"/>
    </row>
    <row r="492">
      <c r="A492" s="51"/>
      <c r="B492" s="51"/>
      <c r="C492" s="56"/>
      <c r="D492" s="51"/>
      <c r="E492" s="51"/>
      <c r="F492" s="51"/>
      <c r="G492" s="51" t="str">
        <f>IFERROR(__xludf.DUMMYFUNCTION("""COMPUTED_VALUE"""),"#VALUE!")</f>
        <v>#VALUE!</v>
      </c>
      <c r="H492" s="51" t="str">
        <f>IFERROR(__xludf.DUMMYFUNCTION("""COMPUTED_VALUE"""),"")</f>
        <v/>
      </c>
      <c r="I492" s="51" t="str">
        <f>IFERROR(__xludf.DUMMYFUNCTION("""COMPUTED_VALUE"""),"#VALUE!")</f>
        <v>#VALUE!</v>
      </c>
      <c r="J492" s="51" t="str">
        <f>IFERROR(__xludf.DUMMYFUNCTION("""COMPUTED_VALUE"""),"")</f>
        <v/>
      </c>
      <c r="K492" s="51"/>
      <c r="L492" s="51" t="s">
        <v>257</v>
      </c>
      <c r="M492" s="51"/>
      <c r="N492" s="51"/>
      <c r="O492" s="51"/>
      <c r="P492" s="51"/>
      <c r="Q492" s="51"/>
      <c r="R492" s="51"/>
      <c r="S492" s="51"/>
      <c r="T492" s="51"/>
    </row>
    <row r="493">
      <c r="A493" s="51"/>
      <c r="B493" s="51"/>
      <c r="C493" s="56"/>
      <c r="D493" s="51"/>
      <c r="E493" s="51"/>
      <c r="F493" s="51"/>
      <c r="G493" s="51" t="str">
        <f>IFERROR(__xludf.DUMMYFUNCTION("""COMPUTED_VALUE"""),"#VALUE!")</f>
        <v>#VALUE!</v>
      </c>
      <c r="H493" s="51" t="str">
        <f>IFERROR(__xludf.DUMMYFUNCTION("""COMPUTED_VALUE"""),"")</f>
        <v/>
      </c>
      <c r="I493" s="51" t="str">
        <f>IFERROR(__xludf.DUMMYFUNCTION("""COMPUTED_VALUE"""),"#VALUE!")</f>
        <v>#VALUE!</v>
      </c>
      <c r="J493" s="51" t="str">
        <f>IFERROR(__xludf.DUMMYFUNCTION("""COMPUTED_VALUE"""),"")</f>
        <v/>
      </c>
      <c r="K493" s="51"/>
      <c r="L493" s="51" t="s">
        <v>257</v>
      </c>
      <c r="M493" s="51"/>
      <c r="N493" s="51"/>
      <c r="O493" s="51"/>
      <c r="P493" s="51"/>
      <c r="Q493" s="51"/>
      <c r="R493" s="51"/>
      <c r="S493" s="51"/>
      <c r="T493" s="51"/>
    </row>
    <row r="494">
      <c r="A494" s="51"/>
      <c r="B494" s="51"/>
      <c r="C494" s="56"/>
      <c r="D494" s="51"/>
      <c r="E494" s="51"/>
      <c r="F494" s="51"/>
      <c r="G494" s="51" t="str">
        <f>IFERROR(__xludf.DUMMYFUNCTION("""COMPUTED_VALUE"""),"#VALUE!")</f>
        <v>#VALUE!</v>
      </c>
      <c r="H494" s="51" t="str">
        <f>IFERROR(__xludf.DUMMYFUNCTION("""COMPUTED_VALUE"""),"")</f>
        <v/>
      </c>
      <c r="I494" s="51" t="str">
        <f>IFERROR(__xludf.DUMMYFUNCTION("""COMPUTED_VALUE"""),"#VALUE!")</f>
        <v>#VALUE!</v>
      </c>
      <c r="J494" s="51" t="str">
        <f>IFERROR(__xludf.DUMMYFUNCTION("""COMPUTED_VALUE"""),"")</f>
        <v/>
      </c>
      <c r="K494" s="51"/>
      <c r="L494" s="51" t="s">
        <v>257</v>
      </c>
      <c r="M494" s="51"/>
      <c r="N494" s="51"/>
      <c r="O494" s="51"/>
      <c r="P494" s="51"/>
      <c r="Q494" s="51"/>
      <c r="R494" s="51"/>
      <c r="S494" s="51"/>
      <c r="T494" s="51"/>
    </row>
    <row r="495">
      <c r="A495" s="51"/>
      <c r="B495" s="51"/>
      <c r="C495" s="56"/>
      <c r="D495" s="51"/>
      <c r="E495" s="51"/>
      <c r="F495" s="51"/>
      <c r="G495" s="51" t="str">
        <f>IFERROR(__xludf.DUMMYFUNCTION("""COMPUTED_VALUE"""),"#VALUE!")</f>
        <v>#VALUE!</v>
      </c>
      <c r="H495" s="51" t="str">
        <f>IFERROR(__xludf.DUMMYFUNCTION("""COMPUTED_VALUE"""),"")</f>
        <v/>
      </c>
      <c r="I495" s="51" t="str">
        <f>IFERROR(__xludf.DUMMYFUNCTION("""COMPUTED_VALUE"""),"#VALUE!")</f>
        <v>#VALUE!</v>
      </c>
      <c r="J495" s="51" t="str">
        <f>IFERROR(__xludf.DUMMYFUNCTION("""COMPUTED_VALUE"""),"")</f>
        <v/>
      </c>
      <c r="K495" s="51"/>
      <c r="L495" s="51" t="s">
        <v>257</v>
      </c>
      <c r="M495" s="51"/>
      <c r="N495" s="51"/>
      <c r="O495" s="51"/>
      <c r="P495" s="51"/>
      <c r="Q495" s="51"/>
      <c r="R495" s="51"/>
      <c r="S495" s="51"/>
      <c r="T495" s="51"/>
    </row>
    <row r="496">
      <c r="A496" s="51"/>
      <c r="B496" s="51"/>
      <c r="C496" s="56"/>
      <c r="D496" s="51"/>
      <c r="E496" s="51"/>
      <c r="F496" s="51"/>
      <c r="G496" s="51" t="str">
        <f>IFERROR(__xludf.DUMMYFUNCTION("""COMPUTED_VALUE"""),"#VALUE!")</f>
        <v>#VALUE!</v>
      </c>
      <c r="H496" s="51" t="str">
        <f>IFERROR(__xludf.DUMMYFUNCTION("""COMPUTED_VALUE"""),"")</f>
        <v/>
      </c>
      <c r="I496" s="51" t="str">
        <f>IFERROR(__xludf.DUMMYFUNCTION("""COMPUTED_VALUE"""),"#VALUE!")</f>
        <v>#VALUE!</v>
      </c>
      <c r="J496" s="51" t="str">
        <f>IFERROR(__xludf.DUMMYFUNCTION("""COMPUTED_VALUE"""),"")</f>
        <v/>
      </c>
      <c r="K496" s="51"/>
      <c r="L496" s="51" t="s">
        <v>257</v>
      </c>
      <c r="M496" s="51"/>
      <c r="N496" s="51"/>
      <c r="O496" s="51"/>
      <c r="P496" s="51"/>
      <c r="Q496" s="51"/>
      <c r="R496" s="51"/>
      <c r="S496" s="51"/>
      <c r="T496" s="51"/>
    </row>
    <row r="497">
      <c r="A497" s="51"/>
      <c r="B497" s="51"/>
      <c r="C497" s="56"/>
      <c r="D497" s="51"/>
      <c r="E497" s="51"/>
      <c r="F497" s="51"/>
      <c r="G497" s="51" t="str">
        <f>IFERROR(__xludf.DUMMYFUNCTION("""COMPUTED_VALUE"""),"#VALUE!")</f>
        <v>#VALUE!</v>
      </c>
      <c r="H497" s="51" t="str">
        <f>IFERROR(__xludf.DUMMYFUNCTION("""COMPUTED_VALUE"""),"")</f>
        <v/>
      </c>
      <c r="I497" s="51" t="str">
        <f>IFERROR(__xludf.DUMMYFUNCTION("""COMPUTED_VALUE"""),"#VALUE!")</f>
        <v>#VALUE!</v>
      </c>
      <c r="J497" s="51" t="str">
        <f>IFERROR(__xludf.DUMMYFUNCTION("""COMPUTED_VALUE"""),"")</f>
        <v/>
      </c>
      <c r="K497" s="51"/>
      <c r="L497" s="51" t="s">
        <v>257</v>
      </c>
      <c r="M497" s="51"/>
      <c r="N497" s="51"/>
      <c r="O497" s="51"/>
      <c r="P497" s="51"/>
      <c r="Q497" s="51"/>
      <c r="R497" s="51"/>
      <c r="S497" s="51"/>
      <c r="T497" s="51"/>
    </row>
    <row r="498">
      <c r="A498" s="51"/>
      <c r="B498" s="51"/>
      <c r="C498" s="56"/>
      <c r="D498" s="51"/>
      <c r="E498" s="51"/>
      <c r="F498" s="51"/>
      <c r="G498" s="51" t="str">
        <f>IFERROR(__xludf.DUMMYFUNCTION("""COMPUTED_VALUE"""),"#VALUE!")</f>
        <v>#VALUE!</v>
      </c>
      <c r="H498" s="51" t="str">
        <f>IFERROR(__xludf.DUMMYFUNCTION("""COMPUTED_VALUE"""),"")</f>
        <v/>
      </c>
      <c r="I498" s="51" t="str">
        <f>IFERROR(__xludf.DUMMYFUNCTION("""COMPUTED_VALUE"""),"#VALUE!")</f>
        <v>#VALUE!</v>
      </c>
      <c r="J498" s="51" t="str">
        <f>IFERROR(__xludf.DUMMYFUNCTION("""COMPUTED_VALUE"""),"")</f>
        <v/>
      </c>
      <c r="K498" s="51"/>
      <c r="L498" s="51" t="s">
        <v>257</v>
      </c>
      <c r="M498" s="51"/>
      <c r="N498" s="51"/>
      <c r="O498" s="51"/>
      <c r="P498" s="51"/>
      <c r="Q498" s="51"/>
      <c r="R498" s="51"/>
      <c r="S498" s="51"/>
      <c r="T498" s="51"/>
    </row>
    <row r="499">
      <c r="A499" s="51"/>
      <c r="B499" s="51"/>
      <c r="C499" s="56"/>
      <c r="D499" s="51"/>
      <c r="E499" s="51"/>
      <c r="F499" s="51"/>
      <c r="G499" s="51" t="str">
        <f>IFERROR(__xludf.DUMMYFUNCTION("""COMPUTED_VALUE"""),"#VALUE!")</f>
        <v>#VALUE!</v>
      </c>
      <c r="H499" s="51" t="str">
        <f>IFERROR(__xludf.DUMMYFUNCTION("""COMPUTED_VALUE"""),"")</f>
        <v/>
      </c>
      <c r="I499" s="51" t="str">
        <f>IFERROR(__xludf.DUMMYFUNCTION("""COMPUTED_VALUE"""),"#VALUE!")</f>
        <v>#VALUE!</v>
      </c>
      <c r="J499" s="51" t="str">
        <f>IFERROR(__xludf.DUMMYFUNCTION("""COMPUTED_VALUE"""),"")</f>
        <v/>
      </c>
      <c r="K499" s="51"/>
      <c r="L499" s="51" t="s">
        <v>257</v>
      </c>
      <c r="M499" s="51"/>
      <c r="N499" s="51"/>
      <c r="O499" s="51"/>
      <c r="P499" s="51"/>
      <c r="Q499" s="51"/>
      <c r="R499" s="51"/>
      <c r="S499" s="51"/>
      <c r="T499" s="51"/>
    </row>
    <row r="500">
      <c r="A500" s="51"/>
      <c r="B500" s="51"/>
      <c r="C500" s="56"/>
      <c r="D500" s="51"/>
      <c r="E500" s="51"/>
      <c r="F500" s="51"/>
      <c r="G500" s="51" t="str">
        <f>IFERROR(__xludf.DUMMYFUNCTION("""COMPUTED_VALUE"""),"#VALUE!")</f>
        <v>#VALUE!</v>
      </c>
      <c r="H500" s="51" t="str">
        <f>IFERROR(__xludf.DUMMYFUNCTION("""COMPUTED_VALUE"""),"")</f>
        <v/>
      </c>
      <c r="I500" s="51" t="str">
        <f>IFERROR(__xludf.DUMMYFUNCTION("""COMPUTED_VALUE"""),"#VALUE!")</f>
        <v>#VALUE!</v>
      </c>
      <c r="J500" s="51" t="str">
        <f>IFERROR(__xludf.DUMMYFUNCTION("""COMPUTED_VALUE"""),"")</f>
        <v/>
      </c>
      <c r="K500" s="51"/>
      <c r="L500" s="51" t="s">
        <v>257</v>
      </c>
      <c r="M500" s="51"/>
      <c r="N500" s="51"/>
      <c r="O500" s="51"/>
      <c r="P500" s="51"/>
      <c r="Q500" s="51"/>
      <c r="R500" s="51"/>
      <c r="S500" s="51"/>
      <c r="T500" s="51"/>
    </row>
    <row r="501">
      <c r="A501" s="51"/>
      <c r="B501" s="51"/>
      <c r="C501" s="56"/>
      <c r="D501" s="51"/>
      <c r="E501" s="51"/>
      <c r="F501" s="51"/>
      <c r="G501" s="51" t="str">
        <f>IFERROR(__xludf.DUMMYFUNCTION("""COMPUTED_VALUE"""),"#VALUE!")</f>
        <v>#VALUE!</v>
      </c>
      <c r="H501" s="51" t="str">
        <f>IFERROR(__xludf.DUMMYFUNCTION("""COMPUTED_VALUE"""),"")</f>
        <v/>
      </c>
      <c r="I501" s="51" t="str">
        <f>IFERROR(__xludf.DUMMYFUNCTION("""COMPUTED_VALUE"""),"#VALUE!")</f>
        <v>#VALUE!</v>
      </c>
      <c r="J501" s="51" t="str">
        <f>IFERROR(__xludf.DUMMYFUNCTION("""COMPUTED_VALUE"""),"")</f>
        <v/>
      </c>
      <c r="K501" s="51"/>
      <c r="L501" s="51" t="s">
        <v>257</v>
      </c>
      <c r="M501" s="51"/>
      <c r="N501" s="51"/>
      <c r="O501" s="51"/>
      <c r="P501" s="51"/>
      <c r="Q501" s="51"/>
      <c r="R501" s="51"/>
      <c r="S501" s="51"/>
      <c r="T501" s="51"/>
    </row>
    <row r="502">
      <c r="A502" s="51"/>
      <c r="B502" s="51"/>
      <c r="C502" s="56"/>
      <c r="D502" s="51"/>
      <c r="E502" s="51"/>
      <c r="F502" s="51"/>
      <c r="G502" s="51" t="str">
        <f>IFERROR(__xludf.DUMMYFUNCTION("""COMPUTED_VALUE"""),"#VALUE!")</f>
        <v>#VALUE!</v>
      </c>
      <c r="H502" s="51" t="str">
        <f>IFERROR(__xludf.DUMMYFUNCTION("""COMPUTED_VALUE"""),"")</f>
        <v/>
      </c>
      <c r="I502" s="51" t="str">
        <f>IFERROR(__xludf.DUMMYFUNCTION("""COMPUTED_VALUE"""),"#VALUE!")</f>
        <v>#VALUE!</v>
      </c>
      <c r="J502" s="51" t="str">
        <f>IFERROR(__xludf.DUMMYFUNCTION("""COMPUTED_VALUE"""),"")</f>
        <v/>
      </c>
      <c r="K502" s="51"/>
      <c r="L502" s="51" t="s">
        <v>257</v>
      </c>
      <c r="M502" s="51"/>
      <c r="N502" s="51"/>
      <c r="O502" s="51"/>
      <c r="P502" s="51"/>
      <c r="Q502" s="51"/>
      <c r="R502" s="51"/>
      <c r="S502" s="51"/>
      <c r="T502" s="51"/>
    </row>
    <row r="503">
      <c r="A503" s="51"/>
      <c r="B503" s="51"/>
      <c r="C503" s="56"/>
      <c r="D503" s="51"/>
      <c r="E503" s="51"/>
      <c r="F503" s="51"/>
      <c r="G503" s="51" t="str">
        <f>IFERROR(__xludf.DUMMYFUNCTION("""COMPUTED_VALUE"""),"#VALUE!")</f>
        <v>#VALUE!</v>
      </c>
      <c r="H503" s="51" t="str">
        <f>IFERROR(__xludf.DUMMYFUNCTION("""COMPUTED_VALUE"""),"")</f>
        <v/>
      </c>
      <c r="I503" s="51" t="str">
        <f>IFERROR(__xludf.DUMMYFUNCTION("""COMPUTED_VALUE"""),"#VALUE!")</f>
        <v>#VALUE!</v>
      </c>
      <c r="J503" s="51" t="str">
        <f>IFERROR(__xludf.DUMMYFUNCTION("""COMPUTED_VALUE"""),"")</f>
        <v/>
      </c>
      <c r="K503" s="51"/>
      <c r="L503" s="51" t="s">
        <v>257</v>
      </c>
      <c r="M503" s="51"/>
      <c r="N503" s="51"/>
      <c r="O503" s="51"/>
      <c r="P503" s="51"/>
      <c r="Q503" s="51"/>
      <c r="R503" s="51"/>
      <c r="S503" s="51"/>
      <c r="T503" s="51"/>
    </row>
    <row r="504">
      <c r="A504" s="51"/>
      <c r="B504" s="51"/>
      <c r="C504" s="56"/>
      <c r="D504" s="51"/>
      <c r="E504" s="51"/>
      <c r="F504" s="51"/>
      <c r="G504" s="51" t="str">
        <f>IFERROR(__xludf.DUMMYFUNCTION("""COMPUTED_VALUE"""),"#VALUE!")</f>
        <v>#VALUE!</v>
      </c>
      <c r="H504" s="51" t="str">
        <f>IFERROR(__xludf.DUMMYFUNCTION("""COMPUTED_VALUE"""),"")</f>
        <v/>
      </c>
      <c r="I504" s="51" t="str">
        <f>IFERROR(__xludf.DUMMYFUNCTION("""COMPUTED_VALUE"""),"#VALUE!")</f>
        <v>#VALUE!</v>
      </c>
      <c r="J504" s="51" t="str">
        <f>IFERROR(__xludf.DUMMYFUNCTION("""COMPUTED_VALUE"""),"")</f>
        <v/>
      </c>
      <c r="K504" s="51"/>
      <c r="L504" s="51" t="s">
        <v>257</v>
      </c>
      <c r="M504" s="51"/>
      <c r="N504" s="51"/>
      <c r="O504" s="51"/>
      <c r="P504" s="51"/>
      <c r="Q504" s="51"/>
      <c r="R504" s="51"/>
      <c r="S504" s="51"/>
      <c r="T504" s="51"/>
    </row>
    <row r="505">
      <c r="A505" s="51"/>
      <c r="B505" s="51"/>
      <c r="C505" s="56"/>
      <c r="D505" s="51"/>
      <c r="E505" s="51"/>
      <c r="F505" s="51"/>
      <c r="G505" s="51" t="str">
        <f>IFERROR(__xludf.DUMMYFUNCTION("""COMPUTED_VALUE"""),"#VALUE!")</f>
        <v>#VALUE!</v>
      </c>
      <c r="H505" s="51" t="str">
        <f>IFERROR(__xludf.DUMMYFUNCTION("""COMPUTED_VALUE"""),"")</f>
        <v/>
      </c>
      <c r="I505" s="51" t="str">
        <f>IFERROR(__xludf.DUMMYFUNCTION("""COMPUTED_VALUE"""),"#VALUE!")</f>
        <v>#VALUE!</v>
      </c>
      <c r="J505" s="51" t="str">
        <f>IFERROR(__xludf.DUMMYFUNCTION("""COMPUTED_VALUE"""),"")</f>
        <v/>
      </c>
      <c r="K505" s="51"/>
      <c r="L505" s="51" t="s">
        <v>257</v>
      </c>
      <c r="M505" s="51"/>
      <c r="N505" s="51"/>
      <c r="O505" s="51"/>
      <c r="P505" s="51"/>
      <c r="Q505" s="51"/>
      <c r="R505" s="51"/>
      <c r="S505" s="51"/>
      <c r="T505" s="51"/>
    </row>
    <row r="506">
      <c r="A506" s="51"/>
      <c r="B506" s="51"/>
      <c r="C506" s="56"/>
      <c r="D506" s="51"/>
      <c r="E506" s="51"/>
      <c r="F506" s="51"/>
      <c r="G506" s="51" t="str">
        <f>IFERROR(__xludf.DUMMYFUNCTION("""COMPUTED_VALUE"""),"#VALUE!")</f>
        <v>#VALUE!</v>
      </c>
      <c r="H506" s="51" t="str">
        <f>IFERROR(__xludf.DUMMYFUNCTION("""COMPUTED_VALUE"""),"")</f>
        <v/>
      </c>
      <c r="I506" s="51" t="str">
        <f>IFERROR(__xludf.DUMMYFUNCTION("""COMPUTED_VALUE"""),"#VALUE!")</f>
        <v>#VALUE!</v>
      </c>
      <c r="J506" s="51" t="str">
        <f>IFERROR(__xludf.DUMMYFUNCTION("""COMPUTED_VALUE"""),"")</f>
        <v/>
      </c>
      <c r="K506" s="51"/>
      <c r="L506" s="51" t="s">
        <v>257</v>
      </c>
      <c r="M506" s="51"/>
      <c r="N506" s="51"/>
      <c r="O506" s="51"/>
      <c r="P506" s="51"/>
      <c r="Q506" s="51"/>
      <c r="R506" s="51"/>
      <c r="S506" s="51"/>
      <c r="T506" s="51"/>
    </row>
    <row r="507">
      <c r="A507" s="51"/>
      <c r="B507" s="51"/>
      <c r="C507" s="56"/>
      <c r="D507" s="51"/>
      <c r="E507" s="51"/>
      <c r="F507" s="51"/>
      <c r="G507" s="51" t="str">
        <f>IFERROR(__xludf.DUMMYFUNCTION("""COMPUTED_VALUE"""),"#VALUE!")</f>
        <v>#VALUE!</v>
      </c>
      <c r="H507" s="51" t="str">
        <f>IFERROR(__xludf.DUMMYFUNCTION("""COMPUTED_VALUE"""),"")</f>
        <v/>
      </c>
      <c r="I507" s="51" t="str">
        <f>IFERROR(__xludf.DUMMYFUNCTION("""COMPUTED_VALUE"""),"#VALUE!")</f>
        <v>#VALUE!</v>
      </c>
      <c r="J507" s="51" t="str">
        <f>IFERROR(__xludf.DUMMYFUNCTION("""COMPUTED_VALUE"""),"")</f>
        <v/>
      </c>
      <c r="K507" s="51"/>
      <c r="L507" s="51" t="s">
        <v>257</v>
      </c>
      <c r="M507" s="51"/>
      <c r="N507" s="51"/>
      <c r="O507" s="51"/>
      <c r="P507" s="51"/>
      <c r="Q507" s="51"/>
      <c r="R507" s="51"/>
      <c r="S507" s="51"/>
      <c r="T507" s="51"/>
    </row>
    <row r="508">
      <c r="A508" s="51"/>
      <c r="B508" s="51"/>
      <c r="C508" s="56"/>
      <c r="D508" s="51"/>
      <c r="E508" s="51"/>
      <c r="F508" s="51"/>
      <c r="G508" s="51" t="str">
        <f>IFERROR(__xludf.DUMMYFUNCTION("""COMPUTED_VALUE"""),"#VALUE!")</f>
        <v>#VALUE!</v>
      </c>
      <c r="H508" s="51" t="str">
        <f>IFERROR(__xludf.DUMMYFUNCTION("""COMPUTED_VALUE"""),"")</f>
        <v/>
      </c>
      <c r="I508" s="51" t="str">
        <f>IFERROR(__xludf.DUMMYFUNCTION("""COMPUTED_VALUE"""),"#VALUE!")</f>
        <v>#VALUE!</v>
      </c>
      <c r="J508" s="51" t="str">
        <f>IFERROR(__xludf.DUMMYFUNCTION("""COMPUTED_VALUE"""),"")</f>
        <v/>
      </c>
      <c r="K508" s="51"/>
      <c r="L508" s="51" t="s">
        <v>257</v>
      </c>
      <c r="M508" s="51"/>
      <c r="N508" s="51"/>
      <c r="O508" s="51"/>
      <c r="P508" s="51"/>
      <c r="Q508" s="51"/>
      <c r="R508" s="51"/>
      <c r="S508" s="51"/>
      <c r="T508" s="51"/>
    </row>
    <row r="509">
      <c r="A509" s="51"/>
      <c r="B509" s="51"/>
      <c r="C509" s="56"/>
      <c r="D509" s="51"/>
      <c r="E509" s="51"/>
      <c r="F509" s="51"/>
      <c r="G509" s="51" t="str">
        <f>IFERROR(__xludf.DUMMYFUNCTION("""COMPUTED_VALUE"""),"#VALUE!")</f>
        <v>#VALUE!</v>
      </c>
      <c r="H509" s="51" t="str">
        <f>IFERROR(__xludf.DUMMYFUNCTION("""COMPUTED_VALUE"""),"")</f>
        <v/>
      </c>
      <c r="I509" s="51" t="str">
        <f>IFERROR(__xludf.DUMMYFUNCTION("""COMPUTED_VALUE"""),"#VALUE!")</f>
        <v>#VALUE!</v>
      </c>
      <c r="J509" s="51" t="str">
        <f>IFERROR(__xludf.DUMMYFUNCTION("""COMPUTED_VALUE"""),"")</f>
        <v/>
      </c>
      <c r="K509" s="51"/>
      <c r="L509" s="51" t="s">
        <v>257</v>
      </c>
      <c r="M509" s="51"/>
      <c r="N509" s="51"/>
      <c r="O509" s="51"/>
      <c r="P509" s="51"/>
      <c r="Q509" s="51"/>
      <c r="R509" s="51"/>
      <c r="S509" s="51"/>
      <c r="T509" s="51"/>
    </row>
    <row r="510">
      <c r="A510" s="51"/>
      <c r="B510" s="51"/>
      <c r="C510" s="56"/>
      <c r="D510" s="51"/>
      <c r="E510" s="51"/>
      <c r="F510" s="51"/>
      <c r="G510" s="51" t="str">
        <f>IFERROR(__xludf.DUMMYFUNCTION("""COMPUTED_VALUE"""),"#VALUE!")</f>
        <v>#VALUE!</v>
      </c>
      <c r="H510" s="51" t="str">
        <f>IFERROR(__xludf.DUMMYFUNCTION("""COMPUTED_VALUE"""),"")</f>
        <v/>
      </c>
      <c r="I510" s="51" t="str">
        <f>IFERROR(__xludf.DUMMYFUNCTION("""COMPUTED_VALUE"""),"#VALUE!")</f>
        <v>#VALUE!</v>
      </c>
      <c r="J510" s="51" t="str">
        <f>IFERROR(__xludf.DUMMYFUNCTION("""COMPUTED_VALUE"""),"")</f>
        <v/>
      </c>
      <c r="K510" s="51"/>
      <c r="L510" s="51" t="s">
        <v>257</v>
      </c>
      <c r="M510" s="51"/>
      <c r="N510" s="51"/>
      <c r="O510" s="51"/>
      <c r="P510" s="51"/>
      <c r="Q510" s="51"/>
      <c r="R510" s="51"/>
      <c r="S510" s="51"/>
      <c r="T510" s="51"/>
    </row>
    <row r="511">
      <c r="A511" s="51"/>
      <c r="B511" s="51"/>
      <c r="C511" s="56"/>
      <c r="D511" s="51"/>
      <c r="E511" s="51"/>
      <c r="F511" s="51"/>
      <c r="G511" s="51" t="str">
        <f>IFERROR(__xludf.DUMMYFUNCTION("""COMPUTED_VALUE"""),"#VALUE!")</f>
        <v>#VALUE!</v>
      </c>
      <c r="H511" s="51" t="str">
        <f>IFERROR(__xludf.DUMMYFUNCTION("""COMPUTED_VALUE"""),"")</f>
        <v/>
      </c>
      <c r="I511" s="51" t="str">
        <f>IFERROR(__xludf.DUMMYFUNCTION("""COMPUTED_VALUE"""),"#VALUE!")</f>
        <v>#VALUE!</v>
      </c>
      <c r="J511" s="51" t="str">
        <f>IFERROR(__xludf.DUMMYFUNCTION("""COMPUTED_VALUE"""),"")</f>
        <v/>
      </c>
      <c r="K511" s="51"/>
      <c r="L511" s="51" t="s">
        <v>257</v>
      </c>
      <c r="M511" s="51"/>
      <c r="N511" s="51"/>
      <c r="O511" s="51"/>
      <c r="P511" s="51"/>
      <c r="Q511" s="51"/>
      <c r="R511" s="51"/>
      <c r="S511" s="51"/>
      <c r="T511" s="51"/>
    </row>
    <row r="512">
      <c r="A512" s="51"/>
      <c r="B512" s="51"/>
      <c r="C512" s="56"/>
      <c r="D512" s="51"/>
      <c r="E512" s="51"/>
      <c r="F512" s="51"/>
      <c r="G512" s="51" t="str">
        <f>IFERROR(__xludf.DUMMYFUNCTION("""COMPUTED_VALUE"""),"#VALUE!")</f>
        <v>#VALUE!</v>
      </c>
      <c r="H512" s="51" t="str">
        <f>IFERROR(__xludf.DUMMYFUNCTION("""COMPUTED_VALUE"""),"")</f>
        <v/>
      </c>
      <c r="I512" s="51" t="str">
        <f>IFERROR(__xludf.DUMMYFUNCTION("""COMPUTED_VALUE"""),"#VALUE!")</f>
        <v>#VALUE!</v>
      </c>
      <c r="J512" s="51" t="str">
        <f>IFERROR(__xludf.DUMMYFUNCTION("""COMPUTED_VALUE"""),"")</f>
        <v/>
      </c>
      <c r="K512" s="51"/>
      <c r="L512" s="51" t="s">
        <v>257</v>
      </c>
      <c r="M512" s="51"/>
      <c r="N512" s="51"/>
      <c r="O512" s="51"/>
      <c r="P512" s="51"/>
      <c r="Q512" s="51"/>
      <c r="R512" s="51"/>
      <c r="S512" s="51"/>
      <c r="T512" s="51"/>
    </row>
    <row r="513">
      <c r="A513" s="51"/>
      <c r="B513" s="51"/>
      <c r="C513" s="56"/>
      <c r="D513" s="51"/>
      <c r="E513" s="51"/>
      <c r="F513" s="51"/>
      <c r="G513" s="51" t="str">
        <f>IFERROR(__xludf.DUMMYFUNCTION("""COMPUTED_VALUE"""),"#VALUE!")</f>
        <v>#VALUE!</v>
      </c>
      <c r="H513" s="51" t="str">
        <f>IFERROR(__xludf.DUMMYFUNCTION("""COMPUTED_VALUE"""),"")</f>
        <v/>
      </c>
      <c r="I513" s="51" t="str">
        <f>IFERROR(__xludf.DUMMYFUNCTION("""COMPUTED_VALUE"""),"#VALUE!")</f>
        <v>#VALUE!</v>
      </c>
      <c r="J513" s="51" t="str">
        <f>IFERROR(__xludf.DUMMYFUNCTION("""COMPUTED_VALUE"""),"")</f>
        <v/>
      </c>
      <c r="K513" s="51"/>
      <c r="L513" s="51" t="s">
        <v>257</v>
      </c>
      <c r="M513" s="51"/>
      <c r="N513" s="51"/>
      <c r="O513" s="51"/>
      <c r="P513" s="51"/>
      <c r="Q513" s="51"/>
      <c r="R513" s="51"/>
      <c r="S513" s="51"/>
      <c r="T513" s="51"/>
    </row>
    <row r="514">
      <c r="A514" s="51"/>
      <c r="B514" s="51"/>
      <c r="C514" s="56"/>
      <c r="D514" s="51"/>
      <c r="E514" s="51"/>
      <c r="F514" s="51"/>
      <c r="G514" s="51" t="str">
        <f>IFERROR(__xludf.DUMMYFUNCTION("""COMPUTED_VALUE"""),"#VALUE!")</f>
        <v>#VALUE!</v>
      </c>
      <c r="H514" s="51" t="str">
        <f>IFERROR(__xludf.DUMMYFUNCTION("""COMPUTED_VALUE"""),"")</f>
        <v/>
      </c>
      <c r="I514" s="51" t="str">
        <f>IFERROR(__xludf.DUMMYFUNCTION("""COMPUTED_VALUE"""),"#VALUE!")</f>
        <v>#VALUE!</v>
      </c>
      <c r="J514" s="51" t="str">
        <f>IFERROR(__xludf.DUMMYFUNCTION("""COMPUTED_VALUE"""),"")</f>
        <v/>
      </c>
      <c r="K514" s="51"/>
      <c r="L514" s="51" t="s">
        <v>257</v>
      </c>
      <c r="M514" s="51"/>
      <c r="N514" s="51"/>
      <c r="O514" s="51"/>
      <c r="P514" s="51"/>
      <c r="Q514" s="51"/>
      <c r="R514" s="51"/>
      <c r="S514" s="51"/>
      <c r="T514" s="51"/>
    </row>
    <row r="515">
      <c r="A515" s="51"/>
      <c r="B515" s="51"/>
      <c r="C515" s="56"/>
      <c r="D515" s="51"/>
      <c r="E515" s="51"/>
      <c r="F515" s="51"/>
      <c r="G515" s="51" t="str">
        <f>IFERROR(__xludf.DUMMYFUNCTION("""COMPUTED_VALUE"""),"#VALUE!")</f>
        <v>#VALUE!</v>
      </c>
      <c r="H515" s="51" t="str">
        <f>IFERROR(__xludf.DUMMYFUNCTION("""COMPUTED_VALUE"""),"")</f>
        <v/>
      </c>
      <c r="I515" s="51" t="str">
        <f>IFERROR(__xludf.DUMMYFUNCTION("""COMPUTED_VALUE"""),"#VALUE!")</f>
        <v>#VALUE!</v>
      </c>
      <c r="J515" s="51" t="str">
        <f>IFERROR(__xludf.DUMMYFUNCTION("""COMPUTED_VALUE"""),"")</f>
        <v/>
      </c>
      <c r="K515" s="51"/>
      <c r="L515" s="51" t="s">
        <v>257</v>
      </c>
      <c r="M515" s="51"/>
      <c r="N515" s="51"/>
      <c r="O515" s="51"/>
      <c r="P515" s="51"/>
      <c r="Q515" s="51"/>
      <c r="R515" s="51"/>
      <c r="S515" s="51"/>
      <c r="T515" s="51"/>
    </row>
    <row r="516">
      <c r="A516" s="51"/>
      <c r="B516" s="51"/>
      <c r="C516" s="56"/>
      <c r="D516" s="51"/>
      <c r="E516" s="51"/>
      <c r="F516" s="51"/>
      <c r="G516" s="51" t="str">
        <f>IFERROR(__xludf.DUMMYFUNCTION("""COMPUTED_VALUE"""),"#VALUE!")</f>
        <v>#VALUE!</v>
      </c>
      <c r="H516" s="51" t="str">
        <f>IFERROR(__xludf.DUMMYFUNCTION("""COMPUTED_VALUE"""),"")</f>
        <v/>
      </c>
      <c r="I516" s="51" t="str">
        <f>IFERROR(__xludf.DUMMYFUNCTION("""COMPUTED_VALUE"""),"#VALUE!")</f>
        <v>#VALUE!</v>
      </c>
      <c r="J516" s="51" t="str">
        <f>IFERROR(__xludf.DUMMYFUNCTION("""COMPUTED_VALUE"""),"")</f>
        <v/>
      </c>
      <c r="K516" s="51"/>
      <c r="L516" s="51" t="s">
        <v>257</v>
      </c>
      <c r="M516" s="51"/>
      <c r="N516" s="51"/>
      <c r="O516" s="51"/>
      <c r="P516" s="51"/>
      <c r="Q516" s="51"/>
      <c r="R516" s="51"/>
      <c r="S516" s="51"/>
      <c r="T516" s="51"/>
    </row>
    <row r="517">
      <c r="A517" s="51"/>
      <c r="B517" s="51"/>
      <c r="C517" s="56"/>
      <c r="D517" s="51"/>
      <c r="E517" s="51"/>
      <c r="F517" s="51"/>
      <c r="G517" s="51" t="str">
        <f>IFERROR(__xludf.DUMMYFUNCTION("""COMPUTED_VALUE"""),"#VALUE!")</f>
        <v>#VALUE!</v>
      </c>
      <c r="H517" s="51" t="str">
        <f>IFERROR(__xludf.DUMMYFUNCTION("""COMPUTED_VALUE"""),"")</f>
        <v/>
      </c>
      <c r="I517" s="51" t="str">
        <f>IFERROR(__xludf.DUMMYFUNCTION("""COMPUTED_VALUE"""),"#VALUE!")</f>
        <v>#VALUE!</v>
      </c>
      <c r="J517" s="51" t="str">
        <f>IFERROR(__xludf.DUMMYFUNCTION("""COMPUTED_VALUE"""),"")</f>
        <v/>
      </c>
      <c r="K517" s="51"/>
      <c r="L517" s="51" t="s">
        <v>257</v>
      </c>
      <c r="M517" s="51"/>
      <c r="N517" s="51"/>
      <c r="O517" s="51"/>
      <c r="P517" s="51"/>
      <c r="Q517" s="51"/>
      <c r="R517" s="51"/>
      <c r="S517" s="51"/>
      <c r="T517" s="51"/>
    </row>
    <row r="518">
      <c r="A518" s="51"/>
      <c r="B518" s="51"/>
      <c r="C518" s="56"/>
      <c r="D518" s="51"/>
      <c r="E518" s="51"/>
      <c r="F518" s="51"/>
      <c r="G518" s="51" t="str">
        <f>IFERROR(__xludf.DUMMYFUNCTION("""COMPUTED_VALUE"""),"#VALUE!")</f>
        <v>#VALUE!</v>
      </c>
      <c r="H518" s="51" t="str">
        <f>IFERROR(__xludf.DUMMYFUNCTION("""COMPUTED_VALUE"""),"")</f>
        <v/>
      </c>
      <c r="I518" s="51" t="str">
        <f>IFERROR(__xludf.DUMMYFUNCTION("""COMPUTED_VALUE"""),"#VALUE!")</f>
        <v>#VALUE!</v>
      </c>
      <c r="J518" s="51" t="str">
        <f>IFERROR(__xludf.DUMMYFUNCTION("""COMPUTED_VALUE"""),"")</f>
        <v/>
      </c>
      <c r="K518" s="51"/>
      <c r="L518" s="51" t="s">
        <v>257</v>
      </c>
      <c r="M518" s="51"/>
      <c r="N518" s="51"/>
      <c r="O518" s="51"/>
      <c r="P518" s="51"/>
      <c r="Q518" s="51"/>
      <c r="R518" s="51"/>
      <c r="S518" s="51"/>
      <c r="T518" s="51"/>
    </row>
    <row r="519">
      <c r="A519" s="51"/>
      <c r="B519" s="51"/>
      <c r="C519" s="56"/>
      <c r="D519" s="51"/>
      <c r="E519" s="51"/>
      <c r="F519" s="51"/>
      <c r="G519" s="51" t="str">
        <f>IFERROR(__xludf.DUMMYFUNCTION("""COMPUTED_VALUE"""),"#VALUE!")</f>
        <v>#VALUE!</v>
      </c>
      <c r="H519" s="51" t="str">
        <f>IFERROR(__xludf.DUMMYFUNCTION("""COMPUTED_VALUE"""),"")</f>
        <v/>
      </c>
      <c r="I519" s="51" t="str">
        <f>IFERROR(__xludf.DUMMYFUNCTION("""COMPUTED_VALUE"""),"#VALUE!")</f>
        <v>#VALUE!</v>
      </c>
      <c r="J519" s="51" t="str">
        <f>IFERROR(__xludf.DUMMYFUNCTION("""COMPUTED_VALUE"""),"")</f>
        <v/>
      </c>
      <c r="K519" s="51"/>
      <c r="L519" s="51" t="s">
        <v>257</v>
      </c>
      <c r="M519" s="51"/>
      <c r="N519" s="51"/>
      <c r="O519" s="51"/>
      <c r="P519" s="51"/>
      <c r="Q519" s="51"/>
      <c r="R519" s="51"/>
      <c r="S519" s="51"/>
      <c r="T519" s="51"/>
    </row>
    <row r="520">
      <c r="A520" s="51"/>
      <c r="B520" s="51"/>
      <c r="C520" s="56"/>
      <c r="D520" s="51"/>
      <c r="E520" s="51"/>
      <c r="F520" s="51"/>
      <c r="G520" s="51" t="str">
        <f>IFERROR(__xludf.DUMMYFUNCTION("""COMPUTED_VALUE"""),"#VALUE!")</f>
        <v>#VALUE!</v>
      </c>
      <c r="H520" s="51" t="str">
        <f>IFERROR(__xludf.DUMMYFUNCTION("""COMPUTED_VALUE"""),"")</f>
        <v/>
      </c>
      <c r="I520" s="51" t="str">
        <f>IFERROR(__xludf.DUMMYFUNCTION("""COMPUTED_VALUE"""),"#VALUE!")</f>
        <v>#VALUE!</v>
      </c>
      <c r="J520" s="51" t="str">
        <f>IFERROR(__xludf.DUMMYFUNCTION("""COMPUTED_VALUE"""),"")</f>
        <v/>
      </c>
      <c r="K520" s="51"/>
      <c r="L520" s="51" t="s">
        <v>257</v>
      </c>
      <c r="M520" s="51"/>
      <c r="N520" s="51"/>
      <c r="O520" s="51"/>
      <c r="P520" s="51"/>
      <c r="Q520" s="51"/>
      <c r="R520" s="51"/>
      <c r="S520" s="51"/>
      <c r="T520" s="51"/>
    </row>
    <row r="521">
      <c r="A521" s="51"/>
      <c r="B521" s="51"/>
      <c r="C521" s="56"/>
      <c r="D521" s="51"/>
      <c r="E521" s="51"/>
      <c r="F521" s="51"/>
      <c r="G521" s="51" t="str">
        <f>IFERROR(__xludf.DUMMYFUNCTION("""COMPUTED_VALUE"""),"#VALUE!")</f>
        <v>#VALUE!</v>
      </c>
      <c r="H521" s="51" t="str">
        <f>IFERROR(__xludf.DUMMYFUNCTION("""COMPUTED_VALUE"""),"")</f>
        <v/>
      </c>
      <c r="I521" s="51" t="str">
        <f>IFERROR(__xludf.DUMMYFUNCTION("""COMPUTED_VALUE"""),"#VALUE!")</f>
        <v>#VALUE!</v>
      </c>
      <c r="J521" s="51" t="str">
        <f>IFERROR(__xludf.DUMMYFUNCTION("""COMPUTED_VALUE"""),"")</f>
        <v/>
      </c>
      <c r="K521" s="51"/>
      <c r="L521" s="51" t="s">
        <v>257</v>
      </c>
      <c r="M521" s="51"/>
      <c r="N521" s="51"/>
      <c r="O521" s="51"/>
      <c r="P521" s="51"/>
      <c r="Q521" s="51"/>
      <c r="R521" s="51"/>
      <c r="S521" s="51"/>
      <c r="T521" s="51"/>
    </row>
    <row r="522">
      <c r="A522" s="51"/>
      <c r="B522" s="51"/>
      <c r="C522" s="56"/>
      <c r="D522" s="51"/>
      <c r="E522" s="51"/>
      <c r="F522" s="51"/>
      <c r="G522" s="51" t="str">
        <f>IFERROR(__xludf.DUMMYFUNCTION("""COMPUTED_VALUE"""),"#VALUE!")</f>
        <v>#VALUE!</v>
      </c>
      <c r="H522" s="51" t="str">
        <f>IFERROR(__xludf.DUMMYFUNCTION("""COMPUTED_VALUE"""),"")</f>
        <v/>
      </c>
      <c r="I522" s="51" t="str">
        <f>IFERROR(__xludf.DUMMYFUNCTION("""COMPUTED_VALUE"""),"#VALUE!")</f>
        <v>#VALUE!</v>
      </c>
      <c r="J522" s="51" t="str">
        <f>IFERROR(__xludf.DUMMYFUNCTION("""COMPUTED_VALUE"""),"")</f>
        <v/>
      </c>
      <c r="K522" s="51"/>
      <c r="L522" s="51" t="s">
        <v>257</v>
      </c>
      <c r="M522" s="51"/>
      <c r="N522" s="51"/>
      <c r="O522" s="51"/>
      <c r="P522" s="51"/>
      <c r="Q522" s="51"/>
      <c r="R522" s="51"/>
      <c r="S522" s="51"/>
      <c r="T522" s="51"/>
    </row>
    <row r="523">
      <c r="A523" s="51"/>
      <c r="B523" s="51"/>
      <c r="C523" s="56"/>
      <c r="D523" s="51"/>
      <c r="E523" s="51"/>
      <c r="F523" s="51"/>
      <c r="G523" s="51" t="str">
        <f>IFERROR(__xludf.DUMMYFUNCTION("""COMPUTED_VALUE"""),"#VALUE!")</f>
        <v>#VALUE!</v>
      </c>
      <c r="H523" s="51" t="str">
        <f>IFERROR(__xludf.DUMMYFUNCTION("""COMPUTED_VALUE"""),"")</f>
        <v/>
      </c>
      <c r="I523" s="51" t="str">
        <f>IFERROR(__xludf.DUMMYFUNCTION("""COMPUTED_VALUE"""),"#VALUE!")</f>
        <v>#VALUE!</v>
      </c>
      <c r="J523" s="51" t="str">
        <f>IFERROR(__xludf.DUMMYFUNCTION("""COMPUTED_VALUE"""),"")</f>
        <v/>
      </c>
      <c r="K523" s="51"/>
      <c r="L523" s="51" t="s">
        <v>257</v>
      </c>
      <c r="M523" s="51"/>
      <c r="N523" s="51"/>
      <c r="O523" s="51"/>
      <c r="P523" s="51"/>
      <c r="Q523" s="51"/>
      <c r="R523" s="51"/>
      <c r="S523" s="51"/>
      <c r="T523" s="51"/>
    </row>
  </sheetData>
  <conditionalFormatting sqref="O2:O14">
    <cfRule type="containsText" dxfId="4" priority="1" operator="containsText" text="YES">
      <formula>NOT(ISERROR(SEARCH(("YES"),(O2))))</formula>
    </cfRule>
  </conditionalFormatting>
  <conditionalFormatting sqref="O2:O14">
    <cfRule type="cellIs" dxfId="5" priority="2" operator="equal">
      <formula>"NO"</formula>
    </cfRule>
  </conditionalFormatting>
  <conditionalFormatting sqref="P2:P14">
    <cfRule type="cellIs" dxfId="4" priority="3" operator="equal">
      <formula>"AVAILABLE"</formula>
    </cfRule>
  </conditionalFormatting>
  <conditionalFormatting sqref="P2:P14">
    <cfRule type="cellIs" dxfId="5" priority="4" operator="equal">
      <formula>"NOT AVAILABLE"</formula>
    </cfRule>
  </conditionalFormatting>
  <conditionalFormatting sqref="Q2:Q14">
    <cfRule type="cellIs" dxfId="4" priority="5" operator="equal">
      <formula>"AVAILABLE"</formula>
    </cfRule>
  </conditionalFormatting>
  <conditionalFormatting sqref="Q2:Q14">
    <cfRule type="cellIs" dxfId="6" priority="6" operator="equal">
      <formula>"UPLOADING"</formula>
    </cfRule>
  </conditionalFormatting>
  <conditionalFormatting sqref="Q2:Q14">
    <cfRule type="cellIs" dxfId="5" priority="7" operator="equal">
      <formula>"NOT AVAILABLE"</formula>
    </cfRule>
  </conditionalFormatting>
  <dataValidations>
    <dataValidation type="list" allowBlank="1" sqref="O2:O14">
      <formula1>"YES,NO"</formula1>
    </dataValidation>
    <dataValidation type="list" allowBlank="1" sqref="P2:P14">
      <formula1>"AVAILABLE,NOT AVAILABLE"</formula1>
    </dataValidation>
    <dataValidation type="list" allowBlank="1" sqref="Q2:Q14">
      <formula1>"AVAILABLE,UPLOADING,NOT AVAILABLE"</formula1>
    </dataValidation>
  </dataValidations>
  <drawing r:id="rId1"/>
  <tableParts count="1">
    <tablePart r:id="rId3"/>
  </tableParts>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8.57"/>
    <col customWidth="1" min="3" max="3" width="25.71"/>
    <col hidden="1" min="4" max="5" width="14.43"/>
    <col customWidth="1" min="6" max="6" width="36.86"/>
    <col hidden="1" min="9" max="9" width="14.43"/>
    <col customWidth="1" min="14" max="14" width="47.86"/>
  </cols>
  <sheetData>
    <row r="1">
      <c r="A1" s="46" t="s">
        <v>79</v>
      </c>
      <c r="B1" s="46" t="s">
        <v>80</v>
      </c>
      <c r="C1" s="48" t="s">
        <v>81</v>
      </c>
      <c r="D1" s="46" t="s">
        <v>82</v>
      </c>
      <c r="E1" s="46" t="s">
        <v>83</v>
      </c>
      <c r="F1" s="46" t="s">
        <v>84</v>
      </c>
      <c r="G1" s="46" t="s">
        <v>85</v>
      </c>
      <c r="H1" s="46" t="s">
        <v>86</v>
      </c>
      <c r="I1" s="46" t="s">
        <v>87</v>
      </c>
      <c r="J1" s="46" t="s">
        <v>88</v>
      </c>
      <c r="K1" s="46" t="s">
        <v>89</v>
      </c>
      <c r="L1" s="46" t="s">
        <v>90</v>
      </c>
      <c r="M1" s="46" t="s">
        <v>91</v>
      </c>
      <c r="N1" s="46" t="s">
        <v>92</v>
      </c>
      <c r="O1" s="50" t="s">
        <v>93</v>
      </c>
      <c r="P1" s="50" t="s">
        <v>94</v>
      </c>
      <c r="Q1" s="50" t="s">
        <v>95</v>
      </c>
      <c r="R1" s="51"/>
      <c r="S1" s="51"/>
      <c r="T1" s="51"/>
    </row>
    <row r="2">
      <c r="A2" s="51" t="str">
        <f>IFERROR(__xludf.DUMMYFUNCTION("QUERY(Master!A:H,""SELECT A,C,D,F,G,H where C = 'PandaConf' ORDER BY F"")"),"Opening remarks")</f>
        <v>Opening remarks</v>
      </c>
      <c r="B2" s="51" t="str">
        <f>IFERROR(__xludf.DUMMYFUNCTION("""COMPUTED_VALUE"""),"PandaConf")</f>
        <v>PandaConf</v>
      </c>
      <c r="C2" s="56" t="str">
        <f>IFERROR(__xludf.DUMMYFUNCTION("""COMPUTED_VALUE"""),"Mark Little")</f>
        <v>Mark Little</v>
      </c>
      <c r="D2" s="51" t="str">
        <f>IFERROR(__xludf.DUMMYFUNCTION("""COMPUTED_VALUE"""),"2019/11/05 10:30:00")</f>
        <v>2019/11/05 10:30:00</v>
      </c>
      <c r="E2" s="51" t="str">
        <f>IFERROR(__xludf.DUMMYFUNCTION("""COMPUTED_VALUE"""),"2019/11/05 10:45:00")</f>
        <v>2019/11/05 10:45:00</v>
      </c>
      <c r="F2" s="51" t="str">
        <f>IFERROR(__xludf.DUMMYFUNCTION("""COMPUTED_VALUE"""),"e9c06ccc-b1b0-488e-8769-505b81a582f8")</f>
        <v>e9c06ccc-b1b0-488e-8769-505b81a582f8</v>
      </c>
      <c r="G2" s="61">
        <f>IFERROR(__xludf.DUMMYFUNCTION("ARRAYFORMULA(SPLIT(D2:D560,"" ""))"),43774.0)</f>
        <v>43774</v>
      </c>
      <c r="H2" s="60">
        <f>IFERROR(__xludf.DUMMYFUNCTION("""COMPUTED_VALUE"""),0.4375)</f>
        <v>0.4375</v>
      </c>
      <c r="I2" s="58">
        <f>IFERROR(__xludf.DUMMYFUNCTION("ARRAYFORMULA(SPLIT(E2:E560,"" ""))"),43774.0)</f>
        <v>43774</v>
      </c>
      <c r="J2" s="60">
        <f>IFERROR(__xludf.DUMMYFUNCTION("""COMPUTED_VALUE"""),0.4479166666666667)</f>
        <v>0.4479166667</v>
      </c>
      <c r="K2" s="60">
        <f t="shared" ref="K2:K59" si="1">J2-H2</f>
        <v>0.01041666667</v>
      </c>
      <c r="L2" s="54" t="str">
        <f t="array" ref="L2:L560">TEXT(K2:K560,"hhmmss")</f>
        <v>001500</v>
      </c>
      <c r="M2" s="62" t="s">
        <v>713</v>
      </c>
      <c r="N2" s="62" t="str">
        <f t="shared" ref="N2:N47" si="2">CONCATENATE(M2,"_",F2,"_","000000_000000.mp4")</f>
        <v>PC_5_1_e9c06ccc-b1b0-488e-8769-505b81a582f8_000000_000000.mp4</v>
      </c>
      <c r="O2" s="50"/>
      <c r="P2" s="50"/>
      <c r="Q2" s="63"/>
      <c r="R2" s="51"/>
      <c r="S2" s="51"/>
      <c r="T2" s="51"/>
    </row>
    <row r="3">
      <c r="A3" s="51" t="str">
        <f>IFERROR(__xludf.DUMMYFUNCTION("""COMPUTED_VALUE"""),"Winning in the feedback economy")</f>
        <v>Winning in the feedback economy</v>
      </c>
      <c r="B3" s="51" t="str">
        <f>IFERROR(__xludf.DUMMYFUNCTION("""COMPUTED_VALUE"""),"PandaConf")</f>
        <v>PandaConf</v>
      </c>
      <c r="C3" s="56" t="str">
        <f>IFERROR(__xludf.DUMMYFUNCTION("""COMPUTED_VALUE"""),"Zander Lurie")</f>
        <v>Zander Lurie</v>
      </c>
      <c r="D3" s="51" t="str">
        <f>IFERROR(__xludf.DUMMYFUNCTION("""COMPUTED_VALUE"""),"2019/11/05 10:45:00")</f>
        <v>2019/11/05 10:45:00</v>
      </c>
      <c r="E3" s="51" t="str">
        <f>IFERROR(__xludf.DUMMYFUNCTION("""COMPUTED_VALUE"""),"2019/11/05 11:05:00")</f>
        <v>2019/11/05 11:05:00</v>
      </c>
      <c r="F3" s="51" t="str">
        <f>IFERROR(__xludf.DUMMYFUNCTION("""COMPUTED_VALUE"""),"230f8603-c72e-4b0f-8f1a-20d41f115544")</f>
        <v>230f8603-c72e-4b0f-8f1a-20d41f115544</v>
      </c>
      <c r="G3" s="58">
        <f>IFERROR(__xludf.DUMMYFUNCTION("""COMPUTED_VALUE"""),43774.0)</f>
        <v>43774</v>
      </c>
      <c r="H3" s="60">
        <f>IFERROR(__xludf.DUMMYFUNCTION("""COMPUTED_VALUE"""),0.4479166666666667)</f>
        <v>0.4479166667</v>
      </c>
      <c r="I3" s="58">
        <f>IFERROR(__xludf.DUMMYFUNCTION("""COMPUTED_VALUE"""),43774.0)</f>
        <v>43774</v>
      </c>
      <c r="J3" s="60">
        <f>IFERROR(__xludf.DUMMYFUNCTION("""COMPUTED_VALUE"""),0.4618055555555556)</f>
        <v>0.4618055556</v>
      </c>
      <c r="K3" s="60">
        <f t="shared" si="1"/>
        <v>0.01388888889</v>
      </c>
      <c r="L3" s="51" t="s">
        <v>111</v>
      </c>
      <c r="M3" s="62" t="s">
        <v>714</v>
      </c>
      <c r="N3" s="62" t="str">
        <f t="shared" si="2"/>
        <v>PC_5_2_230f8603-c72e-4b0f-8f1a-20d41f115544_000000_000000.mp4</v>
      </c>
      <c r="O3" s="50"/>
      <c r="P3" s="50"/>
      <c r="Q3" s="63"/>
      <c r="R3" s="51"/>
      <c r="S3" s="51"/>
      <c r="T3" s="51"/>
    </row>
    <row r="4">
      <c r="A4" s="51" t="str">
        <f>IFERROR(__xludf.DUMMYFUNCTION("""COMPUTED_VALUE"""),"Knowing your customers: Easy to say, so hard to do")</f>
        <v>Knowing your customers: Easy to say, so hard to do</v>
      </c>
      <c r="B4" s="51" t="str">
        <f>IFERROR(__xludf.DUMMYFUNCTION("""COMPUTED_VALUE"""),"PandaConf")</f>
        <v>PandaConf</v>
      </c>
      <c r="C4" s="56" t="str">
        <f>IFERROR(__xludf.DUMMYFUNCTION("""COMPUTED_VALUE"""),"Edwina Dunn")</f>
        <v>Edwina Dunn</v>
      </c>
      <c r="D4" s="51" t="str">
        <f>IFERROR(__xludf.DUMMYFUNCTION("""COMPUTED_VALUE"""),"2019/11/05 11:05:00")</f>
        <v>2019/11/05 11:05:00</v>
      </c>
      <c r="E4" s="51" t="str">
        <f>IFERROR(__xludf.DUMMYFUNCTION("""COMPUTED_VALUE"""),"2019/11/05 11:25:00")</f>
        <v>2019/11/05 11:25:00</v>
      </c>
      <c r="F4" s="51" t="str">
        <f>IFERROR(__xludf.DUMMYFUNCTION("""COMPUTED_VALUE"""),"b5b06e8a-6056-4037-b0cc-90d74485c31d")</f>
        <v>b5b06e8a-6056-4037-b0cc-90d74485c31d</v>
      </c>
      <c r="G4" s="58">
        <f>IFERROR(__xludf.DUMMYFUNCTION("""COMPUTED_VALUE"""),43774.0)</f>
        <v>43774</v>
      </c>
      <c r="H4" s="60">
        <f>IFERROR(__xludf.DUMMYFUNCTION("""COMPUTED_VALUE"""),0.4618055555555556)</f>
        <v>0.4618055556</v>
      </c>
      <c r="I4" s="58">
        <f>IFERROR(__xludf.DUMMYFUNCTION("""COMPUTED_VALUE"""),43774.0)</f>
        <v>43774</v>
      </c>
      <c r="J4" s="60">
        <f>IFERROR(__xludf.DUMMYFUNCTION("""COMPUTED_VALUE"""),0.4756944444444444)</f>
        <v>0.4756944444</v>
      </c>
      <c r="K4" s="60">
        <f t="shared" si="1"/>
        <v>0.01388888889</v>
      </c>
      <c r="L4" s="51" t="s">
        <v>111</v>
      </c>
      <c r="M4" s="62" t="s">
        <v>715</v>
      </c>
      <c r="N4" s="62" t="str">
        <f t="shared" si="2"/>
        <v>PC_5_3_b5b06e8a-6056-4037-b0cc-90d74485c31d_000000_000000.mp4</v>
      </c>
      <c r="O4" s="50"/>
      <c r="P4" s="50"/>
      <c r="Q4" s="63"/>
      <c r="R4" s="51"/>
      <c r="S4" s="51"/>
      <c r="T4" s="51"/>
    </row>
    <row r="5">
      <c r="A5" s="51" t="str">
        <f>IFERROR(__xludf.DUMMYFUNCTION("""COMPUTED_VALUE"""),"Daring to go beyond customer centricity")</f>
        <v>Daring to go beyond customer centricity</v>
      </c>
      <c r="B5" s="51" t="str">
        <f>IFERROR(__xludf.DUMMYFUNCTION("""COMPUTED_VALUE"""),"PandaConf")</f>
        <v>PandaConf</v>
      </c>
      <c r="C5" s="56" t="str">
        <f>IFERROR(__xludf.DUMMYFUNCTION("""COMPUTED_VALUE"""),"Barbara Martin Coppola")</f>
        <v>Barbara Martin Coppola</v>
      </c>
      <c r="D5" s="51" t="str">
        <f>IFERROR(__xludf.DUMMYFUNCTION("""COMPUTED_VALUE"""),"2019/11/05 11:25:00")</f>
        <v>2019/11/05 11:25:00</v>
      </c>
      <c r="E5" s="51" t="str">
        <f>IFERROR(__xludf.DUMMYFUNCTION("""COMPUTED_VALUE"""),"2019/11/05 11:45:00")</f>
        <v>2019/11/05 11:45:00</v>
      </c>
      <c r="F5" s="51" t="str">
        <f>IFERROR(__xludf.DUMMYFUNCTION("""COMPUTED_VALUE"""),"17001da9-e844-4173-8ba0-6bbb8349e0ef")</f>
        <v>17001da9-e844-4173-8ba0-6bbb8349e0ef</v>
      </c>
      <c r="G5" s="58">
        <f>IFERROR(__xludf.DUMMYFUNCTION("""COMPUTED_VALUE"""),43774.0)</f>
        <v>43774</v>
      </c>
      <c r="H5" s="60">
        <f>IFERROR(__xludf.DUMMYFUNCTION("""COMPUTED_VALUE"""),0.4756944444444444)</f>
        <v>0.4756944444</v>
      </c>
      <c r="I5" s="58">
        <f>IFERROR(__xludf.DUMMYFUNCTION("""COMPUTED_VALUE"""),43774.0)</f>
        <v>43774</v>
      </c>
      <c r="J5" s="60">
        <f>IFERROR(__xludf.DUMMYFUNCTION("""COMPUTED_VALUE"""),0.4895833333333333)</f>
        <v>0.4895833333</v>
      </c>
      <c r="K5" s="60">
        <f t="shared" si="1"/>
        <v>0.01388888889</v>
      </c>
      <c r="L5" s="51" t="s">
        <v>111</v>
      </c>
      <c r="M5" s="62" t="s">
        <v>716</v>
      </c>
      <c r="N5" s="62" t="str">
        <f t="shared" si="2"/>
        <v>PC_5_4_17001da9-e844-4173-8ba0-6bbb8349e0ef_000000_000000.mp4</v>
      </c>
      <c r="O5" s="50"/>
      <c r="P5" s="50"/>
      <c r="Q5" s="63"/>
      <c r="R5" s="51"/>
      <c r="S5" s="51"/>
      <c r="T5" s="51"/>
    </row>
    <row r="6">
      <c r="A6" s="51" t="str">
        <f>IFERROR(__xludf.DUMMYFUNCTION("""COMPUTED_VALUE"""),"Reaching for the Sky")</f>
        <v>Reaching for the Sky</v>
      </c>
      <c r="B6" s="51" t="str">
        <f>IFERROR(__xludf.DUMMYFUNCTION("""COMPUTED_VALUE"""),"PandaConf")</f>
        <v>PandaConf</v>
      </c>
      <c r="C6" s="56" t="str">
        <f>IFERROR(__xludf.DUMMYFUNCTION("""COMPUTED_VALUE"""),"Jeremy Darroch and Karen Tso")</f>
        <v>Jeremy Darroch and Karen Tso</v>
      </c>
      <c r="D6" s="51" t="str">
        <f>IFERROR(__xludf.DUMMYFUNCTION("""COMPUTED_VALUE"""),"2019/11/05 11:45:00")</f>
        <v>2019/11/05 11:45:00</v>
      </c>
      <c r="E6" s="51" t="str">
        <f>IFERROR(__xludf.DUMMYFUNCTION("""COMPUTED_VALUE"""),"2019/11/05 12:10:00")</f>
        <v>2019/11/05 12:10:00</v>
      </c>
      <c r="F6" s="51" t="str">
        <f>IFERROR(__xludf.DUMMYFUNCTION("""COMPUTED_VALUE"""),"6ccc45ad-1415-4f0e-9fa0-a50b2bcc87ec")</f>
        <v>6ccc45ad-1415-4f0e-9fa0-a50b2bcc87ec</v>
      </c>
      <c r="G6" s="58">
        <f>IFERROR(__xludf.DUMMYFUNCTION("""COMPUTED_VALUE"""),43774.0)</f>
        <v>43774</v>
      </c>
      <c r="H6" s="60">
        <f>IFERROR(__xludf.DUMMYFUNCTION("""COMPUTED_VALUE"""),0.4895833333333333)</f>
        <v>0.4895833333</v>
      </c>
      <c r="I6" s="58">
        <f>IFERROR(__xludf.DUMMYFUNCTION("""COMPUTED_VALUE"""),43774.0)</f>
        <v>43774</v>
      </c>
      <c r="J6" s="60">
        <f>IFERROR(__xludf.DUMMYFUNCTION("""COMPUTED_VALUE"""),0.5069444444444444)</f>
        <v>0.5069444444</v>
      </c>
      <c r="K6" s="60">
        <f t="shared" si="1"/>
        <v>0.01736111111</v>
      </c>
      <c r="L6" s="51" t="s">
        <v>107</v>
      </c>
      <c r="M6" s="62" t="s">
        <v>717</v>
      </c>
      <c r="N6" s="62" t="str">
        <f t="shared" si="2"/>
        <v>PC_5_5_6ccc45ad-1415-4f0e-9fa0-a50b2bcc87ec_000000_000000.mp4</v>
      </c>
      <c r="O6" s="50"/>
      <c r="P6" s="50"/>
      <c r="Q6" s="63"/>
      <c r="R6" s="51"/>
      <c r="S6" s="51"/>
      <c r="T6" s="51"/>
    </row>
    <row r="7">
      <c r="A7" s="51" t="str">
        <f>IFERROR(__xludf.DUMMYFUNCTION("""COMPUTED_VALUE"""),"Consolidation of the agency world")</f>
        <v>Consolidation of the agency world</v>
      </c>
      <c r="B7" s="51" t="str">
        <f>IFERROR(__xludf.DUMMYFUNCTION("""COMPUTED_VALUE"""),"PandaConf")</f>
        <v>PandaConf</v>
      </c>
      <c r="C7" s="56" t="str">
        <f>IFERROR(__xludf.DUMMYFUNCTION("""COMPUTED_VALUE"""),"Mel Edwards, Sairah Ashman, Brian Collins and Michelle Castillo")</f>
        <v>Mel Edwards, Sairah Ashman, Brian Collins and Michelle Castillo</v>
      </c>
      <c r="D7" s="51" t="str">
        <f>IFERROR(__xludf.DUMMYFUNCTION("""COMPUTED_VALUE"""),"2019/11/05 12:10:00")</f>
        <v>2019/11/05 12:10:00</v>
      </c>
      <c r="E7" s="51" t="str">
        <f>IFERROR(__xludf.DUMMYFUNCTION("""COMPUTED_VALUE"""),"2019/11/05 12:35:00")</f>
        <v>2019/11/05 12:35:00</v>
      </c>
      <c r="F7" s="51" t="str">
        <f>IFERROR(__xludf.DUMMYFUNCTION("""COMPUTED_VALUE"""),"573ce78e-2bdf-41c6-a33f-860d08c777f3")</f>
        <v>573ce78e-2bdf-41c6-a33f-860d08c777f3</v>
      </c>
      <c r="G7" s="58">
        <f>IFERROR(__xludf.DUMMYFUNCTION("""COMPUTED_VALUE"""),43774.0)</f>
        <v>43774</v>
      </c>
      <c r="H7" s="60">
        <f>IFERROR(__xludf.DUMMYFUNCTION("""COMPUTED_VALUE"""),0.5069444444444444)</f>
        <v>0.5069444444</v>
      </c>
      <c r="I7" s="58">
        <f>IFERROR(__xludf.DUMMYFUNCTION("""COMPUTED_VALUE"""),43774.0)</f>
        <v>43774</v>
      </c>
      <c r="J7" s="60">
        <f>IFERROR(__xludf.DUMMYFUNCTION("""COMPUTED_VALUE"""),0.5243055555555556)</f>
        <v>0.5243055556</v>
      </c>
      <c r="K7" s="60">
        <f t="shared" si="1"/>
        <v>0.01736111111</v>
      </c>
      <c r="L7" s="51" t="s">
        <v>107</v>
      </c>
      <c r="M7" s="62" t="s">
        <v>718</v>
      </c>
      <c r="N7" s="62" t="str">
        <f t="shared" si="2"/>
        <v>PC_5_6_573ce78e-2bdf-41c6-a33f-860d08c777f3_000000_000000.mp4</v>
      </c>
      <c r="O7" s="50"/>
      <c r="P7" s="50"/>
      <c r="Q7" s="63"/>
      <c r="R7" s="51"/>
      <c r="S7" s="51"/>
      <c r="T7" s="51"/>
    </row>
    <row r="8">
      <c r="A8" s="51" t="str">
        <f>IFERROR(__xludf.DUMMYFUNCTION("""COMPUTED_VALUE"""),"Machine learning will make marketing more human")</f>
        <v>Machine learning will make marketing more human</v>
      </c>
      <c r="B8" s="51" t="str">
        <f>IFERROR(__xludf.DUMMYFUNCTION("""COMPUTED_VALUE"""),"PandaConf")</f>
        <v>PandaConf</v>
      </c>
      <c r="C8" s="56" t="str">
        <f>IFERROR(__xludf.DUMMYFUNCTION("""COMPUTED_VALUE"""),"Kristin Lemkau")</f>
        <v>Kristin Lemkau</v>
      </c>
      <c r="D8" s="51" t="str">
        <f>IFERROR(__xludf.DUMMYFUNCTION("""COMPUTED_VALUE"""),"2019/11/05 12:35:00")</f>
        <v>2019/11/05 12:35:00</v>
      </c>
      <c r="E8" s="51" t="str">
        <f>IFERROR(__xludf.DUMMYFUNCTION("""COMPUTED_VALUE"""),"2019/11/05 12:55:00")</f>
        <v>2019/11/05 12:55:00</v>
      </c>
      <c r="F8" s="51" t="str">
        <f>IFERROR(__xludf.DUMMYFUNCTION("""COMPUTED_VALUE"""),"86714f34-c053-4ef6-bbb3-fa559a80d1ca")</f>
        <v>86714f34-c053-4ef6-bbb3-fa559a80d1ca</v>
      </c>
      <c r="G8" s="58">
        <f>IFERROR(__xludf.DUMMYFUNCTION("""COMPUTED_VALUE"""),43774.0)</f>
        <v>43774</v>
      </c>
      <c r="H8" s="60">
        <f>IFERROR(__xludf.DUMMYFUNCTION("""COMPUTED_VALUE"""),0.5243055555555556)</f>
        <v>0.5243055556</v>
      </c>
      <c r="I8" s="58">
        <f>IFERROR(__xludf.DUMMYFUNCTION("""COMPUTED_VALUE"""),43774.0)</f>
        <v>43774</v>
      </c>
      <c r="J8" s="60">
        <f>IFERROR(__xludf.DUMMYFUNCTION("""COMPUTED_VALUE"""),0.5381944444444444)</f>
        <v>0.5381944444</v>
      </c>
      <c r="K8" s="60">
        <f t="shared" si="1"/>
        <v>0.01388888889</v>
      </c>
      <c r="L8" s="51" t="s">
        <v>111</v>
      </c>
      <c r="M8" s="62" t="s">
        <v>719</v>
      </c>
      <c r="N8" s="62" t="str">
        <f t="shared" si="2"/>
        <v>PC_5_7_86714f34-c053-4ef6-bbb3-fa559a80d1ca_000000_000000.mp4</v>
      </c>
      <c r="O8" s="50"/>
      <c r="P8" s="50"/>
      <c r="Q8" s="63"/>
      <c r="R8" s="51"/>
      <c r="S8" s="51"/>
      <c r="T8" s="51"/>
    </row>
    <row r="9">
      <c r="A9" s="51" t="str">
        <f>IFERROR(__xludf.DUMMYFUNCTION("""COMPUTED_VALUE"""),"Lunch break")</f>
        <v>Lunch break</v>
      </c>
      <c r="B9" s="51" t="str">
        <f>IFERROR(__xludf.DUMMYFUNCTION("""COMPUTED_VALUE"""),"PandaConf")</f>
        <v>PandaConf</v>
      </c>
      <c r="C9" s="56" t="str">
        <f>IFERROR(__xludf.DUMMYFUNCTION("""COMPUTED_VALUE"""),"")</f>
        <v/>
      </c>
      <c r="D9" s="51" t="str">
        <f>IFERROR(__xludf.DUMMYFUNCTION("""COMPUTED_VALUE"""),"2019/11/05 12:55:00")</f>
        <v>2019/11/05 12:55:00</v>
      </c>
      <c r="E9" s="51" t="str">
        <f>IFERROR(__xludf.DUMMYFUNCTION("""COMPUTED_VALUE"""),"2019/11/05 13:40:00")</f>
        <v>2019/11/05 13:40:00</v>
      </c>
      <c r="F9" s="51" t="str">
        <f>IFERROR(__xludf.DUMMYFUNCTION("""COMPUTED_VALUE"""),"160966cb-f4ed-40a4-9530-bbdcdc4ca4ea")</f>
        <v>160966cb-f4ed-40a4-9530-bbdcdc4ca4ea</v>
      </c>
      <c r="G9" s="58">
        <f>IFERROR(__xludf.DUMMYFUNCTION("""COMPUTED_VALUE"""),43774.0)</f>
        <v>43774</v>
      </c>
      <c r="H9" s="60">
        <f>IFERROR(__xludf.DUMMYFUNCTION("""COMPUTED_VALUE"""),0.5381944444444444)</f>
        <v>0.5381944444</v>
      </c>
      <c r="I9" s="58">
        <f>IFERROR(__xludf.DUMMYFUNCTION("""COMPUTED_VALUE"""),43774.0)</f>
        <v>43774</v>
      </c>
      <c r="J9" s="60">
        <f>IFERROR(__xludf.DUMMYFUNCTION("""COMPUTED_VALUE"""),0.5694444444444444)</f>
        <v>0.5694444444</v>
      </c>
      <c r="K9" s="60">
        <f t="shared" si="1"/>
        <v>0.03125</v>
      </c>
      <c r="L9" s="51" t="s">
        <v>131</v>
      </c>
      <c r="M9" s="51"/>
      <c r="N9" s="62" t="str">
        <f t="shared" si="2"/>
        <v>_160966cb-f4ed-40a4-9530-bbdcdc4ca4ea_000000_000000.mp4</v>
      </c>
      <c r="O9" s="50"/>
      <c r="P9" s="50"/>
      <c r="Q9" s="63"/>
      <c r="R9" s="51"/>
      <c r="S9" s="51"/>
      <c r="T9" s="51"/>
    </row>
    <row r="10">
      <c r="A10" s="51" t="str">
        <f>IFERROR(__xludf.DUMMYFUNCTION("""COMPUTED_VALUE"""),"Opening remarks")</f>
        <v>Opening remarks</v>
      </c>
      <c r="B10" s="51" t="str">
        <f>IFERROR(__xludf.DUMMYFUNCTION("""COMPUTED_VALUE"""),"PandaConf")</f>
        <v>PandaConf</v>
      </c>
      <c r="C10" s="56" t="str">
        <f>IFERROR(__xludf.DUMMYFUNCTION("""COMPUTED_VALUE"""),"Noel Toolan")</f>
        <v>Noel Toolan</v>
      </c>
      <c r="D10" s="51" t="str">
        <f>IFERROR(__xludf.DUMMYFUNCTION("""COMPUTED_VALUE"""),"2019/11/05 13:40:00")</f>
        <v>2019/11/05 13:40:00</v>
      </c>
      <c r="E10" s="51" t="str">
        <f>IFERROR(__xludf.DUMMYFUNCTION("""COMPUTED_VALUE"""),"2019/11/05 13:50:00")</f>
        <v>2019/11/05 13:50:00</v>
      </c>
      <c r="F10" s="51" t="str">
        <f>IFERROR(__xludf.DUMMYFUNCTION("""COMPUTED_VALUE"""),"0e730870-de40-4c0e-8436-f6883aa647f3")</f>
        <v>0e730870-de40-4c0e-8436-f6883aa647f3</v>
      </c>
      <c r="G10" s="58">
        <f>IFERROR(__xludf.DUMMYFUNCTION("""COMPUTED_VALUE"""),43774.0)</f>
        <v>43774</v>
      </c>
      <c r="H10" s="60">
        <f>IFERROR(__xludf.DUMMYFUNCTION("""COMPUTED_VALUE"""),0.5694444444444444)</f>
        <v>0.5694444444</v>
      </c>
      <c r="I10" s="58">
        <f>IFERROR(__xludf.DUMMYFUNCTION("""COMPUTED_VALUE"""),43774.0)</f>
        <v>43774</v>
      </c>
      <c r="J10" s="60">
        <f>IFERROR(__xludf.DUMMYFUNCTION("""COMPUTED_VALUE"""),0.5763888888888888)</f>
        <v>0.5763888889</v>
      </c>
      <c r="K10" s="60">
        <f t="shared" si="1"/>
        <v>0.006944444444</v>
      </c>
      <c r="L10" s="51" t="s">
        <v>124</v>
      </c>
      <c r="M10" s="62" t="s">
        <v>720</v>
      </c>
      <c r="N10" s="62" t="str">
        <f t="shared" si="2"/>
        <v>PC_5_8_0e730870-de40-4c0e-8436-f6883aa647f3_000000_000000.mp4</v>
      </c>
      <c r="O10" s="50"/>
      <c r="P10" s="50"/>
      <c r="Q10" s="63"/>
      <c r="R10" s="51"/>
      <c r="S10" s="51"/>
      <c r="T10" s="51"/>
    </row>
    <row r="11">
      <c r="A11" s="51" t="str">
        <f>IFERROR(__xludf.DUMMYFUNCTION("""COMPUTED_VALUE"""),"Microsoft’s vision for transforming the web for businesses")</f>
        <v>Microsoft’s vision for transforming the web for businesses</v>
      </c>
      <c r="B11" s="51" t="str">
        <f>IFERROR(__xludf.DUMMYFUNCTION("""COMPUTED_VALUE"""),"PandaConf")</f>
        <v>PandaConf</v>
      </c>
      <c r="C11" s="56" t="str">
        <f>IFERROR(__xludf.DUMMYFUNCTION("""COMPUTED_VALUE"""),"Liat Ben Zur")</f>
        <v>Liat Ben Zur</v>
      </c>
      <c r="D11" s="51" t="str">
        <f>IFERROR(__xludf.DUMMYFUNCTION("""COMPUTED_VALUE"""),"2019/11/05 13:50:00")</f>
        <v>2019/11/05 13:50:00</v>
      </c>
      <c r="E11" s="51" t="str">
        <f>IFERROR(__xludf.DUMMYFUNCTION("""COMPUTED_VALUE"""),"2019/11/05 14:10:00")</f>
        <v>2019/11/05 14:10:00</v>
      </c>
      <c r="F11" s="51" t="str">
        <f>IFERROR(__xludf.DUMMYFUNCTION("""COMPUTED_VALUE"""),"7c7842c9-3e52-4ef8-bfde-6c626eee847e")</f>
        <v>7c7842c9-3e52-4ef8-bfde-6c626eee847e</v>
      </c>
      <c r="G11" s="58">
        <f>IFERROR(__xludf.DUMMYFUNCTION("""COMPUTED_VALUE"""),43774.0)</f>
        <v>43774</v>
      </c>
      <c r="H11" s="60">
        <f>IFERROR(__xludf.DUMMYFUNCTION("""COMPUTED_VALUE"""),0.5763888888888888)</f>
        <v>0.5763888889</v>
      </c>
      <c r="I11" s="58">
        <f>IFERROR(__xludf.DUMMYFUNCTION("""COMPUTED_VALUE"""),43774.0)</f>
        <v>43774</v>
      </c>
      <c r="J11" s="60">
        <f>IFERROR(__xludf.DUMMYFUNCTION("""COMPUTED_VALUE"""),0.5902777777777778)</f>
        <v>0.5902777778</v>
      </c>
      <c r="K11" s="60">
        <f t="shared" si="1"/>
        <v>0.01388888889</v>
      </c>
      <c r="L11" s="51" t="s">
        <v>111</v>
      </c>
      <c r="M11" s="62" t="s">
        <v>721</v>
      </c>
      <c r="N11" s="62" t="str">
        <f t="shared" si="2"/>
        <v>PC_5_9_7c7842c9-3e52-4ef8-bfde-6c626eee847e_000000_000000.mp4</v>
      </c>
      <c r="O11" s="50"/>
      <c r="P11" s="50"/>
      <c r="Q11" s="63"/>
      <c r="R11" s="51"/>
      <c r="S11" s="51"/>
      <c r="T11" s="51"/>
    </row>
    <row r="12">
      <c r="A12" s="51" t="str">
        <f>IFERROR(__xludf.DUMMYFUNCTION("""COMPUTED_VALUE"""),"What does it take to be a modern CMO?")</f>
        <v>What does it take to be a modern CMO?</v>
      </c>
      <c r="B12" s="51" t="str">
        <f>IFERROR(__xludf.DUMMYFUNCTION("""COMPUTED_VALUE"""),"PandaConf")</f>
        <v>PandaConf</v>
      </c>
      <c r="C12" s="56" t="str">
        <f>IFERROR(__xludf.DUMMYFUNCTION("""COMPUTED_VALUE"""),"Meagen Eisenberg, Tom Klein, Janine Pelosi and Katie Deighton")</f>
        <v>Meagen Eisenberg, Tom Klein, Janine Pelosi and Katie Deighton</v>
      </c>
      <c r="D12" s="51" t="str">
        <f>IFERROR(__xludf.DUMMYFUNCTION("""COMPUTED_VALUE"""),"2019/11/05 14:10:00")</f>
        <v>2019/11/05 14:10:00</v>
      </c>
      <c r="E12" s="51" t="str">
        <f>IFERROR(__xludf.DUMMYFUNCTION("""COMPUTED_VALUE"""),"2019/11/05 14:35:00")</f>
        <v>2019/11/05 14:35:00</v>
      </c>
      <c r="F12" s="51" t="str">
        <f>IFERROR(__xludf.DUMMYFUNCTION("""COMPUTED_VALUE"""),"f9830c98-c828-4bff-97b9-d496bb65eb0b")</f>
        <v>f9830c98-c828-4bff-97b9-d496bb65eb0b</v>
      </c>
      <c r="G12" s="58">
        <f>IFERROR(__xludf.DUMMYFUNCTION("""COMPUTED_VALUE"""),43774.0)</f>
        <v>43774</v>
      </c>
      <c r="H12" s="60">
        <f>IFERROR(__xludf.DUMMYFUNCTION("""COMPUTED_VALUE"""),0.5902777777777778)</f>
        <v>0.5902777778</v>
      </c>
      <c r="I12" s="58">
        <f>IFERROR(__xludf.DUMMYFUNCTION("""COMPUTED_VALUE"""),43774.0)</f>
        <v>43774</v>
      </c>
      <c r="J12" s="60">
        <f>IFERROR(__xludf.DUMMYFUNCTION("""COMPUTED_VALUE"""),0.6076388888888888)</f>
        <v>0.6076388889</v>
      </c>
      <c r="K12" s="60">
        <f t="shared" si="1"/>
        <v>0.01736111111</v>
      </c>
      <c r="L12" s="51" t="s">
        <v>107</v>
      </c>
      <c r="M12" s="62" t="s">
        <v>722</v>
      </c>
      <c r="N12" s="62" t="str">
        <f t="shared" si="2"/>
        <v>PC_5_10_f9830c98-c828-4bff-97b9-d496bb65eb0b_000000_000000.mp4</v>
      </c>
      <c r="O12" s="50"/>
      <c r="P12" s="50"/>
      <c r="Q12" s="63"/>
      <c r="R12" s="51"/>
      <c r="S12" s="51"/>
      <c r="T12" s="51"/>
    </row>
    <row r="13">
      <c r="A13" s="51" t="str">
        <f>IFERROR(__xludf.DUMMYFUNCTION("""COMPUTED_VALUE"""),"Getting inside the brand marketing engine")</f>
        <v>Getting inside the brand marketing engine</v>
      </c>
      <c r="B13" s="51" t="str">
        <f>IFERROR(__xludf.DUMMYFUNCTION("""COMPUTED_VALUE"""),"PandaConf")</f>
        <v>PandaConf</v>
      </c>
      <c r="C13" s="56" t="str">
        <f>IFERROR(__xludf.DUMMYFUNCTION("""COMPUTED_VALUE"""),"Alan Boehme, Cynthia Johnson, Dominic Grounsell and Marty Swant")</f>
        <v>Alan Boehme, Cynthia Johnson, Dominic Grounsell and Marty Swant</v>
      </c>
      <c r="D13" s="51" t="str">
        <f>IFERROR(__xludf.DUMMYFUNCTION("""COMPUTED_VALUE"""),"2019/11/05 14:35:00")</f>
        <v>2019/11/05 14:35:00</v>
      </c>
      <c r="E13" s="51" t="str">
        <f>IFERROR(__xludf.DUMMYFUNCTION("""COMPUTED_VALUE"""),"2019/11/05 15:00:00")</f>
        <v>2019/11/05 15:00:00</v>
      </c>
      <c r="F13" s="51" t="str">
        <f>IFERROR(__xludf.DUMMYFUNCTION("""COMPUTED_VALUE"""),"1c578985-09b2-45c8-85ca-c88703258799")</f>
        <v>1c578985-09b2-45c8-85ca-c88703258799</v>
      </c>
      <c r="G13" s="58">
        <f>IFERROR(__xludf.DUMMYFUNCTION("""COMPUTED_VALUE"""),43774.0)</f>
        <v>43774</v>
      </c>
      <c r="H13" s="60">
        <f>IFERROR(__xludf.DUMMYFUNCTION("""COMPUTED_VALUE"""),0.6076388888888888)</f>
        <v>0.6076388889</v>
      </c>
      <c r="I13" s="58">
        <f>IFERROR(__xludf.DUMMYFUNCTION("""COMPUTED_VALUE"""),43774.0)</f>
        <v>43774</v>
      </c>
      <c r="J13" s="60">
        <f>IFERROR(__xludf.DUMMYFUNCTION("""COMPUTED_VALUE"""),0.625)</f>
        <v>0.625</v>
      </c>
      <c r="K13" s="60">
        <f t="shared" si="1"/>
        <v>0.01736111111</v>
      </c>
      <c r="L13" s="51" t="s">
        <v>107</v>
      </c>
      <c r="M13" s="62" t="s">
        <v>723</v>
      </c>
      <c r="N13" s="62" t="str">
        <f t="shared" si="2"/>
        <v>PC_5_11_1c578985-09b2-45c8-85ca-c88703258799_000000_000000.mp4</v>
      </c>
      <c r="O13" s="50"/>
      <c r="P13" s="50"/>
      <c r="Q13" s="63"/>
      <c r="R13" s="51"/>
      <c r="S13" s="51"/>
      <c r="T13" s="51"/>
    </row>
    <row r="14">
      <c r="A14" s="51" t="str">
        <f>IFERROR(__xludf.DUMMYFUNCTION("""COMPUTED_VALUE"""),"Redefining mobile measurement")</f>
        <v>Redefining mobile measurement</v>
      </c>
      <c r="B14" s="51" t="str">
        <f>IFERROR(__xludf.DUMMYFUNCTION("""COMPUTED_VALUE"""),"PandaConf")</f>
        <v>PandaConf</v>
      </c>
      <c r="C14" s="56" t="str">
        <f>IFERROR(__xludf.DUMMYFUNCTION("""COMPUTED_VALUE"""),"Ted Krantz")</f>
        <v>Ted Krantz</v>
      </c>
      <c r="D14" s="51" t="str">
        <f>IFERROR(__xludf.DUMMYFUNCTION("""COMPUTED_VALUE"""),"2019/11/05 15:00:00")</f>
        <v>2019/11/05 15:00:00</v>
      </c>
      <c r="E14" s="51" t="str">
        <f>IFERROR(__xludf.DUMMYFUNCTION("""COMPUTED_VALUE"""),"2019/11/05 15:20:00")</f>
        <v>2019/11/05 15:20:00</v>
      </c>
      <c r="F14" s="51" t="str">
        <f>IFERROR(__xludf.DUMMYFUNCTION("""COMPUTED_VALUE"""),"2c83924e-c82c-4739-9135-e70cad466a2d")</f>
        <v>2c83924e-c82c-4739-9135-e70cad466a2d</v>
      </c>
      <c r="G14" s="58">
        <f>IFERROR(__xludf.DUMMYFUNCTION("""COMPUTED_VALUE"""),43774.0)</f>
        <v>43774</v>
      </c>
      <c r="H14" s="60">
        <f>IFERROR(__xludf.DUMMYFUNCTION("""COMPUTED_VALUE"""),0.625)</f>
        <v>0.625</v>
      </c>
      <c r="I14" s="58">
        <f>IFERROR(__xludf.DUMMYFUNCTION("""COMPUTED_VALUE"""),43774.0)</f>
        <v>43774</v>
      </c>
      <c r="J14" s="60">
        <f>IFERROR(__xludf.DUMMYFUNCTION("""COMPUTED_VALUE"""),0.6388888888888888)</f>
        <v>0.6388888889</v>
      </c>
      <c r="K14" s="60">
        <f t="shared" si="1"/>
        <v>0.01388888889</v>
      </c>
      <c r="L14" s="51" t="s">
        <v>111</v>
      </c>
      <c r="M14" s="62" t="s">
        <v>724</v>
      </c>
      <c r="N14" s="62" t="str">
        <f t="shared" si="2"/>
        <v>PC_5_12_2c83924e-c82c-4739-9135-e70cad466a2d_000000_000000.mp4</v>
      </c>
      <c r="O14" s="50"/>
      <c r="P14" s="50"/>
      <c r="Q14" s="63"/>
      <c r="R14" s="51"/>
      <c r="S14" s="51"/>
      <c r="T14" s="51"/>
    </row>
    <row r="15">
      <c r="A15" s="51" t="str">
        <f>IFERROR(__xludf.DUMMYFUNCTION("""COMPUTED_VALUE"""),"Can brands save the planet?")</f>
        <v>Can brands save the planet?</v>
      </c>
      <c r="B15" s="51" t="str">
        <f>IFERROR(__xludf.DUMMYFUNCTION("""COMPUTED_VALUE"""),"PandaConf")</f>
        <v>PandaConf</v>
      </c>
      <c r="C15" s="56" t="str">
        <f>IFERROR(__xludf.DUMMYFUNCTION("""COMPUTED_VALUE"""),"Shane Wall, Ian Somerhalder and Naina Bajekal")</f>
        <v>Shane Wall, Ian Somerhalder and Naina Bajekal</v>
      </c>
      <c r="D15" s="51" t="str">
        <f>IFERROR(__xludf.DUMMYFUNCTION("""COMPUTED_VALUE"""),"2019/11/05 15:20:00")</f>
        <v>2019/11/05 15:20:00</v>
      </c>
      <c r="E15" s="51" t="str">
        <f>IFERROR(__xludf.DUMMYFUNCTION("""COMPUTED_VALUE"""),"2019/11/05 15:45:00")</f>
        <v>2019/11/05 15:45:00</v>
      </c>
      <c r="F15" s="51" t="str">
        <f>IFERROR(__xludf.DUMMYFUNCTION("""COMPUTED_VALUE"""),"796b9900-6f30-4fed-a2c1-7208ee07cac4")</f>
        <v>796b9900-6f30-4fed-a2c1-7208ee07cac4</v>
      </c>
      <c r="G15" s="58">
        <f>IFERROR(__xludf.DUMMYFUNCTION("""COMPUTED_VALUE"""),43774.0)</f>
        <v>43774</v>
      </c>
      <c r="H15" s="60">
        <f>IFERROR(__xludf.DUMMYFUNCTION("""COMPUTED_VALUE"""),0.6388888888888888)</f>
        <v>0.6388888889</v>
      </c>
      <c r="I15" s="58">
        <f>IFERROR(__xludf.DUMMYFUNCTION("""COMPUTED_VALUE"""),43774.0)</f>
        <v>43774</v>
      </c>
      <c r="J15" s="60">
        <f>IFERROR(__xludf.DUMMYFUNCTION("""COMPUTED_VALUE"""),0.65625)</f>
        <v>0.65625</v>
      </c>
      <c r="K15" s="60">
        <f t="shared" si="1"/>
        <v>0.01736111111</v>
      </c>
      <c r="L15" s="51" t="s">
        <v>107</v>
      </c>
      <c r="M15" s="62" t="s">
        <v>725</v>
      </c>
      <c r="N15" s="62" t="str">
        <f t="shared" si="2"/>
        <v>PC_5_13_796b9900-6f30-4fed-a2c1-7208ee07cac4_000000_000000.mp4</v>
      </c>
      <c r="O15" s="50"/>
      <c r="P15" s="50"/>
      <c r="Q15" s="63"/>
      <c r="R15" s="51"/>
      <c r="S15" s="51"/>
      <c r="T15" s="51"/>
    </row>
    <row r="16">
      <c r="A16" s="51" t="str">
        <f>IFERROR(__xludf.DUMMYFUNCTION("""COMPUTED_VALUE"""),"Can tech put women's health on the right track?")</f>
        <v>Can tech put women's health on the right track?</v>
      </c>
      <c r="B16" s="51" t="str">
        <f>IFERROR(__xludf.DUMMYFUNCTION("""COMPUTED_VALUE"""),"PandaConf")</f>
        <v>PandaConf</v>
      </c>
      <c r="C16" s="56" t="str">
        <f>IFERROR(__xludf.DUMMYFUNCTION("""COMPUTED_VALUE"""),"Jessica Ennis-Hill, Hilary Coles and Cheng Lei")</f>
        <v>Jessica Ennis-Hill, Hilary Coles and Cheng Lei</v>
      </c>
      <c r="D16" s="51" t="str">
        <f>IFERROR(__xludf.DUMMYFUNCTION("""COMPUTED_VALUE"""),"2019/11/05 15:45:00")</f>
        <v>2019/11/05 15:45:00</v>
      </c>
      <c r="E16" s="51" t="str">
        <f>IFERROR(__xludf.DUMMYFUNCTION("""COMPUTED_VALUE"""),"2019/11/05 16:10:00")</f>
        <v>2019/11/05 16:10:00</v>
      </c>
      <c r="F16" s="51" t="str">
        <f>IFERROR(__xludf.DUMMYFUNCTION("""COMPUTED_VALUE"""),"c0c630a0-a48c-448d-b10e-0b4a6e26f1ca")</f>
        <v>c0c630a0-a48c-448d-b10e-0b4a6e26f1ca</v>
      </c>
      <c r="G16" s="58">
        <f>IFERROR(__xludf.DUMMYFUNCTION("""COMPUTED_VALUE"""),43774.0)</f>
        <v>43774</v>
      </c>
      <c r="H16" s="60">
        <f>IFERROR(__xludf.DUMMYFUNCTION("""COMPUTED_VALUE"""),0.65625)</f>
        <v>0.65625</v>
      </c>
      <c r="I16" s="58">
        <f>IFERROR(__xludf.DUMMYFUNCTION("""COMPUTED_VALUE"""),43774.0)</f>
        <v>43774</v>
      </c>
      <c r="J16" s="60">
        <f>IFERROR(__xludf.DUMMYFUNCTION("""COMPUTED_VALUE"""),0.6736111111111112)</f>
        <v>0.6736111111</v>
      </c>
      <c r="K16" s="60">
        <f t="shared" si="1"/>
        <v>0.01736111111</v>
      </c>
      <c r="L16" s="51" t="s">
        <v>107</v>
      </c>
      <c r="M16" s="62" t="s">
        <v>726</v>
      </c>
      <c r="N16" s="62" t="str">
        <f t="shared" si="2"/>
        <v>PC_5_14_c0c630a0-a48c-448d-b10e-0b4a6e26f1ca_000000_000000.mp4</v>
      </c>
      <c r="O16" s="50"/>
      <c r="P16" s="50"/>
      <c r="Q16" s="63"/>
      <c r="R16" s="51"/>
      <c r="S16" s="51"/>
      <c r="T16" s="51"/>
    </row>
    <row r="17">
      <c r="A17" s="51" t="str">
        <f>IFERROR(__xludf.DUMMYFUNCTION("""COMPUTED_VALUE"""),"Opening remarks")</f>
        <v>Opening remarks</v>
      </c>
      <c r="B17" s="51" t="str">
        <f>IFERROR(__xludf.DUMMYFUNCTION("""COMPUTED_VALUE"""),"PandaConf")</f>
        <v>PandaConf</v>
      </c>
      <c r="C17" s="56" t="str">
        <f>IFERROR(__xludf.DUMMYFUNCTION("""COMPUTED_VALUE"""),"Yamilette Cano")</f>
        <v>Yamilette Cano</v>
      </c>
      <c r="D17" s="51" t="str">
        <f>IFERROR(__xludf.DUMMYFUNCTION("""COMPUTED_VALUE"""),"2019/11/06 10:45:00")</f>
        <v>2019/11/06 10:45:00</v>
      </c>
      <c r="E17" s="51" t="str">
        <f>IFERROR(__xludf.DUMMYFUNCTION("""COMPUTED_VALUE"""),"2019/11/06 10:50:00")</f>
        <v>2019/11/06 10:50:00</v>
      </c>
      <c r="F17" s="51" t="str">
        <f>IFERROR(__xludf.DUMMYFUNCTION("""COMPUTED_VALUE"""),"fc0020ff-046f-4c92-a2c8-82205616d052")</f>
        <v>fc0020ff-046f-4c92-a2c8-82205616d052</v>
      </c>
      <c r="G17" s="58">
        <f>IFERROR(__xludf.DUMMYFUNCTION("""COMPUTED_VALUE"""),43775.0)</f>
        <v>43775</v>
      </c>
      <c r="H17" s="60">
        <f>IFERROR(__xludf.DUMMYFUNCTION("""COMPUTED_VALUE"""),0.4479166666666667)</f>
        <v>0.4479166667</v>
      </c>
      <c r="I17" s="58">
        <f>IFERROR(__xludf.DUMMYFUNCTION("""COMPUTED_VALUE"""),43775.0)</f>
        <v>43775</v>
      </c>
      <c r="J17" s="60">
        <f>IFERROR(__xludf.DUMMYFUNCTION("""COMPUTED_VALUE"""),0.4513888888888889)</f>
        <v>0.4513888889</v>
      </c>
      <c r="K17" s="60">
        <f t="shared" si="1"/>
        <v>0.003472222222</v>
      </c>
      <c r="L17" s="51" t="s">
        <v>234</v>
      </c>
      <c r="M17" s="62" t="s">
        <v>727</v>
      </c>
      <c r="N17" s="62" t="str">
        <f t="shared" si="2"/>
        <v>PC_6_1_fc0020ff-046f-4c92-a2c8-82205616d052_000000_000000.mp4</v>
      </c>
      <c r="O17" s="50"/>
      <c r="P17" s="50"/>
      <c r="Q17" s="63"/>
      <c r="R17" s="51"/>
      <c r="S17" s="51"/>
      <c r="T17" s="51"/>
    </row>
    <row r="18">
      <c r="A18" s="51" t="str">
        <f>IFERROR(__xludf.DUMMYFUNCTION("""COMPUTED_VALUE"""),"The 2020 marketing playbook ")</f>
        <v>The 2020 marketing playbook </v>
      </c>
      <c r="B18" s="51" t="str">
        <f>IFERROR(__xludf.DUMMYFUNCTION("""COMPUTED_VALUE"""),"PandaConf")</f>
        <v>PandaConf</v>
      </c>
      <c r="C18" s="56" t="str">
        <f>IFERROR(__xludf.DUMMYFUNCTION("""COMPUTED_VALUE"""),"David Meltzer")</f>
        <v>David Meltzer</v>
      </c>
      <c r="D18" s="51" t="str">
        <f>IFERROR(__xludf.DUMMYFUNCTION("""COMPUTED_VALUE"""),"2019/11/06 10:50:00")</f>
        <v>2019/11/06 10:50:00</v>
      </c>
      <c r="E18" s="51" t="str">
        <f>IFERROR(__xludf.DUMMYFUNCTION("""COMPUTED_VALUE"""),"2019/11/06 11:00:00")</f>
        <v>2019/11/06 11:00:00</v>
      </c>
      <c r="F18" s="51" t="str">
        <f>IFERROR(__xludf.DUMMYFUNCTION("""COMPUTED_VALUE"""),"a3e6df10-bf0c-4bb6-bc64-445c0756285c")</f>
        <v>a3e6df10-bf0c-4bb6-bc64-445c0756285c</v>
      </c>
      <c r="G18" s="58">
        <f>IFERROR(__xludf.DUMMYFUNCTION("""COMPUTED_VALUE"""),43775.0)</f>
        <v>43775</v>
      </c>
      <c r="H18" s="60">
        <f>IFERROR(__xludf.DUMMYFUNCTION("""COMPUTED_VALUE"""),0.4513888888888889)</f>
        <v>0.4513888889</v>
      </c>
      <c r="I18" s="58">
        <f>IFERROR(__xludf.DUMMYFUNCTION("""COMPUTED_VALUE"""),43775.0)</f>
        <v>43775</v>
      </c>
      <c r="J18" s="60">
        <f>IFERROR(__xludf.DUMMYFUNCTION("""COMPUTED_VALUE"""),0.4583333333333333)</f>
        <v>0.4583333333</v>
      </c>
      <c r="K18" s="60">
        <f t="shared" si="1"/>
        <v>0.006944444444</v>
      </c>
      <c r="L18" s="51" t="s">
        <v>124</v>
      </c>
      <c r="M18" s="62" t="s">
        <v>728</v>
      </c>
      <c r="N18" s="62" t="str">
        <f t="shared" si="2"/>
        <v>PC_6_2_a3e6df10-bf0c-4bb6-bc64-445c0756285c_000000_000000.mp4</v>
      </c>
      <c r="O18" s="50"/>
      <c r="P18" s="50"/>
      <c r="Q18" s="63"/>
      <c r="R18" s="51"/>
      <c r="S18" s="51"/>
      <c r="T18" s="51"/>
    </row>
    <row r="19">
      <c r="A19" s="51" t="str">
        <f>IFERROR(__xludf.DUMMYFUNCTION("""COMPUTED_VALUE"""),"Every day amplified: The Lamborghini experience")</f>
        <v>Every day amplified: The Lamborghini experience</v>
      </c>
      <c r="B19" s="51" t="str">
        <f>IFERROR(__xludf.DUMMYFUNCTION("""COMPUTED_VALUE"""),"PandaConf")</f>
        <v>PandaConf</v>
      </c>
      <c r="C19" s="56" t="str">
        <f>IFERROR(__xludf.DUMMYFUNCTION("""COMPUTED_VALUE"""),"Katia Bassi")</f>
        <v>Katia Bassi</v>
      </c>
      <c r="D19" s="51" t="str">
        <f>IFERROR(__xludf.DUMMYFUNCTION("""COMPUTED_VALUE"""),"2019/11/06 11:00:00")</f>
        <v>2019/11/06 11:00:00</v>
      </c>
      <c r="E19" s="51" t="str">
        <f>IFERROR(__xludf.DUMMYFUNCTION("""COMPUTED_VALUE"""),"2019/11/06 11:30:00")</f>
        <v>2019/11/06 11:30:00</v>
      </c>
      <c r="F19" s="51" t="str">
        <f>IFERROR(__xludf.DUMMYFUNCTION("""COMPUTED_VALUE"""),"2480ada4-aa87-4928-9270-10496ee3b070")</f>
        <v>2480ada4-aa87-4928-9270-10496ee3b070</v>
      </c>
      <c r="G19" s="58">
        <f>IFERROR(__xludf.DUMMYFUNCTION("""COMPUTED_VALUE"""),43775.0)</f>
        <v>43775</v>
      </c>
      <c r="H19" s="60">
        <f>IFERROR(__xludf.DUMMYFUNCTION("""COMPUTED_VALUE"""),0.4583333333333333)</f>
        <v>0.4583333333</v>
      </c>
      <c r="I19" s="58">
        <f>IFERROR(__xludf.DUMMYFUNCTION("""COMPUTED_VALUE"""),43775.0)</f>
        <v>43775</v>
      </c>
      <c r="J19" s="60">
        <f>IFERROR(__xludf.DUMMYFUNCTION("""COMPUTED_VALUE"""),0.4791666666666667)</f>
        <v>0.4791666667</v>
      </c>
      <c r="K19" s="60">
        <f t="shared" si="1"/>
        <v>0.02083333333</v>
      </c>
      <c r="L19" s="51" t="s">
        <v>105</v>
      </c>
      <c r="M19" s="62" t="s">
        <v>729</v>
      </c>
      <c r="N19" s="62" t="str">
        <f t="shared" si="2"/>
        <v>PC_6_3_2480ada4-aa87-4928-9270-10496ee3b070_000000_000000.mp4</v>
      </c>
      <c r="O19" s="50"/>
      <c r="P19" s="50"/>
      <c r="Q19" s="63"/>
      <c r="R19" s="51"/>
      <c r="S19" s="51"/>
      <c r="T19" s="51"/>
    </row>
    <row r="20">
      <c r="A20" s="51" t="str">
        <f>IFERROR(__xludf.DUMMYFUNCTION("""COMPUTED_VALUE""")," Changes are afoot: The death of traditional retail")</f>
        <v> Changes are afoot: The death of traditional retail</v>
      </c>
      <c r="B20" s="51" t="str">
        <f>IFERROR(__xludf.DUMMYFUNCTION("""COMPUTED_VALUE"""),"PandaConf")</f>
        <v>PandaConf</v>
      </c>
      <c r="C20" s="56" t="str">
        <f>IFERROR(__xludf.DUMMYFUNCTION("""COMPUTED_VALUE"""),"Josh Luber and Rebecca Stewart")</f>
        <v>Josh Luber and Rebecca Stewart</v>
      </c>
      <c r="D20" s="51" t="str">
        <f>IFERROR(__xludf.DUMMYFUNCTION("""COMPUTED_VALUE"""),"2019/11/06 11:30:00")</f>
        <v>2019/11/06 11:30:00</v>
      </c>
      <c r="E20" s="51" t="str">
        <f>IFERROR(__xludf.DUMMYFUNCTION("""COMPUTED_VALUE"""),"2019/11/06 11:50:00")</f>
        <v>2019/11/06 11:50:00</v>
      </c>
      <c r="F20" s="51" t="str">
        <f>IFERROR(__xludf.DUMMYFUNCTION("""COMPUTED_VALUE"""),"476f37c9-89b4-4016-a979-7dc647616266")</f>
        <v>476f37c9-89b4-4016-a979-7dc647616266</v>
      </c>
      <c r="G20" s="58">
        <f>IFERROR(__xludf.DUMMYFUNCTION("""COMPUTED_VALUE"""),43775.0)</f>
        <v>43775</v>
      </c>
      <c r="H20" s="60">
        <f>IFERROR(__xludf.DUMMYFUNCTION("""COMPUTED_VALUE"""),0.4791666666666667)</f>
        <v>0.4791666667</v>
      </c>
      <c r="I20" s="58">
        <f>IFERROR(__xludf.DUMMYFUNCTION("""COMPUTED_VALUE"""),43775.0)</f>
        <v>43775</v>
      </c>
      <c r="J20" s="60">
        <f>IFERROR(__xludf.DUMMYFUNCTION("""COMPUTED_VALUE"""),0.4930555555555556)</f>
        <v>0.4930555556</v>
      </c>
      <c r="K20" s="60">
        <f t="shared" si="1"/>
        <v>0.01388888889</v>
      </c>
      <c r="L20" s="51" t="s">
        <v>111</v>
      </c>
      <c r="M20" s="62" t="s">
        <v>730</v>
      </c>
      <c r="N20" s="62" t="str">
        <f t="shared" si="2"/>
        <v>PC_6_4_476f37c9-89b4-4016-a979-7dc647616266_000000_000000.mp4</v>
      </c>
      <c r="O20" s="50"/>
      <c r="P20" s="50"/>
      <c r="Q20" s="63"/>
      <c r="R20" s="51"/>
      <c r="S20" s="51"/>
      <c r="T20" s="51"/>
    </row>
    <row r="21">
      <c r="A21" s="51" t="str">
        <f>IFERROR(__xludf.DUMMYFUNCTION("""COMPUTED_VALUE"""),"How to win on social")</f>
        <v>How to win on social</v>
      </c>
      <c r="B21" s="51" t="str">
        <f>IFERROR(__xludf.DUMMYFUNCTION("""COMPUTED_VALUE"""),"PandaConf")</f>
        <v>PandaConf</v>
      </c>
      <c r="C21" s="56" t="str">
        <f>IFERROR(__xludf.DUMMYFUNCTION("""COMPUTED_VALUE"""),"Dima Khatib, Margaret Molloy, Alex Chung and Mark Little")</f>
        <v>Dima Khatib, Margaret Molloy, Alex Chung and Mark Little</v>
      </c>
      <c r="D21" s="51" t="str">
        <f>IFERROR(__xludf.DUMMYFUNCTION("""COMPUTED_VALUE"""),"2019/11/06 11:50:00")</f>
        <v>2019/11/06 11:50:00</v>
      </c>
      <c r="E21" s="51" t="str">
        <f>IFERROR(__xludf.DUMMYFUNCTION("""COMPUTED_VALUE"""),"2019/11/06 12:10:00")</f>
        <v>2019/11/06 12:10:00</v>
      </c>
      <c r="F21" s="51" t="str">
        <f>IFERROR(__xludf.DUMMYFUNCTION("""COMPUTED_VALUE"""),"58ae0116-8289-4d43-aec1-d71e1c6e9d06")</f>
        <v>58ae0116-8289-4d43-aec1-d71e1c6e9d06</v>
      </c>
      <c r="G21" s="58">
        <f>IFERROR(__xludf.DUMMYFUNCTION("""COMPUTED_VALUE"""),43775.0)</f>
        <v>43775</v>
      </c>
      <c r="H21" s="60">
        <f>IFERROR(__xludf.DUMMYFUNCTION("""COMPUTED_VALUE"""),0.4930555555555556)</f>
        <v>0.4930555556</v>
      </c>
      <c r="I21" s="58">
        <f>IFERROR(__xludf.DUMMYFUNCTION("""COMPUTED_VALUE"""),43775.0)</f>
        <v>43775</v>
      </c>
      <c r="J21" s="60">
        <f>IFERROR(__xludf.DUMMYFUNCTION("""COMPUTED_VALUE"""),0.5069444444444444)</f>
        <v>0.5069444444</v>
      </c>
      <c r="K21" s="60">
        <f t="shared" si="1"/>
        <v>0.01388888889</v>
      </c>
      <c r="L21" s="51" t="s">
        <v>111</v>
      </c>
      <c r="M21" s="62" t="s">
        <v>731</v>
      </c>
      <c r="N21" s="62" t="str">
        <f t="shared" si="2"/>
        <v>PC_6_5_58ae0116-8289-4d43-aec1-d71e1c6e9d06_000000_000000.mp4</v>
      </c>
      <c r="O21" s="50"/>
      <c r="P21" s="50"/>
      <c r="Q21" s="63"/>
      <c r="R21" s="51"/>
      <c r="S21" s="51"/>
      <c r="T21" s="51"/>
    </row>
    <row r="22">
      <c r="A22" s="51" t="str">
        <f>IFERROR(__xludf.DUMMYFUNCTION("""COMPUTED_VALUE"""),"Behind the paywall: Making money in media")</f>
        <v>Behind the paywall: Making money in media</v>
      </c>
      <c r="B22" s="51" t="str">
        <f>IFERROR(__xludf.DUMMYFUNCTION("""COMPUTED_VALUE"""),"PandaConf")</f>
        <v>PandaConf</v>
      </c>
      <c r="C22" s="56" t="str">
        <f>IFERROR(__xludf.DUMMYFUNCTION("""COMPUTED_VALUE"""),"Brendan Eich, Yaron Galai and Kit Eaton")</f>
        <v>Brendan Eich, Yaron Galai and Kit Eaton</v>
      </c>
      <c r="D22" s="51" t="str">
        <f>IFERROR(__xludf.DUMMYFUNCTION("""COMPUTED_VALUE"""),"2019/11/06 12:10:00")</f>
        <v>2019/11/06 12:10:00</v>
      </c>
      <c r="E22" s="51" t="str">
        <f>IFERROR(__xludf.DUMMYFUNCTION("""COMPUTED_VALUE"""),"2019/11/06 12:30:00")</f>
        <v>2019/11/06 12:30:00</v>
      </c>
      <c r="F22" s="51" t="str">
        <f>IFERROR(__xludf.DUMMYFUNCTION("""COMPUTED_VALUE"""),"ed625704-266c-45fc-b093-337bcd4e6c90")</f>
        <v>ed625704-266c-45fc-b093-337bcd4e6c90</v>
      </c>
      <c r="G22" s="58">
        <f>IFERROR(__xludf.DUMMYFUNCTION("""COMPUTED_VALUE"""),43775.0)</f>
        <v>43775</v>
      </c>
      <c r="H22" s="60">
        <f>IFERROR(__xludf.DUMMYFUNCTION("""COMPUTED_VALUE"""),0.5069444444444444)</f>
        <v>0.5069444444</v>
      </c>
      <c r="I22" s="58">
        <f>IFERROR(__xludf.DUMMYFUNCTION("""COMPUTED_VALUE"""),43775.0)</f>
        <v>43775</v>
      </c>
      <c r="J22" s="60">
        <f>IFERROR(__xludf.DUMMYFUNCTION("""COMPUTED_VALUE"""),0.5208333333333334)</f>
        <v>0.5208333333</v>
      </c>
      <c r="K22" s="60">
        <f t="shared" si="1"/>
        <v>0.01388888889</v>
      </c>
      <c r="L22" s="51" t="s">
        <v>111</v>
      </c>
      <c r="M22" s="62" t="s">
        <v>732</v>
      </c>
      <c r="N22" s="62" t="str">
        <f t="shared" si="2"/>
        <v>PC_6_6_ed625704-266c-45fc-b093-337bcd4e6c90_000000_000000.mp4</v>
      </c>
      <c r="O22" s="50"/>
      <c r="P22" s="50"/>
      <c r="Q22" s="63"/>
      <c r="R22" s="51"/>
      <c r="S22" s="51"/>
      <c r="T22" s="51"/>
    </row>
    <row r="23">
      <c r="A23" s="51" t="str">
        <f>IFERROR(__xludf.DUMMYFUNCTION("""COMPUTED_VALUE"""),"How can tech companies regain our trust?")</f>
        <v>How can tech companies regain our trust?</v>
      </c>
      <c r="B23" s="51" t="str">
        <f>IFERROR(__xludf.DUMMYFUNCTION("""COMPUTED_VALUE"""),"PandaConf")</f>
        <v>PandaConf</v>
      </c>
      <c r="C23" s="56" t="str">
        <f>IFERROR(__xludf.DUMMYFUNCTION("""COMPUTED_VALUE"""),"Richard Edelman and Sara Fischer")</f>
        <v>Richard Edelman and Sara Fischer</v>
      </c>
      <c r="D23" s="51" t="str">
        <f>IFERROR(__xludf.DUMMYFUNCTION("""COMPUTED_VALUE"""),"2019/11/06 12:30:00")</f>
        <v>2019/11/06 12:30:00</v>
      </c>
      <c r="E23" s="51" t="str">
        <f>IFERROR(__xludf.DUMMYFUNCTION("""COMPUTED_VALUE"""),"2019/11/06 12:50:00")</f>
        <v>2019/11/06 12:50:00</v>
      </c>
      <c r="F23" s="51" t="str">
        <f>IFERROR(__xludf.DUMMYFUNCTION("""COMPUTED_VALUE"""),"e5951b2b-a338-4770-ac0d-d01d3e50257f")</f>
        <v>e5951b2b-a338-4770-ac0d-d01d3e50257f</v>
      </c>
      <c r="G23" s="58">
        <f>IFERROR(__xludf.DUMMYFUNCTION("""COMPUTED_VALUE"""),43775.0)</f>
        <v>43775</v>
      </c>
      <c r="H23" s="60">
        <f>IFERROR(__xludf.DUMMYFUNCTION("""COMPUTED_VALUE"""),0.5208333333333334)</f>
        <v>0.5208333333</v>
      </c>
      <c r="I23" s="58">
        <f>IFERROR(__xludf.DUMMYFUNCTION("""COMPUTED_VALUE"""),43775.0)</f>
        <v>43775</v>
      </c>
      <c r="J23" s="60">
        <f>IFERROR(__xludf.DUMMYFUNCTION("""COMPUTED_VALUE"""),0.5347222222222222)</f>
        <v>0.5347222222</v>
      </c>
      <c r="K23" s="60">
        <f t="shared" si="1"/>
        <v>0.01388888889</v>
      </c>
      <c r="L23" s="51" t="s">
        <v>111</v>
      </c>
      <c r="M23" s="62" t="s">
        <v>733</v>
      </c>
      <c r="N23" s="62" t="str">
        <f t="shared" si="2"/>
        <v>PC_6_7_e5951b2b-a338-4770-ac0d-d01d3e50257f_000000_000000.mp4</v>
      </c>
      <c r="O23" s="50"/>
      <c r="P23" s="50"/>
      <c r="Q23" s="63"/>
      <c r="R23" s="51"/>
      <c r="S23" s="51"/>
      <c r="T23" s="51"/>
    </row>
    <row r="24">
      <c r="A24" s="51" t="str">
        <f>IFERROR(__xludf.DUMMYFUNCTION("""COMPUTED_VALUE"""),"Lunch break")</f>
        <v>Lunch break</v>
      </c>
      <c r="B24" s="51" t="str">
        <f>IFERROR(__xludf.DUMMYFUNCTION("""COMPUTED_VALUE"""),"PandaConf")</f>
        <v>PandaConf</v>
      </c>
      <c r="C24" s="56" t="str">
        <f>IFERROR(__xludf.DUMMYFUNCTION("""COMPUTED_VALUE"""),"")</f>
        <v/>
      </c>
      <c r="D24" s="51" t="str">
        <f>IFERROR(__xludf.DUMMYFUNCTION("""COMPUTED_VALUE"""),"2019/11/06 12:50:00")</f>
        <v>2019/11/06 12:50:00</v>
      </c>
      <c r="E24" s="51" t="str">
        <f>IFERROR(__xludf.DUMMYFUNCTION("""COMPUTED_VALUE"""),"2019/11/06 13:20:00")</f>
        <v>2019/11/06 13:20:00</v>
      </c>
      <c r="F24" s="51" t="str">
        <f>IFERROR(__xludf.DUMMYFUNCTION("""COMPUTED_VALUE"""),"4b044661-24dc-4ab0-bfe3-412a4bbb8a65")</f>
        <v>4b044661-24dc-4ab0-bfe3-412a4bbb8a65</v>
      </c>
      <c r="G24" s="58">
        <f>IFERROR(__xludf.DUMMYFUNCTION("""COMPUTED_VALUE"""),43775.0)</f>
        <v>43775</v>
      </c>
      <c r="H24" s="60">
        <f>IFERROR(__xludf.DUMMYFUNCTION("""COMPUTED_VALUE"""),0.5347222222222222)</f>
        <v>0.5347222222</v>
      </c>
      <c r="I24" s="58">
        <f>IFERROR(__xludf.DUMMYFUNCTION("""COMPUTED_VALUE"""),43775.0)</f>
        <v>43775</v>
      </c>
      <c r="J24" s="60">
        <f>IFERROR(__xludf.DUMMYFUNCTION("""COMPUTED_VALUE"""),0.5555555555555556)</f>
        <v>0.5555555556</v>
      </c>
      <c r="K24" s="60">
        <f t="shared" si="1"/>
        <v>0.02083333333</v>
      </c>
      <c r="L24" s="51" t="s">
        <v>105</v>
      </c>
      <c r="M24" s="51"/>
      <c r="N24" s="62" t="str">
        <f t="shared" si="2"/>
        <v>_4b044661-24dc-4ab0-bfe3-412a4bbb8a65_000000_000000.mp4</v>
      </c>
      <c r="O24" s="50"/>
      <c r="P24" s="50"/>
      <c r="Q24" s="63"/>
      <c r="R24" s="51"/>
      <c r="S24" s="51"/>
      <c r="T24" s="51"/>
    </row>
    <row r="25">
      <c r="A25" s="51" t="str">
        <f>IFERROR(__xludf.DUMMYFUNCTION("""COMPUTED_VALUE"""),"Opening remarks")</f>
        <v>Opening remarks</v>
      </c>
      <c r="B25" s="51" t="str">
        <f>IFERROR(__xludf.DUMMYFUNCTION("""COMPUTED_VALUE"""),"PandaConf")</f>
        <v>PandaConf</v>
      </c>
      <c r="C25" s="56" t="str">
        <f>IFERROR(__xludf.DUMMYFUNCTION("""COMPUTED_VALUE"""),"Belinda Esterhammer")</f>
        <v>Belinda Esterhammer</v>
      </c>
      <c r="D25" s="51" t="str">
        <f>IFERROR(__xludf.DUMMYFUNCTION("""COMPUTED_VALUE"""),"2019/11/06 13:20:00")</f>
        <v>2019/11/06 13:20:00</v>
      </c>
      <c r="E25" s="51" t="str">
        <f>IFERROR(__xludf.DUMMYFUNCTION("""COMPUTED_VALUE"""),"2019/11/06 13:25:00")</f>
        <v>2019/11/06 13:25:00</v>
      </c>
      <c r="F25" s="51" t="str">
        <f>IFERROR(__xludf.DUMMYFUNCTION("""COMPUTED_VALUE"""),"fb0e70e0-034f-404d-9fc4-51faa6d0e1dc")</f>
        <v>fb0e70e0-034f-404d-9fc4-51faa6d0e1dc</v>
      </c>
      <c r="G25" s="58">
        <f>IFERROR(__xludf.DUMMYFUNCTION("""COMPUTED_VALUE"""),43775.0)</f>
        <v>43775</v>
      </c>
      <c r="H25" s="60">
        <f>IFERROR(__xludf.DUMMYFUNCTION("""COMPUTED_VALUE"""),0.5555555555555556)</f>
        <v>0.5555555556</v>
      </c>
      <c r="I25" s="58">
        <f>IFERROR(__xludf.DUMMYFUNCTION("""COMPUTED_VALUE"""),43775.0)</f>
        <v>43775</v>
      </c>
      <c r="J25" s="60">
        <f>IFERROR(__xludf.DUMMYFUNCTION("""COMPUTED_VALUE"""),0.5590277777777778)</f>
        <v>0.5590277778</v>
      </c>
      <c r="K25" s="60">
        <f t="shared" si="1"/>
        <v>0.003472222222</v>
      </c>
      <c r="L25" s="51" t="s">
        <v>234</v>
      </c>
      <c r="M25" s="62" t="s">
        <v>734</v>
      </c>
      <c r="N25" s="62" t="str">
        <f t="shared" si="2"/>
        <v>PC_6_8_fb0e70e0-034f-404d-9fc4-51faa6d0e1dc_000000_000000.mp4</v>
      </c>
      <c r="O25" s="50"/>
      <c r="P25" s="50"/>
      <c r="Q25" s="63"/>
      <c r="R25" s="51"/>
      <c r="S25" s="51"/>
      <c r="T25" s="51"/>
    </row>
    <row r="26">
      <c r="A26" s="51" t="str">
        <f>IFERROR(__xludf.DUMMYFUNCTION("""COMPUTED_VALUE"""),"Sell me the truth")</f>
        <v>Sell me the truth</v>
      </c>
      <c r="B26" s="51" t="str">
        <f>IFERROR(__xludf.DUMMYFUNCTION("""COMPUTED_VALUE"""),"PandaConf")</f>
        <v>PandaConf</v>
      </c>
      <c r="C26" s="56" t="str">
        <f>IFERROR(__xludf.DUMMYFUNCTION("""COMPUTED_VALUE"""),"  and Erika Allen")</f>
        <v>  and Erika Allen</v>
      </c>
      <c r="D26" s="51" t="str">
        <f>IFERROR(__xludf.DUMMYFUNCTION("""COMPUTED_VALUE"""),"2019/11/06 13:25:00")</f>
        <v>2019/11/06 13:25:00</v>
      </c>
      <c r="E26" s="51" t="str">
        <f>IFERROR(__xludf.DUMMYFUNCTION("""COMPUTED_VALUE"""),"2019/11/06 13:40:00")</f>
        <v>2019/11/06 13:40:00</v>
      </c>
      <c r="F26" s="51" t="str">
        <f>IFERROR(__xludf.DUMMYFUNCTION("""COMPUTED_VALUE"""),"5d1754cd-ac66-4c61-ae91-b526c7e5b573")</f>
        <v>5d1754cd-ac66-4c61-ae91-b526c7e5b573</v>
      </c>
      <c r="G26" s="58">
        <f>IFERROR(__xludf.DUMMYFUNCTION("""COMPUTED_VALUE"""),43775.0)</f>
        <v>43775</v>
      </c>
      <c r="H26" s="60">
        <f>IFERROR(__xludf.DUMMYFUNCTION("""COMPUTED_VALUE"""),0.5590277777777778)</f>
        <v>0.5590277778</v>
      </c>
      <c r="I26" s="58">
        <f>IFERROR(__xludf.DUMMYFUNCTION("""COMPUTED_VALUE"""),43775.0)</f>
        <v>43775</v>
      </c>
      <c r="J26" s="60">
        <f>IFERROR(__xludf.DUMMYFUNCTION("""COMPUTED_VALUE"""),0.5694444444444444)</f>
        <v>0.5694444444</v>
      </c>
      <c r="K26" s="60">
        <f t="shared" si="1"/>
        <v>0.01041666667</v>
      </c>
      <c r="L26" s="51" t="s">
        <v>116</v>
      </c>
      <c r="M26" s="62" t="s">
        <v>735</v>
      </c>
      <c r="N26" s="62" t="str">
        <f t="shared" si="2"/>
        <v>PC_6_9_5d1754cd-ac66-4c61-ae91-b526c7e5b573_000000_000000.mp4</v>
      </c>
      <c r="O26" s="50"/>
      <c r="P26" s="50"/>
      <c r="Q26" s="63"/>
      <c r="R26" s="51"/>
      <c r="S26" s="51"/>
      <c r="T26" s="51"/>
    </row>
    <row r="27">
      <c r="A27" s="51" t="str">
        <f>IFERROR(__xludf.DUMMYFUNCTION("""COMPUTED_VALUE"""),"The end game: Making purpose real")</f>
        <v>The end game: Making purpose real</v>
      </c>
      <c r="B27" s="51" t="str">
        <f>IFERROR(__xludf.DUMMYFUNCTION("""COMPUTED_VALUE"""),"PandaConf")</f>
        <v>PandaConf</v>
      </c>
      <c r="C27" s="56" t="str">
        <f>IFERROR(__xludf.DUMMYFUNCTION("""COMPUTED_VALUE"""),"Frank Cooper")</f>
        <v>Frank Cooper</v>
      </c>
      <c r="D27" s="51" t="str">
        <f>IFERROR(__xludf.DUMMYFUNCTION("""COMPUTED_VALUE"""),"2019/11/06 13:40:00")</f>
        <v>2019/11/06 13:40:00</v>
      </c>
      <c r="E27" s="51" t="str">
        <f>IFERROR(__xludf.DUMMYFUNCTION("""COMPUTED_VALUE"""),"2019/11/06 14:00:00")</f>
        <v>2019/11/06 14:00:00</v>
      </c>
      <c r="F27" s="51" t="str">
        <f>IFERROR(__xludf.DUMMYFUNCTION("""COMPUTED_VALUE"""),"636226aa-a8ed-4f7f-a372-8195bc940c39")</f>
        <v>636226aa-a8ed-4f7f-a372-8195bc940c39</v>
      </c>
      <c r="G27" s="58">
        <f>IFERROR(__xludf.DUMMYFUNCTION("""COMPUTED_VALUE"""),43775.0)</f>
        <v>43775</v>
      </c>
      <c r="H27" s="60">
        <f>IFERROR(__xludf.DUMMYFUNCTION("""COMPUTED_VALUE"""),0.5694444444444444)</f>
        <v>0.5694444444</v>
      </c>
      <c r="I27" s="58">
        <f>IFERROR(__xludf.DUMMYFUNCTION("""COMPUTED_VALUE"""),43775.0)</f>
        <v>43775</v>
      </c>
      <c r="J27" s="60">
        <f>IFERROR(__xludf.DUMMYFUNCTION("""COMPUTED_VALUE"""),0.5833333333333334)</f>
        <v>0.5833333333</v>
      </c>
      <c r="K27" s="60">
        <f t="shared" si="1"/>
        <v>0.01388888889</v>
      </c>
      <c r="L27" s="51" t="s">
        <v>111</v>
      </c>
      <c r="M27" s="62" t="s">
        <v>736</v>
      </c>
      <c r="N27" s="62" t="str">
        <f t="shared" si="2"/>
        <v>PC_6_10_636226aa-a8ed-4f7f-a372-8195bc940c39_000000_000000.mp4</v>
      </c>
      <c r="O27" s="50"/>
      <c r="P27" s="50"/>
      <c r="Q27" s="63"/>
      <c r="R27" s="51"/>
      <c r="S27" s="51"/>
      <c r="T27" s="51"/>
    </row>
    <row r="28">
      <c r="A28" s="51" t="str">
        <f>IFERROR(__xludf.DUMMYFUNCTION("""COMPUTED_VALUE"""),"Brand safety and responsible media")</f>
        <v>Brand safety and responsible media</v>
      </c>
      <c r="B28" s="51" t="str">
        <f>IFERROR(__xludf.DUMMYFUNCTION("""COMPUTED_VALUE"""),"PandaConf")</f>
        <v>PandaConf</v>
      </c>
      <c r="C28" s="56" t="str">
        <f>IFERROR(__xludf.DUMMYFUNCTION("""COMPUTED_VALUE"""),"Raja Rajamannar")</f>
        <v>Raja Rajamannar</v>
      </c>
      <c r="D28" s="51" t="str">
        <f>IFERROR(__xludf.DUMMYFUNCTION("""COMPUTED_VALUE"""),"2019/11/06 14:00:00")</f>
        <v>2019/11/06 14:00:00</v>
      </c>
      <c r="E28" s="51" t="str">
        <f>IFERROR(__xludf.DUMMYFUNCTION("""COMPUTED_VALUE"""),"2019/11/06 14:20:00")</f>
        <v>2019/11/06 14:20:00</v>
      </c>
      <c r="F28" s="51" t="str">
        <f>IFERROR(__xludf.DUMMYFUNCTION("""COMPUTED_VALUE"""),"258a4d18-1e24-4cc3-b510-ceba05f8eea6")</f>
        <v>258a4d18-1e24-4cc3-b510-ceba05f8eea6</v>
      </c>
      <c r="G28" s="58">
        <f>IFERROR(__xludf.DUMMYFUNCTION("""COMPUTED_VALUE"""),43775.0)</f>
        <v>43775</v>
      </c>
      <c r="H28" s="60">
        <f>IFERROR(__xludf.DUMMYFUNCTION("""COMPUTED_VALUE"""),0.5833333333333334)</f>
        <v>0.5833333333</v>
      </c>
      <c r="I28" s="58">
        <f>IFERROR(__xludf.DUMMYFUNCTION("""COMPUTED_VALUE"""),43775.0)</f>
        <v>43775</v>
      </c>
      <c r="J28" s="60">
        <f>IFERROR(__xludf.DUMMYFUNCTION("""COMPUTED_VALUE"""),0.5972222222222222)</f>
        <v>0.5972222222</v>
      </c>
      <c r="K28" s="60">
        <f t="shared" si="1"/>
        <v>0.01388888889</v>
      </c>
      <c r="L28" s="51" t="s">
        <v>111</v>
      </c>
      <c r="M28" s="62" t="s">
        <v>737</v>
      </c>
      <c r="N28" s="62" t="str">
        <f t="shared" si="2"/>
        <v>PC_6_11_258a4d18-1e24-4cc3-b510-ceba05f8eea6_000000_000000.mp4</v>
      </c>
      <c r="O28" s="50"/>
      <c r="P28" s="50"/>
      <c r="Q28" s="63"/>
      <c r="R28" s="51"/>
      <c r="S28" s="51"/>
      <c r="T28" s="51"/>
    </row>
    <row r="29">
      <c r="A29" s="51" t="str">
        <f>IFERROR(__xludf.DUMMYFUNCTION("""COMPUTED_VALUE"""),"Growing a celebrity brand in the digital age")</f>
        <v>Growing a celebrity brand in the digital age</v>
      </c>
      <c r="B29" s="51" t="str">
        <f>IFERROR(__xludf.DUMMYFUNCTION("""COMPUTED_VALUE"""),"PandaConf")</f>
        <v>PandaConf</v>
      </c>
      <c r="C29" s="56" t="str">
        <f>IFERROR(__xludf.DUMMYFUNCTION("""COMPUTED_VALUE"""),"Louis Saha, Simon Oliveira, Paige VanZant and Miguel Delaney")</f>
        <v>Louis Saha, Simon Oliveira, Paige VanZant and Miguel Delaney</v>
      </c>
      <c r="D29" s="51" t="str">
        <f>IFERROR(__xludf.DUMMYFUNCTION("""COMPUTED_VALUE"""),"2019/11/06 14:20:00")</f>
        <v>2019/11/06 14:20:00</v>
      </c>
      <c r="E29" s="51" t="str">
        <f>IFERROR(__xludf.DUMMYFUNCTION("""COMPUTED_VALUE"""),"2019/11/06 14:45:00")</f>
        <v>2019/11/06 14:45:00</v>
      </c>
      <c r="F29" s="51" t="str">
        <f>IFERROR(__xludf.DUMMYFUNCTION("""COMPUTED_VALUE"""),"390ba761-c981-4b58-94f6-84489df157bb")</f>
        <v>390ba761-c981-4b58-94f6-84489df157bb</v>
      </c>
      <c r="G29" s="58">
        <f>IFERROR(__xludf.DUMMYFUNCTION("""COMPUTED_VALUE"""),43775.0)</f>
        <v>43775</v>
      </c>
      <c r="H29" s="60">
        <f>IFERROR(__xludf.DUMMYFUNCTION("""COMPUTED_VALUE"""),0.5972222222222222)</f>
        <v>0.5972222222</v>
      </c>
      <c r="I29" s="58">
        <f>IFERROR(__xludf.DUMMYFUNCTION("""COMPUTED_VALUE"""),43775.0)</f>
        <v>43775</v>
      </c>
      <c r="J29" s="60">
        <f>IFERROR(__xludf.DUMMYFUNCTION("""COMPUTED_VALUE"""),0.6145833333333334)</f>
        <v>0.6145833333</v>
      </c>
      <c r="K29" s="60">
        <f t="shared" si="1"/>
        <v>0.01736111111</v>
      </c>
      <c r="L29" s="51" t="s">
        <v>107</v>
      </c>
      <c r="M29" s="62" t="s">
        <v>738</v>
      </c>
      <c r="N29" s="62" t="str">
        <f t="shared" si="2"/>
        <v>PC_6_12_390ba761-c981-4b58-94f6-84489df157bb_000000_000000.mp4</v>
      </c>
      <c r="O29" s="50"/>
      <c r="P29" s="50"/>
      <c r="Q29" s="63"/>
      <c r="R29" s="51"/>
      <c r="S29" s="51"/>
      <c r="T29" s="51"/>
    </row>
    <row r="30">
      <c r="A30" s="51" t="str">
        <f>IFERROR(__xludf.DUMMYFUNCTION("""COMPUTED_VALUE"""),"Catching feelings: The strength of experience")</f>
        <v>Catching feelings: The strength of experience</v>
      </c>
      <c r="B30" s="51" t="str">
        <f>IFERROR(__xludf.DUMMYFUNCTION("""COMPUTED_VALUE"""),"PandaConf")</f>
        <v>PandaConf</v>
      </c>
      <c r="C30" s="56" t="str">
        <f>IFERROR(__xludf.DUMMYFUNCTION("""COMPUTED_VALUE"""),"Alicia Tillman")</f>
        <v>Alicia Tillman</v>
      </c>
      <c r="D30" s="51" t="str">
        <f>IFERROR(__xludf.DUMMYFUNCTION("""COMPUTED_VALUE"""),"2019/11/06 14:45:00")</f>
        <v>2019/11/06 14:45:00</v>
      </c>
      <c r="E30" s="51" t="str">
        <f>IFERROR(__xludf.DUMMYFUNCTION("""COMPUTED_VALUE"""),"2019/11/06 15:05:00")</f>
        <v>2019/11/06 15:05:00</v>
      </c>
      <c r="F30" s="51" t="str">
        <f>IFERROR(__xludf.DUMMYFUNCTION("""COMPUTED_VALUE"""),"dabafdcc-86cd-479f-96fb-0cd2da1b9ac1")</f>
        <v>dabafdcc-86cd-479f-96fb-0cd2da1b9ac1</v>
      </c>
      <c r="G30" s="58">
        <f>IFERROR(__xludf.DUMMYFUNCTION("""COMPUTED_VALUE"""),43775.0)</f>
        <v>43775</v>
      </c>
      <c r="H30" s="60">
        <f>IFERROR(__xludf.DUMMYFUNCTION("""COMPUTED_VALUE"""),0.6145833333333334)</f>
        <v>0.6145833333</v>
      </c>
      <c r="I30" s="58">
        <f>IFERROR(__xludf.DUMMYFUNCTION("""COMPUTED_VALUE"""),43775.0)</f>
        <v>43775</v>
      </c>
      <c r="J30" s="60">
        <f>IFERROR(__xludf.DUMMYFUNCTION("""COMPUTED_VALUE"""),0.6284722222222222)</f>
        <v>0.6284722222</v>
      </c>
      <c r="K30" s="60">
        <f t="shared" si="1"/>
        <v>0.01388888889</v>
      </c>
      <c r="L30" s="51" t="s">
        <v>111</v>
      </c>
      <c r="M30" s="62" t="s">
        <v>739</v>
      </c>
      <c r="N30" s="62" t="str">
        <f t="shared" si="2"/>
        <v>PC_6_13_dabafdcc-86cd-479f-96fb-0cd2da1b9ac1_000000_000000.mp4</v>
      </c>
      <c r="O30" s="50"/>
      <c r="P30" s="50"/>
      <c r="Q30" s="63"/>
      <c r="R30" s="51"/>
      <c r="S30" s="51"/>
      <c r="T30" s="51"/>
    </row>
    <row r="31">
      <c r="A31" s="51" t="str">
        <f>IFERROR(__xludf.DUMMYFUNCTION("""COMPUTED_VALUE"""),"Are your smartphone and outdoor advertising connected?")</f>
        <v>Are your smartphone and outdoor advertising connected?</v>
      </c>
      <c r="B31" s="51" t="str">
        <f>IFERROR(__xludf.DUMMYFUNCTION("""COMPUTED_VALUE"""),"PandaConf")</f>
        <v>PandaConf</v>
      </c>
      <c r="C31" s="56" t="str">
        <f>IFERROR(__xludf.DUMMYFUNCTION("""COMPUTED_VALUE"""),"François-Xavier Pierrel")</f>
        <v>François-Xavier Pierrel</v>
      </c>
      <c r="D31" s="51" t="str">
        <f>IFERROR(__xludf.DUMMYFUNCTION("""COMPUTED_VALUE"""),"2019/11/06 15:05:00")</f>
        <v>2019/11/06 15:05:00</v>
      </c>
      <c r="E31" s="51" t="str">
        <f>IFERROR(__xludf.DUMMYFUNCTION("""COMPUTED_VALUE"""),"2019/11/06 15:25:00")</f>
        <v>2019/11/06 15:25:00</v>
      </c>
      <c r="F31" s="51" t="str">
        <f>IFERROR(__xludf.DUMMYFUNCTION("""COMPUTED_VALUE"""),"44f5b406-feed-4fad-a094-485085d7d3e5")</f>
        <v>44f5b406-feed-4fad-a094-485085d7d3e5</v>
      </c>
      <c r="G31" s="58">
        <f>IFERROR(__xludf.DUMMYFUNCTION("""COMPUTED_VALUE"""),43775.0)</f>
        <v>43775</v>
      </c>
      <c r="H31" s="60">
        <f>IFERROR(__xludf.DUMMYFUNCTION("""COMPUTED_VALUE"""),0.6284722222222222)</f>
        <v>0.6284722222</v>
      </c>
      <c r="I31" s="58">
        <f>IFERROR(__xludf.DUMMYFUNCTION("""COMPUTED_VALUE"""),43775.0)</f>
        <v>43775</v>
      </c>
      <c r="J31" s="60">
        <f>IFERROR(__xludf.DUMMYFUNCTION("""COMPUTED_VALUE"""),0.6423611111111112)</f>
        <v>0.6423611111</v>
      </c>
      <c r="K31" s="60">
        <f t="shared" si="1"/>
        <v>0.01388888889</v>
      </c>
      <c r="L31" s="51" t="s">
        <v>111</v>
      </c>
      <c r="M31" s="62" t="s">
        <v>741</v>
      </c>
      <c r="N31" s="62" t="str">
        <f t="shared" si="2"/>
        <v>PC_6_14_44f5b406-feed-4fad-a094-485085d7d3e5_000000_000000.mp4</v>
      </c>
      <c r="O31" s="50"/>
      <c r="P31" s="50"/>
      <c r="Q31" s="63"/>
      <c r="R31" s="51"/>
      <c r="S31" s="51"/>
      <c r="T31" s="51"/>
    </row>
    <row r="32">
      <c r="A32" s="51" t="str">
        <f>IFERROR(__xludf.DUMMYFUNCTION("""COMPUTED_VALUE"""),"Listen, learn, love: How AI creates happier customers")</f>
        <v>Listen, learn, love: How AI creates happier customers</v>
      </c>
      <c r="B32" s="51" t="str">
        <f>IFERROR(__xludf.DUMMYFUNCTION("""COMPUTED_VALUE"""),"PandaConf")</f>
        <v>PandaConf</v>
      </c>
      <c r="C32" s="56" t="str">
        <f>IFERROR(__xludf.DUMMYFUNCTION("""COMPUTED_VALUE"""),"Ragy Thomas and Don Clark")</f>
        <v>Ragy Thomas and Don Clark</v>
      </c>
      <c r="D32" s="51" t="str">
        <f>IFERROR(__xludf.DUMMYFUNCTION("""COMPUTED_VALUE"""),"2019/11/06 15:25:00")</f>
        <v>2019/11/06 15:25:00</v>
      </c>
      <c r="E32" s="51" t="str">
        <f>IFERROR(__xludf.DUMMYFUNCTION("""COMPUTED_VALUE"""),"2019/11/06 15:45:00")</f>
        <v>2019/11/06 15:45:00</v>
      </c>
      <c r="F32" s="51" t="str">
        <f>IFERROR(__xludf.DUMMYFUNCTION("""COMPUTED_VALUE"""),"95a0e3a7-dd71-4df7-8b53-fd5feefc8ec7")</f>
        <v>95a0e3a7-dd71-4df7-8b53-fd5feefc8ec7</v>
      </c>
      <c r="G32" s="58">
        <f>IFERROR(__xludf.DUMMYFUNCTION("""COMPUTED_VALUE"""),43775.0)</f>
        <v>43775</v>
      </c>
      <c r="H32" s="60">
        <f>IFERROR(__xludf.DUMMYFUNCTION("""COMPUTED_VALUE"""),0.6423611111111112)</f>
        <v>0.6423611111</v>
      </c>
      <c r="I32" s="58">
        <f>IFERROR(__xludf.DUMMYFUNCTION("""COMPUTED_VALUE"""),43775.0)</f>
        <v>43775</v>
      </c>
      <c r="J32" s="60">
        <f>IFERROR(__xludf.DUMMYFUNCTION("""COMPUTED_VALUE"""),0.65625)</f>
        <v>0.65625</v>
      </c>
      <c r="K32" s="60">
        <f t="shared" si="1"/>
        <v>0.01388888889</v>
      </c>
      <c r="L32" s="51" t="s">
        <v>111</v>
      </c>
      <c r="M32" s="62" t="s">
        <v>743</v>
      </c>
      <c r="N32" s="62" t="str">
        <f t="shared" si="2"/>
        <v>PC_6_15_95a0e3a7-dd71-4df7-8b53-fd5feefc8ec7_000000_000000.mp4</v>
      </c>
      <c r="O32" s="50"/>
      <c r="P32" s="50"/>
      <c r="Q32" s="63"/>
      <c r="R32" s="51"/>
      <c r="S32" s="51"/>
      <c r="T32" s="51"/>
    </row>
    <row r="33">
      <c r="A33" s="51" t="str">
        <f>IFERROR(__xludf.DUMMYFUNCTION("""COMPUTED_VALUE"""),"Rethinking the marketing and sales funnel")</f>
        <v>Rethinking the marketing and sales funnel</v>
      </c>
      <c r="B33" s="51" t="str">
        <f>IFERROR(__xludf.DUMMYFUNCTION("""COMPUTED_VALUE"""),"PandaConf")</f>
        <v>PandaConf</v>
      </c>
      <c r="C33" s="56" t="str">
        <f>IFERROR(__xludf.DUMMYFUNCTION("""COMPUTED_VALUE"""),"Armand Thiberge, Mada Seghete, Bill Magnuson and Michelle Castillo")</f>
        <v>Armand Thiberge, Mada Seghete, Bill Magnuson and Michelle Castillo</v>
      </c>
      <c r="D33" s="51" t="str">
        <f>IFERROR(__xludf.DUMMYFUNCTION("""COMPUTED_VALUE"""),"2019/11/06 15:45:00")</f>
        <v>2019/11/06 15:45:00</v>
      </c>
      <c r="E33" s="51" t="str">
        <f>IFERROR(__xludf.DUMMYFUNCTION("""COMPUTED_VALUE"""),"2019/11/06 16:15:00")</f>
        <v>2019/11/06 16:15:00</v>
      </c>
      <c r="F33" s="51" t="str">
        <f>IFERROR(__xludf.DUMMYFUNCTION("""COMPUTED_VALUE"""),"30dc2f4b-0b11-4bdc-a05e-da3b7d605529")</f>
        <v>30dc2f4b-0b11-4bdc-a05e-da3b7d605529</v>
      </c>
      <c r="G33" s="58">
        <f>IFERROR(__xludf.DUMMYFUNCTION("""COMPUTED_VALUE"""),43775.0)</f>
        <v>43775</v>
      </c>
      <c r="H33" s="60">
        <f>IFERROR(__xludf.DUMMYFUNCTION("""COMPUTED_VALUE"""),0.65625)</f>
        <v>0.65625</v>
      </c>
      <c r="I33" s="58">
        <f>IFERROR(__xludf.DUMMYFUNCTION("""COMPUTED_VALUE"""),43775.0)</f>
        <v>43775</v>
      </c>
      <c r="J33" s="60">
        <f>IFERROR(__xludf.DUMMYFUNCTION("""COMPUTED_VALUE"""),0.6770833333333334)</f>
        <v>0.6770833333</v>
      </c>
      <c r="K33" s="60">
        <f t="shared" si="1"/>
        <v>0.02083333333</v>
      </c>
      <c r="L33" s="51" t="s">
        <v>105</v>
      </c>
      <c r="M33" s="62" t="s">
        <v>745</v>
      </c>
      <c r="N33" s="62" t="str">
        <f t="shared" si="2"/>
        <v>PC_6_16_30dc2f4b-0b11-4bdc-a05e-da3b7d605529_000000_000000.mp4</v>
      </c>
      <c r="O33" s="50"/>
      <c r="P33" s="50"/>
      <c r="Q33" s="63"/>
      <c r="R33" s="51"/>
      <c r="S33" s="51"/>
      <c r="T33" s="51"/>
    </row>
    <row r="34">
      <c r="A34" s="51" t="str">
        <f>IFERROR(__xludf.DUMMYFUNCTION("""COMPUTED_VALUE"""),"Opening remarks")</f>
        <v>Opening remarks</v>
      </c>
      <c r="B34" s="51" t="str">
        <f>IFERROR(__xludf.DUMMYFUNCTION("""COMPUTED_VALUE"""),"PandaConf")</f>
        <v>PandaConf</v>
      </c>
      <c r="C34" s="56" t="str">
        <f>IFERROR(__xludf.DUMMYFUNCTION("""COMPUTED_VALUE"""),"Cynthia Johnson")</f>
        <v>Cynthia Johnson</v>
      </c>
      <c r="D34" s="51" t="str">
        <f>IFERROR(__xludf.DUMMYFUNCTION("""COMPUTED_VALUE"""),"2019/11/07 10:45:00")</f>
        <v>2019/11/07 10:45:00</v>
      </c>
      <c r="E34" s="51" t="str">
        <f>IFERROR(__xludf.DUMMYFUNCTION("""COMPUTED_VALUE"""),"2019/11/07 11:00:00")</f>
        <v>2019/11/07 11:00:00</v>
      </c>
      <c r="F34" s="51" t="str">
        <f>IFERROR(__xludf.DUMMYFUNCTION("""COMPUTED_VALUE"""),"3265e843-4d4c-4cb5-9d4f-a7379991b0db")</f>
        <v>3265e843-4d4c-4cb5-9d4f-a7379991b0db</v>
      </c>
      <c r="G34" s="58">
        <f>IFERROR(__xludf.DUMMYFUNCTION("""COMPUTED_VALUE"""),43776.0)</f>
        <v>43776</v>
      </c>
      <c r="H34" s="60">
        <f>IFERROR(__xludf.DUMMYFUNCTION("""COMPUTED_VALUE"""),0.4479166666666667)</f>
        <v>0.4479166667</v>
      </c>
      <c r="I34" s="58">
        <f>IFERROR(__xludf.DUMMYFUNCTION("""COMPUTED_VALUE"""),43776.0)</f>
        <v>43776</v>
      </c>
      <c r="J34" s="60">
        <f>IFERROR(__xludf.DUMMYFUNCTION("""COMPUTED_VALUE"""),0.4583333333333333)</f>
        <v>0.4583333333</v>
      </c>
      <c r="K34" s="60">
        <f t="shared" si="1"/>
        <v>0.01041666667</v>
      </c>
      <c r="L34" s="51" t="s">
        <v>116</v>
      </c>
      <c r="M34" s="62" t="s">
        <v>747</v>
      </c>
      <c r="N34" s="62" t="str">
        <f t="shared" si="2"/>
        <v>PC_7_1_3265e843-4d4c-4cb5-9d4f-a7379991b0db_000000_000000.mp4</v>
      </c>
      <c r="O34" s="50"/>
      <c r="P34" s="50"/>
      <c r="Q34" s="63"/>
      <c r="R34" s="51"/>
      <c r="S34" s="51"/>
      <c r="T34" s="51"/>
    </row>
    <row r="35">
      <c r="A35" s="51" t="str">
        <f>IFERROR(__xludf.DUMMYFUNCTION("""COMPUTED_VALUE"""),"The marketeer making burgers king")</f>
        <v>The marketeer making burgers king</v>
      </c>
      <c r="B35" s="51" t="str">
        <f>IFERROR(__xludf.DUMMYFUNCTION("""COMPUTED_VALUE"""),"PandaConf")</f>
        <v>PandaConf</v>
      </c>
      <c r="C35" s="56" t="str">
        <f>IFERROR(__xludf.DUMMYFUNCTION("""COMPUTED_VALUE"""),"Fernando Machado")</f>
        <v>Fernando Machado</v>
      </c>
      <c r="D35" s="51" t="str">
        <f>IFERROR(__xludf.DUMMYFUNCTION("""COMPUTED_VALUE"""),"2019/11/07 11:00:00")</f>
        <v>2019/11/07 11:00:00</v>
      </c>
      <c r="E35" s="51" t="str">
        <f>IFERROR(__xludf.DUMMYFUNCTION("""COMPUTED_VALUE"""),"2019/11/07 11:25:00")</f>
        <v>2019/11/07 11:25:00</v>
      </c>
      <c r="F35" s="51" t="str">
        <f>IFERROR(__xludf.DUMMYFUNCTION("""COMPUTED_VALUE"""),"f2a418d4-8fab-4544-a203-4fdcb2822bd4")</f>
        <v>f2a418d4-8fab-4544-a203-4fdcb2822bd4</v>
      </c>
      <c r="G35" s="58">
        <f>IFERROR(__xludf.DUMMYFUNCTION("""COMPUTED_VALUE"""),43776.0)</f>
        <v>43776</v>
      </c>
      <c r="H35" s="60">
        <f>IFERROR(__xludf.DUMMYFUNCTION("""COMPUTED_VALUE"""),0.4583333333333333)</f>
        <v>0.4583333333</v>
      </c>
      <c r="I35" s="58">
        <f>IFERROR(__xludf.DUMMYFUNCTION("""COMPUTED_VALUE"""),43776.0)</f>
        <v>43776</v>
      </c>
      <c r="J35" s="60">
        <f>IFERROR(__xludf.DUMMYFUNCTION("""COMPUTED_VALUE"""),0.4756944444444444)</f>
        <v>0.4756944444</v>
      </c>
      <c r="K35" s="60">
        <f t="shared" si="1"/>
        <v>0.01736111111</v>
      </c>
      <c r="L35" s="51" t="s">
        <v>107</v>
      </c>
      <c r="M35" s="87" t="s">
        <v>750</v>
      </c>
      <c r="N35" s="62" t="str">
        <f t="shared" si="2"/>
        <v>PC_7_2_f2a418d4-8fab-4544-a203-4fdcb2822bd4_000000_000000.mp4</v>
      </c>
      <c r="O35" s="50"/>
      <c r="P35" s="50"/>
      <c r="Q35" s="63"/>
      <c r="R35" s="51"/>
      <c r="S35" s="51"/>
      <c r="T35" s="51"/>
    </row>
    <row r="36">
      <c r="A36" s="51" t="str">
        <f>IFERROR(__xludf.DUMMYFUNCTION("""COMPUTED_VALUE"""),"Everything you've always wanted to know about marketing but were afraid to ask")</f>
        <v>Everything you've always wanted to know about marketing but were afraid to ask</v>
      </c>
      <c r="B36" s="51" t="str">
        <f>IFERROR(__xludf.DUMMYFUNCTION("""COMPUTED_VALUE"""),"PandaConf")</f>
        <v>PandaConf</v>
      </c>
      <c r="C36" s="56" t="str">
        <f>IFERROR(__xludf.DUMMYFUNCTION("""COMPUTED_VALUE"""),"Fernando Machado, Jane Wakely, Sir Martin Sorrell and Hadas Gold")</f>
        <v>Fernando Machado, Jane Wakely, Sir Martin Sorrell and Hadas Gold</v>
      </c>
      <c r="D36" s="51" t="str">
        <f>IFERROR(__xludf.DUMMYFUNCTION("""COMPUTED_VALUE"""),"2019/11/07 11:25:00")</f>
        <v>2019/11/07 11:25:00</v>
      </c>
      <c r="E36" s="51" t="str">
        <f>IFERROR(__xludf.DUMMYFUNCTION("""COMPUTED_VALUE"""),"2019/11/07 11:50:00")</f>
        <v>2019/11/07 11:50:00</v>
      </c>
      <c r="F36" s="51" t="str">
        <f>IFERROR(__xludf.DUMMYFUNCTION("""COMPUTED_VALUE"""),"f5e559b4-876a-4ea1-bd93-338dfbcc5ca3")</f>
        <v>f5e559b4-876a-4ea1-bd93-338dfbcc5ca3</v>
      </c>
      <c r="G36" s="58">
        <f>IFERROR(__xludf.DUMMYFUNCTION("""COMPUTED_VALUE"""),43776.0)</f>
        <v>43776</v>
      </c>
      <c r="H36" s="60">
        <f>IFERROR(__xludf.DUMMYFUNCTION("""COMPUTED_VALUE"""),0.4756944444444444)</f>
        <v>0.4756944444</v>
      </c>
      <c r="I36" s="58">
        <f>IFERROR(__xludf.DUMMYFUNCTION("""COMPUTED_VALUE"""),43776.0)</f>
        <v>43776</v>
      </c>
      <c r="J36" s="60">
        <f>IFERROR(__xludf.DUMMYFUNCTION("""COMPUTED_VALUE"""),0.4930555555555556)</f>
        <v>0.4930555556</v>
      </c>
      <c r="K36" s="60">
        <f t="shared" si="1"/>
        <v>0.01736111111</v>
      </c>
      <c r="L36" s="51" t="s">
        <v>107</v>
      </c>
      <c r="M36" s="87" t="s">
        <v>752</v>
      </c>
      <c r="N36" s="62" t="str">
        <f t="shared" si="2"/>
        <v>PC_7_3_f5e559b4-876a-4ea1-bd93-338dfbcc5ca3_000000_000000.mp4</v>
      </c>
      <c r="O36" s="50"/>
      <c r="P36" s="50"/>
      <c r="Q36" s="63"/>
      <c r="R36" s="51"/>
      <c r="S36" s="51"/>
      <c r="T36" s="51"/>
    </row>
    <row r="37">
      <c r="A37" s="51" t="str">
        <f>IFERROR(__xludf.DUMMYFUNCTION("""COMPUTED_VALUE"""),"Purpose and innovation: Rethinking how we do business")</f>
        <v>Purpose and innovation: Rethinking how we do business</v>
      </c>
      <c r="B37" s="51" t="str">
        <f>IFERROR(__xludf.DUMMYFUNCTION("""COMPUTED_VALUE"""),"PandaConf")</f>
        <v>PandaConf</v>
      </c>
      <c r="C37" s="56" t="str">
        <f>IFERROR(__xludf.DUMMYFUNCTION("""COMPUTED_VALUE"""),"Brian Whipple ")</f>
        <v>Brian Whipple </v>
      </c>
      <c r="D37" s="51" t="str">
        <f>IFERROR(__xludf.DUMMYFUNCTION("""COMPUTED_VALUE"""),"2019/11/07 11:50:00")</f>
        <v>2019/11/07 11:50:00</v>
      </c>
      <c r="E37" s="51" t="str">
        <f>IFERROR(__xludf.DUMMYFUNCTION("""COMPUTED_VALUE"""),"2019/11/07 12:10:00")</f>
        <v>2019/11/07 12:10:00</v>
      </c>
      <c r="F37" s="51" t="str">
        <f>IFERROR(__xludf.DUMMYFUNCTION("""COMPUTED_VALUE"""),"8b83324c-51b5-4784-b324-45a7e94d2a59")</f>
        <v>8b83324c-51b5-4784-b324-45a7e94d2a59</v>
      </c>
      <c r="G37" s="58">
        <f>IFERROR(__xludf.DUMMYFUNCTION("""COMPUTED_VALUE"""),43776.0)</f>
        <v>43776</v>
      </c>
      <c r="H37" s="60">
        <f>IFERROR(__xludf.DUMMYFUNCTION("""COMPUTED_VALUE"""),0.4930555555555556)</f>
        <v>0.4930555556</v>
      </c>
      <c r="I37" s="58">
        <f>IFERROR(__xludf.DUMMYFUNCTION("""COMPUTED_VALUE"""),43776.0)</f>
        <v>43776</v>
      </c>
      <c r="J37" s="60">
        <f>IFERROR(__xludf.DUMMYFUNCTION("""COMPUTED_VALUE"""),0.5069444444444444)</f>
        <v>0.5069444444</v>
      </c>
      <c r="K37" s="60">
        <f t="shared" si="1"/>
        <v>0.01388888889</v>
      </c>
      <c r="L37" s="51" t="s">
        <v>111</v>
      </c>
      <c r="M37" s="87" t="s">
        <v>754</v>
      </c>
      <c r="N37" s="62" t="str">
        <f t="shared" si="2"/>
        <v>PC_7_4_8b83324c-51b5-4784-b324-45a7e94d2a59_000000_000000.mp4</v>
      </c>
      <c r="O37" s="50"/>
      <c r="P37" s="50"/>
      <c r="Q37" s="63"/>
      <c r="R37" s="51"/>
      <c r="S37" s="51"/>
      <c r="T37" s="51"/>
    </row>
    <row r="38">
      <c r="A38" s="51" t="str">
        <f>IFERROR(__xludf.DUMMYFUNCTION("""COMPUTED_VALUE"""),"Branding the East-West divide")</f>
        <v>Branding the East-West divide</v>
      </c>
      <c r="B38" s="51" t="str">
        <f>IFERROR(__xludf.DUMMYFUNCTION("""COMPUTED_VALUE"""),"PandaConf")</f>
        <v>PandaConf</v>
      </c>
      <c r="C38" s="56" t="str">
        <f>IFERROR(__xludf.DUMMYFUNCTION("""COMPUTED_VALUE"""),"Martin Brandenburg, Holly Zheng and Paul Michelman")</f>
        <v>Martin Brandenburg, Holly Zheng and Paul Michelman</v>
      </c>
      <c r="D38" s="51" t="str">
        <f>IFERROR(__xludf.DUMMYFUNCTION("""COMPUTED_VALUE"""),"2019/11/07 12:10:00")</f>
        <v>2019/11/07 12:10:00</v>
      </c>
      <c r="E38" s="51" t="str">
        <f>IFERROR(__xludf.DUMMYFUNCTION("""COMPUTED_VALUE"""),"2019/11/07 12:30:00")</f>
        <v>2019/11/07 12:30:00</v>
      </c>
      <c r="F38" s="51" t="str">
        <f>IFERROR(__xludf.DUMMYFUNCTION("""COMPUTED_VALUE"""),"47fc4b43-6a30-4984-afff-844100881acf")</f>
        <v>47fc4b43-6a30-4984-afff-844100881acf</v>
      </c>
      <c r="G38" s="58">
        <f>IFERROR(__xludf.DUMMYFUNCTION("""COMPUTED_VALUE"""),43776.0)</f>
        <v>43776</v>
      </c>
      <c r="H38" s="60">
        <f>IFERROR(__xludf.DUMMYFUNCTION("""COMPUTED_VALUE"""),0.5069444444444444)</f>
        <v>0.5069444444</v>
      </c>
      <c r="I38" s="58">
        <f>IFERROR(__xludf.DUMMYFUNCTION("""COMPUTED_VALUE"""),43776.0)</f>
        <v>43776</v>
      </c>
      <c r="J38" s="60">
        <f>IFERROR(__xludf.DUMMYFUNCTION("""COMPUTED_VALUE"""),0.5208333333333334)</f>
        <v>0.5208333333</v>
      </c>
      <c r="K38" s="60">
        <f t="shared" si="1"/>
        <v>0.01388888889</v>
      </c>
      <c r="L38" s="51" t="s">
        <v>111</v>
      </c>
      <c r="M38" s="87" t="s">
        <v>756</v>
      </c>
      <c r="N38" s="62" t="str">
        <f t="shared" si="2"/>
        <v>PC_7_5_47fc4b43-6a30-4984-afff-844100881acf_000000_000000.mp4</v>
      </c>
      <c r="O38" s="50"/>
      <c r="P38" s="50"/>
      <c r="Q38" s="63"/>
      <c r="R38" s="51"/>
      <c r="S38" s="51"/>
      <c r="T38" s="51"/>
    </row>
    <row r="39">
      <c r="A39" s="51" t="str">
        <f>IFERROR(__xludf.DUMMYFUNCTION("""COMPUTED_VALUE"""),"Diageo, data and the consumer experience")</f>
        <v>Diageo, data and the consumer experience</v>
      </c>
      <c r="B39" s="51" t="str">
        <f>IFERROR(__xludf.DUMMYFUNCTION("""COMPUTED_VALUE"""),"PandaConf")</f>
        <v>PandaConf</v>
      </c>
      <c r="C39" s="56" t="str">
        <f>IFERROR(__xludf.DUMMYFUNCTION("""COMPUTED_VALUE"""),"Ben Sutherland")</f>
        <v>Ben Sutherland</v>
      </c>
      <c r="D39" s="51" t="str">
        <f>IFERROR(__xludf.DUMMYFUNCTION("""COMPUTED_VALUE"""),"2019/11/07 12:30:00")</f>
        <v>2019/11/07 12:30:00</v>
      </c>
      <c r="E39" s="51" t="str">
        <f>IFERROR(__xludf.DUMMYFUNCTION("""COMPUTED_VALUE"""),"2019/11/07 12:50:00")</f>
        <v>2019/11/07 12:50:00</v>
      </c>
      <c r="F39" s="51" t="str">
        <f>IFERROR(__xludf.DUMMYFUNCTION("""COMPUTED_VALUE"""),"23c9f22b-e449-4e3f-9c80-d85208806aa2")</f>
        <v>23c9f22b-e449-4e3f-9c80-d85208806aa2</v>
      </c>
      <c r="G39" s="58">
        <f>IFERROR(__xludf.DUMMYFUNCTION("""COMPUTED_VALUE"""),43776.0)</f>
        <v>43776</v>
      </c>
      <c r="H39" s="60">
        <f>IFERROR(__xludf.DUMMYFUNCTION("""COMPUTED_VALUE"""),0.5208333333333334)</f>
        <v>0.5208333333</v>
      </c>
      <c r="I39" s="58">
        <f>IFERROR(__xludf.DUMMYFUNCTION("""COMPUTED_VALUE"""),43776.0)</f>
        <v>43776</v>
      </c>
      <c r="J39" s="60">
        <f>IFERROR(__xludf.DUMMYFUNCTION("""COMPUTED_VALUE"""),0.5347222222222222)</f>
        <v>0.5347222222</v>
      </c>
      <c r="K39" s="60">
        <f t="shared" si="1"/>
        <v>0.01388888889</v>
      </c>
      <c r="L39" s="51" t="s">
        <v>111</v>
      </c>
      <c r="M39" s="87" t="s">
        <v>759</v>
      </c>
      <c r="N39" s="62" t="str">
        <f t="shared" si="2"/>
        <v>PC_7_6_23c9f22b-e449-4e3f-9c80-d85208806aa2_000000_000000.mp4</v>
      </c>
      <c r="O39" s="50"/>
      <c r="P39" s="50"/>
      <c r="Q39" s="63"/>
      <c r="R39" s="51"/>
      <c r="S39" s="51"/>
      <c r="T39" s="51"/>
    </row>
    <row r="40">
      <c r="A40" s="51" t="str">
        <f>IFERROR(__xludf.DUMMYFUNCTION("""COMPUTED_VALUE"""),"Lunch break")</f>
        <v>Lunch break</v>
      </c>
      <c r="B40" s="51" t="str">
        <f>IFERROR(__xludf.DUMMYFUNCTION("""COMPUTED_VALUE"""),"PandaConf")</f>
        <v>PandaConf</v>
      </c>
      <c r="C40" s="56" t="str">
        <f>IFERROR(__xludf.DUMMYFUNCTION("""COMPUTED_VALUE"""),"")</f>
        <v/>
      </c>
      <c r="D40" s="51" t="str">
        <f>IFERROR(__xludf.DUMMYFUNCTION("""COMPUTED_VALUE"""),"2019/11/07 12:50:00")</f>
        <v>2019/11/07 12:50:00</v>
      </c>
      <c r="E40" s="51" t="str">
        <f>IFERROR(__xludf.DUMMYFUNCTION("""COMPUTED_VALUE"""),"2019/11/07 13:35:00")</f>
        <v>2019/11/07 13:35:00</v>
      </c>
      <c r="F40" s="51" t="str">
        <f>IFERROR(__xludf.DUMMYFUNCTION("""COMPUTED_VALUE"""),"a2e61a36-7cc0-4b6a-9ee4-7b5a4cd18351")</f>
        <v>a2e61a36-7cc0-4b6a-9ee4-7b5a4cd18351</v>
      </c>
      <c r="G40" s="58">
        <f>IFERROR(__xludf.DUMMYFUNCTION("""COMPUTED_VALUE"""),43776.0)</f>
        <v>43776</v>
      </c>
      <c r="H40" s="60">
        <f>IFERROR(__xludf.DUMMYFUNCTION("""COMPUTED_VALUE"""),0.5347222222222222)</f>
        <v>0.5347222222</v>
      </c>
      <c r="I40" s="58">
        <f>IFERROR(__xludf.DUMMYFUNCTION("""COMPUTED_VALUE"""),43776.0)</f>
        <v>43776</v>
      </c>
      <c r="J40" s="60">
        <f>IFERROR(__xludf.DUMMYFUNCTION("""COMPUTED_VALUE"""),0.5659722222222222)</f>
        <v>0.5659722222</v>
      </c>
      <c r="K40" s="60">
        <f t="shared" si="1"/>
        <v>0.03125</v>
      </c>
      <c r="L40" s="51" t="s">
        <v>131</v>
      </c>
      <c r="M40" s="51"/>
      <c r="N40" s="62" t="str">
        <f t="shared" si="2"/>
        <v>_a2e61a36-7cc0-4b6a-9ee4-7b5a4cd18351_000000_000000.mp4</v>
      </c>
      <c r="O40" s="50"/>
      <c r="P40" s="50"/>
      <c r="Q40" s="63"/>
      <c r="R40" s="51"/>
      <c r="S40" s="51"/>
      <c r="T40" s="51"/>
    </row>
    <row r="41">
      <c r="A41" s="51" t="str">
        <f>IFERROR(__xludf.DUMMYFUNCTION("""COMPUTED_VALUE"""),"Opening remarks")</f>
        <v>Opening remarks</v>
      </c>
      <c r="B41" s="51" t="str">
        <f>IFERROR(__xludf.DUMMYFUNCTION("""COMPUTED_VALUE"""),"PandaConf")</f>
        <v>PandaConf</v>
      </c>
      <c r="C41" s="56" t="str">
        <f>IFERROR(__xludf.DUMMYFUNCTION("""COMPUTED_VALUE"""),"Noel Toolan and Natalie Monbiot")</f>
        <v>Noel Toolan and Natalie Monbiot</v>
      </c>
      <c r="D41" s="51" t="str">
        <f>IFERROR(__xludf.DUMMYFUNCTION("""COMPUTED_VALUE"""),"2019/11/07 13:35:00")</f>
        <v>2019/11/07 13:35:00</v>
      </c>
      <c r="E41" s="51" t="str">
        <f>IFERROR(__xludf.DUMMYFUNCTION("""COMPUTED_VALUE"""),"2019/11/07 13:50:00")</f>
        <v>2019/11/07 13:50:00</v>
      </c>
      <c r="F41" s="51" t="str">
        <f>IFERROR(__xludf.DUMMYFUNCTION("""COMPUTED_VALUE"""),"f8285afa-6bd0-44af-8054-00b419dbdaf9")</f>
        <v>f8285afa-6bd0-44af-8054-00b419dbdaf9</v>
      </c>
      <c r="G41" s="58">
        <f>IFERROR(__xludf.DUMMYFUNCTION("""COMPUTED_VALUE"""),43776.0)</f>
        <v>43776</v>
      </c>
      <c r="H41" s="60">
        <f>IFERROR(__xludf.DUMMYFUNCTION("""COMPUTED_VALUE"""),0.5659722222222222)</f>
        <v>0.5659722222</v>
      </c>
      <c r="I41" s="58">
        <f>IFERROR(__xludf.DUMMYFUNCTION("""COMPUTED_VALUE"""),43776.0)</f>
        <v>43776</v>
      </c>
      <c r="J41" s="60">
        <f>IFERROR(__xludf.DUMMYFUNCTION("""COMPUTED_VALUE"""),0.5763888888888888)</f>
        <v>0.5763888889</v>
      </c>
      <c r="K41" s="60">
        <f t="shared" si="1"/>
        <v>0.01041666667</v>
      </c>
      <c r="L41" s="51" t="s">
        <v>116</v>
      </c>
      <c r="M41" s="87" t="s">
        <v>762</v>
      </c>
      <c r="N41" s="62" t="str">
        <f t="shared" si="2"/>
        <v>PC_7_7_f8285afa-6bd0-44af-8054-00b419dbdaf9_000000_000000.mp4</v>
      </c>
      <c r="O41" s="50"/>
      <c r="P41" s="50"/>
      <c r="Q41" s="63"/>
      <c r="R41" s="51"/>
      <c r="S41" s="51"/>
      <c r="T41" s="51"/>
    </row>
    <row r="42">
      <c r="A42" s="51" t="str">
        <f>IFERROR(__xludf.DUMMYFUNCTION("""COMPUTED_VALUE"""),"The mobile marketing trends you need to know about in 2020")</f>
        <v>The mobile marketing trends you need to know about in 2020</v>
      </c>
      <c r="B42" s="51" t="str">
        <f>IFERROR(__xludf.DUMMYFUNCTION("""COMPUTED_VALUE"""),"PandaConf")</f>
        <v>PandaConf</v>
      </c>
      <c r="C42" s="56" t="str">
        <f>IFERROR(__xludf.DUMMYFUNCTION("""COMPUTED_VALUE"""),"Mada Seghete")</f>
        <v>Mada Seghete</v>
      </c>
      <c r="D42" s="51" t="str">
        <f>IFERROR(__xludf.DUMMYFUNCTION("""COMPUTED_VALUE"""),"2019/11/07 13:50:00")</f>
        <v>2019/11/07 13:50:00</v>
      </c>
      <c r="E42" s="51" t="str">
        <f>IFERROR(__xludf.DUMMYFUNCTION("""COMPUTED_VALUE"""),"2019/11/07 14:10:00")</f>
        <v>2019/11/07 14:10:00</v>
      </c>
      <c r="F42" s="51" t="str">
        <f>IFERROR(__xludf.DUMMYFUNCTION("""COMPUTED_VALUE"""),"723e96c9-f196-4dde-abfb-632186b0f3cd")</f>
        <v>723e96c9-f196-4dde-abfb-632186b0f3cd</v>
      </c>
      <c r="G42" s="58">
        <f>IFERROR(__xludf.DUMMYFUNCTION("""COMPUTED_VALUE"""),43776.0)</f>
        <v>43776</v>
      </c>
      <c r="H42" s="60">
        <f>IFERROR(__xludf.DUMMYFUNCTION("""COMPUTED_VALUE"""),0.5763888888888888)</f>
        <v>0.5763888889</v>
      </c>
      <c r="I42" s="58">
        <f>IFERROR(__xludf.DUMMYFUNCTION("""COMPUTED_VALUE"""),43776.0)</f>
        <v>43776</v>
      </c>
      <c r="J42" s="60">
        <f>IFERROR(__xludf.DUMMYFUNCTION("""COMPUTED_VALUE"""),0.5902777777777778)</f>
        <v>0.5902777778</v>
      </c>
      <c r="K42" s="60">
        <f t="shared" si="1"/>
        <v>0.01388888889</v>
      </c>
      <c r="L42" s="51" t="s">
        <v>111</v>
      </c>
      <c r="M42" s="87" t="s">
        <v>764</v>
      </c>
      <c r="N42" s="62" t="str">
        <f t="shared" si="2"/>
        <v>PC_7_8_723e96c9-f196-4dde-abfb-632186b0f3cd_000000_000000.mp4</v>
      </c>
      <c r="O42" s="50"/>
      <c r="P42" s="50"/>
      <c r="Q42" s="63"/>
      <c r="R42" s="51"/>
      <c r="S42" s="51"/>
      <c r="T42" s="51"/>
    </row>
    <row r="43">
      <c r="A43" s="51" t="str">
        <f>IFERROR(__xludf.DUMMYFUNCTION("""COMPUTED_VALUE"""),"Predicting the future of brand design")</f>
        <v>Predicting the future of brand design</v>
      </c>
      <c r="B43" s="51" t="str">
        <f>IFERROR(__xludf.DUMMYFUNCTION("""COMPUTED_VALUE"""),"PandaConf")</f>
        <v>PandaConf</v>
      </c>
      <c r="C43" s="56" t="str">
        <f>IFERROR(__xludf.DUMMYFUNCTION("""COMPUTED_VALUE"""),"Dan Gardner, Amy Buckner Chowdhry, Tim Kobe and Marty Swant")</f>
        <v>Dan Gardner, Amy Buckner Chowdhry, Tim Kobe and Marty Swant</v>
      </c>
      <c r="D43" s="51" t="str">
        <f>IFERROR(__xludf.DUMMYFUNCTION("""COMPUTED_VALUE"""),"2019/11/07 14:10:00")</f>
        <v>2019/11/07 14:10:00</v>
      </c>
      <c r="E43" s="51" t="str">
        <f>IFERROR(__xludf.DUMMYFUNCTION("""COMPUTED_VALUE"""),"2019/11/07 14:35:00")</f>
        <v>2019/11/07 14:35:00</v>
      </c>
      <c r="F43" s="51" t="str">
        <f>IFERROR(__xludf.DUMMYFUNCTION("""COMPUTED_VALUE"""),"cd12ea61-81ae-49e1-85cf-c58408fce6bb")</f>
        <v>cd12ea61-81ae-49e1-85cf-c58408fce6bb</v>
      </c>
      <c r="G43" s="58">
        <f>IFERROR(__xludf.DUMMYFUNCTION("""COMPUTED_VALUE"""),43776.0)</f>
        <v>43776</v>
      </c>
      <c r="H43" s="60">
        <f>IFERROR(__xludf.DUMMYFUNCTION("""COMPUTED_VALUE"""),0.5902777777777778)</f>
        <v>0.5902777778</v>
      </c>
      <c r="I43" s="58">
        <f>IFERROR(__xludf.DUMMYFUNCTION("""COMPUTED_VALUE"""),43776.0)</f>
        <v>43776</v>
      </c>
      <c r="J43" s="60">
        <f>IFERROR(__xludf.DUMMYFUNCTION("""COMPUTED_VALUE"""),0.6076388888888888)</f>
        <v>0.6076388889</v>
      </c>
      <c r="K43" s="60">
        <f t="shared" si="1"/>
        <v>0.01736111111</v>
      </c>
      <c r="L43" s="51" t="s">
        <v>107</v>
      </c>
      <c r="M43" s="87" t="s">
        <v>765</v>
      </c>
      <c r="N43" s="62" t="str">
        <f t="shared" si="2"/>
        <v>PC_7_9_cd12ea61-81ae-49e1-85cf-c58408fce6bb_000000_000000.mp4</v>
      </c>
      <c r="O43" s="50"/>
      <c r="P43" s="50"/>
      <c r="Q43" s="63"/>
      <c r="R43" s="51"/>
      <c r="S43" s="51"/>
      <c r="T43" s="51"/>
    </row>
    <row r="44">
      <c r="A44" s="51" t="str">
        <f>IFERROR(__xludf.DUMMYFUNCTION("""COMPUTED_VALUE"""),"Beyond diversity: Making tech truly inclusive")</f>
        <v>Beyond diversity: Making tech truly inclusive</v>
      </c>
      <c r="B44" s="51" t="str">
        <f>IFERROR(__xludf.DUMMYFUNCTION("""COMPUTED_VALUE"""),"PandaConf")</f>
        <v>PandaConf</v>
      </c>
      <c r="C44" s="56" t="str">
        <f>IFERROR(__xludf.DUMMYFUNCTION("""COMPUTED_VALUE"""),"Andrew O' Dell, Belinda Smith and Leisha Santorelli")</f>
        <v>Andrew O' Dell, Belinda Smith and Leisha Santorelli</v>
      </c>
      <c r="D44" s="51" t="str">
        <f>IFERROR(__xludf.DUMMYFUNCTION("""COMPUTED_VALUE"""),"2019/11/07 14:35:00")</f>
        <v>2019/11/07 14:35:00</v>
      </c>
      <c r="E44" s="51" t="str">
        <f>IFERROR(__xludf.DUMMYFUNCTION("""COMPUTED_VALUE"""),"2019/11/07 14:55:00")</f>
        <v>2019/11/07 14:55:00</v>
      </c>
      <c r="F44" s="51" t="str">
        <f>IFERROR(__xludf.DUMMYFUNCTION("""COMPUTED_VALUE"""),"be97d141-7fd0-4ad9-be6d-853a7f54934d")</f>
        <v>be97d141-7fd0-4ad9-be6d-853a7f54934d</v>
      </c>
      <c r="G44" s="58">
        <f>IFERROR(__xludf.DUMMYFUNCTION("""COMPUTED_VALUE"""),43776.0)</f>
        <v>43776</v>
      </c>
      <c r="H44" s="60">
        <f>IFERROR(__xludf.DUMMYFUNCTION("""COMPUTED_VALUE"""),0.6076388888888888)</f>
        <v>0.6076388889</v>
      </c>
      <c r="I44" s="58">
        <f>IFERROR(__xludf.DUMMYFUNCTION("""COMPUTED_VALUE"""),43776.0)</f>
        <v>43776</v>
      </c>
      <c r="J44" s="60">
        <f>IFERROR(__xludf.DUMMYFUNCTION("""COMPUTED_VALUE"""),0.6215277777777778)</f>
        <v>0.6215277778</v>
      </c>
      <c r="K44" s="60">
        <f t="shared" si="1"/>
        <v>0.01388888889</v>
      </c>
      <c r="L44" s="51" t="s">
        <v>111</v>
      </c>
      <c r="M44" s="87" t="s">
        <v>767</v>
      </c>
      <c r="N44" s="62" t="str">
        <f t="shared" si="2"/>
        <v>PC_7_10_be97d141-7fd0-4ad9-be6d-853a7f54934d_000000_000000.mp4</v>
      </c>
      <c r="O44" s="50"/>
      <c r="P44" s="50"/>
      <c r="Q44" s="63"/>
      <c r="R44" s="51"/>
      <c r="S44" s="51"/>
      <c r="T44" s="51"/>
    </row>
    <row r="45">
      <c r="A45" s="51" t="str">
        <f>IFERROR(__xludf.DUMMYFUNCTION("""COMPUTED_VALUE"""),"Being a brand disruptor and proud")</f>
        <v>Being a brand disruptor and proud</v>
      </c>
      <c r="B45" s="51" t="str">
        <f>IFERROR(__xludf.DUMMYFUNCTION("""COMPUTED_VALUE"""),"PandaConf")</f>
        <v>PandaConf</v>
      </c>
      <c r="C45" s="56" t="str">
        <f>IFERROR(__xludf.DUMMYFUNCTION("""COMPUTED_VALUE"""),"Anthemos Georgiades, Rafael Museri and Katie Deighton")</f>
        <v>Anthemos Georgiades, Rafael Museri and Katie Deighton</v>
      </c>
      <c r="D45" s="51" t="str">
        <f>IFERROR(__xludf.DUMMYFUNCTION("""COMPUTED_VALUE"""),"2019/11/07 14:55:00")</f>
        <v>2019/11/07 14:55:00</v>
      </c>
      <c r="E45" s="51" t="str">
        <f>IFERROR(__xludf.DUMMYFUNCTION("""COMPUTED_VALUE"""),"2019/11/07 15:15:00")</f>
        <v>2019/11/07 15:15:00</v>
      </c>
      <c r="F45" s="51" t="str">
        <f>IFERROR(__xludf.DUMMYFUNCTION("""COMPUTED_VALUE"""),"f56a8a31-db97-4b6d-8821-caa5e70a2744")</f>
        <v>f56a8a31-db97-4b6d-8821-caa5e70a2744</v>
      </c>
      <c r="G45" s="58">
        <f>IFERROR(__xludf.DUMMYFUNCTION("""COMPUTED_VALUE"""),43776.0)</f>
        <v>43776</v>
      </c>
      <c r="H45" s="60">
        <f>IFERROR(__xludf.DUMMYFUNCTION("""COMPUTED_VALUE"""),0.6215277777777778)</f>
        <v>0.6215277778</v>
      </c>
      <c r="I45" s="58">
        <f>IFERROR(__xludf.DUMMYFUNCTION("""COMPUTED_VALUE"""),43776.0)</f>
        <v>43776</v>
      </c>
      <c r="J45" s="60">
        <f>IFERROR(__xludf.DUMMYFUNCTION("""COMPUTED_VALUE"""),0.6354166666666666)</f>
        <v>0.6354166667</v>
      </c>
      <c r="K45" s="60">
        <f t="shared" si="1"/>
        <v>0.01388888889</v>
      </c>
      <c r="L45" s="51" t="s">
        <v>111</v>
      </c>
      <c r="M45" s="87" t="s">
        <v>770</v>
      </c>
      <c r="N45" s="62" t="str">
        <f t="shared" si="2"/>
        <v>PC_7_11_f56a8a31-db97-4b6d-8821-caa5e70a2744_000000_000000.mp4</v>
      </c>
      <c r="O45" s="50"/>
      <c r="P45" s="50"/>
      <c r="Q45" s="63"/>
      <c r="R45" s="51"/>
      <c r="S45" s="51"/>
      <c r="T45" s="51"/>
    </row>
    <row r="46">
      <c r="A46" s="51" t="str">
        <f>IFERROR(__xludf.DUMMYFUNCTION("""COMPUTED_VALUE"""),"Protecting the Lion's Share")</f>
        <v>Protecting the Lion's Share</v>
      </c>
      <c r="B46" s="51" t="str">
        <f>IFERROR(__xludf.DUMMYFUNCTION("""COMPUTED_VALUE"""),"PandaConf")</f>
        <v>PandaConf</v>
      </c>
      <c r="C46" s="56" t="str">
        <f>IFERROR(__xludf.DUMMYFUNCTION("""COMPUTED_VALUE"""),"Jane Wakely")</f>
        <v>Jane Wakely</v>
      </c>
      <c r="D46" s="51" t="str">
        <f>IFERROR(__xludf.DUMMYFUNCTION("""COMPUTED_VALUE"""),"2019/11/07 15:15:00")</f>
        <v>2019/11/07 15:15:00</v>
      </c>
      <c r="E46" s="51" t="str">
        <f>IFERROR(__xludf.DUMMYFUNCTION("""COMPUTED_VALUE"""),"2019/11/07 15:35:00")</f>
        <v>2019/11/07 15:35:00</v>
      </c>
      <c r="F46" s="51" t="str">
        <f>IFERROR(__xludf.DUMMYFUNCTION("""COMPUTED_VALUE"""),"82b2a066-cc55-4cb3-b513-87046be33307")</f>
        <v>82b2a066-cc55-4cb3-b513-87046be33307</v>
      </c>
      <c r="G46" s="58">
        <f>IFERROR(__xludf.DUMMYFUNCTION("""COMPUTED_VALUE"""),43776.0)</f>
        <v>43776</v>
      </c>
      <c r="H46" s="60">
        <f>IFERROR(__xludf.DUMMYFUNCTION("""COMPUTED_VALUE"""),0.6354166666666666)</f>
        <v>0.6354166667</v>
      </c>
      <c r="I46" s="58">
        <f>IFERROR(__xludf.DUMMYFUNCTION("""COMPUTED_VALUE"""),43776.0)</f>
        <v>43776</v>
      </c>
      <c r="J46" s="60">
        <f>IFERROR(__xludf.DUMMYFUNCTION("""COMPUTED_VALUE"""),0.6493055555555556)</f>
        <v>0.6493055556</v>
      </c>
      <c r="K46" s="60">
        <f t="shared" si="1"/>
        <v>0.01388888889</v>
      </c>
      <c r="L46" s="51" t="s">
        <v>111</v>
      </c>
      <c r="M46" s="87" t="s">
        <v>772</v>
      </c>
      <c r="N46" s="62" t="str">
        <f t="shared" si="2"/>
        <v>PC_7_12_82b2a066-cc55-4cb3-b513-87046be33307_000000_000000.mp4</v>
      </c>
      <c r="O46" s="50"/>
      <c r="P46" s="50"/>
      <c r="Q46" s="63"/>
      <c r="R46" s="51"/>
      <c r="S46" s="51"/>
      <c r="T46" s="51"/>
    </row>
    <row r="47">
      <c r="A47" s="51" t="str">
        <f>IFERROR(__xludf.DUMMYFUNCTION("""COMPUTED_VALUE"""),"How to win brands and influence people")</f>
        <v>How to win brands and influence people</v>
      </c>
      <c r="B47" s="51" t="str">
        <f>IFERROR(__xludf.DUMMYFUNCTION("""COMPUTED_VALUE"""),"PandaConf")</f>
        <v>PandaConf</v>
      </c>
      <c r="C47" s="56" t="str">
        <f>IFERROR(__xludf.DUMMYFUNCTION("""COMPUTED_VALUE"""),"Charl Bassil, Ben Jeffries, Caspar Lee, Rachel Waller and Dima Khatib")</f>
        <v>Charl Bassil, Ben Jeffries, Caspar Lee, Rachel Waller and Dima Khatib</v>
      </c>
      <c r="D47" s="51" t="str">
        <f>IFERROR(__xludf.DUMMYFUNCTION("""COMPUTED_VALUE"""),"2019/11/07 15:35:00")</f>
        <v>2019/11/07 15:35:00</v>
      </c>
      <c r="E47" s="51" t="str">
        <f>IFERROR(__xludf.DUMMYFUNCTION("""COMPUTED_VALUE"""),"2019/11/07 16:05:00")</f>
        <v>2019/11/07 16:05:00</v>
      </c>
      <c r="F47" s="51" t="str">
        <f>IFERROR(__xludf.DUMMYFUNCTION("""COMPUTED_VALUE"""),"1ceaa5f2-b78b-4300-bac2-7756581469c8")</f>
        <v>1ceaa5f2-b78b-4300-bac2-7756581469c8</v>
      </c>
      <c r="G47" s="58">
        <f>IFERROR(__xludf.DUMMYFUNCTION("""COMPUTED_VALUE"""),43776.0)</f>
        <v>43776</v>
      </c>
      <c r="H47" s="60">
        <f>IFERROR(__xludf.DUMMYFUNCTION("""COMPUTED_VALUE"""),0.6493055555555556)</f>
        <v>0.6493055556</v>
      </c>
      <c r="I47" s="58">
        <f>IFERROR(__xludf.DUMMYFUNCTION("""COMPUTED_VALUE"""),43776.0)</f>
        <v>43776</v>
      </c>
      <c r="J47" s="60">
        <f>IFERROR(__xludf.DUMMYFUNCTION("""COMPUTED_VALUE"""),0.6701388888888888)</f>
        <v>0.6701388889</v>
      </c>
      <c r="K47" s="60">
        <f t="shared" si="1"/>
        <v>0.02083333333</v>
      </c>
      <c r="L47" s="51" t="s">
        <v>105</v>
      </c>
      <c r="M47" s="87" t="s">
        <v>775</v>
      </c>
      <c r="N47" s="62" t="str">
        <f t="shared" si="2"/>
        <v>PC_7_13_1ceaa5f2-b78b-4300-bac2-7756581469c8_000000_000000.mp4</v>
      </c>
      <c r="O47" s="50"/>
      <c r="P47" s="50"/>
      <c r="Q47" s="63"/>
      <c r="R47" s="51"/>
      <c r="S47" s="51"/>
      <c r="T47" s="51"/>
    </row>
    <row r="48">
      <c r="A48" s="51"/>
      <c r="B48" s="51"/>
      <c r="C48" s="56"/>
      <c r="D48" s="51"/>
      <c r="E48" s="51"/>
      <c r="F48" s="51"/>
      <c r="G48" s="51" t="str">
        <f>IFERROR(__xludf.DUMMYFUNCTION("""COMPUTED_VALUE"""),"#VALUE!")</f>
        <v>#VALUE!</v>
      </c>
      <c r="H48" s="51" t="str">
        <f>IFERROR(__xludf.DUMMYFUNCTION("""COMPUTED_VALUE"""),"")</f>
        <v/>
      </c>
      <c r="I48" s="51" t="str">
        <f>IFERROR(__xludf.DUMMYFUNCTION("""COMPUTED_VALUE"""),"#VALUE!")</f>
        <v>#VALUE!</v>
      </c>
      <c r="J48" s="51" t="str">
        <f>IFERROR(__xludf.DUMMYFUNCTION("""COMPUTED_VALUE"""),"")</f>
        <v/>
      </c>
      <c r="K48" s="51">
        <f t="shared" si="1"/>
        <v>0</v>
      </c>
      <c r="L48" s="51" t="s">
        <v>257</v>
      </c>
      <c r="M48" s="51"/>
      <c r="N48" s="51"/>
      <c r="O48" s="51"/>
      <c r="P48" s="51"/>
      <c r="Q48" s="51"/>
      <c r="R48" s="51"/>
      <c r="S48" s="51"/>
      <c r="T48" s="51"/>
    </row>
    <row r="49">
      <c r="A49" s="51"/>
      <c r="B49" s="51"/>
      <c r="C49" s="56"/>
      <c r="D49" s="51"/>
      <c r="E49" s="51"/>
      <c r="F49" s="51"/>
      <c r="G49" s="51" t="str">
        <f>IFERROR(__xludf.DUMMYFUNCTION("""COMPUTED_VALUE"""),"#VALUE!")</f>
        <v>#VALUE!</v>
      </c>
      <c r="H49" s="51" t="str">
        <f>IFERROR(__xludf.DUMMYFUNCTION("""COMPUTED_VALUE"""),"")</f>
        <v/>
      </c>
      <c r="I49" s="51" t="str">
        <f>IFERROR(__xludf.DUMMYFUNCTION("""COMPUTED_VALUE"""),"#VALUE!")</f>
        <v>#VALUE!</v>
      </c>
      <c r="J49" s="51" t="str">
        <f>IFERROR(__xludf.DUMMYFUNCTION("""COMPUTED_VALUE"""),"")</f>
        <v/>
      </c>
      <c r="K49" s="51">
        <f t="shared" si="1"/>
        <v>0</v>
      </c>
      <c r="L49" s="51" t="s">
        <v>257</v>
      </c>
      <c r="M49" s="51"/>
      <c r="N49" s="51"/>
      <c r="O49" s="51"/>
      <c r="P49" s="51"/>
      <c r="Q49" s="51"/>
      <c r="R49" s="51"/>
      <c r="S49" s="51"/>
      <c r="T49" s="51"/>
    </row>
    <row r="50">
      <c r="A50" s="51"/>
      <c r="B50" s="51"/>
      <c r="C50" s="56"/>
      <c r="D50" s="51"/>
      <c r="E50" s="51"/>
      <c r="F50" s="51"/>
      <c r="G50" s="51" t="str">
        <f>IFERROR(__xludf.DUMMYFUNCTION("""COMPUTED_VALUE"""),"#VALUE!")</f>
        <v>#VALUE!</v>
      </c>
      <c r="H50" s="51" t="str">
        <f>IFERROR(__xludf.DUMMYFUNCTION("""COMPUTED_VALUE"""),"")</f>
        <v/>
      </c>
      <c r="I50" s="51" t="str">
        <f>IFERROR(__xludf.DUMMYFUNCTION("""COMPUTED_VALUE"""),"#VALUE!")</f>
        <v>#VALUE!</v>
      </c>
      <c r="J50" s="51" t="str">
        <f>IFERROR(__xludf.DUMMYFUNCTION("""COMPUTED_VALUE"""),"")</f>
        <v/>
      </c>
      <c r="K50" s="51">
        <f t="shared" si="1"/>
        <v>0</v>
      </c>
      <c r="L50" s="51" t="s">
        <v>257</v>
      </c>
      <c r="M50" s="51"/>
      <c r="N50" s="51"/>
      <c r="O50" s="51"/>
      <c r="P50" s="51"/>
      <c r="Q50" s="51"/>
      <c r="R50" s="51"/>
      <c r="S50" s="51"/>
      <c r="T50" s="51"/>
    </row>
    <row r="51">
      <c r="A51" s="51"/>
      <c r="B51" s="51"/>
      <c r="C51" s="56"/>
      <c r="D51" s="51"/>
      <c r="E51" s="51"/>
      <c r="F51" s="51"/>
      <c r="G51" s="51" t="str">
        <f>IFERROR(__xludf.DUMMYFUNCTION("""COMPUTED_VALUE"""),"#VALUE!")</f>
        <v>#VALUE!</v>
      </c>
      <c r="H51" s="51" t="str">
        <f>IFERROR(__xludf.DUMMYFUNCTION("""COMPUTED_VALUE"""),"")</f>
        <v/>
      </c>
      <c r="I51" s="51" t="str">
        <f>IFERROR(__xludf.DUMMYFUNCTION("""COMPUTED_VALUE"""),"#VALUE!")</f>
        <v>#VALUE!</v>
      </c>
      <c r="J51" s="51" t="str">
        <f>IFERROR(__xludf.DUMMYFUNCTION("""COMPUTED_VALUE"""),"")</f>
        <v/>
      </c>
      <c r="K51" s="51">
        <f t="shared" si="1"/>
        <v>0</v>
      </c>
      <c r="L51" s="51" t="s">
        <v>257</v>
      </c>
      <c r="M51" s="51"/>
      <c r="N51" s="51"/>
      <c r="O51" s="51"/>
      <c r="P51" s="51"/>
      <c r="Q51" s="51"/>
      <c r="R51" s="51"/>
      <c r="S51" s="51"/>
      <c r="T51" s="51"/>
    </row>
    <row r="52">
      <c r="A52" s="51"/>
      <c r="B52" s="51"/>
      <c r="C52" s="56"/>
      <c r="D52" s="51"/>
      <c r="E52" s="51"/>
      <c r="F52" s="51"/>
      <c r="G52" s="51" t="str">
        <f>IFERROR(__xludf.DUMMYFUNCTION("""COMPUTED_VALUE"""),"#VALUE!")</f>
        <v>#VALUE!</v>
      </c>
      <c r="H52" s="51" t="str">
        <f>IFERROR(__xludf.DUMMYFUNCTION("""COMPUTED_VALUE"""),"")</f>
        <v/>
      </c>
      <c r="I52" s="51" t="str">
        <f>IFERROR(__xludf.DUMMYFUNCTION("""COMPUTED_VALUE"""),"#VALUE!")</f>
        <v>#VALUE!</v>
      </c>
      <c r="J52" s="51" t="str">
        <f>IFERROR(__xludf.DUMMYFUNCTION("""COMPUTED_VALUE"""),"")</f>
        <v/>
      </c>
      <c r="K52" s="51">
        <f t="shared" si="1"/>
        <v>0</v>
      </c>
      <c r="L52" s="51" t="s">
        <v>257</v>
      </c>
      <c r="M52" s="51"/>
      <c r="N52" s="51"/>
      <c r="O52" s="51"/>
      <c r="P52" s="51"/>
      <c r="Q52" s="51"/>
      <c r="R52" s="51"/>
      <c r="S52" s="51"/>
      <c r="T52" s="51"/>
    </row>
    <row r="53">
      <c r="A53" s="51"/>
      <c r="B53" s="51"/>
      <c r="C53" s="56"/>
      <c r="D53" s="51"/>
      <c r="E53" s="51"/>
      <c r="F53" s="51"/>
      <c r="G53" s="51" t="str">
        <f>IFERROR(__xludf.DUMMYFUNCTION("""COMPUTED_VALUE"""),"#VALUE!")</f>
        <v>#VALUE!</v>
      </c>
      <c r="H53" s="51" t="str">
        <f>IFERROR(__xludf.DUMMYFUNCTION("""COMPUTED_VALUE"""),"")</f>
        <v/>
      </c>
      <c r="I53" s="51" t="str">
        <f>IFERROR(__xludf.DUMMYFUNCTION("""COMPUTED_VALUE"""),"#VALUE!")</f>
        <v>#VALUE!</v>
      </c>
      <c r="J53" s="51" t="str">
        <f>IFERROR(__xludf.DUMMYFUNCTION("""COMPUTED_VALUE"""),"")</f>
        <v/>
      </c>
      <c r="K53" s="51">
        <f t="shared" si="1"/>
        <v>0</v>
      </c>
      <c r="L53" s="51" t="s">
        <v>257</v>
      </c>
      <c r="M53" s="51"/>
      <c r="N53" s="51"/>
      <c r="O53" s="51"/>
      <c r="P53" s="51"/>
      <c r="Q53" s="51"/>
      <c r="R53" s="51"/>
      <c r="S53" s="51"/>
      <c r="T53" s="51"/>
    </row>
    <row r="54">
      <c r="A54" s="51"/>
      <c r="B54" s="51"/>
      <c r="C54" s="56"/>
      <c r="D54" s="51"/>
      <c r="E54" s="51"/>
      <c r="F54" s="51"/>
      <c r="G54" s="51" t="str">
        <f>IFERROR(__xludf.DUMMYFUNCTION("""COMPUTED_VALUE"""),"#VALUE!")</f>
        <v>#VALUE!</v>
      </c>
      <c r="H54" s="51" t="str">
        <f>IFERROR(__xludf.DUMMYFUNCTION("""COMPUTED_VALUE"""),"")</f>
        <v/>
      </c>
      <c r="I54" s="51" t="str">
        <f>IFERROR(__xludf.DUMMYFUNCTION("""COMPUTED_VALUE"""),"#VALUE!")</f>
        <v>#VALUE!</v>
      </c>
      <c r="J54" s="51" t="str">
        <f>IFERROR(__xludf.DUMMYFUNCTION("""COMPUTED_VALUE"""),"")</f>
        <v/>
      </c>
      <c r="K54" s="51">
        <f t="shared" si="1"/>
        <v>0</v>
      </c>
      <c r="L54" s="51" t="s">
        <v>257</v>
      </c>
      <c r="M54" s="51"/>
      <c r="N54" s="51"/>
      <c r="O54" s="51"/>
      <c r="P54" s="51"/>
      <c r="Q54" s="51"/>
      <c r="R54" s="51"/>
      <c r="S54" s="51"/>
      <c r="T54" s="51"/>
    </row>
    <row r="55">
      <c r="A55" s="51"/>
      <c r="B55" s="51"/>
      <c r="C55" s="56"/>
      <c r="D55" s="51"/>
      <c r="E55" s="51"/>
      <c r="F55" s="51"/>
      <c r="G55" s="51" t="str">
        <f>IFERROR(__xludf.DUMMYFUNCTION("""COMPUTED_VALUE"""),"#VALUE!")</f>
        <v>#VALUE!</v>
      </c>
      <c r="H55" s="51" t="str">
        <f>IFERROR(__xludf.DUMMYFUNCTION("""COMPUTED_VALUE"""),"")</f>
        <v/>
      </c>
      <c r="I55" s="51" t="str">
        <f>IFERROR(__xludf.DUMMYFUNCTION("""COMPUTED_VALUE"""),"#VALUE!")</f>
        <v>#VALUE!</v>
      </c>
      <c r="J55" s="51" t="str">
        <f>IFERROR(__xludf.DUMMYFUNCTION("""COMPUTED_VALUE"""),"")</f>
        <v/>
      </c>
      <c r="K55" s="51">
        <f t="shared" si="1"/>
        <v>0</v>
      </c>
      <c r="L55" s="51" t="s">
        <v>257</v>
      </c>
      <c r="M55" s="51"/>
      <c r="N55" s="51"/>
      <c r="O55" s="51"/>
      <c r="P55" s="51"/>
      <c r="Q55" s="51"/>
      <c r="R55" s="51"/>
      <c r="S55" s="51"/>
      <c r="T55" s="51"/>
    </row>
    <row r="56">
      <c r="A56" s="51"/>
      <c r="B56" s="51"/>
      <c r="C56" s="56"/>
      <c r="D56" s="51"/>
      <c r="E56" s="51"/>
      <c r="F56" s="51"/>
      <c r="G56" s="51" t="str">
        <f>IFERROR(__xludf.DUMMYFUNCTION("""COMPUTED_VALUE"""),"#VALUE!")</f>
        <v>#VALUE!</v>
      </c>
      <c r="H56" s="51" t="str">
        <f>IFERROR(__xludf.DUMMYFUNCTION("""COMPUTED_VALUE"""),"")</f>
        <v/>
      </c>
      <c r="I56" s="51" t="str">
        <f>IFERROR(__xludf.DUMMYFUNCTION("""COMPUTED_VALUE"""),"#VALUE!")</f>
        <v>#VALUE!</v>
      </c>
      <c r="J56" s="51" t="str">
        <f>IFERROR(__xludf.DUMMYFUNCTION("""COMPUTED_VALUE"""),"")</f>
        <v/>
      </c>
      <c r="K56" s="51">
        <f t="shared" si="1"/>
        <v>0</v>
      </c>
      <c r="L56" s="51" t="s">
        <v>257</v>
      </c>
      <c r="M56" s="51"/>
      <c r="N56" s="51"/>
      <c r="O56" s="51"/>
      <c r="P56" s="51"/>
      <c r="Q56" s="51"/>
      <c r="R56" s="51"/>
      <c r="S56" s="51"/>
      <c r="T56" s="51"/>
    </row>
    <row r="57">
      <c r="A57" s="51"/>
      <c r="B57" s="51"/>
      <c r="C57" s="56"/>
      <c r="D57" s="51"/>
      <c r="E57" s="51"/>
      <c r="F57" s="51"/>
      <c r="G57" s="51" t="str">
        <f>IFERROR(__xludf.DUMMYFUNCTION("""COMPUTED_VALUE"""),"#VALUE!")</f>
        <v>#VALUE!</v>
      </c>
      <c r="H57" s="51" t="str">
        <f>IFERROR(__xludf.DUMMYFUNCTION("""COMPUTED_VALUE"""),"")</f>
        <v/>
      </c>
      <c r="I57" s="51" t="str">
        <f>IFERROR(__xludf.DUMMYFUNCTION("""COMPUTED_VALUE"""),"#VALUE!")</f>
        <v>#VALUE!</v>
      </c>
      <c r="J57" s="51" t="str">
        <f>IFERROR(__xludf.DUMMYFUNCTION("""COMPUTED_VALUE"""),"")</f>
        <v/>
      </c>
      <c r="K57" s="51">
        <f t="shared" si="1"/>
        <v>0</v>
      </c>
      <c r="L57" s="51" t="s">
        <v>257</v>
      </c>
      <c r="M57" s="51"/>
      <c r="N57" s="51"/>
      <c r="O57" s="51"/>
      <c r="P57" s="51"/>
      <c r="Q57" s="51"/>
      <c r="R57" s="51"/>
      <c r="S57" s="51"/>
      <c r="T57" s="51"/>
    </row>
    <row r="58">
      <c r="A58" s="51"/>
      <c r="B58" s="51"/>
      <c r="C58" s="56"/>
      <c r="D58" s="51"/>
      <c r="E58" s="51"/>
      <c r="F58" s="51"/>
      <c r="G58" s="51" t="str">
        <f>IFERROR(__xludf.DUMMYFUNCTION("""COMPUTED_VALUE"""),"#VALUE!")</f>
        <v>#VALUE!</v>
      </c>
      <c r="H58" s="51" t="str">
        <f>IFERROR(__xludf.DUMMYFUNCTION("""COMPUTED_VALUE"""),"")</f>
        <v/>
      </c>
      <c r="I58" s="51" t="str">
        <f>IFERROR(__xludf.DUMMYFUNCTION("""COMPUTED_VALUE"""),"#VALUE!")</f>
        <v>#VALUE!</v>
      </c>
      <c r="J58" s="51" t="str">
        <f>IFERROR(__xludf.DUMMYFUNCTION("""COMPUTED_VALUE"""),"")</f>
        <v/>
      </c>
      <c r="K58" s="51">
        <f t="shared" si="1"/>
        <v>0</v>
      </c>
      <c r="L58" s="51" t="s">
        <v>257</v>
      </c>
      <c r="M58" s="51"/>
      <c r="N58" s="51"/>
      <c r="O58" s="51"/>
      <c r="P58" s="51"/>
      <c r="Q58" s="51"/>
      <c r="R58" s="51"/>
      <c r="S58" s="51"/>
      <c r="T58" s="51"/>
    </row>
    <row r="59">
      <c r="A59" s="51"/>
      <c r="B59" s="51"/>
      <c r="C59" s="56"/>
      <c r="D59" s="51"/>
      <c r="E59" s="51"/>
      <c r="F59" s="51"/>
      <c r="G59" s="51" t="str">
        <f>IFERROR(__xludf.DUMMYFUNCTION("""COMPUTED_VALUE"""),"#VALUE!")</f>
        <v>#VALUE!</v>
      </c>
      <c r="H59" s="51" t="str">
        <f>IFERROR(__xludf.DUMMYFUNCTION("""COMPUTED_VALUE"""),"")</f>
        <v/>
      </c>
      <c r="I59" s="51" t="str">
        <f>IFERROR(__xludf.DUMMYFUNCTION("""COMPUTED_VALUE"""),"#VALUE!")</f>
        <v>#VALUE!</v>
      </c>
      <c r="J59" s="51" t="str">
        <f>IFERROR(__xludf.DUMMYFUNCTION("""COMPUTED_VALUE"""),"")</f>
        <v/>
      </c>
      <c r="K59" s="51">
        <f t="shared" si="1"/>
        <v>0</v>
      </c>
      <c r="L59" s="51" t="s">
        <v>257</v>
      </c>
      <c r="M59" s="51"/>
      <c r="N59" s="51"/>
      <c r="O59" s="51"/>
      <c r="P59" s="51"/>
      <c r="Q59" s="51"/>
      <c r="R59" s="51"/>
      <c r="S59" s="51"/>
      <c r="T59" s="51"/>
    </row>
    <row r="60">
      <c r="A60" s="51"/>
      <c r="B60" s="51"/>
      <c r="C60" s="56"/>
      <c r="D60" s="51"/>
      <c r="E60" s="51"/>
      <c r="F60" s="51"/>
      <c r="G60" s="51" t="str">
        <f>IFERROR(__xludf.DUMMYFUNCTION("""COMPUTED_VALUE"""),"#VALUE!")</f>
        <v>#VALUE!</v>
      </c>
      <c r="H60" s="51" t="str">
        <f>IFERROR(__xludf.DUMMYFUNCTION("""COMPUTED_VALUE"""),"")</f>
        <v/>
      </c>
      <c r="I60" s="51" t="str">
        <f>IFERROR(__xludf.DUMMYFUNCTION("""COMPUTED_VALUE"""),"#VALUE!")</f>
        <v>#VALUE!</v>
      </c>
      <c r="J60" s="51" t="str">
        <f>IFERROR(__xludf.DUMMYFUNCTION("""COMPUTED_VALUE"""),"")</f>
        <v/>
      </c>
      <c r="K60" s="51"/>
      <c r="L60" s="51" t="s">
        <v>257</v>
      </c>
      <c r="M60" s="51"/>
      <c r="N60" s="51"/>
      <c r="O60" s="51"/>
      <c r="P60" s="51"/>
      <c r="Q60" s="51"/>
      <c r="R60" s="51"/>
      <c r="S60" s="51"/>
      <c r="T60" s="51"/>
    </row>
    <row r="61">
      <c r="A61" s="51"/>
      <c r="B61" s="51"/>
      <c r="C61" s="56"/>
      <c r="D61" s="51"/>
      <c r="E61" s="51"/>
      <c r="F61" s="51"/>
      <c r="G61" s="51" t="str">
        <f>IFERROR(__xludf.DUMMYFUNCTION("""COMPUTED_VALUE"""),"#VALUE!")</f>
        <v>#VALUE!</v>
      </c>
      <c r="H61" s="51" t="str">
        <f>IFERROR(__xludf.DUMMYFUNCTION("""COMPUTED_VALUE"""),"")</f>
        <v/>
      </c>
      <c r="I61" s="51" t="str">
        <f>IFERROR(__xludf.DUMMYFUNCTION("""COMPUTED_VALUE"""),"#VALUE!")</f>
        <v>#VALUE!</v>
      </c>
      <c r="J61" s="51" t="str">
        <f>IFERROR(__xludf.DUMMYFUNCTION("""COMPUTED_VALUE"""),"")</f>
        <v/>
      </c>
      <c r="K61" s="51"/>
      <c r="L61" s="51" t="s">
        <v>257</v>
      </c>
      <c r="M61" s="51"/>
      <c r="N61" s="51"/>
      <c r="O61" s="51"/>
      <c r="P61" s="51"/>
      <c r="Q61" s="51"/>
      <c r="R61" s="51"/>
      <c r="S61" s="51"/>
      <c r="T61" s="51"/>
    </row>
    <row r="62">
      <c r="A62" s="51"/>
      <c r="B62" s="51"/>
      <c r="C62" s="56"/>
      <c r="D62" s="51"/>
      <c r="E62" s="51"/>
      <c r="F62" s="51"/>
      <c r="G62" s="51" t="str">
        <f>IFERROR(__xludf.DUMMYFUNCTION("""COMPUTED_VALUE"""),"#VALUE!")</f>
        <v>#VALUE!</v>
      </c>
      <c r="H62" s="51" t="str">
        <f>IFERROR(__xludf.DUMMYFUNCTION("""COMPUTED_VALUE"""),"")</f>
        <v/>
      </c>
      <c r="I62" s="51" t="str">
        <f>IFERROR(__xludf.DUMMYFUNCTION("""COMPUTED_VALUE"""),"#VALUE!")</f>
        <v>#VALUE!</v>
      </c>
      <c r="J62" s="51" t="str">
        <f>IFERROR(__xludf.DUMMYFUNCTION("""COMPUTED_VALUE"""),"")</f>
        <v/>
      </c>
      <c r="K62" s="51"/>
      <c r="L62" s="51" t="s">
        <v>257</v>
      </c>
      <c r="M62" s="51"/>
      <c r="N62" s="51"/>
      <c r="O62" s="51"/>
      <c r="P62" s="51"/>
      <c r="Q62" s="51"/>
      <c r="R62" s="51"/>
      <c r="S62" s="51"/>
      <c r="T62" s="51"/>
    </row>
    <row r="63">
      <c r="A63" s="51"/>
      <c r="B63" s="51"/>
      <c r="C63" s="56"/>
      <c r="D63" s="51"/>
      <c r="E63" s="51"/>
      <c r="F63" s="51"/>
      <c r="G63" s="51" t="str">
        <f>IFERROR(__xludf.DUMMYFUNCTION("""COMPUTED_VALUE"""),"#VALUE!")</f>
        <v>#VALUE!</v>
      </c>
      <c r="H63" s="51" t="str">
        <f>IFERROR(__xludf.DUMMYFUNCTION("""COMPUTED_VALUE"""),"")</f>
        <v/>
      </c>
      <c r="I63" s="51" t="str">
        <f>IFERROR(__xludf.DUMMYFUNCTION("""COMPUTED_VALUE"""),"#VALUE!")</f>
        <v>#VALUE!</v>
      </c>
      <c r="J63" s="51" t="str">
        <f>IFERROR(__xludf.DUMMYFUNCTION("""COMPUTED_VALUE"""),"")</f>
        <v/>
      </c>
      <c r="K63" s="51"/>
      <c r="L63" s="51" t="s">
        <v>257</v>
      </c>
      <c r="M63" s="51"/>
      <c r="N63" s="51"/>
      <c r="O63" s="51"/>
      <c r="P63" s="51"/>
      <c r="Q63" s="51"/>
      <c r="R63" s="51"/>
      <c r="S63" s="51"/>
      <c r="T63" s="51"/>
    </row>
    <row r="64">
      <c r="A64" s="51"/>
      <c r="B64" s="51"/>
      <c r="C64" s="56"/>
      <c r="D64" s="51"/>
      <c r="E64" s="51"/>
      <c r="F64" s="51"/>
      <c r="G64" s="51" t="str">
        <f>IFERROR(__xludf.DUMMYFUNCTION("""COMPUTED_VALUE"""),"#VALUE!")</f>
        <v>#VALUE!</v>
      </c>
      <c r="H64" s="51" t="str">
        <f>IFERROR(__xludf.DUMMYFUNCTION("""COMPUTED_VALUE"""),"")</f>
        <v/>
      </c>
      <c r="I64" s="51" t="str">
        <f>IFERROR(__xludf.DUMMYFUNCTION("""COMPUTED_VALUE"""),"#VALUE!")</f>
        <v>#VALUE!</v>
      </c>
      <c r="J64" s="51" t="str">
        <f>IFERROR(__xludf.DUMMYFUNCTION("""COMPUTED_VALUE"""),"")</f>
        <v/>
      </c>
      <c r="K64" s="51"/>
      <c r="L64" s="51" t="s">
        <v>257</v>
      </c>
      <c r="M64" s="51"/>
      <c r="N64" s="51"/>
      <c r="O64" s="51"/>
      <c r="P64" s="51"/>
      <c r="Q64" s="51"/>
      <c r="R64" s="51"/>
      <c r="S64" s="51"/>
      <c r="T64" s="51"/>
    </row>
    <row r="65">
      <c r="A65" s="51"/>
      <c r="B65" s="51"/>
      <c r="C65" s="56"/>
      <c r="D65" s="51"/>
      <c r="E65" s="51"/>
      <c r="F65" s="51"/>
      <c r="G65" s="51" t="str">
        <f>IFERROR(__xludf.DUMMYFUNCTION("""COMPUTED_VALUE"""),"#VALUE!")</f>
        <v>#VALUE!</v>
      </c>
      <c r="H65" s="51" t="str">
        <f>IFERROR(__xludf.DUMMYFUNCTION("""COMPUTED_VALUE"""),"")</f>
        <v/>
      </c>
      <c r="I65" s="51" t="str">
        <f>IFERROR(__xludf.DUMMYFUNCTION("""COMPUTED_VALUE"""),"#VALUE!")</f>
        <v>#VALUE!</v>
      </c>
      <c r="J65" s="51" t="str">
        <f>IFERROR(__xludf.DUMMYFUNCTION("""COMPUTED_VALUE"""),"")</f>
        <v/>
      </c>
      <c r="K65" s="51"/>
      <c r="L65" s="51" t="s">
        <v>257</v>
      </c>
      <c r="M65" s="51"/>
      <c r="N65" s="51"/>
      <c r="O65" s="51"/>
      <c r="P65" s="51"/>
      <c r="Q65" s="51"/>
      <c r="R65" s="51"/>
      <c r="S65" s="51"/>
      <c r="T65" s="51"/>
    </row>
    <row r="66">
      <c r="A66" s="51"/>
      <c r="B66" s="51"/>
      <c r="C66" s="56"/>
      <c r="D66" s="51"/>
      <c r="E66" s="51"/>
      <c r="F66" s="51"/>
      <c r="G66" s="51" t="str">
        <f>IFERROR(__xludf.DUMMYFUNCTION("""COMPUTED_VALUE"""),"#VALUE!")</f>
        <v>#VALUE!</v>
      </c>
      <c r="H66" s="51" t="str">
        <f>IFERROR(__xludf.DUMMYFUNCTION("""COMPUTED_VALUE"""),"")</f>
        <v/>
      </c>
      <c r="I66" s="51" t="str">
        <f>IFERROR(__xludf.DUMMYFUNCTION("""COMPUTED_VALUE"""),"#VALUE!")</f>
        <v>#VALUE!</v>
      </c>
      <c r="J66" s="51" t="str">
        <f>IFERROR(__xludf.DUMMYFUNCTION("""COMPUTED_VALUE"""),"")</f>
        <v/>
      </c>
      <c r="K66" s="51"/>
      <c r="L66" s="51" t="s">
        <v>257</v>
      </c>
      <c r="M66" s="51"/>
      <c r="N66" s="51"/>
      <c r="O66" s="51"/>
      <c r="P66" s="51"/>
      <c r="Q66" s="51"/>
      <c r="R66" s="51"/>
      <c r="S66" s="51"/>
      <c r="T66" s="51"/>
    </row>
    <row r="67">
      <c r="A67" s="51"/>
      <c r="B67" s="51"/>
      <c r="C67" s="56"/>
      <c r="D67" s="51"/>
      <c r="E67" s="51"/>
      <c r="F67" s="51"/>
      <c r="G67" s="51" t="str">
        <f>IFERROR(__xludf.DUMMYFUNCTION("""COMPUTED_VALUE"""),"#VALUE!")</f>
        <v>#VALUE!</v>
      </c>
      <c r="H67" s="51" t="str">
        <f>IFERROR(__xludf.DUMMYFUNCTION("""COMPUTED_VALUE"""),"")</f>
        <v/>
      </c>
      <c r="I67" s="51" t="str">
        <f>IFERROR(__xludf.DUMMYFUNCTION("""COMPUTED_VALUE"""),"#VALUE!")</f>
        <v>#VALUE!</v>
      </c>
      <c r="J67" s="51" t="str">
        <f>IFERROR(__xludf.DUMMYFUNCTION("""COMPUTED_VALUE"""),"")</f>
        <v/>
      </c>
      <c r="K67" s="51"/>
      <c r="L67" s="51" t="s">
        <v>257</v>
      </c>
      <c r="M67" s="51"/>
      <c r="N67" s="51"/>
      <c r="O67" s="51"/>
      <c r="P67" s="51"/>
      <c r="Q67" s="51"/>
      <c r="R67" s="51"/>
      <c r="S67" s="51"/>
      <c r="T67" s="51"/>
    </row>
    <row r="68">
      <c r="A68" s="51"/>
      <c r="B68" s="51"/>
      <c r="C68" s="56"/>
      <c r="D68" s="51"/>
      <c r="E68" s="51"/>
      <c r="F68" s="51"/>
      <c r="G68" s="51" t="str">
        <f>IFERROR(__xludf.DUMMYFUNCTION("""COMPUTED_VALUE"""),"#VALUE!")</f>
        <v>#VALUE!</v>
      </c>
      <c r="H68" s="51" t="str">
        <f>IFERROR(__xludf.DUMMYFUNCTION("""COMPUTED_VALUE"""),"")</f>
        <v/>
      </c>
      <c r="I68" s="51" t="str">
        <f>IFERROR(__xludf.DUMMYFUNCTION("""COMPUTED_VALUE"""),"#VALUE!")</f>
        <v>#VALUE!</v>
      </c>
      <c r="J68" s="51" t="str">
        <f>IFERROR(__xludf.DUMMYFUNCTION("""COMPUTED_VALUE"""),"")</f>
        <v/>
      </c>
      <c r="K68" s="51"/>
      <c r="L68" s="51" t="s">
        <v>257</v>
      </c>
      <c r="M68" s="51"/>
      <c r="N68" s="51"/>
      <c r="O68" s="51"/>
      <c r="P68" s="51"/>
      <c r="Q68" s="51"/>
      <c r="R68" s="51"/>
      <c r="S68" s="51"/>
      <c r="T68" s="51"/>
    </row>
    <row r="69">
      <c r="A69" s="51"/>
      <c r="B69" s="51"/>
      <c r="C69" s="56"/>
      <c r="D69" s="51"/>
      <c r="E69" s="51"/>
      <c r="F69" s="51"/>
      <c r="G69" s="51" t="str">
        <f>IFERROR(__xludf.DUMMYFUNCTION("""COMPUTED_VALUE"""),"#VALUE!")</f>
        <v>#VALUE!</v>
      </c>
      <c r="H69" s="51" t="str">
        <f>IFERROR(__xludf.DUMMYFUNCTION("""COMPUTED_VALUE"""),"")</f>
        <v/>
      </c>
      <c r="I69" s="51" t="str">
        <f>IFERROR(__xludf.DUMMYFUNCTION("""COMPUTED_VALUE"""),"#VALUE!")</f>
        <v>#VALUE!</v>
      </c>
      <c r="J69" s="51" t="str">
        <f>IFERROR(__xludf.DUMMYFUNCTION("""COMPUTED_VALUE"""),"")</f>
        <v/>
      </c>
      <c r="K69" s="51"/>
      <c r="L69" s="51" t="s">
        <v>257</v>
      </c>
      <c r="M69" s="51"/>
      <c r="N69" s="51"/>
      <c r="O69" s="51"/>
      <c r="P69" s="51"/>
      <c r="Q69" s="51"/>
      <c r="R69" s="51"/>
      <c r="S69" s="51"/>
      <c r="T69" s="51"/>
    </row>
    <row r="70">
      <c r="A70" s="51"/>
      <c r="B70" s="51"/>
      <c r="C70" s="56"/>
      <c r="D70" s="51"/>
      <c r="E70" s="51"/>
      <c r="F70" s="51"/>
      <c r="G70" s="51" t="str">
        <f>IFERROR(__xludf.DUMMYFUNCTION("""COMPUTED_VALUE"""),"#VALUE!")</f>
        <v>#VALUE!</v>
      </c>
      <c r="H70" s="51" t="str">
        <f>IFERROR(__xludf.DUMMYFUNCTION("""COMPUTED_VALUE"""),"")</f>
        <v/>
      </c>
      <c r="I70" s="51" t="str">
        <f>IFERROR(__xludf.DUMMYFUNCTION("""COMPUTED_VALUE"""),"#VALUE!")</f>
        <v>#VALUE!</v>
      </c>
      <c r="J70" s="51" t="str">
        <f>IFERROR(__xludf.DUMMYFUNCTION("""COMPUTED_VALUE"""),"")</f>
        <v/>
      </c>
      <c r="K70" s="51"/>
      <c r="L70" s="51" t="s">
        <v>257</v>
      </c>
      <c r="M70" s="51"/>
      <c r="N70" s="51"/>
      <c r="O70" s="51"/>
      <c r="P70" s="51"/>
      <c r="Q70" s="51"/>
      <c r="R70" s="51"/>
      <c r="S70" s="51"/>
      <c r="T70" s="51"/>
    </row>
    <row r="71">
      <c r="A71" s="51"/>
      <c r="B71" s="51"/>
      <c r="C71" s="56"/>
      <c r="D71" s="51"/>
      <c r="E71" s="51"/>
      <c r="F71" s="51"/>
      <c r="G71" s="51" t="str">
        <f>IFERROR(__xludf.DUMMYFUNCTION("""COMPUTED_VALUE"""),"#VALUE!")</f>
        <v>#VALUE!</v>
      </c>
      <c r="H71" s="51" t="str">
        <f>IFERROR(__xludf.DUMMYFUNCTION("""COMPUTED_VALUE"""),"")</f>
        <v/>
      </c>
      <c r="I71" s="51" t="str">
        <f>IFERROR(__xludf.DUMMYFUNCTION("""COMPUTED_VALUE"""),"#VALUE!")</f>
        <v>#VALUE!</v>
      </c>
      <c r="J71" s="51" t="str">
        <f>IFERROR(__xludf.DUMMYFUNCTION("""COMPUTED_VALUE"""),"")</f>
        <v/>
      </c>
      <c r="K71" s="51"/>
      <c r="L71" s="51" t="s">
        <v>257</v>
      </c>
      <c r="M71" s="51"/>
      <c r="N71" s="51"/>
      <c r="O71" s="51"/>
      <c r="P71" s="51"/>
      <c r="Q71" s="51"/>
      <c r="R71" s="51"/>
      <c r="S71" s="51"/>
      <c r="T71" s="51"/>
    </row>
    <row r="72">
      <c r="A72" s="51"/>
      <c r="B72" s="51"/>
      <c r="C72" s="56"/>
      <c r="D72" s="51"/>
      <c r="E72" s="51"/>
      <c r="F72" s="51"/>
      <c r="G72" s="51" t="str">
        <f>IFERROR(__xludf.DUMMYFUNCTION("""COMPUTED_VALUE"""),"#VALUE!")</f>
        <v>#VALUE!</v>
      </c>
      <c r="H72" s="51" t="str">
        <f>IFERROR(__xludf.DUMMYFUNCTION("""COMPUTED_VALUE"""),"")</f>
        <v/>
      </c>
      <c r="I72" s="51" t="str">
        <f>IFERROR(__xludf.DUMMYFUNCTION("""COMPUTED_VALUE"""),"#VALUE!")</f>
        <v>#VALUE!</v>
      </c>
      <c r="J72" s="51" t="str">
        <f>IFERROR(__xludf.DUMMYFUNCTION("""COMPUTED_VALUE"""),"")</f>
        <v/>
      </c>
      <c r="K72" s="51"/>
      <c r="L72" s="51" t="s">
        <v>257</v>
      </c>
      <c r="M72" s="51"/>
      <c r="N72" s="51"/>
      <c r="O72" s="51"/>
      <c r="P72" s="51"/>
      <c r="Q72" s="51"/>
      <c r="R72" s="51"/>
      <c r="S72" s="51"/>
      <c r="T72" s="51"/>
    </row>
    <row r="73">
      <c r="A73" s="51"/>
      <c r="B73" s="51"/>
      <c r="C73" s="56"/>
      <c r="D73" s="51"/>
      <c r="E73" s="51"/>
      <c r="F73" s="51"/>
      <c r="G73" s="51" t="str">
        <f>IFERROR(__xludf.DUMMYFUNCTION("""COMPUTED_VALUE"""),"#VALUE!")</f>
        <v>#VALUE!</v>
      </c>
      <c r="H73" s="51" t="str">
        <f>IFERROR(__xludf.DUMMYFUNCTION("""COMPUTED_VALUE"""),"")</f>
        <v/>
      </c>
      <c r="I73" s="51" t="str">
        <f>IFERROR(__xludf.DUMMYFUNCTION("""COMPUTED_VALUE"""),"#VALUE!")</f>
        <v>#VALUE!</v>
      </c>
      <c r="J73" s="51" t="str">
        <f>IFERROR(__xludf.DUMMYFUNCTION("""COMPUTED_VALUE"""),"")</f>
        <v/>
      </c>
      <c r="K73" s="51"/>
      <c r="L73" s="51" t="s">
        <v>257</v>
      </c>
      <c r="M73" s="51"/>
      <c r="N73" s="51"/>
      <c r="O73" s="51"/>
      <c r="P73" s="51"/>
      <c r="Q73" s="51"/>
      <c r="R73" s="51"/>
      <c r="S73" s="51"/>
      <c r="T73" s="51"/>
    </row>
    <row r="74">
      <c r="A74" s="51"/>
      <c r="B74" s="51"/>
      <c r="C74" s="56"/>
      <c r="D74" s="51"/>
      <c r="E74" s="51"/>
      <c r="F74" s="51"/>
      <c r="G74" s="51" t="str">
        <f>IFERROR(__xludf.DUMMYFUNCTION("""COMPUTED_VALUE"""),"#VALUE!")</f>
        <v>#VALUE!</v>
      </c>
      <c r="H74" s="51" t="str">
        <f>IFERROR(__xludf.DUMMYFUNCTION("""COMPUTED_VALUE"""),"")</f>
        <v/>
      </c>
      <c r="I74" s="51" t="str">
        <f>IFERROR(__xludf.DUMMYFUNCTION("""COMPUTED_VALUE"""),"#VALUE!")</f>
        <v>#VALUE!</v>
      </c>
      <c r="J74" s="51" t="str">
        <f>IFERROR(__xludf.DUMMYFUNCTION("""COMPUTED_VALUE"""),"")</f>
        <v/>
      </c>
      <c r="K74" s="51"/>
      <c r="L74" s="51" t="s">
        <v>257</v>
      </c>
      <c r="M74" s="51"/>
      <c r="N74" s="51"/>
      <c r="O74" s="51"/>
      <c r="P74" s="51"/>
      <c r="Q74" s="51"/>
      <c r="R74" s="51"/>
      <c r="S74" s="51"/>
      <c r="T74" s="51"/>
    </row>
    <row r="75">
      <c r="A75" s="51"/>
      <c r="B75" s="51"/>
      <c r="C75" s="56"/>
      <c r="D75" s="51"/>
      <c r="E75" s="51"/>
      <c r="F75" s="51"/>
      <c r="G75" s="51" t="str">
        <f>IFERROR(__xludf.DUMMYFUNCTION("""COMPUTED_VALUE"""),"#VALUE!")</f>
        <v>#VALUE!</v>
      </c>
      <c r="H75" s="51" t="str">
        <f>IFERROR(__xludf.DUMMYFUNCTION("""COMPUTED_VALUE"""),"")</f>
        <v/>
      </c>
      <c r="I75" s="51" t="str">
        <f>IFERROR(__xludf.DUMMYFUNCTION("""COMPUTED_VALUE"""),"#VALUE!")</f>
        <v>#VALUE!</v>
      </c>
      <c r="J75" s="51" t="str">
        <f>IFERROR(__xludf.DUMMYFUNCTION("""COMPUTED_VALUE"""),"")</f>
        <v/>
      </c>
      <c r="K75" s="51"/>
      <c r="L75" s="51" t="s">
        <v>257</v>
      </c>
      <c r="M75" s="51"/>
      <c r="N75" s="51"/>
      <c r="O75" s="51"/>
      <c r="P75" s="51"/>
      <c r="Q75" s="51"/>
      <c r="R75" s="51"/>
      <c r="S75" s="51"/>
      <c r="T75" s="51"/>
    </row>
    <row r="76">
      <c r="A76" s="51"/>
      <c r="B76" s="51"/>
      <c r="C76" s="56"/>
      <c r="D76" s="51"/>
      <c r="E76" s="51"/>
      <c r="F76" s="51"/>
      <c r="G76" s="51" t="str">
        <f>IFERROR(__xludf.DUMMYFUNCTION("""COMPUTED_VALUE"""),"#VALUE!")</f>
        <v>#VALUE!</v>
      </c>
      <c r="H76" s="51" t="str">
        <f>IFERROR(__xludf.DUMMYFUNCTION("""COMPUTED_VALUE"""),"")</f>
        <v/>
      </c>
      <c r="I76" s="51" t="str">
        <f>IFERROR(__xludf.DUMMYFUNCTION("""COMPUTED_VALUE"""),"#VALUE!")</f>
        <v>#VALUE!</v>
      </c>
      <c r="J76" s="51" t="str">
        <f>IFERROR(__xludf.DUMMYFUNCTION("""COMPUTED_VALUE"""),"")</f>
        <v/>
      </c>
      <c r="K76" s="51"/>
      <c r="L76" s="51" t="s">
        <v>257</v>
      </c>
      <c r="M76" s="51"/>
      <c r="N76" s="51"/>
      <c r="O76" s="51"/>
      <c r="P76" s="51"/>
      <c r="Q76" s="51"/>
      <c r="R76" s="51"/>
      <c r="S76" s="51"/>
      <c r="T76" s="51"/>
    </row>
    <row r="77">
      <c r="A77" s="51"/>
      <c r="B77" s="51"/>
      <c r="C77" s="56"/>
      <c r="D77" s="51"/>
      <c r="E77" s="51"/>
      <c r="F77" s="51"/>
      <c r="G77" s="51" t="str">
        <f>IFERROR(__xludf.DUMMYFUNCTION("""COMPUTED_VALUE"""),"#VALUE!")</f>
        <v>#VALUE!</v>
      </c>
      <c r="H77" s="51" t="str">
        <f>IFERROR(__xludf.DUMMYFUNCTION("""COMPUTED_VALUE"""),"")</f>
        <v/>
      </c>
      <c r="I77" s="51" t="str">
        <f>IFERROR(__xludf.DUMMYFUNCTION("""COMPUTED_VALUE"""),"#VALUE!")</f>
        <v>#VALUE!</v>
      </c>
      <c r="J77" s="51" t="str">
        <f>IFERROR(__xludf.DUMMYFUNCTION("""COMPUTED_VALUE"""),"")</f>
        <v/>
      </c>
      <c r="K77" s="51"/>
      <c r="L77" s="51" t="s">
        <v>257</v>
      </c>
      <c r="M77" s="51"/>
      <c r="N77" s="51"/>
      <c r="O77" s="51"/>
      <c r="P77" s="51"/>
      <c r="Q77" s="51"/>
      <c r="R77" s="51"/>
      <c r="S77" s="51"/>
      <c r="T77" s="51"/>
    </row>
    <row r="78">
      <c r="A78" s="51"/>
      <c r="B78" s="51"/>
      <c r="C78" s="56"/>
      <c r="D78" s="51"/>
      <c r="E78" s="51"/>
      <c r="F78" s="51"/>
      <c r="G78" s="51" t="str">
        <f>IFERROR(__xludf.DUMMYFUNCTION("""COMPUTED_VALUE"""),"#VALUE!")</f>
        <v>#VALUE!</v>
      </c>
      <c r="H78" s="51" t="str">
        <f>IFERROR(__xludf.DUMMYFUNCTION("""COMPUTED_VALUE"""),"")</f>
        <v/>
      </c>
      <c r="I78" s="51" t="str">
        <f>IFERROR(__xludf.DUMMYFUNCTION("""COMPUTED_VALUE"""),"#VALUE!")</f>
        <v>#VALUE!</v>
      </c>
      <c r="J78" s="51" t="str">
        <f>IFERROR(__xludf.DUMMYFUNCTION("""COMPUTED_VALUE"""),"")</f>
        <v/>
      </c>
      <c r="K78" s="51"/>
      <c r="L78" s="51" t="s">
        <v>257</v>
      </c>
      <c r="M78" s="51"/>
      <c r="N78" s="51"/>
      <c r="O78" s="51"/>
      <c r="P78" s="51"/>
      <c r="Q78" s="51"/>
      <c r="R78" s="51"/>
      <c r="S78" s="51"/>
      <c r="T78" s="51"/>
    </row>
    <row r="79">
      <c r="A79" s="51"/>
      <c r="B79" s="51"/>
      <c r="C79" s="56"/>
      <c r="D79" s="51"/>
      <c r="E79" s="51"/>
      <c r="F79" s="51"/>
      <c r="G79" s="51" t="str">
        <f>IFERROR(__xludf.DUMMYFUNCTION("""COMPUTED_VALUE"""),"#VALUE!")</f>
        <v>#VALUE!</v>
      </c>
      <c r="H79" s="51" t="str">
        <f>IFERROR(__xludf.DUMMYFUNCTION("""COMPUTED_VALUE"""),"")</f>
        <v/>
      </c>
      <c r="I79" s="51" t="str">
        <f>IFERROR(__xludf.DUMMYFUNCTION("""COMPUTED_VALUE"""),"#VALUE!")</f>
        <v>#VALUE!</v>
      </c>
      <c r="J79" s="51" t="str">
        <f>IFERROR(__xludf.DUMMYFUNCTION("""COMPUTED_VALUE"""),"")</f>
        <v/>
      </c>
      <c r="K79" s="51"/>
      <c r="L79" s="51" t="s">
        <v>257</v>
      </c>
      <c r="M79" s="51"/>
      <c r="N79" s="51"/>
      <c r="O79" s="51"/>
      <c r="P79" s="51"/>
      <c r="Q79" s="51"/>
      <c r="R79" s="51"/>
      <c r="S79" s="51"/>
      <c r="T79" s="51"/>
    </row>
    <row r="80">
      <c r="A80" s="51"/>
      <c r="B80" s="51"/>
      <c r="C80" s="56"/>
      <c r="D80" s="51"/>
      <c r="E80" s="51"/>
      <c r="F80" s="51"/>
      <c r="G80" s="51" t="str">
        <f>IFERROR(__xludf.DUMMYFUNCTION("""COMPUTED_VALUE"""),"#VALUE!")</f>
        <v>#VALUE!</v>
      </c>
      <c r="H80" s="51" t="str">
        <f>IFERROR(__xludf.DUMMYFUNCTION("""COMPUTED_VALUE"""),"")</f>
        <v/>
      </c>
      <c r="I80" s="51" t="str">
        <f>IFERROR(__xludf.DUMMYFUNCTION("""COMPUTED_VALUE"""),"#VALUE!")</f>
        <v>#VALUE!</v>
      </c>
      <c r="J80" s="51" t="str">
        <f>IFERROR(__xludf.DUMMYFUNCTION("""COMPUTED_VALUE"""),"")</f>
        <v/>
      </c>
      <c r="K80" s="51"/>
      <c r="L80" s="51" t="s">
        <v>257</v>
      </c>
      <c r="M80" s="51"/>
      <c r="N80" s="51"/>
      <c r="O80" s="51"/>
      <c r="P80" s="51"/>
      <c r="Q80" s="51"/>
      <c r="R80" s="51"/>
      <c r="S80" s="51"/>
      <c r="T80" s="51"/>
    </row>
    <row r="81">
      <c r="A81" s="51"/>
      <c r="B81" s="51"/>
      <c r="C81" s="56"/>
      <c r="D81" s="51"/>
      <c r="E81" s="51"/>
      <c r="F81" s="51"/>
      <c r="G81" s="51" t="str">
        <f>IFERROR(__xludf.DUMMYFUNCTION("""COMPUTED_VALUE"""),"#VALUE!")</f>
        <v>#VALUE!</v>
      </c>
      <c r="H81" s="51" t="str">
        <f>IFERROR(__xludf.DUMMYFUNCTION("""COMPUTED_VALUE"""),"")</f>
        <v/>
      </c>
      <c r="I81" s="51" t="str">
        <f>IFERROR(__xludf.DUMMYFUNCTION("""COMPUTED_VALUE"""),"#VALUE!")</f>
        <v>#VALUE!</v>
      </c>
      <c r="J81" s="51" t="str">
        <f>IFERROR(__xludf.DUMMYFUNCTION("""COMPUTED_VALUE"""),"")</f>
        <v/>
      </c>
      <c r="K81" s="51"/>
      <c r="L81" s="51" t="s">
        <v>257</v>
      </c>
      <c r="M81" s="51"/>
      <c r="N81" s="51"/>
      <c r="O81" s="51"/>
      <c r="P81" s="51"/>
      <c r="Q81" s="51"/>
      <c r="R81" s="51"/>
      <c r="S81" s="51"/>
      <c r="T81" s="51"/>
    </row>
    <row r="82">
      <c r="A82" s="51"/>
      <c r="B82" s="51"/>
      <c r="C82" s="56"/>
      <c r="D82" s="51"/>
      <c r="E82" s="51"/>
      <c r="F82" s="51"/>
      <c r="G82" s="51" t="str">
        <f>IFERROR(__xludf.DUMMYFUNCTION("""COMPUTED_VALUE"""),"#VALUE!")</f>
        <v>#VALUE!</v>
      </c>
      <c r="H82" s="51" t="str">
        <f>IFERROR(__xludf.DUMMYFUNCTION("""COMPUTED_VALUE"""),"")</f>
        <v/>
      </c>
      <c r="I82" s="51" t="str">
        <f>IFERROR(__xludf.DUMMYFUNCTION("""COMPUTED_VALUE"""),"#VALUE!")</f>
        <v>#VALUE!</v>
      </c>
      <c r="J82" s="51" t="str">
        <f>IFERROR(__xludf.DUMMYFUNCTION("""COMPUTED_VALUE"""),"")</f>
        <v/>
      </c>
      <c r="K82" s="51"/>
      <c r="L82" s="51" t="s">
        <v>257</v>
      </c>
      <c r="M82" s="51"/>
      <c r="N82" s="51"/>
      <c r="O82" s="51"/>
      <c r="P82" s="51"/>
      <c r="Q82" s="51"/>
      <c r="R82" s="51"/>
      <c r="S82" s="51"/>
      <c r="T82" s="51"/>
    </row>
    <row r="83">
      <c r="A83" s="51"/>
      <c r="B83" s="51"/>
      <c r="C83" s="56"/>
      <c r="D83" s="51"/>
      <c r="E83" s="51"/>
      <c r="F83" s="51"/>
      <c r="G83" s="51" t="str">
        <f>IFERROR(__xludf.DUMMYFUNCTION("""COMPUTED_VALUE"""),"#VALUE!")</f>
        <v>#VALUE!</v>
      </c>
      <c r="H83" s="51" t="str">
        <f>IFERROR(__xludf.DUMMYFUNCTION("""COMPUTED_VALUE"""),"")</f>
        <v/>
      </c>
      <c r="I83" s="51" t="str">
        <f>IFERROR(__xludf.DUMMYFUNCTION("""COMPUTED_VALUE"""),"#VALUE!")</f>
        <v>#VALUE!</v>
      </c>
      <c r="J83" s="51" t="str">
        <f>IFERROR(__xludf.DUMMYFUNCTION("""COMPUTED_VALUE"""),"")</f>
        <v/>
      </c>
      <c r="K83" s="51"/>
      <c r="L83" s="51" t="s">
        <v>257</v>
      </c>
      <c r="M83" s="51"/>
      <c r="N83" s="51"/>
      <c r="O83" s="51"/>
      <c r="P83" s="51"/>
      <c r="Q83" s="51"/>
      <c r="R83" s="51"/>
      <c r="S83" s="51"/>
      <c r="T83" s="51"/>
    </row>
    <row r="84">
      <c r="A84" s="51"/>
      <c r="B84" s="51"/>
      <c r="C84" s="56"/>
      <c r="D84" s="51"/>
      <c r="E84" s="51"/>
      <c r="F84" s="51"/>
      <c r="G84" s="51" t="str">
        <f>IFERROR(__xludf.DUMMYFUNCTION("""COMPUTED_VALUE"""),"#VALUE!")</f>
        <v>#VALUE!</v>
      </c>
      <c r="H84" s="51" t="str">
        <f>IFERROR(__xludf.DUMMYFUNCTION("""COMPUTED_VALUE"""),"")</f>
        <v/>
      </c>
      <c r="I84" s="51" t="str">
        <f>IFERROR(__xludf.DUMMYFUNCTION("""COMPUTED_VALUE"""),"#VALUE!")</f>
        <v>#VALUE!</v>
      </c>
      <c r="J84" s="51" t="str">
        <f>IFERROR(__xludf.DUMMYFUNCTION("""COMPUTED_VALUE"""),"")</f>
        <v/>
      </c>
      <c r="K84" s="51"/>
      <c r="L84" s="51" t="s">
        <v>257</v>
      </c>
      <c r="M84" s="51"/>
      <c r="N84" s="51"/>
      <c r="O84" s="51"/>
      <c r="P84" s="51"/>
      <c r="Q84" s="51"/>
      <c r="R84" s="51"/>
      <c r="S84" s="51"/>
      <c r="T84" s="51"/>
    </row>
    <row r="85">
      <c r="A85" s="51"/>
      <c r="B85" s="51"/>
      <c r="C85" s="56"/>
      <c r="D85" s="51"/>
      <c r="E85" s="51"/>
      <c r="F85" s="51"/>
      <c r="G85" s="51" t="str">
        <f>IFERROR(__xludf.DUMMYFUNCTION("""COMPUTED_VALUE"""),"#VALUE!")</f>
        <v>#VALUE!</v>
      </c>
      <c r="H85" s="51" t="str">
        <f>IFERROR(__xludf.DUMMYFUNCTION("""COMPUTED_VALUE"""),"")</f>
        <v/>
      </c>
      <c r="I85" s="51" t="str">
        <f>IFERROR(__xludf.DUMMYFUNCTION("""COMPUTED_VALUE"""),"#VALUE!")</f>
        <v>#VALUE!</v>
      </c>
      <c r="J85" s="51" t="str">
        <f>IFERROR(__xludf.DUMMYFUNCTION("""COMPUTED_VALUE"""),"")</f>
        <v/>
      </c>
      <c r="K85" s="51"/>
      <c r="L85" s="51" t="s">
        <v>257</v>
      </c>
      <c r="M85" s="51"/>
      <c r="N85" s="51"/>
      <c r="O85" s="51"/>
      <c r="P85" s="51"/>
      <c r="Q85" s="51"/>
      <c r="R85" s="51"/>
      <c r="S85" s="51"/>
      <c r="T85" s="51"/>
    </row>
    <row r="86">
      <c r="A86" s="51"/>
      <c r="B86" s="51"/>
      <c r="C86" s="56"/>
      <c r="D86" s="51"/>
      <c r="E86" s="51"/>
      <c r="F86" s="51"/>
      <c r="G86" s="51" t="str">
        <f>IFERROR(__xludf.DUMMYFUNCTION("""COMPUTED_VALUE"""),"#VALUE!")</f>
        <v>#VALUE!</v>
      </c>
      <c r="H86" s="51" t="str">
        <f>IFERROR(__xludf.DUMMYFUNCTION("""COMPUTED_VALUE"""),"")</f>
        <v/>
      </c>
      <c r="I86" s="51" t="str">
        <f>IFERROR(__xludf.DUMMYFUNCTION("""COMPUTED_VALUE"""),"#VALUE!")</f>
        <v>#VALUE!</v>
      </c>
      <c r="J86" s="51" t="str">
        <f>IFERROR(__xludf.DUMMYFUNCTION("""COMPUTED_VALUE"""),"")</f>
        <v/>
      </c>
      <c r="K86" s="51"/>
      <c r="L86" s="51" t="s">
        <v>257</v>
      </c>
      <c r="M86" s="51"/>
      <c r="N86" s="51"/>
      <c r="O86" s="51"/>
      <c r="P86" s="51"/>
      <c r="Q86" s="51"/>
      <c r="R86" s="51"/>
      <c r="S86" s="51"/>
      <c r="T86" s="51"/>
    </row>
    <row r="87">
      <c r="A87" s="51"/>
      <c r="B87" s="51"/>
      <c r="C87" s="56"/>
      <c r="D87" s="51"/>
      <c r="E87" s="51"/>
      <c r="F87" s="51"/>
      <c r="G87" s="51" t="str">
        <f>IFERROR(__xludf.DUMMYFUNCTION("""COMPUTED_VALUE"""),"#VALUE!")</f>
        <v>#VALUE!</v>
      </c>
      <c r="H87" s="51" t="str">
        <f>IFERROR(__xludf.DUMMYFUNCTION("""COMPUTED_VALUE"""),"")</f>
        <v/>
      </c>
      <c r="I87" s="51" t="str">
        <f>IFERROR(__xludf.DUMMYFUNCTION("""COMPUTED_VALUE"""),"#VALUE!")</f>
        <v>#VALUE!</v>
      </c>
      <c r="J87" s="51" t="str">
        <f>IFERROR(__xludf.DUMMYFUNCTION("""COMPUTED_VALUE"""),"")</f>
        <v/>
      </c>
      <c r="K87" s="51"/>
      <c r="L87" s="51" t="s">
        <v>257</v>
      </c>
      <c r="M87" s="51"/>
      <c r="N87" s="51"/>
      <c r="O87" s="51"/>
      <c r="P87" s="51"/>
      <c r="Q87" s="51"/>
      <c r="R87" s="51"/>
      <c r="S87" s="51"/>
      <c r="T87" s="51"/>
    </row>
    <row r="88">
      <c r="A88" s="51"/>
      <c r="B88" s="51"/>
      <c r="C88" s="56"/>
      <c r="D88" s="51"/>
      <c r="E88" s="51"/>
      <c r="F88" s="51"/>
      <c r="G88" s="51" t="str">
        <f>IFERROR(__xludf.DUMMYFUNCTION("""COMPUTED_VALUE"""),"#VALUE!")</f>
        <v>#VALUE!</v>
      </c>
      <c r="H88" s="51" t="str">
        <f>IFERROR(__xludf.DUMMYFUNCTION("""COMPUTED_VALUE"""),"")</f>
        <v/>
      </c>
      <c r="I88" s="51" t="str">
        <f>IFERROR(__xludf.DUMMYFUNCTION("""COMPUTED_VALUE"""),"#VALUE!")</f>
        <v>#VALUE!</v>
      </c>
      <c r="J88" s="51" t="str">
        <f>IFERROR(__xludf.DUMMYFUNCTION("""COMPUTED_VALUE"""),"")</f>
        <v/>
      </c>
      <c r="K88" s="51"/>
      <c r="L88" s="51" t="s">
        <v>257</v>
      </c>
      <c r="M88" s="51"/>
      <c r="N88" s="51"/>
      <c r="O88" s="51"/>
      <c r="P88" s="51"/>
      <c r="Q88" s="51"/>
      <c r="R88" s="51"/>
      <c r="S88" s="51"/>
      <c r="T88" s="51"/>
    </row>
    <row r="89">
      <c r="A89" s="51"/>
      <c r="B89" s="51"/>
      <c r="C89" s="56"/>
      <c r="D89" s="51"/>
      <c r="E89" s="51"/>
      <c r="F89" s="51"/>
      <c r="G89" s="51" t="str">
        <f>IFERROR(__xludf.DUMMYFUNCTION("""COMPUTED_VALUE"""),"#VALUE!")</f>
        <v>#VALUE!</v>
      </c>
      <c r="H89" s="51" t="str">
        <f>IFERROR(__xludf.DUMMYFUNCTION("""COMPUTED_VALUE"""),"")</f>
        <v/>
      </c>
      <c r="I89" s="51" t="str">
        <f>IFERROR(__xludf.DUMMYFUNCTION("""COMPUTED_VALUE"""),"#VALUE!")</f>
        <v>#VALUE!</v>
      </c>
      <c r="J89" s="51" t="str">
        <f>IFERROR(__xludf.DUMMYFUNCTION("""COMPUTED_VALUE"""),"")</f>
        <v/>
      </c>
      <c r="K89" s="51"/>
      <c r="L89" s="51" t="s">
        <v>257</v>
      </c>
      <c r="M89" s="51"/>
      <c r="N89" s="51"/>
      <c r="O89" s="51"/>
      <c r="P89" s="51"/>
      <c r="Q89" s="51"/>
      <c r="R89" s="51"/>
      <c r="S89" s="51"/>
      <c r="T89" s="51"/>
    </row>
    <row r="90">
      <c r="A90" s="51"/>
      <c r="B90" s="51"/>
      <c r="C90" s="56"/>
      <c r="D90" s="51"/>
      <c r="E90" s="51"/>
      <c r="F90" s="51"/>
      <c r="G90" s="51" t="str">
        <f>IFERROR(__xludf.DUMMYFUNCTION("""COMPUTED_VALUE"""),"#VALUE!")</f>
        <v>#VALUE!</v>
      </c>
      <c r="H90" s="51" t="str">
        <f>IFERROR(__xludf.DUMMYFUNCTION("""COMPUTED_VALUE"""),"")</f>
        <v/>
      </c>
      <c r="I90" s="51" t="str">
        <f>IFERROR(__xludf.DUMMYFUNCTION("""COMPUTED_VALUE"""),"#VALUE!")</f>
        <v>#VALUE!</v>
      </c>
      <c r="J90" s="51" t="str">
        <f>IFERROR(__xludf.DUMMYFUNCTION("""COMPUTED_VALUE"""),"")</f>
        <v/>
      </c>
      <c r="K90" s="51"/>
      <c r="L90" s="51" t="s">
        <v>257</v>
      </c>
      <c r="M90" s="51"/>
      <c r="N90" s="51"/>
      <c r="O90" s="51"/>
      <c r="P90" s="51"/>
      <c r="Q90" s="51"/>
      <c r="R90" s="51"/>
      <c r="S90" s="51"/>
      <c r="T90" s="51"/>
    </row>
    <row r="91">
      <c r="A91" s="51"/>
      <c r="B91" s="51"/>
      <c r="C91" s="56"/>
      <c r="D91" s="51"/>
      <c r="E91" s="51"/>
      <c r="F91" s="51"/>
      <c r="G91" s="51" t="str">
        <f>IFERROR(__xludf.DUMMYFUNCTION("""COMPUTED_VALUE"""),"#VALUE!")</f>
        <v>#VALUE!</v>
      </c>
      <c r="H91" s="51" t="str">
        <f>IFERROR(__xludf.DUMMYFUNCTION("""COMPUTED_VALUE"""),"")</f>
        <v/>
      </c>
      <c r="I91" s="51" t="str">
        <f>IFERROR(__xludf.DUMMYFUNCTION("""COMPUTED_VALUE"""),"#VALUE!")</f>
        <v>#VALUE!</v>
      </c>
      <c r="J91" s="51" t="str">
        <f>IFERROR(__xludf.DUMMYFUNCTION("""COMPUTED_VALUE"""),"")</f>
        <v/>
      </c>
      <c r="K91" s="51"/>
      <c r="L91" s="51" t="s">
        <v>257</v>
      </c>
      <c r="M91" s="51"/>
      <c r="N91" s="51"/>
      <c r="O91" s="51"/>
      <c r="P91" s="51"/>
      <c r="Q91" s="51"/>
      <c r="R91" s="51"/>
      <c r="S91" s="51"/>
      <c r="T91" s="51"/>
    </row>
    <row r="92">
      <c r="A92" s="51"/>
      <c r="B92" s="51"/>
      <c r="C92" s="56"/>
      <c r="D92" s="51"/>
      <c r="E92" s="51"/>
      <c r="F92" s="51"/>
      <c r="G92" s="51" t="str">
        <f>IFERROR(__xludf.DUMMYFUNCTION("""COMPUTED_VALUE"""),"#VALUE!")</f>
        <v>#VALUE!</v>
      </c>
      <c r="H92" s="51" t="str">
        <f>IFERROR(__xludf.DUMMYFUNCTION("""COMPUTED_VALUE"""),"")</f>
        <v/>
      </c>
      <c r="I92" s="51" t="str">
        <f>IFERROR(__xludf.DUMMYFUNCTION("""COMPUTED_VALUE"""),"#VALUE!")</f>
        <v>#VALUE!</v>
      </c>
      <c r="J92" s="51" t="str">
        <f>IFERROR(__xludf.DUMMYFUNCTION("""COMPUTED_VALUE"""),"")</f>
        <v/>
      </c>
      <c r="K92" s="51"/>
      <c r="L92" s="51" t="s">
        <v>257</v>
      </c>
      <c r="M92" s="51"/>
      <c r="N92" s="51"/>
      <c r="O92" s="51"/>
      <c r="P92" s="51"/>
      <c r="Q92" s="51"/>
      <c r="R92" s="51"/>
      <c r="S92" s="51"/>
      <c r="T92" s="51"/>
    </row>
    <row r="93">
      <c r="A93" s="51"/>
      <c r="B93" s="51"/>
      <c r="C93" s="56"/>
      <c r="D93" s="51"/>
      <c r="E93" s="51"/>
      <c r="F93" s="51"/>
      <c r="G93" s="51" t="str">
        <f>IFERROR(__xludf.DUMMYFUNCTION("""COMPUTED_VALUE"""),"#VALUE!")</f>
        <v>#VALUE!</v>
      </c>
      <c r="H93" s="51" t="str">
        <f>IFERROR(__xludf.DUMMYFUNCTION("""COMPUTED_VALUE"""),"")</f>
        <v/>
      </c>
      <c r="I93" s="51" t="str">
        <f>IFERROR(__xludf.DUMMYFUNCTION("""COMPUTED_VALUE"""),"#VALUE!")</f>
        <v>#VALUE!</v>
      </c>
      <c r="J93" s="51" t="str">
        <f>IFERROR(__xludf.DUMMYFUNCTION("""COMPUTED_VALUE"""),"")</f>
        <v/>
      </c>
      <c r="K93" s="51"/>
      <c r="L93" s="51" t="s">
        <v>257</v>
      </c>
      <c r="M93" s="51"/>
      <c r="N93" s="51"/>
      <c r="O93" s="51"/>
      <c r="P93" s="51"/>
      <c r="Q93" s="51"/>
      <c r="R93" s="51"/>
      <c r="S93" s="51"/>
      <c r="T93" s="51"/>
    </row>
    <row r="94">
      <c r="A94" s="51"/>
      <c r="B94" s="51"/>
      <c r="C94" s="56"/>
      <c r="D94" s="51"/>
      <c r="E94" s="51"/>
      <c r="F94" s="51"/>
      <c r="G94" s="51" t="str">
        <f>IFERROR(__xludf.DUMMYFUNCTION("""COMPUTED_VALUE"""),"#VALUE!")</f>
        <v>#VALUE!</v>
      </c>
      <c r="H94" s="51" t="str">
        <f>IFERROR(__xludf.DUMMYFUNCTION("""COMPUTED_VALUE"""),"")</f>
        <v/>
      </c>
      <c r="I94" s="51" t="str">
        <f>IFERROR(__xludf.DUMMYFUNCTION("""COMPUTED_VALUE"""),"#VALUE!")</f>
        <v>#VALUE!</v>
      </c>
      <c r="J94" s="51" t="str">
        <f>IFERROR(__xludf.DUMMYFUNCTION("""COMPUTED_VALUE"""),"")</f>
        <v/>
      </c>
      <c r="K94" s="51"/>
      <c r="L94" s="51" t="s">
        <v>257</v>
      </c>
      <c r="M94" s="51"/>
      <c r="N94" s="51"/>
      <c r="O94" s="51"/>
      <c r="P94" s="51"/>
      <c r="Q94" s="51"/>
      <c r="R94" s="51"/>
      <c r="S94" s="51"/>
      <c r="T94" s="51"/>
    </row>
    <row r="95">
      <c r="A95" s="51"/>
      <c r="B95" s="51"/>
      <c r="C95" s="56"/>
      <c r="D95" s="51"/>
      <c r="E95" s="51"/>
      <c r="F95" s="51"/>
      <c r="G95" s="51" t="str">
        <f>IFERROR(__xludf.DUMMYFUNCTION("""COMPUTED_VALUE"""),"#VALUE!")</f>
        <v>#VALUE!</v>
      </c>
      <c r="H95" s="51" t="str">
        <f>IFERROR(__xludf.DUMMYFUNCTION("""COMPUTED_VALUE"""),"")</f>
        <v/>
      </c>
      <c r="I95" s="51" t="str">
        <f>IFERROR(__xludf.DUMMYFUNCTION("""COMPUTED_VALUE"""),"#VALUE!")</f>
        <v>#VALUE!</v>
      </c>
      <c r="J95" s="51" t="str">
        <f>IFERROR(__xludf.DUMMYFUNCTION("""COMPUTED_VALUE"""),"")</f>
        <v/>
      </c>
      <c r="K95" s="51"/>
      <c r="L95" s="51" t="s">
        <v>257</v>
      </c>
      <c r="M95" s="51"/>
      <c r="N95" s="51"/>
      <c r="O95" s="51"/>
      <c r="P95" s="51"/>
      <c r="Q95" s="51"/>
      <c r="R95" s="51"/>
      <c r="S95" s="51"/>
      <c r="T95" s="51"/>
    </row>
    <row r="96">
      <c r="A96" s="51"/>
      <c r="B96" s="51"/>
      <c r="C96" s="56"/>
      <c r="D96" s="51"/>
      <c r="E96" s="51"/>
      <c r="F96" s="51"/>
      <c r="G96" s="51" t="str">
        <f>IFERROR(__xludf.DUMMYFUNCTION("""COMPUTED_VALUE"""),"#VALUE!")</f>
        <v>#VALUE!</v>
      </c>
      <c r="H96" s="51" t="str">
        <f>IFERROR(__xludf.DUMMYFUNCTION("""COMPUTED_VALUE"""),"")</f>
        <v/>
      </c>
      <c r="I96" s="51" t="str">
        <f>IFERROR(__xludf.DUMMYFUNCTION("""COMPUTED_VALUE"""),"#VALUE!")</f>
        <v>#VALUE!</v>
      </c>
      <c r="J96" s="51" t="str">
        <f>IFERROR(__xludf.DUMMYFUNCTION("""COMPUTED_VALUE"""),"")</f>
        <v/>
      </c>
      <c r="K96" s="51"/>
      <c r="L96" s="51" t="s">
        <v>257</v>
      </c>
      <c r="M96" s="51"/>
      <c r="N96" s="51"/>
      <c r="O96" s="51"/>
      <c r="P96" s="51"/>
      <c r="Q96" s="51"/>
      <c r="R96" s="51"/>
      <c r="S96" s="51"/>
      <c r="T96" s="51"/>
    </row>
    <row r="97">
      <c r="A97" s="51"/>
      <c r="B97" s="51"/>
      <c r="C97" s="56"/>
      <c r="D97" s="51"/>
      <c r="E97" s="51"/>
      <c r="F97" s="51"/>
      <c r="G97" s="51" t="str">
        <f>IFERROR(__xludf.DUMMYFUNCTION("""COMPUTED_VALUE"""),"#VALUE!")</f>
        <v>#VALUE!</v>
      </c>
      <c r="H97" s="51" t="str">
        <f>IFERROR(__xludf.DUMMYFUNCTION("""COMPUTED_VALUE"""),"")</f>
        <v/>
      </c>
      <c r="I97" s="51" t="str">
        <f>IFERROR(__xludf.DUMMYFUNCTION("""COMPUTED_VALUE"""),"#VALUE!")</f>
        <v>#VALUE!</v>
      </c>
      <c r="J97" s="51" t="str">
        <f>IFERROR(__xludf.DUMMYFUNCTION("""COMPUTED_VALUE"""),"")</f>
        <v/>
      </c>
      <c r="K97" s="51"/>
      <c r="L97" s="51" t="s">
        <v>257</v>
      </c>
      <c r="M97" s="51"/>
      <c r="N97" s="51"/>
      <c r="O97" s="51"/>
      <c r="P97" s="51"/>
      <c r="Q97" s="51"/>
      <c r="R97" s="51"/>
      <c r="S97" s="51"/>
      <c r="T97" s="51"/>
    </row>
    <row r="98">
      <c r="A98" s="51"/>
      <c r="B98" s="51"/>
      <c r="C98" s="56"/>
      <c r="D98" s="51"/>
      <c r="E98" s="51"/>
      <c r="F98" s="51"/>
      <c r="G98" s="51" t="str">
        <f>IFERROR(__xludf.DUMMYFUNCTION("""COMPUTED_VALUE"""),"#VALUE!")</f>
        <v>#VALUE!</v>
      </c>
      <c r="H98" s="51" t="str">
        <f>IFERROR(__xludf.DUMMYFUNCTION("""COMPUTED_VALUE"""),"")</f>
        <v/>
      </c>
      <c r="I98" s="51" t="str">
        <f>IFERROR(__xludf.DUMMYFUNCTION("""COMPUTED_VALUE"""),"#VALUE!")</f>
        <v>#VALUE!</v>
      </c>
      <c r="J98" s="51" t="str">
        <f>IFERROR(__xludf.DUMMYFUNCTION("""COMPUTED_VALUE"""),"")</f>
        <v/>
      </c>
      <c r="K98" s="51"/>
      <c r="L98" s="51" t="s">
        <v>257</v>
      </c>
      <c r="M98" s="51"/>
      <c r="N98" s="51"/>
      <c r="O98" s="51"/>
      <c r="P98" s="51"/>
      <c r="Q98" s="51"/>
      <c r="R98" s="51"/>
      <c r="S98" s="51"/>
      <c r="T98" s="51"/>
    </row>
    <row r="99">
      <c r="A99" s="51"/>
      <c r="B99" s="51"/>
      <c r="C99" s="56"/>
      <c r="D99" s="51"/>
      <c r="E99" s="51"/>
      <c r="F99" s="51"/>
      <c r="G99" s="51" t="str">
        <f>IFERROR(__xludf.DUMMYFUNCTION("""COMPUTED_VALUE"""),"#VALUE!")</f>
        <v>#VALUE!</v>
      </c>
      <c r="H99" s="51" t="str">
        <f>IFERROR(__xludf.DUMMYFUNCTION("""COMPUTED_VALUE"""),"")</f>
        <v/>
      </c>
      <c r="I99" s="51" t="str">
        <f>IFERROR(__xludf.DUMMYFUNCTION("""COMPUTED_VALUE"""),"#VALUE!")</f>
        <v>#VALUE!</v>
      </c>
      <c r="J99" s="51" t="str">
        <f>IFERROR(__xludf.DUMMYFUNCTION("""COMPUTED_VALUE"""),"")</f>
        <v/>
      </c>
      <c r="K99" s="51"/>
      <c r="L99" s="51" t="s">
        <v>257</v>
      </c>
      <c r="M99" s="51"/>
      <c r="N99" s="51"/>
      <c r="O99" s="51"/>
      <c r="P99" s="51"/>
      <c r="Q99" s="51"/>
      <c r="R99" s="51"/>
      <c r="S99" s="51"/>
      <c r="T99" s="51"/>
    </row>
    <row r="100">
      <c r="A100" s="51"/>
      <c r="B100" s="51"/>
      <c r="C100" s="56"/>
      <c r="D100" s="51"/>
      <c r="E100" s="51"/>
      <c r="F100" s="51"/>
      <c r="G100" s="51" t="str">
        <f>IFERROR(__xludf.DUMMYFUNCTION("""COMPUTED_VALUE"""),"#VALUE!")</f>
        <v>#VALUE!</v>
      </c>
      <c r="H100" s="51" t="str">
        <f>IFERROR(__xludf.DUMMYFUNCTION("""COMPUTED_VALUE"""),"")</f>
        <v/>
      </c>
      <c r="I100" s="51" t="str">
        <f>IFERROR(__xludf.DUMMYFUNCTION("""COMPUTED_VALUE"""),"#VALUE!")</f>
        <v>#VALUE!</v>
      </c>
      <c r="J100" s="51" t="str">
        <f>IFERROR(__xludf.DUMMYFUNCTION("""COMPUTED_VALUE"""),"")</f>
        <v/>
      </c>
      <c r="K100" s="51"/>
      <c r="L100" s="51" t="s">
        <v>257</v>
      </c>
      <c r="M100" s="51"/>
      <c r="N100" s="51"/>
      <c r="O100" s="51"/>
      <c r="P100" s="51"/>
      <c r="Q100" s="51"/>
      <c r="R100" s="51"/>
      <c r="S100" s="51"/>
      <c r="T100" s="51"/>
    </row>
    <row r="101">
      <c r="A101" s="51"/>
      <c r="B101" s="51"/>
      <c r="C101" s="56"/>
      <c r="D101" s="51"/>
      <c r="E101" s="51"/>
      <c r="F101" s="51"/>
      <c r="G101" s="51" t="str">
        <f>IFERROR(__xludf.DUMMYFUNCTION("""COMPUTED_VALUE"""),"#VALUE!")</f>
        <v>#VALUE!</v>
      </c>
      <c r="H101" s="51" t="str">
        <f>IFERROR(__xludf.DUMMYFUNCTION("""COMPUTED_VALUE"""),"")</f>
        <v/>
      </c>
      <c r="I101" s="51" t="str">
        <f>IFERROR(__xludf.DUMMYFUNCTION("""COMPUTED_VALUE"""),"#VALUE!")</f>
        <v>#VALUE!</v>
      </c>
      <c r="J101" s="51" t="str">
        <f>IFERROR(__xludf.DUMMYFUNCTION("""COMPUTED_VALUE"""),"")</f>
        <v/>
      </c>
      <c r="K101" s="51"/>
      <c r="L101" s="51" t="s">
        <v>257</v>
      </c>
      <c r="M101" s="51"/>
      <c r="N101" s="51"/>
      <c r="O101" s="51"/>
      <c r="P101" s="51"/>
      <c r="Q101" s="51"/>
      <c r="R101" s="51"/>
      <c r="S101" s="51"/>
      <c r="T101" s="51"/>
    </row>
    <row r="102">
      <c r="A102" s="51"/>
      <c r="B102" s="51"/>
      <c r="C102" s="56"/>
      <c r="D102" s="51"/>
      <c r="E102" s="51"/>
      <c r="F102" s="51"/>
      <c r="G102" s="51" t="str">
        <f>IFERROR(__xludf.DUMMYFUNCTION("""COMPUTED_VALUE"""),"#VALUE!")</f>
        <v>#VALUE!</v>
      </c>
      <c r="H102" s="51" t="str">
        <f>IFERROR(__xludf.DUMMYFUNCTION("""COMPUTED_VALUE"""),"")</f>
        <v/>
      </c>
      <c r="I102" s="51" t="str">
        <f>IFERROR(__xludf.DUMMYFUNCTION("""COMPUTED_VALUE"""),"#VALUE!")</f>
        <v>#VALUE!</v>
      </c>
      <c r="J102" s="51" t="str">
        <f>IFERROR(__xludf.DUMMYFUNCTION("""COMPUTED_VALUE"""),"")</f>
        <v/>
      </c>
      <c r="K102" s="51"/>
      <c r="L102" s="51" t="s">
        <v>257</v>
      </c>
      <c r="M102" s="51"/>
      <c r="N102" s="51"/>
      <c r="O102" s="51"/>
      <c r="P102" s="51"/>
      <c r="Q102" s="51"/>
      <c r="R102" s="51"/>
      <c r="S102" s="51"/>
      <c r="T102" s="51"/>
    </row>
    <row r="103">
      <c r="A103" s="51"/>
      <c r="B103" s="51"/>
      <c r="C103" s="56"/>
      <c r="D103" s="51"/>
      <c r="E103" s="51"/>
      <c r="F103" s="51"/>
      <c r="G103" s="51" t="str">
        <f>IFERROR(__xludf.DUMMYFUNCTION("""COMPUTED_VALUE"""),"#VALUE!")</f>
        <v>#VALUE!</v>
      </c>
      <c r="H103" s="51" t="str">
        <f>IFERROR(__xludf.DUMMYFUNCTION("""COMPUTED_VALUE"""),"")</f>
        <v/>
      </c>
      <c r="I103" s="51" t="str">
        <f>IFERROR(__xludf.DUMMYFUNCTION("""COMPUTED_VALUE"""),"#VALUE!")</f>
        <v>#VALUE!</v>
      </c>
      <c r="J103" s="51" t="str">
        <f>IFERROR(__xludf.DUMMYFUNCTION("""COMPUTED_VALUE"""),"")</f>
        <v/>
      </c>
      <c r="K103" s="51"/>
      <c r="L103" s="51" t="s">
        <v>257</v>
      </c>
      <c r="M103" s="51"/>
      <c r="N103" s="51"/>
      <c r="O103" s="51"/>
      <c r="P103" s="51"/>
      <c r="Q103" s="51"/>
      <c r="R103" s="51"/>
      <c r="S103" s="51"/>
      <c r="T103" s="51"/>
    </row>
    <row r="104">
      <c r="A104" s="51"/>
      <c r="B104" s="51"/>
      <c r="C104" s="56"/>
      <c r="D104" s="51"/>
      <c r="E104" s="51"/>
      <c r="F104" s="51"/>
      <c r="G104" s="51" t="str">
        <f>IFERROR(__xludf.DUMMYFUNCTION("""COMPUTED_VALUE"""),"#VALUE!")</f>
        <v>#VALUE!</v>
      </c>
      <c r="H104" s="51" t="str">
        <f>IFERROR(__xludf.DUMMYFUNCTION("""COMPUTED_VALUE"""),"")</f>
        <v/>
      </c>
      <c r="I104" s="51" t="str">
        <f>IFERROR(__xludf.DUMMYFUNCTION("""COMPUTED_VALUE"""),"#VALUE!")</f>
        <v>#VALUE!</v>
      </c>
      <c r="J104" s="51" t="str">
        <f>IFERROR(__xludf.DUMMYFUNCTION("""COMPUTED_VALUE"""),"")</f>
        <v/>
      </c>
      <c r="K104" s="51"/>
      <c r="L104" s="51" t="s">
        <v>257</v>
      </c>
      <c r="M104" s="51"/>
      <c r="N104" s="51"/>
      <c r="O104" s="51"/>
      <c r="P104" s="51"/>
      <c r="Q104" s="51"/>
      <c r="R104" s="51"/>
      <c r="S104" s="51"/>
      <c r="T104" s="51"/>
    </row>
    <row r="105">
      <c r="A105" s="51"/>
      <c r="B105" s="51"/>
      <c r="C105" s="56"/>
      <c r="D105" s="51"/>
      <c r="E105" s="51"/>
      <c r="F105" s="51"/>
      <c r="G105" s="51" t="str">
        <f>IFERROR(__xludf.DUMMYFUNCTION("""COMPUTED_VALUE"""),"#VALUE!")</f>
        <v>#VALUE!</v>
      </c>
      <c r="H105" s="51" t="str">
        <f>IFERROR(__xludf.DUMMYFUNCTION("""COMPUTED_VALUE"""),"")</f>
        <v/>
      </c>
      <c r="I105" s="51" t="str">
        <f>IFERROR(__xludf.DUMMYFUNCTION("""COMPUTED_VALUE"""),"#VALUE!")</f>
        <v>#VALUE!</v>
      </c>
      <c r="J105" s="51" t="str">
        <f>IFERROR(__xludf.DUMMYFUNCTION("""COMPUTED_VALUE"""),"")</f>
        <v/>
      </c>
      <c r="K105" s="51"/>
      <c r="L105" s="51" t="s">
        <v>257</v>
      </c>
      <c r="M105" s="51"/>
      <c r="N105" s="51"/>
      <c r="O105" s="51"/>
      <c r="P105" s="51"/>
      <c r="Q105" s="51"/>
      <c r="R105" s="51"/>
      <c r="S105" s="51"/>
      <c r="T105" s="51"/>
    </row>
    <row r="106">
      <c r="A106" s="51"/>
      <c r="B106" s="51"/>
      <c r="C106" s="56"/>
      <c r="D106" s="51"/>
      <c r="E106" s="51"/>
      <c r="F106" s="51"/>
      <c r="G106" s="51" t="str">
        <f>IFERROR(__xludf.DUMMYFUNCTION("""COMPUTED_VALUE"""),"#VALUE!")</f>
        <v>#VALUE!</v>
      </c>
      <c r="H106" s="51" t="str">
        <f>IFERROR(__xludf.DUMMYFUNCTION("""COMPUTED_VALUE"""),"")</f>
        <v/>
      </c>
      <c r="I106" s="51" t="str">
        <f>IFERROR(__xludf.DUMMYFUNCTION("""COMPUTED_VALUE"""),"#VALUE!")</f>
        <v>#VALUE!</v>
      </c>
      <c r="J106" s="51" t="str">
        <f>IFERROR(__xludf.DUMMYFUNCTION("""COMPUTED_VALUE"""),"")</f>
        <v/>
      </c>
      <c r="K106" s="51"/>
      <c r="L106" s="51" t="s">
        <v>257</v>
      </c>
      <c r="M106" s="51"/>
      <c r="N106" s="51"/>
      <c r="O106" s="51"/>
      <c r="P106" s="51"/>
      <c r="Q106" s="51"/>
      <c r="R106" s="51"/>
      <c r="S106" s="51"/>
      <c r="T106" s="51"/>
    </row>
    <row r="107">
      <c r="A107" s="51"/>
      <c r="B107" s="51"/>
      <c r="C107" s="56"/>
      <c r="D107" s="51"/>
      <c r="E107" s="51"/>
      <c r="F107" s="51"/>
      <c r="G107" s="51" t="str">
        <f>IFERROR(__xludf.DUMMYFUNCTION("""COMPUTED_VALUE"""),"#VALUE!")</f>
        <v>#VALUE!</v>
      </c>
      <c r="H107" s="51" t="str">
        <f>IFERROR(__xludf.DUMMYFUNCTION("""COMPUTED_VALUE"""),"")</f>
        <v/>
      </c>
      <c r="I107" s="51" t="str">
        <f>IFERROR(__xludf.DUMMYFUNCTION("""COMPUTED_VALUE"""),"#VALUE!")</f>
        <v>#VALUE!</v>
      </c>
      <c r="J107" s="51" t="str">
        <f>IFERROR(__xludf.DUMMYFUNCTION("""COMPUTED_VALUE"""),"")</f>
        <v/>
      </c>
      <c r="K107" s="51"/>
      <c r="L107" s="51" t="s">
        <v>257</v>
      </c>
      <c r="M107" s="51"/>
      <c r="N107" s="51"/>
      <c r="O107" s="51"/>
      <c r="P107" s="51"/>
      <c r="Q107" s="51"/>
      <c r="R107" s="51"/>
      <c r="S107" s="51"/>
      <c r="T107" s="51"/>
    </row>
    <row r="108">
      <c r="A108" s="51"/>
      <c r="B108" s="51"/>
      <c r="C108" s="56"/>
      <c r="D108" s="51"/>
      <c r="E108" s="51"/>
      <c r="F108" s="51"/>
      <c r="G108" s="51" t="str">
        <f>IFERROR(__xludf.DUMMYFUNCTION("""COMPUTED_VALUE"""),"#VALUE!")</f>
        <v>#VALUE!</v>
      </c>
      <c r="H108" s="51" t="str">
        <f>IFERROR(__xludf.DUMMYFUNCTION("""COMPUTED_VALUE"""),"")</f>
        <v/>
      </c>
      <c r="I108" s="51" t="str">
        <f>IFERROR(__xludf.DUMMYFUNCTION("""COMPUTED_VALUE"""),"#VALUE!")</f>
        <v>#VALUE!</v>
      </c>
      <c r="J108" s="51" t="str">
        <f>IFERROR(__xludf.DUMMYFUNCTION("""COMPUTED_VALUE"""),"")</f>
        <v/>
      </c>
      <c r="K108" s="51"/>
      <c r="L108" s="51" t="s">
        <v>257</v>
      </c>
      <c r="M108" s="51"/>
      <c r="N108" s="51"/>
      <c r="O108" s="51"/>
      <c r="P108" s="51"/>
      <c r="Q108" s="51"/>
      <c r="R108" s="51"/>
      <c r="S108" s="51"/>
      <c r="T108" s="51"/>
    </row>
    <row r="109">
      <c r="A109" s="51"/>
      <c r="B109" s="51"/>
      <c r="C109" s="56"/>
      <c r="D109" s="51"/>
      <c r="E109" s="51"/>
      <c r="F109" s="51"/>
      <c r="G109" s="51" t="str">
        <f>IFERROR(__xludf.DUMMYFUNCTION("""COMPUTED_VALUE"""),"#VALUE!")</f>
        <v>#VALUE!</v>
      </c>
      <c r="H109" s="51" t="str">
        <f>IFERROR(__xludf.DUMMYFUNCTION("""COMPUTED_VALUE"""),"")</f>
        <v/>
      </c>
      <c r="I109" s="51" t="str">
        <f>IFERROR(__xludf.DUMMYFUNCTION("""COMPUTED_VALUE"""),"#VALUE!")</f>
        <v>#VALUE!</v>
      </c>
      <c r="J109" s="51" t="str">
        <f>IFERROR(__xludf.DUMMYFUNCTION("""COMPUTED_VALUE"""),"")</f>
        <v/>
      </c>
      <c r="K109" s="51"/>
      <c r="L109" s="51" t="s">
        <v>257</v>
      </c>
      <c r="M109" s="51"/>
      <c r="N109" s="51"/>
      <c r="O109" s="51"/>
      <c r="P109" s="51"/>
      <c r="Q109" s="51"/>
      <c r="R109" s="51"/>
      <c r="S109" s="51"/>
      <c r="T109" s="51"/>
    </row>
    <row r="110">
      <c r="A110" s="51"/>
      <c r="B110" s="51"/>
      <c r="C110" s="56"/>
      <c r="D110" s="51"/>
      <c r="E110" s="51"/>
      <c r="F110" s="51"/>
      <c r="G110" s="51" t="str">
        <f>IFERROR(__xludf.DUMMYFUNCTION("""COMPUTED_VALUE"""),"#VALUE!")</f>
        <v>#VALUE!</v>
      </c>
      <c r="H110" s="51" t="str">
        <f>IFERROR(__xludf.DUMMYFUNCTION("""COMPUTED_VALUE"""),"")</f>
        <v/>
      </c>
      <c r="I110" s="51" t="str">
        <f>IFERROR(__xludf.DUMMYFUNCTION("""COMPUTED_VALUE"""),"#VALUE!")</f>
        <v>#VALUE!</v>
      </c>
      <c r="J110" s="51" t="str">
        <f>IFERROR(__xludf.DUMMYFUNCTION("""COMPUTED_VALUE"""),"")</f>
        <v/>
      </c>
      <c r="K110" s="51"/>
      <c r="L110" s="51" t="s">
        <v>257</v>
      </c>
      <c r="M110" s="51"/>
      <c r="N110" s="51"/>
      <c r="O110" s="51"/>
      <c r="P110" s="51"/>
      <c r="Q110" s="51"/>
      <c r="R110" s="51"/>
      <c r="S110" s="51"/>
      <c r="T110" s="51"/>
    </row>
    <row r="111">
      <c r="A111" s="51"/>
      <c r="B111" s="51"/>
      <c r="C111" s="56"/>
      <c r="D111" s="51"/>
      <c r="E111" s="51"/>
      <c r="F111" s="51"/>
      <c r="G111" s="51" t="str">
        <f>IFERROR(__xludf.DUMMYFUNCTION("""COMPUTED_VALUE"""),"#VALUE!")</f>
        <v>#VALUE!</v>
      </c>
      <c r="H111" s="51" t="str">
        <f>IFERROR(__xludf.DUMMYFUNCTION("""COMPUTED_VALUE"""),"")</f>
        <v/>
      </c>
      <c r="I111" s="51" t="str">
        <f>IFERROR(__xludf.DUMMYFUNCTION("""COMPUTED_VALUE"""),"#VALUE!")</f>
        <v>#VALUE!</v>
      </c>
      <c r="J111" s="51" t="str">
        <f>IFERROR(__xludf.DUMMYFUNCTION("""COMPUTED_VALUE"""),"")</f>
        <v/>
      </c>
      <c r="K111" s="51"/>
      <c r="L111" s="51" t="s">
        <v>257</v>
      </c>
      <c r="M111" s="51"/>
      <c r="N111" s="51"/>
      <c r="O111" s="51"/>
      <c r="P111" s="51"/>
      <c r="Q111" s="51"/>
      <c r="R111" s="51"/>
      <c r="S111" s="51"/>
      <c r="T111" s="51"/>
    </row>
    <row r="112">
      <c r="A112" s="51"/>
      <c r="B112" s="51"/>
      <c r="C112" s="56"/>
      <c r="D112" s="51"/>
      <c r="E112" s="51"/>
      <c r="F112" s="51"/>
      <c r="G112" s="51" t="str">
        <f>IFERROR(__xludf.DUMMYFUNCTION("""COMPUTED_VALUE"""),"#VALUE!")</f>
        <v>#VALUE!</v>
      </c>
      <c r="H112" s="51" t="str">
        <f>IFERROR(__xludf.DUMMYFUNCTION("""COMPUTED_VALUE"""),"")</f>
        <v/>
      </c>
      <c r="I112" s="51" t="str">
        <f>IFERROR(__xludf.DUMMYFUNCTION("""COMPUTED_VALUE"""),"#VALUE!")</f>
        <v>#VALUE!</v>
      </c>
      <c r="J112" s="51" t="str">
        <f>IFERROR(__xludf.DUMMYFUNCTION("""COMPUTED_VALUE"""),"")</f>
        <v/>
      </c>
      <c r="K112" s="51"/>
      <c r="L112" s="51" t="s">
        <v>257</v>
      </c>
      <c r="M112" s="51"/>
      <c r="N112" s="51"/>
      <c r="O112" s="51"/>
      <c r="P112" s="51"/>
      <c r="Q112" s="51"/>
      <c r="R112" s="51"/>
      <c r="S112" s="51"/>
      <c r="T112" s="51"/>
    </row>
    <row r="113">
      <c r="A113" s="51"/>
      <c r="B113" s="51"/>
      <c r="C113" s="56"/>
      <c r="D113" s="51"/>
      <c r="E113" s="51"/>
      <c r="F113" s="51"/>
      <c r="G113" s="51" t="str">
        <f>IFERROR(__xludf.DUMMYFUNCTION("""COMPUTED_VALUE"""),"#VALUE!")</f>
        <v>#VALUE!</v>
      </c>
      <c r="H113" s="51" t="str">
        <f>IFERROR(__xludf.DUMMYFUNCTION("""COMPUTED_VALUE"""),"")</f>
        <v/>
      </c>
      <c r="I113" s="51" t="str">
        <f>IFERROR(__xludf.DUMMYFUNCTION("""COMPUTED_VALUE"""),"#VALUE!")</f>
        <v>#VALUE!</v>
      </c>
      <c r="J113" s="51" t="str">
        <f>IFERROR(__xludf.DUMMYFUNCTION("""COMPUTED_VALUE"""),"")</f>
        <v/>
      </c>
      <c r="K113" s="51"/>
      <c r="L113" s="51" t="s">
        <v>257</v>
      </c>
      <c r="M113" s="51"/>
      <c r="N113" s="51"/>
      <c r="O113" s="51"/>
      <c r="P113" s="51"/>
      <c r="Q113" s="51"/>
      <c r="R113" s="51"/>
      <c r="S113" s="51"/>
      <c r="T113" s="51"/>
    </row>
    <row r="114">
      <c r="A114" s="51"/>
      <c r="B114" s="51"/>
      <c r="C114" s="56"/>
      <c r="D114" s="51"/>
      <c r="E114" s="51"/>
      <c r="F114" s="51"/>
      <c r="G114" s="51" t="str">
        <f>IFERROR(__xludf.DUMMYFUNCTION("""COMPUTED_VALUE"""),"#VALUE!")</f>
        <v>#VALUE!</v>
      </c>
      <c r="H114" s="51" t="str">
        <f>IFERROR(__xludf.DUMMYFUNCTION("""COMPUTED_VALUE"""),"")</f>
        <v/>
      </c>
      <c r="I114" s="51" t="str">
        <f>IFERROR(__xludf.DUMMYFUNCTION("""COMPUTED_VALUE"""),"#VALUE!")</f>
        <v>#VALUE!</v>
      </c>
      <c r="J114" s="51" t="str">
        <f>IFERROR(__xludf.DUMMYFUNCTION("""COMPUTED_VALUE"""),"")</f>
        <v/>
      </c>
      <c r="K114" s="51"/>
      <c r="L114" s="51" t="s">
        <v>257</v>
      </c>
      <c r="M114" s="51"/>
      <c r="N114" s="51"/>
      <c r="O114" s="51"/>
      <c r="P114" s="51"/>
      <c r="Q114" s="51"/>
      <c r="R114" s="51"/>
      <c r="S114" s="51"/>
      <c r="T114" s="51"/>
    </row>
    <row r="115">
      <c r="A115" s="51"/>
      <c r="B115" s="51"/>
      <c r="C115" s="56"/>
      <c r="D115" s="51"/>
      <c r="E115" s="51"/>
      <c r="F115" s="51"/>
      <c r="G115" s="51" t="str">
        <f>IFERROR(__xludf.DUMMYFUNCTION("""COMPUTED_VALUE"""),"#VALUE!")</f>
        <v>#VALUE!</v>
      </c>
      <c r="H115" s="51" t="str">
        <f>IFERROR(__xludf.DUMMYFUNCTION("""COMPUTED_VALUE"""),"")</f>
        <v/>
      </c>
      <c r="I115" s="51" t="str">
        <f>IFERROR(__xludf.DUMMYFUNCTION("""COMPUTED_VALUE"""),"#VALUE!")</f>
        <v>#VALUE!</v>
      </c>
      <c r="J115" s="51" t="str">
        <f>IFERROR(__xludf.DUMMYFUNCTION("""COMPUTED_VALUE"""),"")</f>
        <v/>
      </c>
      <c r="K115" s="51"/>
      <c r="L115" s="51" t="s">
        <v>257</v>
      </c>
      <c r="M115" s="51"/>
      <c r="N115" s="51"/>
      <c r="O115" s="51"/>
      <c r="P115" s="51"/>
      <c r="Q115" s="51"/>
      <c r="R115" s="51"/>
      <c r="S115" s="51"/>
      <c r="T115" s="51"/>
    </row>
    <row r="116">
      <c r="A116" s="51"/>
      <c r="B116" s="51"/>
      <c r="C116" s="56"/>
      <c r="D116" s="51"/>
      <c r="E116" s="51"/>
      <c r="F116" s="51"/>
      <c r="G116" s="51" t="str">
        <f>IFERROR(__xludf.DUMMYFUNCTION("""COMPUTED_VALUE"""),"#VALUE!")</f>
        <v>#VALUE!</v>
      </c>
      <c r="H116" s="51" t="str">
        <f>IFERROR(__xludf.DUMMYFUNCTION("""COMPUTED_VALUE"""),"")</f>
        <v/>
      </c>
      <c r="I116" s="51" t="str">
        <f>IFERROR(__xludf.DUMMYFUNCTION("""COMPUTED_VALUE"""),"#VALUE!")</f>
        <v>#VALUE!</v>
      </c>
      <c r="J116" s="51" t="str">
        <f>IFERROR(__xludf.DUMMYFUNCTION("""COMPUTED_VALUE"""),"")</f>
        <v/>
      </c>
      <c r="K116" s="51"/>
      <c r="L116" s="51" t="s">
        <v>257</v>
      </c>
      <c r="M116" s="51"/>
      <c r="N116" s="51"/>
      <c r="O116" s="51"/>
      <c r="P116" s="51"/>
      <c r="Q116" s="51"/>
      <c r="R116" s="51"/>
      <c r="S116" s="51"/>
      <c r="T116" s="51"/>
    </row>
    <row r="117">
      <c r="A117" s="51"/>
      <c r="B117" s="51"/>
      <c r="C117" s="56"/>
      <c r="D117" s="51"/>
      <c r="E117" s="51"/>
      <c r="F117" s="51"/>
      <c r="G117" s="51" t="str">
        <f>IFERROR(__xludf.DUMMYFUNCTION("""COMPUTED_VALUE"""),"#VALUE!")</f>
        <v>#VALUE!</v>
      </c>
      <c r="H117" s="51" t="str">
        <f>IFERROR(__xludf.DUMMYFUNCTION("""COMPUTED_VALUE"""),"")</f>
        <v/>
      </c>
      <c r="I117" s="51" t="str">
        <f>IFERROR(__xludf.DUMMYFUNCTION("""COMPUTED_VALUE"""),"#VALUE!")</f>
        <v>#VALUE!</v>
      </c>
      <c r="J117" s="51" t="str">
        <f>IFERROR(__xludf.DUMMYFUNCTION("""COMPUTED_VALUE"""),"")</f>
        <v/>
      </c>
      <c r="K117" s="51"/>
      <c r="L117" s="51" t="s">
        <v>257</v>
      </c>
      <c r="M117" s="51"/>
      <c r="N117" s="51"/>
      <c r="O117" s="51"/>
      <c r="P117" s="51"/>
      <c r="Q117" s="51"/>
      <c r="R117" s="51"/>
      <c r="S117" s="51"/>
      <c r="T117" s="51"/>
    </row>
    <row r="118">
      <c r="A118" s="51"/>
      <c r="B118" s="51"/>
      <c r="C118" s="56"/>
      <c r="D118" s="51"/>
      <c r="E118" s="51"/>
      <c r="F118" s="51"/>
      <c r="G118" s="51" t="str">
        <f>IFERROR(__xludf.DUMMYFUNCTION("""COMPUTED_VALUE"""),"#VALUE!")</f>
        <v>#VALUE!</v>
      </c>
      <c r="H118" s="51" t="str">
        <f>IFERROR(__xludf.DUMMYFUNCTION("""COMPUTED_VALUE"""),"")</f>
        <v/>
      </c>
      <c r="I118" s="51" t="str">
        <f>IFERROR(__xludf.DUMMYFUNCTION("""COMPUTED_VALUE"""),"#VALUE!")</f>
        <v>#VALUE!</v>
      </c>
      <c r="J118" s="51" t="str">
        <f>IFERROR(__xludf.DUMMYFUNCTION("""COMPUTED_VALUE"""),"")</f>
        <v/>
      </c>
      <c r="K118" s="51"/>
      <c r="L118" s="51" t="s">
        <v>257</v>
      </c>
      <c r="M118" s="51"/>
      <c r="N118" s="51"/>
      <c r="O118" s="51"/>
      <c r="P118" s="51"/>
      <c r="Q118" s="51"/>
      <c r="R118" s="51"/>
      <c r="S118" s="51"/>
      <c r="T118" s="51"/>
    </row>
    <row r="119">
      <c r="A119" s="51"/>
      <c r="B119" s="51"/>
      <c r="C119" s="56"/>
      <c r="D119" s="51"/>
      <c r="E119" s="51"/>
      <c r="F119" s="51"/>
      <c r="G119" s="51" t="str">
        <f>IFERROR(__xludf.DUMMYFUNCTION("""COMPUTED_VALUE"""),"#VALUE!")</f>
        <v>#VALUE!</v>
      </c>
      <c r="H119" s="51" t="str">
        <f>IFERROR(__xludf.DUMMYFUNCTION("""COMPUTED_VALUE"""),"")</f>
        <v/>
      </c>
      <c r="I119" s="51" t="str">
        <f>IFERROR(__xludf.DUMMYFUNCTION("""COMPUTED_VALUE"""),"#VALUE!")</f>
        <v>#VALUE!</v>
      </c>
      <c r="J119" s="51" t="str">
        <f>IFERROR(__xludf.DUMMYFUNCTION("""COMPUTED_VALUE"""),"")</f>
        <v/>
      </c>
      <c r="K119" s="51"/>
      <c r="L119" s="51" t="s">
        <v>257</v>
      </c>
      <c r="M119" s="51"/>
      <c r="N119" s="51"/>
      <c r="O119" s="51"/>
      <c r="P119" s="51"/>
      <c r="Q119" s="51"/>
      <c r="R119" s="51"/>
      <c r="S119" s="51"/>
      <c r="T119" s="51"/>
    </row>
    <row r="120">
      <c r="A120" s="51"/>
      <c r="B120" s="51"/>
      <c r="C120" s="56"/>
      <c r="D120" s="51"/>
      <c r="E120" s="51"/>
      <c r="F120" s="51"/>
      <c r="G120" s="51" t="str">
        <f>IFERROR(__xludf.DUMMYFUNCTION("""COMPUTED_VALUE"""),"#VALUE!")</f>
        <v>#VALUE!</v>
      </c>
      <c r="H120" s="51" t="str">
        <f>IFERROR(__xludf.DUMMYFUNCTION("""COMPUTED_VALUE"""),"")</f>
        <v/>
      </c>
      <c r="I120" s="51" t="str">
        <f>IFERROR(__xludf.DUMMYFUNCTION("""COMPUTED_VALUE"""),"#VALUE!")</f>
        <v>#VALUE!</v>
      </c>
      <c r="J120" s="51" t="str">
        <f>IFERROR(__xludf.DUMMYFUNCTION("""COMPUTED_VALUE"""),"")</f>
        <v/>
      </c>
      <c r="K120" s="51"/>
      <c r="L120" s="51" t="s">
        <v>257</v>
      </c>
      <c r="M120" s="51"/>
      <c r="N120" s="51"/>
      <c r="O120" s="51"/>
      <c r="P120" s="51"/>
      <c r="Q120" s="51"/>
      <c r="R120" s="51"/>
      <c r="S120" s="51"/>
      <c r="T120" s="51"/>
    </row>
    <row r="121">
      <c r="A121" s="51"/>
      <c r="B121" s="51"/>
      <c r="C121" s="56"/>
      <c r="D121" s="51"/>
      <c r="E121" s="51"/>
      <c r="F121" s="51"/>
      <c r="G121" s="51" t="str">
        <f>IFERROR(__xludf.DUMMYFUNCTION("""COMPUTED_VALUE"""),"#VALUE!")</f>
        <v>#VALUE!</v>
      </c>
      <c r="H121" s="51" t="str">
        <f>IFERROR(__xludf.DUMMYFUNCTION("""COMPUTED_VALUE"""),"")</f>
        <v/>
      </c>
      <c r="I121" s="51" t="str">
        <f>IFERROR(__xludf.DUMMYFUNCTION("""COMPUTED_VALUE"""),"#VALUE!")</f>
        <v>#VALUE!</v>
      </c>
      <c r="J121" s="51" t="str">
        <f>IFERROR(__xludf.DUMMYFUNCTION("""COMPUTED_VALUE"""),"")</f>
        <v/>
      </c>
      <c r="K121" s="51"/>
      <c r="L121" s="51" t="s">
        <v>257</v>
      </c>
      <c r="M121" s="51"/>
      <c r="N121" s="51"/>
      <c r="O121" s="51"/>
      <c r="P121" s="51"/>
      <c r="Q121" s="51"/>
      <c r="R121" s="51"/>
      <c r="S121" s="51"/>
      <c r="T121" s="51"/>
    </row>
    <row r="122">
      <c r="A122" s="51"/>
      <c r="B122" s="51"/>
      <c r="C122" s="56"/>
      <c r="D122" s="51"/>
      <c r="E122" s="51"/>
      <c r="F122" s="51"/>
      <c r="G122" s="51" t="str">
        <f>IFERROR(__xludf.DUMMYFUNCTION("""COMPUTED_VALUE"""),"#VALUE!")</f>
        <v>#VALUE!</v>
      </c>
      <c r="H122" s="51" t="str">
        <f>IFERROR(__xludf.DUMMYFUNCTION("""COMPUTED_VALUE"""),"")</f>
        <v/>
      </c>
      <c r="I122" s="51" t="str">
        <f>IFERROR(__xludf.DUMMYFUNCTION("""COMPUTED_VALUE"""),"#VALUE!")</f>
        <v>#VALUE!</v>
      </c>
      <c r="J122" s="51" t="str">
        <f>IFERROR(__xludf.DUMMYFUNCTION("""COMPUTED_VALUE"""),"")</f>
        <v/>
      </c>
      <c r="K122" s="51"/>
      <c r="L122" s="51" t="s">
        <v>257</v>
      </c>
      <c r="M122" s="51"/>
      <c r="N122" s="51"/>
      <c r="O122" s="51"/>
      <c r="P122" s="51"/>
      <c r="Q122" s="51"/>
      <c r="R122" s="51"/>
      <c r="S122" s="51"/>
      <c r="T122" s="51"/>
    </row>
    <row r="123">
      <c r="A123" s="51"/>
      <c r="B123" s="51"/>
      <c r="C123" s="56"/>
      <c r="D123" s="51"/>
      <c r="E123" s="51"/>
      <c r="F123" s="51"/>
      <c r="G123" s="51" t="str">
        <f>IFERROR(__xludf.DUMMYFUNCTION("""COMPUTED_VALUE"""),"#VALUE!")</f>
        <v>#VALUE!</v>
      </c>
      <c r="H123" s="51" t="str">
        <f>IFERROR(__xludf.DUMMYFUNCTION("""COMPUTED_VALUE"""),"")</f>
        <v/>
      </c>
      <c r="I123" s="51" t="str">
        <f>IFERROR(__xludf.DUMMYFUNCTION("""COMPUTED_VALUE"""),"#VALUE!")</f>
        <v>#VALUE!</v>
      </c>
      <c r="J123" s="51" t="str">
        <f>IFERROR(__xludf.DUMMYFUNCTION("""COMPUTED_VALUE"""),"")</f>
        <v/>
      </c>
      <c r="K123" s="51"/>
      <c r="L123" s="51" t="s">
        <v>257</v>
      </c>
      <c r="M123" s="51"/>
      <c r="N123" s="51"/>
      <c r="O123" s="51"/>
      <c r="P123" s="51"/>
      <c r="Q123" s="51"/>
      <c r="R123" s="51"/>
      <c r="S123" s="51"/>
      <c r="T123" s="51"/>
    </row>
    <row r="124">
      <c r="A124" s="51"/>
      <c r="B124" s="51"/>
      <c r="C124" s="56"/>
      <c r="D124" s="51"/>
      <c r="E124" s="51"/>
      <c r="F124" s="51"/>
      <c r="G124" s="51" t="str">
        <f>IFERROR(__xludf.DUMMYFUNCTION("""COMPUTED_VALUE"""),"#VALUE!")</f>
        <v>#VALUE!</v>
      </c>
      <c r="H124" s="51" t="str">
        <f>IFERROR(__xludf.DUMMYFUNCTION("""COMPUTED_VALUE"""),"")</f>
        <v/>
      </c>
      <c r="I124" s="51" t="str">
        <f>IFERROR(__xludf.DUMMYFUNCTION("""COMPUTED_VALUE"""),"#VALUE!")</f>
        <v>#VALUE!</v>
      </c>
      <c r="J124" s="51" t="str">
        <f>IFERROR(__xludf.DUMMYFUNCTION("""COMPUTED_VALUE"""),"")</f>
        <v/>
      </c>
      <c r="K124" s="51"/>
      <c r="L124" s="51" t="s">
        <v>257</v>
      </c>
      <c r="M124" s="51"/>
      <c r="N124" s="51"/>
      <c r="O124" s="51"/>
      <c r="P124" s="51"/>
      <c r="Q124" s="51"/>
      <c r="R124" s="51"/>
      <c r="S124" s="51"/>
      <c r="T124" s="51"/>
    </row>
    <row r="125">
      <c r="A125" s="51"/>
      <c r="B125" s="51"/>
      <c r="C125" s="56"/>
      <c r="D125" s="51"/>
      <c r="E125" s="51"/>
      <c r="F125" s="51"/>
      <c r="G125" s="51" t="str">
        <f>IFERROR(__xludf.DUMMYFUNCTION("""COMPUTED_VALUE"""),"#VALUE!")</f>
        <v>#VALUE!</v>
      </c>
      <c r="H125" s="51" t="str">
        <f>IFERROR(__xludf.DUMMYFUNCTION("""COMPUTED_VALUE"""),"")</f>
        <v/>
      </c>
      <c r="I125" s="51" t="str">
        <f>IFERROR(__xludf.DUMMYFUNCTION("""COMPUTED_VALUE"""),"#VALUE!")</f>
        <v>#VALUE!</v>
      </c>
      <c r="J125" s="51" t="str">
        <f>IFERROR(__xludf.DUMMYFUNCTION("""COMPUTED_VALUE"""),"")</f>
        <v/>
      </c>
      <c r="K125" s="51"/>
      <c r="L125" s="51" t="s">
        <v>257</v>
      </c>
      <c r="M125" s="51"/>
      <c r="N125" s="51"/>
      <c r="O125" s="51"/>
      <c r="P125" s="51"/>
      <c r="Q125" s="51"/>
      <c r="R125" s="51"/>
      <c r="S125" s="51"/>
      <c r="T125" s="51"/>
    </row>
    <row r="126">
      <c r="A126" s="51"/>
      <c r="B126" s="51"/>
      <c r="C126" s="56"/>
      <c r="D126" s="51"/>
      <c r="E126" s="51"/>
      <c r="F126" s="51"/>
      <c r="G126" s="51" t="str">
        <f>IFERROR(__xludf.DUMMYFUNCTION("""COMPUTED_VALUE"""),"#VALUE!")</f>
        <v>#VALUE!</v>
      </c>
      <c r="H126" s="51" t="str">
        <f>IFERROR(__xludf.DUMMYFUNCTION("""COMPUTED_VALUE"""),"")</f>
        <v/>
      </c>
      <c r="I126" s="51" t="str">
        <f>IFERROR(__xludf.DUMMYFUNCTION("""COMPUTED_VALUE"""),"#VALUE!")</f>
        <v>#VALUE!</v>
      </c>
      <c r="J126" s="51" t="str">
        <f>IFERROR(__xludf.DUMMYFUNCTION("""COMPUTED_VALUE"""),"")</f>
        <v/>
      </c>
      <c r="K126" s="51"/>
      <c r="L126" s="51" t="s">
        <v>257</v>
      </c>
      <c r="M126" s="51"/>
      <c r="N126" s="51"/>
      <c r="O126" s="51"/>
      <c r="P126" s="51"/>
      <c r="Q126" s="51"/>
      <c r="R126" s="51"/>
      <c r="S126" s="51"/>
      <c r="T126" s="51"/>
    </row>
    <row r="127">
      <c r="A127" s="51"/>
      <c r="B127" s="51"/>
      <c r="C127" s="56"/>
      <c r="D127" s="51"/>
      <c r="E127" s="51"/>
      <c r="F127" s="51"/>
      <c r="G127" s="51" t="str">
        <f>IFERROR(__xludf.DUMMYFUNCTION("""COMPUTED_VALUE"""),"#VALUE!")</f>
        <v>#VALUE!</v>
      </c>
      <c r="H127" s="51" t="str">
        <f>IFERROR(__xludf.DUMMYFUNCTION("""COMPUTED_VALUE"""),"")</f>
        <v/>
      </c>
      <c r="I127" s="51" t="str">
        <f>IFERROR(__xludf.DUMMYFUNCTION("""COMPUTED_VALUE"""),"#VALUE!")</f>
        <v>#VALUE!</v>
      </c>
      <c r="J127" s="51" t="str">
        <f>IFERROR(__xludf.DUMMYFUNCTION("""COMPUTED_VALUE"""),"")</f>
        <v/>
      </c>
      <c r="K127" s="51"/>
      <c r="L127" s="51" t="s">
        <v>257</v>
      </c>
      <c r="M127" s="51"/>
      <c r="N127" s="51"/>
      <c r="O127" s="51"/>
      <c r="P127" s="51"/>
      <c r="Q127" s="51"/>
      <c r="R127" s="51"/>
      <c r="S127" s="51"/>
      <c r="T127" s="51"/>
    </row>
    <row r="128">
      <c r="A128" s="51"/>
      <c r="B128" s="51"/>
      <c r="C128" s="56"/>
      <c r="D128" s="51"/>
      <c r="E128" s="51"/>
      <c r="F128" s="51"/>
      <c r="G128" s="51" t="str">
        <f>IFERROR(__xludf.DUMMYFUNCTION("""COMPUTED_VALUE"""),"#VALUE!")</f>
        <v>#VALUE!</v>
      </c>
      <c r="H128" s="51" t="str">
        <f>IFERROR(__xludf.DUMMYFUNCTION("""COMPUTED_VALUE"""),"")</f>
        <v/>
      </c>
      <c r="I128" s="51" t="str">
        <f>IFERROR(__xludf.DUMMYFUNCTION("""COMPUTED_VALUE"""),"#VALUE!")</f>
        <v>#VALUE!</v>
      </c>
      <c r="J128" s="51" t="str">
        <f>IFERROR(__xludf.DUMMYFUNCTION("""COMPUTED_VALUE"""),"")</f>
        <v/>
      </c>
      <c r="K128" s="51"/>
      <c r="L128" s="51" t="s">
        <v>257</v>
      </c>
      <c r="M128" s="51"/>
      <c r="N128" s="51"/>
      <c r="O128" s="51"/>
      <c r="P128" s="51"/>
      <c r="Q128" s="51"/>
      <c r="R128" s="51"/>
      <c r="S128" s="51"/>
      <c r="T128" s="51"/>
    </row>
    <row r="129">
      <c r="A129" s="51"/>
      <c r="B129" s="51"/>
      <c r="C129" s="56"/>
      <c r="D129" s="51"/>
      <c r="E129" s="51"/>
      <c r="F129" s="51"/>
      <c r="G129" s="51" t="str">
        <f>IFERROR(__xludf.DUMMYFUNCTION("""COMPUTED_VALUE"""),"#VALUE!")</f>
        <v>#VALUE!</v>
      </c>
      <c r="H129" s="51" t="str">
        <f>IFERROR(__xludf.DUMMYFUNCTION("""COMPUTED_VALUE"""),"")</f>
        <v/>
      </c>
      <c r="I129" s="51" t="str">
        <f>IFERROR(__xludf.DUMMYFUNCTION("""COMPUTED_VALUE"""),"#VALUE!")</f>
        <v>#VALUE!</v>
      </c>
      <c r="J129" s="51" t="str">
        <f>IFERROR(__xludf.DUMMYFUNCTION("""COMPUTED_VALUE"""),"")</f>
        <v/>
      </c>
      <c r="K129" s="51"/>
      <c r="L129" s="51" t="s">
        <v>257</v>
      </c>
      <c r="M129" s="51"/>
      <c r="N129" s="51"/>
      <c r="O129" s="51"/>
      <c r="P129" s="51"/>
      <c r="Q129" s="51"/>
      <c r="R129" s="51"/>
      <c r="S129" s="51"/>
      <c r="T129" s="51"/>
    </row>
    <row r="130">
      <c r="A130" s="51"/>
      <c r="B130" s="51"/>
      <c r="C130" s="56"/>
      <c r="D130" s="51"/>
      <c r="E130" s="51"/>
      <c r="F130" s="51"/>
      <c r="G130" s="51" t="str">
        <f>IFERROR(__xludf.DUMMYFUNCTION("""COMPUTED_VALUE"""),"#VALUE!")</f>
        <v>#VALUE!</v>
      </c>
      <c r="H130" s="51" t="str">
        <f>IFERROR(__xludf.DUMMYFUNCTION("""COMPUTED_VALUE"""),"")</f>
        <v/>
      </c>
      <c r="I130" s="51" t="str">
        <f>IFERROR(__xludf.DUMMYFUNCTION("""COMPUTED_VALUE"""),"#VALUE!")</f>
        <v>#VALUE!</v>
      </c>
      <c r="J130" s="51" t="str">
        <f>IFERROR(__xludf.DUMMYFUNCTION("""COMPUTED_VALUE"""),"")</f>
        <v/>
      </c>
      <c r="K130" s="51"/>
      <c r="L130" s="51" t="s">
        <v>257</v>
      </c>
      <c r="M130" s="51"/>
      <c r="N130" s="51"/>
      <c r="O130" s="51"/>
      <c r="P130" s="51"/>
      <c r="Q130" s="51"/>
      <c r="R130" s="51"/>
      <c r="S130" s="51"/>
      <c r="T130" s="51"/>
    </row>
    <row r="131">
      <c r="A131" s="51"/>
      <c r="B131" s="51"/>
      <c r="C131" s="56"/>
      <c r="D131" s="51"/>
      <c r="E131" s="51"/>
      <c r="F131" s="51"/>
      <c r="G131" s="51" t="str">
        <f>IFERROR(__xludf.DUMMYFUNCTION("""COMPUTED_VALUE"""),"#VALUE!")</f>
        <v>#VALUE!</v>
      </c>
      <c r="H131" s="51" t="str">
        <f>IFERROR(__xludf.DUMMYFUNCTION("""COMPUTED_VALUE"""),"")</f>
        <v/>
      </c>
      <c r="I131" s="51" t="str">
        <f>IFERROR(__xludf.DUMMYFUNCTION("""COMPUTED_VALUE"""),"#VALUE!")</f>
        <v>#VALUE!</v>
      </c>
      <c r="J131" s="51" t="str">
        <f>IFERROR(__xludf.DUMMYFUNCTION("""COMPUTED_VALUE"""),"")</f>
        <v/>
      </c>
      <c r="K131" s="51"/>
      <c r="L131" s="51" t="s">
        <v>257</v>
      </c>
      <c r="M131" s="51"/>
      <c r="N131" s="51"/>
      <c r="O131" s="51"/>
      <c r="P131" s="51"/>
      <c r="Q131" s="51"/>
      <c r="R131" s="51"/>
      <c r="S131" s="51"/>
      <c r="T131" s="51"/>
    </row>
    <row r="132">
      <c r="A132" s="51"/>
      <c r="B132" s="51"/>
      <c r="C132" s="56"/>
      <c r="D132" s="51"/>
      <c r="E132" s="51"/>
      <c r="F132" s="51"/>
      <c r="G132" s="51" t="str">
        <f>IFERROR(__xludf.DUMMYFUNCTION("""COMPUTED_VALUE"""),"#VALUE!")</f>
        <v>#VALUE!</v>
      </c>
      <c r="H132" s="51" t="str">
        <f>IFERROR(__xludf.DUMMYFUNCTION("""COMPUTED_VALUE"""),"")</f>
        <v/>
      </c>
      <c r="I132" s="51" t="str">
        <f>IFERROR(__xludf.DUMMYFUNCTION("""COMPUTED_VALUE"""),"#VALUE!")</f>
        <v>#VALUE!</v>
      </c>
      <c r="J132" s="51" t="str">
        <f>IFERROR(__xludf.DUMMYFUNCTION("""COMPUTED_VALUE"""),"")</f>
        <v/>
      </c>
      <c r="K132" s="51"/>
      <c r="L132" s="51" t="s">
        <v>257</v>
      </c>
      <c r="M132" s="51"/>
      <c r="N132" s="51"/>
      <c r="O132" s="51"/>
      <c r="P132" s="51"/>
      <c r="Q132" s="51"/>
      <c r="R132" s="51"/>
      <c r="S132" s="51"/>
      <c r="T132" s="51"/>
    </row>
    <row r="133">
      <c r="A133" s="51"/>
      <c r="B133" s="51"/>
      <c r="C133" s="56"/>
      <c r="D133" s="51"/>
      <c r="E133" s="51"/>
      <c r="F133" s="51"/>
      <c r="G133" s="51" t="str">
        <f>IFERROR(__xludf.DUMMYFUNCTION("""COMPUTED_VALUE"""),"#VALUE!")</f>
        <v>#VALUE!</v>
      </c>
      <c r="H133" s="51" t="str">
        <f>IFERROR(__xludf.DUMMYFUNCTION("""COMPUTED_VALUE"""),"")</f>
        <v/>
      </c>
      <c r="I133" s="51" t="str">
        <f>IFERROR(__xludf.DUMMYFUNCTION("""COMPUTED_VALUE"""),"#VALUE!")</f>
        <v>#VALUE!</v>
      </c>
      <c r="J133" s="51" t="str">
        <f>IFERROR(__xludf.DUMMYFUNCTION("""COMPUTED_VALUE"""),"")</f>
        <v/>
      </c>
      <c r="K133" s="51"/>
      <c r="L133" s="51" t="s">
        <v>257</v>
      </c>
      <c r="M133" s="51"/>
      <c r="N133" s="51"/>
      <c r="O133" s="51"/>
      <c r="P133" s="51"/>
      <c r="Q133" s="51"/>
      <c r="R133" s="51"/>
      <c r="S133" s="51"/>
      <c r="T133" s="51"/>
    </row>
    <row r="134">
      <c r="A134" s="51"/>
      <c r="B134" s="51"/>
      <c r="C134" s="56"/>
      <c r="D134" s="51"/>
      <c r="E134" s="51"/>
      <c r="F134" s="51"/>
      <c r="G134" s="51" t="str">
        <f>IFERROR(__xludf.DUMMYFUNCTION("""COMPUTED_VALUE"""),"#VALUE!")</f>
        <v>#VALUE!</v>
      </c>
      <c r="H134" s="51" t="str">
        <f>IFERROR(__xludf.DUMMYFUNCTION("""COMPUTED_VALUE"""),"")</f>
        <v/>
      </c>
      <c r="I134" s="51" t="str">
        <f>IFERROR(__xludf.DUMMYFUNCTION("""COMPUTED_VALUE"""),"#VALUE!")</f>
        <v>#VALUE!</v>
      </c>
      <c r="J134" s="51" t="str">
        <f>IFERROR(__xludf.DUMMYFUNCTION("""COMPUTED_VALUE"""),"")</f>
        <v/>
      </c>
      <c r="K134" s="51"/>
      <c r="L134" s="51" t="s">
        <v>257</v>
      </c>
      <c r="M134" s="51"/>
      <c r="N134" s="51"/>
      <c r="O134" s="51"/>
      <c r="P134" s="51"/>
      <c r="Q134" s="51"/>
      <c r="R134" s="51"/>
      <c r="S134" s="51"/>
      <c r="T134" s="51"/>
    </row>
    <row r="135">
      <c r="A135" s="51"/>
      <c r="B135" s="51"/>
      <c r="C135" s="56"/>
      <c r="D135" s="51"/>
      <c r="E135" s="51"/>
      <c r="F135" s="51"/>
      <c r="G135" s="51" t="str">
        <f>IFERROR(__xludf.DUMMYFUNCTION("""COMPUTED_VALUE"""),"#VALUE!")</f>
        <v>#VALUE!</v>
      </c>
      <c r="H135" s="51" t="str">
        <f>IFERROR(__xludf.DUMMYFUNCTION("""COMPUTED_VALUE"""),"")</f>
        <v/>
      </c>
      <c r="I135" s="51" t="str">
        <f>IFERROR(__xludf.DUMMYFUNCTION("""COMPUTED_VALUE"""),"#VALUE!")</f>
        <v>#VALUE!</v>
      </c>
      <c r="J135" s="51" t="str">
        <f>IFERROR(__xludf.DUMMYFUNCTION("""COMPUTED_VALUE"""),"")</f>
        <v/>
      </c>
      <c r="K135" s="51"/>
      <c r="L135" s="51" t="s">
        <v>257</v>
      </c>
      <c r="M135" s="51"/>
      <c r="N135" s="51"/>
      <c r="O135" s="51"/>
      <c r="P135" s="51"/>
      <c r="Q135" s="51"/>
      <c r="R135" s="51"/>
      <c r="S135" s="51"/>
      <c r="T135" s="51"/>
    </row>
    <row r="136">
      <c r="A136" s="51"/>
      <c r="B136" s="51"/>
      <c r="C136" s="56"/>
      <c r="D136" s="51"/>
      <c r="E136" s="51"/>
      <c r="F136" s="51"/>
      <c r="G136" s="51" t="str">
        <f>IFERROR(__xludf.DUMMYFUNCTION("""COMPUTED_VALUE"""),"#VALUE!")</f>
        <v>#VALUE!</v>
      </c>
      <c r="H136" s="51" t="str">
        <f>IFERROR(__xludf.DUMMYFUNCTION("""COMPUTED_VALUE"""),"")</f>
        <v/>
      </c>
      <c r="I136" s="51" t="str">
        <f>IFERROR(__xludf.DUMMYFUNCTION("""COMPUTED_VALUE"""),"#VALUE!")</f>
        <v>#VALUE!</v>
      </c>
      <c r="J136" s="51" t="str">
        <f>IFERROR(__xludf.DUMMYFUNCTION("""COMPUTED_VALUE"""),"")</f>
        <v/>
      </c>
      <c r="K136" s="51"/>
      <c r="L136" s="51" t="s">
        <v>257</v>
      </c>
      <c r="M136" s="51"/>
      <c r="N136" s="51"/>
      <c r="O136" s="51"/>
      <c r="P136" s="51"/>
      <c r="Q136" s="51"/>
      <c r="R136" s="51"/>
      <c r="S136" s="51"/>
      <c r="T136" s="51"/>
    </row>
    <row r="137">
      <c r="A137" s="51"/>
      <c r="B137" s="51"/>
      <c r="C137" s="56"/>
      <c r="D137" s="51"/>
      <c r="E137" s="51"/>
      <c r="F137" s="51"/>
      <c r="G137" s="51" t="str">
        <f>IFERROR(__xludf.DUMMYFUNCTION("""COMPUTED_VALUE"""),"#VALUE!")</f>
        <v>#VALUE!</v>
      </c>
      <c r="H137" s="51" t="str">
        <f>IFERROR(__xludf.DUMMYFUNCTION("""COMPUTED_VALUE"""),"")</f>
        <v/>
      </c>
      <c r="I137" s="51" t="str">
        <f>IFERROR(__xludf.DUMMYFUNCTION("""COMPUTED_VALUE"""),"#VALUE!")</f>
        <v>#VALUE!</v>
      </c>
      <c r="J137" s="51" t="str">
        <f>IFERROR(__xludf.DUMMYFUNCTION("""COMPUTED_VALUE"""),"")</f>
        <v/>
      </c>
      <c r="K137" s="51"/>
      <c r="L137" s="51" t="s">
        <v>257</v>
      </c>
      <c r="M137" s="51"/>
      <c r="N137" s="51"/>
      <c r="O137" s="51"/>
      <c r="P137" s="51"/>
      <c r="Q137" s="51"/>
      <c r="R137" s="51"/>
      <c r="S137" s="51"/>
      <c r="T137" s="51"/>
    </row>
    <row r="138">
      <c r="A138" s="51"/>
      <c r="B138" s="51"/>
      <c r="C138" s="56"/>
      <c r="D138" s="51"/>
      <c r="E138" s="51"/>
      <c r="F138" s="51"/>
      <c r="G138" s="51" t="str">
        <f>IFERROR(__xludf.DUMMYFUNCTION("""COMPUTED_VALUE"""),"#VALUE!")</f>
        <v>#VALUE!</v>
      </c>
      <c r="H138" s="51" t="str">
        <f>IFERROR(__xludf.DUMMYFUNCTION("""COMPUTED_VALUE"""),"")</f>
        <v/>
      </c>
      <c r="I138" s="51" t="str">
        <f>IFERROR(__xludf.DUMMYFUNCTION("""COMPUTED_VALUE"""),"#VALUE!")</f>
        <v>#VALUE!</v>
      </c>
      <c r="J138" s="51" t="str">
        <f>IFERROR(__xludf.DUMMYFUNCTION("""COMPUTED_VALUE"""),"")</f>
        <v/>
      </c>
      <c r="K138" s="51"/>
      <c r="L138" s="51" t="s">
        <v>257</v>
      </c>
      <c r="M138" s="51"/>
      <c r="N138" s="51"/>
      <c r="O138" s="51"/>
      <c r="P138" s="51"/>
      <c r="Q138" s="51"/>
      <c r="R138" s="51"/>
      <c r="S138" s="51"/>
      <c r="T138" s="51"/>
    </row>
    <row r="139">
      <c r="A139" s="51"/>
      <c r="B139" s="51"/>
      <c r="C139" s="56"/>
      <c r="D139" s="51"/>
      <c r="E139" s="51"/>
      <c r="F139" s="51"/>
      <c r="G139" s="51" t="str">
        <f>IFERROR(__xludf.DUMMYFUNCTION("""COMPUTED_VALUE"""),"#VALUE!")</f>
        <v>#VALUE!</v>
      </c>
      <c r="H139" s="51" t="str">
        <f>IFERROR(__xludf.DUMMYFUNCTION("""COMPUTED_VALUE"""),"")</f>
        <v/>
      </c>
      <c r="I139" s="51" t="str">
        <f>IFERROR(__xludf.DUMMYFUNCTION("""COMPUTED_VALUE"""),"#VALUE!")</f>
        <v>#VALUE!</v>
      </c>
      <c r="J139" s="51" t="str">
        <f>IFERROR(__xludf.DUMMYFUNCTION("""COMPUTED_VALUE"""),"")</f>
        <v/>
      </c>
      <c r="K139" s="51"/>
      <c r="L139" s="51" t="s">
        <v>257</v>
      </c>
      <c r="M139" s="51"/>
      <c r="N139" s="51"/>
      <c r="O139" s="51"/>
      <c r="P139" s="51"/>
      <c r="Q139" s="51"/>
      <c r="R139" s="51"/>
      <c r="S139" s="51"/>
      <c r="T139" s="51"/>
    </row>
    <row r="140">
      <c r="A140" s="51"/>
      <c r="B140" s="51"/>
      <c r="C140" s="56"/>
      <c r="D140" s="51"/>
      <c r="E140" s="51"/>
      <c r="F140" s="51"/>
      <c r="G140" s="51" t="str">
        <f>IFERROR(__xludf.DUMMYFUNCTION("""COMPUTED_VALUE"""),"#VALUE!")</f>
        <v>#VALUE!</v>
      </c>
      <c r="H140" s="51" t="str">
        <f>IFERROR(__xludf.DUMMYFUNCTION("""COMPUTED_VALUE"""),"")</f>
        <v/>
      </c>
      <c r="I140" s="51" t="str">
        <f>IFERROR(__xludf.DUMMYFUNCTION("""COMPUTED_VALUE"""),"#VALUE!")</f>
        <v>#VALUE!</v>
      </c>
      <c r="J140" s="51" t="str">
        <f>IFERROR(__xludf.DUMMYFUNCTION("""COMPUTED_VALUE"""),"")</f>
        <v/>
      </c>
      <c r="K140" s="51"/>
      <c r="L140" s="51" t="s">
        <v>257</v>
      </c>
      <c r="M140" s="51"/>
      <c r="N140" s="51"/>
      <c r="O140" s="51"/>
      <c r="P140" s="51"/>
      <c r="Q140" s="51"/>
      <c r="R140" s="51"/>
      <c r="S140" s="51"/>
      <c r="T140" s="51"/>
    </row>
    <row r="141">
      <c r="A141" s="51"/>
      <c r="B141" s="51"/>
      <c r="C141" s="56"/>
      <c r="D141" s="51"/>
      <c r="E141" s="51"/>
      <c r="F141" s="51"/>
      <c r="G141" s="51" t="str">
        <f>IFERROR(__xludf.DUMMYFUNCTION("""COMPUTED_VALUE"""),"#VALUE!")</f>
        <v>#VALUE!</v>
      </c>
      <c r="H141" s="51" t="str">
        <f>IFERROR(__xludf.DUMMYFUNCTION("""COMPUTED_VALUE"""),"")</f>
        <v/>
      </c>
      <c r="I141" s="51" t="str">
        <f>IFERROR(__xludf.DUMMYFUNCTION("""COMPUTED_VALUE"""),"#VALUE!")</f>
        <v>#VALUE!</v>
      </c>
      <c r="J141" s="51" t="str">
        <f>IFERROR(__xludf.DUMMYFUNCTION("""COMPUTED_VALUE"""),"")</f>
        <v/>
      </c>
      <c r="K141" s="51"/>
      <c r="L141" s="51" t="s">
        <v>257</v>
      </c>
      <c r="M141" s="51"/>
      <c r="N141" s="51"/>
      <c r="O141" s="51"/>
      <c r="P141" s="51"/>
      <c r="Q141" s="51"/>
      <c r="R141" s="51"/>
      <c r="S141" s="51"/>
      <c r="T141" s="51"/>
    </row>
    <row r="142">
      <c r="A142" s="51"/>
      <c r="B142" s="51"/>
      <c r="C142" s="56"/>
      <c r="D142" s="51"/>
      <c r="E142" s="51"/>
      <c r="F142" s="51"/>
      <c r="G142" s="51" t="str">
        <f>IFERROR(__xludf.DUMMYFUNCTION("""COMPUTED_VALUE"""),"#VALUE!")</f>
        <v>#VALUE!</v>
      </c>
      <c r="H142" s="51" t="str">
        <f>IFERROR(__xludf.DUMMYFUNCTION("""COMPUTED_VALUE"""),"")</f>
        <v/>
      </c>
      <c r="I142" s="51" t="str">
        <f>IFERROR(__xludf.DUMMYFUNCTION("""COMPUTED_VALUE"""),"#VALUE!")</f>
        <v>#VALUE!</v>
      </c>
      <c r="J142" s="51" t="str">
        <f>IFERROR(__xludf.DUMMYFUNCTION("""COMPUTED_VALUE"""),"")</f>
        <v/>
      </c>
      <c r="K142" s="51"/>
      <c r="L142" s="51" t="s">
        <v>257</v>
      </c>
      <c r="M142" s="51"/>
      <c r="N142" s="51"/>
      <c r="O142" s="51"/>
      <c r="P142" s="51"/>
      <c r="Q142" s="51"/>
      <c r="R142" s="51"/>
      <c r="S142" s="51"/>
      <c r="T142" s="51"/>
    </row>
    <row r="143">
      <c r="A143" s="51"/>
      <c r="B143" s="51"/>
      <c r="C143" s="56"/>
      <c r="D143" s="51"/>
      <c r="E143" s="51"/>
      <c r="F143" s="51"/>
      <c r="G143" s="51" t="str">
        <f>IFERROR(__xludf.DUMMYFUNCTION("""COMPUTED_VALUE"""),"#VALUE!")</f>
        <v>#VALUE!</v>
      </c>
      <c r="H143" s="51" t="str">
        <f>IFERROR(__xludf.DUMMYFUNCTION("""COMPUTED_VALUE"""),"")</f>
        <v/>
      </c>
      <c r="I143" s="51" t="str">
        <f>IFERROR(__xludf.DUMMYFUNCTION("""COMPUTED_VALUE"""),"#VALUE!")</f>
        <v>#VALUE!</v>
      </c>
      <c r="J143" s="51" t="str">
        <f>IFERROR(__xludf.DUMMYFUNCTION("""COMPUTED_VALUE"""),"")</f>
        <v/>
      </c>
      <c r="K143" s="51"/>
      <c r="L143" s="51" t="s">
        <v>257</v>
      </c>
      <c r="M143" s="51"/>
      <c r="N143" s="51"/>
      <c r="O143" s="51"/>
      <c r="P143" s="51"/>
      <c r="Q143" s="51"/>
      <c r="R143" s="51"/>
      <c r="S143" s="51"/>
      <c r="T143" s="51"/>
    </row>
    <row r="144">
      <c r="A144" s="51"/>
      <c r="B144" s="51"/>
      <c r="C144" s="56"/>
      <c r="D144" s="51"/>
      <c r="E144" s="51"/>
      <c r="F144" s="51"/>
      <c r="G144" s="51" t="str">
        <f>IFERROR(__xludf.DUMMYFUNCTION("""COMPUTED_VALUE"""),"#VALUE!")</f>
        <v>#VALUE!</v>
      </c>
      <c r="H144" s="51" t="str">
        <f>IFERROR(__xludf.DUMMYFUNCTION("""COMPUTED_VALUE"""),"")</f>
        <v/>
      </c>
      <c r="I144" s="51" t="str">
        <f>IFERROR(__xludf.DUMMYFUNCTION("""COMPUTED_VALUE"""),"#VALUE!")</f>
        <v>#VALUE!</v>
      </c>
      <c r="J144" s="51" t="str">
        <f>IFERROR(__xludf.DUMMYFUNCTION("""COMPUTED_VALUE"""),"")</f>
        <v/>
      </c>
      <c r="K144" s="51"/>
      <c r="L144" s="51" t="s">
        <v>257</v>
      </c>
      <c r="M144" s="51"/>
      <c r="N144" s="51"/>
      <c r="O144" s="51"/>
      <c r="P144" s="51"/>
      <c r="Q144" s="51"/>
      <c r="R144" s="51"/>
      <c r="S144" s="51"/>
      <c r="T144" s="51"/>
    </row>
    <row r="145">
      <c r="A145" s="51"/>
      <c r="B145" s="51"/>
      <c r="C145" s="56"/>
      <c r="D145" s="51"/>
      <c r="E145" s="51"/>
      <c r="F145" s="51"/>
      <c r="G145" s="51" t="str">
        <f>IFERROR(__xludf.DUMMYFUNCTION("""COMPUTED_VALUE"""),"#VALUE!")</f>
        <v>#VALUE!</v>
      </c>
      <c r="H145" s="51" t="str">
        <f>IFERROR(__xludf.DUMMYFUNCTION("""COMPUTED_VALUE"""),"")</f>
        <v/>
      </c>
      <c r="I145" s="51" t="str">
        <f>IFERROR(__xludf.DUMMYFUNCTION("""COMPUTED_VALUE"""),"#VALUE!")</f>
        <v>#VALUE!</v>
      </c>
      <c r="J145" s="51" t="str">
        <f>IFERROR(__xludf.DUMMYFUNCTION("""COMPUTED_VALUE"""),"")</f>
        <v/>
      </c>
      <c r="K145" s="51"/>
      <c r="L145" s="51" t="s">
        <v>257</v>
      </c>
      <c r="M145" s="51"/>
      <c r="N145" s="51"/>
      <c r="O145" s="51"/>
      <c r="P145" s="51"/>
      <c r="Q145" s="51"/>
      <c r="R145" s="51"/>
      <c r="S145" s="51"/>
      <c r="T145" s="51"/>
    </row>
    <row r="146">
      <c r="A146" s="51"/>
      <c r="B146" s="51"/>
      <c r="C146" s="56"/>
      <c r="D146" s="51"/>
      <c r="E146" s="51"/>
      <c r="F146" s="51"/>
      <c r="G146" s="51" t="str">
        <f>IFERROR(__xludf.DUMMYFUNCTION("""COMPUTED_VALUE"""),"#VALUE!")</f>
        <v>#VALUE!</v>
      </c>
      <c r="H146" s="51" t="str">
        <f>IFERROR(__xludf.DUMMYFUNCTION("""COMPUTED_VALUE"""),"")</f>
        <v/>
      </c>
      <c r="I146" s="51" t="str">
        <f>IFERROR(__xludf.DUMMYFUNCTION("""COMPUTED_VALUE"""),"#VALUE!")</f>
        <v>#VALUE!</v>
      </c>
      <c r="J146" s="51" t="str">
        <f>IFERROR(__xludf.DUMMYFUNCTION("""COMPUTED_VALUE"""),"")</f>
        <v/>
      </c>
      <c r="K146" s="51"/>
      <c r="L146" s="51" t="s">
        <v>257</v>
      </c>
      <c r="M146" s="51"/>
      <c r="N146" s="51"/>
      <c r="O146" s="51"/>
      <c r="P146" s="51"/>
      <c r="Q146" s="51"/>
      <c r="R146" s="51"/>
      <c r="S146" s="51"/>
      <c r="T146" s="51"/>
    </row>
    <row r="147">
      <c r="A147" s="51"/>
      <c r="B147" s="51"/>
      <c r="C147" s="56"/>
      <c r="D147" s="51"/>
      <c r="E147" s="51"/>
      <c r="F147" s="51"/>
      <c r="G147" s="51" t="str">
        <f>IFERROR(__xludf.DUMMYFUNCTION("""COMPUTED_VALUE"""),"#VALUE!")</f>
        <v>#VALUE!</v>
      </c>
      <c r="H147" s="51" t="str">
        <f>IFERROR(__xludf.DUMMYFUNCTION("""COMPUTED_VALUE"""),"")</f>
        <v/>
      </c>
      <c r="I147" s="51" t="str">
        <f>IFERROR(__xludf.DUMMYFUNCTION("""COMPUTED_VALUE"""),"#VALUE!")</f>
        <v>#VALUE!</v>
      </c>
      <c r="J147" s="51" t="str">
        <f>IFERROR(__xludf.DUMMYFUNCTION("""COMPUTED_VALUE"""),"")</f>
        <v/>
      </c>
      <c r="K147" s="51"/>
      <c r="L147" s="51" t="s">
        <v>257</v>
      </c>
      <c r="M147" s="51"/>
      <c r="N147" s="51"/>
      <c r="O147" s="51"/>
      <c r="P147" s="51"/>
      <c r="Q147" s="51"/>
      <c r="R147" s="51"/>
      <c r="S147" s="51"/>
      <c r="T147" s="51"/>
    </row>
    <row r="148">
      <c r="A148" s="51"/>
      <c r="B148" s="51"/>
      <c r="C148" s="56"/>
      <c r="D148" s="51"/>
      <c r="E148" s="51"/>
      <c r="F148" s="51"/>
      <c r="G148" s="51" t="str">
        <f>IFERROR(__xludf.DUMMYFUNCTION("""COMPUTED_VALUE"""),"#VALUE!")</f>
        <v>#VALUE!</v>
      </c>
      <c r="H148" s="51" t="str">
        <f>IFERROR(__xludf.DUMMYFUNCTION("""COMPUTED_VALUE"""),"")</f>
        <v/>
      </c>
      <c r="I148" s="51" t="str">
        <f>IFERROR(__xludf.DUMMYFUNCTION("""COMPUTED_VALUE"""),"#VALUE!")</f>
        <v>#VALUE!</v>
      </c>
      <c r="J148" s="51" t="str">
        <f>IFERROR(__xludf.DUMMYFUNCTION("""COMPUTED_VALUE"""),"")</f>
        <v/>
      </c>
      <c r="K148" s="51"/>
      <c r="L148" s="51" t="s">
        <v>257</v>
      </c>
      <c r="M148" s="51"/>
      <c r="N148" s="51"/>
      <c r="O148" s="51"/>
      <c r="P148" s="51"/>
      <c r="Q148" s="51"/>
      <c r="R148" s="51"/>
      <c r="S148" s="51"/>
      <c r="T148" s="51"/>
    </row>
    <row r="149">
      <c r="A149" s="51"/>
      <c r="B149" s="51"/>
      <c r="C149" s="56"/>
      <c r="D149" s="51"/>
      <c r="E149" s="51"/>
      <c r="F149" s="51"/>
      <c r="G149" s="51" t="str">
        <f>IFERROR(__xludf.DUMMYFUNCTION("""COMPUTED_VALUE"""),"#VALUE!")</f>
        <v>#VALUE!</v>
      </c>
      <c r="H149" s="51" t="str">
        <f>IFERROR(__xludf.DUMMYFUNCTION("""COMPUTED_VALUE"""),"")</f>
        <v/>
      </c>
      <c r="I149" s="51" t="str">
        <f>IFERROR(__xludf.DUMMYFUNCTION("""COMPUTED_VALUE"""),"#VALUE!")</f>
        <v>#VALUE!</v>
      </c>
      <c r="J149" s="51" t="str">
        <f>IFERROR(__xludf.DUMMYFUNCTION("""COMPUTED_VALUE"""),"")</f>
        <v/>
      </c>
      <c r="K149" s="51"/>
      <c r="L149" s="51" t="s">
        <v>257</v>
      </c>
      <c r="M149" s="51"/>
      <c r="N149" s="51"/>
      <c r="O149" s="51"/>
      <c r="P149" s="51"/>
      <c r="Q149" s="51"/>
      <c r="R149" s="51"/>
      <c r="S149" s="51"/>
      <c r="T149" s="51"/>
    </row>
    <row r="150">
      <c r="A150" s="51"/>
      <c r="B150" s="51"/>
      <c r="C150" s="56"/>
      <c r="D150" s="51"/>
      <c r="E150" s="51"/>
      <c r="F150" s="51"/>
      <c r="G150" s="51" t="str">
        <f>IFERROR(__xludf.DUMMYFUNCTION("""COMPUTED_VALUE"""),"#VALUE!")</f>
        <v>#VALUE!</v>
      </c>
      <c r="H150" s="51" t="str">
        <f>IFERROR(__xludf.DUMMYFUNCTION("""COMPUTED_VALUE"""),"")</f>
        <v/>
      </c>
      <c r="I150" s="51" t="str">
        <f>IFERROR(__xludf.DUMMYFUNCTION("""COMPUTED_VALUE"""),"#VALUE!")</f>
        <v>#VALUE!</v>
      </c>
      <c r="J150" s="51" t="str">
        <f>IFERROR(__xludf.DUMMYFUNCTION("""COMPUTED_VALUE"""),"")</f>
        <v/>
      </c>
      <c r="K150" s="51"/>
      <c r="L150" s="51" t="s">
        <v>257</v>
      </c>
      <c r="M150" s="51"/>
      <c r="N150" s="51"/>
      <c r="O150" s="51"/>
      <c r="P150" s="51"/>
      <c r="Q150" s="51"/>
      <c r="R150" s="51"/>
      <c r="S150" s="51"/>
      <c r="T150" s="51"/>
    </row>
    <row r="151">
      <c r="A151" s="51"/>
      <c r="B151" s="51"/>
      <c r="C151" s="56"/>
      <c r="D151" s="51"/>
      <c r="E151" s="51"/>
      <c r="F151" s="51"/>
      <c r="G151" s="51" t="str">
        <f>IFERROR(__xludf.DUMMYFUNCTION("""COMPUTED_VALUE"""),"#VALUE!")</f>
        <v>#VALUE!</v>
      </c>
      <c r="H151" s="51" t="str">
        <f>IFERROR(__xludf.DUMMYFUNCTION("""COMPUTED_VALUE"""),"")</f>
        <v/>
      </c>
      <c r="I151" s="51" t="str">
        <f>IFERROR(__xludf.DUMMYFUNCTION("""COMPUTED_VALUE"""),"#VALUE!")</f>
        <v>#VALUE!</v>
      </c>
      <c r="J151" s="51" t="str">
        <f>IFERROR(__xludf.DUMMYFUNCTION("""COMPUTED_VALUE"""),"")</f>
        <v/>
      </c>
      <c r="K151" s="51"/>
      <c r="L151" s="51" t="s">
        <v>257</v>
      </c>
      <c r="M151" s="51"/>
      <c r="N151" s="51"/>
      <c r="O151" s="51"/>
      <c r="P151" s="51"/>
      <c r="Q151" s="51"/>
      <c r="R151" s="51"/>
      <c r="S151" s="51"/>
      <c r="T151" s="51"/>
    </row>
    <row r="152">
      <c r="A152" s="51"/>
      <c r="B152" s="51"/>
      <c r="C152" s="56"/>
      <c r="D152" s="51"/>
      <c r="E152" s="51"/>
      <c r="F152" s="51"/>
      <c r="G152" s="51" t="str">
        <f>IFERROR(__xludf.DUMMYFUNCTION("""COMPUTED_VALUE"""),"#VALUE!")</f>
        <v>#VALUE!</v>
      </c>
      <c r="H152" s="51" t="str">
        <f>IFERROR(__xludf.DUMMYFUNCTION("""COMPUTED_VALUE"""),"")</f>
        <v/>
      </c>
      <c r="I152" s="51" t="str">
        <f>IFERROR(__xludf.DUMMYFUNCTION("""COMPUTED_VALUE"""),"#VALUE!")</f>
        <v>#VALUE!</v>
      </c>
      <c r="J152" s="51" t="str">
        <f>IFERROR(__xludf.DUMMYFUNCTION("""COMPUTED_VALUE"""),"")</f>
        <v/>
      </c>
      <c r="K152" s="51"/>
      <c r="L152" s="51" t="s">
        <v>257</v>
      </c>
      <c r="M152" s="51"/>
      <c r="N152" s="51"/>
      <c r="O152" s="51"/>
      <c r="P152" s="51"/>
      <c r="Q152" s="51"/>
      <c r="R152" s="51"/>
      <c r="S152" s="51"/>
      <c r="T152" s="51"/>
    </row>
    <row r="153">
      <c r="A153" s="51"/>
      <c r="B153" s="51"/>
      <c r="C153" s="56"/>
      <c r="D153" s="51"/>
      <c r="E153" s="51"/>
      <c r="F153" s="51"/>
      <c r="G153" s="51" t="str">
        <f>IFERROR(__xludf.DUMMYFUNCTION("""COMPUTED_VALUE"""),"#VALUE!")</f>
        <v>#VALUE!</v>
      </c>
      <c r="H153" s="51" t="str">
        <f>IFERROR(__xludf.DUMMYFUNCTION("""COMPUTED_VALUE"""),"")</f>
        <v/>
      </c>
      <c r="I153" s="51" t="str">
        <f>IFERROR(__xludf.DUMMYFUNCTION("""COMPUTED_VALUE"""),"#VALUE!")</f>
        <v>#VALUE!</v>
      </c>
      <c r="J153" s="51" t="str">
        <f>IFERROR(__xludf.DUMMYFUNCTION("""COMPUTED_VALUE"""),"")</f>
        <v/>
      </c>
      <c r="K153" s="51"/>
      <c r="L153" s="51" t="s">
        <v>257</v>
      </c>
      <c r="M153" s="51"/>
      <c r="N153" s="51"/>
      <c r="O153" s="51"/>
      <c r="P153" s="51"/>
      <c r="Q153" s="51"/>
      <c r="R153" s="51"/>
      <c r="S153" s="51"/>
      <c r="T153" s="51"/>
    </row>
    <row r="154">
      <c r="A154" s="51"/>
      <c r="B154" s="51"/>
      <c r="C154" s="56"/>
      <c r="D154" s="51"/>
      <c r="E154" s="51"/>
      <c r="F154" s="51"/>
      <c r="G154" s="51" t="str">
        <f>IFERROR(__xludf.DUMMYFUNCTION("""COMPUTED_VALUE"""),"#VALUE!")</f>
        <v>#VALUE!</v>
      </c>
      <c r="H154" s="51" t="str">
        <f>IFERROR(__xludf.DUMMYFUNCTION("""COMPUTED_VALUE"""),"")</f>
        <v/>
      </c>
      <c r="I154" s="51" t="str">
        <f>IFERROR(__xludf.DUMMYFUNCTION("""COMPUTED_VALUE"""),"#VALUE!")</f>
        <v>#VALUE!</v>
      </c>
      <c r="J154" s="51" t="str">
        <f>IFERROR(__xludf.DUMMYFUNCTION("""COMPUTED_VALUE"""),"")</f>
        <v/>
      </c>
      <c r="K154" s="51"/>
      <c r="L154" s="51" t="s">
        <v>257</v>
      </c>
      <c r="M154" s="51"/>
      <c r="N154" s="51"/>
      <c r="O154" s="51"/>
      <c r="P154" s="51"/>
      <c r="Q154" s="51"/>
      <c r="R154" s="51"/>
      <c r="S154" s="51"/>
      <c r="T154" s="51"/>
    </row>
    <row r="155">
      <c r="A155" s="51"/>
      <c r="B155" s="51"/>
      <c r="C155" s="56"/>
      <c r="D155" s="51"/>
      <c r="E155" s="51"/>
      <c r="F155" s="51"/>
      <c r="G155" s="51" t="str">
        <f>IFERROR(__xludf.DUMMYFUNCTION("""COMPUTED_VALUE"""),"#VALUE!")</f>
        <v>#VALUE!</v>
      </c>
      <c r="H155" s="51" t="str">
        <f>IFERROR(__xludf.DUMMYFUNCTION("""COMPUTED_VALUE"""),"")</f>
        <v/>
      </c>
      <c r="I155" s="51" t="str">
        <f>IFERROR(__xludf.DUMMYFUNCTION("""COMPUTED_VALUE"""),"#VALUE!")</f>
        <v>#VALUE!</v>
      </c>
      <c r="J155" s="51" t="str">
        <f>IFERROR(__xludf.DUMMYFUNCTION("""COMPUTED_VALUE"""),"")</f>
        <v/>
      </c>
      <c r="K155" s="51"/>
      <c r="L155" s="51" t="s">
        <v>257</v>
      </c>
      <c r="M155" s="51"/>
      <c r="N155" s="51"/>
      <c r="O155" s="51"/>
      <c r="P155" s="51"/>
      <c r="Q155" s="51"/>
      <c r="R155" s="51"/>
      <c r="S155" s="51"/>
      <c r="T155" s="51"/>
    </row>
    <row r="156">
      <c r="A156" s="51"/>
      <c r="B156" s="51"/>
      <c r="C156" s="56"/>
      <c r="D156" s="51"/>
      <c r="E156" s="51"/>
      <c r="F156" s="51"/>
      <c r="G156" s="51" t="str">
        <f>IFERROR(__xludf.DUMMYFUNCTION("""COMPUTED_VALUE"""),"#VALUE!")</f>
        <v>#VALUE!</v>
      </c>
      <c r="H156" s="51" t="str">
        <f>IFERROR(__xludf.DUMMYFUNCTION("""COMPUTED_VALUE"""),"")</f>
        <v/>
      </c>
      <c r="I156" s="51" t="str">
        <f>IFERROR(__xludf.DUMMYFUNCTION("""COMPUTED_VALUE"""),"#VALUE!")</f>
        <v>#VALUE!</v>
      </c>
      <c r="J156" s="51" t="str">
        <f>IFERROR(__xludf.DUMMYFUNCTION("""COMPUTED_VALUE"""),"")</f>
        <v/>
      </c>
      <c r="K156" s="51"/>
      <c r="L156" s="51" t="s">
        <v>257</v>
      </c>
      <c r="M156" s="51"/>
      <c r="N156" s="51"/>
      <c r="O156" s="51"/>
      <c r="P156" s="51"/>
      <c r="Q156" s="51"/>
      <c r="R156" s="51"/>
      <c r="S156" s="51"/>
      <c r="T156" s="51"/>
    </row>
    <row r="157">
      <c r="A157" s="51"/>
      <c r="B157" s="51"/>
      <c r="C157" s="56"/>
      <c r="D157" s="51"/>
      <c r="E157" s="51"/>
      <c r="F157" s="51"/>
      <c r="G157" s="51" t="str">
        <f>IFERROR(__xludf.DUMMYFUNCTION("""COMPUTED_VALUE"""),"#VALUE!")</f>
        <v>#VALUE!</v>
      </c>
      <c r="H157" s="51" t="str">
        <f>IFERROR(__xludf.DUMMYFUNCTION("""COMPUTED_VALUE"""),"")</f>
        <v/>
      </c>
      <c r="I157" s="51" t="str">
        <f>IFERROR(__xludf.DUMMYFUNCTION("""COMPUTED_VALUE"""),"#VALUE!")</f>
        <v>#VALUE!</v>
      </c>
      <c r="J157" s="51" t="str">
        <f>IFERROR(__xludf.DUMMYFUNCTION("""COMPUTED_VALUE"""),"")</f>
        <v/>
      </c>
      <c r="K157" s="51"/>
      <c r="L157" s="51" t="s">
        <v>257</v>
      </c>
      <c r="M157" s="51"/>
      <c r="N157" s="51"/>
      <c r="O157" s="51"/>
      <c r="P157" s="51"/>
      <c r="Q157" s="51"/>
      <c r="R157" s="51"/>
      <c r="S157" s="51"/>
      <c r="T157" s="51"/>
    </row>
    <row r="158">
      <c r="A158" s="51"/>
      <c r="B158" s="51"/>
      <c r="C158" s="56"/>
      <c r="D158" s="51"/>
      <c r="E158" s="51"/>
      <c r="F158" s="51"/>
      <c r="G158" s="51" t="str">
        <f>IFERROR(__xludf.DUMMYFUNCTION("""COMPUTED_VALUE"""),"#VALUE!")</f>
        <v>#VALUE!</v>
      </c>
      <c r="H158" s="51" t="str">
        <f>IFERROR(__xludf.DUMMYFUNCTION("""COMPUTED_VALUE"""),"")</f>
        <v/>
      </c>
      <c r="I158" s="51" t="str">
        <f>IFERROR(__xludf.DUMMYFUNCTION("""COMPUTED_VALUE"""),"#VALUE!")</f>
        <v>#VALUE!</v>
      </c>
      <c r="J158" s="51" t="str">
        <f>IFERROR(__xludf.DUMMYFUNCTION("""COMPUTED_VALUE"""),"")</f>
        <v/>
      </c>
      <c r="K158" s="51"/>
      <c r="L158" s="51" t="s">
        <v>257</v>
      </c>
      <c r="M158" s="51"/>
      <c r="N158" s="51"/>
      <c r="O158" s="51"/>
      <c r="P158" s="51"/>
      <c r="Q158" s="51"/>
      <c r="R158" s="51"/>
      <c r="S158" s="51"/>
      <c r="T158" s="51"/>
    </row>
    <row r="159">
      <c r="A159" s="51"/>
      <c r="B159" s="51"/>
      <c r="C159" s="56"/>
      <c r="D159" s="51"/>
      <c r="E159" s="51"/>
      <c r="F159" s="51"/>
      <c r="G159" s="51" t="str">
        <f>IFERROR(__xludf.DUMMYFUNCTION("""COMPUTED_VALUE"""),"#VALUE!")</f>
        <v>#VALUE!</v>
      </c>
      <c r="H159" s="51" t="str">
        <f>IFERROR(__xludf.DUMMYFUNCTION("""COMPUTED_VALUE"""),"")</f>
        <v/>
      </c>
      <c r="I159" s="51" t="str">
        <f>IFERROR(__xludf.DUMMYFUNCTION("""COMPUTED_VALUE"""),"#VALUE!")</f>
        <v>#VALUE!</v>
      </c>
      <c r="J159" s="51" t="str">
        <f>IFERROR(__xludf.DUMMYFUNCTION("""COMPUTED_VALUE"""),"")</f>
        <v/>
      </c>
      <c r="K159" s="51"/>
      <c r="L159" s="51" t="s">
        <v>257</v>
      </c>
      <c r="M159" s="51"/>
      <c r="N159" s="51"/>
      <c r="O159" s="51"/>
      <c r="P159" s="51"/>
      <c r="Q159" s="51"/>
      <c r="R159" s="51"/>
      <c r="S159" s="51"/>
      <c r="T159" s="51"/>
    </row>
    <row r="160">
      <c r="A160" s="51"/>
      <c r="B160" s="51"/>
      <c r="C160" s="56"/>
      <c r="D160" s="51"/>
      <c r="E160" s="51"/>
      <c r="F160" s="51"/>
      <c r="G160" s="51" t="str">
        <f>IFERROR(__xludf.DUMMYFUNCTION("""COMPUTED_VALUE"""),"#VALUE!")</f>
        <v>#VALUE!</v>
      </c>
      <c r="H160" s="51" t="str">
        <f>IFERROR(__xludf.DUMMYFUNCTION("""COMPUTED_VALUE"""),"")</f>
        <v/>
      </c>
      <c r="I160" s="51" t="str">
        <f>IFERROR(__xludf.DUMMYFUNCTION("""COMPUTED_VALUE"""),"#VALUE!")</f>
        <v>#VALUE!</v>
      </c>
      <c r="J160" s="51" t="str">
        <f>IFERROR(__xludf.DUMMYFUNCTION("""COMPUTED_VALUE"""),"")</f>
        <v/>
      </c>
      <c r="K160" s="51"/>
      <c r="L160" s="51" t="s">
        <v>257</v>
      </c>
      <c r="M160" s="51"/>
      <c r="N160" s="51"/>
      <c r="O160" s="51"/>
      <c r="P160" s="51"/>
      <c r="Q160" s="51"/>
      <c r="R160" s="51"/>
      <c r="S160" s="51"/>
      <c r="T160" s="51"/>
    </row>
    <row r="161">
      <c r="A161" s="51"/>
      <c r="B161" s="51"/>
      <c r="C161" s="56"/>
      <c r="D161" s="51"/>
      <c r="E161" s="51"/>
      <c r="F161" s="51"/>
      <c r="G161" s="51" t="str">
        <f>IFERROR(__xludf.DUMMYFUNCTION("""COMPUTED_VALUE"""),"#VALUE!")</f>
        <v>#VALUE!</v>
      </c>
      <c r="H161" s="51" t="str">
        <f>IFERROR(__xludf.DUMMYFUNCTION("""COMPUTED_VALUE"""),"")</f>
        <v/>
      </c>
      <c r="I161" s="51" t="str">
        <f>IFERROR(__xludf.DUMMYFUNCTION("""COMPUTED_VALUE"""),"#VALUE!")</f>
        <v>#VALUE!</v>
      </c>
      <c r="J161" s="51" t="str">
        <f>IFERROR(__xludf.DUMMYFUNCTION("""COMPUTED_VALUE"""),"")</f>
        <v/>
      </c>
      <c r="K161" s="51"/>
      <c r="L161" s="51" t="s">
        <v>257</v>
      </c>
      <c r="M161" s="51"/>
      <c r="N161" s="51"/>
      <c r="O161" s="51"/>
      <c r="P161" s="51"/>
      <c r="Q161" s="51"/>
      <c r="R161" s="51"/>
      <c r="S161" s="51"/>
      <c r="T161" s="51"/>
    </row>
    <row r="162">
      <c r="A162" s="51"/>
      <c r="B162" s="51"/>
      <c r="C162" s="56"/>
      <c r="D162" s="51"/>
      <c r="E162" s="51"/>
      <c r="F162" s="51"/>
      <c r="G162" s="51" t="str">
        <f>IFERROR(__xludf.DUMMYFUNCTION("""COMPUTED_VALUE"""),"#VALUE!")</f>
        <v>#VALUE!</v>
      </c>
      <c r="H162" s="51" t="str">
        <f>IFERROR(__xludf.DUMMYFUNCTION("""COMPUTED_VALUE"""),"")</f>
        <v/>
      </c>
      <c r="I162" s="51" t="str">
        <f>IFERROR(__xludf.DUMMYFUNCTION("""COMPUTED_VALUE"""),"#VALUE!")</f>
        <v>#VALUE!</v>
      </c>
      <c r="J162" s="51" t="str">
        <f>IFERROR(__xludf.DUMMYFUNCTION("""COMPUTED_VALUE"""),"")</f>
        <v/>
      </c>
      <c r="K162" s="51"/>
      <c r="L162" s="51" t="s">
        <v>257</v>
      </c>
      <c r="M162" s="51"/>
      <c r="N162" s="51"/>
      <c r="O162" s="51"/>
      <c r="P162" s="51"/>
      <c r="Q162" s="51"/>
      <c r="R162" s="51"/>
      <c r="S162" s="51"/>
      <c r="T162" s="51"/>
    </row>
    <row r="163">
      <c r="A163" s="51"/>
      <c r="B163" s="51"/>
      <c r="C163" s="56"/>
      <c r="D163" s="51"/>
      <c r="E163" s="51"/>
      <c r="F163" s="51"/>
      <c r="G163" s="51" t="str">
        <f>IFERROR(__xludf.DUMMYFUNCTION("""COMPUTED_VALUE"""),"#VALUE!")</f>
        <v>#VALUE!</v>
      </c>
      <c r="H163" s="51" t="str">
        <f>IFERROR(__xludf.DUMMYFUNCTION("""COMPUTED_VALUE"""),"")</f>
        <v/>
      </c>
      <c r="I163" s="51" t="str">
        <f>IFERROR(__xludf.DUMMYFUNCTION("""COMPUTED_VALUE"""),"#VALUE!")</f>
        <v>#VALUE!</v>
      </c>
      <c r="J163" s="51" t="str">
        <f>IFERROR(__xludf.DUMMYFUNCTION("""COMPUTED_VALUE"""),"")</f>
        <v/>
      </c>
      <c r="K163" s="51"/>
      <c r="L163" s="51" t="s">
        <v>257</v>
      </c>
      <c r="M163" s="51"/>
      <c r="N163" s="51"/>
      <c r="O163" s="51"/>
      <c r="P163" s="51"/>
      <c r="Q163" s="51"/>
      <c r="R163" s="51"/>
      <c r="S163" s="51"/>
      <c r="T163" s="51"/>
    </row>
    <row r="164">
      <c r="A164" s="51"/>
      <c r="B164" s="51"/>
      <c r="C164" s="56"/>
      <c r="D164" s="51"/>
      <c r="E164" s="51"/>
      <c r="F164" s="51"/>
      <c r="G164" s="51" t="str">
        <f>IFERROR(__xludf.DUMMYFUNCTION("""COMPUTED_VALUE"""),"#VALUE!")</f>
        <v>#VALUE!</v>
      </c>
      <c r="H164" s="51" t="str">
        <f>IFERROR(__xludf.DUMMYFUNCTION("""COMPUTED_VALUE"""),"")</f>
        <v/>
      </c>
      <c r="I164" s="51" t="str">
        <f>IFERROR(__xludf.DUMMYFUNCTION("""COMPUTED_VALUE"""),"#VALUE!")</f>
        <v>#VALUE!</v>
      </c>
      <c r="J164" s="51" t="str">
        <f>IFERROR(__xludf.DUMMYFUNCTION("""COMPUTED_VALUE"""),"")</f>
        <v/>
      </c>
      <c r="K164" s="51"/>
      <c r="L164" s="51" t="s">
        <v>257</v>
      </c>
      <c r="M164" s="51"/>
      <c r="N164" s="51"/>
      <c r="O164" s="51"/>
      <c r="P164" s="51"/>
      <c r="Q164" s="51"/>
      <c r="R164" s="51"/>
      <c r="S164" s="51"/>
      <c r="T164" s="51"/>
    </row>
    <row r="165">
      <c r="A165" s="51"/>
      <c r="B165" s="51"/>
      <c r="C165" s="56"/>
      <c r="D165" s="51"/>
      <c r="E165" s="51"/>
      <c r="F165" s="51"/>
      <c r="G165" s="51" t="str">
        <f>IFERROR(__xludf.DUMMYFUNCTION("""COMPUTED_VALUE"""),"#VALUE!")</f>
        <v>#VALUE!</v>
      </c>
      <c r="H165" s="51" t="str">
        <f>IFERROR(__xludf.DUMMYFUNCTION("""COMPUTED_VALUE"""),"")</f>
        <v/>
      </c>
      <c r="I165" s="51" t="str">
        <f>IFERROR(__xludf.DUMMYFUNCTION("""COMPUTED_VALUE"""),"#VALUE!")</f>
        <v>#VALUE!</v>
      </c>
      <c r="J165" s="51" t="str">
        <f>IFERROR(__xludf.DUMMYFUNCTION("""COMPUTED_VALUE"""),"")</f>
        <v/>
      </c>
      <c r="K165" s="51"/>
      <c r="L165" s="51" t="s">
        <v>257</v>
      </c>
      <c r="M165" s="51"/>
      <c r="N165" s="51"/>
      <c r="O165" s="51"/>
      <c r="P165" s="51"/>
      <c r="Q165" s="51"/>
      <c r="R165" s="51"/>
      <c r="S165" s="51"/>
      <c r="T165" s="51"/>
    </row>
    <row r="166">
      <c r="A166" s="51"/>
      <c r="B166" s="51"/>
      <c r="C166" s="56"/>
      <c r="D166" s="51"/>
      <c r="E166" s="51"/>
      <c r="F166" s="51"/>
      <c r="G166" s="51" t="str">
        <f>IFERROR(__xludf.DUMMYFUNCTION("""COMPUTED_VALUE"""),"#VALUE!")</f>
        <v>#VALUE!</v>
      </c>
      <c r="H166" s="51" t="str">
        <f>IFERROR(__xludf.DUMMYFUNCTION("""COMPUTED_VALUE"""),"")</f>
        <v/>
      </c>
      <c r="I166" s="51" t="str">
        <f>IFERROR(__xludf.DUMMYFUNCTION("""COMPUTED_VALUE"""),"#VALUE!")</f>
        <v>#VALUE!</v>
      </c>
      <c r="J166" s="51" t="str">
        <f>IFERROR(__xludf.DUMMYFUNCTION("""COMPUTED_VALUE"""),"")</f>
        <v/>
      </c>
      <c r="K166" s="51"/>
      <c r="L166" s="51" t="s">
        <v>257</v>
      </c>
      <c r="M166" s="51"/>
      <c r="N166" s="51"/>
      <c r="O166" s="51"/>
      <c r="P166" s="51"/>
      <c r="Q166" s="51"/>
      <c r="R166" s="51"/>
      <c r="S166" s="51"/>
      <c r="T166" s="51"/>
    </row>
    <row r="167">
      <c r="A167" s="51"/>
      <c r="B167" s="51"/>
      <c r="C167" s="56"/>
      <c r="D167" s="51"/>
      <c r="E167" s="51"/>
      <c r="F167" s="51"/>
      <c r="G167" s="51" t="str">
        <f>IFERROR(__xludf.DUMMYFUNCTION("""COMPUTED_VALUE"""),"#VALUE!")</f>
        <v>#VALUE!</v>
      </c>
      <c r="H167" s="51" t="str">
        <f>IFERROR(__xludf.DUMMYFUNCTION("""COMPUTED_VALUE"""),"")</f>
        <v/>
      </c>
      <c r="I167" s="51" t="str">
        <f>IFERROR(__xludf.DUMMYFUNCTION("""COMPUTED_VALUE"""),"#VALUE!")</f>
        <v>#VALUE!</v>
      </c>
      <c r="J167" s="51" t="str">
        <f>IFERROR(__xludf.DUMMYFUNCTION("""COMPUTED_VALUE"""),"")</f>
        <v/>
      </c>
      <c r="K167" s="51"/>
      <c r="L167" s="51" t="s">
        <v>257</v>
      </c>
      <c r="M167" s="51"/>
      <c r="N167" s="51"/>
      <c r="O167" s="51"/>
      <c r="P167" s="51"/>
      <c r="Q167" s="51"/>
      <c r="R167" s="51"/>
      <c r="S167" s="51"/>
      <c r="T167" s="51"/>
    </row>
    <row r="168">
      <c r="A168" s="51"/>
      <c r="B168" s="51"/>
      <c r="C168" s="56"/>
      <c r="D168" s="51"/>
      <c r="E168" s="51"/>
      <c r="F168" s="51"/>
      <c r="G168" s="51" t="str">
        <f>IFERROR(__xludf.DUMMYFUNCTION("""COMPUTED_VALUE"""),"#VALUE!")</f>
        <v>#VALUE!</v>
      </c>
      <c r="H168" s="51" t="str">
        <f>IFERROR(__xludf.DUMMYFUNCTION("""COMPUTED_VALUE"""),"")</f>
        <v/>
      </c>
      <c r="I168" s="51" t="str">
        <f>IFERROR(__xludf.DUMMYFUNCTION("""COMPUTED_VALUE"""),"#VALUE!")</f>
        <v>#VALUE!</v>
      </c>
      <c r="J168" s="51" t="str">
        <f>IFERROR(__xludf.DUMMYFUNCTION("""COMPUTED_VALUE"""),"")</f>
        <v/>
      </c>
      <c r="K168" s="51"/>
      <c r="L168" s="51" t="s">
        <v>257</v>
      </c>
      <c r="M168" s="51"/>
      <c r="N168" s="51"/>
      <c r="O168" s="51"/>
      <c r="P168" s="51"/>
      <c r="Q168" s="51"/>
      <c r="R168" s="51"/>
      <c r="S168" s="51"/>
      <c r="T168" s="51"/>
    </row>
    <row r="169">
      <c r="A169" s="51"/>
      <c r="B169" s="51"/>
      <c r="C169" s="56"/>
      <c r="D169" s="51"/>
      <c r="E169" s="51"/>
      <c r="F169" s="51"/>
      <c r="G169" s="51" t="str">
        <f>IFERROR(__xludf.DUMMYFUNCTION("""COMPUTED_VALUE"""),"#VALUE!")</f>
        <v>#VALUE!</v>
      </c>
      <c r="H169" s="51" t="str">
        <f>IFERROR(__xludf.DUMMYFUNCTION("""COMPUTED_VALUE"""),"")</f>
        <v/>
      </c>
      <c r="I169" s="51" t="str">
        <f>IFERROR(__xludf.DUMMYFUNCTION("""COMPUTED_VALUE"""),"#VALUE!")</f>
        <v>#VALUE!</v>
      </c>
      <c r="J169" s="51" t="str">
        <f>IFERROR(__xludf.DUMMYFUNCTION("""COMPUTED_VALUE"""),"")</f>
        <v/>
      </c>
      <c r="K169" s="51"/>
      <c r="L169" s="51" t="s">
        <v>257</v>
      </c>
      <c r="M169" s="51"/>
      <c r="N169" s="51"/>
      <c r="O169" s="51"/>
      <c r="P169" s="51"/>
      <c r="Q169" s="51"/>
      <c r="R169" s="51"/>
      <c r="S169" s="51"/>
      <c r="T169" s="51"/>
    </row>
    <row r="170">
      <c r="A170" s="51"/>
      <c r="B170" s="51"/>
      <c r="C170" s="56"/>
      <c r="D170" s="51"/>
      <c r="E170" s="51"/>
      <c r="F170" s="51"/>
      <c r="G170" s="51" t="str">
        <f>IFERROR(__xludf.DUMMYFUNCTION("""COMPUTED_VALUE"""),"#VALUE!")</f>
        <v>#VALUE!</v>
      </c>
      <c r="H170" s="51" t="str">
        <f>IFERROR(__xludf.DUMMYFUNCTION("""COMPUTED_VALUE"""),"")</f>
        <v/>
      </c>
      <c r="I170" s="51" t="str">
        <f>IFERROR(__xludf.DUMMYFUNCTION("""COMPUTED_VALUE"""),"#VALUE!")</f>
        <v>#VALUE!</v>
      </c>
      <c r="J170" s="51" t="str">
        <f>IFERROR(__xludf.DUMMYFUNCTION("""COMPUTED_VALUE"""),"")</f>
        <v/>
      </c>
      <c r="K170" s="51"/>
      <c r="L170" s="51" t="s">
        <v>257</v>
      </c>
      <c r="M170" s="51"/>
      <c r="N170" s="51"/>
      <c r="O170" s="51"/>
      <c r="P170" s="51"/>
      <c r="Q170" s="51"/>
      <c r="R170" s="51"/>
      <c r="S170" s="51"/>
      <c r="T170" s="51"/>
    </row>
    <row r="171">
      <c r="A171" s="51"/>
      <c r="B171" s="51"/>
      <c r="C171" s="56"/>
      <c r="D171" s="51"/>
      <c r="E171" s="51"/>
      <c r="F171" s="51"/>
      <c r="G171" s="51" t="str">
        <f>IFERROR(__xludf.DUMMYFUNCTION("""COMPUTED_VALUE"""),"#VALUE!")</f>
        <v>#VALUE!</v>
      </c>
      <c r="H171" s="51" t="str">
        <f>IFERROR(__xludf.DUMMYFUNCTION("""COMPUTED_VALUE"""),"")</f>
        <v/>
      </c>
      <c r="I171" s="51" t="str">
        <f>IFERROR(__xludf.DUMMYFUNCTION("""COMPUTED_VALUE"""),"#VALUE!")</f>
        <v>#VALUE!</v>
      </c>
      <c r="J171" s="51" t="str">
        <f>IFERROR(__xludf.DUMMYFUNCTION("""COMPUTED_VALUE"""),"")</f>
        <v/>
      </c>
      <c r="K171" s="51"/>
      <c r="L171" s="51" t="s">
        <v>257</v>
      </c>
      <c r="M171" s="51"/>
      <c r="N171" s="51"/>
      <c r="O171" s="51"/>
      <c r="P171" s="51"/>
      <c r="Q171" s="51"/>
      <c r="R171" s="51"/>
      <c r="S171" s="51"/>
      <c r="T171" s="51"/>
    </row>
    <row r="172">
      <c r="A172" s="51"/>
      <c r="B172" s="51"/>
      <c r="C172" s="56"/>
      <c r="D172" s="51"/>
      <c r="E172" s="51"/>
      <c r="F172" s="51"/>
      <c r="G172" s="51" t="str">
        <f>IFERROR(__xludf.DUMMYFUNCTION("""COMPUTED_VALUE"""),"#VALUE!")</f>
        <v>#VALUE!</v>
      </c>
      <c r="H172" s="51" t="str">
        <f>IFERROR(__xludf.DUMMYFUNCTION("""COMPUTED_VALUE"""),"")</f>
        <v/>
      </c>
      <c r="I172" s="51" t="str">
        <f>IFERROR(__xludf.DUMMYFUNCTION("""COMPUTED_VALUE"""),"#VALUE!")</f>
        <v>#VALUE!</v>
      </c>
      <c r="J172" s="51" t="str">
        <f>IFERROR(__xludf.DUMMYFUNCTION("""COMPUTED_VALUE"""),"")</f>
        <v/>
      </c>
      <c r="K172" s="51"/>
      <c r="L172" s="51" t="s">
        <v>257</v>
      </c>
      <c r="M172" s="51"/>
      <c r="N172" s="51"/>
      <c r="O172" s="51"/>
      <c r="P172" s="51"/>
      <c r="Q172" s="51"/>
      <c r="R172" s="51"/>
      <c r="S172" s="51"/>
      <c r="T172" s="51"/>
    </row>
    <row r="173">
      <c r="A173" s="51"/>
      <c r="B173" s="51"/>
      <c r="C173" s="56"/>
      <c r="D173" s="51"/>
      <c r="E173" s="51"/>
      <c r="F173" s="51"/>
      <c r="G173" s="51" t="str">
        <f>IFERROR(__xludf.DUMMYFUNCTION("""COMPUTED_VALUE"""),"#VALUE!")</f>
        <v>#VALUE!</v>
      </c>
      <c r="H173" s="51" t="str">
        <f>IFERROR(__xludf.DUMMYFUNCTION("""COMPUTED_VALUE"""),"")</f>
        <v/>
      </c>
      <c r="I173" s="51" t="str">
        <f>IFERROR(__xludf.DUMMYFUNCTION("""COMPUTED_VALUE"""),"#VALUE!")</f>
        <v>#VALUE!</v>
      </c>
      <c r="J173" s="51" t="str">
        <f>IFERROR(__xludf.DUMMYFUNCTION("""COMPUTED_VALUE"""),"")</f>
        <v/>
      </c>
      <c r="K173" s="51"/>
      <c r="L173" s="51" t="s">
        <v>257</v>
      </c>
      <c r="M173" s="51"/>
      <c r="N173" s="51"/>
      <c r="O173" s="51"/>
      <c r="P173" s="51"/>
      <c r="Q173" s="51"/>
      <c r="R173" s="51"/>
      <c r="S173" s="51"/>
      <c r="T173" s="51"/>
    </row>
    <row r="174">
      <c r="A174" s="51"/>
      <c r="B174" s="51"/>
      <c r="C174" s="56"/>
      <c r="D174" s="51"/>
      <c r="E174" s="51"/>
      <c r="F174" s="51"/>
      <c r="G174" s="51" t="str">
        <f>IFERROR(__xludf.DUMMYFUNCTION("""COMPUTED_VALUE"""),"#VALUE!")</f>
        <v>#VALUE!</v>
      </c>
      <c r="H174" s="51" t="str">
        <f>IFERROR(__xludf.DUMMYFUNCTION("""COMPUTED_VALUE"""),"")</f>
        <v/>
      </c>
      <c r="I174" s="51" t="str">
        <f>IFERROR(__xludf.DUMMYFUNCTION("""COMPUTED_VALUE"""),"#VALUE!")</f>
        <v>#VALUE!</v>
      </c>
      <c r="J174" s="51" t="str">
        <f>IFERROR(__xludf.DUMMYFUNCTION("""COMPUTED_VALUE"""),"")</f>
        <v/>
      </c>
      <c r="K174" s="51"/>
      <c r="L174" s="51" t="s">
        <v>257</v>
      </c>
      <c r="M174" s="51"/>
      <c r="N174" s="51"/>
      <c r="O174" s="51"/>
      <c r="P174" s="51"/>
      <c r="Q174" s="51"/>
      <c r="R174" s="51"/>
      <c r="S174" s="51"/>
      <c r="T174" s="51"/>
    </row>
    <row r="175">
      <c r="A175" s="51"/>
      <c r="B175" s="51"/>
      <c r="C175" s="56"/>
      <c r="D175" s="51"/>
      <c r="E175" s="51"/>
      <c r="F175" s="51"/>
      <c r="G175" s="51" t="str">
        <f>IFERROR(__xludf.DUMMYFUNCTION("""COMPUTED_VALUE"""),"#VALUE!")</f>
        <v>#VALUE!</v>
      </c>
      <c r="H175" s="51" t="str">
        <f>IFERROR(__xludf.DUMMYFUNCTION("""COMPUTED_VALUE"""),"")</f>
        <v/>
      </c>
      <c r="I175" s="51" t="str">
        <f>IFERROR(__xludf.DUMMYFUNCTION("""COMPUTED_VALUE"""),"#VALUE!")</f>
        <v>#VALUE!</v>
      </c>
      <c r="J175" s="51" t="str">
        <f>IFERROR(__xludf.DUMMYFUNCTION("""COMPUTED_VALUE"""),"")</f>
        <v/>
      </c>
      <c r="K175" s="51"/>
      <c r="L175" s="51" t="s">
        <v>257</v>
      </c>
      <c r="M175" s="51"/>
      <c r="N175" s="51"/>
      <c r="O175" s="51"/>
      <c r="P175" s="51"/>
      <c r="Q175" s="51"/>
      <c r="R175" s="51"/>
      <c r="S175" s="51"/>
      <c r="T175" s="51"/>
    </row>
    <row r="176">
      <c r="A176" s="51"/>
      <c r="B176" s="51"/>
      <c r="C176" s="56"/>
      <c r="D176" s="51"/>
      <c r="E176" s="51"/>
      <c r="F176" s="51"/>
      <c r="G176" s="51" t="str">
        <f>IFERROR(__xludf.DUMMYFUNCTION("""COMPUTED_VALUE"""),"#VALUE!")</f>
        <v>#VALUE!</v>
      </c>
      <c r="H176" s="51" t="str">
        <f>IFERROR(__xludf.DUMMYFUNCTION("""COMPUTED_VALUE"""),"")</f>
        <v/>
      </c>
      <c r="I176" s="51" t="str">
        <f>IFERROR(__xludf.DUMMYFUNCTION("""COMPUTED_VALUE"""),"#VALUE!")</f>
        <v>#VALUE!</v>
      </c>
      <c r="J176" s="51" t="str">
        <f>IFERROR(__xludf.DUMMYFUNCTION("""COMPUTED_VALUE"""),"")</f>
        <v/>
      </c>
      <c r="K176" s="51"/>
      <c r="L176" s="51" t="s">
        <v>257</v>
      </c>
      <c r="M176" s="51"/>
      <c r="N176" s="51"/>
      <c r="O176" s="51"/>
      <c r="P176" s="51"/>
      <c r="Q176" s="51"/>
      <c r="R176" s="51"/>
      <c r="S176" s="51"/>
      <c r="T176" s="51"/>
    </row>
    <row r="177">
      <c r="A177" s="51"/>
      <c r="B177" s="51"/>
      <c r="C177" s="56"/>
      <c r="D177" s="51"/>
      <c r="E177" s="51"/>
      <c r="F177" s="51"/>
      <c r="G177" s="51" t="str">
        <f>IFERROR(__xludf.DUMMYFUNCTION("""COMPUTED_VALUE"""),"#VALUE!")</f>
        <v>#VALUE!</v>
      </c>
      <c r="H177" s="51" t="str">
        <f>IFERROR(__xludf.DUMMYFUNCTION("""COMPUTED_VALUE"""),"")</f>
        <v/>
      </c>
      <c r="I177" s="51" t="str">
        <f>IFERROR(__xludf.DUMMYFUNCTION("""COMPUTED_VALUE"""),"#VALUE!")</f>
        <v>#VALUE!</v>
      </c>
      <c r="J177" s="51" t="str">
        <f>IFERROR(__xludf.DUMMYFUNCTION("""COMPUTED_VALUE"""),"")</f>
        <v/>
      </c>
      <c r="K177" s="51"/>
      <c r="L177" s="51" t="s">
        <v>257</v>
      </c>
      <c r="M177" s="51"/>
      <c r="N177" s="51"/>
      <c r="O177" s="51"/>
      <c r="P177" s="51"/>
      <c r="Q177" s="51"/>
      <c r="R177" s="51"/>
      <c r="S177" s="51"/>
      <c r="T177" s="51"/>
    </row>
    <row r="178">
      <c r="A178" s="51"/>
      <c r="B178" s="51"/>
      <c r="C178" s="56"/>
      <c r="D178" s="51"/>
      <c r="E178" s="51"/>
      <c r="F178" s="51"/>
      <c r="G178" s="51" t="str">
        <f>IFERROR(__xludf.DUMMYFUNCTION("""COMPUTED_VALUE"""),"#VALUE!")</f>
        <v>#VALUE!</v>
      </c>
      <c r="H178" s="51" t="str">
        <f>IFERROR(__xludf.DUMMYFUNCTION("""COMPUTED_VALUE"""),"")</f>
        <v/>
      </c>
      <c r="I178" s="51" t="str">
        <f>IFERROR(__xludf.DUMMYFUNCTION("""COMPUTED_VALUE"""),"#VALUE!")</f>
        <v>#VALUE!</v>
      </c>
      <c r="J178" s="51" t="str">
        <f>IFERROR(__xludf.DUMMYFUNCTION("""COMPUTED_VALUE"""),"")</f>
        <v/>
      </c>
      <c r="K178" s="51"/>
      <c r="L178" s="51" t="s">
        <v>257</v>
      </c>
      <c r="M178" s="51"/>
      <c r="N178" s="51"/>
      <c r="O178" s="51"/>
      <c r="P178" s="51"/>
      <c r="Q178" s="51"/>
      <c r="R178" s="51"/>
      <c r="S178" s="51"/>
      <c r="T178" s="51"/>
    </row>
    <row r="179">
      <c r="A179" s="51"/>
      <c r="B179" s="51"/>
      <c r="C179" s="56"/>
      <c r="D179" s="51"/>
      <c r="E179" s="51"/>
      <c r="F179" s="51"/>
      <c r="G179" s="51" t="str">
        <f>IFERROR(__xludf.DUMMYFUNCTION("""COMPUTED_VALUE"""),"#VALUE!")</f>
        <v>#VALUE!</v>
      </c>
      <c r="H179" s="51" t="str">
        <f>IFERROR(__xludf.DUMMYFUNCTION("""COMPUTED_VALUE"""),"")</f>
        <v/>
      </c>
      <c r="I179" s="51" t="str">
        <f>IFERROR(__xludf.DUMMYFUNCTION("""COMPUTED_VALUE"""),"#VALUE!")</f>
        <v>#VALUE!</v>
      </c>
      <c r="J179" s="51" t="str">
        <f>IFERROR(__xludf.DUMMYFUNCTION("""COMPUTED_VALUE"""),"")</f>
        <v/>
      </c>
      <c r="K179" s="51"/>
      <c r="L179" s="51" t="s">
        <v>257</v>
      </c>
      <c r="M179" s="51"/>
      <c r="N179" s="51"/>
      <c r="O179" s="51"/>
      <c r="P179" s="51"/>
      <c r="Q179" s="51"/>
      <c r="R179" s="51"/>
      <c r="S179" s="51"/>
      <c r="T179" s="51"/>
    </row>
    <row r="180">
      <c r="A180" s="51"/>
      <c r="B180" s="51"/>
      <c r="C180" s="56"/>
      <c r="D180" s="51"/>
      <c r="E180" s="51"/>
      <c r="F180" s="51"/>
      <c r="G180" s="51" t="str">
        <f>IFERROR(__xludf.DUMMYFUNCTION("""COMPUTED_VALUE"""),"#VALUE!")</f>
        <v>#VALUE!</v>
      </c>
      <c r="H180" s="51" t="str">
        <f>IFERROR(__xludf.DUMMYFUNCTION("""COMPUTED_VALUE"""),"")</f>
        <v/>
      </c>
      <c r="I180" s="51" t="str">
        <f>IFERROR(__xludf.DUMMYFUNCTION("""COMPUTED_VALUE"""),"#VALUE!")</f>
        <v>#VALUE!</v>
      </c>
      <c r="J180" s="51" t="str">
        <f>IFERROR(__xludf.DUMMYFUNCTION("""COMPUTED_VALUE"""),"")</f>
        <v/>
      </c>
      <c r="K180" s="51"/>
      <c r="L180" s="51" t="s">
        <v>257</v>
      </c>
      <c r="M180" s="51"/>
      <c r="N180" s="51"/>
      <c r="O180" s="51"/>
      <c r="P180" s="51"/>
      <c r="Q180" s="51"/>
      <c r="R180" s="51"/>
      <c r="S180" s="51"/>
      <c r="T180" s="51"/>
    </row>
    <row r="181">
      <c r="A181" s="51"/>
      <c r="B181" s="51"/>
      <c r="C181" s="56"/>
      <c r="D181" s="51"/>
      <c r="E181" s="51"/>
      <c r="F181" s="51"/>
      <c r="G181" s="51" t="str">
        <f>IFERROR(__xludf.DUMMYFUNCTION("""COMPUTED_VALUE"""),"#VALUE!")</f>
        <v>#VALUE!</v>
      </c>
      <c r="H181" s="51" t="str">
        <f>IFERROR(__xludf.DUMMYFUNCTION("""COMPUTED_VALUE"""),"")</f>
        <v/>
      </c>
      <c r="I181" s="51" t="str">
        <f>IFERROR(__xludf.DUMMYFUNCTION("""COMPUTED_VALUE"""),"#VALUE!")</f>
        <v>#VALUE!</v>
      </c>
      <c r="J181" s="51" t="str">
        <f>IFERROR(__xludf.DUMMYFUNCTION("""COMPUTED_VALUE"""),"")</f>
        <v/>
      </c>
      <c r="K181" s="51"/>
      <c r="L181" s="51" t="s">
        <v>257</v>
      </c>
      <c r="M181" s="51"/>
      <c r="N181" s="51"/>
      <c r="O181" s="51"/>
      <c r="P181" s="51"/>
      <c r="Q181" s="51"/>
      <c r="R181" s="51"/>
      <c r="S181" s="51"/>
      <c r="T181" s="51"/>
    </row>
    <row r="182">
      <c r="A182" s="51"/>
      <c r="B182" s="51"/>
      <c r="C182" s="56"/>
      <c r="D182" s="51"/>
      <c r="E182" s="51"/>
      <c r="F182" s="51"/>
      <c r="G182" s="51" t="str">
        <f>IFERROR(__xludf.DUMMYFUNCTION("""COMPUTED_VALUE"""),"#VALUE!")</f>
        <v>#VALUE!</v>
      </c>
      <c r="H182" s="51" t="str">
        <f>IFERROR(__xludf.DUMMYFUNCTION("""COMPUTED_VALUE"""),"")</f>
        <v/>
      </c>
      <c r="I182" s="51" t="str">
        <f>IFERROR(__xludf.DUMMYFUNCTION("""COMPUTED_VALUE"""),"#VALUE!")</f>
        <v>#VALUE!</v>
      </c>
      <c r="J182" s="51" t="str">
        <f>IFERROR(__xludf.DUMMYFUNCTION("""COMPUTED_VALUE"""),"")</f>
        <v/>
      </c>
      <c r="K182" s="51"/>
      <c r="L182" s="51" t="s">
        <v>257</v>
      </c>
      <c r="M182" s="51"/>
      <c r="N182" s="51"/>
      <c r="O182" s="51"/>
      <c r="P182" s="51"/>
      <c r="Q182" s="51"/>
      <c r="R182" s="51"/>
      <c r="S182" s="51"/>
      <c r="T182" s="51"/>
    </row>
    <row r="183">
      <c r="A183" s="51"/>
      <c r="B183" s="51"/>
      <c r="C183" s="56"/>
      <c r="D183" s="51"/>
      <c r="E183" s="51"/>
      <c r="F183" s="51"/>
      <c r="G183" s="51" t="str">
        <f>IFERROR(__xludf.DUMMYFUNCTION("""COMPUTED_VALUE"""),"#VALUE!")</f>
        <v>#VALUE!</v>
      </c>
      <c r="H183" s="51" t="str">
        <f>IFERROR(__xludf.DUMMYFUNCTION("""COMPUTED_VALUE"""),"")</f>
        <v/>
      </c>
      <c r="I183" s="51" t="str">
        <f>IFERROR(__xludf.DUMMYFUNCTION("""COMPUTED_VALUE"""),"#VALUE!")</f>
        <v>#VALUE!</v>
      </c>
      <c r="J183" s="51" t="str">
        <f>IFERROR(__xludf.DUMMYFUNCTION("""COMPUTED_VALUE"""),"")</f>
        <v/>
      </c>
      <c r="K183" s="51"/>
      <c r="L183" s="51" t="s">
        <v>257</v>
      </c>
      <c r="M183" s="51"/>
      <c r="N183" s="51"/>
      <c r="O183" s="51"/>
      <c r="P183" s="51"/>
      <c r="Q183" s="51"/>
      <c r="R183" s="51"/>
      <c r="S183" s="51"/>
      <c r="T183" s="51"/>
    </row>
    <row r="184">
      <c r="A184" s="51"/>
      <c r="B184" s="51"/>
      <c r="C184" s="56"/>
      <c r="D184" s="51"/>
      <c r="E184" s="51"/>
      <c r="F184" s="51"/>
      <c r="G184" s="51" t="str">
        <f>IFERROR(__xludf.DUMMYFUNCTION("""COMPUTED_VALUE"""),"#VALUE!")</f>
        <v>#VALUE!</v>
      </c>
      <c r="H184" s="51" t="str">
        <f>IFERROR(__xludf.DUMMYFUNCTION("""COMPUTED_VALUE"""),"")</f>
        <v/>
      </c>
      <c r="I184" s="51" t="str">
        <f>IFERROR(__xludf.DUMMYFUNCTION("""COMPUTED_VALUE"""),"#VALUE!")</f>
        <v>#VALUE!</v>
      </c>
      <c r="J184" s="51" t="str">
        <f>IFERROR(__xludf.DUMMYFUNCTION("""COMPUTED_VALUE"""),"")</f>
        <v/>
      </c>
      <c r="K184" s="51"/>
      <c r="L184" s="51" t="s">
        <v>257</v>
      </c>
      <c r="M184" s="51"/>
      <c r="N184" s="51"/>
      <c r="O184" s="51"/>
      <c r="P184" s="51"/>
      <c r="Q184" s="51"/>
      <c r="R184" s="51"/>
      <c r="S184" s="51"/>
      <c r="T184" s="51"/>
    </row>
    <row r="185">
      <c r="A185" s="51"/>
      <c r="B185" s="51"/>
      <c r="C185" s="56"/>
      <c r="D185" s="51"/>
      <c r="E185" s="51"/>
      <c r="F185" s="51"/>
      <c r="G185" s="51" t="str">
        <f>IFERROR(__xludf.DUMMYFUNCTION("""COMPUTED_VALUE"""),"#VALUE!")</f>
        <v>#VALUE!</v>
      </c>
      <c r="H185" s="51" t="str">
        <f>IFERROR(__xludf.DUMMYFUNCTION("""COMPUTED_VALUE"""),"")</f>
        <v/>
      </c>
      <c r="I185" s="51" t="str">
        <f>IFERROR(__xludf.DUMMYFUNCTION("""COMPUTED_VALUE"""),"#VALUE!")</f>
        <v>#VALUE!</v>
      </c>
      <c r="J185" s="51" t="str">
        <f>IFERROR(__xludf.DUMMYFUNCTION("""COMPUTED_VALUE"""),"")</f>
        <v/>
      </c>
      <c r="K185" s="51"/>
      <c r="L185" s="51" t="s">
        <v>257</v>
      </c>
      <c r="M185" s="51"/>
      <c r="N185" s="51"/>
      <c r="O185" s="51"/>
      <c r="P185" s="51"/>
      <c r="Q185" s="51"/>
      <c r="R185" s="51"/>
      <c r="S185" s="51"/>
      <c r="T185" s="51"/>
    </row>
    <row r="186">
      <c r="A186" s="51"/>
      <c r="B186" s="51"/>
      <c r="C186" s="56"/>
      <c r="D186" s="51"/>
      <c r="E186" s="51"/>
      <c r="F186" s="51"/>
      <c r="G186" s="51" t="str">
        <f>IFERROR(__xludf.DUMMYFUNCTION("""COMPUTED_VALUE"""),"#VALUE!")</f>
        <v>#VALUE!</v>
      </c>
      <c r="H186" s="51" t="str">
        <f>IFERROR(__xludf.DUMMYFUNCTION("""COMPUTED_VALUE"""),"")</f>
        <v/>
      </c>
      <c r="I186" s="51" t="str">
        <f>IFERROR(__xludf.DUMMYFUNCTION("""COMPUTED_VALUE"""),"#VALUE!")</f>
        <v>#VALUE!</v>
      </c>
      <c r="J186" s="51" t="str">
        <f>IFERROR(__xludf.DUMMYFUNCTION("""COMPUTED_VALUE"""),"")</f>
        <v/>
      </c>
      <c r="K186" s="51"/>
      <c r="L186" s="51" t="s">
        <v>257</v>
      </c>
      <c r="M186" s="51"/>
      <c r="N186" s="51"/>
      <c r="O186" s="51"/>
      <c r="P186" s="51"/>
      <c r="Q186" s="51"/>
      <c r="R186" s="51"/>
      <c r="S186" s="51"/>
      <c r="T186" s="51"/>
    </row>
    <row r="187">
      <c r="A187" s="51"/>
      <c r="B187" s="51"/>
      <c r="C187" s="56"/>
      <c r="D187" s="51"/>
      <c r="E187" s="51"/>
      <c r="F187" s="51"/>
      <c r="G187" s="51" t="str">
        <f>IFERROR(__xludf.DUMMYFUNCTION("""COMPUTED_VALUE"""),"#VALUE!")</f>
        <v>#VALUE!</v>
      </c>
      <c r="H187" s="51" t="str">
        <f>IFERROR(__xludf.DUMMYFUNCTION("""COMPUTED_VALUE"""),"")</f>
        <v/>
      </c>
      <c r="I187" s="51" t="str">
        <f>IFERROR(__xludf.DUMMYFUNCTION("""COMPUTED_VALUE"""),"#VALUE!")</f>
        <v>#VALUE!</v>
      </c>
      <c r="J187" s="51" t="str">
        <f>IFERROR(__xludf.DUMMYFUNCTION("""COMPUTED_VALUE"""),"")</f>
        <v/>
      </c>
      <c r="K187" s="51"/>
      <c r="L187" s="51" t="s">
        <v>257</v>
      </c>
      <c r="M187" s="51"/>
      <c r="N187" s="51"/>
      <c r="O187" s="51"/>
      <c r="P187" s="51"/>
      <c r="Q187" s="51"/>
      <c r="R187" s="51"/>
      <c r="S187" s="51"/>
      <c r="T187" s="51"/>
    </row>
    <row r="188">
      <c r="A188" s="51"/>
      <c r="B188" s="51"/>
      <c r="C188" s="56"/>
      <c r="D188" s="51"/>
      <c r="E188" s="51"/>
      <c r="F188" s="51"/>
      <c r="G188" s="51" t="str">
        <f>IFERROR(__xludf.DUMMYFUNCTION("""COMPUTED_VALUE"""),"#VALUE!")</f>
        <v>#VALUE!</v>
      </c>
      <c r="H188" s="51" t="str">
        <f>IFERROR(__xludf.DUMMYFUNCTION("""COMPUTED_VALUE"""),"")</f>
        <v/>
      </c>
      <c r="I188" s="51" t="str">
        <f>IFERROR(__xludf.DUMMYFUNCTION("""COMPUTED_VALUE"""),"#VALUE!")</f>
        <v>#VALUE!</v>
      </c>
      <c r="J188" s="51" t="str">
        <f>IFERROR(__xludf.DUMMYFUNCTION("""COMPUTED_VALUE"""),"")</f>
        <v/>
      </c>
      <c r="K188" s="51"/>
      <c r="L188" s="51" t="s">
        <v>257</v>
      </c>
      <c r="M188" s="51"/>
      <c r="N188" s="51"/>
      <c r="O188" s="51"/>
      <c r="P188" s="51"/>
      <c r="Q188" s="51"/>
      <c r="R188" s="51"/>
      <c r="S188" s="51"/>
      <c r="T188" s="51"/>
    </row>
    <row r="189">
      <c r="A189" s="51"/>
      <c r="B189" s="51"/>
      <c r="C189" s="56"/>
      <c r="D189" s="51"/>
      <c r="E189" s="51"/>
      <c r="F189" s="51"/>
      <c r="G189" s="51" t="str">
        <f>IFERROR(__xludf.DUMMYFUNCTION("""COMPUTED_VALUE"""),"#VALUE!")</f>
        <v>#VALUE!</v>
      </c>
      <c r="H189" s="51" t="str">
        <f>IFERROR(__xludf.DUMMYFUNCTION("""COMPUTED_VALUE"""),"")</f>
        <v/>
      </c>
      <c r="I189" s="51" t="str">
        <f>IFERROR(__xludf.DUMMYFUNCTION("""COMPUTED_VALUE"""),"#VALUE!")</f>
        <v>#VALUE!</v>
      </c>
      <c r="J189" s="51" t="str">
        <f>IFERROR(__xludf.DUMMYFUNCTION("""COMPUTED_VALUE"""),"")</f>
        <v/>
      </c>
      <c r="K189" s="51"/>
      <c r="L189" s="51" t="s">
        <v>257</v>
      </c>
      <c r="M189" s="51"/>
      <c r="N189" s="51"/>
      <c r="O189" s="51"/>
      <c r="P189" s="51"/>
      <c r="Q189" s="51"/>
      <c r="R189" s="51"/>
      <c r="S189" s="51"/>
      <c r="T189" s="51"/>
    </row>
    <row r="190">
      <c r="A190" s="51"/>
      <c r="B190" s="51"/>
      <c r="C190" s="56"/>
      <c r="D190" s="51"/>
      <c r="E190" s="51"/>
      <c r="F190" s="51"/>
      <c r="G190" s="51" t="str">
        <f>IFERROR(__xludf.DUMMYFUNCTION("""COMPUTED_VALUE"""),"#VALUE!")</f>
        <v>#VALUE!</v>
      </c>
      <c r="H190" s="51" t="str">
        <f>IFERROR(__xludf.DUMMYFUNCTION("""COMPUTED_VALUE"""),"")</f>
        <v/>
      </c>
      <c r="I190" s="51" t="str">
        <f>IFERROR(__xludf.DUMMYFUNCTION("""COMPUTED_VALUE"""),"#VALUE!")</f>
        <v>#VALUE!</v>
      </c>
      <c r="J190" s="51" t="str">
        <f>IFERROR(__xludf.DUMMYFUNCTION("""COMPUTED_VALUE"""),"")</f>
        <v/>
      </c>
      <c r="K190" s="51"/>
      <c r="L190" s="51" t="s">
        <v>257</v>
      </c>
      <c r="M190" s="51"/>
      <c r="N190" s="51"/>
      <c r="O190" s="51"/>
      <c r="P190" s="51"/>
      <c r="Q190" s="51"/>
      <c r="R190" s="51"/>
      <c r="S190" s="51"/>
      <c r="T190" s="51"/>
    </row>
    <row r="191">
      <c r="A191" s="51"/>
      <c r="B191" s="51"/>
      <c r="C191" s="56"/>
      <c r="D191" s="51"/>
      <c r="E191" s="51"/>
      <c r="F191" s="51"/>
      <c r="G191" s="51" t="str">
        <f>IFERROR(__xludf.DUMMYFUNCTION("""COMPUTED_VALUE"""),"#VALUE!")</f>
        <v>#VALUE!</v>
      </c>
      <c r="H191" s="51" t="str">
        <f>IFERROR(__xludf.DUMMYFUNCTION("""COMPUTED_VALUE"""),"")</f>
        <v/>
      </c>
      <c r="I191" s="51" t="str">
        <f>IFERROR(__xludf.DUMMYFUNCTION("""COMPUTED_VALUE"""),"#VALUE!")</f>
        <v>#VALUE!</v>
      </c>
      <c r="J191" s="51" t="str">
        <f>IFERROR(__xludf.DUMMYFUNCTION("""COMPUTED_VALUE"""),"")</f>
        <v/>
      </c>
      <c r="K191" s="51"/>
      <c r="L191" s="51" t="s">
        <v>257</v>
      </c>
      <c r="M191" s="51"/>
      <c r="N191" s="51"/>
      <c r="O191" s="51"/>
      <c r="P191" s="51"/>
      <c r="Q191" s="51"/>
      <c r="R191" s="51"/>
      <c r="S191" s="51"/>
      <c r="T191" s="51"/>
    </row>
    <row r="192">
      <c r="A192" s="51"/>
      <c r="B192" s="51"/>
      <c r="C192" s="56"/>
      <c r="D192" s="51"/>
      <c r="E192" s="51"/>
      <c r="F192" s="51"/>
      <c r="G192" s="51" t="str">
        <f>IFERROR(__xludf.DUMMYFUNCTION("""COMPUTED_VALUE"""),"#VALUE!")</f>
        <v>#VALUE!</v>
      </c>
      <c r="H192" s="51" t="str">
        <f>IFERROR(__xludf.DUMMYFUNCTION("""COMPUTED_VALUE"""),"")</f>
        <v/>
      </c>
      <c r="I192" s="51" t="str">
        <f>IFERROR(__xludf.DUMMYFUNCTION("""COMPUTED_VALUE"""),"#VALUE!")</f>
        <v>#VALUE!</v>
      </c>
      <c r="J192" s="51" t="str">
        <f>IFERROR(__xludf.DUMMYFUNCTION("""COMPUTED_VALUE"""),"")</f>
        <v/>
      </c>
      <c r="K192" s="51"/>
      <c r="L192" s="51" t="s">
        <v>257</v>
      </c>
      <c r="M192" s="51"/>
      <c r="N192" s="51"/>
      <c r="O192" s="51"/>
      <c r="P192" s="51"/>
      <c r="Q192" s="51"/>
      <c r="R192" s="51"/>
      <c r="S192" s="51"/>
      <c r="T192" s="51"/>
    </row>
    <row r="193">
      <c r="A193" s="51"/>
      <c r="B193" s="51"/>
      <c r="C193" s="56"/>
      <c r="D193" s="51"/>
      <c r="E193" s="51"/>
      <c r="F193" s="51"/>
      <c r="G193" s="51" t="str">
        <f>IFERROR(__xludf.DUMMYFUNCTION("""COMPUTED_VALUE"""),"#VALUE!")</f>
        <v>#VALUE!</v>
      </c>
      <c r="H193" s="51" t="str">
        <f>IFERROR(__xludf.DUMMYFUNCTION("""COMPUTED_VALUE"""),"")</f>
        <v/>
      </c>
      <c r="I193" s="51" t="str">
        <f>IFERROR(__xludf.DUMMYFUNCTION("""COMPUTED_VALUE"""),"#VALUE!")</f>
        <v>#VALUE!</v>
      </c>
      <c r="J193" s="51" t="str">
        <f>IFERROR(__xludf.DUMMYFUNCTION("""COMPUTED_VALUE"""),"")</f>
        <v/>
      </c>
      <c r="K193" s="51"/>
      <c r="L193" s="51" t="s">
        <v>257</v>
      </c>
      <c r="M193" s="51"/>
      <c r="N193" s="51"/>
      <c r="O193" s="51"/>
      <c r="P193" s="51"/>
      <c r="Q193" s="51"/>
      <c r="R193" s="51"/>
      <c r="S193" s="51"/>
      <c r="T193" s="51"/>
    </row>
    <row r="194">
      <c r="A194" s="51"/>
      <c r="B194" s="51"/>
      <c r="C194" s="56"/>
      <c r="D194" s="51"/>
      <c r="E194" s="51"/>
      <c r="F194" s="51"/>
      <c r="G194" s="51" t="str">
        <f>IFERROR(__xludf.DUMMYFUNCTION("""COMPUTED_VALUE"""),"#VALUE!")</f>
        <v>#VALUE!</v>
      </c>
      <c r="H194" s="51" t="str">
        <f>IFERROR(__xludf.DUMMYFUNCTION("""COMPUTED_VALUE"""),"")</f>
        <v/>
      </c>
      <c r="I194" s="51" t="str">
        <f>IFERROR(__xludf.DUMMYFUNCTION("""COMPUTED_VALUE"""),"#VALUE!")</f>
        <v>#VALUE!</v>
      </c>
      <c r="J194" s="51" t="str">
        <f>IFERROR(__xludf.DUMMYFUNCTION("""COMPUTED_VALUE"""),"")</f>
        <v/>
      </c>
      <c r="K194" s="51"/>
      <c r="L194" s="51" t="s">
        <v>257</v>
      </c>
      <c r="M194" s="51"/>
      <c r="N194" s="51"/>
      <c r="O194" s="51"/>
      <c r="P194" s="51"/>
      <c r="Q194" s="51"/>
      <c r="R194" s="51"/>
      <c r="S194" s="51"/>
      <c r="T194" s="51"/>
    </row>
    <row r="195">
      <c r="A195" s="51"/>
      <c r="B195" s="51"/>
      <c r="C195" s="56"/>
      <c r="D195" s="51"/>
      <c r="E195" s="51"/>
      <c r="F195" s="51"/>
      <c r="G195" s="51" t="str">
        <f>IFERROR(__xludf.DUMMYFUNCTION("""COMPUTED_VALUE"""),"#VALUE!")</f>
        <v>#VALUE!</v>
      </c>
      <c r="H195" s="51" t="str">
        <f>IFERROR(__xludf.DUMMYFUNCTION("""COMPUTED_VALUE"""),"")</f>
        <v/>
      </c>
      <c r="I195" s="51" t="str">
        <f>IFERROR(__xludf.DUMMYFUNCTION("""COMPUTED_VALUE"""),"#VALUE!")</f>
        <v>#VALUE!</v>
      </c>
      <c r="J195" s="51" t="str">
        <f>IFERROR(__xludf.DUMMYFUNCTION("""COMPUTED_VALUE"""),"")</f>
        <v/>
      </c>
      <c r="K195" s="51"/>
      <c r="L195" s="51" t="s">
        <v>257</v>
      </c>
      <c r="M195" s="51"/>
      <c r="N195" s="51"/>
      <c r="O195" s="51"/>
      <c r="P195" s="51"/>
      <c r="Q195" s="51"/>
      <c r="R195" s="51"/>
      <c r="S195" s="51"/>
      <c r="T195" s="51"/>
    </row>
    <row r="196">
      <c r="A196" s="51"/>
      <c r="B196" s="51"/>
      <c r="C196" s="56"/>
      <c r="D196" s="51"/>
      <c r="E196" s="51"/>
      <c r="F196" s="51"/>
      <c r="G196" s="51" t="str">
        <f>IFERROR(__xludf.DUMMYFUNCTION("""COMPUTED_VALUE"""),"#VALUE!")</f>
        <v>#VALUE!</v>
      </c>
      <c r="H196" s="51" t="str">
        <f>IFERROR(__xludf.DUMMYFUNCTION("""COMPUTED_VALUE"""),"")</f>
        <v/>
      </c>
      <c r="I196" s="51" t="str">
        <f>IFERROR(__xludf.DUMMYFUNCTION("""COMPUTED_VALUE"""),"#VALUE!")</f>
        <v>#VALUE!</v>
      </c>
      <c r="J196" s="51" t="str">
        <f>IFERROR(__xludf.DUMMYFUNCTION("""COMPUTED_VALUE"""),"")</f>
        <v/>
      </c>
      <c r="K196" s="51"/>
      <c r="L196" s="51" t="s">
        <v>257</v>
      </c>
      <c r="M196" s="51"/>
      <c r="N196" s="51"/>
      <c r="O196" s="51"/>
      <c r="P196" s="51"/>
      <c r="Q196" s="51"/>
      <c r="R196" s="51"/>
      <c r="S196" s="51"/>
      <c r="T196" s="51"/>
    </row>
    <row r="197">
      <c r="A197" s="51"/>
      <c r="B197" s="51"/>
      <c r="C197" s="56"/>
      <c r="D197" s="51"/>
      <c r="E197" s="51"/>
      <c r="F197" s="51"/>
      <c r="G197" s="51" t="str">
        <f>IFERROR(__xludf.DUMMYFUNCTION("""COMPUTED_VALUE"""),"#VALUE!")</f>
        <v>#VALUE!</v>
      </c>
      <c r="H197" s="51" t="str">
        <f>IFERROR(__xludf.DUMMYFUNCTION("""COMPUTED_VALUE"""),"")</f>
        <v/>
      </c>
      <c r="I197" s="51" t="str">
        <f>IFERROR(__xludf.DUMMYFUNCTION("""COMPUTED_VALUE"""),"#VALUE!")</f>
        <v>#VALUE!</v>
      </c>
      <c r="J197" s="51" t="str">
        <f>IFERROR(__xludf.DUMMYFUNCTION("""COMPUTED_VALUE"""),"")</f>
        <v/>
      </c>
      <c r="K197" s="51"/>
      <c r="L197" s="51" t="s">
        <v>257</v>
      </c>
      <c r="M197" s="51"/>
      <c r="N197" s="51"/>
      <c r="O197" s="51"/>
      <c r="P197" s="51"/>
      <c r="Q197" s="51"/>
      <c r="R197" s="51"/>
      <c r="S197" s="51"/>
      <c r="T197" s="51"/>
    </row>
    <row r="198">
      <c r="A198" s="51"/>
      <c r="B198" s="51"/>
      <c r="C198" s="56"/>
      <c r="D198" s="51"/>
      <c r="E198" s="51"/>
      <c r="F198" s="51"/>
      <c r="G198" s="51" t="str">
        <f>IFERROR(__xludf.DUMMYFUNCTION("""COMPUTED_VALUE"""),"#VALUE!")</f>
        <v>#VALUE!</v>
      </c>
      <c r="H198" s="51" t="str">
        <f>IFERROR(__xludf.DUMMYFUNCTION("""COMPUTED_VALUE"""),"")</f>
        <v/>
      </c>
      <c r="I198" s="51" t="str">
        <f>IFERROR(__xludf.DUMMYFUNCTION("""COMPUTED_VALUE"""),"#VALUE!")</f>
        <v>#VALUE!</v>
      </c>
      <c r="J198" s="51" t="str">
        <f>IFERROR(__xludf.DUMMYFUNCTION("""COMPUTED_VALUE"""),"")</f>
        <v/>
      </c>
      <c r="K198" s="51"/>
      <c r="L198" s="51" t="s">
        <v>257</v>
      </c>
      <c r="M198" s="51"/>
      <c r="N198" s="51"/>
      <c r="O198" s="51"/>
      <c r="P198" s="51"/>
      <c r="Q198" s="51"/>
      <c r="R198" s="51"/>
      <c r="S198" s="51"/>
      <c r="T198" s="51"/>
    </row>
    <row r="199">
      <c r="A199" s="51"/>
      <c r="B199" s="51"/>
      <c r="C199" s="56"/>
      <c r="D199" s="51"/>
      <c r="E199" s="51"/>
      <c r="F199" s="51"/>
      <c r="G199" s="51" t="str">
        <f>IFERROR(__xludf.DUMMYFUNCTION("""COMPUTED_VALUE"""),"#VALUE!")</f>
        <v>#VALUE!</v>
      </c>
      <c r="H199" s="51" t="str">
        <f>IFERROR(__xludf.DUMMYFUNCTION("""COMPUTED_VALUE"""),"")</f>
        <v/>
      </c>
      <c r="I199" s="51" t="str">
        <f>IFERROR(__xludf.DUMMYFUNCTION("""COMPUTED_VALUE"""),"#VALUE!")</f>
        <v>#VALUE!</v>
      </c>
      <c r="J199" s="51" t="str">
        <f>IFERROR(__xludf.DUMMYFUNCTION("""COMPUTED_VALUE"""),"")</f>
        <v/>
      </c>
      <c r="K199" s="51"/>
      <c r="L199" s="51" t="s">
        <v>257</v>
      </c>
      <c r="M199" s="51"/>
      <c r="N199" s="51"/>
      <c r="O199" s="51"/>
      <c r="P199" s="51"/>
      <c r="Q199" s="51"/>
      <c r="R199" s="51"/>
      <c r="S199" s="51"/>
      <c r="T199" s="51"/>
    </row>
    <row r="200">
      <c r="A200" s="51"/>
      <c r="B200" s="51"/>
      <c r="C200" s="56"/>
      <c r="D200" s="51"/>
      <c r="E200" s="51"/>
      <c r="F200" s="51"/>
      <c r="G200" s="51" t="str">
        <f>IFERROR(__xludf.DUMMYFUNCTION("""COMPUTED_VALUE"""),"#VALUE!")</f>
        <v>#VALUE!</v>
      </c>
      <c r="H200" s="51" t="str">
        <f>IFERROR(__xludf.DUMMYFUNCTION("""COMPUTED_VALUE"""),"")</f>
        <v/>
      </c>
      <c r="I200" s="51" t="str">
        <f>IFERROR(__xludf.DUMMYFUNCTION("""COMPUTED_VALUE"""),"#VALUE!")</f>
        <v>#VALUE!</v>
      </c>
      <c r="J200" s="51" t="str">
        <f>IFERROR(__xludf.DUMMYFUNCTION("""COMPUTED_VALUE"""),"")</f>
        <v/>
      </c>
      <c r="K200" s="51"/>
      <c r="L200" s="51" t="s">
        <v>257</v>
      </c>
      <c r="M200" s="51"/>
      <c r="N200" s="51"/>
      <c r="O200" s="51"/>
      <c r="P200" s="51"/>
      <c r="Q200" s="51"/>
      <c r="R200" s="51"/>
      <c r="S200" s="51"/>
      <c r="T200" s="51"/>
    </row>
    <row r="201">
      <c r="A201" s="51"/>
      <c r="B201" s="51"/>
      <c r="C201" s="56"/>
      <c r="D201" s="51"/>
      <c r="E201" s="51"/>
      <c r="F201" s="51"/>
      <c r="G201" s="51" t="str">
        <f>IFERROR(__xludf.DUMMYFUNCTION("""COMPUTED_VALUE"""),"#VALUE!")</f>
        <v>#VALUE!</v>
      </c>
      <c r="H201" s="51" t="str">
        <f>IFERROR(__xludf.DUMMYFUNCTION("""COMPUTED_VALUE"""),"")</f>
        <v/>
      </c>
      <c r="I201" s="51" t="str">
        <f>IFERROR(__xludf.DUMMYFUNCTION("""COMPUTED_VALUE"""),"#VALUE!")</f>
        <v>#VALUE!</v>
      </c>
      <c r="J201" s="51" t="str">
        <f>IFERROR(__xludf.DUMMYFUNCTION("""COMPUTED_VALUE"""),"")</f>
        <v/>
      </c>
      <c r="K201" s="51"/>
      <c r="L201" s="51" t="s">
        <v>257</v>
      </c>
      <c r="M201" s="51"/>
      <c r="N201" s="51"/>
      <c r="O201" s="51"/>
      <c r="P201" s="51"/>
      <c r="Q201" s="51"/>
      <c r="R201" s="51"/>
      <c r="S201" s="51"/>
      <c r="T201" s="51"/>
    </row>
    <row r="202">
      <c r="A202" s="51"/>
      <c r="B202" s="51"/>
      <c r="C202" s="56"/>
      <c r="D202" s="51"/>
      <c r="E202" s="51"/>
      <c r="F202" s="51"/>
      <c r="G202" s="51" t="str">
        <f>IFERROR(__xludf.DUMMYFUNCTION("""COMPUTED_VALUE"""),"#VALUE!")</f>
        <v>#VALUE!</v>
      </c>
      <c r="H202" s="51" t="str">
        <f>IFERROR(__xludf.DUMMYFUNCTION("""COMPUTED_VALUE"""),"")</f>
        <v/>
      </c>
      <c r="I202" s="51" t="str">
        <f>IFERROR(__xludf.DUMMYFUNCTION("""COMPUTED_VALUE"""),"#VALUE!")</f>
        <v>#VALUE!</v>
      </c>
      <c r="J202" s="51" t="str">
        <f>IFERROR(__xludf.DUMMYFUNCTION("""COMPUTED_VALUE"""),"")</f>
        <v/>
      </c>
      <c r="K202" s="51"/>
      <c r="L202" s="51" t="s">
        <v>257</v>
      </c>
      <c r="M202" s="51"/>
      <c r="N202" s="51"/>
      <c r="O202" s="51"/>
      <c r="P202" s="51"/>
      <c r="Q202" s="51"/>
      <c r="R202" s="51"/>
      <c r="S202" s="51"/>
      <c r="T202" s="51"/>
    </row>
    <row r="203">
      <c r="A203" s="51"/>
      <c r="B203" s="51"/>
      <c r="C203" s="56"/>
      <c r="D203" s="51"/>
      <c r="E203" s="51"/>
      <c r="F203" s="51"/>
      <c r="G203" s="51" t="str">
        <f>IFERROR(__xludf.DUMMYFUNCTION("""COMPUTED_VALUE"""),"#VALUE!")</f>
        <v>#VALUE!</v>
      </c>
      <c r="H203" s="51" t="str">
        <f>IFERROR(__xludf.DUMMYFUNCTION("""COMPUTED_VALUE"""),"")</f>
        <v/>
      </c>
      <c r="I203" s="51" t="str">
        <f>IFERROR(__xludf.DUMMYFUNCTION("""COMPUTED_VALUE"""),"#VALUE!")</f>
        <v>#VALUE!</v>
      </c>
      <c r="J203" s="51" t="str">
        <f>IFERROR(__xludf.DUMMYFUNCTION("""COMPUTED_VALUE"""),"")</f>
        <v/>
      </c>
      <c r="K203" s="51"/>
      <c r="L203" s="51" t="s">
        <v>257</v>
      </c>
      <c r="M203" s="51"/>
      <c r="N203" s="51"/>
      <c r="O203" s="51"/>
      <c r="P203" s="51"/>
      <c r="Q203" s="51"/>
      <c r="R203" s="51"/>
      <c r="S203" s="51"/>
      <c r="T203" s="51"/>
    </row>
    <row r="204">
      <c r="A204" s="51"/>
      <c r="B204" s="51"/>
      <c r="C204" s="56"/>
      <c r="D204" s="51"/>
      <c r="E204" s="51"/>
      <c r="F204" s="51"/>
      <c r="G204" s="51" t="str">
        <f>IFERROR(__xludf.DUMMYFUNCTION("""COMPUTED_VALUE"""),"#VALUE!")</f>
        <v>#VALUE!</v>
      </c>
      <c r="H204" s="51" t="str">
        <f>IFERROR(__xludf.DUMMYFUNCTION("""COMPUTED_VALUE"""),"")</f>
        <v/>
      </c>
      <c r="I204" s="51" t="str">
        <f>IFERROR(__xludf.DUMMYFUNCTION("""COMPUTED_VALUE"""),"#VALUE!")</f>
        <v>#VALUE!</v>
      </c>
      <c r="J204" s="51" t="str">
        <f>IFERROR(__xludf.DUMMYFUNCTION("""COMPUTED_VALUE"""),"")</f>
        <v/>
      </c>
      <c r="K204" s="51"/>
      <c r="L204" s="51" t="s">
        <v>257</v>
      </c>
      <c r="M204" s="51"/>
      <c r="N204" s="51"/>
      <c r="O204" s="51"/>
      <c r="P204" s="51"/>
      <c r="Q204" s="51"/>
      <c r="R204" s="51"/>
      <c r="S204" s="51"/>
      <c r="T204" s="51"/>
    </row>
    <row r="205">
      <c r="A205" s="51"/>
      <c r="B205" s="51"/>
      <c r="C205" s="56"/>
      <c r="D205" s="51"/>
      <c r="E205" s="51"/>
      <c r="F205" s="51"/>
      <c r="G205" s="51" t="str">
        <f>IFERROR(__xludf.DUMMYFUNCTION("""COMPUTED_VALUE"""),"#VALUE!")</f>
        <v>#VALUE!</v>
      </c>
      <c r="H205" s="51" t="str">
        <f>IFERROR(__xludf.DUMMYFUNCTION("""COMPUTED_VALUE"""),"")</f>
        <v/>
      </c>
      <c r="I205" s="51" t="str">
        <f>IFERROR(__xludf.DUMMYFUNCTION("""COMPUTED_VALUE"""),"#VALUE!")</f>
        <v>#VALUE!</v>
      </c>
      <c r="J205" s="51" t="str">
        <f>IFERROR(__xludf.DUMMYFUNCTION("""COMPUTED_VALUE"""),"")</f>
        <v/>
      </c>
      <c r="K205" s="51"/>
      <c r="L205" s="51" t="s">
        <v>257</v>
      </c>
      <c r="M205" s="51"/>
      <c r="N205" s="51"/>
      <c r="O205" s="51"/>
      <c r="P205" s="51"/>
      <c r="Q205" s="51"/>
      <c r="R205" s="51"/>
      <c r="S205" s="51"/>
      <c r="T205" s="51"/>
    </row>
    <row r="206">
      <c r="A206" s="51"/>
      <c r="B206" s="51"/>
      <c r="C206" s="56"/>
      <c r="D206" s="51"/>
      <c r="E206" s="51"/>
      <c r="F206" s="51"/>
      <c r="G206" s="51" t="str">
        <f>IFERROR(__xludf.DUMMYFUNCTION("""COMPUTED_VALUE"""),"#VALUE!")</f>
        <v>#VALUE!</v>
      </c>
      <c r="H206" s="51" t="str">
        <f>IFERROR(__xludf.DUMMYFUNCTION("""COMPUTED_VALUE"""),"")</f>
        <v/>
      </c>
      <c r="I206" s="51" t="str">
        <f>IFERROR(__xludf.DUMMYFUNCTION("""COMPUTED_VALUE"""),"#VALUE!")</f>
        <v>#VALUE!</v>
      </c>
      <c r="J206" s="51" t="str">
        <f>IFERROR(__xludf.DUMMYFUNCTION("""COMPUTED_VALUE"""),"")</f>
        <v/>
      </c>
      <c r="K206" s="51"/>
      <c r="L206" s="51" t="s">
        <v>257</v>
      </c>
      <c r="M206" s="51"/>
      <c r="N206" s="51"/>
      <c r="O206" s="51"/>
      <c r="P206" s="51"/>
      <c r="Q206" s="51"/>
      <c r="R206" s="51"/>
      <c r="S206" s="51"/>
      <c r="T206" s="51"/>
    </row>
    <row r="207">
      <c r="A207" s="51"/>
      <c r="B207" s="51"/>
      <c r="C207" s="56"/>
      <c r="D207" s="51"/>
      <c r="E207" s="51"/>
      <c r="F207" s="51"/>
      <c r="G207" s="51" t="str">
        <f>IFERROR(__xludf.DUMMYFUNCTION("""COMPUTED_VALUE"""),"#VALUE!")</f>
        <v>#VALUE!</v>
      </c>
      <c r="H207" s="51" t="str">
        <f>IFERROR(__xludf.DUMMYFUNCTION("""COMPUTED_VALUE"""),"")</f>
        <v/>
      </c>
      <c r="I207" s="51" t="str">
        <f>IFERROR(__xludf.DUMMYFUNCTION("""COMPUTED_VALUE"""),"#VALUE!")</f>
        <v>#VALUE!</v>
      </c>
      <c r="J207" s="51" t="str">
        <f>IFERROR(__xludf.DUMMYFUNCTION("""COMPUTED_VALUE"""),"")</f>
        <v/>
      </c>
      <c r="K207" s="51"/>
      <c r="L207" s="51" t="s">
        <v>257</v>
      </c>
      <c r="M207" s="51"/>
      <c r="N207" s="51"/>
      <c r="O207" s="51"/>
      <c r="P207" s="51"/>
      <c r="Q207" s="51"/>
      <c r="R207" s="51"/>
      <c r="S207" s="51"/>
      <c r="T207" s="51"/>
    </row>
    <row r="208">
      <c r="A208" s="51"/>
      <c r="B208" s="51"/>
      <c r="C208" s="56"/>
      <c r="D208" s="51"/>
      <c r="E208" s="51"/>
      <c r="F208" s="51"/>
      <c r="G208" s="51" t="str">
        <f>IFERROR(__xludf.DUMMYFUNCTION("""COMPUTED_VALUE"""),"#VALUE!")</f>
        <v>#VALUE!</v>
      </c>
      <c r="H208" s="51" t="str">
        <f>IFERROR(__xludf.DUMMYFUNCTION("""COMPUTED_VALUE"""),"")</f>
        <v/>
      </c>
      <c r="I208" s="51" t="str">
        <f>IFERROR(__xludf.DUMMYFUNCTION("""COMPUTED_VALUE"""),"#VALUE!")</f>
        <v>#VALUE!</v>
      </c>
      <c r="J208" s="51" t="str">
        <f>IFERROR(__xludf.DUMMYFUNCTION("""COMPUTED_VALUE"""),"")</f>
        <v/>
      </c>
      <c r="K208" s="51"/>
      <c r="L208" s="51" t="s">
        <v>257</v>
      </c>
      <c r="M208" s="51"/>
      <c r="N208" s="51"/>
      <c r="O208" s="51"/>
      <c r="P208" s="51"/>
      <c r="Q208" s="51"/>
      <c r="R208" s="51"/>
      <c r="S208" s="51"/>
      <c r="T208" s="51"/>
    </row>
    <row r="209">
      <c r="A209" s="51"/>
      <c r="B209" s="51"/>
      <c r="C209" s="56"/>
      <c r="D209" s="51"/>
      <c r="E209" s="51"/>
      <c r="F209" s="51"/>
      <c r="G209" s="51" t="str">
        <f>IFERROR(__xludf.DUMMYFUNCTION("""COMPUTED_VALUE"""),"#VALUE!")</f>
        <v>#VALUE!</v>
      </c>
      <c r="H209" s="51" t="str">
        <f>IFERROR(__xludf.DUMMYFUNCTION("""COMPUTED_VALUE"""),"")</f>
        <v/>
      </c>
      <c r="I209" s="51" t="str">
        <f>IFERROR(__xludf.DUMMYFUNCTION("""COMPUTED_VALUE"""),"#VALUE!")</f>
        <v>#VALUE!</v>
      </c>
      <c r="J209" s="51" t="str">
        <f>IFERROR(__xludf.DUMMYFUNCTION("""COMPUTED_VALUE"""),"")</f>
        <v/>
      </c>
      <c r="K209" s="51"/>
      <c r="L209" s="51" t="s">
        <v>257</v>
      </c>
      <c r="M209" s="51"/>
      <c r="N209" s="51"/>
      <c r="O209" s="51"/>
      <c r="P209" s="51"/>
      <c r="Q209" s="51"/>
      <c r="R209" s="51"/>
      <c r="S209" s="51"/>
      <c r="T209" s="51"/>
    </row>
    <row r="210">
      <c r="A210" s="51"/>
      <c r="B210" s="51"/>
      <c r="C210" s="56"/>
      <c r="D210" s="51"/>
      <c r="E210" s="51"/>
      <c r="F210" s="51"/>
      <c r="G210" s="51" t="str">
        <f>IFERROR(__xludf.DUMMYFUNCTION("""COMPUTED_VALUE"""),"#VALUE!")</f>
        <v>#VALUE!</v>
      </c>
      <c r="H210" s="51" t="str">
        <f>IFERROR(__xludf.DUMMYFUNCTION("""COMPUTED_VALUE"""),"")</f>
        <v/>
      </c>
      <c r="I210" s="51" t="str">
        <f>IFERROR(__xludf.DUMMYFUNCTION("""COMPUTED_VALUE"""),"#VALUE!")</f>
        <v>#VALUE!</v>
      </c>
      <c r="J210" s="51" t="str">
        <f>IFERROR(__xludf.DUMMYFUNCTION("""COMPUTED_VALUE"""),"")</f>
        <v/>
      </c>
      <c r="K210" s="51"/>
      <c r="L210" s="51" t="s">
        <v>257</v>
      </c>
      <c r="M210" s="51"/>
      <c r="N210" s="51"/>
      <c r="O210" s="51"/>
      <c r="P210" s="51"/>
      <c r="Q210" s="51"/>
      <c r="R210" s="51"/>
      <c r="S210" s="51"/>
      <c r="T210" s="51"/>
    </row>
    <row r="211">
      <c r="A211" s="51"/>
      <c r="B211" s="51"/>
      <c r="C211" s="56"/>
      <c r="D211" s="51"/>
      <c r="E211" s="51"/>
      <c r="F211" s="51"/>
      <c r="G211" s="51" t="str">
        <f>IFERROR(__xludf.DUMMYFUNCTION("""COMPUTED_VALUE"""),"#VALUE!")</f>
        <v>#VALUE!</v>
      </c>
      <c r="H211" s="51" t="str">
        <f>IFERROR(__xludf.DUMMYFUNCTION("""COMPUTED_VALUE"""),"")</f>
        <v/>
      </c>
      <c r="I211" s="51" t="str">
        <f>IFERROR(__xludf.DUMMYFUNCTION("""COMPUTED_VALUE"""),"#VALUE!")</f>
        <v>#VALUE!</v>
      </c>
      <c r="J211" s="51" t="str">
        <f>IFERROR(__xludf.DUMMYFUNCTION("""COMPUTED_VALUE"""),"")</f>
        <v/>
      </c>
      <c r="K211" s="51"/>
      <c r="L211" s="51" t="s">
        <v>257</v>
      </c>
      <c r="M211" s="51"/>
      <c r="N211" s="51"/>
      <c r="O211" s="51"/>
      <c r="P211" s="51"/>
      <c r="Q211" s="51"/>
      <c r="R211" s="51"/>
      <c r="S211" s="51"/>
      <c r="T211" s="51"/>
    </row>
    <row r="212">
      <c r="A212" s="51"/>
      <c r="B212" s="51"/>
      <c r="C212" s="56"/>
      <c r="D212" s="51"/>
      <c r="E212" s="51"/>
      <c r="F212" s="51"/>
      <c r="G212" s="51" t="str">
        <f>IFERROR(__xludf.DUMMYFUNCTION("""COMPUTED_VALUE"""),"#VALUE!")</f>
        <v>#VALUE!</v>
      </c>
      <c r="H212" s="51" t="str">
        <f>IFERROR(__xludf.DUMMYFUNCTION("""COMPUTED_VALUE"""),"")</f>
        <v/>
      </c>
      <c r="I212" s="51" t="str">
        <f>IFERROR(__xludf.DUMMYFUNCTION("""COMPUTED_VALUE"""),"#VALUE!")</f>
        <v>#VALUE!</v>
      </c>
      <c r="J212" s="51" t="str">
        <f>IFERROR(__xludf.DUMMYFUNCTION("""COMPUTED_VALUE"""),"")</f>
        <v/>
      </c>
      <c r="K212" s="51"/>
      <c r="L212" s="51" t="s">
        <v>257</v>
      </c>
      <c r="M212" s="51"/>
      <c r="N212" s="51"/>
      <c r="O212" s="51"/>
      <c r="P212" s="51"/>
      <c r="Q212" s="51"/>
      <c r="R212" s="51"/>
      <c r="S212" s="51"/>
      <c r="T212" s="51"/>
    </row>
    <row r="213">
      <c r="A213" s="51"/>
      <c r="B213" s="51"/>
      <c r="C213" s="56"/>
      <c r="D213" s="51"/>
      <c r="E213" s="51"/>
      <c r="F213" s="51"/>
      <c r="G213" s="51" t="str">
        <f>IFERROR(__xludf.DUMMYFUNCTION("""COMPUTED_VALUE"""),"#VALUE!")</f>
        <v>#VALUE!</v>
      </c>
      <c r="H213" s="51" t="str">
        <f>IFERROR(__xludf.DUMMYFUNCTION("""COMPUTED_VALUE"""),"")</f>
        <v/>
      </c>
      <c r="I213" s="51" t="str">
        <f>IFERROR(__xludf.DUMMYFUNCTION("""COMPUTED_VALUE"""),"#VALUE!")</f>
        <v>#VALUE!</v>
      </c>
      <c r="J213" s="51" t="str">
        <f>IFERROR(__xludf.DUMMYFUNCTION("""COMPUTED_VALUE"""),"")</f>
        <v/>
      </c>
      <c r="K213" s="51"/>
      <c r="L213" s="51" t="s">
        <v>257</v>
      </c>
      <c r="M213" s="51"/>
      <c r="N213" s="51"/>
      <c r="O213" s="51"/>
      <c r="P213" s="51"/>
      <c r="Q213" s="51"/>
      <c r="R213" s="51"/>
      <c r="S213" s="51"/>
      <c r="T213" s="51"/>
    </row>
    <row r="214">
      <c r="A214" s="51"/>
      <c r="B214" s="51"/>
      <c r="C214" s="56"/>
      <c r="D214" s="51"/>
      <c r="E214" s="51"/>
      <c r="F214" s="51"/>
      <c r="G214" s="51" t="str">
        <f>IFERROR(__xludf.DUMMYFUNCTION("""COMPUTED_VALUE"""),"#VALUE!")</f>
        <v>#VALUE!</v>
      </c>
      <c r="H214" s="51" t="str">
        <f>IFERROR(__xludf.DUMMYFUNCTION("""COMPUTED_VALUE"""),"")</f>
        <v/>
      </c>
      <c r="I214" s="51" t="str">
        <f>IFERROR(__xludf.DUMMYFUNCTION("""COMPUTED_VALUE"""),"#VALUE!")</f>
        <v>#VALUE!</v>
      </c>
      <c r="J214" s="51" t="str">
        <f>IFERROR(__xludf.DUMMYFUNCTION("""COMPUTED_VALUE"""),"")</f>
        <v/>
      </c>
      <c r="K214" s="51"/>
      <c r="L214" s="51" t="s">
        <v>257</v>
      </c>
      <c r="M214" s="51"/>
      <c r="N214" s="51"/>
      <c r="O214" s="51"/>
      <c r="P214" s="51"/>
      <c r="Q214" s="51"/>
      <c r="R214" s="51"/>
      <c r="S214" s="51"/>
      <c r="T214" s="51"/>
    </row>
    <row r="215">
      <c r="A215" s="51"/>
      <c r="B215" s="51"/>
      <c r="C215" s="56"/>
      <c r="D215" s="51"/>
      <c r="E215" s="51"/>
      <c r="F215" s="51"/>
      <c r="G215" s="51" t="str">
        <f>IFERROR(__xludf.DUMMYFUNCTION("""COMPUTED_VALUE"""),"#VALUE!")</f>
        <v>#VALUE!</v>
      </c>
      <c r="H215" s="51" t="str">
        <f>IFERROR(__xludf.DUMMYFUNCTION("""COMPUTED_VALUE"""),"")</f>
        <v/>
      </c>
      <c r="I215" s="51" t="str">
        <f>IFERROR(__xludf.DUMMYFUNCTION("""COMPUTED_VALUE"""),"#VALUE!")</f>
        <v>#VALUE!</v>
      </c>
      <c r="J215" s="51" t="str">
        <f>IFERROR(__xludf.DUMMYFUNCTION("""COMPUTED_VALUE"""),"")</f>
        <v/>
      </c>
      <c r="K215" s="51"/>
      <c r="L215" s="51" t="s">
        <v>257</v>
      </c>
      <c r="M215" s="51"/>
      <c r="N215" s="51"/>
      <c r="O215" s="51"/>
      <c r="P215" s="51"/>
      <c r="Q215" s="51"/>
      <c r="R215" s="51"/>
      <c r="S215" s="51"/>
      <c r="T215" s="51"/>
    </row>
    <row r="216">
      <c r="A216" s="51"/>
      <c r="B216" s="51"/>
      <c r="C216" s="56"/>
      <c r="D216" s="51"/>
      <c r="E216" s="51"/>
      <c r="F216" s="51"/>
      <c r="G216" s="51" t="str">
        <f>IFERROR(__xludf.DUMMYFUNCTION("""COMPUTED_VALUE"""),"#VALUE!")</f>
        <v>#VALUE!</v>
      </c>
      <c r="H216" s="51" t="str">
        <f>IFERROR(__xludf.DUMMYFUNCTION("""COMPUTED_VALUE"""),"")</f>
        <v/>
      </c>
      <c r="I216" s="51" t="str">
        <f>IFERROR(__xludf.DUMMYFUNCTION("""COMPUTED_VALUE"""),"#VALUE!")</f>
        <v>#VALUE!</v>
      </c>
      <c r="J216" s="51" t="str">
        <f>IFERROR(__xludf.DUMMYFUNCTION("""COMPUTED_VALUE"""),"")</f>
        <v/>
      </c>
      <c r="K216" s="51"/>
      <c r="L216" s="51" t="s">
        <v>257</v>
      </c>
      <c r="M216" s="51"/>
      <c r="N216" s="51"/>
      <c r="O216" s="51"/>
      <c r="P216" s="51"/>
      <c r="Q216" s="51"/>
      <c r="R216" s="51"/>
      <c r="S216" s="51"/>
      <c r="T216" s="51"/>
    </row>
    <row r="217">
      <c r="A217" s="51"/>
      <c r="B217" s="51"/>
      <c r="C217" s="56"/>
      <c r="D217" s="51"/>
      <c r="E217" s="51"/>
      <c r="F217" s="51"/>
      <c r="G217" s="51" t="str">
        <f>IFERROR(__xludf.DUMMYFUNCTION("""COMPUTED_VALUE"""),"#VALUE!")</f>
        <v>#VALUE!</v>
      </c>
      <c r="H217" s="51" t="str">
        <f>IFERROR(__xludf.DUMMYFUNCTION("""COMPUTED_VALUE"""),"")</f>
        <v/>
      </c>
      <c r="I217" s="51" t="str">
        <f>IFERROR(__xludf.DUMMYFUNCTION("""COMPUTED_VALUE"""),"#VALUE!")</f>
        <v>#VALUE!</v>
      </c>
      <c r="J217" s="51" t="str">
        <f>IFERROR(__xludf.DUMMYFUNCTION("""COMPUTED_VALUE"""),"")</f>
        <v/>
      </c>
      <c r="K217" s="51"/>
      <c r="L217" s="51" t="s">
        <v>257</v>
      </c>
      <c r="M217" s="51"/>
      <c r="N217" s="51"/>
      <c r="O217" s="51"/>
      <c r="P217" s="51"/>
      <c r="Q217" s="51"/>
      <c r="R217" s="51"/>
      <c r="S217" s="51"/>
      <c r="T217" s="51"/>
    </row>
    <row r="218">
      <c r="A218" s="51"/>
      <c r="B218" s="51"/>
      <c r="C218" s="56"/>
      <c r="D218" s="51"/>
      <c r="E218" s="51"/>
      <c r="F218" s="51"/>
      <c r="G218" s="51" t="str">
        <f>IFERROR(__xludf.DUMMYFUNCTION("""COMPUTED_VALUE"""),"#VALUE!")</f>
        <v>#VALUE!</v>
      </c>
      <c r="H218" s="51" t="str">
        <f>IFERROR(__xludf.DUMMYFUNCTION("""COMPUTED_VALUE"""),"")</f>
        <v/>
      </c>
      <c r="I218" s="51" t="str">
        <f>IFERROR(__xludf.DUMMYFUNCTION("""COMPUTED_VALUE"""),"#VALUE!")</f>
        <v>#VALUE!</v>
      </c>
      <c r="J218" s="51" t="str">
        <f>IFERROR(__xludf.DUMMYFUNCTION("""COMPUTED_VALUE"""),"")</f>
        <v/>
      </c>
      <c r="K218" s="51"/>
      <c r="L218" s="51" t="s">
        <v>257</v>
      </c>
      <c r="M218" s="51"/>
      <c r="N218" s="51"/>
      <c r="O218" s="51"/>
      <c r="P218" s="51"/>
      <c r="Q218" s="51"/>
      <c r="R218" s="51"/>
      <c r="S218" s="51"/>
      <c r="T218" s="51"/>
    </row>
    <row r="219">
      <c r="A219" s="51"/>
      <c r="B219" s="51"/>
      <c r="C219" s="56"/>
      <c r="D219" s="51"/>
      <c r="E219" s="51"/>
      <c r="F219" s="51"/>
      <c r="G219" s="51" t="str">
        <f>IFERROR(__xludf.DUMMYFUNCTION("""COMPUTED_VALUE"""),"#VALUE!")</f>
        <v>#VALUE!</v>
      </c>
      <c r="H219" s="51" t="str">
        <f>IFERROR(__xludf.DUMMYFUNCTION("""COMPUTED_VALUE"""),"")</f>
        <v/>
      </c>
      <c r="I219" s="51" t="str">
        <f>IFERROR(__xludf.DUMMYFUNCTION("""COMPUTED_VALUE"""),"#VALUE!")</f>
        <v>#VALUE!</v>
      </c>
      <c r="J219" s="51" t="str">
        <f>IFERROR(__xludf.DUMMYFUNCTION("""COMPUTED_VALUE"""),"")</f>
        <v/>
      </c>
      <c r="K219" s="51"/>
      <c r="L219" s="51" t="s">
        <v>257</v>
      </c>
      <c r="M219" s="51"/>
      <c r="N219" s="51"/>
      <c r="O219" s="51"/>
      <c r="P219" s="51"/>
      <c r="Q219" s="51"/>
      <c r="R219" s="51"/>
      <c r="S219" s="51"/>
      <c r="T219" s="51"/>
    </row>
    <row r="220">
      <c r="A220" s="51"/>
      <c r="B220" s="51"/>
      <c r="C220" s="56"/>
      <c r="D220" s="51"/>
      <c r="E220" s="51"/>
      <c r="F220" s="51"/>
      <c r="G220" s="51" t="str">
        <f>IFERROR(__xludf.DUMMYFUNCTION("""COMPUTED_VALUE"""),"#VALUE!")</f>
        <v>#VALUE!</v>
      </c>
      <c r="H220" s="51" t="str">
        <f>IFERROR(__xludf.DUMMYFUNCTION("""COMPUTED_VALUE"""),"")</f>
        <v/>
      </c>
      <c r="I220" s="51" t="str">
        <f>IFERROR(__xludf.DUMMYFUNCTION("""COMPUTED_VALUE"""),"#VALUE!")</f>
        <v>#VALUE!</v>
      </c>
      <c r="J220" s="51" t="str">
        <f>IFERROR(__xludf.DUMMYFUNCTION("""COMPUTED_VALUE"""),"")</f>
        <v/>
      </c>
      <c r="K220" s="51"/>
      <c r="L220" s="51" t="s">
        <v>257</v>
      </c>
      <c r="M220" s="51"/>
      <c r="N220" s="51"/>
      <c r="O220" s="51"/>
      <c r="P220" s="51"/>
      <c r="Q220" s="51"/>
      <c r="R220" s="51"/>
      <c r="S220" s="51"/>
      <c r="T220" s="51"/>
    </row>
    <row r="221">
      <c r="A221" s="51"/>
      <c r="B221" s="51"/>
      <c r="C221" s="56"/>
      <c r="D221" s="51"/>
      <c r="E221" s="51"/>
      <c r="F221" s="51"/>
      <c r="G221" s="51" t="str">
        <f>IFERROR(__xludf.DUMMYFUNCTION("""COMPUTED_VALUE"""),"#VALUE!")</f>
        <v>#VALUE!</v>
      </c>
      <c r="H221" s="51" t="str">
        <f>IFERROR(__xludf.DUMMYFUNCTION("""COMPUTED_VALUE"""),"")</f>
        <v/>
      </c>
      <c r="I221" s="51" t="str">
        <f>IFERROR(__xludf.DUMMYFUNCTION("""COMPUTED_VALUE"""),"#VALUE!")</f>
        <v>#VALUE!</v>
      </c>
      <c r="J221" s="51" t="str">
        <f>IFERROR(__xludf.DUMMYFUNCTION("""COMPUTED_VALUE"""),"")</f>
        <v/>
      </c>
      <c r="K221" s="51"/>
      <c r="L221" s="51" t="s">
        <v>257</v>
      </c>
      <c r="M221" s="51"/>
      <c r="N221" s="51"/>
      <c r="O221" s="51"/>
      <c r="P221" s="51"/>
      <c r="Q221" s="51"/>
      <c r="R221" s="51"/>
      <c r="S221" s="51"/>
      <c r="T221" s="51"/>
    </row>
    <row r="222">
      <c r="A222" s="51"/>
      <c r="B222" s="51"/>
      <c r="C222" s="56"/>
      <c r="D222" s="51"/>
      <c r="E222" s="51"/>
      <c r="F222" s="51"/>
      <c r="G222" s="51" t="str">
        <f>IFERROR(__xludf.DUMMYFUNCTION("""COMPUTED_VALUE"""),"#VALUE!")</f>
        <v>#VALUE!</v>
      </c>
      <c r="H222" s="51" t="str">
        <f>IFERROR(__xludf.DUMMYFUNCTION("""COMPUTED_VALUE"""),"")</f>
        <v/>
      </c>
      <c r="I222" s="51" t="str">
        <f>IFERROR(__xludf.DUMMYFUNCTION("""COMPUTED_VALUE"""),"#VALUE!")</f>
        <v>#VALUE!</v>
      </c>
      <c r="J222" s="51" t="str">
        <f>IFERROR(__xludf.DUMMYFUNCTION("""COMPUTED_VALUE"""),"")</f>
        <v/>
      </c>
      <c r="K222" s="51"/>
      <c r="L222" s="51" t="s">
        <v>257</v>
      </c>
      <c r="M222" s="51"/>
      <c r="N222" s="51"/>
      <c r="O222" s="51"/>
      <c r="P222" s="51"/>
      <c r="Q222" s="51"/>
      <c r="R222" s="51"/>
      <c r="S222" s="51"/>
      <c r="T222" s="51"/>
    </row>
    <row r="223">
      <c r="A223" s="51"/>
      <c r="B223" s="51"/>
      <c r="C223" s="56"/>
      <c r="D223" s="51"/>
      <c r="E223" s="51"/>
      <c r="F223" s="51"/>
      <c r="G223" s="51" t="str">
        <f>IFERROR(__xludf.DUMMYFUNCTION("""COMPUTED_VALUE"""),"#VALUE!")</f>
        <v>#VALUE!</v>
      </c>
      <c r="H223" s="51" t="str">
        <f>IFERROR(__xludf.DUMMYFUNCTION("""COMPUTED_VALUE"""),"")</f>
        <v/>
      </c>
      <c r="I223" s="51" t="str">
        <f>IFERROR(__xludf.DUMMYFUNCTION("""COMPUTED_VALUE"""),"#VALUE!")</f>
        <v>#VALUE!</v>
      </c>
      <c r="J223" s="51" t="str">
        <f>IFERROR(__xludf.DUMMYFUNCTION("""COMPUTED_VALUE"""),"")</f>
        <v/>
      </c>
      <c r="K223" s="51"/>
      <c r="L223" s="51" t="s">
        <v>257</v>
      </c>
      <c r="M223" s="51"/>
      <c r="N223" s="51"/>
      <c r="O223" s="51"/>
      <c r="P223" s="51"/>
      <c r="Q223" s="51"/>
      <c r="R223" s="51"/>
      <c r="S223" s="51"/>
      <c r="T223" s="51"/>
    </row>
    <row r="224">
      <c r="A224" s="51"/>
      <c r="B224" s="51"/>
      <c r="C224" s="56"/>
      <c r="D224" s="51"/>
      <c r="E224" s="51"/>
      <c r="F224" s="51"/>
      <c r="G224" s="51" t="str">
        <f>IFERROR(__xludf.DUMMYFUNCTION("""COMPUTED_VALUE"""),"#VALUE!")</f>
        <v>#VALUE!</v>
      </c>
      <c r="H224" s="51" t="str">
        <f>IFERROR(__xludf.DUMMYFUNCTION("""COMPUTED_VALUE"""),"")</f>
        <v/>
      </c>
      <c r="I224" s="51" t="str">
        <f>IFERROR(__xludf.DUMMYFUNCTION("""COMPUTED_VALUE"""),"#VALUE!")</f>
        <v>#VALUE!</v>
      </c>
      <c r="J224" s="51" t="str">
        <f>IFERROR(__xludf.DUMMYFUNCTION("""COMPUTED_VALUE"""),"")</f>
        <v/>
      </c>
      <c r="K224" s="51"/>
      <c r="L224" s="51" t="s">
        <v>257</v>
      </c>
      <c r="M224" s="51"/>
      <c r="N224" s="51"/>
      <c r="O224" s="51"/>
      <c r="P224" s="51"/>
      <c r="Q224" s="51"/>
      <c r="R224" s="51"/>
      <c r="S224" s="51"/>
      <c r="T224" s="51"/>
    </row>
    <row r="225">
      <c r="A225" s="51"/>
      <c r="B225" s="51"/>
      <c r="C225" s="56"/>
      <c r="D225" s="51"/>
      <c r="E225" s="51"/>
      <c r="F225" s="51"/>
      <c r="G225" s="51" t="str">
        <f>IFERROR(__xludf.DUMMYFUNCTION("""COMPUTED_VALUE"""),"#VALUE!")</f>
        <v>#VALUE!</v>
      </c>
      <c r="H225" s="51" t="str">
        <f>IFERROR(__xludf.DUMMYFUNCTION("""COMPUTED_VALUE"""),"")</f>
        <v/>
      </c>
      <c r="I225" s="51" t="str">
        <f>IFERROR(__xludf.DUMMYFUNCTION("""COMPUTED_VALUE"""),"#VALUE!")</f>
        <v>#VALUE!</v>
      </c>
      <c r="J225" s="51" t="str">
        <f>IFERROR(__xludf.DUMMYFUNCTION("""COMPUTED_VALUE"""),"")</f>
        <v/>
      </c>
      <c r="K225" s="51"/>
      <c r="L225" s="51" t="s">
        <v>257</v>
      </c>
      <c r="M225" s="51"/>
      <c r="N225" s="51"/>
      <c r="O225" s="51"/>
      <c r="P225" s="51"/>
      <c r="Q225" s="51"/>
      <c r="R225" s="51"/>
      <c r="S225" s="51"/>
      <c r="T225" s="51"/>
    </row>
    <row r="226">
      <c r="A226" s="51"/>
      <c r="B226" s="51"/>
      <c r="C226" s="56"/>
      <c r="D226" s="51"/>
      <c r="E226" s="51"/>
      <c r="F226" s="51"/>
      <c r="G226" s="51" t="str">
        <f>IFERROR(__xludf.DUMMYFUNCTION("""COMPUTED_VALUE"""),"#VALUE!")</f>
        <v>#VALUE!</v>
      </c>
      <c r="H226" s="51" t="str">
        <f>IFERROR(__xludf.DUMMYFUNCTION("""COMPUTED_VALUE"""),"")</f>
        <v/>
      </c>
      <c r="I226" s="51" t="str">
        <f>IFERROR(__xludf.DUMMYFUNCTION("""COMPUTED_VALUE"""),"#VALUE!")</f>
        <v>#VALUE!</v>
      </c>
      <c r="J226" s="51" t="str">
        <f>IFERROR(__xludf.DUMMYFUNCTION("""COMPUTED_VALUE"""),"")</f>
        <v/>
      </c>
      <c r="K226" s="51"/>
      <c r="L226" s="51" t="s">
        <v>257</v>
      </c>
      <c r="M226" s="51"/>
      <c r="N226" s="51"/>
      <c r="O226" s="51"/>
      <c r="P226" s="51"/>
      <c r="Q226" s="51"/>
      <c r="R226" s="51"/>
      <c r="S226" s="51"/>
      <c r="T226" s="51"/>
    </row>
    <row r="227">
      <c r="A227" s="51"/>
      <c r="B227" s="51"/>
      <c r="C227" s="56"/>
      <c r="D227" s="51"/>
      <c r="E227" s="51"/>
      <c r="F227" s="51"/>
      <c r="G227" s="51" t="str">
        <f>IFERROR(__xludf.DUMMYFUNCTION("""COMPUTED_VALUE"""),"#VALUE!")</f>
        <v>#VALUE!</v>
      </c>
      <c r="H227" s="51" t="str">
        <f>IFERROR(__xludf.DUMMYFUNCTION("""COMPUTED_VALUE"""),"")</f>
        <v/>
      </c>
      <c r="I227" s="51" t="str">
        <f>IFERROR(__xludf.DUMMYFUNCTION("""COMPUTED_VALUE"""),"#VALUE!")</f>
        <v>#VALUE!</v>
      </c>
      <c r="J227" s="51" t="str">
        <f>IFERROR(__xludf.DUMMYFUNCTION("""COMPUTED_VALUE"""),"")</f>
        <v/>
      </c>
      <c r="K227" s="51"/>
      <c r="L227" s="51" t="s">
        <v>257</v>
      </c>
      <c r="M227" s="51"/>
      <c r="N227" s="51"/>
      <c r="O227" s="51"/>
      <c r="P227" s="51"/>
      <c r="Q227" s="51"/>
      <c r="R227" s="51"/>
      <c r="S227" s="51"/>
      <c r="T227" s="51"/>
    </row>
    <row r="228">
      <c r="A228" s="51"/>
      <c r="B228" s="51"/>
      <c r="C228" s="56"/>
      <c r="D228" s="51"/>
      <c r="E228" s="51"/>
      <c r="F228" s="51"/>
      <c r="G228" s="51" t="str">
        <f>IFERROR(__xludf.DUMMYFUNCTION("""COMPUTED_VALUE"""),"#VALUE!")</f>
        <v>#VALUE!</v>
      </c>
      <c r="H228" s="51" t="str">
        <f>IFERROR(__xludf.DUMMYFUNCTION("""COMPUTED_VALUE"""),"")</f>
        <v/>
      </c>
      <c r="I228" s="51" t="str">
        <f>IFERROR(__xludf.DUMMYFUNCTION("""COMPUTED_VALUE"""),"#VALUE!")</f>
        <v>#VALUE!</v>
      </c>
      <c r="J228" s="51" t="str">
        <f>IFERROR(__xludf.DUMMYFUNCTION("""COMPUTED_VALUE"""),"")</f>
        <v/>
      </c>
      <c r="K228" s="51"/>
      <c r="L228" s="51" t="s">
        <v>257</v>
      </c>
      <c r="M228" s="51"/>
      <c r="N228" s="51"/>
      <c r="O228" s="51"/>
      <c r="P228" s="51"/>
      <c r="Q228" s="51"/>
      <c r="R228" s="51"/>
      <c r="S228" s="51"/>
      <c r="T228" s="51"/>
    </row>
    <row r="229">
      <c r="A229" s="51"/>
      <c r="B229" s="51"/>
      <c r="C229" s="56"/>
      <c r="D229" s="51"/>
      <c r="E229" s="51"/>
      <c r="F229" s="51"/>
      <c r="G229" s="51" t="str">
        <f>IFERROR(__xludf.DUMMYFUNCTION("""COMPUTED_VALUE"""),"#VALUE!")</f>
        <v>#VALUE!</v>
      </c>
      <c r="H229" s="51" t="str">
        <f>IFERROR(__xludf.DUMMYFUNCTION("""COMPUTED_VALUE"""),"")</f>
        <v/>
      </c>
      <c r="I229" s="51" t="str">
        <f>IFERROR(__xludf.DUMMYFUNCTION("""COMPUTED_VALUE"""),"#VALUE!")</f>
        <v>#VALUE!</v>
      </c>
      <c r="J229" s="51" t="str">
        <f>IFERROR(__xludf.DUMMYFUNCTION("""COMPUTED_VALUE"""),"")</f>
        <v/>
      </c>
      <c r="K229" s="51"/>
      <c r="L229" s="51" t="s">
        <v>257</v>
      </c>
      <c r="M229" s="51"/>
      <c r="N229" s="51"/>
      <c r="O229" s="51"/>
      <c r="P229" s="51"/>
      <c r="Q229" s="51"/>
      <c r="R229" s="51"/>
      <c r="S229" s="51"/>
      <c r="T229" s="51"/>
    </row>
    <row r="230">
      <c r="A230" s="51"/>
      <c r="B230" s="51"/>
      <c r="C230" s="56"/>
      <c r="D230" s="51"/>
      <c r="E230" s="51"/>
      <c r="F230" s="51"/>
      <c r="G230" s="51" t="str">
        <f>IFERROR(__xludf.DUMMYFUNCTION("""COMPUTED_VALUE"""),"#VALUE!")</f>
        <v>#VALUE!</v>
      </c>
      <c r="H230" s="51" t="str">
        <f>IFERROR(__xludf.DUMMYFUNCTION("""COMPUTED_VALUE"""),"")</f>
        <v/>
      </c>
      <c r="I230" s="51" t="str">
        <f>IFERROR(__xludf.DUMMYFUNCTION("""COMPUTED_VALUE"""),"#VALUE!")</f>
        <v>#VALUE!</v>
      </c>
      <c r="J230" s="51" t="str">
        <f>IFERROR(__xludf.DUMMYFUNCTION("""COMPUTED_VALUE"""),"")</f>
        <v/>
      </c>
      <c r="K230" s="51"/>
      <c r="L230" s="51" t="s">
        <v>257</v>
      </c>
      <c r="M230" s="51"/>
      <c r="N230" s="51"/>
      <c r="O230" s="51"/>
      <c r="P230" s="51"/>
      <c r="Q230" s="51"/>
      <c r="R230" s="51"/>
      <c r="S230" s="51"/>
      <c r="T230" s="51"/>
    </row>
    <row r="231">
      <c r="A231" s="51"/>
      <c r="B231" s="51"/>
      <c r="C231" s="56"/>
      <c r="D231" s="51"/>
      <c r="E231" s="51"/>
      <c r="F231" s="51"/>
      <c r="G231" s="51" t="str">
        <f>IFERROR(__xludf.DUMMYFUNCTION("""COMPUTED_VALUE"""),"#VALUE!")</f>
        <v>#VALUE!</v>
      </c>
      <c r="H231" s="51" t="str">
        <f>IFERROR(__xludf.DUMMYFUNCTION("""COMPUTED_VALUE"""),"")</f>
        <v/>
      </c>
      <c r="I231" s="51" t="str">
        <f>IFERROR(__xludf.DUMMYFUNCTION("""COMPUTED_VALUE"""),"#VALUE!")</f>
        <v>#VALUE!</v>
      </c>
      <c r="J231" s="51" t="str">
        <f>IFERROR(__xludf.DUMMYFUNCTION("""COMPUTED_VALUE"""),"")</f>
        <v/>
      </c>
      <c r="K231" s="51"/>
      <c r="L231" s="51" t="s">
        <v>257</v>
      </c>
      <c r="M231" s="51"/>
      <c r="N231" s="51"/>
      <c r="O231" s="51"/>
      <c r="P231" s="51"/>
      <c r="Q231" s="51"/>
      <c r="R231" s="51"/>
      <c r="S231" s="51"/>
      <c r="T231" s="51"/>
    </row>
    <row r="232">
      <c r="A232" s="51"/>
      <c r="B232" s="51"/>
      <c r="C232" s="56"/>
      <c r="D232" s="51"/>
      <c r="E232" s="51"/>
      <c r="F232" s="51"/>
      <c r="G232" s="51" t="str">
        <f>IFERROR(__xludf.DUMMYFUNCTION("""COMPUTED_VALUE"""),"#VALUE!")</f>
        <v>#VALUE!</v>
      </c>
      <c r="H232" s="51" t="str">
        <f>IFERROR(__xludf.DUMMYFUNCTION("""COMPUTED_VALUE"""),"")</f>
        <v/>
      </c>
      <c r="I232" s="51" t="str">
        <f>IFERROR(__xludf.DUMMYFUNCTION("""COMPUTED_VALUE"""),"#VALUE!")</f>
        <v>#VALUE!</v>
      </c>
      <c r="J232" s="51" t="str">
        <f>IFERROR(__xludf.DUMMYFUNCTION("""COMPUTED_VALUE"""),"")</f>
        <v/>
      </c>
      <c r="K232" s="51"/>
      <c r="L232" s="51" t="s">
        <v>257</v>
      </c>
      <c r="M232" s="51"/>
      <c r="N232" s="51"/>
      <c r="O232" s="51"/>
      <c r="P232" s="51"/>
      <c r="Q232" s="51"/>
      <c r="R232" s="51"/>
      <c r="S232" s="51"/>
      <c r="T232" s="51"/>
    </row>
    <row r="233">
      <c r="A233" s="51"/>
      <c r="B233" s="51"/>
      <c r="C233" s="56"/>
      <c r="D233" s="51"/>
      <c r="E233" s="51"/>
      <c r="F233" s="51"/>
      <c r="G233" s="51" t="str">
        <f>IFERROR(__xludf.DUMMYFUNCTION("""COMPUTED_VALUE"""),"#VALUE!")</f>
        <v>#VALUE!</v>
      </c>
      <c r="H233" s="51" t="str">
        <f>IFERROR(__xludf.DUMMYFUNCTION("""COMPUTED_VALUE"""),"")</f>
        <v/>
      </c>
      <c r="I233" s="51" t="str">
        <f>IFERROR(__xludf.DUMMYFUNCTION("""COMPUTED_VALUE"""),"#VALUE!")</f>
        <v>#VALUE!</v>
      </c>
      <c r="J233" s="51" t="str">
        <f>IFERROR(__xludf.DUMMYFUNCTION("""COMPUTED_VALUE"""),"")</f>
        <v/>
      </c>
      <c r="K233" s="51"/>
      <c r="L233" s="51" t="s">
        <v>257</v>
      </c>
      <c r="M233" s="51"/>
      <c r="N233" s="51"/>
      <c r="O233" s="51"/>
      <c r="P233" s="51"/>
      <c r="Q233" s="51"/>
      <c r="R233" s="51"/>
      <c r="S233" s="51"/>
      <c r="T233" s="51"/>
    </row>
    <row r="234">
      <c r="A234" s="51"/>
      <c r="B234" s="51"/>
      <c r="C234" s="56"/>
      <c r="D234" s="51"/>
      <c r="E234" s="51"/>
      <c r="F234" s="51"/>
      <c r="G234" s="51" t="str">
        <f>IFERROR(__xludf.DUMMYFUNCTION("""COMPUTED_VALUE"""),"#VALUE!")</f>
        <v>#VALUE!</v>
      </c>
      <c r="H234" s="51" t="str">
        <f>IFERROR(__xludf.DUMMYFUNCTION("""COMPUTED_VALUE"""),"")</f>
        <v/>
      </c>
      <c r="I234" s="51" t="str">
        <f>IFERROR(__xludf.DUMMYFUNCTION("""COMPUTED_VALUE"""),"#VALUE!")</f>
        <v>#VALUE!</v>
      </c>
      <c r="J234" s="51" t="str">
        <f>IFERROR(__xludf.DUMMYFUNCTION("""COMPUTED_VALUE"""),"")</f>
        <v/>
      </c>
      <c r="K234" s="51"/>
      <c r="L234" s="51" t="s">
        <v>257</v>
      </c>
      <c r="M234" s="51"/>
      <c r="N234" s="51"/>
      <c r="O234" s="51"/>
      <c r="P234" s="51"/>
      <c r="Q234" s="51"/>
      <c r="R234" s="51"/>
      <c r="S234" s="51"/>
      <c r="T234" s="51"/>
    </row>
    <row r="235">
      <c r="A235" s="51"/>
      <c r="B235" s="51"/>
      <c r="C235" s="56"/>
      <c r="D235" s="51"/>
      <c r="E235" s="51"/>
      <c r="F235" s="51"/>
      <c r="G235" s="51" t="str">
        <f>IFERROR(__xludf.DUMMYFUNCTION("""COMPUTED_VALUE"""),"#VALUE!")</f>
        <v>#VALUE!</v>
      </c>
      <c r="H235" s="51" t="str">
        <f>IFERROR(__xludf.DUMMYFUNCTION("""COMPUTED_VALUE"""),"")</f>
        <v/>
      </c>
      <c r="I235" s="51" t="str">
        <f>IFERROR(__xludf.DUMMYFUNCTION("""COMPUTED_VALUE"""),"#VALUE!")</f>
        <v>#VALUE!</v>
      </c>
      <c r="J235" s="51" t="str">
        <f>IFERROR(__xludf.DUMMYFUNCTION("""COMPUTED_VALUE"""),"")</f>
        <v/>
      </c>
      <c r="K235" s="51"/>
      <c r="L235" s="51" t="s">
        <v>257</v>
      </c>
      <c r="M235" s="51"/>
      <c r="N235" s="51"/>
      <c r="O235" s="51"/>
      <c r="P235" s="51"/>
      <c r="Q235" s="51"/>
      <c r="R235" s="51"/>
      <c r="S235" s="51"/>
      <c r="T235" s="51"/>
    </row>
    <row r="236">
      <c r="A236" s="51"/>
      <c r="B236" s="51"/>
      <c r="C236" s="56"/>
      <c r="D236" s="51"/>
      <c r="E236" s="51"/>
      <c r="F236" s="51"/>
      <c r="G236" s="51" t="str">
        <f>IFERROR(__xludf.DUMMYFUNCTION("""COMPUTED_VALUE"""),"#VALUE!")</f>
        <v>#VALUE!</v>
      </c>
      <c r="H236" s="51" t="str">
        <f>IFERROR(__xludf.DUMMYFUNCTION("""COMPUTED_VALUE"""),"")</f>
        <v/>
      </c>
      <c r="I236" s="51" t="str">
        <f>IFERROR(__xludf.DUMMYFUNCTION("""COMPUTED_VALUE"""),"#VALUE!")</f>
        <v>#VALUE!</v>
      </c>
      <c r="J236" s="51" t="str">
        <f>IFERROR(__xludf.DUMMYFUNCTION("""COMPUTED_VALUE"""),"")</f>
        <v/>
      </c>
      <c r="K236" s="51"/>
      <c r="L236" s="51" t="s">
        <v>257</v>
      </c>
      <c r="M236" s="51"/>
      <c r="N236" s="51"/>
      <c r="O236" s="51"/>
      <c r="P236" s="51"/>
      <c r="Q236" s="51"/>
      <c r="R236" s="51"/>
      <c r="S236" s="51"/>
      <c r="T236" s="51"/>
    </row>
    <row r="237">
      <c r="A237" s="51"/>
      <c r="B237" s="51"/>
      <c r="C237" s="56"/>
      <c r="D237" s="51"/>
      <c r="E237" s="51"/>
      <c r="F237" s="51"/>
      <c r="G237" s="51" t="str">
        <f>IFERROR(__xludf.DUMMYFUNCTION("""COMPUTED_VALUE"""),"#VALUE!")</f>
        <v>#VALUE!</v>
      </c>
      <c r="H237" s="51" t="str">
        <f>IFERROR(__xludf.DUMMYFUNCTION("""COMPUTED_VALUE"""),"")</f>
        <v/>
      </c>
      <c r="I237" s="51" t="str">
        <f>IFERROR(__xludf.DUMMYFUNCTION("""COMPUTED_VALUE"""),"#VALUE!")</f>
        <v>#VALUE!</v>
      </c>
      <c r="J237" s="51" t="str">
        <f>IFERROR(__xludf.DUMMYFUNCTION("""COMPUTED_VALUE"""),"")</f>
        <v/>
      </c>
      <c r="K237" s="51"/>
      <c r="L237" s="51" t="s">
        <v>257</v>
      </c>
      <c r="M237" s="51"/>
      <c r="N237" s="51"/>
      <c r="O237" s="51"/>
      <c r="P237" s="51"/>
      <c r="Q237" s="51"/>
      <c r="R237" s="51"/>
      <c r="S237" s="51"/>
      <c r="T237" s="51"/>
    </row>
    <row r="238">
      <c r="A238" s="51"/>
      <c r="B238" s="51"/>
      <c r="C238" s="56"/>
      <c r="D238" s="51"/>
      <c r="E238" s="51"/>
      <c r="F238" s="51"/>
      <c r="G238" s="51" t="str">
        <f>IFERROR(__xludf.DUMMYFUNCTION("""COMPUTED_VALUE"""),"#VALUE!")</f>
        <v>#VALUE!</v>
      </c>
      <c r="H238" s="51" t="str">
        <f>IFERROR(__xludf.DUMMYFUNCTION("""COMPUTED_VALUE"""),"")</f>
        <v/>
      </c>
      <c r="I238" s="51" t="str">
        <f>IFERROR(__xludf.DUMMYFUNCTION("""COMPUTED_VALUE"""),"#VALUE!")</f>
        <v>#VALUE!</v>
      </c>
      <c r="J238" s="51" t="str">
        <f>IFERROR(__xludf.DUMMYFUNCTION("""COMPUTED_VALUE"""),"")</f>
        <v/>
      </c>
      <c r="K238" s="51"/>
      <c r="L238" s="51" t="s">
        <v>257</v>
      </c>
      <c r="M238" s="51"/>
      <c r="N238" s="51"/>
      <c r="O238" s="51"/>
      <c r="P238" s="51"/>
      <c r="Q238" s="51"/>
      <c r="R238" s="51"/>
      <c r="S238" s="51"/>
      <c r="T238" s="51"/>
    </row>
    <row r="239">
      <c r="A239" s="51"/>
      <c r="B239" s="51"/>
      <c r="C239" s="56"/>
      <c r="D239" s="51"/>
      <c r="E239" s="51"/>
      <c r="F239" s="51"/>
      <c r="G239" s="51" t="str">
        <f>IFERROR(__xludf.DUMMYFUNCTION("""COMPUTED_VALUE"""),"#VALUE!")</f>
        <v>#VALUE!</v>
      </c>
      <c r="H239" s="51" t="str">
        <f>IFERROR(__xludf.DUMMYFUNCTION("""COMPUTED_VALUE"""),"")</f>
        <v/>
      </c>
      <c r="I239" s="51" t="str">
        <f>IFERROR(__xludf.DUMMYFUNCTION("""COMPUTED_VALUE"""),"#VALUE!")</f>
        <v>#VALUE!</v>
      </c>
      <c r="J239" s="51" t="str">
        <f>IFERROR(__xludf.DUMMYFUNCTION("""COMPUTED_VALUE"""),"")</f>
        <v/>
      </c>
      <c r="K239" s="51"/>
      <c r="L239" s="51" t="s">
        <v>257</v>
      </c>
      <c r="M239" s="51"/>
      <c r="N239" s="51"/>
      <c r="O239" s="51"/>
      <c r="P239" s="51"/>
      <c r="Q239" s="51"/>
      <c r="R239" s="51"/>
      <c r="S239" s="51"/>
      <c r="T239" s="51"/>
    </row>
    <row r="240">
      <c r="A240" s="51"/>
      <c r="B240" s="51"/>
      <c r="C240" s="56"/>
      <c r="D240" s="51"/>
      <c r="E240" s="51"/>
      <c r="F240" s="51"/>
      <c r="G240" s="51" t="str">
        <f>IFERROR(__xludf.DUMMYFUNCTION("""COMPUTED_VALUE"""),"#VALUE!")</f>
        <v>#VALUE!</v>
      </c>
      <c r="H240" s="51" t="str">
        <f>IFERROR(__xludf.DUMMYFUNCTION("""COMPUTED_VALUE"""),"")</f>
        <v/>
      </c>
      <c r="I240" s="51" t="str">
        <f>IFERROR(__xludf.DUMMYFUNCTION("""COMPUTED_VALUE"""),"#VALUE!")</f>
        <v>#VALUE!</v>
      </c>
      <c r="J240" s="51" t="str">
        <f>IFERROR(__xludf.DUMMYFUNCTION("""COMPUTED_VALUE"""),"")</f>
        <v/>
      </c>
      <c r="K240" s="51"/>
      <c r="L240" s="51" t="s">
        <v>257</v>
      </c>
      <c r="M240" s="51"/>
      <c r="N240" s="51"/>
      <c r="O240" s="51"/>
      <c r="P240" s="51"/>
      <c r="Q240" s="51"/>
      <c r="R240" s="51"/>
      <c r="S240" s="51"/>
      <c r="T240" s="51"/>
    </row>
    <row r="241">
      <c r="A241" s="51"/>
      <c r="B241" s="51"/>
      <c r="C241" s="56"/>
      <c r="D241" s="51"/>
      <c r="E241" s="51"/>
      <c r="F241" s="51"/>
      <c r="G241" s="51" t="str">
        <f>IFERROR(__xludf.DUMMYFUNCTION("""COMPUTED_VALUE"""),"#VALUE!")</f>
        <v>#VALUE!</v>
      </c>
      <c r="H241" s="51" t="str">
        <f>IFERROR(__xludf.DUMMYFUNCTION("""COMPUTED_VALUE"""),"")</f>
        <v/>
      </c>
      <c r="I241" s="51" t="str">
        <f>IFERROR(__xludf.DUMMYFUNCTION("""COMPUTED_VALUE"""),"#VALUE!")</f>
        <v>#VALUE!</v>
      </c>
      <c r="J241" s="51" t="str">
        <f>IFERROR(__xludf.DUMMYFUNCTION("""COMPUTED_VALUE"""),"")</f>
        <v/>
      </c>
      <c r="K241" s="51"/>
      <c r="L241" s="51" t="s">
        <v>257</v>
      </c>
      <c r="M241" s="51"/>
      <c r="N241" s="51"/>
      <c r="O241" s="51"/>
      <c r="P241" s="51"/>
      <c r="Q241" s="51"/>
      <c r="R241" s="51"/>
      <c r="S241" s="51"/>
      <c r="T241" s="51"/>
    </row>
    <row r="242">
      <c r="A242" s="51"/>
      <c r="B242" s="51"/>
      <c r="C242" s="56"/>
      <c r="D242" s="51"/>
      <c r="E242" s="51"/>
      <c r="F242" s="51"/>
      <c r="G242" s="51" t="str">
        <f>IFERROR(__xludf.DUMMYFUNCTION("""COMPUTED_VALUE"""),"#VALUE!")</f>
        <v>#VALUE!</v>
      </c>
      <c r="H242" s="51" t="str">
        <f>IFERROR(__xludf.DUMMYFUNCTION("""COMPUTED_VALUE"""),"")</f>
        <v/>
      </c>
      <c r="I242" s="51" t="str">
        <f>IFERROR(__xludf.DUMMYFUNCTION("""COMPUTED_VALUE"""),"#VALUE!")</f>
        <v>#VALUE!</v>
      </c>
      <c r="J242" s="51" t="str">
        <f>IFERROR(__xludf.DUMMYFUNCTION("""COMPUTED_VALUE"""),"")</f>
        <v/>
      </c>
      <c r="K242" s="51"/>
      <c r="L242" s="51" t="s">
        <v>257</v>
      </c>
      <c r="M242" s="51"/>
      <c r="N242" s="51"/>
      <c r="O242" s="51"/>
      <c r="P242" s="51"/>
      <c r="Q242" s="51"/>
      <c r="R242" s="51"/>
      <c r="S242" s="51"/>
      <c r="T242" s="51"/>
    </row>
    <row r="243">
      <c r="A243" s="51"/>
      <c r="B243" s="51"/>
      <c r="C243" s="56"/>
      <c r="D243" s="51"/>
      <c r="E243" s="51"/>
      <c r="F243" s="51"/>
      <c r="G243" s="51" t="str">
        <f>IFERROR(__xludf.DUMMYFUNCTION("""COMPUTED_VALUE"""),"#VALUE!")</f>
        <v>#VALUE!</v>
      </c>
      <c r="H243" s="51" t="str">
        <f>IFERROR(__xludf.DUMMYFUNCTION("""COMPUTED_VALUE"""),"")</f>
        <v/>
      </c>
      <c r="I243" s="51" t="str">
        <f>IFERROR(__xludf.DUMMYFUNCTION("""COMPUTED_VALUE"""),"#VALUE!")</f>
        <v>#VALUE!</v>
      </c>
      <c r="J243" s="51" t="str">
        <f>IFERROR(__xludf.DUMMYFUNCTION("""COMPUTED_VALUE"""),"")</f>
        <v/>
      </c>
      <c r="K243" s="51"/>
      <c r="L243" s="51" t="s">
        <v>257</v>
      </c>
      <c r="M243" s="51"/>
      <c r="N243" s="51"/>
      <c r="O243" s="51"/>
      <c r="P243" s="51"/>
      <c r="Q243" s="51"/>
      <c r="R243" s="51"/>
      <c r="S243" s="51"/>
      <c r="T243" s="51"/>
    </row>
    <row r="244">
      <c r="A244" s="51"/>
      <c r="B244" s="51"/>
      <c r="C244" s="56"/>
      <c r="D244" s="51"/>
      <c r="E244" s="51"/>
      <c r="F244" s="51"/>
      <c r="G244" s="51" t="str">
        <f>IFERROR(__xludf.DUMMYFUNCTION("""COMPUTED_VALUE"""),"#VALUE!")</f>
        <v>#VALUE!</v>
      </c>
      <c r="H244" s="51" t="str">
        <f>IFERROR(__xludf.DUMMYFUNCTION("""COMPUTED_VALUE"""),"")</f>
        <v/>
      </c>
      <c r="I244" s="51" t="str">
        <f>IFERROR(__xludf.DUMMYFUNCTION("""COMPUTED_VALUE"""),"#VALUE!")</f>
        <v>#VALUE!</v>
      </c>
      <c r="J244" s="51" t="str">
        <f>IFERROR(__xludf.DUMMYFUNCTION("""COMPUTED_VALUE"""),"")</f>
        <v/>
      </c>
      <c r="K244" s="51"/>
      <c r="L244" s="51" t="s">
        <v>257</v>
      </c>
      <c r="M244" s="51"/>
      <c r="N244" s="51"/>
      <c r="O244" s="51"/>
      <c r="P244" s="51"/>
      <c r="Q244" s="51"/>
      <c r="R244" s="51"/>
      <c r="S244" s="51"/>
      <c r="T244" s="51"/>
    </row>
    <row r="245">
      <c r="A245" s="51"/>
      <c r="B245" s="51"/>
      <c r="C245" s="56"/>
      <c r="D245" s="51"/>
      <c r="E245" s="51"/>
      <c r="F245" s="51"/>
      <c r="G245" s="51" t="str">
        <f>IFERROR(__xludf.DUMMYFUNCTION("""COMPUTED_VALUE"""),"#VALUE!")</f>
        <v>#VALUE!</v>
      </c>
      <c r="H245" s="51" t="str">
        <f>IFERROR(__xludf.DUMMYFUNCTION("""COMPUTED_VALUE"""),"")</f>
        <v/>
      </c>
      <c r="I245" s="51" t="str">
        <f>IFERROR(__xludf.DUMMYFUNCTION("""COMPUTED_VALUE"""),"#VALUE!")</f>
        <v>#VALUE!</v>
      </c>
      <c r="J245" s="51" t="str">
        <f>IFERROR(__xludf.DUMMYFUNCTION("""COMPUTED_VALUE"""),"")</f>
        <v/>
      </c>
      <c r="K245" s="51"/>
      <c r="L245" s="51" t="s">
        <v>257</v>
      </c>
      <c r="M245" s="51"/>
      <c r="N245" s="51"/>
      <c r="O245" s="51"/>
      <c r="P245" s="51"/>
      <c r="Q245" s="51"/>
      <c r="R245" s="51"/>
      <c r="S245" s="51"/>
      <c r="T245" s="51"/>
    </row>
    <row r="246">
      <c r="A246" s="51"/>
      <c r="B246" s="51"/>
      <c r="C246" s="56"/>
      <c r="D246" s="51"/>
      <c r="E246" s="51"/>
      <c r="F246" s="51"/>
      <c r="G246" s="51" t="str">
        <f>IFERROR(__xludf.DUMMYFUNCTION("""COMPUTED_VALUE"""),"#VALUE!")</f>
        <v>#VALUE!</v>
      </c>
      <c r="H246" s="51" t="str">
        <f>IFERROR(__xludf.DUMMYFUNCTION("""COMPUTED_VALUE"""),"")</f>
        <v/>
      </c>
      <c r="I246" s="51" t="str">
        <f>IFERROR(__xludf.DUMMYFUNCTION("""COMPUTED_VALUE"""),"#VALUE!")</f>
        <v>#VALUE!</v>
      </c>
      <c r="J246" s="51" t="str">
        <f>IFERROR(__xludf.DUMMYFUNCTION("""COMPUTED_VALUE"""),"")</f>
        <v/>
      </c>
      <c r="K246" s="51"/>
      <c r="L246" s="51" t="s">
        <v>257</v>
      </c>
      <c r="M246" s="51"/>
      <c r="N246" s="51"/>
      <c r="O246" s="51"/>
      <c r="P246" s="51"/>
      <c r="Q246" s="51"/>
      <c r="R246" s="51"/>
      <c r="S246" s="51"/>
      <c r="T246" s="51"/>
    </row>
    <row r="247">
      <c r="A247" s="51"/>
      <c r="B247" s="51"/>
      <c r="C247" s="56"/>
      <c r="D247" s="51"/>
      <c r="E247" s="51"/>
      <c r="F247" s="51"/>
      <c r="G247" s="51" t="str">
        <f>IFERROR(__xludf.DUMMYFUNCTION("""COMPUTED_VALUE"""),"#VALUE!")</f>
        <v>#VALUE!</v>
      </c>
      <c r="H247" s="51" t="str">
        <f>IFERROR(__xludf.DUMMYFUNCTION("""COMPUTED_VALUE"""),"")</f>
        <v/>
      </c>
      <c r="I247" s="51" t="str">
        <f>IFERROR(__xludf.DUMMYFUNCTION("""COMPUTED_VALUE"""),"#VALUE!")</f>
        <v>#VALUE!</v>
      </c>
      <c r="J247" s="51" t="str">
        <f>IFERROR(__xludf.DUMMYFUNCTION("""COMPUTED_VALUE"""),"")</f>
        <v/>
      </c>
      <c r="K247" s="51"/>
      <c r="L247" s="51" t="s">
        <v>257</v>
      </c>
      <c r="M247" s="51"/>
      <c r="N247" s="51"/>
      <c r="O247" s="51"/>
      <c r="P247" s="51"/>
      <c r="Q247" s="51"/>
      <c r="R247" s="51"/>
      <c r="S247" s="51"/>
      <c r="T247" s="51"/>
    </row>
    <row r="248">
      <c r="A248" s="51"/>
      <c r="B248" s="51"/>
      <c r="C248" s="56"/>
      <c r="D248" s="51"/>
      <c r="E248" s="51"/>
      <c r="F248" s="51"/>
      <c r="G248" s="51" t="str">
        <f>IFERROR(__xludf.DUMMYFUNCTION("""COMPUTED_VALUE"""),"#VALUE!")</f>
        <v>#VALUE!</v>
      </c>
      <c r="H248" s="51" t="str">
        <f>IFERROR(__xludf.DUMMYFUNCTION("""COMPUTED_VALUE"""),"")</f>
        <v/>
      </c>
      <c r="I248" s="51" t="str">
        <f>IFERROR(__xludf.DUMMYFUNCTION("""COMPUTED_VALUE"""),"#VALUE!")</f>
        <v>#VALUE!</v>
      </c>
      <c r="J248" s="51" t="str">
        <f>IFERROR(__xludf.DUMMYFUNCTION("""COMPUTED_VALUE"""),"")</f>
        <v/>
      </c>
      <c r="K248" s="51"/>
      <c r="L248" s="51" t="s">
        <v>257</v>
      </c>
      <c r="M248" s="51"/>
      <c r="N248" s="51"/>
      <c r="O248" s="51"/>
      <c r="P248" s="51"/>
      <c r="Q248" s="51"/>
      <c r="R248" s="51"/>
      <c r="S248" s="51"/>
      <c r="T248" s="51"/>
    </row>
    <row r="249">
      <c r="A249" s="51"/>
      <c r="B249" s="51"/>
      <c r="C249" s="56"/>
      <c r="D249" s="51"/>
      <c r="E249" s="51"/>
      <c r="F249" s="51"/>
      <c r="G249" s="51" t="str">
        <f>IFERROR(__xludf.DUMMYFUNCTION("""COMPUTED_VALUE"""),"#VALUE!")</f>
        <v>#VALUE!</v>
      </c>
      <c r="H249" s="51" t="str">
        <f>IFERROR(__xludf.DUMMYFUNCTION("""COMPUTED_VALUE"""),"")</f>
        <v/>
      </c>
      <c r="I249" s="51" t="str">
        <f>IFERROR(__xludf.DUMMYFUNCTION("""COMPUTED_VALUE"""),"#VALUE!")</f>
        <v>#VALUE!</v>
      </c>
      <c r="J249" s="51" t="str">
        <f>IFERROR(__xludf.DUMMYFUNCTION("""COMPUTED_VALUE"""),"")</f>
        <v/>
      </c>
      <c r="K249" s="51"/>
      <c r="L249" s="51" t="s">
        <v>257</v>
      </c>
      <c r="M249" s="51"/>
      <c r="N249" s="51"/>
      <c r="O249" s="51"/>
      <c r="P249" s="51"/>
      <c r="Q249" s="51"/>
      <c r="R249" s="51"/>
      <c r="S249" s="51"/>
      <c r="T249" s="51"/>
    </row>
    <row r="250">
      <c r="A250" s="51"/>
      <c r="B250" s="51"/>
      <c r="C250" s="56"/>
      <c r="D250" s="51"/>
      <c r="E250" s="51"/>
      <c r="F250" s="51"/>
      <c r="G250" s="51" t="str">
        <f>IFERROR(__xludf.DUMMYFUNCTION("""COMPUTED_VALUE"""),"#VALUE!")</f>
        <v>#VALUE!</v>
      </c>
      <c r="H250" s="51" t="str">
        <f>IFERROR(__xludf.DUMMYFUNCTION("""COMPUTED_VALUE"""),"")</f>
        <v/>
      </c>
      <c r="I250" s="51" t="str">
        <f>IFERROR(__xludf.DUMMYFUNCTION("""COMPUTED_VALUE"""),"#VALUE!")</f>
        <v>#VALUE!</v>
      </c>
      <c r="J250" s="51" t="str">
        <f>IFERROR(__xludf.DUMMYFUNCTION("""COMPUTED_VALUE"""),"")</f>
        <v/>
      </c>
      <c r="K250" s="51"/>
      <c r="L250" s="51" t="s">
        <v>257</v>
      </c>
      <c r="M250" s="51"/>
      <c r="N250" s="51"/>
      <c r="O250" s="51"/>
      <c r="P250" s="51"/>
      <c r="Q250" s="51"/>
      <c r="R250" s="51"/>
      <c r="S250" s="51"/>
      <c r="T250" s="51"/>
    </row>
    <row r="251">
      <c r="A251" s="51"/>
      <c r="B251" s="51"/>
      <c r="C251" s="56"/>
      <c r="D251" s="51"/>
      <c r="E251" s="51"/>
      <c r="F251" s="51"/>
      <c r="G251" s="51" t="str">
        <f>IFERROR(__xludf.DUMMYFUNCTION("""COMPUTED_VALUE"""),"#VALUE!")</f>
        <v>#VALUE!</v>
      </c>
      <c r="H251" s="51" t="str">
        <f>IFERROR(__xludf.DUMMYFUNCTION("""COMPUTED_VALUE"""),"")</f>
        <v/>
      </c>
      <c r="I251" s="51" t="str">
        <f>IFERROR(__xludf.DUMMYFUNCTION("""COMPUTED_VALUE"""),"#VALUE!")</f>
        <v>#VALUE!</v>
      </c>
      <c r="J251" s="51" t="str">
        <f>IFERROR(__xludf.DUMMYFUNCTION("""COMPUTED_VALUE"""),"")</f>
        <v/>
      </c>
      <c r="K251" s="51"/>
      <c r="L251" s="51" t="s">
        <v>257</v>
      </c>
      <c r="M251" s="51"/>
      <c r="N251" s="51"/>
      <c r="O251" s="51"/>
      <c r="P251" s="51"/>
      <c r="Q251" s="51"/>
      <c r="R251" s="51"/>
      <c r="S251" s="51"/>
      <c r="T251" s="51"/>
    </row>
    <row r="252">
      <c r="A252" s="51"/>
      <c r="B252" s="51"/>
      <c r="C252" s="56"/>
      <c r="D252" s="51"/>
      <c r="E252" s="51"/>
      <c r="F252" s="51"/>
      <c r="G252" s="51" t="str">
        <f>IFERROR(__xludf.DUMMYFUNCTION("""COMPUTED_VALUE"""),"#VALUE!")</f>
        <v>#VALUE!</v>
      </c>
      <c r="H252" s="51" t="str">
        <f>IFERROR(__xludf.DUMMYFUNCTION("""COMPUTED_VALUE"""),"")</f>
        <v/>
      </c>
      <c r="I252" s="51" t="str">
        <f>IFERROR(__xludf.DUMMYFUNCTION("""COMPUTED_VALUE"""),"#VALUE!")</f>
        <v>#VALUE!</v>
      </c>
      <c r="J252" s="51" t="str">
        <f>IFERROR(__xludf.DUMMYFUNCTION("""COMPUTED_VALUE"""),"")</f>
        <v/>
      </c>
      <c r="K252" s="51"/>
      <c r="L252" s="51" t="s">
        <v>257</v>
      </c>
      <c r="M252" s="51"/>
      <c r="N252" s="51"/>
      <c r="O252" s="51"/>
      <c r="P252" s="51"/>
      <c r="Q252" s="51"/>
      <c r="R252" s="51"/>
      <c r="S252" s="51"/>
      <c r="T252" s="51"/>
    </row>
    <row r="253">
      <c r="A253" s="51"/>
      <c r="B253" s="51"/>
      <c r="C253" s="56"/>
      <c r="D253" s="51"/>
      <c r="E253" s="51"/>
      <c r="F253" s="51"/>
      <c r="G253" s="51" t="str">
        <f>IFERROR(__xludf.DUMMYFUNCTION("""COMPUTED_VALUE"""),"#VALUE!")</f>
        <v>#VALUE!</v>
      </c>
      <c r="H253" s="51" t="str">
        <f>IFERROR(__xludf.DUMMYFUNCTION("""COMPUTED_VALUE"""),"")</f>
        <v/>
      </c>
      <c r="I253" s="51" t="str">
        <f>IFERROR(__xludf.DUMMYFUNCTION("""COMPUTED_VALUE"""),"#VALUE!")</f>
        <v>#VALUE!</v>
      </c>
      <c r="J253" s="51" t="str">
        <f>IFERROR(__xludf.DUMMYFUNCTION("""COMPUTED_VALUE"""),"")</f>
        <v/>
      </c>
      <c r="K253" s="51"/>
      <c r="L253" s="51" t="s">
        <v>257</v>
      </c>
      <c r="M253" s="51"/>
      <c r="N253" s="51"/>
      <c r="O253" s="51"/>
      <c r="P253" s="51"/>
      <c r="Q253" s="51"/>
      <c r="R253" s="51"/>
      <c r="S253" s="51"/>
      <c r="T253" s="51"/>
    </row>
    <row r="254">
      <c r="A254" s="51"/>
      <c r="B254" s="51"/>
      <c r="C254" s="56"/>
      <c r="D254" s="51"/>
      <c r="E254" s="51"/>
      <c r="F254" s="51"/>
      <c r="G254" s="51" t="str">
        <f>IFERROR(__xludf.DUMMYFUNCTION("""COMPUTED_VALUE"""),"#VALUE!")</f>
        <v>#VALUE!</v>
      </c>
      <c r="H254" s="51" t="str">
        <f>IFERROR(__xludf.DUMMYFUNCTION("""COMPUTED_VALUE"""),"")</f>
        <v/>
      </c>
      <c r="I254" s="51" t="str">
        <f>IFERROR(__xludf.DUMMYFUNCTION("""COMPUTED_VALUE"""),"#VALUE!")</f>
        <v>#VALUE!</v>
      </c>
      <c r="J254" s="51" t="str">
        <f>IFERROR(__xludf.DUMMYFUNCTION("""COMPUTED_VALUE"""),"")</f>
        <v/>
      </c>
      <c r="K254" s="51"/>
      <c r="L254" s="51" t="s">
        <v>257</v>
      </c>
      <c r="M254" s="51"/>
      <c r="N254" s="51"/>
      <c r="O254" s="51"/>
      <c r="P254" s="51"/>
      <c r="Q254" s="51"/>
      <c r="R254" s="51"/>
      <c r="S254" s="51"/>
      <c r="T254" s="51"/>
    </row>
    <row r="255">
      <c r="A255" s="51"/>
      <c r="B255" s="51"/>
      <c r="C255" s="56"/>
      <c r="D255" s="51"/>
      <c r="E255" s="51"/>
      <c r="F255" s="51"/>
      <c r="G255" s="51" t="str">
        <f>IFERROR(__xludf.DUMMYFUNCTION("""COMPUTED_VALUE"""),"#VALUE!")</f>
        <v>#VALUE!</v>
      </c>
      <c r="H255" s="51" t="str">
        <f>IFERROR(__xludf.DUMMYFUNCTION("""COMPUTED_VALUE"""),"")</f>
        <v/>
      </c>
      <c r="I255" s="51" t="str">
        <f>IFERROR(__xludf.DUMMYFUNCTION("""COMPUTED_VALUE"""),"#VALUE!")</f>
        <v>#VALUE!</v>
      </c>
      <c r="J255" s="51" t="str">
        <f>IFERROR(__xludf.DUMMYFUNCTION("""COMPUTED_VALUE"""),"")</f>
        <v/>
      </c>
      <c r="K255" s="51"/>
      <c r="L255" s="51" t="s">
        <v>257</v>
      </c>
      <c r="M255" s="51"/>
      <c r="N255" s="51"/>
      <c r="O255" s="51"/>
      <c r="P255" s="51"/>
      <c r="Q255" s="51"/>
      <c r="R255" s="51"/>
      <c r="S255" s="51"/>
      <c r="T255" s="51"/>
    </row>
    <row r="256">
      <c r="A256" s="51"/>
      <c r="B256" s="51"/>
      <c r="C256" s="56"/>
      <c r="D256" s="51"/>
      <c r="E256" s="51"/>
      <c r="F256" s="51"/>
      <c r="G256" s="51" t="str">
        <f>IFERROR(__xludf.DUMMYFUNCTION("""COMPUTED_VALUE"""),"#VALUE!")</f>
        <v>#VALUE!</v>
      </c>
      <c r="H256" s="51" t="str">
        <f>IFERROR(__xludf.DUMMYFUNCTION("""COMPUTED_VALUE"""),"")</f>
        <v/>
      </c>
      <c r="I256" s="51" t="str">
        <f>IFERROR(__xludf.DUMMYFUNCTION("""COMPUTED_VALUE"""),"#VALUE!")</f>
        <v>#VALUE!</v>
      </c>
      <c r="J256" s="51" t="str">
        <f>IFERROR(__xludf.DUMMYFUNCTION("""COMPUTED_VALUE"""),"")</f>
        <v/>
      </c>
      <c r="K256" s="51"/>
      <c r="L256" s="51" t="s">
        <v>257</v>
      </c>
      <c r="M256" s="51"/>
      <c r="N256" s="51"/>
      <c r="O256" s="51"/>
      <c r="P256" s="51"/>
      <c r="Q256" s="51"/>
      <c r="R256" s="51"/>
      <c r="S256" s="51"/>
      <c r="T256" s="51"/>
    </row>
    <row r="257">
      <c r="A257" s="51"/>
      <c r="B257" s="51"/>
      <c r="C257" s="56"/>
      <c r="D257" s="51"/>
      <c r="E257" s="51"/>
      <c r="F257" s="51"/>
      <c r="G257" s="51" t="str">
        <f>IFERROR(__xludf.DUMMYFUNCTION("""COMPUTED_VALUE"""),"#VALUE!")</f>
        <v>#VALUE!</v>
      </c>
      <c r="H257" s="51" t="str">
        <f>IFERROR(__xludf.DUMMYFUNCTION("""COMPUTED_VALUE"""),"")</f>
        <v/>
      </c>
      <c r="I257" s="51" t="str">
        <f>IFERROR(__xludf.DUMMYFUNCTION("""COMPUTED_VALUE"""),"#VALUE!")</f>
        <v>#VALUE!</v>
      </c>
      <c r="J257" s="51" t="str">
        <f>IFERROR(__xludf.DUMMYFUNCTION("""COMPUTED_VALUE"""),"")</f>
        <v/>
      </c>
      <c r="K257" s="51"/>
      <c r="L257" s="51" t="s">
        <v>257</v>
      </c>
      <c r="M257" s="51"/>
      <c r="N257" s="51"/>
      <c r="O257" s="51"/>
      <c r="P257" s="51"/>
      <c r="Q257" s="51"/>
      <c r="R257" s="51"/>
      <c r="S257" s="51"/>
      <c r="T257" s="51"/>
    </row>
    <row r="258">
      <c r="A258" s="51"/>
      <c r="B258" s="51"/>
      <c r="C258" s="56"/>
      <c r="D258" s="51"/>
      <c r="E258" s="51"/>
      <c r="F258" s="51"/>
      <c r="G258" s="51" t="str">
        <f>IFERROR(__xludf.DUMMYFUNCTION("""COMPUTED_VALUE"""),"#VALUE!")</f>
        <v>#VALUE!</v>
      </c>
      <c r="H258" s="51" t="str">
        <f>IFERROR(__xludf.DUMMYFUNCTION("""COMPUTED_VALUE"""),"")</f>
        <v/>
      </c>
      <c r="I258" s="51" t="str">
        <f>IFERROR(__xludf.DUMMYFUNCTION("""COMPUTED_VALUE"""),"#VALUE!")</f>
        <v>#VALUE!</v>
      </c>
      <c r="J258" s="51" t="str">
        <f>IFERROR(__xludf.DUMMYFUNCTION("""COMPUTED_VALUE"""),"")</f>
        <v/>
      </c>
      <c r="K258" s="51"/>
      <c r="L258" s="51" t="s">
        <v>257</v>
      </c>
      <c r="M258" s="51"/>
      <c r="N258" s="51"/>
      <c r="O258" s="51"/>
      <c r="P258" s="51"/>
      <c r="Q258" s="51"/>
      <c r="R258" s="51"/>
      <c r="S258" s="51"/>
      <c r="T258" s="51"/>
    </row>
    <row r="259">
      <c r="A259" s="51"/>
      <c r="B259" s="51"/>
      <c r="C259" s="56"/>
      <c r="D259" s="51"/>
      <c r="E259" s="51"/>
      <c r="F259" s="51"/>
      <c r="G259" s="51" t="str">
        <f>IFERROR(__xludf.DUMMYFUNCTION("""COMPUTED_VALUE"""),"#VALUE!")</f>
        <v>#VALUE!</v>
      </c>
      <c r="H259" s="51" t="str">
        <f>IFERROR(__xludf.DUMMYFUNCTION("""COMPUTED_VALUE"""),"")</f>
        <v/>
      </c>
      <c r="I259" s="51" t="str">
        <f>IFERROR(__xludf.DUMMYFUNCTION("""COMPUTED_VALUE"""),"#VALUE!")</f>
        <v>#VALUE!</v>
      </c>
      <c r="J259" s="51" t="str">
        <f>IFERROR(__xludf.DUMMYFUNCTION("""COMPUTED_VALUE"""),"")</f>
        <v/>
      </c>
      <c r="K259" s="51"/>
      <c r="L259" s="51" t="s">
        <v>257</v>
      </c>
      <c r="M259" s="51"/>
      <c r="N259" s="51"/>
      <c r="O259" s="51"/>
      <c r="P259" s="51"/>
      <c r="Q259" s="51"/>
      <c r="R259" s="51"/>
      <c r="S259" s="51"/>
      <c r="T259" s="51"/>
    </row>
    <row r="260">
      <c r="A260" s="51"/>
      <c r="B260" s="51"/>
      <c r="C260" s="56"/>
      <c r="D260" s="51"/>
      <c r="E260" s="51"/>
      <c r="F260" s="51"/>
      <c r="G260" s="51" t="str">
        <f>IFERROR(__xludf.DUMMYFUNCTION("""COMPUTED_VALUE"""),"#VALUE!")</f>
        <v>#VALUE!</v>
      </c>
      <c r="H260" s="51" t="str">
        <f>IFERROR(__xludf.DUMMYFUNCTION("""COMPUTED_VALUE"""),"")</f>
        <v/>
      </c>
      <c r="I260" s="51" t="str">
        <f>IFERROR(__xludf.DUMMYFUNCTION("""COMPUTED_VALUE"""),"#VALUE!")</f>
        <v>#VALUE!</v>
      </c>
      <c r="J260" s="51" t="str">
        <f>IFERROR(__xludf.DUMMYFUNCTION("""COMPUTED_VALUE"""),"")</f>
        <v/>
      </c>
      <c r="K260" s="51"/>
      <c r="L260" s="51" t="s">
        <v>257</v>
      </c>
      <c r="M260" s="51"/>
      <c r="N260" s="51"/>
      <c r="O260" s="51"/>
      <c r="P260" s="51"/>
      <c r="Q260" s="51"/>
      <c r="R260" s="51"/>
      <c r="S260" s="51"/>
      <c r="T260" s="51"/>
    </row>
    <row r="261">
      <c r="A261" s="51"/>
      <c r="B261" s="51"/>
      <c r="C261" s="56"/>
      <c r="D261" s="51"/>
      <c r="E261" s="51"/>
      <c r="F261" s="51"/>
      <c r="G261" s="51" t="str">
        <f>IFERROR(__xludf.DUMMYFUNCTION("""COMPUTED_VALUE"""),"#VALUE!")</f>
        <v>#VALUE!</v>
      </c>
      <c r="H261" s="51" t="str">
        <f>IFERROR(__xludf.DUMMYFUNCTION("""COMPUTED_VALUE"""),"")</f>
        <v/>
      </c>
      <c r="I261" s="51" t="str">
        <f>IFERROR(__xludf.DUMMYFUNCTION("""COMPUTED_VALUE"""),"#VALUE!")</f>
        <v>#VALUE!</v>
      </c>
      <c r="J261" s="51" t="str">
        <f>IFERROR(__xludf.DUMMYFUNCTION("""COMPUTED_VALUE"""),"")</f>
        <v/>
      </c>
      <c r="K261" s="51"/>
      <c r="L261" s="51" t="s">
        <v>257</v>
      </c>
      <c r="M261" s="51"/>
      <c r="N261" s="51"/>
      <c r="O261" s="51"/>
      <c r="P261" s="51"/>
      <c r="Q261" s="51"/>
      <c r="R261" s="51"/>
      <c r="S261" s="51"/>
      <c r="T261" s="51"/>
    </row>
    <row r="262">
      <c r="A262" s="51"/>
      <c r="B262" s="51"/>
      <c r="C262" s="56"/>
      <c r="D262" s="51"/>
      <c r="E262" s="51"/>
      <c r="F262" s="51"/>
      <c r="G262" s="51" t="str">
        <f>IFERROR(__xludf.DUMMYFUNCTION("""COMPUTED_VALUE"""),"#VALUE!")</f>
        <v>#VALUE!</v>
      </c>
      <c r="H262" s="51" t="str">
        <f>IFERROR(__xludf.DUMMYFUNCTION("""COMPUTED_VALUE"""),"")</f>
        <v/>
      </c>
      <c r="I262" s="51" t="str">
        <f>IFERROR(__xludf.DUMMYFUNCTION("""COMPUTED_VALUE"""),"#VALUE!")</f>
        <v>#VALUE!</v>
      </c>
      <c r="J262" s="51" t="str">
        <f>IFERROR(__xludf.DUMMYFUNCTION("""COMPUTED_VALUE"""),"")</f>
        <v/>
      </c>
      <c r="K262" s="51"/>
      <c r="L262" s="51" t="s">
        <v>257</v>
      </c>
      <c r="M262" s="51"/>
      <c r="N262" s="51"/>
      <c r="O262" s="51"/>
      <c r="P262" s="51"/>
      <c r="Q262" s="51"/>
      <c r="R262" s="51"/>
      <c r="S262" s="51"/>
      <c r="T262" s="51"/>
    </row>
    <row r="263">
      <c r="A263" s="51"/>
      <c r="B263" s="51"/>
      <c r="C263" s="56"/>
      <c r="D263" s="51"/>
      <c r="E263" s="51"/>
      <c r="F263" s="51"/>
      <c r="G263" s="51" t="str">
        <f>IFERROR(__xludf.DUMMYFUNCTION("""COMPUTED_VALUE"""),"#VALUE!")</f>
        <v>#VALUE!</v>
      </c>
      <c r="H263" s="51" t="str">
        <f>IFERROR(__xludf.DUMMYFUNCTION("""COMPUTED_VALUE"""),"")</f>
        <v/>
      </c>
      <c r="I263" s="51" t="str">
        <f>IFERROR(__xludf.DUMMYFUNCTION("""COMPUTED_VALUE"""),"#VALUE!")</f>
        <v>#VALUE!</v>
      </c>
      <c r="J263" s="51" t="str">
        <f>IFERROR(__xludf.DUMMYFUNCTION("""COMPUTED_VALUE"""),"")</f>
        <v/>
      </c>
      <c r="K263" s="51"/>
      <c r="L263" s="51" t="s">
        <v>257</v>
      </c>
      <c r="M263" s="51"/>
      <c r="N263" s="51"/>
      <c r="O263" s="51"/>
      <c r="P263" s="51"/>
      <c r="Q263" s="51"/>
      <c r="R263" s="51"/>
      <c r="S263" s="51"/>
      <c r="T263" s="51"/>
    </row>
    <row r="264">
      <c r="A264" s="51"/>
      <c r="B264" s="51"/>
      <c r="C264" s="56"/>
      <c r="D264" s="51"/>
      <c r="E264" s="51"/>
      <c r="F264" s="51"/>
      <c r="G264" s="51" t="str">
        <f>IFERROR(__xludf.DUMMYFUNCTION("""COMPUTED_VALUE"""),"#VALUE!")</f>
        <v>#VALUE!</v>
      </c>
      <c r="H264" s="51" t="str">
        <f>IFERROR(__xludf.DUMMYFUNCTION("""COMPUTED_VALUE"""),"")</f>
        <v/>
      </c>
      <c r="I264" s="51" t="str">
        <f>IFERROR(__xludf.DUMMYFUNCTION("""COMPUTED_VALUE"""),"#VALUE!")</f>
        <v>#VALUE!</v>
      </c>
      <c r="J264" s="51" t="str">
        <f>IFERROR(__xludf.DUMMYFUNCTION("""COMPUTED_VALUE"""),"")</f>
        <v/>
      </c>
      <c r="K264" s="51"/>
      <c r="L264" s="51" t="s">
        <v>257</v>
      </c>
      <c r="M264" s="51"/>
      <c r="N264" s="51"/>
      <c r="O264" s="51"/>
      <c r="P264" s="51"/>
      <c r="Q264" s="51"/>
      <c r="R264" s="51"/>
      <c r="S264" s="51"/>
      <c r="T264" s="51"/>
    </row>
    <row r="265">
      <c r="A265" s="51"/>
      <c r="B265" s="51"/>
      <c r="C265" s="56"/>
      <c r="D265" s="51"/>
      <c r="E265" s="51"/>
      <c r="F265" s="51"/>
      <c r="G265" s="51" t="str">
        <f>IFERROR(__xludf.DUMMYFUNCTION("""COMPUTED_VALUE"""),"#VALUE!")</f>
        <v>#VALUE!</v>
      </c>
      <c r="H265" s="51" t="str">
        <f>IFERROR(__xludf.DUMMYFUNCTION("""COMPUTED_VALUE"""),"")</f>
        <v/>
      </c>
      <c r="I265" s="51" t="str">
        <f>IFERROR(__xludf.DUMMYFUNCTION("""COMPUTED_VALUE"""),"#VALUE!")</f>
        <v>#VALUE!</v>
      </c>
      <c r="J265" s="51" t="str">
        <f>IFERROR(__xludf.DUMMYFUNCTION("""COMPUTED_VALUE"""),"")</f>
        <v/>
      </c>
      <c r="K265" s="51"/>
      <c r="L265" s="51" t="s">
        <v>257</v>
      </c>
      <c r="M265" s="51"/>
      <c r="N265" s="51"/>
      <c r="O265" s="51"/>
      <c r="P265" s="51"/>
      <c r="Q265" s="51"/>
      <c r="R265" s="51"/>
      <c r="S265" s="51"/>
      <c r="T265" s="51"/>
    </row>
    <row r="266">
      <c r="A266" s="51"/>
      <c r="B266" s="51"/>
      <c r="C266" s="56"/>
      <c r="D266" s="51"/>
      <c r="E266" s="51"/>
      <c r="F266" s="51"/>
      <c r="G266" s="51" t="str">
        <f>IFERROR(__xludf.DUMMYFUNCTION("""COMPUTED_VALUE"""),"#VALUE!")</f>
        <v>#VALUE!</v>
      </c>
      <c r="H266" s="51" t="str">
        <f>IFERROR(__xludf.DUMMYFUNCTION("""COMPUTED_VALUE"""),"")</f>
        <v/>
      </c>
      <c r="I266" s="51" t="str">
        <f>IFERROR(__xludf.DUMMYFUNCTION("""COMPUTED_VALUE"""),"#VALUE!")</f>
        <v>#VALUE!</v>
      </c>
      <c r="J266" s="51" t="str">
        <f>IFERROR(__xludf.DUMMYFUNCTION("""COMPUTED_VALUE"""),"")</f>
        <v/>
      </c>
      <c r="K266" s="51"/>
      <c r="L266" s="51" t="s">
        <v>257</v>
      </c>
      <c r="M266" s="51"/>
      <c r="N266" s="51"/>
      <c r="O266" s="51"/>
      <c r="P266" s="51"/>
      <c r="Q266" s="51"/>
      <c r="R266" s="51"/>
      <c r="S266" s="51"/>
      <c r="T266" s="51"/>
    </row>
    <row r="267">
      <c r="A267" s="51"/>
      <c r="B267" s="51"/>
      <c r="C267" s="56"/>
      <c r="D267" s="51"/>
      <c r="E267" s="51"/>
      <c r="F267" s="51"/>
      <c r="G267" s="51" t="str">
        <f>IFERROR(__xludf.DUMMYFUNCTION("""COMPUTED_VALUE"""),"#VALUE!")</f>
        <v>#VALUE!</v>
      </c>
      <c r="H267" s="51" t="str">
        <f>IFERROR(__xludf.DUMMYFUNCTION("""COMPUTED_VALUE"""),"")</f>
        <v/>
      </c>
      <c r="I267" s="51" t="str">
        <f>IFERROR(__xludf.DUMMYFUNCTION("""COMPUTED_VALUE"""),"#VALUE!")</f>
        <v>#VALUE!</v>
      </c>
      <c r="J267" s="51" t="str">
        <f>IFERROR(__xludf.DUMMYFUNCTION("""COMPUTED_VALUE"""),"")</f>
        <v/>
      </c>
      <c r="K267" s="51"/>
      <c r="L267" s="51" t="s">
        <v>257</v>
      </c>
      <c r="M267" s="51"/>
      <c r="N267" s="51"/>
      <c r="O267" s="51"/>
      <c r="P267" s="51"/>
      <c r="Q267" s="51"/>
      <c r="R267" s="51"/>
      <c r="S267" s="51"/>
      <c r="T267" s="51"/>
    </row>
    <row r="268">
      <c r="A268" s="51"/>
      <c r="B268" s="51"/>
      <c r="C268" s="56"/>
      <c r="D268" s="51"/>
      <c r="E268" s="51"/>
      <c r="F268" s="51"/>
      <c r="G268" s="51" t="str">
        <f>IFERROR(__xludf.DUMMYFUNCTION("""COMPUTED_VALUE"""),"#VALUE!")</f>
        <v>#VALUE!</v>
      </c>
      <c r="H268" s="51" t="str">
        <f>IFERROR(__xludf.DUMMYFUNCTION("""COMPUTED_VALUE"""),"")</f>
        <v/>
      </c>
      <c r="I268" s="51" t="str">
        <f>IFERROR(__xludf.DUMMYFUNCTION("""COMPUTED_VALUE"""),"#VALUE!")</f>
        <v>#VALUE!</v>
      </c>
      <c r="J268" s="51" t="str">
        <f>IFERROR(__xludf.DUMMYFUNCTION("""COMPUTED_VALUE"""),"")</f>
        <v/>
      </c>
      <c r="K268" s="51"/>
      <c r="L268" s="51" t="s">
        <v>257</v>
      </c>
      <c r="M268" s="51"/>
      <c r="N268" s="51"/>
      <c r="O268" s="51"/>
      <c r="P268" s="51"/>
      <c r="Q268" s="51"/>
      <c r="R268" s="51"/>
      <c r="S268" s="51"/>
      <c r="T268" s="51"/>
    </row>
    <row r="269">
      <c r="A269" s="51"/>
      <c r="B269" s="51"/>
      <c r="C269" s="56"/>
      <c r="D269" s="51"/>
      <c r="E269" s="51"/>
      <c r="F269" s="51"/>
      <c r="G269" s="51" t="str">
        <f>IFERROR(__xludf.DUMMYFUNCTION("""COMPUTED_VALUE"""),"#VALUE!")</f>
        <v>#VALUE!</v>
      </c>
      <c r="H269" s="51" t="str">
        <f>IFERROR(__xludf.DUMMYFUNCTION("""COMPUTED_VALUE"""),"")</f>
        <v/>
      </c>
      <c r="I269" s="51" t="str">
        <f>IFERROR(__xludf.DUMMYFUNCTION("""COMPUTED_VALUE"""),"#VALUE!")</f>
        <v>#VALUE!</v>
      </c>
      <c r="J269" s="51" t="str">
        <f>IFERROR(__xludf.DUMMYFUNCTION("""COMPUTED_VALUE"""),"")</f>
        <v/>
      </c>
      <c r="K269" s="51"/>
      <c r="L269" s="51" t="s">
        <v>257</v>
      </c>
      <c r="M269" s="51"/>
      <c r="N269" s="51"/>
      <c r="O269" s="51"/>
      <c r="P269" s="51"/>
      <c r="Q269" s="51"/>
      <c r="R269" s="51"/>
      <c r="S269" s="51"/>
      <c r="T269" s="51"/>
    </row>
    <row r="270">
      <c r="A270" s="51"/>
      <c r="B270" s="51"/>
      <c r="C270" s="56"/>
      <c r="D270" s="51"/>
      <c r="E270" s="51"/>
      <c r="F270" s="51"/>
      <c r="G270" s="51" t="str">
        <f>IFERROR(__xludf.DUMMYFUNCTION("""COMPUTED_VALUE"""),"#VALUE!")</f>
        <v>#VALUE!</v>
      </c>
      <c r="H270" s="51" t="str">
        <f>IFERROR(__xludf.DUMMYFUNCTION("""COMPUTED_VALUE"""),"")</f>
        <v/>
      </c>
      <c r="I270" s="51" t="str">
        <f>IFERROR(__xludf.DUMMYFUNCTION("""COMPUTED_VALUE"""),"#VALUE!")</f>
        <v>#VALUE!</v>
      </c>
      <c r="J270" s="51" t="str">
        <f>IFERROR(__xludf.DUMMYFUNCTION("""COMPUTED_VALUE"""),"")</f>
        <v/>
      </c>
      <c r="K270" s="51"/>
      <c r="L270" s="51" t="s">
        <v>257</v>
      </c>
      <c r="M270" s="51"/>
      <c r="N270" s="51"/>
      <c r="O270" s="51"/>
      <c r="P270" s="51"/>
      <c r="Q270" s="51"/>
      <c r="R270" s="51"/>
      <c r="S270" s="51"/>
      <c r="T270" s="51"/>
    </row>
    <row r="271">
      <c r="A271" s="51"/>
      <c r="B271" s="51"/>
      <c r="C271" s="56"/>
      <c r="D271" s="51"/>
      <c r="E271" s="51"/>
      <c r="F271" s="51"/>
      <c r="G271" s="51" t="str">
        <f>IFERROR(__xludf.DUMMYFUNCTION("""COMPUTED_VALUE"""),"#VALUE!")</f>
        <v>#VALUE!</v>
      </c>
      <c r="H271" s="51" t="str">
        <f>IFERROR(__xludf.DUMMYFUNCTION("""COMPUTED_VALUE"""),"")</f>
        <v/>
      </c>
      <c r="I271" s="51" t="str">
        <f>IFERROR(__xludf.DUMMYFUNCTION("""COMPUTED_VALUE"""),"#VALUE!")</f>
        <v>#VALUE!</v>
      </c>
      <c r="J271" s="51" t="str">
        <f>IFERROR(__xludf.DUMMYFUNCTION("""COMPUTED_VALUE"""),"")</f>
        <v/>
      </c>
      <c r="K271" s="51"/>
      <c r="L271" s="51" t="s">
        <v>257</v>
      </c>
      <c r="M271" s="51"/>
      <c r="N271" s="51"/>
      <c r="O271" s="51"/>
      <c r="P271" s="51"/>
      <c r="Q271" s="51"/>
      <c r="R271" s="51"/>
      <c r="S271" s="51"/>
      <c r="T271" s="51"/>
    </row>
    <row r="272">
      <c r="A272" s="51"/>
      <c r="B272" s="51"/>
      <c r="C272" s="56"/>
      <c r="D272" s="51"/>
      <c r="E272" s="51"/>
      <c r="F272" s="51"/>
      <c r="G272" s="51" t="str">
        <f>IFERROR(__xludf.DUMMYFUNCTION("""COMPUTED_VALUE"""),"#VALUE!")</f>
        <v>#VALUE!</v>
      </c>
      <c r="H272" s="51" t="str">
        <f>IFERROR(__xludf.DUMMYFUNCTION("""COMPUTED_VALUE"""),"")</f>
        <v/>
      </c>
      <c r="I272" s="51" t="str">
        <f>IFERROR(__xludf.DUMMYFUNCTION("""COMPUTED_VALUE"""),"#VALUE!")</f>
        <v>#VALUE!</v>
      </c>
      <c r="J272" s="51" t="str">
        <f>IFERROR(__xludf.DUMMYFUNCTION("""COMPUTED_VALUE"""),"")</f>
        <v/>
      </c>
      <c r="K272" s="51"/>
      <c r="L272" s="51" t="s">
        <v>257</v>
      </c>
      <c r="M272" s="51"/>
      <c r="N272" s="51"/>
      <c r="O272" s="51"/>
      <c r="P272" s="51"/>
      <c r="Q272" s="51"/>
      <c r="R272" s="51"/>
      <c r="S272" s="51"/>
      <c r="T272" s="51"/>
    </row>
    <row r="273">
      <c r="A273" s="51"/>
      <c r="B273" s="51"/>
      <c r="C273" s="56"/>
      <c r="D273" s="51"/>
      <c r="E273" s="51"/>
      <c r="F273" s="51"/>
      <c r="G273" s="51" t="str">
        <f>IFERROR(__xludf.DUMMYFUNCTION("""COMPUTED_VALUE"""),"#VALUE!")</f>
        <v>#VALUE!</v>
      </c>
      <c r="H273" s="51" t="str">
        <f>IFERROR(__xludf.DUMMYFUNCTION("""COMPUTED_VALUE"""),"")</f>
        <v/>
      </c>
      <c r="I273" s="51" t="str">
        <f>IFERROR(__xludf.DUMMYFUNCTION("""COMPUTED_VALUE"""),"#VALUE!")</f>
        <v>#VALUE!</v>
      </c>
      <c r="J273" s="51" t="str">
        <f>IFERROR(__xludf.DUMMYFUNCTION("""COMPUTED_VALUE"""),"")</f>
        <v/>
      </c>
      <c r="K273" s="51"/>
      <c r="L273" s="51" t="s">
        <v>257</v>
      </c>
      <c r="M273" s="51"/>
      <c r="N273" s="51"/>
      <c r="O273" s="51"/>
      <c r="P273" s="51"/>
      <c r="Q273" s="51"/>
      <c r="R273" s="51"/>
      <c r="S273" s="51"/>
      <c r="T273" s="51"/>
    </row>
    <row r="274">
      <c r="A274" s="51"/>
      <c r="B274" s="51"/>
      <c r="C274" s="56"/>
      <c r="D274" s="51"/>
      <c r="E274" s="51"/>
      <c r="F274" s="51"/>
      <c r="G274" s="51" t="str">
        <f>IFERROR(__xludf.DUMMYFUNCTION("""COMPUTED_VALUE"""),"#VALUE!")</f>
        <v>#VALUE!</v>
      </c>
      <c r="H274" s="51" t="str">
        <f>IFERROR(__xludf.DUMMYFUNCTION("""COMPUTED_VALUE"""),"")</f>
        <v/>
      </c>
      <c r="I274" s="51" t="str">
        <f>IFERROR(__xludf.DUMMYFUNCTION("""COMPUTED_VALUE"""),"#VALUE!")</f>
        <v>#VALUE!</v>
      </c>
      <c r="J274" s="51" t="str">
        <f>IFERROR(__xludf.DUMMYFUNCTION("""COMPUTED_VALUE"""),"")</f>
        <v/>
      </c>
      <c r="K274" s="51"/>
      <c r="L274" s="51" t="s">
        <v>257</v>
      </c>
      <c r="M274" s="51"/>
      <c r="N274" s="51"/>
      <c r="O274" s="51"/>
      <c r="P274" s="51"/>
      <c r="Q274" s="51"/>
      <c r="R274" s="51"/>
      <c r="S274" s="51"/>
      <c r="T274" s="51"/>
    </row>
    <row r="275">
      <c r="A275" s="51"/>
      <c r="B275" s="51"/>
      <c r="C275" s="56"/>
      <c r="D275" s="51"/>
      <c r="E275" s="51"/>
      <c r="F275" s="51"/>
      <c r="G275" s="51" t="str">
        <f>IFERROR(__xludf.DUMMYFUNCTION("""COMPUTED_VALUE"""),"#VALUE!")</f>
        <v>#VALUE!</v>
      </c>
      <c r="H275" s="51" t="str">
        <f>IFERROR(__xludf.DUMMYFUNCTION("""COMPUTED_VALUE"""),"")</f>
        <v/>
      </c>
      <c r="I275" s="51" t="str">
        <f>IFERROR(__xludf.DUMMYFUNCTION("""COMPUTED_VALUE"""),"#VALUE!")</f>
        <v>#VALUE!</v>
      </c>
      <c r="J275" s="51" t="str">
        <f>IFERROR(__xludf.DUMMYFUNCTION("""COMPUTED_VALUE"""),"")</f>
        <v/>
      </c>
      <c r="K275" s="51"/>
      <c r="L275" s="51" t="s">
        <v>257</v>
      </c>
      <c r="M275" s="51"/>
      <c r="N275" s="51"/>
      <c r="O275" s="51"/>
      <c r="P275" s="51"/>
      <c r="Q275" s="51"/>
      <c r="R275" s="51"/>
      <c r="S275" s="51"/>
      <c r="T275" s="51"/>
    </row>
    <row r="276">
      <c r="A276" s="51"/>
      <c r="B276" s="51"/>
      <c r="C276" s="56"/>
      <c r="D276" s="51"/>
      <c r="E276" s="51"/>
      <c r="F276" s="51"/>
      <c r="G276" s="51" t="str">
        <f>IFERROR(__xludf.DUMMYFUNCTION("""COMPUTED_VALUE"""),"#VALUE!")</f>
        <v>#VALUE!</v>
      </c>
      <c r="H276" s="51" t="str">
        <f>IFERROR(__xludf.DUMMYFUNCTION("""COMPUTED_VALUE"""),"")</f>
        <v/>
      </c>
      <c r="I276" s="51" t="str">
        <f>IFERROR(__xludf.DUMMYFUNCTION("""COMPUTED_VALUE"""),"#VALUE!")</f>
        <v>#VALUE!</v>
      </c>
      <c r="J276" s="51" t="str">
        <f>IFERROR(__xludf.DUMMYFUNCTION("""COMPUTED_VALUE"""),"")</f>
        <v/>
      </c>
      <c r="K276" s="51"/>
      <c r="L276" s="51" t="s">
        <v>257</v>
      </c>
      <c r="M276" s="51"/>
      <c r="N276" s="51"/>
      <c r="O276" s="51"/>
      <c r="P276" s="51"/>
      <c r="Q276" s="51"/>
      <c r="R276" s="51"/>
      <c r="S276" s="51"/>
      <c r="T276" s="51"/>
    </row>
    <row r="277">
      <c r="A277" s="51"/>
      <c r="B277" s="51"/>
      <c r="C277" s="56"/>
      <c r="D277" s="51"/>
      <c r="E277" s="51"/>
      <c r="F277" s="51"/>
      <c r="G277" s="51" t="str">
        <f>IFERROR(__xludf.DUMMYFUNCTION("""COMPUTED_VALUE"""),"#VALUE!")</f>
        <v>#VALUE!</v>
      </c>
      <c r="H277" s="51" t="str">
        <f>IFERROR(__xludf.DUMMYFUNCTION("""COMPUTED_VALUE"""),"")</f>
        <v/>
      </c>
      <c r="I277" s="51" t="str">
        <f>IFERROR(__xludf.DUMMYFUNCTION("""COMPUTED_VALUE"""),"#VALUE!")</f>
        <v>#VALUE!</v>
      </c>
      <c r="J277" s="51" t="str">
        <f>IFERROR(__xludf.DUMMYFUNCTION("""COMPUTED_VALUE"""),"")</f>
        <v/>
      </c>
      <c r="K277" s="51"/>
      <c r="L277" s="51" t="s">
        <v>257</v>
      </c>
      <c r="M277" s="51"/>
      <c r="N277" s="51"/>
      <c r="O277" s="51"/>
      <c r="P277" s="51"/>
      <c r="Q277" s="51"/>
      <c r="R277" s="51"/>
      <c r="S277" s="51"/>
      <c r="T277" s="51"/>
    </row>
    <row r="278">
      <c r="A278" s="51"/>
      <c r="B278" s="51"/>
      <c r="C278" s="56"/>
      <c r="D278" s="51"/>
      <c r="E278" s="51"/>
      <c r="F278" s="51"/>
      <c r="G278" s="51" t="str">
        <f>IFERROR(__xludf.DUMMYFUNCTION("""COMPUTED_VALUE"""),"#VALUE!")</f>
        <v>#VALUE!</v>
      </c>
      <c r="H278" s="51" t="str">
        <f>IFERROR(__xludf.DUMMYFUNCTION("""COMPUTED_VALUE"""),"")</f>
        <v/>
      </c>
      <c r="I278" s="51" t="str">
        <f>IFERROR(__xludf.DUMMYFUNCTION("""COMPUTED_VALUE"""),"#VALUE!")</f>
        <v>#VALUE!</v>
      </c>
      <c r="J278" s="51" t="str">
        <f>IFERROR(__xludf.DUMMYFUNCTION("""COMPUTED_VALUE"""),"")</f>
        <v/>
      </c>
      <c r="K278" s="51"/>
      <c r="L278" s="51" t="s">
        <v>257</v>
      </c>
      <c r="M278" s="51"/>
      <c r="N278" s="51"/>
      <c r="O278" s="51"/>
      <c r="P278" s="51"/>
      <c r="Q278" s="51"/>
      <c r="R278" s="51"/>
      <c r="S278" s="51"/>
      <c r="T278" s="51"/>
    </row>
    <row r="279">
      <c r="A279" s="51"/>
      <c r="B279" s="51"/>
      <c r="C279" s="56"/>
      <c r="D279" s="51"/>
      <c r="E279" s="51"/>
      <c r="F279" s="51"/>
      <c r="G279" s="51" t="str">
        <f>IFERROR(__xludf.DUMMYFUNCTION("""COMPUTED_VALUE"""),"#VALUE!")</f>
        <v>#VALUE!</v>
      </c>
      <c r="H279" s="51" t="str">
        <f>IFERROR(__xludf.DUMMYFUNCTION("""COMPUTED_VALUE"""),"")</f>
        <v/>
      </c>
      <c r="I279" s="51" t="str">
        <f>IFERROR(__xludf.DUMMYFUNCTION("""COMPUTED_VALUE"""),"#VALUE!")</f>
        <v>#VALUE!</v>
      </c>
      <c r="J279" s="51" t="str">
        <f>IFERROR(__xludf.DUMMYFUNCTION("""COMPUTED_VALUE"""),"")</f>
        <v/>
      </c>
      <c r="K279" s="51"/>
      <c r="L279" s="51" t="s">
        <v>257</v>
      </c>
      <c r="M279" s="51"/>
      <c r="N279" s="51"/>
      <c r="O279" s="51"/>
      <c r="P279" s="51"/>
      <c r="Q279" s="51"/>
      <c r="R279" s="51"/>
      <c r="S279" s="51"/>
      <c r="T279" s="51"/>
    </row>
    <row r="280">
      <c r="A280" s="51"/>
      <c r="B280" s="51"/>
      <c r="C280" s="56"/>
      <c r="D280" s="51"/>
      <c r="E280" s="51"/>
      <c r="F280" s="51"/>
      <c r="G280" s="51" t="str">
        <f>IFERROR(__xludf.DUMMYFUNCTION("""COMPUTED_VALUE"""),"#VALUE!")</f>
        <v>#VALUE!</v>
      </c>
      <c r="H280" s="51" t="str">
        <f>IFERROR(__xludf.DUMMYFUNCTION("""COMPUTED_VALUE"""),"")</f>
        <v/>
      </c>
      <c r="I280" s="51" t="str">
        <f>IFERROR(__xludf.DUMMYFUNCTION("""COMPUTED_VALUE"""),"#VALUE!")</f>
        <v>#VALUE!</v>
      </c>
      <c r="J280" s="51" t="str">
        <f>IFERROR(__xludf.DUMMYFUNCTION("""COMPUTED_VALUE"""),"")</f>
        <v/>
      </c>
      <c r="K280" s="51"/>
      <c r="L280" s="51" t="s">
        <v>257</v>
      </c>
      <c r="M280" s="51"/>
      <c r="N280" s="51"/>
      <c r="O280" s="51"/>
      <c r="P280" s="51"/>
      <c r="Q280" s="51"/>
      <c r="R280" s="51"/>
      <c r="S280" s="51"/>
      <c r="T280" s="51"/>
    </row>
    <row r="281">
      <c r="A281" s="51"/>
      <c r="B281" s="51"/>
      <c r="C281" s="56"/>
      <c r="D281" s="51"/>
      <c r="E281" s="51"/>
      <c r="F281" s="51"/>
      <c r="G281" s="51" t="str">
        <f>IFERROR(__xludf.DUMMYFUNCTION("""COMPUTED_VALUE"""),"#VALUE!")</f>
        <v>#VALUE!</v>
      </c>
      <c r="H281" s="51" t="str">
        <f>IFERROR(__xludf.DUMMYFUNCTION("""COMPUTED_VALUE"""),"")</f>
        <v/>
      </c>
      <c r="I281" s="51" t="str">
        <f>IFERROR(__xludf.DUMMYFUNCTION("""COMPUTED_VALUE"""),"#VALUE!")</f>
        <v>#VALUE!</v>
      </c>
      <c r="J281" s="51" t="str">
        <f>IFERROR(__xludf.DUMMYFUNCTION("""COMPUTED_VALUE"""),"")</f>
        <v/>
      </c>
      <c r="K281" s="51"/>
      <c r="L281" s="51" t="s">
        <v>257</v>
      </c>
      <c r="M281" s="51"/>
      <c r="N281" s="51"/>
      <c r="O281" s="51"/>
      <c r="P281" s="51"/>
      <c r="Q281" s="51"/>
      <c r="R281" s="51"/>
      <c r="S281" s="51"/>
      <c r="T281" s="51"/>
    </row>
    <row r="282">
      <c r="A282" s="51"/>
      <c r="B282" s="51"/>
      <c r="C282" s="56"/>
      <c r="D282" s="51"/>
      <c r="E282" s="51"/>
      <c r="F282" s="51"/>
      <c r="G282" s="51" t="str">
        <f>IFERROR(__xludf.DUMMYFUNCTION("""COMPUTED_VALUE"""),"#VALUE!")</f>
        <v>#VALUE!</v>
      </c>
      <c r="H282" s="51" t="str">
        <f>IFERROR(__xludf.DUMMYFUNCTION("""COMPUTED_VALUE"""),"")</f>
        <v/>
      </c>
      <c r="I282" s="51" t="str">
        <f>IFERROR(__xludf.DUMMYFUNCTION("""COMPUTED_VALUE"""),"#VALUE!")</f>
        <v>#VALUE!</v>
      </c>
      <c r="J282" s="51" t="str">
        <f>IFERROR(__xludf.DUMMYFUNCTION("""COMPUTED_VALUE"""),"")</f>
        <v/>
      </c>
      <c r="K282" s="51"/>
      <c r="L282" s="51" t="s">
        <v>257</v>
      </c>
      <c r="M282" s="51"/>
      <c r="N282" s="51"/>
      <c r="O282" s="51"/>
      <c r="P282" s="51"/>
      <c r="Q282" s="51"/>
      <c r="R282" s="51"/>
      <c r="S282" s="51"/>
      <c r="T282" s="51"/>
    </row>
    <row r="283">
      <c r="A283" s="51"/>
      <c r="B283" s="51"/>
      <c r="C283" s="56"/>
      <c r="D283" s="51"/>
      <c r="E283" s="51"/>
      <c r="F283" s="51"/>
      <c r="G283" s="51" t="str">
        <f>IFERROR(__xludf.DUMMYFUNCTION("""COMPUTED_VALUE"""),"#VALUE!")</f>
        <v>#VALUE!</v>
      </c>
      <c r="H283" s="51" t="str">
        <f>IFERROR(__xludf.DUMMYFUNCTION("""COMPUTED_VALUE"""),"")</f>
        <v/>
      </c>
      <c r="I283" s="51" t="str">
        <f>IFERROR(__xludf.DUMMYFUNCTION("""COMPUTED_VALUE"""),"#VALUE!")</f>
        <v>#VALUE!</v>
      </c>
      <c r="J283" s="51" t="str">
        <f>IFERROR(__xludf.DUMMYFUNCTION("""COMPUTED_VALUE"""),"")</f>
        <v/>
      </c>
      <c r="K283" s="51"/>
      <c r="L283" s="51" t="s">
        <v>257</v>
      </c>
      <c r="M283" s="51"/>
      <c r="N283" s="51"/>
      <c r="O283" s="51"/>
      <c r="P283" s="51"/>
      <c r="Q283" s="51"/>
      <c r="R283" s="51"/>
      <c r="S283" s="51"/>
      <c r="T283" s="51"/>
    </row>
    <row r="284">
      <c r="A284" s="51"/>
      <c r="B284" s="51"/>
      <c r="C284" s="56"/>
      <c r="D284" s="51"/>
      <c r="E284" s="51"/>
      <c r="F284" s="51"/>
      <c r="G284" s="51" t="str">
        <f>IFERROR(__xludf.DUMMYFUNCTION("""COMPUTED_VALUE"""),"#VALUE!")</f>
        <v>#VALUE!</v>
      </c>
      <c r="H284" s="51" t="str">
        <f>IFERROR(__xludf.DUMMYFUNCTION("""COMPUTED_VALUE"""),"")</f>
        <v/>
      </c>
      <c r="I284" s="51" t="str">
        <f>IFERROR(__xludf.DUMMYFUNCTION("""COMPUTED_VALUE"""),"#VALUE!")</f>
        <v>#VALUE!</v>
      </c>
      <c r="J284" s="51" t="str">
        <f>IFERROR(__xludf.DUMMYFUNCTION("""COMPUTED_VALUE"""),"")</f>
        <v/>
      </c>
      <c r="K284" s="51"/>
      <c r="L284" s="51" t="s">
        <v>257</v>
      </c>
      <c r="M284" s="51"/>
      <c r="N284" s="51"/>
      <c r="O284" s="51"/>
      <c r="P284" s="51"/>
      <c r="Q284" s="51"/>
      <c r="R284" s="51"/>
      <c r="S284" s="51"/>
      <c r="T284" s="51"/>
    </row>
    <row r="285">
      <c r="A285" s="51"/>
      <c r="B285" s="51"/>
      <c r="C285" s="56"/>
      <c r="D285" s="51"/>
      <c r="E285" s="51"/>
      <c r="F285" s="51"/>
      <c r="G285" s="51" t="str">
        <f>IFERROR(__xludf.DUMMYFUNCTION("""COMPUTED_VALUE"""),"#VALUE!")</f>
        <v>#VALUE!</v>
      </c>
      <c r="H285" s="51" t="str">
        <f>IFERROR(__xludf.DUMMYFUNCTION("""COMPUTED_VALUE"""),"")</f>
        <v/>
      </c>
      <c r="I285" s="51" t="str">
        <f>IFERROR(__xludf.DUMMYFUNCTION("""COMPUTED_VALUE"""),"#VALUE!")</f>
        <v>#VALUE!</v>
      </c>
      <c r="J285" s="51" t="str">
        <f>IFERROR(__xludf.DUMMYFUNCTION("""COMPUTED_VALUE"""),"")</f>
        <v/>
      </c>
      <c r="K285" s="51"/>
      <c r="L285" s="51" t="s">
        <v>257</v>
      </c>
      <c r="M285" s="51"/>
      <c r="N285" s="51"/>
      <c r="O285" s="51"/>
      <c r="P285" s="51"/>
      <c r="Q285" s="51"/>
      <c r="R285" s="51"/>
      <c r="S285" s="51"/>
      <c r="T285" s="51"/>
    </row>
    <row r="286">
      <c r="A286" s="51"/>
      <c r="B286" s="51"/>
      <c r="C286" s="56"/>
      <c r="D286" s="51"/>
      <c r="E286" s="51"/>
      <c r="F286" s="51"/>
      <c r="G286" s="51" t="str">
        <f>IFERROR(__xludf.DUMMYFUNCTION("""COMPUTED_VALUE"""),"#VALUE!")</f>
        <v>#VALUE!</v>
      </c>
      <c r="H286" s="51" t="str">
        <f>IFERROR(__xludf.DUMMYFUNCTION("""COMPUTED_VALUE"""),"")</f>
        <v/>
      </c>
      <c r="I286" s="51" t="str">
        <f>IFERROR(__xludf.DUMMYFUNCTION("""COMPUTED_VALUE"""),"#VALUE!")</f>
        <v>#VALUE!</v>
      </c>
      <c r="J286" s="51" t="str">
        <f>IFERROR(__xludf.DUMMYFUNCTION("""COMPUTED_VALUE"""),"")</f>
        <v/>
      </c>
      <c r="K286" s="51"/>
      <c r="L286" s="51" t="s">
        <v>257</v>
      </c>
      <c r="M286" s="51"/>
      <c r="N286" s="51"/>
      <c r="O286" s="51"/>
      <c r="P286" s="51"/>
      <c r="Q286" s="51"/>
      <c r="R286" s="51"/>
      <c r="S286" s="51"/>
      <c r="T286" s="51"/>
    </row>
    <row r="287">
      <c r="A287" s="51"/>
      <c r="B287" s="51"/>
      <c r="C287" s="56"/>
      <c r="D287" s="51"/>
      <c r="E287" s="51"/>
      <c r="F287" s="51"/>
      <c r="G287" s="51" t="str">
        <f>IFERROR(__xludf.DUMMYFUNCTION("""COMPUTED_VALUE"""),"#VALUE!")</f>
        <v>#VALUE!</v>
      </c>
      <c r="H287" s="51" t="str">
        <f>IFERROR(__xludf.DUMMYFUNCTION("""COMPUTED_VALUE"""),"")</f>
        <v/>
      </c>
      <c r="I287" s="51" t="str">
        <f>IFERROR(__xludf.DUMMYFUNCTION("""COMPUTED_VALUE"""),"#VALUE!")</f>
        <v>#VALUE!</v>
      </c>
      <c r="J287" s="51" t="str">
        <f>IFERROR(__xludf.DUMMYFUNCTION("""COMPUTED_VALUE"""),"")</f>
        <v/>
      </c>
      <c r="K287" s="51"/>
      <c r="L287" s="51" t="s">
        <v>257</v>
      </c>
      <c r="M287" s="51"/>
      <c r="N287" s="51"/>
      <c r="O287" s="51"/>
      <c r="P287" s="51"/>
      <c r="Q287" s="51"/>
      <c r="R287" s="51"/>
      <c r="S287" s="51"/>
      <c r="T287" s="51"/>
    </row>
    <row r="288">
      <c r="A288" s="51"/>
      <c r="B288" s="51"/>
      <c r="C288" s="56"/>
      <c r="D288" s="51"/>
      <c r="E288" s="51"/>
      <c r="F288" s="51"/>
      <c r="G288" s="51" t="str">
        <f>IFERROR(__xludf.DUMMYFUNCTION("""COMPUTED_VALUE"""),"#VALUE!")</f>
        <v>#VALUE!</v>
      </c>
      <c r="H288" s="51" t="str">
        <f>IFERROR(__xludf.DUMMYFUNCTION("""COMPUTED_VALUE"""),"")</f>
        <v/>
      </c>
      <c r="I288" s="51" t="str">
        <f>IFERROR(__xludf.DUMMYFUNCTION("""COMPUTED_VALUE"""),"#VALUE!")</f>
        <v>#VALUE!</v>
      </c>
      <c r="J288" s="51" t="str">
        <f>IFERROR(__xludf.DUMMYFUNCTION("""COMPUTED_VALUE"""),"")</f>
        <v/>
      </c>
      <c r="K288" s="51"/>
      <c r="L288" s="51" t="s">
        <v>257</v>
      </c>
      <c r="M288" s="51"/>
      <c r="N288" s="51"/>
      <c r="O288" s="51"/>
      <c r="P288" s="51"/>
      <c r="Q288" s="51"/>
      <c r="R288" s="51"/>
      <c r="S288" s="51"/>
      <c r="T288" s="51"/>
    </row>
    <row r="289">
      <c r="A289" s="51"/>
      <c r="B289" s="51"/>
      <c r="C289" s="56"/>
      <c r="D289" s="51"/>
      <c r="E289" s="51"/>
      <c r="F289" s="51"/>
      <c r="G289" s="51" t="str">
        <f>IFERROR(__xludf.DUMMYFUNCTION("""COMPUTED_VALUE"""),"#VALUE!")</f>
        <v>#VALUE!</v>
      </c>
      <c r="H289" s="51" t="str">
        <f>IFERROR(__xludf.DUMMYFUNCTION("""COMPUTED_VALUE"""),"")</f>
        <v/>
      </c>
      <c r="I289" s="51" t="str">
        <f>IFERROR(__xludf.DUMMYFUNCTION("""COMPUTED_VALUE"""),"#VALUE!")</f>
        <v>#VALUE!</v>
      </c>
      <c r="J289" s="51" t="str">
        <f>IFERROR(__xludf.DUMMYFUNCTION("""COMPUTED_VALUE"""),"")</f>
        <v/>
      </c>
      <c r="K289" s="51"/>
      <c r="L289" s="51" t="s">
        <v>257</v>
      </c>
      <c r="M289" s="51"/>
      <c r="N289" s="51"/>
      <c r="O289" s="51"/>
      <c r="P289" s="51"/>
      <c r="Q289" s="51"/>
      <c r="R289" s="51"/>
      <c r="S289" s="51"/>
      <c r="T289" s="51"/>
    </row>
    <row r="290">
      <c r="A290" s="51"/>
      <c r="B290" s="51"/>
      <c r="C290" s="56"/>
      <c r="D290" s="51"/>
      <c r="E290" s="51"/>
      <c r="F290" s="51"/>
      <c r="G290" s="51" t="str">
        <f>IFERROR(__xludf.DUMMYFUNCTION("""COMPUTED_VALUE"""),"#VALUE!")</f>
        <v>#VALUE!</v>
      </c>
      <c r="H290" s="51" t="str">
        <f>IFERROR(__xludf.DUMMYFUNCTION("""COMPUTED_VALUE"""),"")</f>
        <v/>
      </c>
      <c r="I290" s="51" t="str">
        <f>IFERROR(__xludf.DUMMYFUNCTION("""COMPUTED_VALUE"""),"#VALUE!")</f>
        <v>#VALUE!</v>
      </c>
      <c r="J290" s="51" t="str">
        <f>IFERROR(__xludf.DUMMYFUNCTION("""COMPUTED_VALUE"""),"")</f>
        <v/>
      </c>
      <c r="K290" s="51"/>
      <c r="L290" s="51" t="s">
        <v>257</v>
      </c>
      <c r="M290" s="51"/>
      <c r="N290" s="51"/>
      <c r="O290" s="51"/>
      <c r="P290" s="51"/>
      <c r="Q290" s="51"/>
      <c r="R290" s="51"/>
      <c r="S290" s="51"/>
      <c r="T290" s="51"/>
    </row>
    <row r="291">
      <c r="A291" s="51"/>
      <c r="B291" s="51"/>
      <c r="C291" s="56"/>
      <c r="D291" s="51"/>
      <c r="E291" s="51"/>
      <c r="F291" s="51"/>
      <c r="G291" s="51" t="str">
        <f>IFERROR(__xludf.DUMMYFUNCTION("""COMPUTED_VALUE"""),"#VALUE!")</f>
        <v>#VALUE!</v>
      </c>
      <c r="H291" s="51" t="str">
        <f>IFERROR(__xludf.DUMMYFUNCTION("""COMPUTED_VALUE"""),"")</f>
        <v/>
      </c>
      <c r="I291" s="51" t="str">
        <f>IFERROR(__xludf.DUMMYFUNCTION("""COMPUTED_VALUE"""),"#VALUE!")</f>
        <v>#VALUE!</v>
      </c>
      <c r="J291" s="51" t="str">
        <f>IFERROR(__xludf.DUMMYFUNCTION("""COMPUTED_VALUE"""),"")</f>
        <v/>
      </c>
      <c r="K291" s="51"/>
      <c r="L291" s="51" t="s">
        <v>257</v>
      </c>
      <c r="M291" s="51"/>
      <c r="N291" s="51"/>
      <c r="O291" s="51"/>
      <c r="P291" s="51"/>
      <c r="Q291" s="51"/>
      <c r="R291" s="51"/>
      <c r="S291" s="51"/>
      <c r="T291" s="51"/>
    </row>
    <row r="292">
      <c r="A292" s="51"/>
      <c r="B292" s="51"/>
      <c r="C292" s="56"/>
      <c r="D292" s="51"/>
      <c r="E292" s="51"/>
      <c r="F292" s="51"/>
      <c r="G292" s="51" t="str">
        <f>IFERROR(__xludf.DUMMYFUNCTION("""COMPUTED_VALUE"""),"#VALUE!")</f>
        <v>#VALUE!</v>
      </c>
      <c r="H292" s="51" t="str">
        <f>IFERROR(__xludf.DUMMYFUNCTION("""COMPUTED_VALUE"""),"")</f>
        <v/>
      </c>
      <c r="I292" s="51" t="str">
        <f>IFERROR(__xludf.DUMMYFUNCTION("""COMPUTED_VALUE"""),"#VALUE!")</f>
        <v>#VALUE!</v>
      </c>
      <c r="J292" s="51" t="str">
        <f>IFERROR(__xludf.DUMMYFUNCTION("""COMPUTED_VALUE"""),"")</f>
        <v/>
      </c>
      <c r="K292" s="51"/>
      <c r="L292" s="51" t="s">
        <v>257</v>
      </c>
      <c r="M292" s="51"/>
      <c r="N292" s="51"/>
      <c r="O292" s="51"/>
      <c r="P292" s="51"/>
      <c r="Q292" s="51"/>
      <c r="R292" s="51"/>
      <c r="S292" s="51"/>
      <c r="T292" s="51"/>
    </row>
    <row r="293">
      <c r="A293" s="51"/>
      <c r="B293" s="51"/>
      <c r="C293" s="56"/>
      <c r="D293" s="51"/>
      <c r="E293" s="51"/>
      <c r="F293" s="51"/>
      <c r="G293" s="51" t="str">
        <f>IFERROR(__xludf.DUMMYFUNCTION("""COMPUTED_VALUE"""),"#VALUE!")</f>
        <v>#VALUE!</v>
      </c>
      <c r="H293" s="51" t="str">
        <f>IFERROR(__xludf.DUMMYFUNCTION("""COMPUTED_VALUE"""),"")</f>
        <v/>
      </c>
      <c r="I293" s="51" t="str">
        <f>IFERROR(__xludf.DUMMYFUNCTION("""COMPUTED_VALUE"""),"#VALUE!")</f>
        <v>#VALUE!</v>
      </c>
      <c r="J293" s="51" t="str">
        <f>IFERROR(__xludf.DUMMYFUNCTION("""COMPUTED_VALUE"""),"")</f>
        <v/>
      </c>
      <c r="K293" s="51"/>
      <c r="L293" s="51" t="s">
        <v>257</v>
      </c>
      <c r="M293" s="51"/>
      <c r="N293" s="51"/>
      <c r="O293" s="51"/>
      <c r="P293" s="51"/>
      <c r="Q293" s="51"/>
      <c r="R293" s="51"/>
      <c r="S293" s="51"/>
      <c r="T293" s="51"/>
    </row>
    <row r="294">
      <c r="A294" s="51"/>
      <c r="B294" s="51"/>
      <c r="C294" s="56"/>
      <c r="D294" s="51"/>
      <c r="E294" s="51"/>
      <c r="F294" s="51"/>
      <c r="G294" s="51" t="str">
        <f>IFERROR(__xludf.DUMMYFUNCTION("""COMPUTED_VALUE"""),"#VALUE!")</f>
        <v>#VALUE!</v>
      </c>
      <c r="H294" s="51" t="str">
        <f>IFERROR(__xludf.DUMMYFUNCTION("""COMPUTED_VALUE"""),"")</f>
        <v/>
      </c>
      <c r="I294" s="51" t="str">
        <f>IFERROR(__xludf.DUMMYFUNCTION("""COMPUTED_VALUE"""),"#VALUE!")</f>
        <v>#VALUE!</v>
      </c>
      <c r="J294" s="51" t="str">
        <f>IFERROR(__xludf.DUMMYFUNCTION("""COMPUTED_VALUE"""),"")</f>
        <v/>
      </c>
      <c r="K294" s="51"/>
      <c r="L294" s="51" t="s">
        <v>257</v>
      </c>
      <c r="M294" s="51"/>
      <c r="N294" s="51"/>
      <c r="O294" s="51"/>
      <c r="P294" s="51"/>
      <c r="Q294" s="51"/>
      <c r="R294" s="51"/>
      <c r="S294" s="51"/>
      <c r="T294" s="51"/>
    </row>
    <row r="295">
      <c r="A295" s="51"/>
      <c r="B295" s="51"/>
      <c r="C295" s="56"/>
      <c r="D295" s="51"/>
      <c r="E295" s="51"/>
      <c r="F295" s="51"/>
      <c r="G295" s="51" t="str">
        <f>IFERROR(__xludf.DUMMYFUNCTION("""COMPUTED_VALUE"""),"#VALUE!")</f>
        <v>#VALUE!</v>
      </c>
      <c r="H295" s="51" t="str">
        <f>IFERROR(__xludf.DUMMYFUNCTION("""COMPUTED_VALUE"""),"")</f>
        <v/>
      </c>
      <c r="I295" s="51" t="str">
        <f>IFERROR(__xludf.DUMMYFUNCTION("""COMPUTED_VALUE"""),"#VALUE!")</f>
        <v>#VALUE!</v>
      </c>
      <c r="J295" s="51" t="str">
        <f>IFERROR(__xludf.DUMMYFUNCTION("""COMPUTED_VALUE"""),"")</f>
        <v/>
      </c>
      <c r="K295" s="51"/>
      <c r="L295" s="51" t="s">
        <v>257</v>
      </c>
      <c r="M295" s="51"/>
      <c r="N295" s="51"/>
      <c r="O295" s="51"/>
      <c r="P295" s="51"/>
      <c r="Q295" s="51"/>
      <c r="R295" s="51"/>
      <c r="S295" s="51"/>
      <c r="T295" s="51"/>
    </row>
    <row r="296">
      <c r="A296" s="51"/>
      <c r="B296" s="51"/>
      <c r="C296" s="56"/>
      <c r="D296" s="51"/>
      <c r="E296" s="51"/>
      <c r="F296" s="51"/>
      <c r="G296" s="51" t="str">
        <f>IFERROR(__xludf.DUMMYFUNCTION("""COMPUTED_VALUE"""),"#VALUE!")</f>
        <v>#VALUE!</v>
      </c>
      <c r="H296" s="51" t="str">
        <f>IFERROR(__xludf.DUMMYFUNCTION("""COMPUTED_VALUE"""),"")</f>
        <v/>
      </c>
      <c r="I296" s="51" t="str">
        <f>IFERROR(__xludf.DUMMYFUNCTION("""COMPUTED_VALUE"""),"#VALUE!")</f>
        <v>#VALUE!</v>
      </c>
      <c r="J296" s="51" t="str">
        <f>IFERROR(__xludf.DUMMYFUNCTION("""COMPUTED_VALUE"""),"")</f>
        <v/>
      </c>
      <c r="K296" s="51"/>
      <c r="L296" s="51" t="s">
        <v>257</v>
      </c>
      <c r="M296" s="51"/>
      <c r="N296" s="51"/>
      <c r="O296" s="51"/>
      <c r="P296" s="51"/>
      <c r="Q296" s="51"/>
      <c r="R296" s="51"/>
      <c r="S296" s="51"/>
      <c r="T296" s="51"/>
    </row>
    <row r="297">
      <c r="A297" s="51"/>
      <c r="B297" s="51"/>
      <c r="C297" s="56"/>
      <c r="D297" s="51"/>
      <c r="E297" s="51"/>
      <c r="F297" s="51"/>
      <c r="G297" s="51" t="str">
        <f>IFERROR(__xludf.DUMMYFUNCTION("""COMPUTED_VALUE"""),"#VALUE!")</f>
        <v>#VALUE!</v>
      </c>
      <c r="H297" s="51" t="str">
        <f>IFERROR(__xludf.DUMMYFUNCTION("""COMPUTED_VALUE"""),"")</f>
        <v/>
      </c>
      <c r="I297" s="51" t="str">
        <f>IFERROR(__xludf.DUMMYFUNCTION("""COMPUTED_VALUE"""),"#VALUE!")</f>
        <v>#VALUE!</v>
      </c>
      <c r="J297" s="51" t="str">
        <f>IFERROR(__xludf.DUMMYFUNCTION("""COMPUTED_VALUE"""),"")</f>
        <v/>
      </c>
      <c r="K297" s="51"/>
      <c r="L297" s="51" t="s">
        <v>257</v>
      </c>
      <c r="M297" s="51"/>
      <c r="N297" s="51"/>
      <c r="O297" s="51"/>
      <c r="P297" s="51"/>
      <c r="Q297" s="51"/>
      <c r="R297" s="51"/>
      <c r="S297" s="51"/>
      <c r="T297" s="51"/>
    </row>
    <row r="298">
      <c r="A298" s="51"/>
      <c r="B298" s="51"/>
      <c r="C298" s="56"/>
      <c r="D298" s="51"/>
      <c r="E298" s="51"/>
      <c r="F298" s="51"/>
      <c r="G298" s="51" t="str">
        <f>IFERROR(__xludf.DUMMYFUNCTION("""COMPUTED_VALUE"""),"#VALUE!")</f>
        <v>#VALUE!</v>
      </c>
      <c r="H298" s="51" t="str">
        <f>IFERROR(__xludf.DUMMYFUNCTION("""COMPUTED_VALUE"""),"")</f>
        <v/>
      </c>
      <c r="I298" s="51" t="str">
        <f>IFERROR(__xludf.DUMMYFUNCTION("""COMPUTED_VALUE"""),"#VALUE!")</f>
        <v>#VALUE!</v>
      </c>
      <c r="J298" s="51" t="str">
        <f>IFERROR(__xludf.DUMMYFUNCTION("""COMPUTED_VALUE"""),"")</f>
        <v/>
      </c>
      <c r="K298" s="51"/>
      <c r="L298" s="51" t="s">
        <v>257</v>
      </c>
      <c r="M298" s="51"/>
      <c r="N298" s="51"/>
      <c r="O298" s="51"/>
      <c r="P298" s="51"/>
      <c r="Q298" s="51"/>
      <c r="R298" s="51"/>
      <c r="S298" s="51"/>
      <c r="T298" s="51"/>
    </row>
    <row r="299">
      <c r="A299" s="51"/>
      <c r="B299" s="51"/>
      <c r="C299" s="56"/>
      <c r="D299" s="51"/>
      <c r="E299" s="51"/>
      <c r="F299" s="51"/>
      <c r="G299" s="51" t="str">
        <f>IFERROR(__xludf.DUMMYFUNCTION("""COMPUTED_VALUE"""),"#VALUE!")</f>
        <v>#VALUE!</v>
      </c>
      <c r="H299" s="51" t="str">
        <f>IFERROR(__xludf.DUMMYFUNCTION("""COMPUTED_VALUE"""),"")</f>
        <v/>
      </c>
      <c r="I299" s="51" t="str">
        <f>IFERROR(__xludf.DUMMYFUNCTION("""COMPUTED_VALUE"""),"#VALUE!")</f>
        <v>#VALUE!</v>
      </c>
      <c r="J299" s="51" t="str">
        <f>IFERROR(__xludf.DUMMYFUNCTION("""COMPUTED_VALUE"""),"")</f>
        <v/>
      </c>
      <c r="K299" s="51"/>
      <c r="L299" s="51" t="s">
        <v>257</v>
      </c>
      <c r="M299" s="51"/>
      <c r="N299" s="51"/>
      <c r="O299" s="51"/>
      <c r="P299" s="51"/>
      <c r="Q299" s="51"/>
      <c r="R299" s="51"/>
      <c r="S299" s="51"/>
      <c r="T299" s="51"/>
    </row>
    <row r="300">
      <c r="A300" s="51"/>
      <c r="B300" s="51"/>
      <c r="C300" s="56"/>
      <c r="D300" s="51"/>
      <c r="E300" s="51"/>
      <c r="F300" s="51"/>
      <c r="G300" s="51" t="str">
        <f>IFERROR(__xludf.DUMMYFUNCTION("""COMPUTED_VALUE"""),"#VALUE!")</f>
        <v>#VALUE!</v>
      </c>
      <c r="H300" s="51" t="str">
        <f>IFERROR(__xludf.DUMMYFUNCTION("""COMPUTED_VALUE"""),"")</f>
        <v/>
      </c>
      <c r="I300" s="51" t="str">
        <f>IFERROR(__xludf.DUMMYFUNCTION("""COMPUTED_VALUE"""),"#VALUE!")</f>
        <v>#VALUE!</v>
      </c>
      <c r="J300" s="51" t="str">
        <f>IFERROR(__xludf.DUMMYFUNCTION("""COMPUTED_VALUE"""),"")</f>
        <v/>
      </c>
      <c r="K300" s="51"/>
      <c r="L300" s="51" t="s">
        <v>257</v>
      </c>
      <c r="M300" s="51"/>
      <c r="N300" s="51"/>
      <c r="O300" s="51"/>
      <c r="P300" s="51"/>
      <c r="Q300" s="51"/>
      <c r="R300" s="51"/>
      <c r="S300" s="51"/>
      <c r="T300" s="51"/>
    </row>
    <row r="301">
      <c r="A301" s="51"/>
      <c r="B301" s="51"/>
      <c r="C301" s="56"/>
      <c r="D301" s="51"/>
      <c r="E301" s="51"/>
      <c r="F301" s="51"/>
      <c r="G301" s="51" t="str">
        <f>IFERROR(__xludf.DUMMYFUNCTION("""COMPUTED_VALUE"""),"#VALUE!")</f>
        <v>#VALUE!</v>
      </c>
      <c r="H301" s="51" t="str">
        <f>IFERROR(__xludf.DUMMYFUNCTION("""COMPUTED_VALUE"""),"")</f>
        <v/>
      </c>
      <c r="I301" s="51" t="str">
        <f>IFERROR(__xludf.DUMMYFUNCTION("""COMPUTED_VALUE"""),"#VALUE!")</f>
        <v>#VALUE!</v>
      </c>
      <c r="J301" s="51" t="str">
        <f>IFERROR(__xludf.DUMMYFUNCTION("""COMPUTED_VALUE"""),"")</f>
        <v/>
      </c>
      <c r="K301" s="51"/>
      <c r="L301" s="51" t="s">
        <v>257</v>
      </c>
      <c r="M301" s="51"/>
      <c r="N301" s="51"/>
      <c r="O301" s="51"/>
      <c r="P301" s="51"/>
      <c r="Q301" s="51"/>
      <c r="R301" s="51"/>
      <c r="S301" s="51"/>
      <c r="T301" s="51"/>
    </row>
    <row r="302">
      <c r="A302" s="51"/>
      <c r="B302" s="51"/>
      <c r="C302" s="56"/>
      <c r="D302" s="51"/>
      <c r="E302" s="51"/>
      <c r="F302" s="51"/>
      <c r="G302" s="51" t="str">
        <f>IFERROR(__xludf.DUMMYFUNCTION("""COMPUTED_VALUE"""),"#VALUE!")</f>
        <v>#VALUE!</v>
      </c>
      <c r="H302" s="51" t="str">
        <f>IFERROR(__xludf.DUMMYFUNCTION("""COMPUTED_VALUE"""),"")</f>
        <v/>
      </c>
      <c r="I302" s="51" t="str">
        <f>IFERROR(__xludf.DUMMYFUNCTION("""COMPUTED_VALUE"""),"#VALUE!")</f>
        <v>#VALUE!</v>
      </c>
      <c r="J302" s="51" t="str">
        <f>IFERROR(__xludf.DUMMYFUNCTION("""COMPUTED_VALUE"""),"")</f>
        <v/>
      </c>
      <c r="K302" s="51"/>
      <c r="L302" s="51" t="s">
        <v>257</v>
      </c>
      <c r="M302" s="51"/>
      <c r="N302" s="51"/>
      <c r="O302" s="51"/>
      <c r="P302" s="51"/>
      <c r="Q302" s="51"/>
      <c r="R302" s="51"/>
      <c r="S302" s="51"/>
      <c r="T302" s="51"/>
    </row>
    <row r="303">
      <c r="A303" s="51"/>
      <c r="B303" s="51"/>
      <c r="C303" s="56"/>
      <c r="D303" s="51"/>
      <c r="E303" s="51"/>
      <c r="F303" s="51"/>
      <c r="G303" s="51" t="str">
        <f>IFERROR(__xludf.DUMMYFUNCTION("""COMPUTED_VALUE"""),"#VALUE!")</f>
        <v>#VALUE!</v>
      </c>
      <c r="H303" s="51" t="str">
        <f>IFERROR(__xludf.DUMMYFUNCTION("""COMPUTED_VALUE"""),"")</f>
        <v/>
      </c>
      <c r="I303" s="51" t="str">
        <f>IFERROR(__xludf.DUMMYFUNCTION("""COMPUTED_VALUE"""),"#VALUE!")</f>
        <v>#VALUE!</v>
      </c>
      <c r="J303" s="51" t="str">
        <f>IFERROR(__xludf.DUMMYFUNCTION("""COMPUTED_VALUE"""),"")</f>
        <v/>
      </c>
      <c r="K303" s="51"/>
      <c r="L303" s="51" t="s">
        <v>257</v>
      </c>
      <c r="M303" s="51"/>
      <c r="N303" s="51"/>
      <c r="O303" s="51"/>
      <c r="P303" s="51"/>
      <c r="Q303" s="51"/>
      <c r="R303" s="51"/>
      <c r="S303" s="51"/>
      <c r="T303" s="51"/>
    </row>
    <row r="304">
      <c r="A304" s="51"/>
      <c r="B304" s="51"/>
      <c r="C304" s="56"/>
      <c r="D304" s="51"/>
      <c r="E304" s="51"/>
      <c r="F304" s="51"/>
      <c r="G304" s="51" t="str">
        <f>IFERROR(__xludf.DUMMYFUNCTION("""COMPUTED_VALUE"""),"#VALUE!")</f>
        <v>#VALUE!</v>
      </c>
      <c r="H304" s="51" t="str">
        <f>IFERROR(__xludf.DUMMYFUNCTION("""COMPUTED_VALUE"""),"")</f>
        <v/>
      </c>
      <c r="I304" s="51" t="str">
        <f>IFERROR(__xludf.DUMMYFUNCTION("""COMPUTED_VALUE"""),"#VALUE!")</f>
        <v>#VALUE!</v>
      </c>
      <c r="J304" s="51" t="str">
        <f>IFERROR(__xludf.DUMMYFUNCTION("""COMPUTED_VALUE"""),"")</f>
        <v/>
      </c>
      <c r="K304" s="51"/>
      <c r="L304" s="51" t="s">
        <v>257</v>
      </c>
      <c r="M304" s="51"/>
      <c r="N304" s="51"/>
      <c r="O304" s="51"/>
      <c r="P304" s="51"/>
      <c r="Q304" s="51"/>
      <c r="R304" s="51"/>
      <c r="S304" s="51"/>
      <c r="T304" s="51"/>
    </row>
    <row r="305">
      <c r="A305" s="51"/>
      <c r="B305" s="51"/>
      <c r="C305" s="56"/>
      <c r="D305" s="51"/>
      <c r="E305" s="51"/>
      <c r="F305" s="51"/>
      <c r="G305" s="51" t="str">
        <f>IFERROR(__xludf.DUMMYFUNCTION("""COMPUTED_VALUE"""),"#VALUE!")</f>
        <v>#VALUE!</v>
      </c>
      <c r="H305" s="51" t="str">
        <f>IFERROR(__xludf.DUMMYFUNCTION("""COMPUTED_VALUE"""),"")</f>
        <v/>
      </c>
      <c r="I305" s="51" t="str">
        <f>IFERROR(__xludf.DUMMYFUNCTION("""COMPUTED_VALUE"""),"#VALUE!")</f>
        <v>#VALUE!</v>
      </c>
      <c r="J305" s="51" t="str">
        <f>IFERROR(__xludf.DUMMYFUNCTION("""COMPUTED_VALUE"""),"")</f>
        <v/>
      </c>
      <c r="K305" s="51"/>
      <c r="L305" s="51" t="s">
        <v>257</v>
      </c>
      <c r="M305" s="51"/>
      <c r="N305" s="51"/>
      <c r="O305" s="51"/>
      <c r="P305" s="51"/>
      <c r="Q305" s="51"/>
      <c r="R305" s="51"/>
      <c r="S305" s="51"/>
      <c r="T305" s="51"/>
    </row>
    <row r="306">
      <c r="A306" s="51"/>
      <c r="B306" s="51"/>
      <c r="C306" s="56"/>
      <c r="D306" s="51"/>
      <c r="E306" s="51"/>
      <c r="F306" s="51"/>
      <c r="G306" s="51" t="str">
        <f>IFERROR(__xludf.DUMMYFUNCTION("""COMPUTED_VALUE"""),"#VALUE!")</f>
        <v>#VALUE!</v>
      </c>
      <c r="H306" s="51" t="str">
        <f>IFERROR(__xludf.DUMMYFUNCTION("""COMPUTED_VALUE"""),"")</f>
        <v/>
      </c>
      <c r="I306" s="51" t="str">
        <f>IFERROR(__xludf.DUMMYFUNCTION("""COMPUTED_VALUE"""),"#VALUE!")</f>
        <v>#VALUE!</v>
      </c>
      <c r="J306" s="51" t="str">
        <f>IFERROR(__xludf.DUMMYFUNCTION("""COMPUTED_VALUE"""),"")</f>
        <v/>
      </c>
      <c r="K306" s="51"/>
      <c r="L306" s="51" t="s">
        <v>257</v>
      </c>
      <c r="M306" s="51"/>
      <c r="N306" s="51"/>
      <c r="O306" s="51"/>
      <c r="P306" s="51"/>
      <c r="Q306" s="51"/>
      <c r="R306" s="51"/>
      <c r="S306" s="51"/>
      <c r="T306" s="51"/>
    </row>
    <row r="307">
      <c r="A307" s="51"/>
      <c r="B307" s="51"/>
      <c r="C307" s="56"/>
      <c r="D307" s="51"/>
      <c r="E307" s="51"/>
      <c r="F307" s="51"/>
      <c r="G307" s="51" t="str">
        <f>IFERROR(__xludf.DUMMYFUNCTION("""COMPUTED_VALUE"""),"#VALUE!")</f>
        <v>#VALUE!</v>
      </c>
      <c r="H307" s="51" t="str">
        <f>IFERROR(__xludf.DUMMYFUNCTION("""COMPUTED_VALUE"""),"")</f>
        <v/>
      </c>
      <c r="I307" s="51" t="str">
        <f>IFERROR(__xludf.DUMMYFUNCTION("""COMPUTED_VALUE"""),"#VALUE!")</f>
        <v>#VALUE!</v>
      </c>
      <c r="J307" s="51" t="str">
        <f>IFERROR(__xludf.DUMMYFUNCTION("""COMPUTED_VALUE"""),"")</f>
        <v/>
      </c>
      <c r="K307" s="51"/>
      <c r="L307" s="51" t="s">
        <v>257</v>
      </c>
      <c r="M307" s="51"/>
      <c r="N307" s="51"/>
      <c r="O307" s="51"/>
      <c r="P307" s="51"/>
      <c r="Q307" s="51"/>
      <c r="R307" s="51"/>
      <c r="S307" s="51"/>
      <c r="T307" s="51"/>
    </row>
    <row r="308">
      <c r="A308" s="51"/>
      <c r="B308" s="51"/>
      <c r="C308" s="56"/>
      <c r="D308" s="51"/>
      <c r="E308" s="51"/>
      <c r="F308" s="51"/>
      <c r="G308" s="51" t="str">
        <f>IFERROR(__xludf.DUMMYFUNCTION("""COMPUTED_VALUE"""),"#VALUE!")</f>
        <v>#VALUE!</v>
      </c>
      <c r="H308" s="51" t="str">
        <f>IFERROR(__xludf.DUMMYFUNCTION("""COMPUTED_VALUE"""),"")</f>
        <v/>
      </c>
      <c r="I308" s="51" t="str">
        <f>IFERROR(__xludf.DUMMYFUNCTION("""COMPUTED_VALUE"""),"#VALUE!")</f>
        <v>#VALUE!</v>
      </c>
      <c r="J308" s="51" t="str">
        <f>IFERROR(__xludf.DUMMYFUNCTION("""COMPUTED_VALUE"""),"")</f>
        <v/>
      </c>
      <c r="K308" s="51"/>
      <c r="L308" s="51" t="s">
        <v>257</v>
      </c>
      <c r="M308" s="51"/>
      <c r="N308" s="51"/>
      <c r="O308" s="51"/>
      <c r="P308" s="51"/>
      <c r="Q308" s="51"/>
      <c r="R308" s="51"/>
      <c r="S308" s="51"/>
      <c r="T308" s="51"/>
    </row>
    <row r="309">
      <c r="A309" s="51"/>
      <c r="B309" s="51"/>
      <c r="C309" s="56"/>
      <c r="D309" s="51"/>
      <c r="E309" s="51"/>
      <c r="F309" s="51"/>
      <c r="G309" s="51" t="str">
        <f>IFERROR(__xludf.DUMMYFUNCTION("""COMPUTED_VALUE"""),"#VALUE!")</f>
        <v>#VALUE!</v>
      </c>
      <c r="H309" s="51" t="str">
        <f>IFERROR(__xludf.DUMMYFUNCTION("""COMPUTED_VALUE"""),"")</f>
        <v/>
      </c>
      <c r="I309" s="51" t="str">
        <f>IFERROR(__xludf.DUMMYFUNCTION("""COMPUTED_VALUE"""),"#VALUE!")</f>
        <v>#VALUE!</v>
      </c>
      <c r="J309" s="51" t="str">
        <f>IFERROR(__xludf.DUMMYFUNCTION("""COMPUTED_VALUE"""),"")</f>
        <v/>
      </c>
      <c r="K309" s="51"/>
      <c r="L309" s="51" t="s">
        <v>257</v>
      </c>
      <c r="M309" s="51"/>
      <c r="N309" s="51"/>
      <c r="O309" s="51"/>
      <c r="P309" s="51"/>
      <c r="Q309" s="51"/>
      <c r="R309" s="51"/>
      <c r="S309" s="51"/>
      <c r="T309" s="51"/>
    </row>
    <row r="310">
      <c r="A310" s="51"/>
      <c r="B310" s="51"/>
      <c r="C310" s="56"/>
      <c r="D310" s="51"/>
      <c r="E310" s="51"/>
      <c r="F310" s="51"/>
      <c r="G310" s="51" t="str">
        <f>IFERROR(__xludf.DUMMYFUNCTION("""COMPUTED_VALUE"""),"#VALUE!")</f>
        <v>#VALUE!</v>
      </c>
      <c r="H310" s="51" t="str">
        <f>IFERROR(__xludf.DUMMYFUNCTION("""COMPUTED_VALUE"""),"")</f>
        <v/>
      </c>
      <c r="I310" s="51" t="str">
        <f>IFERROR(__xludf.DUMMYFUNCTION("""COMPUTED_VALUE"""),"#VALUE!")</f>
        <v>#VALUE!</v>
      </c>
      <c r="J310" s="51" t="str">
        <f>IFERROR(__xludf.DUMMYFUNCTION("""COMPUTED_VALUE"""),"")</f>
        <v/>
      </c>
      <c r="K310" s="51"/>
      <c r="L310" s="51" t="s">
        <v>257</v>
      </c>
      <c r="M310" s="51"/>
      <c r="N310" s="51"/>
      <c r="O310" s="51"/>
      <c r="P310" s="51"/>
      <c r="Q310" s="51"/>
      <c r="R310" s="51"/>
      <c r="S310" s="51"/>
      <c r="T310" s="51"/>
    </row>
    <row r="311">
      <c r="A311" s="51"/>
      <c r="B311" s="51"/>
      <c r="C311" s="56"/>
      <c r="D311" s="51"/>
      <c r="E311" s="51"/>
      <c r="F311" s="51"/>
      <c r="G311" s="51" t="str">
        <f>IFERROR(__xludf.DUMMYFUNCTION("""COMPUTED_VALUE"""),"#VALUE!")</f>
        <v>#VALUE!</v>
      </c>
      <c r="H311" s="51" t="str">
        <f>IFERROR(__xludf.DUMMYFUNCTION("""COMPUTED_VALUE"""),"")</f>
        <v/>
      </c>
      <c r="I311" s="51" t="str">
        <f>IFERROR(__xludf.DUMMYFUNCTION("""COMPUTED_VALUE"""),"#VALUE!")</f>
        <v>#VALUE!</v>
      </c>
      <c r="J311" s="51" t="str">
        <f>IFERROR(__xludf.DUMMYFUNCTION("""COMPUTED_VALUE"""),"")</f>
        <v/>
      </c>
      <c r="K311" s="51"/>
      <c r="L311" s="51" t="s">
        <v>257</v>
      </c>
      <c r="M311" s="51"/>
      <c r="N311" s="51"/>
      <c r="O311" s="51"/>
      <c r="P311" s="51"/>
      <c r="Q311" s="51"/>
      <c r="R311" s="51"/>
      <c r="S311" s="51"/>
      <c r="T311" s="51"/>
    </row>
    <row r="312">
      <c r="A312" s="51"/>
      <c r="B312" s="51"/>
      <c r="C312" s="56"/>
      <c r="D312" s="51"/>
      <c r="E312" s="51"/>
      <c r="F312" s="51"/>
      <c r="G312" s="51" t="str">
        <f>IFERROR(__xludf.DUMMYFUNCTION("""COMPUTED_VALUE"""),"#VALUE!")</f>
        <v>#VALUE!</v>
      </c>
      <c r="H312" s="51" t="str">
        <f>IFERROR(__xludf.DUMMYFUNCTION("""COMPUTED_VALUE"""),"")</f>
        <v/>
      </c>
      <c r="I312" s="51" t="str">
        <f>IFERROR(__xludf.DUMMYFUNCTION("""COMPUTED_VALUE"""),"#VALUE!")</f>
        <v>#VALUE!</v>
      </c>
      <c r="J312" s="51" t="str">
        <f>IFERROR(__xludf.DUMMYFUNCTION("""COMPUTED_VALUE"""),"")</f>
        <v/>
      </c>
      <c r="K312" s="51"/>
      <c r="L312" s="51" t="s">
        <v>257</v>
      </c>
      <c r="M312" s="51"/>
      <c r="N312" s="51"/>
      <c r="O312" s="51"/>
      <c r="P312" s="51"/>
      <c r="Q312" s="51"/>
      <c r="R312" s="51"/>
      <c r="S312" s="51"/>
      <c r="T312" s="51"/>
    </row>
    <row r="313">
      <c r="A313" s="51"/>
      <c r="B313" s="51"/>
      <c r="C313" s="56"/>
      <c r="D313" s="51"/>
      <c r="E313" s="51"/>
      <c r="F313" s="51"/>
      <c r="G313" s="51" t="str">
        <f>IFERROR(__xludf.DUMMYFUNCTION("""COMPUTED_VALUE"""),"#VALUE!")</f>
        <v>#VALUE!</v>
      </c>
      <c r="H313" s="51" t="str">
        <f>IFERROR(__xludf.DUMMYFUNCTION("""COMPUTED_VALUE"""),"")</f>
        <v/>
      </c>
      <c r="I313" s="51" t="str">
        <f>IFERROR(__xludf.DUMMYFUNCTION("""COMPUTED_VALUE"""),"#VALUE!")</f>
        <v>#VALUE!</v>
      </c>
      <c r="J313" s="51" t="str">
        <f>IFERROR(__xludf.DUMMYFUNCTION("""COMPUTED_VALUE"""),"")</f>
        <v/>
      </c>
      <c r="K313" s="51"/>
      <c r="L313" s="51" t="s">
        <v>257</v>
      </c>
      <c r="M313" s="51"/>
      <c r="N313" s="51"/>
      <c r="O313" s="51"/>
      <c r="P313" s="51"/>
      <c r="Q313" s="51"/>
      <c r="R313" s="51"/>
      <c r="S313" s="51"/>
      <c r="T313" s="51"/>
    </row>
    <row r="314">
      <c r="A314" s="51"/>
      <c r="B314" s="51"/>
      <c r="C314" s="56"/>
      <c r="D314" s="51"/>
      <c r="E314" s="51"/>
      <c r="F314" s="51"/>
      <c r="G314" s="51" t="str">
        <f>IFERROR(__xludf.DUMMYFUNCTION("""COMPUTED_VALUE"""),"#VALUE!")</f>
        <v>#VALUE!</v>
      </c>
      <c r="H314" s="51" t="str">
        <f>IFERROR(__xludf.DUMMYFUNCTION("""COMPUTED_VALUE"""),"")</f>
        <v/>
      </c>
      <c r="I314" s="51" t="str">
        <f>IFERROR(__xludf.DUMMYFUNCTION("""COMPUTED_VALUE"""),"#VALUE!")</f>
        <v>#VALUE!</v>
      </c>
      <c r="J314" s="51" t="str">
        <f>IFERROR(__xludf.DUMMYFUNCTION("""COMPUTED_VALUE"""),"")</f>
        <v/>
      </c>
      <c r="K314" s="51"/>
      <c r="L314" s="51" t="s">
        <v>257</v>
      </c>
      <c r="M314" s="51"/>
      <c r="N314" s="51"/>
      <c r="O314" s="51"/>
      <c r="P314" s="51"/>
      <c r="Q314" s="51"/>
      <c r="R314" s="51"/>
      <c r="S314" s="51"/>
      <c r="T314" s="51"/>
    </row>
    <row r="315">
      <c r="A315" s="51"/>
      <c r="B315" s="51"/>
      <c r="C315" s="56"/>
      <c r="D315" s="51"/>
      <c r="E315" s="51"/>
      <c r="F315" s="51"/>
      <c r="G315" s="51" t="str">
        <f>IFERROR(__xludf.DUMMYFUNCTION("""COMPUTED_VALUE"""),"#VALUE!")</f>
        <v>#VALUE!</v>
      </c>
      <c r="H315" s="51" t="str">
        <f>IFERROR(__xludf.DUMMYFUNCTION("""COMPUTED_VALUE"""),"")</f>
        <v/>
      </c>
      <c r="I315" s="51" t="str">
        <f>IFERROR(__xludf.DUMMYFUNCTION("""COMPUTED_VALUE"""),"#VALUE!")</f>
        <v>#VALUE!</v>
      </c>
      <c r="J315" s="51" t="str">
        <f>IFERROR(__xludf.DUMMYFUNCTION("""COMPUTED_VALUE"""),"")</f>
        <v/>
      </c>
      <c r="K315" s="51"/>
      <c r="L315" s="51" t="s">
        <v>257</v>
      </c>
      <c r="M315" s="51"/>
      <c r="N315" s="51"/>
      <c r="O315" s="51"/>
      <c r="P315" s="51"/>
      <c r="Q315" s="51"/>
      <c r="R315" s="51"/>
      <c r="S315" s="51"/>
      <c r="T315" s="51"/>
    </row>
    <row r="316">
      <c r="A316" s="51"/>
      <c r="B316" s="51"/>
      <c r="C316" s="56"/>
      <c r="D316" s="51"/>
      <c r="E316" s="51"/>
      <c r="F316" s="51"/>
      <c r="G316" s="51" t="str">
        <f>IFERROR(__xludf.DUMMYFUNCTION("""COMPUTED_VALUE"""),"#VALUE!")</f>
        <v>#VALUE!</v>
      </c>
      <c r="H316" s="51" t="str">
        <f>IFERROR(__xludf.DUMMYFUNCTION("""COMPUTED_VALUE"""),"")</f>
        <v/>
      </c>
      <c r="I316" s="51" t="str">
        <f>IFERROR(__xludf.DUMMYFUNCTION("""COMPUTED_VALUE"""),"#VALUE!")</f>
        <v>#VALUE!</v>
      </c>
      <c r="J316" s="51" t="str">
        <f>IFERROR(__xludf.DUMMYFUNCTION("""COMPUTED_VALUE"""),"")</f>
        <v/>
      </c>
      <c r="K316" s="51"/>
      <c r="L316" s="51" t="s">
        <v>257</v>
      </c>
      <c r="M316" s="51"/>
      <c r="N316" s="51"/>
      <c r="O316" s="51"/>
      <c r="P316" s="51"/>
      <c r="Q316" s="51"/>
      <c r="R316" s="51"/>
      <c r="S316" s="51"/>
      <c r="T316" s="51"/>
    </row>
    <row r="317">
      <c r="A317" s="51"/>
      <c r="B317" s="51"/>
      <c r="C317" s="56"/>
      <c r="D317" s="51"/>
      <c r="E317" s="51"/>
      <c r="F317" s="51"/>
      <c r="G317" s="51" t="str">
        <f>IFERROR(__xludf.DUMMYFUNCTION("""COMPUTED_VALUE"""),"#VALUE!")</f>
        <v>#VALUE!</v>
      </c>
      <c r="H317" s="51" t="str">
        <f>IFERROR(__xludf.DUMMYFUNCTION("""COMPUTED_VALUE"""),"")</f>
        <v/>
      </c>
      <c r="I317" s="51" t="str">
        <f>IFERROR(__xludf.DUMMYFUNCTION("""COMPUTED_VALUE"""),"#VALUE!")</f>
        <v>#VALUE!</v>
      </c>
      <c r="J317" s="51" t="str">
        <f>IFERROR(__xludf.DUMMYFUNCTION("""COMPUTED_VALUE"""),"")</f>
        <v/>
      </c>
      <c r="K317" s="51"/>
      <c r="L317" s="51" t="s">
        <v>257</v>
      </c>
      <c r="M317" s="51"/>
      <c r="N317" s="51"/>
      <c r="O317" s="51"/>
      <c r="P317" s="51"/>
      <c r="Q317" s="51"/>
      <c r="R317" s="51"/>
      <c r="S317" s="51"/>
      <c r="T317" s="51"/>
    </row>
    <row r="318">
      <c r="A318" s="51"/>
      <c r="B318" s="51"/>
      <c r="C318" s="56"/>
      <c r="D318" s="51"/>
      <c r="E318" s="51"/>
      <c r="F318" s="51"/>
      <c r="G318" s="51" t="str">
        <f>IFERROR(__xludf.DUMMYFUNCTION("""COMPUTED_VALUE"""),"#VALUE!")</f>
        <v>#VALUE!</v>
      </c>
      <c r="H318" s="51" t="str">
        <f>IFERROR(__xludf.DUMMYFUNCTION("""COMPUTED_VALUE"""),"")</f>
        <v/>
      </c>
      <c r="I318" s="51" t="str">
        <f>IFERROR(__xludf.DUMMYFUNCTION("""COMPUTED_VALUE"""),"#VALUE!")</f>
        <v>#VALUE!</v>
      </c>
      <c r="J318" s="51" t="str">
        <f>IFERROR(__xludf.DUMMYFUNCTION("""COMPUTED_VALUE"""),"")</f>
        <v/>
      </c>
      <c r="K318" s="51"/>
      <c r="L318" s="51" t="s">
        <v>257</v>
      </c>
      <c r="M318" s="51"/>
      <c r="N318" s="51"/>
      <c r="O318" s="51"/>
      <c r="P318" s="51"/>
      <c r="Q318" s="51"/>
      <c r="R318" s="51"/>
      <c r="S318" s="51"/>
      <c r="T318" s="51"/>
    </row>
    <row r="319">
      <c r="A319" s="51"/>
      <c r="B319" s="51"/>
      <c r="C319" s="56"/>
      <c r="D319" s="51"/>
      <c r="E319" s="51"/>
      <c r="F319" s="51"/>
      <c r="G319" s="51" t="str">
        <f>IFERROR(__xludf.DUMMYFUNCTION("""COMPUTED_VALUE"""),"#VALUE!")</f>
        <v>#VALUE!</v>
      </c>
      <c r="H319" s="51" t="str">
        <f>IFERROR(__xludf.DUMMYFUNCTION("""COMPUTED_VALUE"""),"")</f>
        <v/>
      </c>
      <c r="I319" s="51" t="str">
        <f>IFERROR(__xludf.DUMMYFUNCTION("""COMPUTED_VALUE"""),"#VALUE!")</f>
        <v>#VALUE!</v>
      </c>
      <c r="J319" s="51" t="str">
        <f>IFERROR(__xludf.DUMMYFUNCTION("""COMPUTED_VALUE"""),"")</f>
        <v/>
      </c>
      <c r="K319" s="51"/>
      <c r="L319" s="51" t="s">
        <v>257</v>
      </c>
      <c r="M319" s="51"/>
      <c r="N319" s="51"/>
      <c r="O319" s="51"/>
      <c r="P319" s="51"/>
      <c r="Q319" s="51"/>
      <c r="R319" s="51"/>
      <c r="S319" s="51"/>
      <c r="T319" s="51"/>
    </row>
    <row r="320">
      <c r="A320" s="51"/>
      <c r="B320" s="51"/>
      <c r="C320" s="56"/>
      <c r="D320" s="51"/>
      <c r="E320" s="51"/>
      <c r="F320" s="51"/>
      <c r="G320" s="51" t="str">
        <f>IFERROR(__xludf.DUMMYFUNCTION("""COMPUTED_VALUE"""),"#VALUE!")</f>
        <v>#VALUE!</v>
      </c>
      <c r="H320" s="51" t="str">
        <f>IFERROR(__xludf.DUMMYFUNCTION("""COMPUTED_VALUE"""),"")</f>
        <v/>
      </c>
      <c r="I320" s="51" t="str">
        <f>IFERROR(__xludf.DUMMYFUNCTION("""COMPUTED_VALUE"""),"#VALUE!")</f>
        <v>#VALUE!</v>
      </c>
      <c r="J320" s="51" t="str">
        <f>IFERROR(__xludf.DUMMYFUNCTION("""COMPUTED_VALUE"""),"")</f>
        <v/>
      </c>
      <c r="K320" s="51"/>
      <c r="L320" s="51" t="s">
        <v>257</v>
      </c>
      <c r="M320" s="51"/>
      <c r="N320" s="51"/>
      <c r="O320" s="51"/>
      <c r="P320" s="51"/>
      <c r="Q320" s="51"/>
      <c r="R320" s="51"/>
      <c r="S320" s="51"/>
      <c r="T320" s="51"/>
    </row>
    <row r="321">
      <c r="A321" s="51"/>
      <c r="B321" s="51"/>
      <c r="C321" s="56"/>
      <c r="D321" s="51"/>
      <c r="E321" s="51"/>
      <c r="F321" s="51"/>
      <c r="G321" s="51" t="str">
        <f>IFERROR(__xludf.DUMMYFUNCTION("""COMPUTED_VALUE"""),"#VALUE!")</f>
        <v>#VALUE!</v>
      </c>
      <c r="H321" s="51" t="str">
        <f>IFERROR(__xludf.DUMMYFUNCTION("""COMPUTED_VALUE"""),"")</f>
        <v/>
      </c>
      <c r="I321" s="51" t="str">
        <f>IFERROR(__xludf.DUMMYFUNCTION("""COMPUTED_VALUE"""),"#VALUE!")</f>
        <v>#VALUE!</v>
      </c>
      <c r="J321" s="51" t="str">
        <f>IFERROR(__xludf.DUMMYFUNCTION("""COMPUTED_VALUE"""),"")</f>
        <v/>
      </c>
      <c r="K321" s="51"/>
      <c r="L321" s="51" t="s">
        <v>257</v>
      </c>
      <c r="M321" s="51"/>
      <c r="N321" s="51"/>
      <c r="O321" s="51"/>
      <c r="P321" s="51"/>
      <c r="Q321" s="51"/>
      <c r="R321" s="51"/>
      <c r="S321" s="51"/>
      <c r="T321" s="51"/>
    </row>
    <row r="322">
      <c r="A322" s="51"/>
      <c r="B322" s="51"/>
      <c r="C322" s="56"/>
      <c r="D322" s="51"/>
      <c r="E322" s="51"/>
      <c r="F322" s="51"/>
      <c r="G322" s="51" t="str">
        <f>IFERROR(__xludf.DUMMYFUNCTION("""COMPUTED_VALUE"""),"#VALUE!")</f>
        <v>#VALUE!</v>
      </c>
      <c r="H322" s="51" t="str">
        <f>IFERROR(__xludf.DUMMYFUNCTION("""COMPUTED_VALUE"""),"")</f>
        <v/>
      </c>
      <c r="I322" s="51" t="str">
        <f>IFERROR(__xludf.DUMMYFUNCTION("""COMPUTED_VALUE"""),"#VALUE!")</f>
        <v>#VALUE!</v>
      </c>
      <c r="J322" s="51" t="str">
        <f>IFERROR(__xludf.DUMMYFUNCTION("""COMPUTED_VALUE"""),"")</f>
        <v/>
      </c>
      <c r="K322" s="51"/>
      <c r="L322" s="51" t="s">
        <v>257</v>
      </c>
      <c r="M322" s="51"/>
      <c r="N322" s="51"/>
      <c r="O322" s="51"/>
      <c r="P322" s="51"/>
      <c r="Q322" s="51"/>
      <c r="R322" s="51"/>
      <c r="S322" s="51"/>
      <c r="T322" s="51"/>
    </row>
    <row r="323">
      <c r="A323" s="51"/>
      <c r="B323" s="51"/>
      <c r="C323" s="56"/>
      <c r="D323" s="51"/>
      <c r="E323" s="51"/>
      <c r="F323" s="51"/>
      <c r="G323" s="51" t="str">
        <f>IFERROR(__xludf.DUMMYFUNCTION("""COMPUTED_VALUE"""),"#VALUE!")</f>
        <v>#VALUE!</v>
      </c>
      <c r="H323" s="51" t="str">
        <f>IFERROR(__xludf.DUMMYFUNCTION("""COMPUTED_VALUE"""),"")</f>
        <v/>
      </c>
      <c r="I323" s="51" t="str">
        <f>IFERROR(__xludf.DUMMYFUNCTION("""COMPUTED_VALUE"""),"#VALUE!")</f>
        <v>#VALUE!</v>
      </c>
      <c r="J323" s="51" t="str">
        <f>IFERROR(__xludf.DUMMYFUNCTION("""COMPUTED_VALUE"""),"")</f>
        <v/>
      </c>
      <c r="K323" s="51"/>
      <c r="L323" s="51" t="s">
        <v>257</v>
      </c>
      <c r="M323" s="51"/>
      <c r="N323" s="51"/>
      <c r="O323" s="51"/>
      <c r="P323" s="51"/>
      <c r="Q323" s="51"/>
      <c r="R323" s="51"/>
      <c r="S323" s="51"/>
      <c r="T323" s="51"/>
    </row>
    <row r="324">
      <c r="A324" s="51"/>
      <c r="B324" s="51"/>
      <c r="C324" s="56"/>
      <c r="D324" s="51"/>
      <c r="E324" s="51"/>
      <c r="F324" s="51"/>
      <c r="G324" s="51" t="str">
        <f>IFERROR(__xludf.DUMMYFUNCTION("""COMPUTED_VALUE"""),"#VALUE!")</f>
        <v>#VALUE!</v>
      </c>
      <c r="H324" s="51" t="str">
        <f>IFERROR(__xludf.DUMMYFUNCTION("""COMPUTED_VALUE"""),"")</f>
        <v/>
      </c>
      <c r="I324" s="51" t="str">
        <f>IFERROR(__xludf.DUMMYFUNCTION("""COMPUTED_VALUE"""),"#VALUE!")</f>
        <v>#VALUE!</v>
      </c>
      <c r="J324" s="51" t="str">
        <f>IFERROR(__xludf.DUMMYFUNCTION("""COMPUTED_VALUE"""),"")</f>
        <v/>
      </c>
      <c r="K324" s="51"/>
      <c r="L324" s="51" t="s">
        <v>257</v>
      </c>
      <c r="M324" s="51"/>
      <c r="N324" s="51"/>
      <c r="O324" s="51"/>
      <c r="P324" s="51"/>
      <c r="Q324" s="51"/>
      <c r="R324" s="51"/>
      <c r="S324" s="51"/>
      <c r="T324" s="51"/>
    </row>
    <row r="325">
      <c r="A325" s="51"/>
      <c r="B325" s="51"/>
      <c r="C325" s="56"/>
      <c r="D325" s="51"/>
      <c r="E325" s="51"/>
      <c r="F325" s="51"/>
      <c r="G325" s="51" t="str">
        <f>IFERROR(__xludf.DUMMYFUNCTION("""COMPUTED_VALUE"""),"#VALUE!")</f>
        <v>#VALUE!</v>
      </c>
      <c r="H325" s="51" t="str">
        <f>IFERROR(__xludf.DUMMYFUNCTION("""COMPUTED_VALUE"""),"")</f>
        <v/>
      </c>
      <c r="I325" s="51" t="str">
        <f>IFERROR(__xludf.DUMMYFUNCTION("""COMPUTED_VALUE"""),"#VALUE!")</f>
        <v>#VALUE!</v>
      </c>
      <c r="J325" s="51" t="str">
        <f>IFERROR(__xludf.DUMMYFUNCTION("""COMPUTED_VALUE"""),"")</f>
        <v/>
      </c>
      <c r="K325" s="51"/>
      <c r="L325" s="51" t="s">
        <v>257</v>
      </c>
      <c r="M325" s="51"/>
      <c r="N325" s="51"/>
      <c r="O325" s="51"/>
      <c r="P325" s="51"/>
      <c r="Q325" s="51"/>
      <c r="R325" s="51"/>
      <c r="S325" s="51"/>
      <c r="T325" s="51"/>
    </row>
    <row r="326">
      <c r="A326" s="51"/>
      <c r="B326" s="51"/>
      <c r="C326" s="56"/>
      <c r="D326" s="51"/>
      <c r="E326" s="51"/>
      <c r="F326" s="51"/>
      <c r="G326" s="51" t="str">
        <f>IFERROR(__xludf.DUMMYFUNCTION("""COMPUTED_VALUE"""),"#VALUE!")</f>
        <v>#VALUE!</v>
      </c>
      <c r="H326" s="51" t="str">
        <f>IFERROR(__xludf.DUMMYFUNCTION("""COMPUTED_VALUE"""),"")</f>
        <v/>
      </c>
      <c r="I326" s="51" t="str">
        <f>IFERROR(__xludf.DUMMYFUNCTION("""COMPUTED_VALUE"""),"#VALUE!")</f>
        <v>#VALUE!</v>
      </c>
      <c r="J326" s="51" t="str">
        <f>IFERROR(__xludf.DUMMYFUNCTION("""COMPUTED_VALUE"""),"")</f>
        <v/>
      </c>
      <c r="K326" s="51"/>
      <c r="L326" s="51" t="s">
        <v>257</v>
      </c>
      <c r="M326" s="51"/>
      <c r="N326" s="51"/>
      <c r="O326" s="51"/>
      <c r="P326" s="51"/>
      <c r="Q326" s="51"/>
      <c r="R326" s="51"/>
      <c r="S326" s="51"/>
      <c r="T326" s="51"/>
    </row>
    <row r="327">
      <c r="A327" s="51"/>
      <c r="B327" s="51"/>
      <c r="C327" s="56"/>
      <c r="D327" s="51"/>
      <c r="E327" s="51"/>
      <c r="F327" s="51"/>
      <c r="G327" s="51" t="str">
        <f>IFERROR(__xludf.DUMMYFUNCTION("""COMPUTED_VALUE"""),"#VALUE!")</f>
        <v>#VALUE!</v>
      </c>
      <c r="H327" s="51" t="str">
        <f>IFERROR(__xludf.DUMMYFUNCTION("""COMPUTED_VALUE"""),"")</f>
        <v/>
      </c>
      <c r="I327" s="51" t="str">
        <f>IFERROR(__xludf.DUMMYFUNCTION("""COMPUTED_VALUE"""),"#VALUE!")</f>
        <v>#VALUE!</v>
      </c>
      <c r="J327" s="51" t="str">
        <f>IFERROR(__xludf.DUMMYFUNCTION("""COMPUTED_VALUE"""),"")</f>
        <v/>
      </c>
      <c r="K327" s="51"/>
      <c r="L327" s="51" t="s">
        <v>257</v>
      </c>
      <c r="M327" s="51"/>
      <c r="N327" s="51"/>
      <c r="O327" s="51"/>
      <c r="P327" s="51"/>
      <c r="Q327" s="51"/>
      <c r="R327" s="51"/>
      <c r="S327" s="51"/>
      <c r="T327" s="51"/>
    </row>
    <row r="328">
      <c r="A328" s="51"/>
      <c r="B328" s="51"/>
      <c r="C328" s="56"/>
      <c r="D328" s="51"/>
      <c r="E328" s="51"/>
      <c r="F328" s="51"/>
      <c r="G328" s="51" t="str">
        <f>IFERROR(__xludf.DUMMYFUNCTION("""COMPUTED_VALUE"""),"#VALUE!")</f>
        <v>#VALUE!</v>
      </c>
      <c r="H328" s="51" t="str">
        <f>IFERROR(__xludf.DUMMYFUNCTION("""COMPUTED_VALUE"""),"")</f>
        <v/>
      </c>
      <c r="I328" s="51" t="str">
        <f>IFERROR(__xludf.DUMMYFUNCTION("""COMPUTED_VALUE"""),"#VALUE!")</f>
        <v>#VALUE!</v>
      </c>
      <c r="J328" s="51" t="str">
        <f>IFERROR(__xludf.DUMMYFUNCTION("""COMPUTED_VALUE"""),"")</f>
        <v/>
      </c>
      <c r="K328" s="51"/>
      <c r="L328" s="51" t="s">
        <v>257</v>
      </c>
      <c r="M328" s="51"/>
      <c r="N328" s="51"/>
      <c r="O328" s="51"/>
      <c r="P328" s="51"/>
      <c r="Q328" s="51"/>
      <c r="R328" s="51"/>
      <c r="S328" s="51"/>
      <c r="T328" s="51"/>
    </row>
    <row r="329">
      <c r="A329" s="51"/>
      <c r="B329" s="51"/>
      <c r="C329" s="56"/>
      <c r="D329" s="51"/>
      <c r="E329" s="51"/>
      <c r="F329" s="51"/>
      <c r="G329" s="51" t="str">
        <f>IFERROR(__xludf.DUMMYFUNCTION("""COMPUTED_VALUE"""),"#VALUE!")</f>
        <v>#VALUE!</v>
      </c>
      <c r="H329" s="51" t="str">
        <f>IFERROR(__xludf.DUMMYFUNCTION("""COMPUTED_VALUE"""),"")</f>
        <v/>
      </c>
      <c r="I329" s="51" t="str">
        <f>IFERROR(__xludf.DUMMYFUNCTION("""COMPUTED_VALUE"""),"#VALUE!")</f>
        <v>#VALUE!</v>
      </c>
      <c r="J329" s="51" t="str">
        <f>IFERROR(__xludf.DUMMYFUNCTION("""COMPUTED_VALUE"""),"")</f>
        <v/>
      </c>
      <c r="K329" s="51"/>
      <c r="L329" s="51" t="s">
        <v>257</v>
      </c>
      <c r="M329" s="51"/>
      <c r="N329" s="51"/>
      <c r="O329" s="51"/>
      <c r="P329" s="51"/>
      <c r="Q329" s="51"/>
      <c r="R329" s="51"/>
      <c r="S329" s="51"/>
      <c r="T329" s="51"/>
    </row>
    <row r="330">
      <c r="A330" s="51"/>
      <c r="B330" s="51"/>
      <c r="C330" s="56"/>
      <c r="D330" s="51"/>
      <c r="E330" s="51"/>
      <c r="F330" s="51"/>
      <c r="G330" s="51" t="str">
        <f>IFERROR(__xludf.DUMMYFUNCTION("""COMPUTED_VALUE"""),"#VALUE!")</f>
        <v>#VALUE!</v>
      </c>
      <c r="H330" s="51" t="str">
        <f>IFERROR(__xludf.DUMMYFUNCTION("""COMPUTED_VALUE"""),"")</f>
        <v/>
      </c>
      <c r="I330" s="51" t="str">
        <f>IFERROR(__xludf.DUMMYFUNCTION("""COMPUTED_VALUE"""),"#VALUE!")</f>
        <v>#VALUE!</v>
      </c>
      <c r="J330" s="51" t="str">
        <f>IFERROR(__xludf.DUMMYFUNCTION("""COMPUTED_VALUE"""),"")</f>
        <v/>
      </c>
      <c r="K330" s="51"/>
      <c r="L330" s="51" t="s">
        <v>257</v>
      </c>
      <c r="M330" s="51"/>
      <c r="N330" s="51"/>
      <c r="O330" s="51"/>
      <c r="P330" s="51"/>
      <c r="Q330" s="51"/>
      <c r="R330" s="51"/>
      <c r="S330" s="51"/>
      <c r="T330" s="51"/>
    </row>
    <row r="331">
      <c r="A331" s="51"/>
      <c r="B331" s="51"/>
      <c r="C331" s="56"/>
      <c r="D331" s="51"/>
      <c r="E331" s="51"/>
      <c r="F331" s="51"/>
      <c r="G331" s="51" t="str">
        <f>IFERROR(__xludf.DUMMYFUNCTION("""COMPUTED_VALUE"""),"#VALUE!")</f>
        <v>#VALUE!</v>
      </c>
      <c r="H331" s="51" t="str">
        <f>IFERROR(__xludf.DUMMYFUNCTION("""COMPUTED_VALUE"""),"")</f>
        <v/>
      </c>
      <c r="I331" s="51" t="str">
        <f>IFERROR(__xludf.DUMMYFUNCTION("""COMPUTED_VALUE"""),"#VALUE!")</f>
        <v>#VALUE!</v>
      </c>
      <c r="J331" s="51" t="str">
        <f>IFERROR(__xludf.DUMMYFUNCTION("""COMPUTED_VALUE"""),"")</f>
        <v/>
      </c>
      <c r="K331" s="51"/>
      <c r="L331" s="51" t="s">
        <v>257</v>
      </c>
      <c r="M331" s="51"/>
      <c r="N331" s="51"/>
      <c r="O331" s="51"/>
      <c r="P331" s="51"/>
      <c r="Q331" s="51"/>
      <c r="R331" s="51"/>
      <c r="S331" s="51"/>
      <c r="T331" s="51"/>
    </row>
    <row r="332">
      <c r="A332" s="51"/>
      <c r="B332" s="51"/>
      <c r="C332" s="56"/>
      <c r="D332" s="51"/>
      <c r="E332" s="51"/>
      <c r="F332" s="51"/>
      <c r="G332" s="51" t="str">
        <f>IFERROR(__xludf.DUMMYFUNCTION("""COMPUTED_VALUE"""),"#VALUE!")</f>
        <v>#VALUE!</v>
      </c>
      <c r="H332" s="51" t="str">
        <f>IFERROR(__xludf.DUMMYFUNCTION("""COMPUTED_VALUE"""),"")</f>
        <v/>
      </c>
      <c r="I332" s="51" t="str">
        <f>IFERROR(__xludf.DUMMYFUNCTION("""COMPUTED_VALUE"""),"#VALUE!")</f>
        <v>#VALUE!</v>
      </c>
      <c r="J332" s="51" t="str">
        <f>IFERROR(__xludf.DUMMYFUNCTION("""COMPUTED_VALUE"""),"")</f>
        <v/>
      </c>
      <c r="K332" s="51"/>
      <c r="L332" s="51" t="s">
        <v>257</v>
      </c>
      <c r="M332" s="51"/>
      <c r="N332" s="51"/>
      <c r="O332" s="51"/>
      <c r="P332" s="51"/>
      <c r="Q332" s="51"/>
      <c r="R332" s="51"/>
      <c r="S332" s="51"/>
      <c r="T332" s="51"/>
    </row>
    <row r="333">
      <c r="A333" s="51"/>
      <c r="B333" s="51"/>
      <c r="C333" s="56"/>
      <c r="D333" s="51"/>
      <c r="E333" s="51"/>
      <c r="F333" s="51"/>
      <c r="G333" s="51" t="str">
        <f>IFERROR(__xludf.DUMMYFUNCTION("""COMPUTED_VALUE"""),"#VALUE!")</f>
        <v>#VALUE!</v>
      </c>
      <c r="H333" s="51" t="str">
        <f>IFERROR(__xludf.DUMMYFUNCTION("""COMPUTED_VALUE"""),"")</f>
        <v/>
      </c>
      <c r="I333" s="51" t="str">
        <f>IFERROR(__xludf.DUMMYFUNCTION("""COMPUTED_VALUE"""),"#VALUE!")</f>
        <v>#VALUE!</v>
      </c>
      <c r="J333" s="51" t="str">
        <f>IFERROR(__xludf.DUMMYFUNCTION("""COMPUTED_VALUE"""),"")</f>
        <v/>
      </c>
      <c r="K333" s="51"/>
      <c r="L333" s="51" t="s">
        <v>257</v>
      </c>
      <c r="M333" s="51"/>
      <c r="N333" s="51"/>
      <c r="O333" s="51"/>
      <c r="P333" s="51"/>
      <c r="Q333" s="51"/>
      <c r="R333" s="51"/>
      <c r="S333" s="51"/>
      <c r="T333" s="51"/>
    </row>
    <row r="334">
      <c r="A334" s="51"/>
      <c r="B334" s="51"/>
      <c r="C334" s="56"/>
      <c r="D334" s="51"/>
      <c r="E334" s="51"/>
      <c r="F334" s="51"/>
      <c r="G334" s="51" t="str">
        <f>IFERROR(__xludf.DUMMYFUNCTION("""COMPUTED_VALUE"""),"#VALUE!")</f>
        <v>#VALUE!</v>
      </c>
      <c r="H334" s="51" t="str">
        <f>IFERROR(__xludf.DUMMYFUNCTION("""COMPUTED_VALUE"""),"")</f>
        <v/>
      </c>
      <c r="I334" s="51" t="str">
        <f>IFERROR(__xludf.DUMMYFUNCTION("""COMPUTED_VALUE"""),"#VALUE!")</f>
        <v>#VALUE!</v>
      </c>
      <c r="J334" s="51" t="str">
        <f>IFERROR(__xludf.DUMMYFUNCTION("""COMPUTED_VALUE"""),"")</f>
        <v/>
      </c>
      <c r="K334" s="51"/>
      <c r="L334" s="51" t="s">
        <v>257</v>
      </c>
      <c r="M334" s="51"/>
      <c r="N334" s="51"/>
      <c r="O334" s="51"/>
      <c r="P334" s="51"/>
      <c r="Q334" s="51"/>
      <c r="R334" s="51"/>
      <c r="S334" s="51"/>
      <c r="T334" s="51"/>
    </row>
    <row r="335">
      <c r="A335" s="51"/>
      <c r="B335" s="51"/>
      <c r="C335" s="56"/>
      <c r="D335" s="51"/>
      <c r="E335" s="51"/>
      <c r="F335" s="51"/>
      <c r="G335" s="51" t="str">
        <f>IFERROR(__xludf.DUMMYFUNCTION("""COMPUTED_VALUE"""),"#VALUE!")</f>
        <v>#VALUE!</v>
      </c>
      <c r="H335" s="51" t="str">
        <f>IFERROR(__xludf.DUMMYFUNCTION("""COMPUTED_VALUE"""),"")</f>
        <v/>
      </c>
      <c r="I335" s="51" t="str">
        <f>IFERROR(__xludf.DUMMYFUNCTION("""COMPUTED_VALUE"""),"#VALUE!")</f>
        <v>#VALUE!</v>
      </c>
      <c r="J335" s="51" t="str">
        <f>IFERROR(__xludf.DUMMYFUNCTION("""COMPUTED_VALUE"""),"")</f>
        <v/>
      </c>
      <c r="K335" s="51"/>
      <c r="L335" s="51" t="s">
        <v>257</v>
      </c>
      <c r="M335" s="51"/>
      <c r="N335" s="51"/>
      <c r="O335" s="51"/>
      <c r="P335" s="51"/>
      <c r="Q335" s="51"/>
      <c r="R335" s="51"/>
      <c r="S335" s="51"/>
      <c r="T335" s="51"/>
    </row>
    <row r="336">
      <c r="A336" s="51"/>
      <c r="B336" s="51"/>
      <c r="C336" s="56"/>
      <c r="D336" s="51"/>
      <c r="E336" s="51"/>
      <c r="F336" s="51"/>
      <c r="G336" s="51" t="str">
        <f>IFERROR(__xludf.DUMMYFUNCTION("""COMPUTED_VALUE"""),"#VALUE!")</f>
        <v>#VALUE!</v>
      </c>
      <c r="H336" s="51" t="str">
        <f>IFERROR(__xludf.DUMMYFUNCTION("""COMPUTED_VALUE"""),"")</f>
        <v/>
      </c>
      <c r="I336" s="51" t="str">
        <f>IFERROR(__xludf.DUMMYFUNCTION("""COMPUTED_VALUE"""),"#VALUE!")</f>
        <v>#VALUE!</v>
      </c>
      <c r="J336" s="51" t="str">
        <f>IFERROR(__xludf.DUMMYFUNCTION("""COMPUTED_VALUE"""),"")</f>
        <v/>
      </c>
      <c r="K336" s="51"/>
      <c r="L336" s="51" t="s">
        <v>257</v>
      </c>
      <c r="M336" s="51"/>
      <c r="N336" s="51"/>
      <c r="O336" s="51"/>
      <c r="P336" s="51"/>
      <c r="Q336" s="51"/>
      <c r="R336" s="51"/>
      <c r="S336" s="51"/>
      <c r="T336" s="51"/>
    </row>
    <row r="337">
      <c r="A337" s="51"/>
      <c r="B337" s="51"/>
      <c r="C337" s="56"/>
      <c r="D337" s="51"/>
      <c r="E337" s="51"/>
      <c r="F337" s="51"/>
      <c r="G337" s="51" t="str">
        <f>IFERROR(__xludf.DUMMYFUNCTION("""COMPUTED_VALUE"""),"#VALUE!")</f>
        <v>#VALUE!</v>
      </c>
      <c r="H337" s="51" t="str">
        <f>IFERROR(__xludf.DUMMYFUNCTION("""COMPUTED_VALUE"""),"")</f>
        <v/>
      </c>
      <c r="I337" s="51" t="str">
        <f>IFERROR(__xludf.DUMMYFUNCTION("""COMPUTED_VALUE"""),"#VALUE!")</f>
        <v>#VALUE!</v>
      </c>
      <c r="J337" s="51" t="str">
        <f>IFERROR(__xludf.DUMMYFUNCTION("""COMPUTED_VALUE"""),"")</f>
        <v/>
      </c>
      <c r="K337" s="51"/>
      <c r="L337" s="51" t="s">
        <v>257</v>
      </c>
      <c r="M337" s="51"/>
      <c r="N337" s="51"/>
      <c r="O337" s="51"/>
      <c r="P337" s="51"/>
      <c r="Q337" s="51"/>
      <c r="R337" s="51"/>
      <c r="S337" s="51"/>
      <c r="T337" s="51"/>
    </row>
    <row r="338">
      <c r="A338" s="51"/>
      <c r="B338" s="51"/>
      <c r="C338" s="56"/>
      <c r="D338" s="51"/>
      <c r="E338" s="51"/>
      <c r="F338" s="51"/>
      <c r="G338" s="51" t="str">
        <f>IFERROR(__xludf.DUMMYFUNCTION("""COMPUTED_VALUE"""),"#VALUE!")</f>
        <v>#VALUE!</v>
      </c>
      <c r="H338" s="51" t="str">
        <f>IFERROR(__xludf.DUMMYFUNCTION("""COMPUTED_VALUE"""),"")</f>
        <v/>
      </c>
      <c r="I338" s="51" t="str">
        <f>IFERROR(__xludf.DUMMYFUNCTION("""COMPUTED_VALUE"""),"#VALUE!")</f>
        <v>#VALUE!</v>
      </c>
      <c r="J338" s="51" t="str">
        <f>IFERROR(__xludf.DUMMYFUNCTION("""COMPUTED_VALUE"""),"")</f>
        <v/>
      </c>
      <c r="K338" s="51"/>
      <c r="L338" s="51" t="s">
        <v>257</v>
      </c>
      <c r="M338" s="51"/>
      <c r="N338" s="51"/>
      <c r="O338" s="51"/>
      <c r="P338" s="51"/>
      <c r="Q338" s="51"/>
      <c r="R338" s="51"/>
      <c r="S338" s="51"/>
      <c r="T338" s="51"/>
    </row>
    <row r="339">
      <c r="A339" s="51"/>
      <c r="B339" s="51"/>
      <c r="C339" s="56"/>
      <c r="D339" s="51"/>
      <c r="E339" s="51"/>
      <c r="F339" s="51"/>
      <c r="G339" s="51" t="str">
        <f>IFERROR(__xludf.DUMMYFUNCTION("""COMPUTED_VALUE"""),"#VALUE!")</f>
        <v>#VALUE!</v>
      </c>
      <c r="H339" s="51" t="str">
        <f>IFERROR(__xludf.DUMMYFUNCTION("""COMPUTED_VALUE"""),"")</f>
        <v/>
      </c>
      <c r="I339" s="51" t="str">
        <f>IFERROR(__xludf.DUMMYFUNCTION("""COMPUTED_VALUE"""),"#VALUE!")</f>
        <v>#VALUE!</v>
      </c>
      <c r="J339" s="51" t="str">
        <f>IFERROR(__xludf.DUMMYFUNCTION("""COMPUTED_VALUE"""),"")</f>
        <v/>
      </c>
      <c r="K339" s="51"/>
      <c r="L339" s="51" t="s">
        <v>257</v>
      </c>
      <c r="M339" s="51"/>
      <c r="N339" s="51"/>
      <c r="O339" s="51"/>
      <c r="P339" s="51"/>
      <c r="Q339" s="51"/>
      <c r="R339" s="51"/>
      <c r="S339" s="51"/>
      <c r="T339" s="51"/>
    </row>
    <row r="340">
      <c r="A340" s="51"/>
      <c r="B340" s="51"/>
      <c r="C340" s="56"/>
      <c r="D340" s="51"/>
      <c r="E340" s="51"/>
      <c r="F340" s="51"/>
      <c r="G340" s="51" t="str">
        <f>IFERROR(__xludf.DUMMYFUNCTION("""COMPUTED_VALUE"""),"#VALUE!")</f>
        <v>#VALUE!</v>
      </c>
      <c r="H340" s="51" t="str">
        <f>IFERROR(__xludf.DUMMYFUNCTION("""COMPUTED_VALUE"""),"")</f>
        <v/>
      </c>
      <c r="I340" s="51" t="str">
        <f>IFERROR(__xludf.DUMMYFUNCTION("""COMPUTED_VALUE"""),"#VALUE!")</f>
        <v>#VALUE!</v>
      </c>
      <c r="J340" s="51" t="str">
        <f>IFERROR(__xludf.DUMMYFUNCTION("""COMPUTED_VALUE"""),"")</f>
        <v/>
      </c>
      <c r="K340" s="51"/>
      <c r="L340" s="51" t="s">
        <v>257</v>
      </c>
      <c r="M340" s="51"/>
      <c r="N340" s="51"/>
      <c r="O340" s="51"/>
      <c r="P340" s="51"/>
      <c r="Q340" s="51"/>
      <c r="R340" s="51"/>
      <c r="S340" s="51"/>
      <c r="T340" s="51"/>
    </row>
    <row r="341">
      <c r="A341" s="51"/>
      <c r="B341" s="51"/>
      <c r="C341" s="56"/>
      <c r="D341" s="51"/>
      <c r="E341" s="51"/>
      <c r="F341" s="51"/>
      <c r="G341" s="51" t="str">
        <f>IFERROR(__xludf.DUMMYFUNCTION("""COMPUTED_VALUE"""),"#VALUE!")</f>
        <v>#VALUE!</v>
      </c>
      <c r="H341" s="51" t="str">
        <f>IFERROR(__xludf.DUMMYFUNCTION("""COMPUTED_VALUE"""),"")</f>
        <v/>
      </c>
      <c r="I341" s="51" t="str">
        <f>IFERROR(__xludf.DUMMYFUNCTION("""COMPUTED_VALUE"""),"#VALUE!")</f>
        <v>#VALUE!</v>
      </c>
      <c r="J341" s="51" t="str">
        <f>IFERROR(__xludf.DUMMYFUNCTION("""COMPUTED_VALUE"""),"")</f>
        <v/>
      </c>
      <c r="K341" s="51"/>
      <c r="L341" s="51" t="s">
        <v>257</v>
      </c>
      <c r="M341" s="51"/>
      <c r="N341" s="51"/>
      <c r="O341" s="51"/>
      <c r="P341" s="51"/>
      <c r="Q341" s="51"/>
      <c r="R341" s="51"/>
      <c r="S341" s="51"/>
      <c r="T341" s="51"/>
    </row>
    <row r="342">
      <c r="A342" s="51"/>
      <c r="B342" s="51"/>
      <c r="C342" s="56"/>
      <c r="D342" s="51"/>
      <c r="E342" s="51"/>
      <c r="F342" s="51"/>
      <c r="G342" s="51" t="str">
        <f>IFERROR(__xludf.DUMMYFUNCTION("""COMPUTED_VALUE"""),"#VALUE!")</f>
        <v>#VALUE!</v>
      </c>
      <c r="H342" s="51" t="str">
        <f>IFERROR(__xludf.DUMMYFUNCTION("""COMPUTED_VALUE"""),"")</f>
        <v/>
      </c>
      <c r="I342" s="51" t="str">
        <f>IFERROR(__xludf.DUMMYFUNCTION("""COMPUTED_VALUE"""),"#VALUE!")</f>
        <v>#VALUE!</v>
      </c>
      <c r="J342" s="51" t="str">
        <f>IFERROR(__xludf.DUMMYFUNCTION("""COMPUTED_VALUE"""),"")</f>
        <v/>
      </c>
      <c r="K342" s="51"/>
      <c r="L342" s="51" t="s">
        <v>257</v>
      </c>
      <c r="M342" s="51"/>
      <c r="N342" s="51"/>
      <c r="O342" s="51"/>
      <c r="P342" s="51"/>
      <c r="Q342" s="51"/>
      <c r="R342" s="51"/>
      <c r="S342" s="51"/>
      <c r="T342" s="51"/>
    </row>
    <row r="343">
      <c r="A343" s="51"/>
      <c r="B343" s="51"/>
      <c r="C343" s="56"/>
      <c r="D343" s="51"/>
      <c r="E343" s="51"/>
      <c r="F343" s="51"/>
      <c r="G343" s="51" t="str">
        <f>IFERROR(__xludf.DUMMYFUNCTION("""COMPUTED_VALUE"""),"#VALUE!")</f>
        <v>#VALUE!</v>
      </c>
      <c r="H343" s="51" t="str">
        <f>IFERROR(__xludf.DUMMYFUNCTION("""COMPUTED_VALUE"""),"")</f>
        <v/>
      </c>
      <c r="I343" s="51" t="str">
        <f>IFERROR(__xludf.DUMMYFUNCTION("""COMPUTED_VALUE"""),"#VALUE!")</f>
        <v>#VALUE!</v>
      </c>
      <c r="J343" s="51" t="str">
        <f>IFERROR(__xludf.DUMMYFUNCTION("""COMPUTED_VALUE"""),"")</f>
        <v/>
      </c>
      <c r="K343" s="51"/>
      <c r="L343" s="51" t="s">
        <v>257</v>
      </c>
      <c r="M343" s="51"/>
      <c r="N343" s="51"/>
      <c r="O343" s="51"/>
      <c r="P343" s="51"/>
      <c r="Q343" s="51"/>
      <c r="R343" s="51"/>
      <c r="S343" s="51"/>
      <c r="T343" s="51"/>
    </row>
    <row r="344">
      <c r="A344" s="51"/>
      <c r="B344" s="51"/>
      <c r="C344" s="56"/>
      <c r="D344" s="51"/>
      <c r="E344" s="51"/>
      <c r="F344" s="51"/>
      <c r="G344" s="51" t="str">
        <f>IFERROR(__xludf.DUMMYFUNCTION("""COMPUTED_VALUE"""),"#VALUE!")</f>
        <v>#VALUE!</v>
      </c>
      <c r="H344" s="51" t="str">
        <f>IFERROR(__xludf.DUMMYFUNCTION("""COMPUTED_VALUE"""),"")</f>
        <v/>
      </c>
      <c r="I344" s="51" t="str">
        <f>IFERROR(__xludf.DUMMYFUNCTION("""COMPUTED_VALUE"""),"#VALUE!")</f>
        <v>#VALUE!</v>
      </c>
      <c r="J344" s="51" t="str">
        <f>IFERROR(__xludf.DUMMYFUNCTION("""COMPUTED_VALUE"""),"")</f>
        <v/>
      </c>
      <c r="K344" s="51"/>
      <c r="L344" s="51" t="s">
        <v>257</v>
      </c>
      <c r="M344" s="51"/>
      <c r="N344" s="51"/>
      <c r="O344" s="51"/>
      <c r="P344" s="51"/>
      <c r="Q344" s="51"/>
      <c r="R344" s="51"/>
      <c r="S344" s="51"/>
      <c r="T344" s="51"/>
    </row>
    <row r="345">
      <c r="A345" s="51"/>
      <c r="B345" s="51"/>
      <c r="C345" s="56"/>
      <c r="D345" s="51"/>
      <c r="E345" s="51"/>
      <c r="F345" s="51"/>
      <c r="G345" s="51" t="str">
        <f>IFERROR(__xludf.DUMMYFUNCTION("""COMPUTED_VALUE"""),"#VALUE!")</f>
        <v>#VALUE!</v>
      </c>
      <c r="H345" s="51" t="str">
        <f>IFERROR(__xludf.DUMMYFUNCTION("""COMPUTED_VALUE"""),"")</f>
        <v/>
      </c>
      <c r="I345" s="51" t="str">
        <f>IFERROR(__xludf.DUMMYFUNCTION("""COMPUTED_VALUE"""),"#VALUE!")</f>
        <v>#VALUE!</v>
      </c>
      <c r="J345" s="51" t="str">
        <f>IFERROR(__xludf.DUMMYFUNCTION("""COMPUTED_VALUE"""),"")</f>
        <v/>
      </c>
      <c r="K345" s="51"/>
      <c r="L345" s="51" t="s">
        <v>257</v>
      </c>
      <c r="M345" s="51"/>
      <c r="N345" s="51"/>
      <c r="O345" s="51"/>
      <c r="P345" s="51"/>
      <c r="Q345" s="51"/>
      <c r="R345" s="51"/>
      <c r="S345" s="51"/>
      <c r="T345" s="51"/>
    </row>
    <row r="346">
      <c r="A346" s="51"/>
      <c r="B346" s="51"/>
      <c r="C346" s="56"/>
      <c r="D346" s="51"/>
      <c r="E346" s="51"/>
      <c r="F346" s="51"/>
      <c r="G346" s="51" t="str">
        <f>IFERROR(__xludf.DUMMYFUNCTION("""COMPUTED_VALUE"""),"#VALUE!")</f>
        <v>#VALUE!</v>
      </c>
      <c r="H346" s="51" t="str">
        <f>IFERROR(__xludf.DUMMYFUNCTION("""COMPUTED_VALUE"""),"")</f>
        <v/>
      </c>
      <c r="I346" s="51" t="str">
        <f>IFERROR(__xludf.DUMMYFUNCTION("""COMPUTED_VALUE"""),"#VALUE!")</f>
        <v>#VALUE!</v>
      </c>
      <c r="J346" s="51" t="str">
        <f>IFERROR(__xludf.DUMMYFUNCTION("""COMPUTED_VALUE"""),"")</f>
        <v/>
      </c>
      <c r="K346" s="51"/>
      <c r="L346" s="51" t="s">
        <v>257</v>
      </c>
      <c r="M346" s="51"/>
      <c r="N346" s="51"/>
      <c r="O346" s="51"/>
      <c r="P346" s="51"/>
      <c r="Q346" s="51"/>
      <c r="R346" s="51"/>
      <c r="S346" s="51"/>
      <c r="T346" s="51"/>
    </row>
    <row r="347">
      <c r="A347" s="51"/>
      <c r="B347" s="51"/>
      <c r="C347" s="56"/>
      <c r="D347" s="51"/>
      <c r="E347" s="51"/>
      <c r="F347" s="51"/>
      <c r="G347" s="51" t="str">
        <f>IFERROR(__xludf.DUMMYFUNCTION("""COMPUTED_VALUE"""),"#VALUE!")</f>
        <v>#VALUE!</v>
      </c>
      <c r="H347" s="51" t="str">
        <f>IFERROR(__xludf.DUMMYFUNCTION("""COMPUTED_VALUE"""),"")</f>
        <v/>
      </c>
      <c r="I347" s="51" t="str">
        <f>IFERROR(__xludf.DUMMYFUNCTION("""COMPUTED_VALUE"""),"#VALUE!")</f>
        <v>#VALUE!</v>
      </c>
      <c r="J347" s="51" t="str">
        <f>IFERROR(__xludf.DUMMYFUNCTION("""COMPUTED_VALUE"""),"")</f>
        <v/>
      </c>
      <c r="K347" s="51"/>
      <c r="L347" s="51" t="s">
        <v>257</v>
      </c>
      <c r="M347" s="51"/>
      <c r="N347" s="51"/>
      <c r="O347" s="51"/>
      <c r="P347" s="51"/>
      <c r="Q347" s="51"/>
      <c r="R347" s="51"/>
      <c r="S347" s="51"/>
      <c r="T347" s="51"/>
    </row>
    <row r="348">
      <c r="A348" s="51"/>
      <c r="B348" s="51"/>
      <c r="C348" s="56"/>
      <c r="D348" s="51"/>
      <c r="E348" s="51"/>
      <c r="F348" s="51"/>
      <c r="G348" s="51" t="str">
        <f>IFERROR(__xludf.DUMMYFUNCTION("""COMPUTED_VALUE"""),"#VALUE!")</f>
        <v>#VALUE!</v>
      </c>
      <c r="H348" s="51" t="str">
        <f>IFERROR(__xludf.DUMMYFUNCTION("""COMPUTED_VALUE"""),"")</f>
        <v/>
      </c>
      <c r="I348" s="51" t="str">
        <f>IFERROR(__xludf.DUMMYFUNCTION("""COMPUTED_VALUE"""),"#VALUE!")</f>
        <v>#VALUE!</v>
      </c>
      <c r="J348" s="51" t="str">
        <f>IFERROR(__xludf.DUMMYFUNCTION("""COMPUTED_VALUE"""),"")</f>
        <v/>
      </c>
      <c r="K348" s="51"/>
      <c r="L348" s="51" t="s">
        <v>257</v>
      </c>
      <c r="M348" s="51"/>
      <c r="N348" s="51"/>
      <c r="O348" s="51"/>
      <c r="P348" s="51"/>
      <c r="Q348" s="51"/>
      <c r="R348" s="51"/>
      <c r="S348" s="51"/>
      <c r="T348" s="51"/>
    </row>
    <row r="349">
      <c r="A349" s="51"/>
      <c r="B349" s="51"/>
      <c r="C349" s="56"/>
      <c r="D349" s="51"/>
      <c r="E349" s="51"/>
      <c r="F349" s="51"/>
      <c r="G349" s="51" t="str">
        <f>IFERROR(__xludf.DUMMYFUNCTION("""COMPUTED_VALUE"""),"#VALUE!")</f>
        <v>#VALUE!</v>
      </c>
      <c r="H349" s="51" t="str">
        <f>IFERROR(__xludf.DUMMYFUNCTION("""COMPUTED_VALUE"""),"")</f>
        <v/>
      </c>
      <c r="I349" s="51" t="str">
        <f>IFERROR(__xludf.DUMMYFUNCTION("""COMPUTED_VALUE"""),"#VALUE!")</f>
        <v>#VALUE!</v>
      </c>
      <c r="J349" s="51" t="str">
        <f>IFERROR(__xludf.DUMMYFUNCTION("""COMPUTED_VALUE"""),"")</f>
        <v/>
      </c>
      <c r="K349" s="51"/>
      <c r="L349" s="51" t="s">
        <v>257</v>
      </c>
      <c r="M349" s="51"/>
      <c r="N349" s="51"/>
      <c r="O349" s="51"/>
      <c r="P349" s="51"/>
      <c r="Q349" s="51"/>
      <c r="R349" s="51"/>
      <c r="S349" s="51"/>
      <c r="T349" s="51"/>
    </row>
    <row r="350">
      <c r="A350" s="51"/>
      <c r="B350" s="51"/>
      <c r="C350" s="56"/>
      <c r="D350" s="51"/>
      <c r="E350" s="51"/>
      <c r="F350" s="51"/>
      <c r="G350" s="51" t="str">
        <f>IFERROR(__xludf.DUMMYFUNCTION("""COMPUTED_VALUE"""),"#VALUE!")</f>
        <v>#VALUE!</v>
      </c>
      <c r="H350" s="51" t="str">
        <f>IFERROR(__xludf.DUMMYFUNCTION("""COMPUTED_VALUE"""),"")</f>
        <v/>
      </c>
      <c r="I350" s="51" t="str">
        <f>IFERROR(__xludf.DUMMYFUNCTION("""COMPUTED_VALUE"""),"#VALUE!")</f>
        <v>#VALUE!</v>
      </c>
      <c r="J350" s="51" t="str">
        <f>IFERROR(__xludf.DUMMYFUNCTION("""COMPUTED_VALUE"""),"")</f>
        <v/>
      </c>
      <c r="K350" s="51"/>
      <c r="L350" s="51" t="s">
        <v>257</v>
      </c>
      <c r="M350" s="51"/>
      <c r="N350" s="51"/>
      <c r="O350" s="51"/>
      <c r="P350" s="51"/>
      <c r="Q350" s="51"/>
      <c r="R350" s="51"/>
      <c r="S350" s="51"/>
      <c r="T350" s="51"/>
    </row>
    <row r="351">
      <c r="A351" s="51"/>
      <c r="B351" s="51"/>
      <c r="C351" s="56"/>
      <c r="D351" s="51"/>
      <c r="E351" s="51"/>
      <c r="F351" s="51"/>
      <c r="G351" s="51" t="str">
        <f>IFERROR(__xludf.DUMMYFUNCTION("""COMPUTED_VALUE"""),"#VALUE!")</f>
        <v>#VALUE!</v>
      </c>
      <c r="H351" s="51" t="str">
        <f>IFERROR(__xludf.DUMMYFUNCTION("""COMPUTED_VALUE"""),"")</f>
        <v/>
      </c>
      <c r="I351" s="51" t="str">
        <f>IFERROR(__xludf.DUMMYFUNCTION("""COMPUTED_VALUE"""),"#VALUE!")</f>
        <v>#VALUE!</v>
      </c>
      <c r="J351" s="51" t="str">
        <f>IFERROR(__xludf.DUMMYFUNCTION("""COMPUTED_VALUE"""),"")</f>
        <v/>
      </c>
      <c r="K351" s="51"/>
      <c r="L351" s="51" t="s">
        <v>257</v>
      </c>
      <c r="M351" s="51"/>
      <c r="N351" s="51"/>
      <c r="O351" s="51"/>
      <c r="P351" s="51"/>
      <c r="Q351" s="51"/>
      <c r="R351" s="51"/>
      <c r="S351" s="51"/>
      <c r="T351" s="51"/>
    </row>
    <row r="352">
      <c r="A352" s="51"/>
      <c r="B352" s="51"/>
      <c r="C352" s="56"/>
      <c r="D352" s="51"/>
      <c r="E352" s="51"/>
      <c r="F352" s="51"/>
      <c r="G352" s="51" t="str">
        <f>IFERROR(__xludf.DUMMYFUNCTION("""COMPUTED_VALUE"""),"#VALUE!")</f>
        <v>#VALUE!</v>
      </c>
      <c r="H352" s="51" t="str">
        <f>IFERROR(__xludf.DUMMYFUNCTION("""COMPUTED_VALUE"""),"")</f>
        <v/>
      </c>
      <c r="I352" s="51" t="str">
        <f>IFERROR(__xludf.DUMMYFUNCTION("""COMPUTED_VALUE"""),"#VALUE!")</f>
        <v>#VALUE!</v>
      </c>
      <c r="J352" s="51" t="str">
        <f>IFERROR(__xludf.DUMMYFUNCTION("""COMPUTED_VALUE"""),"")</f>
        <v/>
      </c>
      <c r="K352" s="51"/>
      <c r="L352" s="51" t="s">
        <v>257</v>
      </c>
      <c r="M352" s="51"/>
      <c r="N352" s="51"/>
      <c r="O352" s="51"/>
      <c r="P352" s="51"/>
      <c r="Q352" s="51"/>
      <c r="R352" s="51"/>
      <c r="S352" s="51"/>
      <c r="T352" s="51"/>
    </row>
    <row r="353">
      <c r="A353" s="51"/>
      <c r="B353" s="51"/>
      <c r="C353" s="56"/>
      <c r="D353" s="51"/>
      <c r="E353" s="51"/>
      <c r="F353" s="51"/>
      <c r="G353" s="51" t="str">
        <f>IFERROR(__xludf.DUMMYFUNCTION("""COMPUTED_VALUE"""),"#VALUE!")</f>
        <v>#VALUE!</v>
      </c>
      <c r="H353" s="51" t="str">
        <f>IFERROR(__xludf.DUMMYFUNCTION("""COMPUTED_VALUE"""),"")</f>
        <v/>
      </c>
      <c r="I353" s="51" t="str">
        <f>IFERROR(__xludf.DUMMYFUNCTION("""COMPUTED_VALUE"""),"#VALUE!")</f>
        <v>#VALUE!</v>
      </c>
      <c r="J353" s="51" t="str">
        <f>IFERROR(__xludf.DUMMYFUNCTION("""COMPUTED_VALUE"""),"")</f>
        <v/>
      </c>
      <c r="K353" s="51"/>
      <c r="L353" s="51" t="s">
        <v>257</v>
      </c>
      <c r="M353" s="51"/>
      <c r="N353" s="51"/>
      <c r="O353" s="51"/>
      <c r="P353" s="51"/>
      <c r="Q353" s="51"/>
      <c r="R353" s="51"/>
      <c r="S353" s="51"/>
      <c r="T353" s="51"/>
    </row>
    <row r="354">
      <c r="A354" s="51"/>
      <c r="B354" s="51"/>
      <c r="C354" s="56"/>
      <c r="D354" s="51"/>
      <c r="E354" s="51"/>
      <c r="F354" s="51"/>
      <c r="G354" s="51" t="str">
        <f>IFERROR(__xludf.DUMMYFUNCTION("""COMPUTED_VALUE"""),"#VALUE!")</f>
        <v>#VALUE!</v>
      </c>
      <c r="H354" s="51" t="str">
        <f>IFERROR(__xludf.DUMMYFUNCTION("""COMPUTED_VALUE"""),"")</f>
        <v/>
      </c>
      <c r="I354" s="51" t="str">
        <f>IFERROR(__xludf.DUMMYFUNCTION("""COMPUTED_VALUE"""),"#VALUE!")</f>
        <v>#VALUE!</v>
      </c>
      <c r="J354" s="51" t="str">
        <f>IFERROR(__xludf.DUMMYFUNCTION("""COMPUTED_VALUE"""),"")</f>
        <v/>
      </c>
      <c r="K354" s="51"/>
      <c r="L354" s="51" t="s">
        <v>257</v>
      </c>
      <c r="M354" s="51"/>
      <c r="N354" s="51"/>
      <c r="O354" s="51"/>
      <c r="P354" s="51"/>
      <c r="Q354" s="51"/>
      <c r="R354" s="51"/>
      <c r="S354" s="51"/>
      <c r="T354" s="51"/>
    </row>
    <row r="355">
      <c r="A355" s="51"/>
      <c r="B355" s="51"/>
      <c r="C355" s="56"/>
      <c r="D355" s="51"/>
      <c r="E355" s="51"/>
      <c r="F355" s="51"/>
      <c r="G355" s="51" t="str">
        <f>IFERROR(__xludf.DUMMYFUNCTION("""COMPUTED_VALUE"""),"#VALUE!")</f>
        <v>#VALUE!</v>
      </c>
      <c r="H355" s="51" t="str">
        <f>IFERROR(__xludf.DUMMYFUNCTION("""COMPUTED_VALUE"""),"")</f>
        <v/>
      </c>
      <c r="I355" s="51" t="str">
        <f>IFERROR(__xludf.DUMMYFUNCTION("""COMPUTED_VALUE"""),"#VALUE!")</f>
        <v>#VALUE!</v>
      </c>
      <c r="J355" s="51" t="str">
        <f>IFERROR(__xludf.DUMMYFUNCTION("""COMPUTED_VALUE"""),"")</f>
        <v/>
      </c>
      <c r="K355" s="51"/>
      <c r="L355" s="51" t="s">
        <v>257</v>
      </c>
      <c r="M355" s="51"/>
      <c r="N355" s="51"/>
      <c r="O355" s="51"/>
      <c r="P355" s="51"/>
      <c r="Q355" s="51"/>
      <c r="R355" s="51"/>
      <c r="S355" s="51"/>
      <c r="T355" s="51"/>
    </row>
    <row r="356">
      <c r="A356" s="51"/>
      <c r="B356" s="51"/>
      <c r="C356" s="56"/>
      <c r="D356" s="51"/>
      <c r="E356" s="51"/>
      <c r="F356" s="51"/>
      <c r="G356" s="51" t="str">
        <f>IFERROR(__xludf.DUMMYFUNCTION("""COMPUTED_VALUE"""),"#VALUE!")</f>
        <v>#VALUE!</v>
      </c>
      <c r="H356" s="51" t="str">
        <f>IFERROR(__xludf.DUMMYFUNCTION("""COMPUTED_VALUE"""),"")</f>
        <v/>
      </c>
      <c r="I356" s="51" t="str">
        <f>IFERROR(__xludf.DUMMYFUNCTION("""COMPUTED_VALUE"""),"#VALUE!")</f>
        <v>#VALUE!</v>
      </c>
      <c r="J356" s="51" t="str">
        <f>IFERROR(__xludf.DUMMYFUNCTION("""COMPUTED_VALUE"""),"")</f>
        <v/>
      </c>
      <c r="K356" s="51"/>
      <c r="L356" s="51" t="s">
        <v>257</v>
      </c>
      <c r="M356" s="51"/>
      <c r="N356" s="51"/>
      <c r="O356" s="51"/>
      <c r="P356" s="51"/>
      <c r="Q356" s="51"/>
      <c r="R356" s="51"/>
      <c r="S356" s="51"/>
      <c r="T356" s="51"/>
    </row>
    <row r="357">
      <c r="A357" s="51"/>
      <c r="B357" s="51"/>
      <c r="C357" s="56"/>
      <c r="D357" s="51"/>
      <c r="E357" s="51"/>
      <c r="F357" s="51"/>
      <c r="G357" s="51" t="str">
        <f>IFERROR(__xludf.DUMMYFUNCTION("""COMPUTED_VALUE"""),"#VALUE!")</f>
        <v>#VALUE!</v>
      </c>
      <c r="H357" s="51" t="str">
        <f>IFERROR(__xludf.DUMMYFUNCTION("""COMPUTED_VALUE"""),"")</f>
        <v/>
      </c>
      <c r="I357" s="51" t="str">
        <f>IFERROR(__xludf.DUMMYFUNCTION("""COMPUTED_VALUE"""),"#VALUE!")</f>
        <v>#VALUE!</v>
      </c>
      <c r="J357" s="51" t="str">
        <f>IFERROR(__xludf.DUMMYFUNCTION("""COMPUTED_VALUE"""),"")</f>
        <v/>
      </c>
      <c r="K357" s="51"/>
      <c r="L357" s="51" t="s">
        <v>257</v>
      </c>
      <c r="M357" s="51"/>
      <c r="N357" s="51"/>
      <c r="O357" s="51"/>
      <c r="P357" s="51"/>
      <c r="Q357" s="51"/>
      <c r="R357" s="51"/>
      <c r="S357" s="51"/>
      <c r="T357" s="51"/>
    </row>
    <row r="358">
      <c r="A358" s="51"/>
      <c r="B358" s="51"/>
      <c r="C358" s="56"/>
      <c r="D358" s="51"/>
      <c r="E358" s="51"/>
      <c r="F358" s="51"/>
      <c r="G358" s="51" t="str">
        <f>IFERROR(__xludf.DUMMYFUNCTION("""COMPUTED_VALUE"""),"#VALUE!")</f>
        <v>#VALUE!</v>
      </c>
      <c r="H358" s="51" t="str">
        <f>IFERROR(__xludf.DUMMYFUNCTION("""COMPUTED_VALUE"""),"")</f>
        <v/>
      </c>
      <c r="I358" s="51" t="str">
        <f>IFERROR(__xludf.DUMMYFUNCTION("""COMPUTED_VALUE"""),"#VALUE!")</f>
        <v>#VALUE!</v>
      </c>
      <c r="J358" s="51" t="str">
        <f>IFERROR(__xludf.DUMMYFUNCTION("""COMPUTED_VALUE"""),"")</f>
        <v/>
      </c>
      <c r="K358" s="51"/>
      <c r="L358" s="51" t="s">
        <v>257</v>
      </c>
      <c r="M358" s="51"/>
      <c r="N358" s="51"/>
      <c r="O358" s="51"/>
      <c r="P358" s="51"/>
      <c r="Q358" s="51"/>
      <c r="R358" s="51"/>
      <c r="S358" s="51"/>
      <c r="T358" s="51"/>
    </row>
    <row r="359">
      <c r="A359" s="51"/>
      <c r="B359" s="51"/>
      <c r="C359" s="56"/>
      <c r="D359" s="51"/>
      <c r="E359" s="51"/>
      <c r="F359" s="51"/>
      <c r="G359" s="51" t="str">
        <f>IFERROR(__xludf.DUMMYFUNCTION("""COMPUTED_VALUE"""),"#VALUE!")</f>
        <v>#VALUE!</v>
      </c>
      <c r="H359" s="51" t="str">
        <f>IFERROR(__xludf.DUMMYFUNCTION("""COMPUTED_VALUE"""),"")</f>
        <v/>
      </c>
      <c r="I359" s="51" t="str">
        <f>IFERROR(__xludf.DUMMYFUNCTION("""COMPUTED_VALUE"""),"#VALUE!")</f>
        <v>#VALUE!</v>
      </c>
      <c r="J359" s="51" t="str">
        <f>IFERROR(__xludf.DUMMYFUNCTION("""COMPUTED_VALUE"""),"")</f>
        <v/>
      </c>
      <c r="K359" s="51"/>
      <c r="L359" s="51" t="s">
        <v>257</v>
      </c>
      <c r="M359" s="51"/>
      <c r="N359" s="51"/>
      <c r="O359" s="51"/>
      <c r="P359" s="51"/>
      <c r="Q359" s="51"/>
      <c r="R359" s="51"/>
      <c r="S359" s="51"/>
      <c r="T359" s="51"/>
    </row>
    <row r="360">
      <c r="A360" s="51"/>
      <c r="B360" s="51"/>
      <c r="C360" s="56"/>
      <c r="D360" s="51"/>
      <c r="E360" s="51"/>
      <c r="F360" s="51"/>
      <c r="G360" s="51" t="str">
        <f>IFERROR(__xludf.DUMMYFUNCTION("""COMPUTED_VALUE"""),"#VALUE!")</f>
        <v>#VALUE!</v>
      </c>
      <c r="H360" s="51" t="str">
        <f>IFERROR(__xludf.DUMMYFUNCTION("""COMPUTED_VALUE"""),"")</f>
        <v/>
      </c>
      <c r="I360" s="51" t="str">
        <f>IFERROR(__xludf.DUMMYFUNCTION("""COMPUTED_VALUE"""),"#VALUE!")</f>
        <v>#VALUE!</v>
      </c>
      <c r="J360" s="51" t="str">
        <f>IFERROR(__xludf.DUMMYFUNCTION("""COMPUTED_VALUE"""),"")</f>
        <v/>
      </c>
      <c r="K360" s="51"/>
      <c r="L360" s="51" t="s">
        <v>257</v>
      </c>
      <c r="M360" s="51"/>
      <c r="N360" s="51"/>
      <c r="O360" s="51"/>
      <c r="P360" s="51"/>
      <c r="Q360" s="51"/>
      <c r="R360" s="51"/>
      <c r="S360" s="51"/>
      <c r="T360" s="51"/>
    </row>
    <row r="361">
      <c r="A361" s="51"/>
      <c r="B361" s="51"/>
      <c r="C361" s="56"/>
      <c r="D361" s="51"/>
      <c r="E361" s="51"/>
      <c r="F361" s="51"/>
      <c r="G361" s="51" t="str">
        <f>IFERROR(__xludf.DUMMYFUNCTION("""COMPUTED_VALUE"""),"#VALUE!")</f>
        <v>#VALUE!</v>
      </c>
      <c r="H361" s="51" t="str">
        <f>IFERROR(__xludf.DUMMYFUNCTION("""COMPUTED_VALUE"""),"")</f>
        <v/>
      </c>
      <c r="I361" s="51" t="str">
        <f>IFERROR(__xludf.DUMMYFUNCTION("""COMPUTED_VALUE"""),"#VALUE!")</f>
        <v>#VALUE!</v>
      </c>
      <c r="J361" s="51" t="str">
        <f>IFERROR(__xludf.DUMMYFUNCTION("""COMPUTED_VALUE"""),"")</f>
        <v/>
      </c>
      <c r="K361" s="51"/>
      <c r="L361" s="51" t="s">
        <v>257</v>
      </c>
      <c r="M361" s="51"/>
      <c r="N361" s="51"/>
      <c r="O361" s="51"/>
      <c r="P361" s="51"/>
      <c r="Q361" s="51"/>
      <c r="R361" s="51"/>
      <c r="S361" s="51"/>
      <c r="T361" s="51"/>
    </row>
    <row r="362">
      <c r="A362" s="51"/>
      <c r="B362" s="51"/>
      <c r="C362" s="56"/>
      <c r="D362" s="51"/>
      <c r="E362" s="51"/>
      <c r="F362" s="51"/>
      <c r="G362" s="51" t="str">
        <f>IFERROR(__xludf.DUMMYFUNCTION("""COMPUTED_VALUE"""),"#VALUE!")</f>
        <v>#VALUE!</v>
      </c>
      <c r="H362" s="51" t="str">
        <f>IFERROR(__xludf.DUMMYFUNCTION("""COMPUTED_VALUE"""),"")</f>
        <v/>
      </c>
      <c r="I362" s="51" t="str">
        <f>IFERROR(__xludf.DUMMYFUNCTION("""COMPUTED_VALUE"""),"#VALUE!")</f>
        <v>#VALUE!</v>
      </c>
      <c r="J362" s="51" t="str">
        <f>IFERROR(__xludf.DUMMYFUNCTION("""COMPUTED_VALUE"""),"")</f>
        <v/>
      </c>
      <c r="K362" s="51"/>
      <c r="L362" s="51" t="s">
        <v>257</v>
      </c>
      <c r="M362" s="51"/>
      <c r="N362" s="51"/>
      <c r="O362" s="51"/>
      <c r="P362" s="51"/>
      <c r="Q362" s="51"/>
      <c r="R362" s="51"/>
      <c r="S362" s="51"/>
      <c r="T362" s="51"/>
    </row>
    <row r="363">
      <c r="A363" s="51"/>
      <c r="B363" s="51"/>
      <c r="C363" s="56"/>
      <c r="D363" s="51"/>
      <c r="E363" s="51"/>
      <c r="F363" s="51"/>
      <c r="G363" s="51" t="str">
        <f>IFERROR(__xludf.DUMMYFUNCTION("""COMPUTED_VALUE"""),"#VALUE!")</f>
        <v>#VALUE!</v>
      </c>
      <c r="H363" s="51" t="str">
        <f>IFERROR(__xludf.DUMMYFUNCTION("""COMPUTED_VALUE"""),"")</f>
        <v/>
      </c>
      <c r="I363" s="51" t="str">
        <f>IFERROR(__xludf.DUMMYFUNCTION("""COMPUTED_VALUE"""),"#VALUE!")</f>
        <v>#VALUE!</v>
      </c>
      <c r="J363" s="51" t="str">
        <f>IFERROR(__xludf.DUMMYFUNCTION("""COMPUTED_VALUE"""),"")</f>
        <v/>
      </c>
      <c r="K363" s="51"/>
      <c r="L363" s="51" t="s">
        <v>257</v>
      </c>
      <c r="M363" s="51"/>
      <c r="N363" s="51"/>
      <c r="O363" s="51"/>
      <c r="P363" s="51"/>
      <c r="Q363" s="51"/>
      <c r="R363" s="51"/>
      <c r="S363" s="51"/>
      <c r="T363" s="51"/>
    </row>
    <row r="364">
      <c r="A364" s="51"/>
      <c r="B364" s="51"/>
      <c r="C364" s="56"/>
      <c r="D364" s="51"/>
      <c r="E364" s="51"/>
      <c r="F364" s="51"/>
      <c r="G364" s="51" t="str">
        <f>IFERROR(__xludf.DUMMYFUNCTION("""COMPUTED_VALUE"""),"#VALUE!")</f>
        <v>#VALUE!</v>
      </c>
      <c r="H364" s="51" t="str">
        <f>IFERROR(__xludf.DUMMYFUNCTION("""COMPUTED_VALUE"""),"")</f>
        <v/>
      </c>
      <c r="I364" s="51" t="str">
        <f>IFERROR(__xludf.DUMMYFUNCTION("""COMPUTED_VALUE"""),"#VALUE!")</f>
        <v>#VALUE!</v>
      </c>
      <c r="J364" s="51" t="str">
        <f>IFERROR(__xludf.DUMMYFUNCTION("""COMPUTED_VALUE"""),"")</f>
        <v/>
      </c>
      <c r="K364" s="51"/>
      <c r="L364" s="51" t="s">
        <v>257</v>
      </c>
      <c r="M364" s="51"/>
      <c r="N364" s="51"/>
      <c r="O364" s="51"/>
      <c r="P364" s="51"/>
      <c r="Q364" s="51"/>
      <c r="R364" s="51"/>
      <c r="S364" s="51"/>
      <c r="T364" s="51"/>
    </row>
    <row r="365">
      <c r="A365" s="51"/>
      <c r="B365" s="51"/>
      <c r="C365" s="56"/>
      <c r="D365" s="51"/>
      <c r="E365" s="51"/>
      <c r="F365" s="51"/>
      <c r="G365" s="51" t="str">
        <f>IFERROR(__xludf.DUMMYFUNCTION("""COMPUTED_VALUE"""),"#VALUE!")</f>
        <v>#VALUE!</v>
      </c>
      <c r="H365" s="51" t="str">
        <f>IFERROR(__xludf.DUMMYFUNCTION("""COMPUTED_VALUE"""),"")</f>
        <v/>
      </c>
      <c r="I365" s="51" t="str">
        <f>IFERROR(__xludf.DUMMYFUNCTION("""COMPUTED_VALUE"""),"#VALUE!")</f>
        <v>#VALUE!</v>
      </c>
      <c r="J365" s="51" t="str">
        <f>IFERROR(__xludf.DUMMYFUNCTION("""COMPUTED_VALUE"""),"")</f>
        <v/>
      </c>
      <c r="K365" s="51"/>
      <c r="L365" s="51" t="s">
        <v>257</v>
      </c>
      <c r="M365" s="51"/>
      <c r="N365" s="51"/>
      <c r="O365" s="51"/>
      <c r="P365" s="51"/>
      <c r="Q365" s="51"/>
      <c r="R365" s="51"/>
      <c r="S365" s="51"/>
      <c r="T365" s="51"/>
    </row>
    <row r="366">
      <c r="A366" s="51"/>
      <c r="B366" s="51"/>
      <c r="C366" s="56"/>
      <c r="D366" s="51"/>
      <c r="E366" s="51"/>
      <c r="F366" s="51"/>
      <c r="G366" s="51" t="str">
        <f>IFERROR(__xludf.DUMMYFUNCTION("""COMPUTED_VALUE"""),"#VALUE!")</f>
        <v>#VALUE!</v>
      </c>
      <c r="H366" s="51" t="str">
        <f>IFERROR(__xludf.DUMMYFUNCTION("""COMPUTED_VALUE"""),"")</f>
        <v/>
      </c>
      <c r="I366" s="51" t="str">
        <f>IFERROR(__xludf.DUMMYFUNCTION("""COMPUTED_VALUE"""),"#VALUE!")</f>
        <v>#VALUE!</v>
      </c>
      <c r="J366" s="51" t="str">
        <f>IFERROR(__xludf.DUMMYFUNCTION("""COMPUTED_VALUE"""),"")</f>
        <v/>
      </c>
      <c r="K366" s="51"/>
      <c r="L366" s="51" t="s">
        <v>257</v>
      </c>
      <c r="M366" s="51"/>
      <c r="N366" s="51"/>
      <c r="O366" s="51"/>
      <c r="P366" s="51"/>
      <c r="Q366" s="51"/>
      <c r="R366" s="51"/>
      <c r="S366" s="51"/>
      <c r="T366" s="51"/>
    </row>
    <row r="367">
      <c r="A367" s="51"/>
      <c r="B367" s="51"/>
      <c r="C367" s="56"/>
      <c r="D367" s="51"/>
      <c r="E367" s="51"/>
      <c r="F367" s="51"/>
      <c r="G367" s="51" t="str">
        <f>IFERROR(__xludf.DUMMYFUNCTION("""COMPUTED_VALUE"""),"#VALUE!")</f>
        <v>#VALUE!</v>
      </c>
      <c r="H367" s="51" t="str">
        <f>IFERROR(__xludf.DUMMYFUNCTION("""COMPUTED_VALUE"""),"")</f>
        <v/>
      </c>
      <c r="I367" s="51" t="str">
        <f>IFERROR(__xludf.DUMMYFUNCTION("""COMPUTED_VALUE"""),"#VALUE!")</f>
        <v>#VALUE!</v>
      </c>
      <c r="J367" s="51" t="str">
        <f>IFERROR(__xludf.DUMMYFUNCTION("""COMPUTED_VALUE"""),"")</f>
        <v/>
      </c>
      <c r="K367" s="51"/>
      <c r="L367" s="51" t="s">
        <v>257</v>
      </c>
      <c r="M367" s="51"/>
      <c r="N367" s="51"/>
      <c r="O367" s="51"/>
      <c r="P367" s="51"/>
      <c r="Q367" s="51"/>
      <c r="R367" s="51"/>
      <c r="S367" s="51"/>
      <c r="T367" s="51"/>
    </row>
    <row r="368">
      <c r="A368" s="51"/>
      <c r="B368" s="51"/>
      <c r="C368" s="56"/>
      <c r="D368" s="51"/>
      <c r="E368" s="51"/>
      <c r="F368" s="51"/>
      <c r="G368" s="51" t="str">
        <f>IFERROR(__xludf.DUMMYFUNCTION("""COMPUTED_VALUE"""),"#VALUE!")</f>
        <v>#VALUE!</v>
      </c>
      <c r="H368" s="51" t="str">
        <f>IFERROR(__xludf.DUMMYFUNCTION("""COMPUTED_VALUE"""),"")</f>
        <v/>
      </c>
      <c r="I368" s="51" t="str">
        <f>IFERROR(__xludf.DUMMYFUNCTION("""COMPUTED_VALUE"""),"#VALUE!")</f>
        <v>#VALUE!</v>
      </c>
      <c r="J368" s="51" t="str">
        <f>IFERROR(__xludf.DUMMYFUNCTION("""COMPUTED_VALUE"""),"")</f>
        <v/>
      </c>
      <c r="K368" s="51"/>
      <c r="L368" s="51" t="s">
        <v>257</v>
      </c>
      <c r="M368" s="51"/>
      <c r="N368" s="51"/>
      <c r="O368" s="51"/>
      <c r="P368" s="51"/>
      <c r="Q368" s="51"/>
      <c r="R368" s="51"/>
      <c r="S368" s="51"/>
      <c r="T368" s="51"/>
    </row>
    <row r="369">
      <c r="A369" s="51"/>
      <c r="B369" s="51"/>
      <c r="C369" s="56"/>
      <c r="D369" s="51"/>
      <c r="E369" s="51"/>
      <c r="F369" s="51"/>
      <c r="G369" s="51" t="str">
        <f>IFERROR(__xludf.DUMMYFUNCTION("""COMPUTED_VALUE"""),"#VALUE!")</f>
        <v>#VALUE!</v>
      </c>
      <c r="H369" s="51" t="str">
        <f>IFERROR(__xludf.DUMMYFUNCTION("""COMPUTED_VALUE"""),"")</f>
        <v/>
      </c>
      <c r="I369" s="51" t="str">
        <f>IFERROR(__xludf.DUMMYFUNCTION("""COMPUTED_VALUE"""),"#VALUE!")</f>
        <v>#VALUE!</v>
      </c>
      <c r="J369" s="51" t="str">
        <f>IFERROR(__xludf.DUMMYFUNCTION("""COMPUTED_VALUE"""),"")</f>
        <v/>
      </c>
      <c r="K369" s="51"/>
      <c r="L369" s="51" t="s">
        <v>257</v>
      </c>
      <c r="M369" s="51"/>
      <c r="N369" s="51"/>
      <c r="O369" s="51"/>
      <c r="P369" s="51"/>
      <c r="Q369" s="51"/>
      <c r="R369" s="51"/>
      <c r="S369" s="51"/>
      <c r="T369" s="51"/>
    </row>
    <row r="370">
      <c r="A370" s="51"/>
      <c r="B370" s="51"/>
      <c r="C370" s="56"/>
      <c r="D370" s="51"/>
      <c r="E370" s="51"/>
      <c r="F370" s="51"/>
      <c r="G370" s="51" t="str">
        <f>IFERROR(__xludf.DUMMYFUNCTION("""COMPUTED_VALUE"""),"#VALUE!")</f>
        <v>#VALUE!</v>
      </c>
      <c r="H370" s="51" t="str">
        <f>IFERROR(__xludf.DUMMYFUNCTION("""COMPUTED_VALUE"""),"")</f>
        <v/>
      </c>
      <c r="I370" s="51" t="str">
        <f>IFERROR(__xludf.DUMMYFUNCTION("""COMPUTED_VALUE"""),"#VALUE!")</f>
        <v>#VALUE!</v>
      </c>
      <c r="J370" s="51" t="str">
        <f>IFERROR(__xludf.DUMMYFUNCTION("""COMPUTED_VALUE"""),"")</f>
        <v/>
      </c>
      <c r="K370" s="51"/>
      <c r="L370" s="51" t="s">
        <v>257</v>
      </c>
      <c r="M370" s="51"/>
      <c r="N370" s="51"/>
      <c r="O370" s="51"/>
      <c r="P370" s="51"/>
      <c r="Q370" s="51"/>
      <c r="R370" s="51"/>
      <c r="S370" s="51"/>
      <c r="T370" s="51"/>
    </row>
    <row r="371">
      <c r="A371" s="51"/>
      <c r="B371" s="51"/>
      <c r="C371" s="56"/>
      <c r="D371" s="51"/>
      <c r="E371" s="51"/>
      <c r="F371" s="51"/>
      <c r="G371" s="51" t="str">
        <f>IFERROR(__xludf.DUMMYFUNCTION("""COMPUTED_VALUE"""),"#VALUE!")</f>
        <v>#VALUE!</v>
      </c>
      <c r="H371" s="51" t="str">
        <f>IFERROR(__xludf.DUMMYFUNCTION("""COMPUTED_VALUE"""),"")</f>
        <v/>
      </c>
      <c r="I371" s="51" t="str">
        <f>IFERROR(__xludf.DUMMYFUNCTION("""COMPUTED_VALUE"""),"#VALUE!")</f>
        <v>#VALUE!</v>
      </c>
      <c r="J371" s="51" t="str">
        <f>IFERROR(__xludf.DUMMYFUNCTION("""COMPUTED_VALUE"""),"")</f>
        <v/>
      </c>
      <c r="K371" s="51"/>
      <c r="L371" s="51" t="s">
        <v>257</v>
      </c>
      <c r="M371" s="51"/>
      <c r="N371" s="51"/>
      <c r="O371" s="51"/>
      <c r="P371" s="51"/>
      <c r="Q371" s="51"/>
      <c r="R371" s="51"/>
      <c r="S371" s="51"/>
      <c r="T371" s="51"/>
    </row>
    <row r="372">
      <c r="A372" s="51"/>
      <c r="B372" s="51"/>
      <c r="C372" s="56"/>
      <c r="D372" s="51"/>
      <c r="E372" s="51"/>
      <c r="F372" s="51"/>
      <c r="G372" s="51" t="str">
        <f>IFERROR(__xludf.DUMMYFUNCTION("""COMPUTED_VALUE"""),"#VALUE!")</f>
        <v>#VALUE!</v>
      </c>
      <c r="H372" s="51" t="str">
        <f>IFERROR(__xludf.DUMMYFUNCTION("""COMPUTED_VALUE"""),"")</f>
        <v/>
      </c>
      <c r="I372" s="51" t="str">
        <f>IFERROR(__xludf.DUMMYFUNCTION("""COMPUTED_VALUE"""),"#VALUE!")</f>
        <v>#VALUE!</v>
      </c>
      <c r="J372" s="51" t="str">
        <f>IFERROR(__xludf.DUMMYFUNCTION("""COMPUTED_VALUE"""),"")</f>
        <v/>
      </c>
      <c r="K372" s="51"/>
      <c r="L372" s="51" t="s">
        <v>257</v>
      </c>
      <c r="M372" s="51"/>
      <c r="N372" s="51"/>
      <c r="O372" s="51"/>
      <c r="P372" s="51"/>
      <c r="Q372" s="51"/>
      <c r="R372" s="51"/>
      <c r="S372" s="51"/>
      <c r="T372" s="51"/>
    </row>
    <row r="373">
      <c r="A373" s="51"/>
      <c r="B373" s="51"/>
      <c r="C373" s="56"/>
      <c r="D373" s="51"/>
      <c r="E373" s="51"/>
      <c r="F373" s="51"/>
      <c r="G373" s="51" t="str">
        <f>IFERROR(__xludf.DUMMYFUNCTION("""COMPUTED_VALUE"""),"#VALUE!")</f>
        <v>#VALUE!</v>
      </c>
      <c r="H373" s="51" t="str">
        <f>IFERROR(__xludf.DUMMYFUNCTION("""COMPUTED_VALUE"""),"")</f>
        <v/>
      </c>
      <c r="I373" s="51" t="str">
        <f>IFERROR(__xludf.DUMMYFUNCTION("""COMPUTED_VALUE"""),"#VALUE!")</f>
        <v>#VALUE!</v>
      </c>
      <c r="J373" s="51" t="str">
        <f>IFERROR(__xludf.DUMMYFUNCTION("""COMPUTED_VALUE"""),"")</f>
        <v/>
      </c>
      <c r="K373" s="51"/>
      <c r="L373" s="51" t="s">
        <v>257</v>
      </c>
      <c r="M373" s="51"/>
      <c r="N373" s="51"/>
      <c r="O373" s="51"/>
      <c r="P373" s="51"/>
      <c r="Q373" s="51"/>
      <c r="R373" s="51"/>
      <c r="S373" s="51"/>
      <c r="T373" s="51"/>
    </row>
    <row r="374">
      <c r="A374" s="51"/>
      <c r="B374" s="51"/>
      <c r="C374" s="56"/>
      <c r="D374" s="51"/>
      <c r="E374" s="51"/>
      <c r="F374" s="51"/>
      <c r="G374" s="51" t="str">
        <f>IFERROR(__xludf.DUMMYFUNCTION("""COMPUTED_VALUE"""),"#VALUE!")</f>
        <v>#VALUE!</v>
      </c>
      <c r="H374" s="51" t="str">
        <f>IFERROR(__xludf.DUMMYFUNCTION("""COMPUTED_VALUE"""),"")</f>
        <v/>
      </c>
      <c r="I374" s="51" t="str">
        <f>IFERROR(__xludf.DUMMYFUNCTION("""COMPUTED_VALUE"""),"#VALUE!")</f>
        <v>#VALUE!</v>
      </c>
      <c r="J374" s="51" t="str">
        <f>IFERROR(__xludf.DUMMYFUNCTION("""COMPUTED_VALUE"""),"")</f>
        <v/>
      </c>
      <c r="K374" s="51"/>
      <c r="L374" s="51" t="s">
        <v>257</v>
      </c>
      <c r="M374" s="51"/>
      <c r="N374" s="51"/>
      <c r="O374" s="51"/>
      <c r="P374" s="51"/>
      <c r="Q374" s="51"/>
      <c r="R374" s="51"/>
      <c r="S374" s="51"/>
      <c r="T374" s="51"/>
    </row>
    <row r="375">
      <c r="A375" s="51"/>
      <c r="B375" s="51"/>
      <c r="C375" s="56"/>
      <c r="D375" s="51"/>
      <c r="E375" s="51"/>
      <c r="F375" s="51"/>
      <c r="G375" s="51" t="str">
        <f>IFERROR(__xludf.DUMMYFUNCTION("""COMPUTED_VALUE"""),"#VALUE!")</f>
        <v>#VALUE!</v>
      </c>
      <c r="H375" s="51" t="str">
        <f>IFERROR(__xludf.DUMMYFUNCTION("""COMPUTED_VALUE"""),"")</f>
        <v/>
      </c>
      <c r="I375" s="51" t="str">
        <f>IFERROR(__xludf.DUMMYFUNCTION("""COMPUTED_VALUE"""),"#VALUE!")</f>
        <v>#VALUE!</v>
      </c>
      <c r="J375" s="51" t="str">
        <f>IFERROR(__xludf.DUMMYFUNCTION("""COMPUTED_VALUE"""),"")</f>
        <v/>
      </c>
      <c r="K375" s="51"/>
      <c r="L375" s="51" t="s">
        <v>257</v>
      </c>
      <c r="M375" s="51"/>
      <c r="N375" s="51"/>
      <c r="O375" s="51"/>
      <c r="P375" s="51"/>
      <c r="Q375" s="51"/>
      <c r="R375" s="51"/>
      <c r="S375" s="51"/>
      <c r="T375" s="51"/>
    </row>
    <row r="376">
      <c r="A376" s="51"/>
      <c r="B376" s="51"/>
      <c r="C376" s="56"/>
      <c r="D376" s="51"/>
      <c r="E376" s="51"/>
      <c r="F376" s="51"/>
      <c r="G376" s="51" t="str">
        <f>IFERROR(__xludf.DUMMYFUNCTION("""COMPUTED_VALUE"""),"#VALUE!")</f>
        <v>#VALUE!</v>
      </c>
      <c r="H376" s="51" t="str">
        <f>IFERROR(__xludf.DUMMYFUNCTION("""COMPUTED_VALUE"""),"")</f>
        <v/>
      </c>
      <c r="I376" s="51" t="str">
        <f>IFERROR(__xludf.DUMMYFUNCTION("""COMPUTED_VALUE"""),"#VALUE!")</f>
        <v>#VALUE!</v>
      </c>
      <c r="J376" s="51" t="str">
        <f>IFERROR(__xludf.DUMMYFUNCTION("""COMPUTED_VALUE"""),"")</f>
        <v/>
      </c>
      <c r="K376" s="51"/>
      <c r="L376" s="51" t="s">
        <v>257</v>
      </c>
      <c r="M376" s="51"/>
      <c r="N376" s="51"/>
      <c r="O376" s="51"/>
      <c r="P376" s="51"/>
      <c r="Q376" s="51"/>
      <c r="R376" s="51"/>
      <c r="S376" s="51"/>
      <c r="T376" s="51"/>
    </row>
    <row r="377">
      <c r="A377" s="51"/>
      <c r="B377" s="51"/>
      <c r="C377" s="56"/>
      <c r="D377" s="51"/>
      <c r="E377" s="51"/>
      <c r="F377" s="51"/>
      <c r="G377" s="51" t="str">
        <f>IFERROR(__xludf.DUMMYFUNCTION("""COMPUTED_VALUE"""),"#VALUE!")</f>
        <v>#VALUE!</v>
      </c>
      <c r="H377" s="51" t="str">
        <f>IFERROR(__xludf.DUMMYFUNCTION("""COMPUTED_VALUE"""),"")</f>
        <v/>
      </c>
      <c r="I377" s="51" t="str">
        <f>IFERROR(__xludf.DUMMYFUNCTION("""COMPUTED_VALUE"""),"#VALUE!")</f>
        <v>#VALUE!</v>
      </c>
      <c r="J377" s="51" t="str">
        <f>IFERROR(__xludf.DUMMYFUNCTION("""COMPUTED_VALUE"""),"")</f>
        <v/>
      </c>
      <c r="K377" s="51"/>
      <c r="L377" s="51" t="s">
        <v>257</v>
      </c>
      <c r="M377" s="51"/>
      <c r="N377" s="51"/>
      <c r="O377" s="51"/>
      <c r="P377" s="51"/>
      <c r="Q377" s="51"/>
      <c r="R377" s="51"/>
      <c r="S377" s="51"/>
      <c r="T377" s="51"/>
    </row>
    <row r="378">
      <c r="A378" s="51"/>
      <c r="B378" s="51"/>
      <c r="C378" s="56"/>
      <c r="D378" s="51"/>
      <c r="E378" s="51"/>
      <c r="F378" s="51"/>
      <c r="G378" s="51" t="str">
        <f>IFERROR(__xludf.DUMMYFUNCTION("""COMPUTED_VALUE"""),"#VALUE!")</f>
        <v>#VALUE!</v>
      </c>
      <c r="H378" s="51" t="str">
        <f>IFERROR(__xludf.DUMMYFUNCTION("""COMPUTED_VALUE"""),"")</f>
        <v/>
      </c>
      <c r="I378" s="51" t="str">
        <f>IFERROR(__xludf.DUMMYFUNCTION("""COMPUTED_VALUE"""),"#VALUE!")</f>
        <v>#VALUE!</v>
      </c>
      <c r="J378" s="51" t="str">
        <f>IFERROR(__xludf.DUMMYFUNCTION("""COMPUTED_VALUE"""),"")</f>
        <v/>
      </c>
      <c r="K378" s="51"/>
      <c r="L378" s="51" t="s">
        <v>257</v>
      </c>
      <c r="M378" s="51"/>
      <c r="N378" s="51"/>
      <c r="O378" s="51"/>
      <c r="P378" s="51"/>
      <c r="Q378" s="51"/>
      <c r="R378" s="51"/>
      <c r="S378" s="51"/>
      <c r="T378" s="51"/>
    </row>
    <row r="379">
      <c r="A379" s="51"/>
      <c r="B379" s="51"/>
      <c r="C379" s="56"/>
      <c r="D379" s="51"/>
      <c r="E379" s="51"/>
      <c r="F379" s="51"/>
      <c r="G379" s="51" t="str">
        <f>IFERROR(__xludf.DUMMYFUNCTION("""COMPUTED_VALUE"""),"#VALUE!")</f>
        <v>#VALUE!</v>
      </c>
      <c r="H379" s="51" t="str">
        <f>IFERROR(__xludf.DUMMYFUNCTION("""COMPUTED_VALUE"""),"")</f>
        <v/>
      </c>
      <c r="I379" s="51" t="str">
        <f>IFERROR(__xludf.DUMMYFUNCTION("""COMPUTED_VALUE"""),"#VALUE!")</f>
        <v>#VALUE!</v>
      </c>
      <c r="J379" s="51" t="str">
        <f>IFERROR(__xludf.DUMMYFUNCTION("""COMPUTED_VALUE"""),"")</f>
        <v/>
      </c>
      <c r="K379" s="51"/>
      <c r="L379" s="51" t="s">
        <v>257</v>
      </c>
      <c r="M379" s="51"/>
      <c r="N379" s="51"/>
      <c r="O379" s="51"/>
      <c r="P379" s="51"/>
      <c r="Q379" s="51"/>
      <c r="R379" s="51"/>
      <c r="S379" s="51"/>
      <c r="T379" s="51"/>
    </row>
    <row r="380">
      <c r="A380" s="51"/>
      <c r="B380" s="51"/>
      <c r="C380" s="56"/>
      <c r="D380" s="51"/>
      <c r="E380" s="51"/>
      <c r="F380" s="51"/>
      <c r="G380" s="51" t="str">
        <f>IFERROR(__xludf.DUMMYFUNCTION("""COMPUTED_VALUE"""),"#VALUE!")</f>
        <v>#VALUE!</v>
      </c>
      <c r="H380" s="51" t="str">
        <f>IFERROR(__xludf.DUMMYFUNCTION("""COMPUTED_VALUE"""),"")</f>
        <v/>
      </c>
      <c r="I380" s="51" t="str">
        <f>IFERROR(__xludf.DUMMYFUNCTION("""COMPUTED_VALUE"""),"#VALUE!")</f>
        <v>#VALUE!</v>
      </c>
      <c r="J380" s="51" t="str">
        <f>IFERROR(__xludf.DUMMYFUNCTION("""COMPUTED_VALUE"""),"")</f>
        <v/>
      </c>
      <c r="K380" s="51"/>
      <c r="L380" s="51" t="s">
        <v>257</v>
      </c>
      <c r="M380" s="51"/>
      <c r="N380" s="51"/>
      <c r="O380" s="51"/>
      <c r="P380" s="51"/>
      <c r="Q380" s="51"/>
      <c r="R380" s="51"/>
      <c r="S380" s="51"/>
      <c r="T380" s="51"/>
    </row>
    <row r="381">
      <c r="A381" s="51"/>
      <c r="B381" s="51"/>
      <c r="C381" s="56"/>
      <c r="D381" s="51"/>
      <c r="E381" s="51"/>
      <c r="F381" s="51"/>
      <c r="G381" s="51" t="str">
        <f>IFERROR(__xludf.DUMMYFUNCTION("""COMPUTED_VALUE"""),"#VALUE!")</f>
        <v>#VALUE!</v>
      </c>
      <c r="H381" s="51" t="str">
        <f>IFERROR(__xludf.DUMMYFUNCTION("""COMPUTED_VALUE"""),"")</f>
        <v/>
      </c>
      <c r="I381" s="51" t="str">
        <f>IFERROR(__xludf.DUMMYFUNCTION("""COMPUTED_VALUE"""),"#VALUE!")</f>
        <v>#VALUE!</v>
      </c>
      <c r="J381" s="51" t="str">
        <f>IFERROR(__xludf.DUMMYFUNCTION("""COMPUTED_VALUE"""),"")</f>
        <v/>
      </c>
      <c r="K381" s="51"/>
      <c r="L381" s="51" t="s">
        <v>257</v>
      </c>
      <c r="M381" s="51"/>
      <c r="N381" s="51"/>
      <c r="O381" s="51"/>
      <c r="P381" s="51"/>
      <c r="Q381" s="51"/>
      <c r="R381" s="51"/>
      <c r="S381" s="51"/>
      <c r="T381" s="51"/>
    </row>
    <row r="382">
      <c r="A382" s="51"/>
      <c r="B382" s="51"/>
      <c r="C382" s="56"/>
      <c r="D382" s="51"/>
      <c r="E382" s="51"/>
      <c r="F382" s="51"/>
      <c r="G382" s="51" t="str">
        <f>IFERROR(__xludf.DUMMYFUNCTION("""COMPUTED_VALUE"""),"#VALUE!")</f>
        <v>#VALUE!</v>
      </c>
      <c r="H382" s="51" t="str">
        <f>IFERROR(__xludf.DUMMYFUNCTION("""COMPUTED_VALUE"""),"")</f>
        <v/>
      </c>
      <c r="I382" s="51" t="str">
        <f>IFERROR(__xludf.DUMMYFUNCTION("""COMPUTED_VALUE"""),"#VALUE!")</f>
        <v>#VALUE!</v>
      </c>
      <c r="J382" s="51" t="str">
        <f>IFERROR(__xludf.DUMMYFUNCTION("""COMPUTED_VALUE"""),"")</f>
        <v/>
      </c>
      <c r="K382" s="51"/>
      <c r="L382" s="51" t="s">
        <v>257</v>
      </c>
      <c r="M382" s="51"/>
      <c r="N382" s="51"/>
      <c r="O382" s="51"/>
      <c r="P382" s="51"/>
      <c r="Q382" s="51"/>
      <c r="R382" s="51"/>
      <c r="S382" s="51"/>
      <c r="T382" s="51"/>
    </row>
    <row r="383">
      <c r="A383" s="51"/>
      <c r="B383" s="51"/>
      <c r="C383" s="56"/>
      <c r="D383" s="51"/>
      <c r="E383" s="51"/>
      <c r="F383" s="51"/>
      <c r="G383" s="51" t="str">
        <f>IFERROR(__xludf.DUMMYFUNCTION("""COMPUTED_VALUE"""),"#VALUE!")</f>
        <v>#VALUE!</v>
      </c>
      <c r="H383" s="51" t="str">
        <f>IFERROR(__xludf.DUMMYFUNCTION("""COMPUTED_VALUE"""),"")</f>
        <v/>
      </c>
      <c r="I383" s="51" t="str">
        <f>IFERROR(__xludf.DUMMYFUNCTION("""COMPUTED_VALUE"""),"#VALUE!")</f>
        <v>#VALUE!</v>
      </c>
      <c r="J383" s="51" t="str">
        <f>IFERROR(__xludf.DUMMYFUNCTION("""COMPUTED_VALUE"""),"")</f>
        <v/>
      </c>
      <c r="K383" s="51"/>
      <c r="L383" s="51" t="s">
        <v>257</v>
      </c>
      <c r="M383" s="51"/>
      <c r="N383" s="51"/>
      <c r="O383" s="51"/>
      <c r="P383" s="51"/>
      <c r="Q383" s="51"/>
      <c r="R383" s="51"/>
      <c r="S383" s="51"/>
      <c r="T383" s="51"/>
    </row>
    <row r="384">
      <c r="A384" s="51"/>
      <c r="B384" s="51"/>
      <c r="C384" s="56"/>
      <c r="D384" s="51"/>
      <c r="E384" s="51"/>
      <c r="F384" s="51"/>
      <c r="G384" s="51" t="str">
        <f>IFERROR(__xludf.DUMMYFUNCTION("""COMPUTED_VALUE"""),"#VALUE!")</f>
        <v>#VALUE!</v>
      </c>
      <c r="H384" s="51" t="str">
        <f>IFERROR(__xludf.DUMMYFUNCTION("""COMPUTED_VALUE"""),"")</f>
        <v/>
      </c>
      <c r="I384" s="51" t="str">
        <f>IFERROR(__xludf.DUMMYFUNCTION("""COMPUTED_VALUE"""),"#VALUE!")</f>
        <v>#VALUE!</v>
      </c>
      <c r="J384" s="51" t="str">
        <f>IFERROR(__xludf.DUMMYFUNCTION("""COMPUTED_VALUE"""),"")</f>
        <v/>
      </c>
      <c r="K384" s="51"/>
      <c r="L384" s="51" t="s">
        <v>257</v>
      </c>
      <c r="M384" s="51"/>
      <c r="N384" s="51"/>
      <c r="O384" s="51"/>
      <c r="P384" s="51"/>
      <c r="Q384" s="51"/>
      <c r="R384" s="51"/>
      <c r="S384" s="51"/>
      <c r="T384" s="51"/>
    </row>
    <row r="385">
      <c r="A385" s="51"/>
      <c r="B385" s="51"/>
      <c r="C385" s="56"/>
      <c r="D385" s="51"/>
      <c r="E385" s="51"/>
      <c r="F385" s="51"/>
      <c r="G385" s="51" t="str">
        <f>IFERROR(__xludf.DUMMYFUNCTION("""COMPUTED_VALUE"""),"#VALUE!")</f>
        <v>#VALUE!</v>
      </c>
      <c r="H385" s="51" t="str">
        <f>IFERROR(__xludf.DUMMYFUNCTION("""COMPUTED_VALUE"""),"")</f>
        <v/>
      </c>
      <c r="I385" s="51" t="str">
        <f>IFERROR(__xludf.DUMMYFUNCTION("""COMPUTED_VALUE"""),"#VALUE!")</f>
        <v>#VALUE!</v>
      </c>
      <c r="J385" s="51" t="str">
        <f>IFERROR(__xludf.DUMMYFUNCTION("""COMPUTED_VALUE"""),"")</f>
        <v/>
      </c>
      <c r="K385" s="51"/>
      <c r="L385" s="51" t="s">
        <v>257</v>
      </c>
      <c r="M385" s="51"/>
      <c r="N385" s="51"/>
      <c r="O385" s="51"/>
      <c r="P385" s="51"/>
      <c r="Q385" s="51"/>
      <c r="R385" s="51"/>
      <c r="S385" s="51"/>
      <c r="T385" s="51"/>
    </row>
    <row r="386">
      <c r="A386" s="51"/>
      <c r="B386" s="51"/>
      <c r="C386" s="56"/>
      <c r="D386" s="51"/>
      <c r="E386" s="51"/>
      <c r="F386" s="51"/>
      <c r="G386" s="51" t="str">
        <f>IFERROR(__xludf.DUMMYFUNCTION("""COMPUTED_VALUE"""),"#VALUE!")</f>
        <v>#VALUE!</v>
      </c>
      <c r="H386" s="51" t="str">
        <f>IFERROR(__xludf.DUMMYFUNCTION("""COMPUTED_VALUE"""),"")</f>
        <v/>
      </c>
      <c r="I386" s="51" t="str">
        <f>IFERROR(__xludf.DUMMYFUNCTION("""COMPUTED_VALUE"""),"#VALUE!")</f>
        <v>#VALUE!</v>
      </c>
      <c r="J386" s="51" t="str">
        <f>IFERROR(__xludf.DUMMYFUNCTION("""COMPUTED_VALUE"""),"")</f>
        <v/>
      </c>
      <c r="K386" s="51"/>
      <c r="L386" s="51" t="s">
        <v>257</v>
      </c>
      <c r="M386" s="51"/>
      <c r="N386" s="51"/>
      <c r="O386" s="51"/>
      <c r="P386" s="51"/>
      <c r="Q386" s="51"/>
      <c r="R386" s="51"/>
      <c r="S386" s="51"/>
      <c r="T386" s="51"/>
    </row>
    <row r="387">
      <c r="A387" s="51"/>
      <c r="B387" s="51"/>
      <c r="C387" s="56"/>
      <c r="D387" s="51"/>
      <c r="E387" s="51"/>
      <c r="F387" s="51"/>
      <c r="G387" s="51" t="str">
        <f>IFERROR(__xludf.DUMMYFUNCTION("""COMPUTED_VALUE"""),"#VALUE!")</f>
        <v>#VALUE!</v>
      </c>
      <c r="H387" s="51" t="str">
        <f>IFERROR(__xludf.DUMMYFUNCTION("""COMPUTED_VALUE"""),"")</f>
        <v/>
      </c>
      <c r="I387" s="51" t="str">
        <f>IFERROR(__xludf.DUMMYFUNCTION("""COMPUTED_VALUE"""),"#VALUE!")</f>
        <v>#VALUE!</v>
      </c>
      <c r="J387" s="51" t="str">
        <f>IFERROR(__xludf.DUMMYFUNCTION("""COMPUTED_VALUE"""),"")</f>
        <v/>
      </c>
      <c r="K387" s="51"/>
      <c r="L387" s="51" t="s">
        <v>257</v>
      </c>
      <c r="M387" s="51"/>
      <c r="N387" s="51"/>
      <c r="O387" s="51"/>
      <c r="P387" s="51"/>
      <c r="Q387" s="51"/>
      <c r="R387" s="51"/>
      <c r="S387" s="51"/>
      <c r="T387" s="51"/>
    </row>
    <row r="388">
      <c r="A388" s="51"/>
      <c r="B388" s="51"/>
      <c r="C388" s="56"/>
      <c r="D388" s="51"/>
      <c r="E388" s="51"/>
      <c r="F388" s="51"/>
      <c r="G388" s="51" t="str">
        <f>IFERROR(__xludf.DUMMYFUNCTION("""COMPUTED_VALUE"""),"#VALUE!")</f>
        <v>#VALUE!</v>
      </c>
      <c r="H388" s="51" t="str">
        <f>IFERROR(__xludf.DUMMYFUNCTION("""COMPUTED_VALUE"""),"")</f>
        <v/>
      </c>
      <c r="I388" s="51" t="str">
        <f>IFERROR(__xludf.DUMMYFUNCTION("""COMPUTED_VALUE"""),"#VALUE!")</f>
        <v>#VALUE!</v>
      </c>
      <c r="J388" s="51" t="str">
        <f>IFERROR(__xludf.DUMMYFUNCTION("""COMPUTED_VALUE"""),"")</f>
        <v/>
      </c>
      <c r="K388" s="51"/>
      <c r="L388" s="51" t="s">
        <v>257</v>
      </c>
      <c r="M388" s="51"/>
      <c r="N388" s="51"/>
      <c r="O388" s="51"/>
      <c r="P388" s="51"/>
      <c r="Q388" s="51"/>
      <c r="R388" s="51"/>
      <c r="S388" s="51"/>
      <c r="T388" s="51"/>
    </row>
    <row r="389">
      <c r="A389" s="51"/>
      <c r="B389" s="51"/>
      <c r="C389" s="56"/>
      <c r="D389" s="51"/>
      <c r="E389" s="51"/>
      <c r="F389" s="51"/>
      <c r="G389" s="51" t="str">
        <f>IFERROR(__xludf.DUMMYFUNCTION("""COMPUTED_VALUE"""),"#VALUE!")</f>
        <v>#VALUE!</v>
      </c>
      <c r="H389" s="51" t="str">
        <f>IFERROR(__xludf.DUMMYFUNCTION("""COMPUTED_VALUE"""),"")</f>
        <v/>
      </c>
      <c r="I389" s="51" t="str">
        <f>IFERROR(__xludf.DUMMYFUNCTION("""COMPUTED_VALUE"""),"#VALUE!")</f>
        <v>#VALUE!</v>
      </c>
      <c r="J389" s="51" t="str">
        <f>IFERROR(__xludf.DUMMYFUNCTION("""COMPUTED_VALUE"""),"")</f>
        <v/>
      </c>
      <c r="K389" s="51"/>
      <c r="L389" s="51" t="s">
        <v>257</v>
      </c>
      <c r="M389" s="51"/>
      <c r="N389" s="51"/>
      <c r="O389" s="51"/>
      <c r="P389" s="51"/>
      <c r="Q389" s="51"/>
      <c r="R389" s="51"/>
      <c r="S389" s="51"/>
      <c r="T389" s="51"/>
    </row>
    <row r="390">
      <c r="A390" s="51"/>
      <c r="B390" s="51"/>
      <c r="C390" s="56"/>
      <c r="D390" s="51"/>
      <c r="E390" s="51"/>
      <c r="F390" s="51"/>
      <c r="G390" s="51" t="str">
        <f>IFERROR(__xludf.DUMMYFUNCTION("""COMPUTED_VALUE"""),"#VALUE!")</f>
        <v>#VALUE!</v>
      </c>
      <c r="H390" s="51" t="str">
        <f>IFERROR(__xludf.DUMMYFUNCTION("""COMPUTED_VALUE"""),"")</f>
        <v/>
      </c>
      <c r="I390" s="51" t="str">
        <f>IFERROR(__xludf.DUMMYFUNCTION("""COMPUTED_VALUE"""),"#VALUE!")</f>
        <v>#VALUE!</v>
      </c>
      <c r="J390" s="51" t="str">
        <f>IFERROR(__xludf.DUMMYFUNCTION("""COMPUTED_VALUE"""),"")</f>
        <v/>
      </c>
      <c r="K390" s="51"/>
      <c r="L390" s="51" t="s">
        <v>257</v>
      </c>
      <c r="M390" s="51"/>
      <c r="N390" s="51"/>
      <c r="O390" s="51"/>
      <c r="P390" s="51"/>
      <c r="Q390" s="51"/>
      <c r="R390" s="51"/>
      <c r="S390" s="51"/>
      <c r="T390" s="51"/>
    </row>
    <row r="391">
      <c r="A391" s="51"/>
      <c r="B391" s="51"/>
      <c r="C391" s="56"/>
      <c r="D391" s="51"/>
      <c r="E391" s="51"/>
      <c r="F391" s="51"/>
      <c r="G391" s="51" t="str">
        <f>IFERROR(__xludf.DUMMYFUNCTION("""COMPUTED_VALUE"""),"#VALUE!")</f>
        <v>#VALUE!</v>
      </c>
      <c r="H391" s="51" t="str">
        <f>IFERROR(__xludf.DUMMYFUNCTION("""COMPUTED_VALUE"""),"")</f>
        <v/>
      </c>
      <c r="I391" s="51" t="str">
        <f>IFERROR(__xludf.DUMMYFUNCTION("""COMPUTED_VALUE"""),"#VALUE!")</f>
        <v>#VALUE!</v>
      </c>
      <c r="J391" s="51" t="str">
        <f>IFERROR(__xludf.DUMMYFUNCTION("""COMPUTED_VALUE"""),"")</f>
        <v/>
      </c>
      <c r="K391" s="51"/>
      <c r="L391" s="51" t="s">
        <v>257</v>
      </c>
      <c r="M391" s="51"/>
      <c r="N391" s="51"/>
      <c r="O391" s="51"/>
      <c r="P391" s="51"/>
      <c r="Q391" s="51"/>
      <c r="R391" s="51"/>
      <c r="S391" s="51"/>
      <c r="T391" s="51"/>
    </row>
    <row r="392">
      <c r="A392" s="51"/>
      <c r="B392" s="51"/>
      <c r="C392" s="56"/>
      <c r="D392" s="51"/>
      <c r="E392" s="51"/>
      <c r="F392" s="51"/>
      <c r="G392" s="51" t="str">
        <f>IFERROR(__xludf.DUMMYFUNCTION("""COMPUTED_VALUE"""),"#VALUE!")</f>
        <v>#VALUE!</v>
      </c>
      <c r="H392" s="51" t="str">
        <f>IFERROR(__xludf.DUMMYFUNCTION("""COMPUTED_VALUE"""),"")</f>
        <v/>
      </c>
      <c r="I392" s="51" t="str">
        <f>IFERROR(__xludf.DUMMYFUNCTION("""COMPUTED_VALUE"""),"#VALUE!")</f>
        <v>#VALUE!</v>
      </c>
      <c r="J392" s="51" t="str">
        <f>IFERROR(__xludf.DUMMYFUNCTION("""COMPUTED_VALUE"""),"")</f>
        <v/>
      </c>
      <c r="K392" s="51"/>
      <c r="L392" s="51" t="s">
        <v>257</v>
      </c>
      <c r="M392" s="51"/>
      <c r="N392" s="51"/>
      <c r="O392" s="51"/>
      <c r="P392" s="51"/>
      <c r="Q392" s="51"/>
      <c r="R392" s="51"/>
      <c r="S392" s="51"/>
      <c r="T392" s="51"/>
    </row>
    <row r="393">
      <c r="A393" s="51"/>
      <c r="B393" s="51"/>
      <c r="C393" s="56"/>
      <c r="D393" s="51"/>
      <c r="E393" s="51"/>
      <c r="F393" s="51"/>
      <c r="G393" s="51" t="str">
        <f>IFERROR(__xludf.DUMMYFUNCTION("""COMPUTED_VALUE"""),"#VALUE!")</f>
        <v>#VALUE!</v>
      </c>
      <c r="H393" s="51" t="str">
        <f>IFERROR(__xludf.DUMMYFUNCTION("""COMPUTED_VALUE"""),"")</f>
        <v/>
      </c>
      <c r="I393" s="51" t="str">
        <f>IFERROR(__xludf.DUMMYFUNCTION("""COMPUTED_VALUE"""),"#VALUE!")</f>
        <v>#VALUE!</v>
      </c>
      <c r="J393" s="51" t="str">
        <f>IFERROR(__xludf.DUMMYFUNCTION("""COMPUTED_VALUE"""),"")</f>
        <v/>
      </c>
      <c r="K393" s="51"/>
      <c r="L393" s="51" t="s">
        <v>257</v>
      </c>
      <c r="M393" s="51"/>
      <c r="N393" s="51"/>
      <c r="O393" s="51"/>
      <c r="P393" s="51"/>
      <c r="Q393" s="51"/>
      <c r="R393" s="51"/>
      <c r="S393" s="51"/>
      <c r="T393" s="51"/>
    </row>
    <row r="394">
      <c r="A394" s="51"/>
      <c r="B394" s="51"/>
      <c r="C394" s="56"/>
      <c r="D394" s="51"/>
      <c r="E394" s="51"/>
      <c r="F394" s="51"/>
      <c r="G394" s="51" t="str">
        <f>IFERROR(__xludf.DUMMYFUNCTION("""COMPUTED_VALUE"""),"#VALUE!")</f>
        <v>#VALUE!</v>
      </c>
      <c r="H394" s="51" t="str">
        <f>IFERROR(__xludf.DUMMYFUNCTION("""COMPUTED_VALUE"""),"")</f>
        <v/>
      </c>
      <c r="I394" s="51" t="str">
        <f>IFERROR(__xludf.DUMMYFUNCTION("""COMPUTED_VALUE"""),"#VALUE!")</f>
        <v>#VALUE!</v>
      </c>
      <c r="J394" s="51" t="str">
        <f>IFERROR(__xludf.DUMMYFUNCTION("""COMPUTED_VALUE"""),"")</f>
        <v/>
      </c>
      <c r="K394" s="51"/>
      <c r="L394" s="51" t="s">
        <v>257</v>
      </c>
      <c r="M394" s="51"/>
      <c r="N394" s="51"/>
      <c r="O394" s="51"/>
      <c r="P394" s="51"/>
      <c r="Q394" s="51"/>
      <c r="R394" s="51"/>
      <c r="S394" s="51"/>
      <c r="T394" s="51"/>
    </row>
    <row r="395">
      <c r="A395" s="51"/>
      <c r="B395" s="51"/>
      <c r="C395" s="56"/>
      <c r="D395" s="51"/>
      <c r="E395" s="51"/>
      <c r="F395" s="51"/>
      <c r="G395" s="51" t="str">
        <f>IFERROR(__xludf.DUMMYFUNCTION("""COMPUTED_VALUE"""),"#VALUE!")</f>
        <v>#VALUE!</v>
      </c>
      <c r="H395" s="51" t="str">
        <f>IFERROR(__xludf.DUMMYFUNCTION("""COMPUTED_VALUE"""),"")</f>
        <v/>
      </c>
      <c r="I395" s="51" t="str">
        <f>IFERROR(__xludf.DUMMYFUNCTION("""COMPUTED_VALUE"""),"#VALUE!")</f>
        <v>#VALUE!</v>
      </c>
      <c r="J395" s="51" t="str">
        <f>IFERROR(__xludf.DUMMYFUNCTION("""COMPUTED_VALUE"""),"")</f>
        <v/>
      </c>
      <c r="K395" s="51"/>
      <c r="L395" s="51" t="s">
        <v>257</v>
      </c>
      <c r="M395" s="51"/>
      <c r="N395" s="51"/>
      <c r="O395" s="51"/>
      <c r="P395" s="51"/>
      <c r="Q395" s="51"/>
      <c r="R395" s="51"/>
      <c r="S395" s="51"/>
      <c r="T395" s="51"/>
    </row>
    <row r="396">
      <c r="A396" s="51"/>
      <c r="B396" s="51"/>
      <c r="C396" s="56"/>
      <c r="D396" s="51"/>
      <c r="E396" s="51"/>
      <c r="F396" s="51"/>
      <c r="G396" s="51" t="str">
        <f>IFERROR(__xludf.DUMMYFUNCTION("""COMPUTED_VALUE"""),"#VALUE!")</f>
        <v>#VALUE!</v>
      </c>
      <c r="H396" s="51" t="str">
        <f>IFERROR(__xludf.DUMMYFUNCTION("""COMPUTED_VALUE"""),"")</f>
        <v/>
      </c>
      <c r="I396" s="51" t="str">
        <f>IFERROR(__xludf.DUMMYFUNCTION("""COMPUTED_VALUE"""),"#VALUE!")</f>
        <v>#VALUE!</v>
      </c>
      <c r="J396" s="51" t="str">
        <f>IFERROR(__xludf.DUMMYFUNCTION("""COMPUTED_VALUE"""),"")</f>
        <v/>
      </c>
      <c r="K396" s="51"/>
      <c r="L396" s="51" t="s">
        <v>257</v>
      </c>
      <c r="M396" s="51"/>
      <c r="N396" s="51"/>
      <c r="O396" s="51"/>
      <c r="P396" s="51"/>
      <c r="Q396" s="51"/>
      <c r="R396" s="51"/>
      <c r="S396" s="51"/>
      <c r="T396" s="51"/>
    </row>
    <row r="397">
      <c r="A397" s="51"/>
      <c r="B397" s="51"/>
      <c r="C397" s="56"/>
      <c r="D397" s="51"/>
      <c r="E397" s="51"/>
      <c r="F397" s="51"/>
      <c r="G397" s="51" t="str">
        <f>IFERROR(__xludf.DUMMYFUNCTION("""COMPUTED_VALUE"""),"#VALUE!")</f>
        <v>#VALUE!</v>
      </c>
      <c r="H397" s="51" t="str">
        <f>IFERROR(__xludf.DUMMYFUNCTION("""COMPUTED_VALUE"""),"")</f>
        <v/>
      </c>
      <c r="I397" s="51" t="str">
        <f>IFERROR(__xludf.DUMMYFUNCTION("""COMPUTED_VALUE"""),"#VALUE!")</f>
        <v>#VALUE!</v>
      </c>
      <c r="J397" s="51" t="str">
        <f>IFERROR(__xludf.DUMMYFUNCTION("""COMPUTED_VALUE"""),"")</f>
        <v/>
      </c>
      <c r="K397" s="51"/>
      <c r="L397" s="51" t="s">
        <v>257</v>
      </c>
      <c r="M397" s="51"/>
      <c r="N397" s="51"/>
      <c r="O397" s="51"/>
      <c r="P397" s="51"/>
      <c r="Q397" s="51"/>
      <c r="R397" s="51"/>
      <c r="S397" s="51"/>
      <c r="T397" s="51"/>
    </row>
    <row r="398">
      <c r="A398" s="51"/>
      <c r="B398" s="51"/>
      <c r="C398" s="56"/>
      <c r="D398" s="51"/>
      <c r="E398" s="51"/>
      <c r="F398" s="51"/>
      <c r="G398" s="51" t="str">
        <f>IFERROR(__xludf.DUMMYFUNCTION("""COMPUTED_VALUE"""),"#VALUE!")</f>
        <v>#VALUE!</v>
      </c>
      <c r="H398" s="51" t="str">
        <f>IFERROR(__xludf.DUMMYFUNCTION("""COMPUTED_VALUE"""),"")</f>
        <v/>
      </c>
      <c r="I398" s="51" t="str">
        <f>IFERROR(__xludf.DUMMYFUNCTION("""COMPUTED_VALUE"""),"#VALUE!")</f>
        <v>#VALUE!</v>
      </c>
      <c r="J398" s="51" t="str">
        <f>IFERROR(__xludf.DUMMYFUNCTION("""COMPUTED_VALUE"""),"")</f>
        <v/>
      </c>
      <c r="K398" s="51"/>
      <c r="L398" s="51" t="s">
        <v>257</v>
      </c>
      <c r="M398" s="51"/>
      <c r="N398" s="51"/>
      <c r="O398" s="51"/>
      <c r="P398" s="51"/>
      <c r="Q398" s="51"/>
      <c r="R398" s="51"/>
      <c r="S398" s="51"/>
      <c r="T398" s="51"/>
    </row>
    <row r="399">
      <c r="A399" s="51"/>
      <c r="B399" s="51"/>
      <c r="C399" s="56"/>
      <c r="D399" s="51"/>
      <c r="E399" s="51"/>
      <c r="F399" s="51"/>
      <c r="G399" s="51" t="str">
        <f>IFERROR(__xludf.DUMMYFUNCTION("""COMPUTED_VALUE"""),"#VALUE!")</f>
        <v>#VALUE!</v>
      </c>
      <c r="H399" s="51" t="str">
        <f>IFERROR(__xludf.DUMMYFUNCTION("""COMPUTED_VALUE"""),"")</f>
        <v/>
      </c>
      <c r="I399" s="51" t="str">
        <f>IFERROR(__xludf.DUMMYFUNCTION("""COMPUTED_VALUE"""),"#VALUE!")</f>
        <v>#VALUE!</v>
      </c>
      <c r="J399" s="51" t="str">
        <f>IFERROR(__xludf.DUMMYFUNCTION("""COMPUTED_VALUE"""),"")</f>
        <v/>
      </c>
      <c r="K399" s="51"/>
      <c r="L399" s="51" t="s">
        <v>257</v>
      </c>
      <c r="M399" s="51"/>
      <c r="N399" s="51"/>
      <c r="O399" s="51"/>
      <c r="P399" s="51"/>
      <c r="Q399" s="51"/>
      <c r="R399" s="51"/>
      <c r="S399" s="51"/>
      <c r="T399" s="51"/>
    </row>
    <row r="400">
      <c r="A400" s="51"/>
      <c r="B400" s="51"/>
      <c r="C400" s="56"/>
      <c r="D400" s="51"/>
      <c r="E400" s="51"/>
      <c r="F400" s="51"/>
      <c r="G400" s="51" t="str">
        <f>IFERROR(__xludf.DUMMYFUNCTION("""COMPUTED_VALUE"""),"#VALUE!")</f>
        <v>#VALUE!</v>
      </c>
      <c r="H400" s="51" t="str">
        <f>IFERROR(__xludf.DUMMYFUNCTION("""COMPUTED_VALUE"""),"")</f>
        <v/>
      </c>
      <c r="I400" s="51" t="str">
        <f>IFERROR(__xludf.DUMMYFUNCTION("""COMPUTED_VALUE"""),"#VALUE!")</f>
        <v>#VALUE!</v>
      </c>
      <c r="J400" s="51" t="str">
        <f>IFERROR(__xludf.DUMMYFUNCTION("""COMPUTED_VALUE"""),"")</f>
        <v/>
      </c>
      <c r="K400" s="51"/>
      <c r="L400" s="51" t="s">
        <v>257</v>
      </c>
      <c r="M400" s="51"/>
      <c r="N400" s="51"/>
      <c r="O400" s="51"/>
      <c r="P400" s="51"/>
      <c r="Q400" s="51"/>
      <c r="R400" s="51"/>
      <c r="S400" s="51"/>
      <c r="T400" s="51"/>
    </row>
    <row r="401">
      <c r="A401" s="51"/>
      <c r="B401" s="51"/>
      <c r="C401" s="56"/>
      <c r="D401" s="51"/>
      <c r="E401" s="51"/>
      <c r="F401" s="51"/>
      <c r="G401" s="51" t="str">
        <f>IFERROR(__xludf.DUMMYFUNCTION("""COMPUTED_VALUE"""),"#VALUE!")</f>
        <v>#VALUE!</v>
      </c>
      <c r="H401" s="51" t="str">
        <f>IFERROR(__xludf.DUMMYFUNCTION("""COMPUTED_VALUE"""),"")</f>
        <v/>
      </c>
      <c r="I401" s="51" t="str">
        <f>IFERROR(__xludf.DUMMYFUNCTION("""COMPUTED_VALUE"""),"#VALUE!")</f>
        <v>#VALUE!</v>
      </c>
      <c r="J401" s="51" t="str">
        <f>IFERROR(__xludf.DUMMYFUNCTION("""COMPUTED_VALUE"""),"")</f>
        <v/>
      </c>
      <c r="K401" s="51"/>
      <c r="L401" s="51" t="s">
        <v>257</v>
      </c>
      <c r="M401" s="51"/>
      <c r="N401" s="51"/>
      <c r="O401" s="51"/>
      <c r="P401" s="51"/>
      <c r="Q401" s="51"/>
      <c r="R401" s="51"/>
      <c r="S401" s="51"/>
      <c r="T401" s="51"/>
    </row>
    <row r="402">
      <c r="A402" s="51"/>
      <c r="B402" s="51"/>
      <c r="C402" s="56"/>
      <c r="D402" s="51"/>
      <c r="E402" s="51"/>
      <c r="F402" s="51"/>
      <c r="G402" s="51" t="str">
        <f>IFERROR(__xludf.DUMMYFUNCTION("""COMPUTED_VALUE"""),"#VALUE!")</f>
        <v>#VALUE!</v>
      </c>
      <c r="H402" s="51" t="str">
        <f>IFERROR(__xludf.DUMMYFUNCTION("""COMPUTED_VALUE"""),"")</f>
        <v/>
      </c>
      <c r="I402" s="51" t="str">
        <f>IFERROR(__xludf.DUMMYFUNCTION("""COMPUTED_VALUE"""),"#VALUE!")</f>
        <v>#VALUE!</v>
      </c>
      <c r="J402" s="51" t="str">
        <f>IFERROR(__xludf.DUMMYFUNCTION("""COMPUTED_VALUE"""),"")</f>
        <v/>
      </c>
      <c r="K402" s="51"/>
      <c r="L402" s="51" t="s">
        <v>257</v>
      </c>
      <c r="M402" s="51"/>
      <c r="N402" s="51"/>
      <c r="O402" s="51"/>
      <c r="P402" s="51"/>
      <c r="Q402" s="51"/>
      <c r="R402" s="51"/>
      <c r="S402" s="51"/>
      <c r="T402" s="51"/>
    </row>
    <row r="403">
      <c r="A403" s="51"/>
      <c r="B403" s="51"/>
      <c r="C403" s="56"/>
      <c r="D403" s="51"/>
      <c r="E403" s="51"/>
      <c r="F403" s="51"/>
      <c r="G403" s="51" t="str">
        <f>IFERROR(__xludf.DUMMYFUNCTION("""COMPUTED_VALUE"""),"#VALUE!")</f>
        <v>#VALUE!</v>
      </c>
      <c r="H403" s="51" t="str">
        <f>IFERROR(__xludf.DUMMYFUNCTION("""COMPUTED_VALUE"""),"")</f>
        <v/>
      </c>
      <c r="I403" s="51" t="str">
        <f>IFERROR(__xludf.DUMMYFUNCTION("""COMPUTED_VALUE"""),"#VALUE!")</f>
        <v>#VALUE!</v>
      </c>
      <c r="J403" s="51" t="str">
        <f>IFERROR(__xludf.DUMMYFUNCTION("""COMPUTED_VALUE"""),"")</f>
        <v/>
      </c>
      <c r="K403" s="51"/>
      <c r="L403" s="51" t="s">
        <v>257</v>
      </c>
      <c r="M403" s="51"/>
      <c r="N403" s="51"/>
      <c r="O403" s="51"/>
      <c r="P403" s="51"/>
      <c r="Q403" s="51"/>
      <c r="R403" s="51"/>
      <c r="S403" s="51"/>
      <c r="T403" s="51"/>
    </row>
    <row r="404">
      <c r="A404" s="51"/>
      <c r="B404" s="51"/>
      <c r="C404" s="56"/>
      <c r="D404" s="51"/>
      <c r="E404" s="51"/>
      <c r="F404" s="51"/>
      <c r="G404" s="51" t="str">
        <f>IFERROR(__xludf.DUMMYFUNCTION("""COMPUTED_VALUE"""),"#VALUE!")</f>
        <v>#VALUE!</v>
      </c>
      <c r="H404" s="51" t="str">
        <f>IFERROR(__xludf.DUMMYFUNCTION("""COMPUTED_VALUE"""),"")</f>
        <v/>
      </c>
      <c r="I404" s="51" t="str">
        <f>IFERROR(__xludf.DUMMYFUNCTION("""COMPUTED_VALUE"""),"#VALUE!")</f>
        <v>#VALUE!</v>
      </c>
      <c r="J404" s="51" t="str">
        <f>IFERROR(__xludf.DUMMYFUNCTION("""COMPUTED_VALUE"""),"")</f>
        <v/>
      </c>
      <c r="K404" s="51"/>
      <c r="L404" s="51" t="s">
        <v>257</v>
      </c>
      <c r="M404" s="51"/>
      <c r="N404" s="51"/>
      <c r="O404" s="51"/>
      <c r="P404" s="51"/>
      <c r="Q404" s="51"/>
      <c r="R404" s="51"/>
      <c r="S404" s="51"/>
      <c r="T404" s="51"/>
    </row>
    <row r="405">
      <c r="A405" s="51"/>
      <c r="B405" s="51"/>
      <c r="C405" s="56"/>
      <c r="D405" s="51"/>
      <c r="E405" s="51"/>
      <c r="F405" s="51"/>
      <c r="G405" s="51" t="str">
        <f>IFERROR(__xludf.DUMMYFUNCTION("""COMPUTED_VALUE"""),"#VALUE!")</f>
        <v>#VALUE!</v>
      </c>
      <c r="H405" s="51" t="str">
        <f>IFERROR(__xludf.DUMMYFUNCTION("""COMPUTED_VALUE"""),"")</f>
        <v/>
      </c>
      <c r="I405" s="51" t="str">
        <f>IFERROR(__xludf.DUMMYFUNCTION("""COMPUTED_VALUE"""),"#VALUE!")</f>
        <v>#VALUE!</v>
      </c>
      <c r="J405" s="51" t="str">
        <f>IFERROR(__xludf.DUMMYFUNCTION("""COMPUTED_VALUE"""),"")</f>
        <v/>
      </c>
      <c r="K405" s="51"/>
      <c r="L405" s="51" t="s">
        <v>257</v>
      </c>
      <c r="M405" s="51"/>
      <c r="N405" s="51"/>
      <c r="O405" s="51"/>
      <c r="P405" s="51"/>
      <c r="Q405" s="51"/>
      <c r="R405" s="51"/>
      <c r="S405" s="51"/>
      <c r="T405" s="51"/>
    </row>
    <row r="406">
      <c r="A406" s="51"/>
      <c r="B406" s="51"/>
      <c r="C406" s="56"/>
      <c r="D406" s="51"/>
      <c r="E406" s="51"/>
      <c r="F406" s="51"/>
      <c r="G406" s="51" t="str">
        <f>IFERROR(__xludf.DUMMYFUNCTION("""COMPUTED_VALUE"""),"#VALUE!")</f>
        <v>#VALUE!</v>
      </c>
      <c r="H406" s="51" t="str">
        <f>IFERROR(__xludf.DUMMYFUNCTION("""COMPUTED_VALUE"""),"")</f>
        <v/>
      </c>
      <c r="I406" s="51" t="str">
        <f>IFERROR(__xludf.DUMMYFUNCTION("""COMPUTED_VALUE"""),"#VALUE!")</f>
        <v>#VALUE!</v>
      </c>
      <c r="J406" s="51" t="str">
        <f>IFERROR(__xludf.DUMMYFUNCTION("""COMPUTED_VALUE"""),"")</f>
        <v/>
      </c>
      <c r="K406" s="51"/>
      <c r="L406" s="51" t="s">
        <v>257</v>
      </c>
      <c r="M406" s="51"/>
      <c r="N406" s="51"/>
      <c r="O406" s="51"/>
      <c r="P406" s="51"/>
      <c r="Q406" s="51"/>
      <c r="R406" s="51"/>
      <c r="S406" s="51"/>
      <c r="T406" s="51"/>
    </row>
    <row r="407">
      <c r="A407" s="51"/>
      <c r="B407" s="51"/>
      <c r="C407" s="56"/>
      <c r="D407" s="51"/>
      <c r="E407" s="51"/>
      <c r="F407" s="51"/>
      <c r="G407" s="51" t="str">
        <f>IFERROR(__xludf.DUMMYFUNCTION("""COMPUTED_VALUE"""),"#VALUE!")</f>
        <v>#VALUE!</v>
      </c>
      <c r="H407" s="51" t="str">
        <f>IFERROR(__xludf.DUMMYFUNCTION("""COMPUTED_VALUE"""),"")</f>
        <v/>
      </c>
      <c r="I407" s="51" t="str">
        <f>IFERROR(__xludf.DUMMYFUNCTION("""COMPUTED_VALUE"""),"#VALUE!")</f>
        <v>#VALUE!</v>
      </c>
      <c r="J407" s="51" t="str">
        <f>IFERROR(__xludf.DUMMYFUNCTION("""COMPUTED_VALUE"""),"")</f>
        <v/>
      </c>
      <c r="K407" s="51"/>
      <c r="L407" s="51" t="s">
        <v>257</v>
      </c>
      <c r="M407" s="51"/>
      <c r="N407" s="51"/>
      <c r="O407" s="51"/>
      <c r="P407" s="51"/>
      <c r="Q407" s="51"/>
      <c r="R407" s="51"/>
      <c r="S407" s="51"/>
      <c r="T407" s="51"/>
    </row>
    <row r="408">
      <c r="A408" s="51"/>
      <c r="B408" s="51"/>
      <c r="C408" s="56"/>
      <c r="D408" s="51"/>
      <c r="E408" s="51"/>
      <c r="F408" s="51"/>
      <c r="G408" s="51" t="str">
        <f>IFERROR(__xludf.DUMMYFUNCTION("""COMPUTED_VALUE"""),"#VALUE!")</f>
        <v>#VALUE!</v>
      </c>
      <c r="H408" s="51" t="str">
        <f>IFERROR(__xludf.DUMMYFUNCTION("""COMPUTED_VALUE"""),"")</f>
        <v/>
      </c>
      <c r="I408" s="51" t="str">
        <f>IFERROR(__xludf.DUMMYFUNCTION("""COMPUTED_VALUE"""),"#VALUE!")</f>
        <v>#VALUE!</v>
      </c>
      <c r="J408" s="51" t="str">
        <f>IFERROR(__xludf.DUMMYFUNCTION("""COMPUTED_VALUE"""),"")</f>
        <v/>
      </c>
      <c r="K408" s="51"/>
      <c r="L408" s="51" t="s">
        <v>257</v>
      </c>
      <c r="M408" s="51"/>
      <c r="N408" s="51"/>
      <c r="O408" s="51"/>
      <c r="P408" s="51"/>
      <c r="Q408" s="51"/>
      <c r="R408" s="51"/>
      <c r="S408" s="51"/>
      <c r="T408" s="51"/>
    </row>
    <row r="409">
      <c r="A409" s="51"/>
      <c r="B409" s="51"/>
      <c r="C409" s="56"/>
      <c r="D409" s="51"/>
      <c r="E409" s="51"/>
      <c r="F409" s="51"/>
      <c r="G409" s="51" t="str">
        <f>IFERROR(__xludf.DUMMYFUNCTION("""COMPUTED_VALUE"""),"#VALUE!")</f>
        <v>#VALUE!</v>
      </c>
      <c r="H409" s="51" t="str">
        <f>IFERROR(__xludf.DUMMYFUNCTION("""COMPUTED_VALUE"""),"")</f>
        <v/>
      </c>
      <c r="I409" s="51" t="str">
        <f>IFERROR(__xludf.DUMMYFUNCTION("""COMPUTED_VALUE"""),"#VALUE!")</f>
        <v>#VALUE!</v>
      </c>
      <c r="J409" s="51" t="str">
        <f>IFERROR(__xludf.DUMMYFUNCTION("""COMPUTED_VALUE"""),"")</f>
        <v/>
      </c>
      <c r="K409" s="51"/>
      <c r="L409" s="51" t="s">
        <v>257</v>
      </c>
      <c r="M409" s="51"/>
      <c r="N409" s="51"/>
      <c r="O409" s="51"/>
      <c r="P409" s="51"/>
      <c r="Q409" s="51"/>
      <c r="R409" s="51"/>
      <c r="S409" s="51"/>
      <c r="T409" s="51"/>
    </row>
    <row r="410">
      <c r="A410" s="51"/>
      <c r="B410" s="51"/>
      <c r="C410" s="56"/>
      <c r="D410" s="51"/>
      <c r="E410" s="51"/>
      <c r="F410" s="51"/>
      <c r="G410" s="51" t="str">
        <f>IFERROR(__xludf.DUMMYFUNCTION("""COMPUTED_VALUE"""),"#VALUE!")</f>
        <v>#VALUE!</v>
      </c>
      <c r="H410" s="51" t="str">
        <f>IFERROR(__xludf.DUMMYFUNCTION("""COMPUTED_VALUE"""),"")</f>
        <v/>
      </c>
      <c r="I410" s="51" t="str">
        <f>IFERROR(__xludf.DUMMYFUNCTION("""COMPUTED_VALUE"""),"#VALUE!")</f>
        <v>#VALUE!</v>
      </c>
      <c r="J410" s="51" t="str">
        <f>IFERROR(__xludf.DUMMYFUNCTION("""COMPUTED_VALUE"""),"")</f>
        <v/>
      </c>
      <c r="K410" s="51"/>
      <c r="L410" s="51" t="s">
        <v>257</v>
      </c>
      <c r="M410" s="51"/>
      <c r="N410" s="51"/>
      <c r="O410" s="51"/>
      <c r="P410" s="51"/>
      <c r="Q410" s="51"/>
      <c r="R410" s="51"/>
      <c r="S410" s="51"/>
      <c r="T410" s="51"/>
    </row>
    <row r="411">
      <c r="A411" s="51"/>
      <c r="B411" s="51"/>
      <c r="C411" s="56"/>
      <c r="D411" s="51"/>
      <c r="E411" s="51"/>
      <c r="F411" s="51"/>
      <c r="G411" s="51" t="str">
        <f>IFERROR(__xludf.DUMMYFUNCTION("""COMPUTED_VALUE"""),"#VALUE!")</f>
        <v>#VALUE!</v>
      </c>
      <c r="H411" s="51" t="str">
        <f>IFERROR(__xludf.DUMMYFUNCTION("""COMPUTED_VALUE"""),"")</f>
        <v/>
      </c>
      <c r="I411" s="51" t="str">
        <f>IFERROR(__xludf.DUMMYFUNCTION("""COMPUTED_VALUE"""),"#VALUE!")</f>
        <v>#VALUE!</v>
      </c>
      <c r="J411" s="51" t="str">
        <f>IFERROR(__xludf.DUMMYFUNCTION("""COMPUTED_VALUE"""),"")</f>
        <v/>
      </c>
      <c r="K411" s="51"/>
      <c r="L411" s="51" t="s">
        <v>257</v>
      </c>
      <c r="M411" s="51"/>
      <c r="N411" s="51"/>
      <c r="O411" s="51"/>
      <c r="P411" s="51"/>
      <c r="Q411" s="51"/>
      <c r="R411" s="51"/>
      <c r="S411" s="51"/>
      <c r="T411" s="51"/>
    </row>
    <row r="412">
      <c r="A412" s="51"/>
      <c r="B412" s="51"/>
      <c r="C412" s="56"/>
      <c r="D412" s="51"/>
      <c r="E412" s="51"/>
      <c r="F412" s="51"/>
      <c r="G412" s="51" t="str">
        <f>IFERROR(__xludf.DUMMYFUNCTION("""COMPUTED_VALUE"""),"#VALUE!")</f>
        <v>#VALUE!</v>
      </c>
      <c r="H412" s="51" t="str">
        <f>IFERROR(__xludf.DUMMYFUNCTION("""COMPUTED_VALUE"""),"")</f>
        <v/>
      </c>
      <c r="I412" s="51" t="str">
        <f>IFERROR(__xludf.DUMMYFUNCTION("""COMPUTED_VALUE"""),"#VALUE!")</f>
        <v>#VALUE!</v>
      </c>
      <c r="J412" s="51" t="str">
        <f>IFERROR(__xludf.DUMMYFUNCTION("""COMPUTED_VALUE"""),"")</f>
        <v/>
      </c>
      <c r="K412" s="51"/>
      <c r="L412" s="51" t="s">
        <v>257</v>
      </c>
      <c r="M412" s="51"/>
      <c r="N412" s="51"/>
      <c r="O412" s="51"/>
      <c r="P412" s="51"/>
      <c r="Q412" s="51"/>
      <c r="R412" s="51"/>
      <c r="S412" s="51"/>
      <c r="T412" s="51"/>
    </row>
    <row r="413">
      <c r="A413" s="51"/>
      <c r="B413" s="51"/>
      <c r="C413" s="56"/>
      <c r="D413" s="51"/>
      <c r="E413" s="51"/>
      <c r="F413" s="51"/>
      <c r="G413" s="51" t="str">
        <f>IFERROR(__xludf.DUMMYFUNCTION("""COMPUTED_VALUE"""),"#VALUE!")</f>
        <v>#VALUE!</v>
      </c>
      <c r="H413" s="51" t="str">
        <f>IFERROR(__xludf.DUMMYFUNCTION("""COMPUTED_VALUE"""),"")</f>
        <v/>
      </c>
      <c r="I413" s="51" t="str">
        <f>IFERROR(__xludf.DUMMYFUNCTION("""COMPUTED_VALUE"""),"#VALUE!")</f>
        <v>#VALUE!</v>
      </c>
      <c r="J413" s="51" t="str">
        <f>IFERROR(__xludf.DUMMYFUNCTION("""COMPUTED_VALUE"""),"")</f>
        <v/>
      </c>
      <c r="K413" s="51"/>
      <c r="L413" s="51" t="s">
        <v>257</v>
      </c>
      <c r="M413" s="51"/>
      <c r="N413" s="51"/>
      <c r="O413" s="51"/>
      <c r="P413" s="51"/>
      <c r="Q413" s="51"/>
      <c r="R413" s="51"/>
      <c r="S413" s="51"/>
      <c r="T413" s="51"/>
    </row>
    <row r="414">
      <c r="A414" s="51"/>
      <c r="B414" s="51"/>
      <c r="C414" s="56"/>
      <c r="D414" s="51"/>
      <c r="E414" s="51"/>
      <c r="F414" s="51"/>
      <c r="G414" s="51" t="str">
        <f>IFERROR(__xludf.DUMMYFUNCTION("""COMPUTED_VALUE"""),"#VALUE!")</f>
        <v>#VALUE!</v>
      </c>
      <c r="H414" s="51" t="str">
        <f>IFERROR(__xludf.DUMMYFUNCTION("""COMPUTED_VALUE"""),"")</f>
        <v/>
      </c>
      <c r="I414" s="51" t="str">
        <f>IFERROR(__xludf.DUMMYFUNCTION("""COMPUTED_VALUE"""),"#VALUE!")</f>
        <v>#VALUE!</v>
      </c>
      <c r="J414" s="51" t="str">
        <f>IFERROR(__xludf.DUMMYFUNCTION("""COMPUTED_VALUE"""),"")</f>
        <v/>
      </c>
      <c r="K414" s="51"/>
      <c r="L414" s="51" t="s">
        <v>257</v>
      </c>
      <c r="M414" s="51"/>
      <c r="N414" s="51"/>
      <c r="O414" s="51"/>
      <c r="P414" s="51"/>
      <c r="Q414" s="51"/>
      <c r="R414" s="51"/>
      <c r="S414" s="51"/>
      <c r="T414" s="51"/>
    </row>
    <row r="415">
      <c r="A415" s="51"/>
      <c r="B415" s="51"/>
      <c r="C415" s="56"/>
      <c r="D415" s="51"/>
      <c r="E415" s="51"/>
      <c r="F415" s="51"/>
      <c r="G415" s="51" t="str">
        <f>IFERROR(__xludf.DUMMYFUNCTION("""COMPUTED_VALUE"""),"#VALUE!")</f>
        <v>#VALUE!</v>
      </c>
      <c r="H415" s="51" t="str">
        <f>IFERROR(__xludf.DUMMYFUNCTION("""COMPUTED_VALUE"""),"")</f>
        <v/>
      </c>
      <c r="I415" s="51" t="str">
        <f>IFERROR(__xludf.DUMMYFUNCTION("""COMPUTED_VALUE"""),"#VALUE!")</f>
        <v>#VALUE!</v>
      </c>
      <c r="J415" s="51" t="str">
        <f>IFERROR(__xludf.DUMMYFUNCTION("""COMPUTED_VALUE"""),"")</f>
        <v/>
      </c>
      <c r="K415" s="51"/>
      <c r="L415" s="51" t="s">
        <v>257</v>
      </c>
      <c r="M415" s="51"/>
      <c r="N415" s="51"/>
      <c r="O415" s="51"/>
      <c r="P415" s="51"/>
      <c r="Q415" s="51"/>
      <c r="R415" s="51"/>
      <c r="S415" s="51"/>
      <c r="T415" s="51"/>
    </row>
    <row r="416">
      <c r="A416" s="51"/>
      <c r="B416" s="51"/>
      <c r="C416" s="56"/>
      <c r="D416" s="51"/>
      <c r="E416" s="51"/>
      <c r="F416" s="51"/>
      <c r="G416" s="51" t="str">
        <f>IFERROR(__xludf.DUMMYFUNCTION("""COMPUTED_VALUE"""),"#VALUE!")</f>
        <v>#VALUE!</v>
      </c>
      <c r="H416" s="51" t="str">
        <f>IFERROR(__xludf.DUMMYFUNCTION("""COMPUTED_VALUE"""),"")</f>
        <v/>
      </c>
      <c r="I416" s="51" t="str">
        <f>IFERROR(__xludf.DUMMYFUNCTION("""COMPUTED_VALUE"""),"#VALUE!")</f>
        <v>#VALUE!</v>
      </c>
      <c r="J416" s="51" t="str">
        <f>IFERROR(__xludf.DUMMYFUNCTION("""COMPUTED_VALUE"""),"")</f>
        <v/>
      </c>
      <c r="K416" s="51"/>
      <c r="L416" s="51" t="s">
        <v>257</v>
      </c>
      <c r="M416" s="51"/>
      <c r="N416" s="51"/>
      <c r="O416" s="51"/>
      <c r="P416" s="51"/>
      <c r="Q416" s="51"/>
      <c r="R416" s="51"/>
      <c r="S416" s="51"/>
      <c r="T416" s="51"/>
    </row>
    <row r="417">
      <c r="A417" s="51"/>
      <c r="B417" s="51"/>
      <c r="C417" s="56"/>
      <c r="D417" s="51"/>
      <c r="E417" s="51"/>
      <c r="F417" s="51"/>
      <c r="G417" s="51" t="str">
        <f>IFERROR(__xludf.DUMMYFUNCTION("""COMPUTED_VALUE"""),"#VALUE!")</f>
        <v>#VALUE!</v>
      </c>
      <c r="H417" s="51" t="str">
        <f>IFERROR(__xludf.DUMMYFUNCTION("""COMPUTED_VALUE"""),"")</f>
        <v/>
      </c>
      <c r="I417" s="51" t="str">
        <f>IFERROR(__xludf.DUMMYFUNCTION("""COMPUTED_VALUE"""),"#VALUE!")</f>
        <v>#VALUE!</v>
      </c>
      <c r="J417" s="51" t="str">
        <f>IFERROR(__xludf.DUMMYFUNCTION("""COMPUTED_VALUE"""),"")</f>
        <v/>
      </c>
      <c r="K417" s="51"/>
      <c r="L417" s="51" t="s">
        <v>257</v>
      </c>
      <c r="M417" s="51"/>
      <c r="N417" s="51"/>
      <c r="O417" s="51"/>
      <c r="P417" s="51"/>
      <c r="Q417" s="51"/>
      <c r="R417" s="51"/>
      <c r="S417" s="51"/>
      <c r="T417" s="51"/>
    </row>
    <row r="418">
      <c r="A418" s="51"/>
      <c r="B418" s="51"/>
      <c r="C418" s="56"/>
      <c r="D418" s="51"/>
      <c r="E418" s="51"/>
      <c r="F418" s="51"/>
      <c r="G418" s="51" t="str">
        <f>IFERROR(__xludf.DUMMYFUNCTION("""COMPUTED_VALUE"""),"#VALUE!")</f>
        <v>#VALUE!</v>
      </c>
      <c r="H418" s="51" t="str">
        <f>IFERROR(__xludf.DUMMYFUNCTION("""COMPUTED_VALUE"""),"")</f>
        <v/>
      </c>
      <c r="I418" s="51" t="str">
        <f>IFERROR(__xludf.DUMMYFUNCTION("""COMPUTED_VALUE"""),"#VALUE!")</f>
        <v>#VALUE!</v>
      </c>
      <c r="J418" s="51" t="str">
        <f>IFERROR(__xludf.DUMMYFUNCTION("""COMPUTED_VALUE"""),"")</f>
        <v/>
      </c>
      <c r="K418" s="51"/>
      <c r="L418" s="51" t="s">
        <v>257</v>
      </c>
      <c r="M418" s="51"/>
      <c r="N418" s="51"/>
      <c r="O418" s="51"/>
      <c r="P418" s="51"/>
      <c r="Q418" s="51"/>
      <c r="R418" s="51"/>
      <c r="S418" s="51"/>
      <c r="T418" s="51"/>
    </row>
    <row r="419">
      <c r="A419" s="51"/>
      <c r="B419" s="51"/>
      <c r="C419" s="56"/>
      <c r="D419" s="51"/>
      <c r="E419" s="51"/>
      <c r="F419" s="51"/>
      <c r="G419" s="51" t="str">
        <f>IFERROR(__xludf.DUMMYFUNCTION("""COMPUTED_VALUE"""),"#VALUE!")</f>
        <v>#VALUE!</v>
      </c>
      <c r="H419" s="51" t="str">
        <f>IFERROR(__xludf.DUMMYFUNCTION("""COMPUTED_VALUE"""),"")</f>
        <v/>
      </c>
      <c r="I419" s="51" t="str">
        <f>IFERROR(__xludf.DUMMYFUNCTION("""COMPUTED_VALUE"""),"#VALUE!")</f>
        <v>#VALUE!</v>
      </c>
      <c r="J419" s="51" t="str">
        <f>IFERROR(__xludf.DUMMYFUNCTION("""COMPUTED_VALUE"""),"")</f>
        <v/>
      </c>
      <c r="K419" s="51"/>
      <c r="L419" s="51" t="s">
        <v>257</v>
      </c>
      <c r="M419" s="51"/>
      <c r="N419" s="51"/>
      <c r="O419" s="51"/>
      <c r="P419" s="51"/>
      <c r="Q419" s="51"/>
      <c r="R419" s="51"/>
      <c r="S419" s="51"/>
      <c r="T419" s="51"/>
    </row>
    <row r="420">
      <c r="A420" s="51"/>
      <c r="B420" s="51"/>
      <c r="C420" s="56"/>
      <c r="D420" s="51"/>
      <c r="E420" s="51"/>
      <c r="F420" s="51"/>
      <c r="G420" s="51" t="str">
        <f>IFERROR(__xludf.DUMMYFUNCTION("""COMPUTED_VALUE"""),"#VALUE!")</f>
        <v>#VALUE!</v>
      </c>
      <c r="H420" s="51" t="str">
        <f>IFERROR(__xludf.DUMMYFUNCTION("""COMPUTED_VALUE"""),"")</f>
        <v/>
      </c>
      <c r="I420" s="51" t="str">
        <f>IFERROR(__xludf.DUMMYFUNCTION("""COMPUTED_VALUE"""),"#VALUE!")</f>
        <v>#VALUE!</v>
      </c>
      <c r="J420" s="51" t="str">
        <f>IFERROR(__xludf.DUMMYFUNCTION("""COMPUTED_VALUE"""),"")</f>
        <v/>
      </c>
      <c r="K420" s="51"/>
      <c r="L420" s="51" t="s">
        <v>257</v>
      </c>
      <c r="M420" s="51"/>
      <c r="N420" s="51"/>
      <c r="O420" s="51"/>
      <c r="P420" s="51"/>
      <c r="Q420" s="51"/>
      <c r="R420" s="51"/>
      <c r="S420" s="51"/>
      <c r="T420" s="51"/>
    </row>
    <row r="421">
      <c r="A421" s="51"/>
      <c r="B421" s="51"/>
      <c r="C421" s="56"/>
      <c r="D421" s="51"/>
      <c r="E421" s="51"/>
      <c r="F421" s="51"/>
      <c r="G421" s="51" t="str">
        <f>IFERROR(__xludf.DUMMYFUNCTION("""COMPUTED_VALUE"""),"#VALUE!")</f>
        <v>#VALUE!</v>
      </c>
      <c r="H421" s="51" t="str">
        <f>IFERROR(__xludf.DUMMYFUNCTION("""COMPUTED_VALUE"""),"")</f>
        <v/>
      </c>
      <c r="I421" s="51" t="str">
        <f>IFERROR(__xludf.DUMMYFUNCTION("""COMPUTED_VALUE"""),"#VALUE!")</f>
        <v>#VALUE!</v>
      </c>
      <c r="J421" s="51" t="str">
        <f>IFERROR(__xludf.DUMMYFUNCTION("""COMPUTED_VALUE"""),"")</f>
        <v/>
      </c>
      <c r="K421" s="51"/>
      <c r="L421" s="51" t="s">
        <v>257</v>
      </c>
      <c r="M421" s="51"/>
      <c r="N421" s="51"/>
      <c r="O421" s="51"/>
      <c r="P421" s="51"/>
      <c r="Q421" s="51"/>
      <c r="R421" s="51"/>
      <c r="S421" s="51"/>
      <c r="T421" s="51"/>
    </row>
    <row r="422">
      <c r="A422" s="51"/>
      <c r="B422" s="51"/>
      <c r="C422" s="56"/>
      <c r="D422" s="51"/>
      <c r="E422" s="51"/>
      <c r="F422" s="51"/>
      <c r="G422" s="51" t="str">
        <f>IFERROR(__xludf.DUMMYFUNCTION("""COMPUTED_VALUE"""),"#VALUE!")</f>
        <v>#VALUE!</v>
      </c>
      <c r="H422" s="51" t="str">
        <f>IFERROR(__xludf.DUMMYFUNCTION("""COMPUTED_VALUE"""),"")</f>
        <v/>
      </c>
      <c r="I422" s="51" t="str">
        <f>IFERROR(__xludf.DUMMYFUNCTION("""COMPUTED_VALUE"""),"#VALUE!")</f>
        <v>#VALUE!</v>
      </c>
      <c r="J422" s="51" t="str">
        <f>IFERROR(__xludf.DUMMYFUNCTION("""COMPUTED_VALUE"""),"")</f>
        <v/>
      </c>
      <c r="K422" s="51"/>
      <c r="L422" s="51" t="s">
        <v>257</v>
      </c>
      <c r="M422" s="51"/>
      <c r="N422" s="51"/>
      <c r="O422" s="51"/>
      <c r="P422" s="51"/>
      <c r="Q422" s="51"/>
      <c r="R422" s="51"/>
      <c r="S422" s="51"/>
      <c r="T422" s="51"/>
    </row>
    <row r="423">
      <c r="A423" s="51"/>
      <c r="B423" s="51"/>
      <c r="C423" s="56"/>
      <c r="D423" s="51"/>
      <c r="E423" s="51"/>
      <c r="F423" s="51"/>
      <c r="G423" s="51" t="str">
        <f>IFERROR(__xludf.DUMMYFUNCTION("""COMPUTED_VALUE"""),"#VALUE!")</f>
        <v>#VALUE!</v>
      </c>
      <c r="H423" s="51" t="str">
        <f>IFERROR(__xludf.DUMMYFUNCTION("""COMPUTED_VALUE"""),"")</f>
        <v/>
      </c>
      <c r="I423" s="51" t="str">
        <f>IFERROR(__xludf.DUMMYFUNCTION("""COMPUTED_VALUE"""),"#VALUE!")</f>
        <v>#VALUE!</v>
      </c>
      <c r="J423" s="51" t="str">
        <f>IFERROR(__xludf.DUMMYFUNCTION("""COMPUTED_VALUE"""),"")</f>
        <v/>
      </c>
      <c r="K423" s="51"/>
      <c r="L423" s="51" t="s">
        <v>257</v>
      </c>
      <c r="M423" s="51"/>
      <c r="N423" s="51"/>
      <c r="O423" s="51"/>
      <c r="P423" s="51"/>
      <c r="Q423" s="51"/>
      <c r="R423" s="51"/>
      <c r="S423" s="51"/>
      <c r="T423" s="51"/>
    </row>
    <row r="424">
      <c r="A424" s="51"/>
      <c r="B424" s="51"/>
      <c r="C424" s="56"/>
      <c r="D424" s="51"/>
      <c r="E424" s="51"/>
      <c r="F424" s="51"/>
      <c r="G424" s="51" t="str">
        <f>IFERROR(__xludf.DUMMYFUNCTION("""COMPUTED_VALUE"""),"#VALUE!")</f>
        <v>#VALUE!</v>
      </c>
      <c r="H424" s="51" t="str">
        <f>IFERROR(__xludf.DUMMYFUNCTION("""COMPUTED_VALUE"""),"")</f>
        <v/>
      </c>
      <c r="I424" s="51" t="str">
        <f>IFERROR(__xludf.DUMMYFUNCTION("""COMPUTED_VALUE"""),"#VALUE!")</f>
        <v>#VALUE!</v>
      </c>
      <c r="J424" s="51" t="str">
        <f>IFERROR(__xludf.DUMMYFUNCTION("""COMPUTED_VALUE"""),"")</f>
        <v/>
      </c>
      <c r="K424" s="51"/>
      <c r="L424" s="51" t="s">
        <v>257</v>
      </c>
      <c r="M424" s="51"/>
      <c r="N424" s="51"/>
      <c r="O424" s="51"/>
      <c r="P424" s="51"/>
      <c r="Q424" s="51"/>
      <c r="R424" s="51"/>
      <c r="S424" s="51"/>
      <c r="T424" s="51"/>
    </row>
    <row r="425">
      <c r="A425" s="51"/>
      <c r="B425" s="51"/>
      <c r="C425" s="56"/>
      <c r="D425" s="51"/>
      <c r="E425" s="51"/>
      <c r="F425" s="51"/>
      <c r="G425" s="51" t="str">
        <f>IFERROR(__xludf.DUMMYFUNCTION("""COMPUTED_VALUE"""),"#VALUE!")</f>
        <v>#VALUE!</v>
      </c>
      <c r="H425" s="51" t="str">
        <f>IFERROR(__xludf.DUMMYFUNCTION("""COMPUTED_VALUE"""),"")</f>
        <v/>
      </c>
      <c r="I425" s="51" t="str">
        <f>IFERROR(__xludf.DUMMYFUNCTION("""COMPUTED_VALUE"""),"#VALUE!")</f>
        <v>#VALUE!</v>
      </c>
      <c r="J425" s="51" t="str">
        <f>IFERROR(__xludf.DUMMYFUNCTION("""COMPUTED_VALUE"""),"")</f>
        <v/>
      </c>
      <c r="K425" s="51"/>
      <c r="L425" s="51" t="s">
        <v>257</v>
      </c>
      <c r="M425" s="51"/>
      <c r="N425" s="51"/>
      <c r="O425" s="51"/>
      <c r="P425" s="51"/>
      <c r="Q425" s="51"/>
      <c r="R425" s="51"/>
      <c r="S425" s="51"/>
      <c r="T425" s="51"/>
    </row>
    <row r="426">
      <c r="A426" s="51"/>
      <c r="B426" s="51"/>
      <c r="C426" s="56"/>
      <c r="D426" s="51"/>
      <c r="E426" s="51"/>
      <c r="F426" s="51"/>
      <c r="G426" s="51" t="str">
        <f>IFERROR(__xludf.DUMMYFUNCTION("""COMPUTED_VALUE"""),"#VALUE!")</f>
        <v>#VALUE!</v>
      </c>
      <c r="H426" s="51" t="str">
        <f>IFERROR(__xludf.DUMMYFUNCTION("""COMPUTED_VALUE"""),"")</f>
        <v/>
      </c>
      <c r="I426" s="51" t="str">
        <f>IFERROR(__xludf.DUMMYFUNCTION("""COMPUTED_VALUE"""),"#VALUE!")</f>
        <v>#VALUE!</v>
      </c>
      <c r="J426" s="51" t="str">
        <f>IFERROR(__xludf.DUMMYFUNCTION("""COMPUTED_VALUE"""),"")</f>
        <v/>
      </c>
      <c r="K426" s="51"/>
      <c r="L426" s="51" t="s">
        <v>257</v>
      </c>
      <c r="M426" s="51"/>
      <c r="N426" s="51"/>
      <c r="O426" s="51"/>
      <c r="P426" s="51"/>
      <c r="Q426" s="51"/>
      <c r="R426" s="51"/>
      <c r="S426" s="51"/>
      <c r="T426" s="51"/>
    </row>
    <row r="427">
      <c r="A427" s="51"/>
      <c r="B427" s="51"/>
      <c r="C427" s="56"/>
      <c r="D427" s="51"/>
      <c r="E427" s="51"/>
      <c r="F427" s="51"/>
      <c r="G427" s="51" t="str">
        <f>IFERROR(__xludf.DUMMYFUNCTION("""COMPUTED_VALUE"""),"#VALUE!")</f>
        <v>#VALUE!</v>
      </c>
      <c r="H427" s="51" t="str">
        <f>IFERROR(__xludf.DUMMYFUNCTION("""COMPUTED_VALUE"""),"")</f>
        <v/>
      </c>
      <c r="I427" s="51" t="str">
        <f>IFERROR(__xludf.DUMMYFUNCTION("""COMPUTED_VALUE"""),"#VALUE!")</f>
        <v>#VALUE!</v>
      </c>
      <c r="J427" s="51" t="str">
        <f>IFERROR(__xludf.DUMMYFUNCTION("""COMPUTED_VALUE"""),"")</f>
        <v/>
      </c>
      <c r="K427" s="51"/>
      <c r="L427" s="51" t="s">
        <v>257</v>
      </c>
      <c r="M427" s="51"/>
      <c r="N427" s="51"/>
      <c r="O427" s="51"/>
      <c r="P427" s="51"/>
      <c r="Q427" s="51"/>
      <c r="R427" s="51"/>
      <c r="S427" s="51"/>
      <c r="T427" s="51"/>
    </row>
    <row r="428">
      <c r="A428" s="51"/>
      <c r="B428" s="51"/>
      <c r="C428" s="56"/>
      <c r="D428" s="51"/>
      <c r="E428" s="51"/>
      <c r="F428" s="51"/>
      <c r="G428" s="51" t="str">
        <f>IFERROR(__xludf.DUMMYFUNCTION("""COMPUTED_VALUE"""),"#VALUE!")</f>
        <v>#VALUE!</v>
      </c>
      <c r="H428" s="51" t="str">
        <f>IFERROR(__xludf.DUMMYFUNCTION("""COMPUTED_VALUE"""),"")</f>
        <v/>
      </c>
      <c r="I428" s="51" t="str">
        <f>IFERROR(__xludf.DUMMYFUNCTION("""COMPUTED_VALUE"""),"#VALUE!")</f>
        <v>#VALUE!</v>
      </c>
      <c r="J428" s="51" t="str">
        <f>IFERROR(__xludf.DUMMYFUNCTION("""COMPUTED_VALUE"""),"")</f>
        <v/>
      </c>
      <c r="K428" s="51"/>
      <c r="L428" s="51" t="s">
        <v>257</v>
      </c>
      <c r="M428" s="51"/>
      <c r="N428" s="51"/>
      <c r="O428" s="51"/>
      <c r="P428" s="51"/>
      <c r="Q428" s="51"/>
      <c r="R428" s="51"/>
      <c r="S428" s="51"/>
      <c r="T428" s="51"/>
    </row>
    <row r="429">
      <c r="A429" s="51"/>
      <c r="B429" s="51"/>
      <c r="C429" s="56"/>
      <c r="D429" s="51"/>
      <c r="E429" s="51"/>
      <c r="F429" s="51"/>
      <c r="G429" s="51" t="str">
        <f>IFERROR(__xludf.DUMMYFUNCTION("""COMPUTED_VALUE"""),"#VALUE!")</f>
        <v>#VALUE!</v>
      </c>
      <c r="H429" s="51" t="str">
        <f>IFERROR(__xludf.DUMMYFUNCTION("""COMPUTED_VALUE"""),"")</f>
        <v/>
      </c>
      <c r="I429" s="51" t="str">
        <f>IFERROR(__xludf.DUMMYFUNCTION("""COMPUTED_VALUE"""),"#VALUE!")</f>
        <v>#VALUE!</v>
      </c>
      <c r="J429" s="51" t="str">
        <f>IFERROR(__xludf.DUMMYFUNCTION("""COMPUTED_VALUE"""),"")</f>
        <v/>
      </c>
      <c r="K429" s="51"/>
      <c r="L429" s="51" t="s">
        <v>257</v>
      </c>
      <c r="M429" s="51"/>
      <c r="N429" s="51"/>
      <c r="O429" s="51"/>
      <c r="P429" s="51"/>
      <c r="Q429" s="51"/>
      <c r="R429" s="51"/>
      <c r="S429" s="51"/>
      <c r="T429" s="51"/>
    </row>
    <row r="430">
      <c r="A430" s="51"/>
      <c r="B430" s="51"/>
      <c r="C430" s="56"/>
      <c r="D430" s="51"/>
      <c r="E430" s="51"/>
      <c r="F430" s="51"/>
      <c r="G430" s="51" t="str">
        <f>IFERROR(__xludf.DUMMYFUNCTION("""COMPUTED_VALUE"""),"#VALUE!")</f>
        <v>#VALUE!</v>
      </c>
      <c r="H430" s="51" t="str">
        <f>IFERROR(__xludf.DUMMYFUNCTION("""COMPUTED_VALUE"""),"")</f>
        <v/>
      </c>
      <c r="I430" s="51" t="str">
        <f>IFERROR(__xludf.DUMMYFUNCTION("""COMPUTED_VALUE"""),"#VALUE!")</f>
        <v>#VALUE!</v>
      </c>
      <c r="J430" s="51" t="str">
        <f>IFERROR(__xludf.DUMMYFUNCTION("""COMPUTED_VALUE"""),"")</f>
        <v/>
      </c>
      <c r="K430" s="51"/>
      <c r="L430" s="51" t="s">
        <v>257</v>
      </c>
      <c r="M430" s="51"/>
      <c r="N430" s="51"/>
      <c r="O430" s="51"/>
      <c r="P430" s="51"/>
      <c r="Q430" s="51"/>
      <c r="R430" s="51"/>
      <c r="S430" s="51"/>
      <c r="T430" s="51"/>
    </row>
    <row r="431">
      <c r="A431" s="51"/>
      <c r="B431" s="51"/>
      <c r="C431" s="56"/>
      <c r="D431" s="51"/>
      <c r="E431" s="51"/>
      <c r="F431" s="51"/>
      <c r="G431" s="51" t="str">
        <f>IFERROR(__xludf.DUMMYFUNCTION("""COMPUTED_VALUE"""),"#VALUE!")</f>
        <v>#VALUE!</v>
      </c>
      <c r="H431" s="51" t="str">
        <f>IFERROR(__xludf.DUMMYFUNCTION("""COMPUTED_VALUE"""),"")</f>
        <v/>
      </c>
      <c r="I431" s="51" t="str">
        <f>IFERROR(__xludf.DUMMYFUNCTION("""COMPUTED_VALUE"""),"#VALUE!")</f>
        <v>#VALUE!</v>
      </c>
      <c r="J431" s="51" t="str">
        <f>IFERROR(__xludf.DUMMYFUNCTION("""COMPUTED_VALUE"""),"")</f>
        <v/>
      </c>
      <c r="K431" s="51"/>
      <c r="L431" s="51" t="s">
        <v>257</v>
      </c>
      <c r="M431" s="51"/>
      <c r="N431" s="51"/>
      <c r="O431" s="51"/>
      <c r="P431" s="51"/>
      <c r="Q431" s="51"/>
      <c r="R431" s="51"/>
      <c r="S431" s="51"/>
      <c r="T431" s="51"/>
    </row>
    <row r="432">
      <c r="A432" s="51"/>
      <c r="B432" s="51"/>
      <c r="C432" s="56"/>
      <c r="D432" s="51"/>
      <c r="E432" s="51"/>
      <c r="F432" s="51"/>
      <c r="G432" s="51" t="str">
        <f>IFERROR(__xludf.DUMMYFUNCTION("""COMPUTED_VALUE"""),"#VALUE!")</f>
        <v>#VALUE!</v>
      </c>
      <c r="H432" s="51" t="str">
        <f>IFERROR(__xludf.DUMMYFUNCTION("""COMPUTED_VALUE"""),"")</f>
        <v/>
      </c>
      <c r="I432" s="51" t="str">
        <f>IFERROR(__xludf.DUMMYFUNCTION("""COMPUTED_VALUE"""),"#VALUE!")</f>
        <v>#VALUE!</v>
      </c>
      <c r="J432" s="51" t="str">
        <f>IFERROR(__xludf.DUMMYFUNCTION("""COMPUTED_VALUE"""),"")</f>
        <v/>
      </c>
      <c r="K432" s="51"/>
      <c r="L432" s="51" t="s">
        <v>257</v>
      </c>
      <c r="M432" s="51"/>
      <c r="N432" s="51"/>
      <c r="O432" s="51"/>
      <c r="P432" s="51"/>
      <c r="Q432" s="51"/>
      <c r="R432" s="51"/>
      <c r="S432" s="51"/>
      <c r="T432" s="51"/>
    </row>
    <row r="433">
      <c r="A433" s="51"/>
      <c r="B433" s="51"/>
      <c r="C433" s="56"/>
      <c r="D433" s="51"/>
      <c r="E433" s="51"/>
      <c r="F433" s="51"/>
      <c r="G433" s="51" t="str">
        <f>IFERROR(__xludf.DUMMYFUNCTION("""COMPUTED_VALUE"""),"#VALUE!")</f>
        <v>#VALUE!</v>
      </c>
      <c r="H433" s="51" t="str">
        <f>IFERROR(__xludf.DUMMYFUNCTION("""COMPUTED_VALUE"""),"")</f>
        <v/>
      </c>
      <c r="I433" s="51" t="str">
        <f>IFERROR(__xludf.DUMMYFUNCTION("""COMPUTED_VALUE"""),"#VALUE!")</f>
        <v>#VALUE!</v>
      </c>
      <c r="J433" s="51" t="str">
        <f>IFERROR(__xludf.DUMMYFUNCTION("""COMPUTED_VALUE"""),"")</f>
        <v/>
      </c>
      <c r="K433" s="51"/>
      <c r="L433" s="51" t="s">
        <v>257</v>
      </c>
      <c r="M433" s="51"/>
      <c r="N433" s="51"/>
      <c r="O433" s="51"/>
      <c r="P433" s="51"/>
      <c r="Q433" s="51"/>
      <c r="R433" s="51"/>
      <c r="S433" s="51"/>
      <c r="T433" s="51"/>
    </row>
    <row r="434">
      <c r="A434" s="51"/>
      <c r="B434" s="51"/>
      <c r="C434" s="56"/>
      <c r="D434" s="51"/>
      <c r="E434" s="51"/>
      <c r="F434" s="51"/>
      <c r="G434" s="51" t="str">
        <f>IFERROR(__xludf.DUMMYFUNCTION("""COMPUTED_VALUE"""),"#VALUE!")</f>
        <v>#VALUE!</v>
      </c>
      <c r="H434" s="51" t="str">
        <f>IFERROR(__xludf.DUMMYFUNCTION("""COMPUTED_VALUE"""),"")</f>
        <v/>
      </c>
      <c r="I434" s="51" t="str">
        <f>IFERROR(__xludf.DUMMYFUNCTION("""COMPUTED_VALUE"""),"#VALUE!")</f>
        <v>#VALUE!</v>
      </c>
      <c r="J434" s="51" t="str">
        <f>IFERROR(__xludf.DUMMYFUNCTION("""COMPUTED_VALUE"""),"")</f>
        <v/>
      </c>
      <c r="K434" s="51"/>
      <c r="L434" s="51" t="s">
        <v>257</v>
      </c>
      <c r="M434" s="51"/>
      <c r="N434" s="51"/>
      <c r="O434" s="51"/>
      <c r="P434" s="51"/>
      <c r="Q434" s="51"/>
      <c r="R434" s="51"/>
      <c r="S434" s="51"/>
      <c r="T434" s="51"/>
    </row>
    <row r="435">
      <c r="A435" s="51"/>
      <c r="B435" s="51"/>
      <c r="C435" s="56"/>
      <c r="D435" s="51"/>
      <c r="E435" s="51"/>
      <c r="F435" s="51"/>
      <c r="G435" s="51" t="str">
        <f>IFERROR(__xludf.DUMMYFUNCTION("""COMPUTED_VALUE"""),"#VALUE!")</f>
        <v>#VALUE!</v>
      </c>
      <c r="H435" s="51" t="str">
        <f>IFERROR(__xludf.DUMMYFUNCTION("""COMPUTED_VALUE"""),"")</f>
        <v/>
      </c>
      <c r="I435" s="51" t="str">
        <f>IFERROR(__xludf.DUMMYFUNCTION("""COMPUTED_VALUE"""),"#VALUE!")</f>
        <v>#VALUE!</v>
      </c>
      <c r="J435" s="51" t="str">
        <f>IFERROR(__xludf.DUMMYFUNCTION("""COMPUTED_VALUE"""),"")</f>
        <v/>
      </c>
      <c r="K435" s="51"/>
      <c r="L435" s="51" t="s">
        <v>257</v>
      </c>
      <c r="M435" s="51"/>
      <c r="N435" s="51"/>
      <c r="O435" s="51"/>
      <c r="P435" s="51"/>
      <c r="Q435" s="51"/>
      <c r="R435" s="51"/>
      <c r="S435" s="51"/>
      <c r="T435" s="51"/>
    </row>
    <row r="436">
      <c r="A436" s="51"/>
      <c r="B436" s="51"/>
      <c r="C436" s="56"/>
      <c r="D436" s="51"/>
      <c r="E436" s="51"/>
      <c r="F436" s="51"/>
      <c r="G436" s="51" t="str">
        <f>IFERROR(__xludf.DUMMYFUNCTION("""COMPUTED_VALUE"""),"#VALUE!")</f>
        <v>#VALUE!</v>
      </c>
      <c r="H436" s="51" t="str">
        <f>IFERROR(__xludf.DUMMYFUNCTION("""COMPUTED_VALUE"""),"")</f>
        <v/>
      </c>
      <c r="I436" s="51" t="str">
        <f>IFERROR(__xludf.DUMMYFUNCTION("""COMPUTED_VALUE"""),"#VALUE!")</f>
        <v>#VALUE!</v>
      </c>
      <c r="J436" s="51" t="str">
        <f>IFERROR(__xludf.DUMMYFUNCTION("""COMPUTED_VALUE"""),"")</f>
        <v/>
      </c>
      <c r="K436" s="51"/>
      <c r="L436" s="51" t="s">
        <v>257</v>
      </c>
      <c r="M436" s="51"/>
      <c r="N436" s="51"/>
      <c r="O436" s="51"/>
      <c r="P436" s="51"/>
      <c r="Q436" s="51"/>
      <c r="R436" s="51"/>
      <c r="S436" s="51"/>
      <c r="T436" s="51"/>
    </row>
    <row r="437">
      <c r="A437" s="51"/>
      <c r="B437" s="51"/>
      <c r="C437" s="56"/>
      <c r="D437" s="51"/>
      <c r="E437" s="51"/>
      <c r="F437" s="51"/>
      <c r="G437" s="51" t="str">
        <f>IFERROR(__xludf.DUMMYFUNCTION("""COMPUTED_VALUE"""),"#VALUE!")</f>
        <v>#VALUE!</v>
      </c>
      <c r="H437" s="51" t="str">
        <f>IFERROR(__xludf.DUMMYFUNCTION("""COMPUTED_VALUE"""),"")</f>
        <v/>
      </c>
      <c r="I437" s="51" t="str">
        <f>IFERROR(__xludf.DUMMYFUNCTION("""COMPUTED_VALUE"""),"#VALUE!")</f>
        <v>#VALUE!</v>
      </c>
      <c r="J437" s="51" t="str">
        <f>IFERROR(__xludf.DUMMYFUNCTION("""COMPUTED_VALUE"""),"")</f>
        <v/>
      </c>
      <c r="K437" s="51"/>
      <c r="L437" s="51" t="s">
        <v>257</v>
      </c>
      <c r="M437" s="51"/>
      <c r="N437" s="51"/>
      <c r="O437" s="51"/>
      <c r="P437" s="51"/>
      <c r="Q437" s="51"/>
      <c r="R437" s="51"/>
      <c r="S437" s="51"/>
      <c r="T437" s="51"/>
    </row>
    <row r="438">
      <c r="A438" s="51"/>
      <c r="B438" s="51"/>
      <c r="C438" s="56"/>
      <c r="D438" s="51"/>
      <c r="E438" s="51"/>
      <c r="F438" s="51"/>
      <c r="G438" s="51" t="str">
        <f>IFERROR(__xludf.DUMMYFUNCTION("""COMPUTED_VALUE"""),"#VALUE!")</f>
        <v>#VALUE!</v>
      </c>
      <c r="H438" s="51" t="str">
        <f>IFERROR(__xludf.DUMMYFUNCTION("""COMPUTED_VALUE"""),"")</f>
        <v/>
      </c>
      <c r="I438" s="51" t="str">
        <f>IFERROR(__xludf.DUMMYFUNCTION("""COMPUTED_VALUE"""),"#VALUE!")</f>
        <v>#VALUE!</v>
      </c>
      <c r="J438" s="51" t="str">
        <f>IFERROR(__xludf.DUMMYFUNCTION("""COMPUTED_VALUE"""),"")</f>
        <v/>
      </c>
      <c r="K438" s="51"/>
      <c r="L438" s="51" t="s">
        <v>257</v>
      </c>
      <c r="M438" s="51"/>
      <c r="N438" s="51"/>
      <c r="O438" s="51"/>
      <c r="P438" s="51"/>
      <c r="Q438" s="51"/>
      <c r="R438" s="51"/>
      <c r="S438" s="51"/>
      <c r="T438" s="51"/>
    </row>
    <row r="439">
      <c r="A439" s="51"/>
      <c r="B439" s="51"/>
      <c r="C439" s="56"/>
      <c r="D439" s="51"/>
      <c r="E439" s="51"/>
      <c r="F439" s="51"/>
      <c r="G439" s="51" t="str">
        <f>IFERROR(__xludf.DUMMYFUNCTION("""COMPUTED_VALUE"""),"#VALUE!")</f>
        <v>#VALUE!</v>
      </c>
      <c r="H439" s="51" t="str">
        <f>IFERROR(__xludf.DUMMYFUNCTION("""COMPUTED_VALUE"""),"")</f>
        <v/>
      </c>
      <c r="I439" s="51" t="str">
        <f>IFERROR(__xludf.DUMMYFUNCTION("""COMPUTED_VALUE"""),"#VALUE!")</f>
        <v>#VALUE!</v>
      </c>
      <c r="J439" s="51" t="str">
        <f>IFERROR(__xludf.DUMMYFUNCTION("""COMPUTED_VALUE"""),"")</f>
        <v/>
      </c>
      <c r="K439" s="51"/>
      <c r="L439" s="51" t="s">
        <v>257</v>
      </c>
      <c r="M439" s="51"/>
      <c r="N439" s="51"/>
      <c r="O439" s="51"/>
      <c r="P439" s="51"/>
      <c r="Q439" s="51"/>
      <c r="R439" s="51"/>
      <c r="S439" s="51"/>
      <c r="T439" s="51"/>
    </row>
    <row r="440">
      <c r="A440" s="51"/>
      <c r="B440" s="51"/>
      <c r="C440" s="56"/>
      <c r="D440" s="51"/>
      <c r="E440" s="51"/>
      <c r="F440" s="51"/>
      <c r="G440" s="51" t="str">
        <f>IFERROR(__xludf.DUMMYFUNCTION("""COMPUTED_VALUE"""),"#VALUE!")</f>
        <v>#VALUE!</v>
      </c>
      <c r="H440" s="51" t="str">
        <f>IFERROR(__xludf.DUMMYFUNCTION("""COMPUTED_VALUE"""),"")</f>
        <v/>
      </c>
      <c r="I440" s="51" t="str">
        <f>IFERROR(__xludf.DUMMYFUNCTION("""COMPUTED_VALUE"""),"#VALUE!")</f>
        <v>#VALUE!</v>
      </c>
      <c r="J440" s="51" t="str">
        <f>IFERROR(__xludf.DUMMYFUNCTION("""COMPUTED_VALUE"""),"")</f>
        <v/>
      </c>
      <c r="K440" s="51"/>
      <c r="L440" s="51" t="s">
        <v>257</v>
      </c>
      <c r="M440" s="51"/>
      <c r="N440" s="51"/>
      <c r="O440" s="51"/>
      <c r="P440" s="51"/>
      <c r="Q440" s="51"/>
      <c r="R440" s="51"/>
      <c r="S440" s="51"/>
      <c r="T440" s="51"/>
    </row>
    <row r="441">
      <c r="A441" s="51"/>
      <c r="B441" s="51"/>
      <c r="C441" s="56"/>
      <c r="D441" s="51"/>
      <c r="E441" s="51"/>
      <c r="F441" s="51"/>
      <c r="G441" s="51" t="str">
        <f>IFERROR(__xludf.DUMMYFUNCTION("""COMPUTED_VALUE"""),"#VALUE!")</f>
        <v>#VALUE!</v>
      </c>
      <c r="H441" s="51" t="str">
        <f>IFERROR(__xludf.DUMMYFUNCTION("""COMPUTED_VALUE"""),"")</f>
        <v/>
      </c>
      <c r="I441" s="51" t="str">
        <f>IFERROR(__xludf.DUMMYFUNCTION("""COMPUTED_VALUE"""),"#VALUE!")</f>
        <v>#VALUE!</v>
      </c>
      <c r="J441" s="51" t="str">
        <f>IFERROR(__xludf.DUMMYFUNCTION("""COMPUTED_VALUE"""),"")</f>
        <v/>
      </c>
      <c r="K441" s="51"/>
      <c r="L441" s="51" t="s">
        <v>257</v>
      </c>
      <c r="M441" s="51"/>
      <c r="N441" s="51"/>
      <c r="O441" s="51"/>
      <c r="P441" s="51"/>
      <c r="Q441" s="51"/>
      <c r="R441" s="51"/>
      <c r="S441" s="51"/>
      <c r="T441" s="51"/>
    </row>
    <row r="442">
      <c r="A442" s="51"/>
      <c r="B442" s="51"/>
      <c r="C442" s="56"/>
      <c r="D442" s="51"/>
      <c r="E442" s="51"/>
      <c r="F442" s="51"/>
      <c r="G442" s="51" t="str">
        <f>IFERROR(__xludf.DUMMYFUNCTION("""COMPUTED_VALUE"""),"#VALUE!")</f>
        <v>#VALUE!</v>
      </c>
      <c r="H442" s="51" t="str">
        <f>IFERROR(__xludf.DUMMYFUNCTION("""COMPUTED_VALUE"""),"")</f>
        <v/>
      </c>
      <c r="I442" s="51" t="str">
        <f>IFERROR(__xludf.DUMMYFUNCTION("""COMPUTED_VALUE"""),"#VALUE!")</f>
        <v>#VALUE!</v>
      </c>
      <c r="J442" s="51" t="str">
        <f>IFERROR(__xludf.DUMMYFUNCTION("""COMPUTED_VALUE"""),"")</f>
        <v/>
      </c>
      <c r="K442" s="51"/>
      <c r="L442" s="51" t="s">
        <v>257</v>
      </c>
      <c r="M442" s="51"/>
      <c r="N442" s="51"/>
      <c r="O442" s="51"/>
      <c r="P442" s="51"/>
      <c r="Q442" s="51"/>
      <c r="R442" s="51"/>
      <c r="S442" s="51"/>
      <c r="T442" s="51"/>
    </row>
    <row r="443">
      <c r="A443" s="51"/>
      <c r="B443" s="51"/>
      <c r="C443" s="56"/>
      <c r="D443" s="51"/>
      <c r="E443" s="51"/>
      <c r="F443" s="51"/>
      <c r="G443" s="51" t="str">
        <f>IFERROR(__xludf.DUMMYFUNCTION("""COMPUTED_VALUE"""),"#VALUE!")</f>
        <v>#VALUE!</v>
      </c>
      <c r="H443" s="51" t="str">
        <f>IFERROR(__xludf.DUMMYFUNCTION("""COMPUTED_VALUE"""),"")</f>
        <v/>
      </c>
      <c r="I443" s="51" t="str">
        <f>IFERROR(__xludf.DUMMYFUNCTION("""COMPUTED_VALUE"""),"#VALUE!")</f>
        <v>#VALUE!</v>
      </c>
      <c r="J443" s="51" t="str">
        <f>IFERROR(__xludf.DUMMYFUNCTION("""COMPUTED_VALUE"""),"")</f>
        <v/>
      </c>
      <c r="K443" s="51"/>
      <c r="L443" s="51" t="s">
        <v>257</v>
      </c>
      <c r="M443" s="51"/>
      <c r="N443" s="51"/>
      <c r="O443" s="51"/>
      <c r="P443" s="51"/>
      <c r="Q443" s="51"/>
      <c r="R443" s="51"/>
      <c r="S443" s="51"/>
      <c r="T443" s="51"/>
    </row>
    <row r="444">
      <c r="A444" s="51"/>
      <c r="B444" s="51"/>
      <c r="C444" s="56"/>
      <c r="D444" s="51"/>
      <c r="E444" s="51"/>
      <c r="F444" s="51"/>
      <c r="G444" s="51" t="str">
        <f>IFERROR(__xludf.DUMMYFUNCTION("""COMPUTED_VALUE"""),"#VALUE!")</f>
        <v>#VALUE!</v>
      </c>
      <c r="H444" s="51" t="str">
        <f>IFERROR(__xludf.DUMMYFUNCTION("""COMPUTED_VALUE"""),"")</f>
        <v/>
      </c>
      <c r="I444" s="51" t="str">
        <f>IFERROR(__xludf.DUMMYFUNCTION("""COMPUTED_VALUE"""),"#VALUE!")</f>
        <v>#VALUE!</v>
      </c>
      <c r="J444" s="51" t="str">
        <f>IFERROR(__xludf.DUMMYFUNCTION("""COMPUTED_VALUE"""),"")</f>
        <v/>
      </c>
      <c r="K444" s="51"/>
      <c r="L444" s="51" t="s">
        <v>257</v>
      </c>
      <c r="M444" s="51"/>
      <c r="N444" s="51"/>
      <c r="O444" s="51"/>
      <c r="P444" s="51"/>
      <c r="Q444" s="51"/>
      <c r="R444" s="51"/>
      <c r="S444" s="51"/>
      <c r="T444" s="51"/>
    </row>
    <row r="445">
      <c r="A445" s="51"/>
      <c r="B445" s="51"/>
      <c r="C445" s="56"/>
      <c r="D445" s="51"/>
      <c r="E445" s="51"/>
      <c r="F445" s="51"/>
      <c r="G445" s="51" t="str">
        <f>IFERROR(__xludf.DUMMYFUNCTION("""COMPUTED_VALUE"""),"#VALUE!")</f>
        <v>#VALUE!</v>
      </c>
      <c r="H445" s="51" t="str">
        <f>IFERROR(__xludf.DUMMYFUNCTION("""COMPUTED_VALUE"""),"")</f>
        <v/>
      </c>
      <c r="I445" s="51" t="str">
        <f>IFERROR(__xludf.DUMMYFUNCTION("""COMPUTED_VALUE"""),"#VALUE!")</f>
        <v>#VALUE!</v>
      </c>
      <c r="J445" s="51" t="str">
        <f>IFERROR(__xludf.DUMMYFUNCTION("""COMPUTED_VALUE"""),"")</f>
        <v/>
      </c>
      <c r="K445" s="51"/>
      <c r="L445" s="51" t="s">
        <v>257</v>
      </c>
      <c r="M445" s="51"/>
      <c r="N445" s="51"/>
      <c r="O445" s="51"/>
      <c r="P445" s="51"/>
      <c r="Q445" s="51"/>
      <c r="R445" s="51"/>
      <c r="S445" s="51"/>
      <c r="T445" s="51"/>
    </row>
    <row r="446">
      <c r="A446" s="51"/>
      <c r="B446" s="51"/>
      <c r="C446" s="56"/>
      <c r="D446" s="51"/>
      <c r="E446" s="51"/>
      <c r="F446" s="51"/>
      <c r="G446" s="51" t="str">
        <f>IFERROR(__xludf.DUMMYFUNCTION("""COMPUTED_VALUE"""),"#VALUE!")</f>
        <v>#VALUE!</v>
      </c>
      <c r="H446" s="51" t="str">
        <f>IFERROR(__xludf.DUMMYFUNCTION("""COMPUTED_VALUE"""),"")</f>
        <v/>
      </c>
      <c r="I446" s="51" t="str">
        <f>IFERROR(__xludf.DUMMYFUNCTION("""COMPUTED_VALUE"""),"#VALUE!")</f>
        <v>#VALUE!</v>
      </c>
      <c r="J446" s="51" t="str">
        <f>IFERROR(__xludf.DUMMYFUNCTION("""COMPUTED_VALUE"""),"")</f>
        <v/>
      </c>
      <c r="K446" s="51"/>
      <c r="L446" s="51" t="s">
        <v>257</v>
      </c>
      <c r="M446" s="51"/>
      <c r="N446" s="51"/>
      <c r="O446" s="51"/>
      <c r="P446" s="51"/>
      <c r="Q446" s="51"/>
      <c r="R446" s="51"/>
      <c r="S446" s="51"/>
      <c r="T446" s="51"/>
    </row>
    <row r="447">
      <c r="A447" s="51"/>
      <c r="B447" s="51"/>
      <c r="C447" s="56"/>
      <c r="D447" s="51"/>
      <c r="E447" s="51"/>
      <c r="F447" s="51"/>
      <c r="G447" s="51" t="str">
        <f>IFERROR(__xludf.DUMMYFUNCTION("""COMPUTED_VALUE"""),"#VALUE!")</f>
        <v>#VALUE!</v>
      </c>
      <c r="H447" s="51" t="str">
        <f>IFERROR(__xludf.DUMMYFUNCTION("""COMPUTED_VALUE"""),"")</f>
        <v/>
      </c>
      <c r="I447" s="51" t="str">
        <f>IFERROR(__xludf.DUMMYFUNCTION("""COMPUTED_VALUE"""),"#VALUE!")</f>
        <v>#VALUE!</v>
      </c>
      <c r="J447" s="51" t="str">
        <f>IFERROR(__xludf.DUMMYFUNCTION("""COMPUTED_VALUE"""),"")</f>
        <v/>
      </c>
      <c r="K447" s="51"/>
      <c r="L447" s="51" t="s">
        <v>257</v>
      </c>
      <c r="M447" s="51"/>
      <c r="N447" s="51"/>
      <c r="O447" s="51"/>
      <c r="P447" s="51"/>
      <c r="Q447" s="51"/>
      <c r="R447" s="51"/>
      <c r="S447" s="51"/>
      <c r="T447" s="51"/>
    </row>
    <row r="448">
      <c r="A448" s="51"/>
      <c r="B448" s="51"/>
      <c r="C448" s="56"/>
      <c r="D448" s="51"/>
      <c r="E448" s="51"/>
      <c r="F448" s="51"/>
      <c r="G448" s="51" t="str">
        <f>IFERROR(__xludf.DUMMYFUNCTION("""COMPUTED_VALUE"""),"#VALUE!")</f>
        <v>#VALUE!</v>
      </c>
      <c r="H448" s="51" t="str">
        <f>IFERROR(__xludf.DUMMYFUNCTION("""COMPUTED_VALUE"""),"")</f>
        <v/>
      </c>
      <c r="I448" s="51" t="str">
        <f>IFERROR(__xludf.DUMMYFUNCTION("""COMPUTED_VALUE"""),"#VALUE!")</f>
        <v>#VALUE!</v>
      </c>
      <c r="J448" s="51" t="str">
        <f>IFERROR(__xludf.DUMMYFUNCTION("""COMPUTED_VALUE"""),"")</f>
        <v/>
      </c>
      <c r="K448" s="51"/>
      <c r="L448" s="51" t="s">
        <v>257</v>
      </c>
      <c r="M448" s="51"/>
      <c r="N448" s="51"/>
      <c r="O448" s="51"/>
      <c r="P448" s="51"/>
      <c r="Q448" s="51"/>
      <c r="R448" s="51"/>
      <c r="S448" s="51"/>
      <c r="T448" s="51"/>
    </row>
    <row r="449">
      <c r="A449" s="51"/>
      <c r="B449" s="51"/>
      <c r="C449" s="56"/>
      <c r="D449" s="51"/>
      <c r="E449" s="51"/>
      <c r="F449" s="51"/>
      <c r="G449" s="51" t="str">
        <f>IFERROR(__xludf.DUMMYFUNCTION("""COMPUTED_VALUE"""),"#VALUE!")</f>
        <v>#VALUE!</v>
      </c>
      <c r="H449" s="51" t="str">
        <f>IFERROR(__xludf.DUMMYFUNCTION("""COMPUTED_VALUE"""),"")</f>
        <v/>
      </c>
      <c r="I449" s="51" t="str">
        <f>IFERROR(__xludf.DUMMYFUNCTION("""COMPUTED_VALUE"""),"#VALUE!")</f>
        <v>#VALUE!</v>
      </c>
      <c r="J449" s="51" t="str">
        <f>IFERROR(__xludf.DUMMYFUNCTION("""COMPUTED_VALUE"""),"")</f>
        <v/>
      </c>
      <c r="K449" s="51"/>
      <c r="L449" s="51" t="s">
        <v>257</v>
      </c>
      <c r="M449" s="51"/>
      <c r="N449" s="51"/>
      <c r="O449" s="51"/>
      <c r="P449" s="51"/>
      <c r="Q449" s="51"/>
      <c r="R449" s="51"/>
      <c r="S449" s="51"/>
      <c r="T449" s="51"/>
    </row>
    <row r="450">
      <c r="A450" s="51"/>
      <c r="B450" s="51"/>
      <c r="C450" s="56"/>
      <c r="D450" s="51"/>
      <c r="E450" s="51"/>
      <c r="F450" s="51"/>
      <c r="G450" s="51" t="str">
        <f>IFERROR(__xludf.DUMMYFUNCTION("""COMPUTED_VALUE"""),"#VALUE!")</f>
        <v>#VALUE!</v>
      </c>
      <c r="H450" s="51" t="str">
        <f>IFERROR(__xludf.DUMMYFUNCTION("""COMPUTED_VALUE"""),"")</f>
        <v/>
      </c>
      <c r="I450" s="51" t="str">
        <f>IFERROR(__xludf.DUMMYFUNCTION("""COMPUTED_VALUE"""),"#VALUE!")</f>
        <v>#VALUE!</v>
      </c>
      <c r="J450" s="51" t="str">
        <f>IFERROR(__xludf.DUMMYFUNCTION("""COMPUTED_VALUE"""),"")</f>
        <v/>
      </c>
      <c r="K450" s="51"/>
      <c r="L450" s="51" t="s">
        <v>257</v>
      </c>
      <c r="M450" s="51"/>
      <c r="N450" s="51"/>
      <c r="O450" s="51"/>
      <c r="P450" s="51"/>
      <c r="Q450" s="51"/>
      <c r="R450" s="51"/>
      <c r="S450" s="51"/>
      <c r="T450" s="51"/>
    </row>
    <row r="451">
      <c r="A451" s="51"/>
      <c r="B451" s="51"/>
      <c r="C451" s="56"/>
      <c r="D451" s="51"/>
      <c r="E451" s="51"/>
      <c r="F451" s="51"/>
      <c r="G451" s="51" t="str">
        <f>IFERROR(__xludf.DUMMYFUNCTION("""COMPUTED_VALUE"""),"#VALUE!")</f>
        <v>#VALUE!</v>
      </c>
      <c r="H451" s="51" t="str">
        <f>IFERROR(__xludf.DUMMYFUNCTION("""COMPUTED_VALUE"""),"")</f>
        <v/>
      </c>
      <c r="I451" s="51" t="str">
        <f>IFERROR(__xludf.DUMMYFUNCTION("""COMPUTED_VALUE"""),"#VALUE!")</f>
        <v>#VALUE!</v>
      </c>
      <c r="J451" s="51" t="str">
        <f>IFERROR(__xludf.DUMMYFUNCTION("""COMPUTED_VALUE"""),"")</f>
        <v/>
      </c>
      <c r="K451" s="51"/>
      <c r="L451" s="51" t="s">
        <v>257</v>
      </c>
      <c r="M451" s="51"/>
      <c r="N451" s="51"/>
      <c r="O451" s="51"/>
      <c r="P451" s="51"/>
      <c r="Q451" s="51"/>
      <c r="R451" s="51"/>
      <c r="S451" s="51"/>
      <c r="T451" s="51"/>
    </row>
    <row r="452">
      <c r="A452" s="51"/>
      <c r="B452" s="51"/>
      <c r="C452" s="56"/>
      <c r="D452" s="51"/>
      <c r="E452" s="51"/>
      <c r="F452" s="51"/>
      <c r="G452" s="51" t="str">
        <f>IFERROR(__xludf.DUMMYFUNCTION("""COMPUTED_VALUE"""),"#VALUE!")</f>
        <v>#VALUE!</v>
      </c>
      <c r="H452" s="51" t="str">
        <f>IFERROR(__xludf.DUMMYFUNCTION("""COMPUTED_VALUE"""),"")</f>
        <v/>
      </c>
      <c r="I452" s="51" t="str">
        <f>IFERROR(__xludf.DUMMYFUNCTION("""COMPUTED_VALUE"""),"#VALUE!")</f>
        <v>#VALUE!</v>
      </c>
      <c r="J452" s="51" t="str">
        <f>IFERROR(__xludf.DUMMYFUNCTION("""COMPUTED_VALUE"""),"")</f>
        <v/>
      </c>
      <c r="K452" s="51"/>
      <c r="L452" s="51" t="s">
        <v>257</v>
      </c>
      <c r="M452" s="51"/>
      <c r="N452" s="51"/>
      <c r="O452" s="51"/>
      <c r="P452" s="51"/>
      <c r="Q452" s="51"/>
      <c r="R452" s="51"/>
      <c r="S452" s="51"/>
      <c r="T452" s="51"/>
    </row>
    <row r="453">
      <c r="A453" s="51"/>
      <c r="B453" s="51"/>
      <c r="C453" s="56"/>
      <c r="D453" s="51"/>
      <c r="E453" s="51"/>
      <c r="F453" s="51"/>
      <c r="G453" s="51" t="str">
        <f>IFERROR(__xludf.DUMMYFUNCTION("""COMPUTED_VALUE"""),"#VALUE!")</f>
        <v>#VALUE!</v>
      </c>
      <c r="H453" s="51" t="str">
        <f>IFERROR(__xludf.DUMMYFUNCTION("""COMPUTED_VALUE"""),"")</f>
        <v/>
      </c>
      <c r="I453" s="51" t="str">
        <f>IFERROR(__xludf.DUMMYFUNCTION("""COMPUTED_VALUE"""),"#VALUE!")</f>
        <v>#VALUE!</v>
      </c>
      <c r="J453" s="51" t="str">
        <f>IFERROR(__xludf.DUMMYFUNCTION("""COMPUTED_VALUE"""),"")</f>
        <v/>
      </c>
      <c r="K453" s="51"/>
      <c r="L453" s="51" t="s">
        <v>257</v>
      </c>
      <c r="M453" s="51"/>
      <c r="N453" s="51"/>
      <c r="O453" s="51"/>
      <c r="P453" s="51"/>
      <c r="Q453" s="51"/>
      <c r="R453" s="51"/>
      <c r="S453" s="51"/>
      <c r="T453" s="51"/>
    </row>
    <row r="454">
      <c r="A454" s="51"/>
      <c r="B454" s="51"/>
      <c r="C454" s="56"/>
      <c r="D454" s="51"/>
      <c r="E454" s="51"/>
      <c r="F454" s="51"/>
      <c r="G454" s="51" t="str">
        <f>IFERROR(__xludf.DUMMYFUNCTION("""COMPUTED_VALUE"""),"#VALUE!")</f>
        <v>#VALUE!</v>
      </c>
      <c r="H454" s="51" t="str">
        <f>IFERROR(__xludf.DUMMYFUNCTION("""COMPUTED_VALUE"""),"")</f>
        <v/>
      </c>
      <c r="I454" s="51" t="str">
        <f>IFERROR(__xludf.DUMMYFUNCTION("""COMPUTED_VALUE"""),"#VALUE!")</f>
        <v>#VALUE!</v>
      </c>
      <c r="J454" s="51" t="str">
        <f>IFERROR(__xludf.DUMMYFUNCTION("""COMPUTED_VALUE"""),"")</f>
        <v/>
      </c>
      <c r="K454" s="51"/>
      <c r="L454" s="51" t="s">
        <v>257</v>
      </c>
      <c r="M454" s="51"/>
      <c r="N454" s="51"/>
      <c r="O454" s="51"/>
      <c r="P454" s="51"/>
      <c r="Q454" s="51"/>
      <c r="R454" s="51"/>
      <c r="S454" s="51"/>
      <c r="T454" s="51"/>
    </row>
    <row r="455">
      <c r="A455" s="51"/>
      <c r="B455" s="51"/>
      <c r="C455" s="56"/>
      <c r="D455" s="51"/>
      <c r="E455" s="51"/>
      <c r="F455" s="51"/>
      <c r="G455" s="51" t="str">
        <f>IFERROR(__xludf.DUMMYFUNCTION("""COMPUTED_VALUE"""),"#VALUE!")</f>
        <v>#VALUE!</v>
      </c>
      <c r="H455" s="51" t="str">
        <f>IFERROR(__xludf.DUMMYFUNCTION("""COMPUTED_VALUE"""),"")</f>
        <v/>
      </c>
      <c r="I455" s="51" t="str">
        <f>IFERROR(__xludf.DUMMYFUNCTION("""COMPUTED_VALUE"""),"#VALUE!")</f>
        <v>#VALUE!</v>
      </c>
      <c r="J455" s="51" t="str">
        <f>IFERROR(__xludf.DUMMYFUNCTION("""COMPUTED_VALUE"""),"")</f>
        <v/>
      </c>
      <c r="K455" s="51"/>
      <c r="L455" s="51" t="s">
        <v>257</v>
      </c>
      <c r="M455" s="51"/>
      <c r="N455" s="51"/>
      <c r="O455" s="51"/>
      <c r="P455" s="51"/>
      <c r="Q455" s="51"/>
      <c r="R455" s="51"/>
      <c r="S455" s="51"/>
      <c r="T455" s="51"/>
    </row>
    <row r="456">
      <c r="A456" s="51"/>
      <c r="B456" s="51"/>
      <c r="C456" s="56"/>
      <c r="D456" s="51"/>
      <c r="E456" s="51"/>
      <c r="F456" s="51"/>
      <c r="G456" s="51" t="str">
        <f>IFERROR(__xludf.DUMMYFUNCTION("""COMPUTED_VALUE"""),"#VALUE!")</f>
        <v>#VALUE!</v>
      </c>
      <c r="H456" s="51" t="str">
        <f>IFERROR(__xludf.DUMMYFUNCTION("""COMPUTED_VALUE"""),"")</f>
        <v/>
      </c>
      <c r="I456" s="51" t="str">
        <f>IFERROR(__xludf.DUMMYFUNCTION("""COMPUTED_VALUE"""),"#VALUE!")</f>
        <v>#VALUE!</v>
      </c>
      <c r="J456" s="51" t="str">
        <f>IFERROR(__xludf.DUMMYFUNCTION("""COMPUTED_VALUE"""),"")</f>
        <v/>
      </c>
      <c r="K456" s="51"/>
      <c r="L456" s="51" t="s">
        <v>257</v>
      </c>
      <c r="M456" s="51"/>
      <c r="N456" s="51"/>
      <c r="O456" s="51"/>
      <c r="P456" s="51"/>
      <c r="Q456" s="51"/>
      <c r="R456" s="51"/>
      <c r="S456" s="51"/>
      <c r="T456" s="51"/>
    </row>
    <row r="457">
      <c r="A457" s="51"/>
      <c r="B457" s="51"/>
      <c r="C457" s="56"/>
      <c r="D457" s="51"/>
      <c r="E457" s="51"/>
      <c r="F457" s="51"/>
      <c r="G457" s="51" t="str">
        <f>IFERROR(__xludf.DUMMYFUNCTION("""COMPUTED_VALUE"""),"#VALUE!")</f>
        <v>#VALUE!</v>
      </c>
      <c r="H457" s="51" t="str">
        <f>IFERROR(__xludf.DUMMYFUNCTION("""COMPUTED_VALUE"""),"")</f>
        <v/>
      </c>
      <c r="I457" s="51" t="str">
        <f>IFERROR(__xludf.DUMMYFUNCTION("""COMPUTED_VALUE"""),"#VALUE!")</f>
        <v>#VALUE!</v>
      </c>
      <c r="J457" s="51" t="str">
        <f>IFERROR(__xludf.DUMMYFUNCTION("""COMPUTED_VALUE"""),"")</f>
        <v/>
      </c>
      <c r="K457" s="51"/>
      <c r="L457" s="51" t="s">
        <v>257</v>
      </c>
      <c r="M457" s="51"/>
      <c r="N457" s="51"/>
      <c r="O457" s="51"/>
      <c r="P457" s="51"/>
      <c r="Q457" s="51"/>
      <c r="R457" s="51"/>
      <c r="S457" s="51"/>
      <c r="T457" s="51"/>
    </row>
    <row r="458">
      <c r="A458" s="51"/>
      <c r="B458" s="51"/>
      <c r="C458" s="56"/>
      <c r="D458" s="51"/>
      <c r="E458" s="51"/>
      <c r="F458" s="51"/>
      <c r="G458" s="51" t="str">
        <f>IFERROR(__xludf.DUMMYFUNCTION("""COMPUTED_VALUE"""),"#VALUE!")</f>
        <v>#VALUE!</v>
      </c>
      <c r="H458" s="51" t="str">
        <f>IFERROR(__xludf.DUMMYFUNCTION("""COMPUTED_VALUE"""),"")</f>
        <v/>
      </c>
      <c r="I458" s="51" t="str">
        <f>IFERROR(__xludf.DUMMYFUNCTION("""COMPUTED_VALUE"""),"#VALUE!")</f>
        <v>#VALUE!</v>
      </c>
      <c r="J458" s="51" t="str">
        <f>IFERROR(__xludf.DUMMYFUNCTION("""COMPUTED_VALUE"""),"")</f>
        <v/>
      </c>
      <c r="K458" s="51"/>
      <c r="L458" s="51" t="s">
        <v>257</v>
      </c>
      <c r="M458" s="51"/>
      <c r="N458" s="51"/>
      <c r="O458" s="51"/>
      <c r="P458" s="51"/>
      <c r="Q458" s="51"/>
      <c r="R458" s="51"/>
      <c r="S458" s="51"/>
      <c r="T458" s="51"/>
    </row>
    <row r="459">
      <c r="A459" s="51"/>
      <c r="B459" s="51"/>
      <c r="C459" s="56"/>
      <c r="D459" s="51"/>
      <c r="E459" s="51"/>
      <c r="F459" s="51"/>
      <c r="G459" s="51" t="str">
        <f>IFERROR(__xludf.DUMMYFUNCTION("""COMPUTED_VALUE"""),"#VALUE!")</f>
        <v>#VALUE!</v>
      </c>
      <c r="H459" s="51" t="str">
        <f>IFERROR(__xludf.DUMMYFUNCTION("""COMPUTED_VALUE"""),"")</f>
        <v/>
      </c>
      <c r="I459" s="51" t="str">
        <f>IFERROR(__xludf.DUMMYFUNCTION("""COMPUTED_VALUE"""),"#VALUE!")</f>
        <v>#VALUE!</v>
      </c>
      <c r="J459" s="51" t="str">
        <f>IFERROR(__xludf.DUMMYFUNCTION("""COMPUTED_VALUE"""),"")</f>
        <v/>
      </c>
      <c r="K459" s="51"/>
      <c r="L459" s="51" t="s">
        <v>257</v>
      </c>
      <c r="M459" s="51"/>
      <c r="N459" s="51"/>
      <c r="O459" s="51"/>
      <c r="P459" s="51"/>
      <c r="Q459" s="51"/>
      <c r="R459" s="51"/>
      <c r="S459" s="51"/>
      <c r="T459" s="51"/>
    </row>
    <row r="460">
      <c r="A460" s="51"/>
      <c r="B460" s="51"/>
      <c r="C460" s="56"/>
      <c r="D460" s="51"/>
      <c r="E460" s="51"/>
      <c r="F460" s="51"/>
      <c r="G460" s="51" t="str">
        <f>IFERROR(__xludf.DUMMYFUNCTION("""COMPUTED_VALUE"""),"#VALUE!")</f>
        <v>#VALUE!</v>
      </c>
      <c r="H460" s="51" t="str">
        <f>IFERROR(__xludf.DUMMYFUNCTION("""COMPUTED_VALUE"""),"")</f>
        <v/>
      </c>
      <c r="I460" s="51" t="str">
        <f>IFERROR(__xludf.DUMMYFUNCTION("""COMPUTED_VALUE"""),"#VALUE!")</f>
        <v>#VALUE!</v>
      </c>
      <c r="J460" s="51" t="str">
        <f>IFERROR(__xludf.DUMMYFUNCTION("""COMPUTED_VALUE"""),"")</f>
        <v/>
      </c>
      <c r="K460" s="51"/>
      <c r="L460" s="51" t="s">
        <v>257</v>
      </c>
      <c r="M460" s="51"/>
      <c r="N460" s="51"/>
      <c r="O460" s="51"/>
      <c r="P460" s="51"/>
      <c r="Q460" s="51"/>
      <c r="R460" s="51"/>
      <c r="S460" s="51"/>
      <c r="T460" s="51"/>
    </row>
    <row r="461">
      <c r="A461" s="51"/>
      <c r="B461" s="51"/>
      <c r="C461" s="56"/>
      <c r="D461" s="51"/>
      <c r="E461" s="51"/>
      <c r="F461" s="51"/>
      <c r="G461" s="51" t="str">
        <f>IFERROR(__xludf.DUMMYFUNCTION("""COMPUTED_VALUE"""),"#VALUE!")</f>
        <v>#VALUE!</v>
      </c>
      <c r="H461" s="51" t="str">
        <f>IFERROR(__xludf.DUMMYFUNCTION("""COMPUTED_VALUE"""),"")</f>
        <v/>
      </c>
      <c r="I461" s="51" t="str">
        <f>IFERROR(__xludf.DUMMYFUNCTION("""COMPUTED_VALUE"""),"#VALUE!")</f>
        <v>#VALUE!</v>
      </c>
      <c r="J461" s="51" t="str">
        <f>IFERROR(__xludf.DUMMYFUNCTION("""COMPUTED_VALUE"""),"")</f>
        <v/>
      </c>
      <c r="K461" s="51"/>
      <c r="L461" s="51" t="s">
        <v>257</v>
      </c>
      <c r="M461" s="51"/>
      <c r="N461" s="51"/>
      <c r="O461" s="51"/>
      <c r="P461" s="51"/>
      <c r="Q461" s="51"/>
      <c r="R461" s="51"/>
      <c r="S461" s="51"/>
      <c r="T461" s="51"/>
    </row>
    <row r="462">
      <c r="A462" s="51"/>
      <c r="B462" s="51"/>
      <c r="C462" s="56"/>
      <c r="D462" s="51"/>
      <c r="E462" s="51"/>
      <c r="F462" s="51"/>
      <c r="G462" s="51" t="str">
        <f>IFERROR(__xludf.DUMMYFUNCTION("""COMPUTED_VALUE"""),"#VALUE!")</f>
        <v>#VALUE!</v>
      </c>
      <c r="H462" s="51" t="str">
        <f>IFERROR(__xludf.DUMMYFUNCTION("""COMPUTED_VALUE"""),"")</f>
        <v/>
      </c>
      <c r="I462" s="51" t="str">
        <f>IFERROR(__xludf.DUMMYFUNCTION("""COMPUTED_VALUE"""),"#VALUE!")</f>
        <v>#VALUE!</v>
      </c>
      <c r="J462" s="51" t="str">
        <f>IFERROR(__xludf.DUMMYFUNCTION("""COMPUTED_VALUE"""),"")</f>
        <v/>
      </c>
      <c r="K462" s="51"/>
      <c r="L462" s="51" t="s">
        <v>257</v>
      </c>
      <c r="M462" s="51"/>
      <c r="N462" s="51"/>
      <c r="O462" s="51"/>
      <c r="P462" s="51"/>
      <c r="Q462" s="51"/>
      <c r="R462" s="51"/>
      <c r="S462" s="51"/>
      <c r="T462" s="51"/>
    </row>
    <row r="463">
      <c r="A463" s="51"/>
      <c r="B463" s="51"/>
      <c r="C463" s="56"/>
      <c r="D463" s="51"/>
      <c r="E463" s="51"/>
      <c r="F463" s="51"/>
      <c r="G463" s="51" t="str">
        <f>IFERROR(__xludf.DUMMYFUNCTION("""COMPUTED_VALUE"""),"#VALUE!")</f>
        <v>#VALUE!</v>
      </c>
      <c r="H463" s="51" t="str">
        <f>IFERROR(__xludf.DUMMYFUNCTION("""COMPUTED_VALUE"""),"")</f>
        <v/>
      </c>
      <c r="I463" s="51" t="str">
        <f>IFERROR(__xludf.DUMMYFUNCTION("""COMPUTED_VALUE"""),"#VALUE!")</f>
        <v>#VALUE!</v>
      </c>
      <c r="J463" s="51" t="str">
        <f>IFERROR(__xludf.DUMMYFUNCTION("""COMPUTED_VALUE"""),"")</f>
        <v/>
      </c>
      <c r="K463" s="51"/>
      <c r="L463" s="51" t="s">
        <v>257</v>
      </c>
      <c r="M463" s="51"/>
      <c r="N463" s="51"/>
      <c r="O463" s="51"/>
      <c r="P463" s="51"/>
      <c r="Q463" s="51"/>
      <c r="R463" s="51"/>
      <c r="S463" s="51"/>
      <c r="T463" s="51"/>
    </row>
    <row r="464">
      <c r="A464" s="51"/>
      <c r="B464" s="51"/>
      <c r="C464" s="56"/>
      <c r="D464" s="51"/>
      <c r="E464" s="51"/>
      <c r="F464" s="51"/>
      <c r="G464" s="51" t="str">
        <f>IFERROR(__xludf.DUMMYFUNCTION("""COMPUTED_VALUE"""),"#VALUE!")</f>
        <v>#VALUE!</v>
      </c>
      <c r="H464" s="51" t="str">
        <f>IFERROR(__xludf.DUMMYFUNCTION("""COMPUTED_VALUE"""),"")</f>
        <v/>
      </c>
      <c r="I464" s="51" t="str">
        <f>IFERROR(__xludf.DUMMYFUNCTION("""COMPUTED_VALUE"""),"#VALUE!")</f>
        <v>#VALUE!</v>
      </c>
      <c r="J464" s="51" t="str">
        <f>IFERROR(__xludf.DUMMYFUNCTION("""COMPUTED_VALUE"""),"")</f>
        <v/>
      </c>
      <c r="K464" s="51"/>
      <c r="L464" s="51" t="s">
        <v>257</v>
      </c>
      <c r="M464" s="51"/>
      <c r="N464" s="51"/>
      <c r="O464" s="51"/>
      <c r="P464" s="51"/>
      <c r="Q464" s="51"/>
      <c r="R464" s="51"/>
      <c r="S464" s="51"/>
      <c r="T464" s="51"/>
    </row>
    <row r="465">
      <c r="A465" s="51"/>
      <c r="B465" s="51"/>
      <c r="C465" s="56"/>
      <c r="D465" s="51"/>
      <c r="E465" s="51"/>
      <c r="F465" s="51"/>
      <c r="G465" s="51" t="str">
        <f>IFERROR(__xludf.DUMMYFUNCTION("""COMPUTED_VALUE"""),"#VALUE!")</f>
        <v>#VALUE!</v>
      </c>
      <c r="H465" s="51" t="str">
        <f>IFERROR(__xludf.DUMMYFUNCTION("""COMPUTED_VALUE"""),"")</f>
        <v/>
      </c>
      <c r="I465" s="51" t="str">
        <f>IFERROR(__xludf.DUMMYFUNCTION("""COMPUTED_VALUE"""),"#VALUE!")</f>
        <v>#VALUE!</v>
      </c>
      <c r="J465" s="51" t="str">
        <f>IFERROR(__xludf.DUMMYFUNCTION("""COMPUTED_VALUE"""),"")</f>
        <v/>
      </c>
      <c r="K465" s="51"/>
      <c r="L465" s="51" t="s">
        <v>257</v>
      </c>
      <c r="M465" s="51"/>
      <c r="N465" s="51"/>
      <c r="O465" s="51"/>
      <c r="P465" s="51"/>
      <c r="Q465" s="51"/>
      <c r="R465" s="51"/>
      <c r="S465" s="51"/>
      <c r="T465" s="51"/>
    </row>
    <row r="466">
      <c r="A466" s="51"/>
      <c r="B466" s="51"/>
      <c r="C466" s="56"/>
      <c r="D466" s="51"/>
      <c r="E466" s="51"/>
      <c r="F466" s="51"/>
      <c r="G466" s="51" t="str">
        <f>IFERROR(__xludf.DUMMYFUNCTION("""COMPUTED_VALUE"""),"#VALUE!")</f>
        <v>#VALUE!</v>
      </c>
      <c r="H466" s="51" t="str">
        <f>IFERROR(__xludf.DUMMYFUNCTION("""COMPUTED_VALUE"""),"")</f>
        <v/>
      </c>
      <c r="I466" s="51" t="str">
        <f>IFERROR(__xludf.DUMMYFUNCTION("""COMPUTED_VALUE"""),"#VALUE!")</f>
        <v>#VALUE!</v>
      </c>
      <c r="J466" s="51" t="str">
        <f>IFERROR(__xludf.DUMMYFUNCTION("""COMPUTED_VALUE"""),"")</f>
        <v/>
      </c>
      <c r="K466" s="51"/>
      <c r="L466" s="51" t="s">
        <v>257</v>
      </c>
      <c r="M466" s="51"/>
      <c r="N466" s="51"/>
      <c r="O466" s="51"/>
      <c r="P466" s="51"/>
      <c r="Q466" s="51"/>
      <c r="R466" s="51"/>
      <c r="S466" s="51"/>
      <c r="T466" s="51"/>
    </row>
    <row r="467">
      <c r="A467" s="51"/>
      <c r="B467" s="51"/>
      <c r="C467" s="56"/>
      <c r="D467" s="51"/>
      <c r="E467" s="51"/>
      <c r="F467" s="51"/>
      <c r="G467" s="51" t="str">
        <f>IFERROR(__xludf.DUMMYFUNCTION("""COMPUTED_VALUE"""),"#VALUE!")</f>
        <v>#VALUE!</v>
      </c>
      <c r="H467" s="51" t="str">
        <f>IFERROR(__xludf.DUMMYFUNCTION("""COMPUTED_VALUE"""),"")</f>
        <v/>
      </c>
      <c r="I467" s="51" t="str">
        <f>IFERROR(__xludf.DUMMYFUNCTION("""COMPUTED_VALUE"""),"#VALUE!")</f>
        <v>#VALUE!</v>
      </c>
      <c r="J467" s="51" t="str">
        <f>IFERROR(__xludf.DUMMYFUNCTION("""COMPUTED_VALUE"""),"")</f>
        <v/>
      </c>
      <c r="K467" s="51"/>
      <c r="L467" s="51" t="s">
        <v>257</v>
      </c>
      <c r="M467" s="51"/>
      <c r="N467" s="51"/>
      <c r="O467" s="51"/>
      <c r="P467" s="51"/>
      <c r="Q467" s="51"/>
      <c r="R467" s="51"/>
      <c r="S467" s="51"/>
      <c r="T467" s="51"/>
    </row>
    <row r="468">
      <c r="A468" s="51"/>
      <c r="B468" s="51"/>
      <c r="C468" s="56"/>
      <c r="D468" s="51"/>
      <c r="E468" s="51"/>
      <c r="F468" s="51"/>
      <c r="G468" s="51" t="str">
        <f>IFERROR(__xludf.DUMMYFUNCTION("""COMPUTED_VALUE"""),"#VALUE!")</f>
        <v>#VALUE!</v>
      </c>
      <c r="H468" s="51" t="str">
        <f>IFERROR(__xludf.DUMMYFUNCTION("""COMPUTED_VALUE"""),"")</f>
        <v/>
      </c>
      <c r="I468" s="51" t="str">
        <f>IFERROR(__xludf.DUMMYFUNCTION("""COMPUTED_VALUE"""),"#VALUE!")</f>
        <v>#VALUE!</v>
      </c>
      <c r="J468" s="51" t="str">
        <f>IFERROR(__xludf.DUMMYFUNCTION("""COMPUTED_VALUE"""),"")</f>
        <v/>
      </c>
      <c r="K468" s="51"/>
      <c r="L468" s="51" t="s">
        <v>257</v>
      </c>
      <c r="M468" s="51"/>
      <c r="N468" s="51"/>
      <c r="O468" s="51"/>
      <c r="P468" s="51"/>
      <c r="Q468" s="51"/>
      <c r="R468" s="51"/>
      <c r="S468" s="51"/>
      <c r="T468" s="51"/>
    </row>
    <row r="469">
      <c r="A469" s="51"/>
      <c r="B469" s="51"/>
      <c r="C469" s="56"/>
      <c r="D469" s="51"/>
      <c r="E469" s="51"/>
      <c r="F469" s="51"/>
      <c r="G469" s="51" t="str">
        <f>IFERROR(__xludf.DUMMYFUNCTION("""COMPUTED_VALUE"""),"#VALUE!")</f>
        <v>#VALUE!</v>
      </c>
      <c r="H469" s="51" t="str">
        <f>IFERROR(__xludf.DUMMYFUNCTION("""COMPUTED_VALUE"""),"")</f>
        <v/>
      </c>
      <c r="I469" s="51" t="str">
        <f>IFERROR(__xludf.DUMMYFUNCTION("""COMPUTED_VALUE"""),"#VALUE!")</f>
        <v>#VALUE!</v>
      </c>
      <c r="J469" s="51" t="str">
        <f>IFERROR(__xludf.DUMMYFUNCTION("""COMPUTED_VALUE"""),"")</f>
        <v/>
      </c>
      <c r="K469" s="51"/>
      <c r="L469" s="51" t="s">
        <v>257</v>
      </c>
      <c r="M469" s="51"/>
      <c r="N469" s="51"/>
      <c r="O469" s="51"/>
      <c r="P469" s="51"/>
      <c r="Q469" s="51"/>
      <c r="R469" s="51"/>
      <c r="S469" s="51"/>
      <c r="T469" s="51"/>
    </row>
    <row r="470">
      <c r="A470" s="51"/>
      <c r="B470" s="51"/>
      <c r="C470" s="56"/>
      <c r="D470" s="51"/>
      <c r="E470" s="51"/>
      <c r="F470" s="51"/>
      <c r="G470" s="51" t="str">
        <f>IFERROR(__xludf.DUMMYFUNCTION("""COMPUTED_VALUE"""),"#VALUE!")</f>
        <v>#VALUE!</v>
      </c>
      <c r="H470" s="51" t="str">
        <f>IFERROR(__xludf.DUMMYFUNCTION("""COMPUTED_VALUE"""),"")</f>
        <v/>
      </c>
      <c r="I470" s="51" t="str">
        <f>IFERROR(__xludf.DUMMYFUNCTION("""COMPUTED_VALUE"""),"#VALUE!")</f>
        <v>#VALUE!</v>
      </c>
      <c r="J470" s="51" t="str">
        <f>IFERROR(__xludf.DUMMYFUNCTION("""COMPUTED_VALUE"""),"")</f>
        <v/>
      </c>
      <c r="K470" s="51"/>
      <c r="L470" s="51" t="s">
        <v>257</v>
      </c>
      <c r="M470" s="51"/>
      <c r="N470" s="51"/>
      <c r="O470" s="51"/>
      <c r="P470" s="51"/>
      <c r="Q470" s="51"/>
      <c r="R470" s="51"/>
      <c r="S470" s="51"/>
      <c r="T470" s="51"/>
    </row>
    <row r="471">
      <c r="A471" s="51"/>
      <c r="B471" s="51"/>
      <c r="C471" s="56"/>
      <c r="D471" s="51"/>
      <c r="E471" s="51"/>
      <c r="F471" s="51"/>
      <c r="G471" s="51" t="str">
        <f>IFERROR(__xludf.DUMMYFUNCTION("""COMPUTED_VALUE"""),"#VALUE!")</f>
        <v>#VALUE!</v>
      </c>
      <c r="H471" s="51" t="str">
        <f>IFERROR(__xludf.DUMMYFUNCTION("""COMPUTED_VALUE"""),"")</f>
        <v/>
      </c>
      <c r="I471" s="51" t="str">
        <f>IFERROR(__xludf.DUMMYFUNCTION("""COMPUTED_VALUE"""),"#VALUE!")</f>
        <v>#VALUE!</v>
      </c>
      <c r="J471" s="51" t="str">
        <f>IFERROR(__xludf.DUMMYFUNCTION("""COMPUTED_VALUE"""),"")</f>
        <v/>
      </c>
      <c r="K471" s="51"/>
      <c r="L471" s="51" t="s">
        <v>257</v>
      </c>
      <c r="M471" s="51"/>
      <c r="N471" s="51"/>
      <c r="O471" s="51"/>
      <c r="P471" s="51"/>
      <c r="Q471" s="51"/>
      <c r="R471" s="51"/>
      <c r="S471" s="51"/>
      <c r="T471" s="51"/>
    </row>
    <row r="472">
      <c r="A472" s="51"/>
      <c r="B472" s="51"/>
      <c r="C472" s="56"/>
      <c r="D472" s="51"/>
      <c r="E472" s="51"/>
      <c r="F472" s="51"/>
      <c r="G472" s="51" t="str">
        <f>IFERROR(__xludf.DUMMYFUNCTION("""COMPUTED_VALUE"""),"#VALUE!")</f>
        <v>#VALUE!</v>
      </c>
      <c r="H472" s="51" t="str">
        <f>IFERROR(__xludf.DUMMYFUNCTION("""COMPUTED_VALUE"""),"")</f>
        <v/>
      </c>
      <c r="I472" s="51" t="str">
        <f>IFERROR(__xludf.DUMMYFUNCTION("""COMPUTED_VALUE"""),"#VALUE!")</f>
        <v>#VALUE!</v>
      </c>
      <c r="J472" s="51" t="str">
        <f>IFERROR(__xludf.DUMMYFUNCTION("""COMPUTED_VALUE"""),"")</f>
        <v/>
      </c>
      <c r="K472" s="51"/>
      <c r="L472" s="51" t="s">
        <v>257</v>
      </c>
      <c r="M472" s="51"/>
      <c r="N472" s="51"/>
      <c r="O472" s="51"/>
      <c r="P472" s="51"/>
      <c r="Q472" s="51"/>
      <c r="R472" s="51"/>
      <c r="S472" s="51"/>
      <c r="T472" s="51"/>
    </row>
    <row r="473">
      <c r="A473" s="51"/>
      <c r="B473" s="51"/>
      <c r="C473" s="56"/>
      <c r="D473" s="51"/>
      <c r="E473" s="51"/>
      <c r="F473" s="51"/>
      <c r="G473" s="51" t="str">
        <f>IFERROR(__xludf.DUMMYFUNCTION("""COMPUTED_VALUE"""),"#VALUE!")</f>
        <v>#VALUE!</v>
      </c>
      <c r="H473" s="51" t="str">
        <f>IFERROR(__xludf.DUMMYFUNCTION("""COMPUTED_VALUE"""),"")</f>
        <v/>
      </c>
      <c r="I473" s="51" t="str">
        <f>IFERROR(__xludf.DUMMYFUNCTION("""COMPUTED_VALUE"""),"#VALUE!")</f>
        <v>#VALUE!</v>
      </c>
      <c r="J473" s="51" t="str">
        <f>IFERROR(__xludf.DUMMYFUNCTION("""COMPUTED_VALUE"""),"")</f>
        <v/>
      </c>
      <c r="K473" s="51"/>
      <c r="L473" s="51" t="s">
        <v>257</v>
      </c>
      <c r="M473" s="51"/>
      <c r="N473" s="51"/>
      <c r="O473" s="51"/>
      <c r="P473" s="51"/>
      <c r="Q473" s="51"/>
      <c r="R473" s="51"/>
      <c r="S473" s="51"/>
      <c r="T473" s="51"/>
    </row>
    <row r="474">
      <c r="A474" s="51"/>
      <c r="B474" s="51"/>
      <c r="C474" s="56"/>
      <c r="D474" s="51"/>
      <c r="E474" s="51"/>
      <c r="F474" s="51"/>
      <c r="G474" s="51" t="str">
        <f>IFERROR(__xludf.DUMMYFUNCTION("""COMPUTED_VALUE"""),"#VALUE!")</f>
        <v>#VALUE!</v>
      </c>
      <c r="H474" s="51" t="str">
        <f>IFERROR(__xludf.DUMMYFUNCTION("""COMPUTED_VALUE"""),"")</f>
        <v/>
      </c>
      <c r="I474" s="51" t="str">
        <f>IFERROR(__xludf.DUMMYFUNCTION("""COMPUTED_VALUE"""),"#VALUE!")</f>
        <v>#VALUE!</v>
      </c>
      <c r="J474" s="51" t="str">
        <f>IFERROR(__xludf.DUMMYFUNCTION("""COMPUTED_VALUE"""),"")</f>
        <v/>
      </c>
      <c r="K474" s="51"/>
      <c r="L474" s="51" t="s">
        <v>257</v>
      </c>
      <c r="M474" s="51"/>
      <c r="N474" s="51"/>
      <c r="O474" s="51"/>
      <c r="P474" s="51"/>
      <c r="Q474" s="51"/>
      <c r="R474" s="51"/>
      <c r="S474" s="51"/>
      <c r="T474" s="51"/>
    </row>
    <row r="475">
      <c r="A475" s="51"/>
      <c r="B475" s="51"/>
      <c r="C475" s="56"/>
      <c r="D475" s="51"/>
      <c r="E475" s="51"/>
      <c r="F475" s="51"/>
      <c r="G475" s="51" t="str">
        <f>IFERROR(__xludf.DUMMYFUNCTION("""COMPUTED_VALUE"""),"#VALUE!")</f>
        <v>#VALUE!</v>
      </c>
      <c r="H475" s="51" t="str">
        <f>IFERROR(__xludf.DUMMYFUNCTION("""COMPUTED_VALUE"""),"")</f>
        <v/>
      </c>
      <c r="I475" s="51" t="str">
        <f>IFERROR(__xludf.DUMMYFUNCTION("""COMPUTED_VALUE"""),"#VALUE!")</f>
        <v>#VALUE!</v>
      </c>
      <c r="J475" s="51" t="str">
        <f>IFERROR(__xludf.DUMMYFUNCTION("""COMPUTED_VALUE"""),"")</f>
        <v/>
      </c>
      <c r="K475" s="51"/>
      <c r="L475" s="51" t="s">
        <v>257</v>
      </c>
      <c r="M475" s="51"/>
      <c r="N475" s="51"/>
      <c r="O475" s="51"/>
      <c r="P475" s="51"/>
      <c r="Q475" s="51"/>
      <c r="R475" s="51"/>
      <c r="S475" s="51"/>
      <c r="T475" s="51"/>
    </row>
    <row r="476">
      <c r="A476" s="51"/>
      <c r="B476" s="51"/>
      <c r="C476" s="56"/>
      <c r="D476" s="51"/>
      <c r="E476" s="51"/>
      <c r="F476" s="51"/>
      <c r="G476" s="51" t="str">
        <f>IFERROR(__xludf.DUMMYFUNCTION("""COMPUTED_VALUE"""),"#VALUE!")</f>
        <v>#VALUE!</v>
      </c>
      <c r="H476" s="51" t="str">
        <f>IFERROR(__xludf.DUMMYFUNCTION("""COMPUTED_VALUE"""),"")</f>
        <v/>
      </c>
      <c r="I476" s="51" t="str">
        <f>IFERROR(__xludf.DUMMYFUNCTION("""COMPUTED_VALUE"""),"#VALUE!")</f>
        <v>#VALUE!</v>
      </c>
      <c r="J476" s="51" t="str">
        <f>IFERROR(__xludf.DUMMYFUNCTION("""COMPUTED_VALUE"""),"")</f>
        <v/>
      </c>
      <c r="K476" s="51"/>
      <c r="L476" s="51" t="s">
        <v>257</v>
      </c>
      <c r="M476" s="51"/>
      <c r="N476" s="51"/>
      <c r="O476" s="51"/>
      <c r="P476" s="51"/>
      <c r="Q476" s="51"/>
      <c r="R476" s="51"/>
      <c r="S476" s="51"/>
      <c r="T476" s="51"/>
    </row>
    <row r="477">
      <c r="A477" s="51"/>
      <c r="B477" s="51"/>
      <c r="C477" s="56"/>
      <c r="D477" s="51"/>
      <c r="E477" s="51"/>
      <c r="F477" s="51"/>
      <c r="G477" s="51" t="str">
        <f>IFERROR(__xludf.DUMMYFUNCTION("""COMPUTED_VALUE"""),"#VALUE!")</f>
        <v>#VALUE!</v>
      </c>
      <c r="H477" s="51" t="str">
        <f>IFERROR(__xludf.DUMMYFUNCTION("""COMPUTED_VALUE"""),"")</f>
        <v/>
      </c>
      <c r="I477" s="51" t="str">
        <f>IFERROR(__xludf.DUMMYFUNCTION("""COMPUTED_VALUE"""),"#VALUE!")</f>
        <v>#VALUE!</v>
      </c>
      <c r="J477" s="51" t="str">
        <f>IFERROR(__xludf.DUMMYFUNCTION("""COMPUTED_VALUE"""),"")</f>
        <v/>
      </c>
      <c r="K477" s="51"/>
      <c r="L477" s="51" t="s">
        <v>257</v>
      </c>
      <c r="M477" s="51"/>
      <c r="N477" s="51"/>
      <c r="O477" s="51"/>
      <c r="P477" s="51"/>
      <c r="Q477" s="51"/>
      <c r="R477" s="51"/>
      <c r="S477" s="51"/>
      <c r="T477" s="51"/>
    </row>
    <row r="478">
      <c r="A478" s="51"/>
      <c r="B478" s="51"/>
      <c r="C478" s="56"/>
      <c r="D478" s="51"/>
      <c r="E478" s="51"/>
      <c r="F478" s="51"/>
      <c r="G478" s="51" t="str">
        <f>IFERROR(__xludf.DUMMYFUNCTION("""COMPUTED_VALUE"""),"#VALUE!")</f>
        <v>#VALUE!</v>
      </c>
      <c r="H478" s="51" t="str">
        <f>IFERROR(__xludf.DUMMYFUNCTION("""COMPUTED_VALUE"""),"")</f>
        <v/>
      </c>
      <c r="I478" s="51" t="str">
        <f>IFERROR(__xludf.DUMMYFUNCTION("""COMPUTED_VALUE"""),"#VALUE!")</f>
        <v>#VALUE!</v>
      </c>
      <c r="J478" s="51" t="str">
        <f>IFERROR(__xludf.DUMMYFUNCTION("""COMPUTED_VALUE"""),"")</f>
        <v/>
      </c>
      <c r="K478" s="51"/>
      <c r="L478" s="51" t="s">
        <v>257</v>
      </c>
      <c r="M478" s="51"/>
      <c r="N478" s="51"/>
      <c r="O478" s="51"/>
      <c r="P478" s="51"/>
      <c r="Q478" s="51"/>
      <c r="R478" s="51"/>
      <c r="S478" s="51"/>
      <c r="T478" s="51"/>
    </row>
    <row r="479">
      <c r="A479" s="51"/>
      <c r="B479" s="51"/>
      <c r="C479" s="56"/>
      <c r="D479" s="51"/>
      <c r="E479" s="51"/>
      <c r="F479" s="51"/>
      <c r="G479" s="51" t="str">
        <f>IFERROR(__xludf.DUMMYFUNCTION("""COMPUTED_VALUE"""),"#VALUE!")</f>
        <v>#VALUE!</v>
      </c>
      <c r="H479" s="51" t="str">
        <f>IFERROR(__xludf.DUMMYFUNCTION("""COMPUTED_VALUE"""),"")</f>
        <v/>
      </c>
      <c r="I479" s="51" t="str">
        <f>IFERROR(__xludf.DUMMYFUNCTION("""COMPUTED_VALUE"""),"#VALUE!")</f>
        <v>#VALUE!</v>
      </c>
      <c r="J479" s="51" t="str">
        <f>IFERROR(__xludf.DUMMYFUNCTION("""COMPUTED_VALUE"""),"")</f>
        <v/>
      </c>
      <c r="K479" s="51"/>
      <c r="L479" s="51" t="s">
        <v>257</v>
      </c>
      <c r="M479" s="51"/>
      <c r="N479" s="51"/>
      <c r="O479" s="51"/>
      <c r="P479" s="51"/>
      <c r="Q479" s="51"/>
      <c r="R479" s="51"/>
      <c r="S479" s="51"/>
      <c r="T479" s="51"/>
    </row>
    <row r="480">
      <c r="A480" s="51"/>
      <c r="B480" s="51"/>
      <c r="C480" s="56"/>
      <c r="D480" s="51"/>
      <c r="E480" s="51"/>
      <c r="F480" s="51"/>
      <c r="G480" s="51" t="str">
        <f>IFERROR(__xludf.DUMMYFUNCTION("""COMPUTED_VALUE"""),"#VALUE!")</f>
        <v>#VALUE!</v>
      </c>
      <c r="H480" s="51" t="str">
        <f>IFERROR(__xludf.DUMMYFUNCTION("""COMPUTED_VALUE"""),"")</f>
        <v/>
      </c>
      <c r="I480" s="51" t="str">
        <f>IFERROR(__xludf.DUMMYFUNCTION("""COMPUTED_VALUE"""),"#VALUE!")</f>
        <v>#VALUE!</v>
      </c>
      <c r="J480" s="51" t="str">
        <f>IFERROR(__xludf.DUMMYFUNCTION("""COMPUTED_VALUE"""),"")</f>
        <v/>
      </c>
      <c r="K480" s="51"/>
      <c r="L480" s="51" t="s">
        <v>257</v>
      </c>
      <c r="M480" s="51"/>
      <c r="N480" s="51"/>
      <c r="O480" s="51"/>
      <c r="P480" s="51"/>
      <c r="Q480" s="51"/>
      <c r="R480" s="51"/>
      <c r="S480" s="51"/>
      <c r="T480" s="51"/>
    </row>
    <row r="481">
      <c r="A481" s="51"/>
      <c r="B481" s="51"/>
      <c r="C481" s="56"/>
      <c r="D481" s="51"/>
      <c r="E481" s="51"/>
      <c r="F481" s="51"/>
      <c r="G481" s="51" t="str">
        <f>IFERROR(__xludf.DUMMYFUNCTION("""COMPUTED_VALUE"""),"#VALUE!")</f>
        <v>#VALUE!</v>
      </c>
      <c r="H481" s="51" t="str">
        <f>IFERROR(__xludf.DUMMYFUNCTION("""COMPUTED_VALUE"""),"")</f>
        <v/>
      </c>
      <c r="I481" s="51" t="str">
        <f>IFERROR(__xludf.DUMMYFUNCTION("""COMPUTED_VALUE"""),"#VALUE!")</f>
        <v>#VALUE!</v>
      </c>
      <c r="J481" s="51" t="str">
        <f>IFERROR(__xludf.DUMMYFUNCTION("""COMPUTED_VALUE"""),"")</f>
        <v/>
      </c>
      <c r="K481" s="51"/>
      <c r="L481" s="51" t="s">
        <v>257</v>
      </c>
      <c r="M481" s="51"/>
      <c r="N481" s="51"/>
      <c r="O481" s="51"/>
      <c r="P481" s="51"/>
      <c r="Q481" s="51"/>
      <c r="R481" s="51"/>
      <c r="S481" s="51"/>
      <c r="T481" s="51"/>
    </row>
    <row r="482">
      <c r="A482" s="51"/>
      <c r="B482" s="51"/>
      <c r="C482" s="56"/>
      <c r="D482" s="51"/>
      <c r="E482" s="51"/>
      <c r="F482" s="51"/>
      <c r="G482" s="51" t="str">
        <f>IFERROR(__xludf.DUMMYFUNCTION("""COMPUTED_VALUE"""),"#VALUE!")</f>
        <v>#VALUE!</v>
      </c>
      <c r="H482" s="51" t="str">
        <f>IFERROR(__xludf.DUMMYFUNCTION("""COMPUTED_VALUE"""),"")</f>
        <v/>
      </c>
      <c r="I482" s="51" t="str">
        <f>IFERROR(__xludf.DUMMYFUNCTION("""COMPUTED_VALUE"""),"#VALUE!")</f>
        <v>#VALUE!</v>
      </c>
      <c r="J482" s="51" t="str">
        <f>IFERROR(__xludf.DUMMYFUNCTION("""COMPUTED_VALUE"""),"")</f>
        <v/>
      </c>
      <c r="K482" s="51"/>
      <c r="L482" s="51" t="s">
        <v>257</v>
      </c>
      <c r="M482" s="51"/>
      <c r="N482" s="51"/>
      <c r="O482" s="51"/>
      <c r="P482" s="51"/>
      <c r="Q482" s="51"/>
      <c r="R482" s="51"/>
      <c r="S482" s="51"/>
      <c r="T482" s="51"/>
    </row>
    <row r="483">
      <c r="A483" s="51"/>
      <c r="B483" s="51"/>
      <c r="C483" s="56"/>
      <c r="D483" s="51"/>
      <c r="E483" s="51"/>
      <c r="F483" s="51"/>
      <c r="G483" s="51" t="str">
        <f>IFERROR(__xludf.DUMMYFUNCTION("""COMPUTED_VALUE"""),"#VALUE!")</f>
        <v>#VALUE!</v>
      </c>
      <c r="H483" s="51" t="str">
        <f>IFERROR(__xludf.DUMMYFUNCTION("""COMPUTED_VALUE"""),"")</f>
        <v/>
      </c>
      <c r="I483" s="51" t="str">
        <f>IFERROR(__xludf.DUMMYFUNCTION("""COMPUTED_VALUE"""),"#VALUE!")</f>
        <v>#VALUE!</v>
      </c>
      <c r="J483" s="51" t="str">
        <f>IFERROR(__xludf.DUMMYFUNCTION("""COMPUTED_VALUE"""),"")</f>
        <v/>
      </c>
      <c r="K483" s="51"/>
      <c r="L483" s="51" t="s">
        <v>257</v>
      </c>
      <c r="M483" s="51"/>
      <c r="N483" s="51"/>
      <c r="O483" s="51"/>
      <c r="P483" s="51"/>
      <c r="Q483" s="51"/>
      <c r="R483" s="51"/>
      <c r="S483" s="51"/>
      <c r="T483" s="51"/>
    </row>
    <row r="484">
      <c r="A484" s="51"/>
      <c r="B484" s="51"/>
      <c r="C484" s="56"/>
      <c r="D484" s="51"/>
      <c r="E484" s="51"/>
      <c r="F484" s="51"/>
      <c r="G484" s="51" t="str">
        <f>IFERROR(__xludf.DUMMYFUNCTION("""COMPUTED_VALUE"""),"#VALUE!")</f>
        <v>#VALUE!</v>
      </c>
      <c r="H484" s="51" t="str">
        <f>IFERROR(__xludf.DUMMYFUNCTION("""COMPUTED_VALUE"""),"")</f>
        <v/>
      </c>
      <c r="I484" s="51" t="str">
        <f>IFERROR(__xludf.DUMMYFUNCTION("""COMPUTED_VALUE"""),"#VALUE!")</f>
        <v>#VALUE!</v>
      </c>
      <c r="J484" s="51" t="str">
        <f>IFERROR(__xludf.DUMMYFUNCTION("""COMPUTED_VALUE"""),"")</f>
        <v/>
      </c>
      <c r="K484" s="51"/>
      <c r="L484" s="51" t="s">
        <v>257</v>
      </c>
      <c r="M484" s="51"/>
      <c r="N484" s="51"/>
      <c r="O484" s="51"/>
      <c r="P484" s="51"/>
      <c r="Q484" s="51"/>
      <c r="R484" s="51"/>
      <c r="S484" s="51"/>
      <c r="T484" s="51"/>
    </row>
    <row r="485">
      <c r="A485" s="51"/>
      <c r="B485" s="51"/>
      <c r="C485" s="56"/>
      <c r="D485" s="51"/>
      <c r="E485" s="51"/>
      <c r="F485" s="51"/>
      <c r="G485" s="51" t="str">
        <f>IFERROR(__xludf.DUMMYFUNCTION("""COMPUTED_VALUE"""),"#VALUE!")</f>
        <v>#VALUE!</v>
      </c>
      <c r="H485" s="51" t="str">
        <f>IFERROR(__xludf.DUMMYFUNCTION("""COMPUTED_VALUE"""),"")</f>
        <v/>
      </c>
      <c r="I485" s="51" t="str">
        <f>IFERROR(__xludf.DUMMYFUNCTION("""COMPUTED_VALUE"""),"#VALUE!")</f>
        <v>#VALUE!</v>
      </c>
      <c r="J485" s="51" t="str">
        <f>IFERROR(__xludf.DUMMYFUNCTION("""COMPUTED_VALUE"""),"")</f>
        <v/>
      </c>
      <c r="K485" s="51"/>
      <c r="L485" s="51" t="s">
        <v>257</v>
      </c>
      <c r="M485" s="51"/>
      <c r="N485" s="51"/>
      <c r="O485" s="51"/>
      <c r="P485" s="51"/>
      <c r="Q485" s="51"/>
      <c r="R485" s="51"/>
      <c r="S485" s="51"/>
      <c r="T485" s="51"/>
    </row>
    <row r="486">
      <c r="A486" s="51"/>
      <c r="B486" s="51"/>
      <c r="C486" s="56"/>
      <c r="D486" s="51"/>
      <c r="E486" s="51"/>
      <c r="F486" s="51"/>
      <c r="G486" s="51" t="str">
        <f>IFERROR(__xludf.DUMMYFUNCTION("""COMPUTED_VALUE"""),"#VALUE!")</f>
        <v>#VALUE!</v>
      </c>
      <c r="H486" s="51" t="str">
        <f>IFERROR(__xludf.DUMMYFUNCTION("""COMPUTED_VALUE"""),"")</f>
        <v/>
      </c>
      <c r="I486" s="51" t="str">
        <f>IFERROR(__xludf.DUMMYFUNCTION("""COMPUTED_VALUE"""),"#VALUE!")</f>
        <v>#VALUE!</v>
      </c>
      <c r="J486" s="51" t="str">
        <f>IFERROR(__xludf.DUMMYFUNCTION("""COMPUTED_VALUE"""),"")</f>
        <v/>
      </c>
      <c r="K486" s="51"/>
      <c r="L486" s="51" t="s">
        <v>257</v>
      </c>
      <c r="M486" s="51"/>
      <c r="N486" s="51"/>
      <c r="O486" s="51"/>
      <c r="P486" s="51"/>
      <c r="Q486" s="51"/>
      <c r="R486" s="51"/>
      <c r="S486" s="51"/>
      <c r="T486" s="51"/>
    </row>
    <row r="487">
      <c r="A487" s="51"/>
      <c r="B487" s="51"/>
      <c r="C487" s="56"/>
      <c r="D487" s="51"/>
      <c r="E487" s="51"/>
      <c r="F487" s="51"/>
      <c r="G487" s="51" t="str">
        <f>IFERROR(__xludf.DUMMYFUNCTION("""COMPUTED_VALUE"""),"#VALUE!")</f>
        <v>#VALUE!</v>
      </c>
      <c r="H487" s="51" t="str">
        <f>IFERROR(__xludf.DUMMYFUNCTION("""COMPUTED_VALUE"""),"")</f>
        <v/>
      </c>
      <c r="I487" s="51" t="str">
        <f>IFERROR(__xludf.DUMMYFUNCTION("""COMPUTED_VALUE"""),"#VALUE!")</f>
        <v>#VALUE!</v>
      </c>
      <c r="J487" s="51" t="str">
        <f>IFERROR(__xludf.DUMMYFUNCTION("""COMPUTED_VALUE"""),"")</f>
        <v/>
      </c>
      <c r="K487" s="51"/>
      <c r="L487" s="51" t="s">
        <v>257</v>
      </c>
      <c r="M487" s="51"/>
      <c r="N487" s="51"/>
      <c r="O487" s="51"/>
      <c r="P487" s="51"/>
      <c r="Q487" s="51"/>
      <c r="R487" s="51"/>
      <c r="S487" s="51"/>
      <c r="T487" s="51"/>
    </row>
    <row r="488">
      <c r="A488" s="51"/>
      <c r="B488" s="51"/>
      <c r="C488" s="56"/>
      <c r="D488" s="51"/>
      <c r="E488" s="51"/>
      <c r="F488" s="51"/>
      <c r="G488" s="51" t="str">
        <f>IFERROR(__xludf.DUMMYFUNCTION("""COMPUTED_VALUE"""),"#VALUE!")</f>
        <v>#VALUE!</v>
      </c>
      <c r="H488" s="51" t="str">
        <f>IFERROR(__xludf.DUMMYFUNCTION("""COMPUTED_VALUE"""),"")</f>
        <v/>
      </c>
      <c r="I488" s="51" t="str">
        <f>IFERROR(__xludf.DUMMYFUNCTION("""COMPUTED_VALUE"""),"#VALUE!")</f>
        <v>#VALUE!</v>
      </c>
      <c r="J488" s="51" t="str">
        <f>IFERROR(__xludf.DUMMYFUNCTION("""COMPUTED_VALUE"""),"")</f>
        <v/>
      </c>
      <c r="K488" s="51"/>
      <c r="L488" s="51" t="s">
        <v>257</v>
      </c>
      <c r="M488" s="51"/>
      <c r="N488" s="51"/>
      <c r="O488" s="51"/>
      <c r="P488" s="51"/>
      <c r="Q488" s="51"/>
      <c r="R488" s="51"/>
      <c r="S488" s="51"/>
      <c r="T488" s="51"/>
    </row>
    <row r="489">
      <c r="A489" s="51"/>
      <c r="B489" s="51"/>
      <c r="C489" s="56"/>
      <c r="D489" s="51"/>
      <c r="E489" s="51"/>
      <c r="F489" s="51"/>
      <c r="G489" s="51" t="str">
        <f>IFERROR(__xludf.DUMMYFUNCTION("""COMPUTED_VALUE"""),"#VALUE!")</f>
        <v>#VALUE!</v>
      </c>
      <c r="H489" s="51" t="str">
        <f>IFERROR(__xludf.DUMMYFUNCTION("""COMPUTED_VALUE"""),"")</f>
        <v/>
      </c>
      <c r="I489" s="51" t="str">
        <f>IFERROR(__xludf.DUMMYFUNCTION("""COMPUTED_VALUE"""),"#VALUE!")</f>
        <v>#VALUE!</v>
      </c>
      <c r="J489" s="51" t="str">
        <f>IFERROR(__xludf.DUMMYFUNCTION("""COMPUTED_VALUE"""),"")</f>
        <v/>
      </c>
      <c r="K489" s="51"/>
      <c r="L489" s="51" t="s">
        <v>257</v>
      </c>
      <c r="M489" s="51"/>
      <c r="N489" s="51"/>
      <c r="O489" s="51"/>
      <c r="P489" s="51"/>
      <c r="Q489" s="51"/>
      <c r="R489" s="51"/>
      <c r="S489" s="51"/>
      <c r="T489" s="51"/>
    </row>
    <row r="490">
      <c r="A490" s="51"/>
      <c r="B490" s="51"/>
      <c r="C490" s="56"/>
      <c r="D490" s="51"/>
      <c r="E490" s="51"/>
      <c r="F490" s="51"/>
      <c r="G490" s="51" t="str">
        <f>IFERROR(__xludf.DUMMYFUNCTION("""COMPUTED_VALUE"""),"#VALUE!")</f>
        <v>#VALUE!</v>
      </c>
      <c r="H490" s="51" t="str">
        <f>IFERROR(__xludf.DUMMYFUNCTION("""COMPUTED_VALUE"""),"")</f>
        <v/>
      </c>
      <c r="I490" s="51" t="str">
        <f>IFERROR(__xludf.DUMMYFUNCTION("""COMPUTED_VALUE"""),"#VALUE!")</f>
        <v>#VALUE!</v>
      </c>
      <c r="J490" s="51" t="str">
        <f>IFERROR(__xludf.DUMMYFUNCTION("""COMPUTED_VALUE"""),"")</f>
        <v/>
      </c>
      <c r="K490" s="51"/>
      <c r="L490" s="51" t="s">
        <v>257</v>
      </c>
      <c r="M490" s="51"/>
      <c r="N490" s="51"/>
      <c r="O490" s="51"/>
      <c r="P490" s="51"/>
      <c r="Q490" s="51"/>
      <c r="R490" s="51"/>
      <c r="S490" s="51"/>
      <c r="T490" s="51"/>
    </row>
    <row r="491">
      <c r="A491" s="51"/>
      <c r="B491" s="51"/>
      <c r="C491" s="56"/>
      <c r="D491" s="51"/>
      <c r="E491" s="51"/>
      <c r="F491" s="51"/>
      <c r="G491" s="51" t="str">
        <f>IFERROR(__xludf.DUMMYFUNCTION("""COMPUTED_VALUE"""),"#VALUE!")</f>
        <v>#VALUE!</v>
      </c>
      <c r="H491" s="51" t="str">
        <f>IFERROR(__xludf.DUMMYFUNCTION("""COMPUTED_VALUE"""),"")</f>
        <v/>
      </c>
      <c r="I491" s="51" t="str">
        <f>IFERROR(__xludf.DUMMYFUNCTION("""COMPUTED_VALUE"""),"#VALUE!")</f>
        <v>#VALUE!</v>
      </c>
      <c r="J491" s="51" t="str">
        <f>IFERROR(__xludf.DUMMYFUNCTION("""COMPUTED_VALUE"""),"")</f>
        <v/>
      </c>
      <c r="K491" s="51"/>
      <c r="L491" s="51" t="s">
        <v>257</v>
      </c>
      <c r="M491" s="51"/>
      <c r="N491" s="51"/>
      <c r="O491" s="51"/>
      <c r="P491" s="51"/>
      <c r="Q491" s="51"/>
      <c r="R491" s="51"/>
      <c r="S491" s="51"/>
      <c r="T491" s="51"/>
    </row>
    <row r="492">
      <c r="A492" s="51"/>
      <c r="B492" s="51"/>
      <c r="C492" s="56"/>
      <c r="D492" s="51"/>
      <c r="E492" s="51"/>
      <c r="F492" s="51"/>
      <c r="G492" s="51" t="str">
        <f>IFERROR(__xludf.DUMMYFUNCTION("""COMPUTED_VALUE"""),"#VALUE!")</f>
        <v>#VALUE!</v>
      </c>
      <c r="H492" s="51" t="str">
        <f>IFERROR(__xludf.DUMMYFUNCTION("""COMPUTED_VALUE"""),"")</f>
        <v/>
      </c>
      <c r="I492" s="51" t="str">
        <f>IFERROR(__xludf.DUMMYFUNCTION("""COMPUTED_VALUE"""),"#VALUE!")</f>
        <v>#VALUE!</v>
      </c>
      <c r="J492" s="51" t="str">
        <f>IFERROR(__xludf.DUMMYFUNCTION("""COMPUTED_VALUE"""),"")</f>
        <v/>
      </c>
      <c r="K492" s="51"/>
      <c r="L492" s="51" t="s">
        <v>257</v>
      </c>
      <c r="M492" s="51"/>
      <c r="N492" s="51"/>
      <c r="O492" s="51"/>
      <c r="P492" s="51"/>
      <c r="Q492" s="51"/>
      <c r="R492" s="51"/>
      <c r="S492" s="51"/>
      <c r="T492" s="51"/>
    </row>
    <row r="493">
      <c r="A493" s="51"/>
      <c r="B493" s="51"/>
      <c r="C493" s="56"/>
      <c r="D493" s="51"/>
      <c r="E493" s="51"/>
      <c r="F493" s="51"/>
      <c r="G493" s="51" t="str">
        <f>IFERROR(__xludf.DUMMYFUNCTION("""COMPUTED_VALUE"""),"#VALUE!")</f>
        <v>#VALUE!</v>
      </c>
      <c r="H493" s="51" t="str">
        <f>IFERROR(__xludf.DUMMYFUNCTION("""COMPUTED_VALUE"""),"")</f>
        <v/>
      </c>
      <c r="I493" s="51" t="str">
        <f>IFERROR(__xludf.DUMMYFUNCTION("""COMPUTED_VALUE"""),"#VALUE!")</f>
        <v>#VALUE!</v>
      </c>
      <c r="J493" s="51" t="str">
        <f>IFERROR(__xludf.DUMMYFUNCTION("""COMPUTED_VALUE"""),"")</f>
        <v/>
      </c>
      <c r="K493" s="51"/>
      <c r="L493" s="51" t="s">
        <v>257</v>
      </c>
      <c r="M493" s="51"/>
      <c r="N493" s="51"/>
      <c r="O493" s="51"/>
      <c r="P493" s="51"/>
      <c r="Q493" s="51"/>
      <c r="R493" s="51"/>
      <c r="S493" s="51"/>
      <c r="T493" s="51"/>
    </row>
    <row r="494">
      <c r="A494" s="51"/>
      <c r="B494" s="51"/>
      <c r="C494" s="56"/>
      <c r="D494" s="51"/>
      <c r="E494" s="51"/>
      <c r="F494" s="51"/>
      <c r="G494" s="51" t="str">
        <f>IFERROR(__xludf.DUMMYFUNCTION("""COMPUTED_VALUE"""),"#VALUE!")</f>
        <v>#VALUE!</v>
      </c>
      <c r="H494" s="51" t="str">
        <f>IFERROR(__xludf.DUMMYFUNCTION("""COMPUTED_VALUE"""),"")</f>
        <v/>
      </c>
      <c r="I494" s="51" t="str">
        <f>IFERROR(__xludf.DUMMYFUNCTION("""COMPUTED_VALUE"""),"#VALUE!")</f>
        <v>#VALUE!</v>
      </c>
      <c r="J494" s="51" t="str">
        <f>IFERROR(__xludf.DUMMYFUNCTION("""COMPUTED_VALUE"""),"")</f>
        <v/>
      </c>
      <c r="K494" s="51"/>
      <c r="L494" s="51" t="s">
        <v>257</v>
      </c>
      <c r="M494" s="51"/>
      <c r="N494" s="51"/>
      <c r="O494" s="51"/>
      <c r="P494" s="51"/>
      <c r="Q494" s="51"/>
      <c r="R494" s="51"/>
      <c r="S494" s="51"/>
      <c r="T494" s="51"/>
    </row>
    <row r="495">
      <c r="A495" s="51"/>
      <c r="B495" s="51"/>
      <c r="C495" s="56"/>
      <c r="D495" s="51"/>
      <c r="E495" s="51"/>
      <c r="F495" s="51"/>
      <c r="G495" s="51" t="str">
        <f>IFERROR(__xludf.DUMMYFUNCTION("""COMPUTED_VALUE"""),"#VALUE!")</f>
        <v>#VALUE!</v>
      </c>
      <c r="H495" s="51" t="str">
        <f>IFERROR(__xludf.DUMMYFUNCTION("""COMPUTED_VALUE"""),"")</f>
        <v/>
      </c>
      <c r="I495" s="51" t="str">
        <f>IFERROR(__xludf.DUMMYFUNCTION("""COMPUTED_VALUE"""),"#VALUE!")</f>
        <v>#VALUE!</v>
      </c>
      <c r="J495" s="51" t="str">
        <f>IFERROR(__xludf.DUMMYFUNCTION("""COMPUTED_VALUE"""),"")</f>
        <v/>
      </c>
      <c r="K495" s="51"/>
      <c r="L495" s="51" t="s">
        <v>257</v>
      </c>
      <c r="M495" s="51"/>
      <c r="N495" s="51"/>
      <c r="O495" s="51"/>
      <c r="P495" s="51"/>
      <c r="Q495" s="51"/>
      <c r="R495" s="51"/>
      <c r="S495" s="51"/>
      <c r="T495" s="51"/>
    </row>
    <row r="496">
      <c r="A496" s="51"/>
      <c r="B496" s="51"/>
      <c r="C496" s="56"/>
      <c r="D496" s="51"/>
      <c r="E496" s="51"/>
      <c r="F496" s="51"/>
      <c r="G496" s="51" t="str">
        <f>IFERROR(__xludf.DUMMYFUNCTION("""COMPUTED_VALUE"""),"#VALUE!")</f>
        <v>#VALUE!</v>
      </c>
      <c r="H496" s="51" t="str">
        <f>IFERROR(__xludf.DUMMYFUNCTION("""COMPUTED_VALUE"""),"")</f>
        <v/>
      </c>
      <c r="I496" s="51" t="str">
        <f>IFERROR(__xludf.DUMMYFUNCTION("""COMPUTED_VALUE"""),"#VALUE!")</f>
        <v>#VALUE!</v>
      </c>
      <c r="J496" s="51" t="str">
        <f>IFERROR(__xludf.DUMMYFUNCTION("""COMPUTED_VALUE"""),"")</f>
        <v/>
      </c>
      <c r="K496" s="51"/>
      <c r="L496" s="51" t="s">
        <v>257</v>
      </c>
      <c r="M496" s="51"/>
      <c r="N496" s="51"/>
      <c r="O496" s="51"/>
      <c r="P496" s="51"/>
      <c r="Q496" s="51"/>
      <c r="R496" s="51"/>
      <c r="S496" s="51"/>
      <c r="T496" s="51"/>
    </row>
    <row r="497">
      <c r="A497" s="51"/>
      <c r="B497" s="51"/>
      <c r="C497" s="56"/>
      <c r="D497" s="51"/>
      <c r="E497" s="51"/>
      <c r="F497" s="51"/>
      <c r="G497" s="51" t="str">
        <f>IFERROR(__xludf.DUMMYFUNCTION("""COMPUTED_VALUE"""),"#VALUE!")</f>
        <v>#VALUE!</v>
      </c>
      <c r="H497" s="51" t="str">
        <f>IFERROR(__xludf.DUMMYFUNCTION("""COMPUTED_VALUE"""),"")</f>
        <v/>
      </c>
      <c r="I497" s="51" t="str">
        <f>IFERROR(__xludf.DUMMYFUNCTION("""COMPUTED_VALUE"""),"#VALUE!")</f>
        <v>#VALUE!</v>
      </c>
      <c r="J497" s="51" t="str">
        <f>IFERROR(__xludf.DUMMYFUNCTION("""COMPUTED_VALUE"""),"")</f>
        <v/>
      </c>
      <c r="K497" s="51"/>
      <c r="L497" s="51" t="s">
        <v>257</v>
      </c>
      <c r="M497" s="51"/>
      <c r="N497" s="51"/>
      <c r="O497" s="51"/>
      <c r="P497" s="51"/>
      <c r="Q497" s="51"/>
      <c r="R497" s="51"/>
      <c r="S497" s="51"/>
      <c r="T497" s="51"/>
    </row>
    <row r="498">
      <c r="A498" s="51"/>
      <c r="B498" s="51"/>
      <c r="C498" s="56"/>
      <c r="D498" s="51"/>
      <c r="E498" s="51"/>
      <c r="F498" s="51"/>
      <c r="G498" s="51" t="str">
        <f>IFERROR(__xludf.DUMMYFUNCTION("""COMPUTED_VALUE"""),"#VALUE!")</f>
        <v>#VALUE!</v>
      </c>
      <c r="H498" s="51" t="str">
        <f>IFERROR(__xludf.DUMMYFUNCTION("""COMPUTED_VALUE"""),"")</f>
        <v/>
      </c>
      <c r="I498" s="51" t="str">
        <f>IFERROR(__xludf.DUMMYFUNCTION("""COMPUTED_VALUE"""),"#VALUE!")</f>
        <v>#VALUE!</v>
      </c>
      <c r="J498" s="51" t="str">
        <f>IFERROR(__xludf.DUMMYFUNCTION("""COMPUTED_VALUE"""),"")</f>
        <v/>
      </c>
      <c r="K498" s="51"/>
      <c r="L498" s="51" t="s">
        <v>257</v>
      </c>
      <c r="M498" s="51"/>
      <c r="N498" s="51"/>
      <c r="O498" s="51"/>
      <c r="P498" s="51"/>
      <c r="Q498" s="51"/>
      <c r="R498" s="51"/>
      <c r="S498" s="51"/>
      <c r="T498" s="51"/>
    </row>
    <row r="499">
      <c r="A499" s="51"/>
      <c r="B499" s="51"/>
      <c r="C499" s="56"/>
      <c r="D499" s="51"/>
      <c r="E499" s="51"/>
      <c r="F499" s="51"/>
      <c r="G499" s="51" t="str">
        <f>IFERROR(__xludf.DUMMYFUNCTION("""COMPUTED_VALUE"""),"#VALUE!")</f>
        <v>#VALUE!</v>
      </c>
      <c r="H499" s="51" t="str">
        <f>IFERROR(__xludf.DUMMYFUNCTION("""COMPUTED_VALUE"""),"")</f>
        <v/>
      </c>
      <c r="I499" s="51" t="str">
        <f>IFERROR(__xludf.DUMMYFUNCTION("""COMPUTED_VALUE"""),"#VALUE!")</f>
        <v>#VALUE!</v>
      </c>
      <c r="J499" s="51" t="str">
        <f>IFERROR(__xludf.DUMMYFUNCTION("""COMPUTED_VALUE"""),"")</f>
        <v/>
      </c>
      <c r="K499" s="51"/>
      <c r="L499" s="51" t="s">
        <v>257</v>
      </c>
      <c r="M499" s="51"/>
      <c r="N499" s="51"/>
      <c r="O499" s="51"/>
      <c r="P499" s="51"/>
      <c r="Q499" s="51"/>
      <c r="R499" s="51"/>
      <c r="S499" s="51"/>
      <c r="T499" s="51"/>
    </row>
    <row r="500">
      <c r="A500" s="51"/>
      <c r="B500" s="51"/>
      <c r="C500" s="56"/>
      <c r="D500" s="51"/>
      <c r="E500" s="51"/>
      <c r="F500" s="51"/>
      <c r="G500" s="51" t="str">
        <f>IFERROR(__xludf.DUMMYFUNCTION("""COMPUTED_VALUE"""),"#VALUE!")</f>
        <v>#VALUE!</v>
      </c>
      <c r="H500" s="51" t="str">
        <f>IFERROR(__xludf.DUMMYFUNCTION("""COMPUTED_VALUE"""),"")</f>
        <v/>
      </c>
      <c r="I500" s="51" t="str">
        <f>IFERROR(__xludf.DUMMYFUNCTION("""COMPUTED_VALUE"""),"#VALUE!")</f>
        <v>#VALUE!</v>
      </c>
      <c r="J500" s="51" t="str">
        <f>IFERROR(__xludf.DUMMYFUNCTION("""COMPUTED_VALUE"""),"")</f>
        <v/>
      </c>
      <c r="K500" s="51"/>
      <c r="L500" s="51" t="s">
        <v>257</v>
      </c>
      <c r="M500" s="51"/>
      <c r="N500" s="51"/>
      <c r="O500" s="51"/>
      <c r="P500" s="51"/>
      <c r="Q500" s="51"/>
      <c r="R500" s="51"/>
      <c r="S500" s="51"/>
      <c r="T500" s="51"/>
    </row>
    <row r="501">
      <c r="A501" s="51"/>
      <c r="B501" s="51"/>
      <c r="C501" s="56"/>
      <c r="D501" s="51"/>
      <c r="E501" s="51"/>
      <c r="F501" s="51"/>
      <c r="G501" s="51" t="str">
        <f>IFERROR(__xludf.DUMMYFUNCTION("""COMPUTED_VALUE"""),"#VALUE!")</f>
        <v>#VALUE!</v>
      </c>
      <c r="H501" s="51" t="str">
        <f>IFERROR(__xludf.DUMMYFUNCTION("""COMPUTED_VALUE"""),"")</f>
        <v/>
      </c>
      <c r="I501" s="51" t="str">
        <f>IFERROR(__xludf.DUMMYFUNCTION("""COMPUTED_VALUE"""),"#VALUE!")</f>
        <v>#VALUE!</v>
      </c>
      <c r="J501" s="51" t="str">
        <f>IFERROR(__xludf.DUMMYFUNCTION("""COMPUTED_VALUE"""),"")</f>
        <v/>
      </c>
      <c r="K501" s="51"/>
      <c r="L501" s="51" t="s">
        <v>257</v>
      </c>
      <c r="M501" s="51"/>
      <c r="N501" s="51"/>
      <c r="O501" s="51"/>
      <c r="P501" s="51"/>
      <c r="Q501" s="51"/>
      <c r="R501" s="51"/>
      <c r="S501" s="51"/>
      <c r="T501" s="51"/>
    </row>
    <row r="502">
      <c r="A502" s="51"/>
      <c r="B502" s="51"/>
      <c r="C502" s="56"/>
      <c r="D502" s="51"/>
      <c r="E502" s="51"/>
      <c r="F502" s="51"/>
      <c r="G502" s="51" t="str">
        <f>IFERROR(__xludf.DUMMYFUNCTION("""COMPUTED_VALUE"""),"#VALUE!")</f>
        <v>#VALUE!</v>
      </c>
      <c r="H502" s="51" t="str">
        <f>IFERROR(__xludf.DUMMYFUNCTION("""COMPUTED_VALUE"""),"")</f>
        <v/>
      </c>
      <c r="I502" s="51" t="str">
        <f>IFERROR(__xludf.DUMMYFUNCTION("""COMPUTED_VALUE"""),"#VALUE!")</f>
        <v>#VALUE!</v>
      </c>
      <c r="J502" s="51" t="str">
        <f>IFERROR(__xludf.DUMMYFUNCTION("""COMPUTED_VALUE"""),"")</f>
        <v/>
      </c>
      <c r="K502" s="51"/>
      <c r="L502" s="51" t="s">
        <v>257</v>
      </c>
      <c r="M502" s="51"/>
      <c r="N502" s="51"/>
      <c r="O502" s="51"/>
      <c r="P502" s="51"/>
      <c r="Q502" s="51"/>
      <c r="R502" s="51"/>
      <c r="S502" s="51"/>
      <c r="T502" s="51"/>
    </row>
    <row r="503">
      <c r="A503" s="51"/>
      <c r="B503" s="51"/>
      <c r="C503" s="56"/>
      <c r="D503" s="51"/>
      <c r="E503" s="51"/>
      <c r="F503" s="51"/>
      <c r="G503" s="51" t="str">
        <f>IFERROR(__xludf.DUMMYFUNCTION("""COMPUTED_VALUE"""),"#VALUE!")</f>
        <v>#VALUE!</v>
      </c>
      <c r="H503" s="51" t="str">
        <f>IFERROR(__xludf.DUMMYFUNCTION("""COMPUTED_VALUE"""),"")</f>
        <v/>
      </c>
      <c r="I503" s="51" t="str">
        <f>IFERROR(__xludf.DUMMYFUNCTION("""COMPUTED_VALUE"""),"#VALUE!")</f>
        <v>#VALUE!</v>
      </c>
      <c r="J503" s="51" t="str">
        <f>IFERROR(__xludf.DUMMYFUNCTION("""COMPUTED_VALUE"""),"")</f>
        <v/>
      </c>
      <c r="K503" s="51"/>
      <c r="L503" s="51" t="s">
        <v>257</v>
      </c>
      <c r="M503" s="51"/>
      <c r="N503" s="51"/>
      <c r="O503" s="51"/>
      <c r="P503" s="51"/>
      <c r="Q503" s="51"/>
      <c r="R503" s="51"/>
      <c r="S503" s="51"/>
      <c r="T503" s="51"/>
    </row>
    <row r="504">
      <c r="A504" s="51"/>
      <c r="B504" s="51"/>
      <c r="C504" s="56"/>
      <c r="D504" s="51"/>
      <c r="E504" s="51"/>
      <c r="F504" s="51"/>
      <c r="G504" s="51" t="str">
        <f>IFERROR(__xludf.DUMMYFUNCTION("""COMPUTED_VALUE"""),"#VALUE!")</f>
        <v>#VALUE!</v>
      </c>
      <c r="H504" s="51" t="str">
        <f>IFERROR(__xludf.DUMMYFUNCTION("""COMPUTED_VALUE"""),"")</f>
        <v/>
      </c>
      <c r="I504" s="51" t="str">
        <f>IFERROR(__xludf.DUMMYFUNCTION("""COMPUTED_VALUE"""),"#VALUE!")</f>
        <v>#VALUE!</v>
      </c>
      <c r="J504" s="51" t="str">
        <f>IFERROR(__xludf.DUMMYFUNCTION("""COMPUTED_VALUE"""),"")</f>
        <v/>
      </c>
      <c r="K504" s="51"/>
      <c r="L504" s="51" t="s">
        <v>257</v>
      </c>
      <c r="M504" s="51"/>
      <c r="N504" s="51"/>
      <c r="O504" s="51"/>
      <c r="P504" s="51"/>
      <c r="Q504" s="51"/>
      <c r="R504" s="51"/>
      <c r="S504" s="51"/>
      <c r="T504" s="51"/>
    </row>
    <row r="505">
      <c r="A505" s="51"/>
      <c r="B505" s="51"/>
      <c r="C505" s="56"/>
      <c r="D505" s="51"/>
      <c r="E505" s="51"/>
      <c r="F505" s="51"/>
      <c r="G505" s="51" t="str">
        <f>IFERROR(__xludf.DUMMYFUNCTION("""COMPUTED_VALUE"""),"#VALUE!")</f>
        <v>#VALUE!</v>
      </c>
      <c r="H505" s="51" t="str">
        <f>IFERROR(__xludf.DUMMYFUNCTION("""COMPUTED_VALUE"""),"")</f>
        <v/>
      </c>
      <c r="I505" s="51" t="str">
        <f>IFERROR(__xludf.DUMMYFUNCTION("""COMPUTED_VALUE"""),"#VALUE!")</f>
        <v>#VALUE!</v>
      </c>
      <c r="J505" s="51" t="str">
        <f>IFERROR(__xludf.DUMMYFUNCTION("""COMPUTED_VALUE"""),"")</f>
        <v/>
      </c>
      <c r="K505" s="51"/>
      <c r="L505" s="51" t="s">
        <v>257</v>
      </c>
      <c r="M505" s="51"/>
      <c r="N505" s="51"/>
      <c r="O505" s="51"/>
      <c r="P505" s="51"/>
      <c r="Q505" s="51"/>
      <c r="R505" s="51"/>
      <c r="S505" s="51"/>
      <c r="T505" s="51"/>
    </row>
    <row r="506">
      <c r="A506" s="51"/>
      <c r="B506" s="51"/>
      <c r="C506" s="56"/>
      <c r="D506" s="51"/>
      <c r="E506" s="51"/>
      <c r="F506" s="51"/>
      <c r="G506" s="51" t="str">
        <f>IFERROR(__xludf.DUMMYFUNCTION("""COMPUTED_VALUE"""),"#VALUE!")</f>
        <v>#VALUE!</v>
      </c>
      <c r="H506" s="51" t="str">
        <f>IFERROR(__xludf.DUMMYFUNCTION("""COMPUTED_VALUE"""),"")</f>
        <v/>
      </c>
      <c r="I506" s="51" t="str">
        <f>IFERROR(__xludf.DUMMYFUNCTION("""COMPUTED_VALUE"""),"#VALUE!")</f>
        <v>#VALUE!</v>
      </c>
      <c r="J506" s="51" t="str">
        <f>IFERROR(__xludf.DUMMYFUNCTION("""COMPUTED_VALUE"""),"")</f>
        <v/>
      </c>
      <c r="K506" s="51"/>
      <c r="L506" s="51" t="s">
        <v>257</v>
      </c>
      <c r="M506" s="51"/>
      <c r="N506" s="51"/>
      <c r="O506" s="51"/>
      <c r="P506" s="51"/>
      <c r="Q506" s="51"/>
      <c r="R506" s="51"/>
      <c r="S506" s="51"/>
      <c r="T506" s="51"/>
    </row>
    <row r="507">
      <c r="A507" s="51"/>
      <c r="B507" s="51"/>
      <c r="C507" s="56"/>
      <c r="D507" s="51"/>
      <c r="E507" s="51"/>
      <c r="F507" s="51"/>
      <c r="G507" s="51" t="str">
        <f>IFERROR(__xludf.DUMMYFUNCTION("""COMPUTED_VALUE"""),"#VALUE!")</f>
        <v>#VALUE!</v>
      </c>
      <c r="H507" s="51" t="str">
        <f>IFERROR(__xludf.DUMMYFUNCTION("""COMPUTED_VALUE"""),"")</f>
        <v/>
      </c>
      <c r="I507" s="51" t="str">
        <f>IFERROR(__xludf.DUMMYFUNCTION("""COMPUTED_VALUE"""),"#VALUE!")</f>
        <v>#VALUE!</v>
      </c>
      <c r="J507" s="51" t="str">
        <f>IFERROR(__xludf.DUMMYFUNCTION("""COMPUTED_VALUE"""),"")</f>
        <v/>
      </c>
      <c r="K507" s="51"/>
      <c r="L507" s="51" t="s">
        <v>257</v>
      </c>
      <c r="M507" s="51"/>
      <c r="N507" s="51"/>
      <c r="O507" s="51"/>
      <c r="P507" s="51"/>
      <c r="Q507" s="51"/>
      <c r="R507" s="51"/>
      <c r="S507" s="51"/>
      <c r="T507" s="51"/>
    </row>
    <row r="508">
      <c r="A508" s="51"/>
      <c r="B508" s="51"/>
      <c r="C508" s="56"/>
      <c r="D508" s="51"/>
      <c r="E508" s="51"/>
      <c r="F508" s="51"/>
      <c r="G508" s="51" t="str">
        <f>IFERROR(__xludf.DUMMYFUNCTION("""COMPUTED_VALUE"""),"#VALUE!")</f>
        <v>#VALUE!</v>
      </c>
      <c r="H508" s="51" t="str">
        <f>IFERROR(__xludf.DUMMYFUNCTION("""COMPUTED_VALUE"""),"")</f>
        <v/>
      </c>
      <c r="I508" s="51" t="str">
        <f>IFERROR(__xludf.DUMMYFUNCTION("""COMPUTED_VALUE"""),"#VALUE!")</f>
        <v>#VALUE!</v>
      </c>
      <c r="J508" s="51" t="str">
        <f>IFERROR(__xludf.DUMMYFUNCTION("""COMPUTED_VALUE"""),"")</f>
        <v/>
      </c>
      <c r="K508" s="51"/>
      <c r="L508" s="51" t="s">
        <v>257</v>
      </c>
      <c r="M508" s="51"/>
      <c r="N508" s="51"/>
      <c r="O508" s="51"/>
      <c r="P508" s="51"/>
      <c r="Q508" s="51"/>
      <c r="R508" s="51"/>
      <c r="S508" s="51"/>
      <c r="T508" s="51"/>
    </row>
    <row r="509">
      <c r="A509" s="51"/>
      <c r="B509" s="51"/>
      <c r="C509" s="56"/>
      <c r="D509" s="51"/>
      <c r="E509" s="51"/>
      <c r="F509" s="51"/>
      <c r="G509" s="51" t="str">
        <f>IFERROR(__xludf.DUMMYFUNCTION("""COMPUTED_VALUE"""),"#VALUE!")</f>
        <v>#VALUE!</v>
      </c>
      <c r="H509" s="51" t="str">
        <f>IFERROR(__xludf.DUMMYFUNCTION("""COMPUTED_VALUE"""),"")</f>
        <v/>
      </c>
      <c r="I509" s="51" t="str">
        <f>IFERROR(__xludf.DUMMYFUNCTION("""COMPUTED_VALUE"""),"#VALUE!")</f>
        <v>#VALUE!</v>
      </c>
      <c r="J509" s="51" t="str">
        <f>IFERROR(__xludf.DUMMYFUNCTION("""COMPUTED_VALUE"""),"")</f>
        <v/>
      </c>
      <c r="K509" s="51"/>
      <c r="L509" s="51" t="s">
        <v>257</v>
      </c>
      <c r="M509" s="51"/>
      <c r="N509" s="51"/>
      <c r="O509" s="51"/>
      <c r="P509" s="51"/>
      <c r="Q509" s="51"/>
      <c r="R509" s="51"/>
      <c r="S509" s="51"/>
      <c r="T509" s="51"/>
    </row>
    <row r="510">
      <c r="A510" s="51"/>
      <c r="B510" s="51"/>
      <c r="C510" s="56"/>
      <c r="D510" s="51"/>
      <c r="E510" s="51"/>
      <c r="F510" s="51"/>
      <c r="G510" s="51" t="str">
        <f>IFERROR(__xludf.DUMMYFUNCTION("""COMPUTED_VALUE"""),"#VALUE!")</f>
        <v>#VALUE!</v>
      </c>
      <c r="H510" s="51" t="str">
        <f>IFERROR(__xludf.DUMMYFUNCTION("""COMPUTED_VALUE"""),"")</f>
        <v/>
      </c>
      <c r="I510" s="51" t="str">
        <f>IFERROR(__xludf.DUMMYFUNCTION("""COMPUTED_VALUE"""),"#VALUE!")</f>
        <v>#VALUE!</v>
      </c>
      <c r="J510" s="51" t="str">
        <f>IFERROR(__xludf.DUMMYFUNCTION("""COMPUTED_VALUE"""),"")</f>
        <v/>
      </c>
      <c r="K510" s="51"/>
      <c r="L510" s="51" t="s">
        <v>257</v>
      </c>
      <c r="M510" s="51"/>
      <c r="N510" s="51"/>
      <c r="O510" s="51"/>
      <c r="P510" s="51"/>
      <c r="Q510" s="51"/>
      <c r="R510" s="51"/>
      <c r="S510" s="51"/>
      <c r="T510" s="51"/>
    </row>
    <row r="511">
      <c r="A511" s="51"/>
      <c r="B511" s="51"/>
      <c r="C511" s="56"/>
      <c r="D511" s="51"/>
      <c r="E511" s="51"/>
      <c r="F511" s="51"/>
      <c r="G511" s="51" t="str">
        <f>IFERROR(__xludf.DUMMYFUNCTION("""COMPUTED_VALUE"""),"#VALUE!")</f>
        <v>#VALUE!</v>
      </c>
      <c r="H511" s="51" t="str">
        <f>IFERROR(__xludf.DUMMYFUNCTION("""COMPUTED_VALUE"""),"")</f>
        <v/>
      </c>
      <c r="I511" s="51" t="str">
        <f>IFERROR(__xludf.DUMMYFUNCTION("""COMPUTED_VALUE"""),"#VALUE!")</f>
        <v>#VALUE!</v>
      </c>
      <c r="J511" s="51" t="str">
        <f>IFERROR(__xludf.DUMMYFUNCTION("""COMPUTED_VALUE"""),"")</f>
        <v/>
      </c>
      <c r="K511" s="51"/>
      <c r="L511" s="51" t="s">
        <v>257</v>
      </c>
      <c r="M511" s="51"/>
      <c r="N511" s="51"/>
      <c r="O511" s="51"/>
      <c r="P511" s="51"/>
      <c r="Q511" s="51"/>
      <c r="R511" s="51"/>
      <c r="S511" s="51"/>
      <c r="T511" s="51"/>
    </row>
    <row r="512">
      <c r="A512" s="51"/>
      <c r="B512" s="51"/>
      <c r="C512" s="56"/>
      <c r="D512" s="51"/>
      <c r="E512" s="51"/>
      <c r="F512" s="51"/>
      <c r="G512" s="51" t="str">
        <f>IFERROR(__xludf.DUMMYFUNCTION("""COMPUTED_VALUE"""),"#VALUE!")</f>
        <v>#VALUE!</v>
      </c>
      <c r="H512" s="51" t="str">
        <f>IFERROR(__xludf.DUMMYFUNCTION("""COMPUTED_VALUE"""),"")</f>
        <v/>
      </c>
      <c r="I512" s="51" t="str">
        <f>IFERROR(__xludf.DUMMYFUNCTION("""COMPUTED_VALUE"""),"#VALUE!")</f>
        <v>#VALUE!</v>
      </c>
      <c r="J512" s="51" t="str">
        <f>IFERROR(__xludf.DUMMYFUNCTION("""COMPUTED_VALUE"""),"")</f>
        <v/>
      </c>
      <c r="K512" s="51"/>
      <c r="L512" s="51" t="s">
        <v>257</v>
      </c>
      <c r="M512" s="51"/>
      <c r="N512" s="51"/>
      <c r="O512" s="51"/>
      <c r="P512" s="51"/>
      <c r="Q512" s="51"/>
      <c r="R512" s="51"/>
      <c r="S512" s="51"/>
      <c r="T512" s="51"/>
    </row>
    <row r="513">
      <c r="A513" s="51"/>
      <c r="B513" s="51"/>
      <c r="C513" s="56"/>
      <c r="D513" s="51"/>
      <c r="E513" s="51"/>
      <c r="F513" s="51"/>
      <c r="G513" s="51" t="str">
        <f>IFERROR(__xludf.DUMMYFUNCTION("""COMPUTED_VALUE"""),"#VALUE!")</f>
        <v>#VALUE!</v>
      </c>
      <c r="H513" s="51" t="str">
        <f>IFERROR(__xludf.DUMMYFUNCTION("""COMPUTED_VALUE"""),"")</f>
        <v/>
      </c>
      <c r="I513" s="51" t="str">
        <f>IFERROR(__xludf.DUMMYFUNCTION("""COMPUTED_VALUE"""),"#VALUE!")</f>
        <v>#VALUE!</v>
      </c>
      <c r="J513" s="51" t="str">
        <f>IFERROR(__xludf.DUMMYFUNCTION("""COMPUTED_VALUE"""),"")</f>
        <v/>
      </c>
      <c r="K513" s="51"/>
      <c r="L513" s="51" t="s">
        <v>257</v>
      </c>
      <c r="M513" s="51"/>
      <c r="N513" s="51"/>
      <c r="O513" s="51"/>
      <c r="P513" s="51"/>
      <c r="Q513" s="51"/>
      <c r="R513" s="51"/>
      <c r="S513" s="51"/>
      <c r="T513" s="51"/>
    </row>
    <row r="514">
      <c r="A514" s="51"/>
      <c r="B514" s="51"/>
      <c r="C514" s="56"/>
      <c r="D514" s="51"/>
      <c r="E514" s="51"/>
      <c r="F514" s="51"/>
      <c r="G514" s="51" t="str">
        <f>IFERROR(__xludf.DUMMYFUNCTION("""COMPUTED_VALUE"""),"#VALUE!")</f>
        <v>#VALUE!</v>
      </c>
      <c r="H514" s="51" t="str">
        <f>IFERROR(__xludf.DUMMYFUNCTION("""COMPUTED_VALUE"""),"")</f>
        <v/>
      </c>
      <c r="I514" s="51" t="str">
        <f>IFERROR(__xludf.DUMMYFUNCTION("""COMPUTED_VALUE"""),"#VALUE!")</f>
        <v>#VALUE!</v>
      </c>
      <c r="J514" s="51" t="str">
        <f>IFERROR(__xludf.DUMMYFUNCTION("""COMPUTED_VALUE"""),"")</f>
        <v/>
      </c>
      <c r="K514" s="51"/>
      <c r="L514" s="51" t="s">
        <v>257</v>
      </c>
      <c r="M514" s="51"/>
      <c r="N514" s="51"/>
      <c r="O514" s="51"/>
      <c r="P514" s="51"/>
      <c r="Q514" s="51"/>
      <c r="R514" s="51"/>
      <c r="S514" s="51"/>
      <c r="T514" s="51"/>
    </row>
    <row r="515">
      <c r="A515" s="51"/>
      <c r="B515" s="51"/>
      <c r="C515" s="56"/>
      <c r="D515" s="51"/>
      <c r="E515" s="51"/>
      <c r="F515" s="51"/>
      <c r="G515" s="51" t="str">
        <f>IFERROR(__xludf.DUMMYFUNCTION("""COMPUTED_VALUE"""),"#VALUE!")</f>
        <v>#VALUE!</v>
      </c>
      <c r="H515" s="51" t="str">
        <f>IFERROR(__xludf.DUMMYFUNCTION("""COMPUTED_VALUE"""),"")</f>
        <v/>
      </c>
      <c r="I515" s="51" t="str">
        <f>IFERROR(__xludf.DUMMYFUNCTION("""COMPUTED_VALUE"""),"#VALUE!")</f>
        <v>#VALUE!</v>
      </c>
      <c r="J515" s="51" t="str">
        <f>IFERROR(__xludf.DUMMYFUNCTION("""COMPUTED_VALUE"""),"")</f>
        <v/>
      </c>
      <c r="K515" s="51"/>
      <c r="L515" s="51" t="s">
        <v>257</v>
      </c>
      <c r="M515" s="51"/>
      <c r="N515" s="51"/>
      <c r="O515" s="51"/>
      <c r="P515" s="51"/>
      <c r="Q515" s="51"/>
      <c r="R515" s="51"/>
      <c r="S515" s="51"/>
      <c r="T515" s="51"/>
    </row>
    <row r="516">
      <c r="A516" s="51"/>
      <c r="B516" s="51"/>
      <c r="C516" s="56"/>
      <c r="D516" s="51"/>
      <c r="E516" s="51"/>
      <c r="F516" s="51"/>
      <c r="G516" s="51" t="str">
        <f>IFERROR(__xludf.DUMMYFUNCTION("""COMPUTED_VALUE"""),"#VALUE!")</f>
        <v>#VALUE!</v>
      </c>
      <c r="H516" s="51" t="str">
        <f>IFERROR(__xludf.DUMMYFUNCTION("""COMPUTED_VALUE"""),"")</f>
        <v/>
      </c>
      <c r="I516" s="51" t="str">
        <f>IFERROR(__xludf.DUMMYFUNCTION("""COMPUTED_VALUE"""),"#VALUE!")</f>
        <v>#VALUE!</v>
      </c>
      <c r="J516" s="51" t="str">
        <f>IFERROR(__xludf.DUMMYFUNCTION("""COMPUTED_VALUE"""),"")</f>
        <v/>
      </c>
      <c r="K516" s="51"/>
      <c r="L516" s="51" t="s">
        <v>257</v>
      </c>
      <c r="M516" s="51"/>
      <c r="N516" s="51"/>
      <c r="O516" s="51"/>
      <c r="P516" s="51"/>
      <c r="Q516" s="51"/>
      <c r="R516" s="51"/>
      <c r="S516" s="51"/>
      <c r="T516" s="51"/>
    </row>
    <row r="517">
      <c r="A517" s="51"/>
      <c r="B517" s="51"/>
      <c r="C517" s="56"/>
      <c r="D517" s="51"/>
      <c r="E517" s="51"/>
      <c r="F517" s="51"/>
      <c r="G517" s="51" t="str">
        <f>IFERROR(__xludf.DUMMYFUNCTION("""COMPUTED_VALUE"""),"#VALUE!")</f>
        <v>#VALUE!</v>
      </c>
      <c r="H517" s="51" t="str">
        <f>IFERROR(__xludf.DUMMYFUNCTION("""COMPUTED_VALUE"""),"")</f>
        <v/>
      </c>
      <c r="I517" s="51" t="str">
        <f>IFERROR(__xludf.DUMMYFUNCTION("""COMPUTED_VALUE"""),"#VALUE!")</f>
        <v>#VALUE!</v>
      </c>
      <c r="J517" s="51" t="str">
        <f>IFERROR(__xludf.DUMMYFUNCTION("""COMPUTED_VALUE"""),"")</f>
        <v/>
      </c>
      <c r="K517" s="51"/>
      <c r="L517" s="51" t="s">
        <v>257</v>
      </c>
      <c r="M517" s="51"/>
      <c r="N517" s="51"/>
      <c r="O517" s="51"/>
      <c r="P517" s="51"/>
      <c r="Q517" s="51"/>
      <c r="R517" s="51"/>
      <c r="S517" s="51"/>
      <c r="T517" s="51"/>
    </row>
    <row r="518">
      <c r="A518" s="51"/>
      <c r="B518" s="51"/>
      <c r="C518" s="56"/>
      <c r="D518" s="51"/>
      <c r="E518" s="51"/>
      <c r="F518" s="51"/>
      <c r="G518" s="51" t="str">
        <f>IFERROR(__xludf.DUMMYFUNCTION("""COMPUTED_VALUE"""),"#VALUE!")</f>
        <v>#VALUE!</v>
      </c>
      <c r="H518" s="51" t="str">
        <f>IFERROR(__xludf.DUMMYFUNCTION("""COMPUTED_VALUE"""),"")</f>
        <v/>
      </c>
      <c r="I518" s="51" t="str">
        <f>IFERROR(__xludf.DUMMYFUNCTION("""COMPUTED_VALUE"""),"#VALUE!")</f>
        <v>#VALUE!</v>
      </c>
      <c r="J518" s="51" t="str">
        <f>IFERROR(__xludf.DUMMYFUNCTION("""COMPUTED_VALUE"""),"")</f>
        <v/>
      </c>
      <c r="K518" s="51"/>
      <c r="L518" s="51" t="s">
        <v>257</v>
      </c>
      <c r="M518" s="51"/>
      <c r="N518" s="51"/>
      <c r="O518" s="51"/>
      <c r="P518" s="51"/>
      <c r="Q518" s="51"/>
      <c r="R518" s="51"/>
      <c r="S518" s="51"/>
      <c r="T518" s="51"/>
    </row>
    <row r="519">
      <c r="A519" s="51"/>
      <c r="B519" s="51"/>
      <c r="C519" s="56"/>
      <c r="D519" s="51"/>
      <c r="E519" s="51"/>
      <c r="F519" s="51"/>
      <c r="G519" s="51" t="str">
        <f>IFERROR(__xludf.DUMMYFUNCTION("""COMPUTED_VALUE"""),"#VALUE!")</f>
        <v>#VALUE!</v>
      </c>
      <c r="H519" s="51" t="str">
        <f>IFERROR(__xludf.DUMMYFUNCTION("""COMPUTED_VALUE"""),"")</f>
        <v/>
      </c>
      <c r="I519" s="51" t="str">
        <f>IFERROR(__xludf.DUMMYFUNCTION("""COMPUTED_VALUE"""),"#VALUE!")</f>
        <v>#VALUE!</v>
      </c>
      <c r="J519" s="51" t="str">
        <f>IFERROR(__xludf.DUMMYFUNCTION("""COMPUTED_VALUE"""),"")</f>
        <v/>
      </c>
      <c r="K519" s="51"/>
      <c r="L519" s="51" t="s">
        <v>257</v>
      </c>
      <c r="M519" s="51"/>
      <c r="N519" s="51"/>
      <c r="O519" s="51"/>
      <c r="P519" s="51"/>
      <c r="Q519" s="51"/>
      <c r="R519" s="51"/>
      <c r="S519" s="51"/>
      <c r="T519" s="51"/>
    </row>
    <row r="520">
      <c r="A520" s="51"/>
      <c r="B520" s="51"/>
      <c r="C520" s="56"/>
      <c r="D520" s="51"/>
      <c r="E520" s="51"/>
      <c r="F520" s="51"/>
      <c r="G520" s="51" t="str">
        <f>IFERROR(__xludf.DUMMYFUNCTION("""COMPUTED_VALUE"""),"#VALUE!")</f>
        <v>#VALUE!</v>
      </c>
      <c r="H520" s="51" t="str">
        <f>IFERROR(__xludf.DUMMYFUNCTION("""COMPUTED_VALUE"""),"")</f>
        <v/>
      </c>
      <c r="I520" s="51" t="str">
        <f>IFERROR(__xludf.DUMMYFUNCTION("""COMPUTED_VALUE"""),"#VALUE!")</f>
        <v>#VALUE!</v>
      </c>
      <c r="J520" s="51" t="str">
        <f>IFERROR(__xludf.DUMMYFUNCTION("""COMPUTED_VALUE"""),"")</f>
        <v/>
      </c>
      <c r="K520" s="51"/>
      <c r="L520" s="51" t="s">
        <v>257</v>
      </c>
      <c r="M520" s="51"/>
      <c r="N520" s="51"/>
      <c r="O520" s="51"/>
      <c r="P520" s="51"/>
      <c r="Q520" s="51"/>
      <c r="R520" s="51"/>
      <c r="S520" s="51"/>
      <c r="T520" s="51"/>
    </row>
    <row r="521">
      <c r="A521" s="51"/>
      <c r="B521" s="51"/>
      <c r="C521" s="56"/>
      <c r="D521" s="51"/>
      <c r="E521" s="51"/>
      <c r="F521" s="51"/>
      <c r="G521" s="51" t="str">
        <f>IFERROR(__xludf.DUMMYFUNCTION("""COMPUTED_VALUE"""),"#VALUE!")</f>
        <v>#VALUE!</v>
      </c>
      <c r="H521" s="51" t="str">
        <f>IFERROR(__xludf.DUMMYFUNCTION("""COMPUTED_VALUE"""),"")</f>
        <v/>
      </c>
      <c r="I521" s="51" t="str">
        <f>IFERROR(__xludf.DUMMYFUNCTION("""COMPUTED_VALUE"""),"#VALUE!")</f>
        <v>#VALUE!</v>
      </c>
      <c r="J521" s="51" t="str">
        <f>IFERROR(__xludf.DUMMYFUNCTION("""COMPUTED_VALUE"""),"")</f>
        <v/>
      </c>
      <c r="K521" s="51"/>
      <c r="L521" s="51" t="s">
        <v>257</v>
      </c>
      <c r="M521" s="51"/>
      <c r="N521" s="51"/>
      <c r="O521" s="51"/>
      <c r="P521" s="51"/>
      <c r="Q521" s="51"/>
      <c r="R521" s="51"/>
      <c r="S521" s="51"/>
      <c r="T521" s="51"/>
    </row>
    <row r="522">
      <c r="A522" s="51"/>
      <c r="B522" s="51"/>
      <c r="C522" s="56"/>
      <c r="D522" s="51"/>
      <c r="E522" s="51"/>
      <c r="F522" s="51"/>
      <c r="G522" s="51" t="str">
        <f>IFERROR(__xludf.DUMMYFUNCTION("""COMPUTED_VALUE"""),"#VALUE!")</f>
        <v>#VALUE!</v>
      </c>
      <c r="H522" s="51" t="str">
        <f>IFERROR(__xludf.DUMMYFUNCTION("""COMPUTED_VALUE"""),"")</f>
        <v/>
      </c>
      <c r="I522" s="51" t="str">
        <f>IFERROR(__xludf.DUMMYFUNCTION("""COMPUTED_VALUE"""),"#VALUE!")</f>
        <v>#VALUE!</v>
      </c>
      <c r="J522" s="51" t="str">
        <f>IFERROR(__xludf.DUMMYFUNCTION("""COMPUTED_VALUE"""),"")</f>
        <v/>
      </c>
      <c r="K522" s="51"/>
      <c r="L522" s="51" t="s">
        <v>257</v>
      </c>
      <c r="M522" s="51"/>
      <c r="N522" s="51"/>
      <c r="O522" s="51"/>
      <c r="P522" s="51"/>
      <c r="Q522" s="51"/>
      <c r="R522" s="51"/>
      <c r="S522" s="51"/>
      <c r="T522" s="51"/>
    </row>
    <row r="523">
      <c r="A523" s="51"/>
      <c r="B523" s="51"/>
      <c r="C523" s="56"/>
      <c r="D523" s="51"/>
      <c r="E523" s="51"/>
      <c r="F523" s="51"/>
      <c r="G523" s="51" t="str">
        <f>IFERROR(__xludf.DUMMYFUNCTION("""COMPUTED_VALUE"""),"#VALUE!")</f>
        <v>#VALUE!</v>
      </c>
      <c r="H523" s="51" t="str">
        <f>IFERROR(__xludf.DUMMYFUNCTION("""COMPUTED_VALUE"""),"")</f>
        <v/>
      </c>
      <c r="I523" s="51" t="str">
        <f>IFERROR(__xludf.DUMMYFUNCTION("""COMPUTED_VALUE"""),"#VALUE!")</f>
        <v>#VALUE!</v>
      </c>
      <c r="J523" s="51" t="str">
        <f>IFERROR(__xludf.DUMMYFUNCTION("""COMPUTED_VALUE"""),"")</f>
        <v/>
      </c>
      <c r="K523" s="51"/>
      <c r="L523" s="51" t="s">
        <v>257</v>
      </c>
      <c r="M523" s="51"/>
      <c r="N523" s="51"/>
      <c r="O523" s="51"/>
      <c r="P523" s="51"/>
      <c r="Q523" s="51"/>
      <c r="R523" s="51"/>
      <c r="S523" s="51"/>
      <c r="T523" s="51"/>
    </row>
    <row r="524">
      <c r="A524" s="51"/>
      <c r="B524" s="51"/>
      <c r="C524" s="56"/>
      <c r="D524" s="51"/>
      <c r="E524" s="51"/>
      <c r="F524" s="51"/>
      <c r="G524" s="51" t="str">
        <f>IFERROR(__xludf.DUMMYFUNCTION("""COMPUTED_VALUE"""),"#VALUE!")</f>
        <v>#VALUE!</v>
      </c>
      <c r="H524" s="51" t="str">
        <f>IFERROR(__xludf.DUMMYFUNCTION("""COMPUTED_VALUE"""),"")</f>
        <v/>
      </c>
      <c r="I524" s="51" t="str">
        <f>IFERROR(__xludf.DUMMYFUNCTION("""COMPUTED_VALUE"""),"#VALUE!")</f>
        <v>#VALUE!</v>
      </c>
      <c r="J524" s="51" t="str">
        <f>IFERROR(__xludf.DUMMYFUNCTION("""COMPUTED_VALUE"""),"")</f>
        <v/>
      </c>
      <c r="K524" s="51"/>
      <c r="L524" s="51" t="s">
        <v>257</v>
      </c>
      <c r="M524" s="51"/>
      <c r="N524" s="51"/>
      <c r="O524" s="51"/>
      <c r="P524" s="51"/>
      <c r="Q524" s="51"/>
      <c r="R524" s="51"/>
      <c r="S524" s="51"/>
      <c r="T524" s="51"/>
    </row>
    <row r="525">
      <c r="A525" s="51"/>
      <c r="B525" s="51"/>
      <c r="C525" s="56"/>
      <c r="D525" s="51"/>
      <c r="E525" s="51"/>
      <c r="F525" s="51"/>
      <c r="G525" s="51" t="str">
        <f>IFERROR(__xludf.DUMMYFUNCTION("""COMPUTED_VALUE"""),"#VALUE!")</f>
        <v>#VALUE!</v>
      </c>
      <c r="H525" s="51" t="str">
        <f>IFERROR(__xludf.DUMMYFUNCTION("""COMPUTED_VALUE"""),"")</f>
        <v/>
      </c>
      <c r="I525" s="51" t="str">
        <f>IFERROR(__xludf.DUMMYFUNCTION("""COMPUTED_VALUE"""),"#VALUE!")</f>
        <v>#VALUE!</v>
      </c>
      <c r="J525" s="51" t="str">
        <f>IFERROR(__xludf.DUMMYFUNCTION("""COMPUTED_VALUE"""),"")</f>
        <v/>
      </c>
      <c r="K525" s="51"/>
      <c r="L525" s="51" t="s">
        <v>257</v>
      </c>
      <c r="M525" s="51"/>
      <c r="N525" s="51"/>
      <c r="O525" s="51"/>
      <c r="P525" s="51"/>
      <c r="Q525" s="51"/>
      <c r="R525" s="51"/>
      <c r="S525" s="51"/>
      <c r="T525" s="51"/>
    </row>
    <row r="526">
      <c r="A526" s="51"/>
      <c r="B526" s="51"/>
      <c r="C526" s="56"/>
      <c r="D526" s="51"/>
      <c r="E526" s="51"/>
      <c r="F526" s="51"/>
      <c r="G526" s="51" t="str">
        <f>IFERROR(__xludf.DUMMYFUNCTION("""COMPUTED_VALUE"""),"#VALUE!")</f>
        <v>#VALUE!</v>
      </c>
      <c r="H526" s="51" t="str">
        <f>IFERROR(__xludf.DUMMYFUNCTION("""COMPUTED_VALUE"""),"")</f>
        <v/>
      </c>
      <c r="I526" s="51" t="str">
        <f>IFERROR(__xludf.DUMMYFUNCTION("""COMPUTED_VALUE"""),"#VALUE!")</f>
        <v>#VALUE!</v>
      </c>
      <c r="J526" s="51" t="str">
        <f>IFERROR(__xludf.DUMMYFUNCTION("""COMPUTED_VALUE"""),"")</f>
        <v/>
      </c>
      <c r="K526" s="51"/>
      <c r="L526" s="51" t="s">
        <v>257</v>
      </c>
      <c r="M526" s="51"/>
      <c r="N526" s="51"/>
      <c r="O526" s="51"/>
      <c r="P526" s="51"/>
      <c r="Q526" s="51"/>
      <c r="R526" s="51"/>
      <c r="S526" s="51"/>
      <c r="T526" s="51"/>
    </row>
    <row r="527">
      <c r="A527" s="51"/>
      <c r="B527" s="51"/>
      <c r="C527" s="56"/>
      <c r="D527" s="51"/>
      <c r="E527" s="51"/>
      <c r="F527" s="51"/>
      <c r="G527" s="51" t="str">
        <f>IFERROR(__xludf.DUMMYFUNCTION("""COMPUTED_VALUE"""),"#VALUE!")</f>
        <v>#VALUE!</v>
      </c>
      <c r="H527" s="51" t="str">
        <f>IFERROR(__xludf.DUMMYFUNCTION("""COMPUTED_VALUE"""),"")</f>
        <v/>
      </c>
      <c r="I527" s="51" t="str">
        <f>IFERROR(__xludf.DUMMYFUNCTION("""COMPUTED_VALUE"""),"#VALUE!")</f>
        <v>#VALUE!</v>
      </c>
      <c r="J527" s="51" t="str">
        <f>IFERROR(__xludf.DUMMYFUNCTION("""COMPUTED_VALUE"""),"")</f>
        <v/>
      </c>
      <c r="K527" s="51"/>
      <c r="L527" s="51" t="s">
        <v>257</v>
      </c>
      <c r="M527" s="51"/>
      <c r="N527" s="51"/>
      <c r="O527" s="51"/>
      <c r="P527" s="51"/>
      <c r="Q527" s="51"/>
      <c r="R527" s="51"/>
      <c r="S527" s="51"/>
      <c r="T527" s="51"/>
    </row>
    <row r="528">
      <c r="A528" s="51"/>
      <c r="B528" s="51"/>
      <c r="C528" s="56"/>
      <c r="D528" s="51"/>
      <c r="E528" s="51"/>
      <c r="F528" s="51"/>
      <c r="G528" s="51" t="str">
        <f>IFERROR(__xludf.DUMMYFUNCTION("""COMPUTED_VALUE"""),"#VALUE!")</f>
        <v>#VALUE!</v>
      </c>
      <c r="H528" s="51" t="str">
        <f>IFERROR(__xludf.DUMMYFUNCTION("""COMPUTED_VALUE"""),"")</f>
        <v/>
      </c>
      <c r="I528" s="51" t="str">
        <f>IFERROR(__xludf.DUMMYFUNCTION("""COMPUTED_VALUE"""),"#VALUE!")</f>
        <v>#VALUE!</v>
      </c>
      <c r="J528" s="51" t="str">
        <f>IFERROR(__xludf.DUMMYFUNCTION("""COMPUTED_VALUE"""),"")</f>
        <v/>
      </c>
      <c r="K528" s="51"/>
      <c r="L528" s="51" t="s">
        <v>257</v>
      </c>
      <c r="M528" s="51"/>
      <c r="N528" s="51"/>
      <c r="O528" s="51"/>
      <c r="P528" s="51"/>
      <c r="Q528" s="51"/>
      <c r="R528" s="51"/>
      <c r="S528" s="51"/>
      <c r="T528" s="51"/>
    </row>
    <row r="529">
      <c r="A529" s="51"/>
      <c r="B529" s="51"/>
      <c r="C529" s="56"/>
      <c r="D529" s="51"/>
      <c r="E529" s="51"/>
      <c r="F529" s="51"/>
      <c r="G529" s="51" t="str">
        <f>IFERROR(__xludf.DUMMYFUNCTION("""COMPUTED_VALUE"""),"#VALUE!")</f>
        <v>#VALUE!</v>
      </c>
      <c r="H529" s="51" t="str">
        <f>IFERROR(__xludf.DUMMYFUNCTION("""COMPUTED_VALUE"""),"")</f>
        <v/>
      </c>
      <c r="I529" s="51" t="str">
        <f>IFERROR(__xludf.DUMMYFUNCTION("""COMPUTED_VALUE"""),"#VALUE!")</f>
        <v>#VALUE!</v>
      </c>
      <c r="J529" s="51" t="str">
        <f>IFERROR(__xludf.DUMMYFUNCTION("""COMPUTED_VALUE"""),"")</f>
        <v/>
      </c>
      <c r="K529" s="51"/>
      <c r="L529" s="51" t="s">
        <v>257</v>
      </c>
      <c r="M529" s="51"/>
      <c r="N529" s="51"/>
      <c r="O529" s="51"/>
      <c r="P529" s="51"/>
      <c r="Q529" s="51"/>
      <c r="R529" s="51"/>
      <c r="S529" s="51"/>
      <c r="T529" s="51"/>
    </row>
    <row r="530">
      <c r="A530" s="51"/>
      <c r="B530" s="51"/>
      <c r="C530" s="56"/>
      <c r="D530" s="51"/>
      <c r="E530" s="51"/>
      <c r="F530" s="51"/>
      <c r="G530" s="51" t="str">
        <f>IFERROR(__xludf.DUMMYFUNCTION("""COMPUTED_VALUE"""),"#VALUE!")</f>
        <v>#VALUE!</v>
      </c>
      <c r="H530" s="51" t="str">
        <f>IFERROR(__xludf.DUMMYFUNCTION("""COMPUTED_VALUE"""),"")</f>
        <v/>
      </c>
      <c r="I530" s="51" t="str">
        <f>IFERROR(__xludf.DUMMYFUNCTION("""COMPUTED_VALUE"""),"#VALUE!")</f>
        <v>#VALUE!</v>
      </c>
      <c r="J530" s="51" t="str">
        <f>IFERROR(__xludf.DUMMYFUNCTION("""COMPUTED_VALUE"""),"")</f>
        <v/>
      </c>
      <c r="K530" s="51"/>
      <c r="L530" s="51" t="s">
        <v>257</v>
      </c>
      <c r="M530" s="51"/>
      <c r="N530" s="51"/>
      <c r="O530" s="51"/>
      <c r="P530" s="51"/>
      <c r="Q530" s="51"/>
      <c r="R530" s="51"/>
      <c r="S530" s="51"/>
      <c r="T530" s="51"/>
    </row>
    <row r="531">
      <c r="A531" s="51"/>
      <c r="B531" s="51"/>
      <c r="C531" s="56"/>
      <c r="D531" s="51"/>
      <c r="E531" s="51"/>
      <c r="F531" s="51"/>
      <c r="G531" s="51" t="str">
        <f>IFERROR(__xludf.DUMMYFUNCTION("""COMPUTED_VALUE"""),"#VALUE!")</f>
        <v>#VALUE!</v>
      </c>
      <c r="H531" s="51" t="str">
        <f>IFERROR(__xludf.DUMMYFUNCTION("""COMPUTED_VALUE"""),"")</f>
        <v/>
      </c>
      <c r="I531" s="51" t="str">
        <f>IFERROR(__xludf.DUMMYFUNCTION("""COMPUTED_VALUE"""),"#VALUE!")</f>
        <v>#VALUE!</v>
      </c>
      <c r="J531" s="51" t="str">
        <f>IFERROR(__xludf.DUMMYFUNCTION("""COMPUTED_VALUE"""),"")</f>
        <v/>
      </c>
      <c r="K531" s="51"/>
      <c r="L531" s="51" t="s">
        <v>257</v>
      </c>
      <c r="M531" s="51"/>
      <c r="N531" s="51"/>
      <c r="O531" s="51"/>
      <c r="P531" s="51"/>
      <c r="Q531" s="51"/>
      <c r="R531" s="51"/>
      <c r="S531" s="51"/>
      <c r="T531" s="51"/>
    </row>
    <row r="532">
      <c r="A532" s="51"/>
      <c r="B532" s="51"/>
      <c r="C532" s="56"/>
      <c r="D532" s="51"/>
      <c r="E532" s="51"/>
      <c r="F532" s="51"/>
      <c r="G532" s="51" t="str">
        <f>IFERROR(__xludf.DUMMYFUNCTION("""COMPUTED_VALUE"""),"#VALUE!")</f>
        <v>#VALUE!</v>
      </c>
      <c r="H532" s="51" t="str">
        <f>IFERROR(__xludf.DUMMYFUNCTION("""COMPUTED_VALUE"""),"")</f>
        <v/>
      </c>
      <c r="I532" s="51" t="str">
        <f>IFERROR(__xludf.DUMMYFUNCTION("""COMPUTED_VALUE"""),"#VALUE!")</f>
        <v>#VALUE!</v>
      </c>
      <c r="J532" s="51" t="str">
        <f>IFERROR(__xludf.DUMMYFUNCTION("""COMPUTED_VALUE"""),"")</f>
        <v/>
      </c>
      <c r="K532" s="51"/>
      <c r="L532" s="51" t="s">
        <v>257</v>
      </c>
      <c r="M532" s="51"/>
      <c r="N532" s="51"/>
      <c r="O532" s="51"/>
      <c r="P532" s="51"/>
      <c r="Q532" s="51"/>
      <c r="R532" s="51"/>
      <c r="S532" s="51"/>
      <c r="T532" s="51"/>
    </row>
    <row r="533">
      <c r="A533" s="51"/>
      <c r="B533" s="51"/>
      <c r="C533" s="56"/>
      <c r="D533" s="51"/>
      <c r="E533" s="51"/>
      <c r="F533" s="51"/>
      <c r="G533" s="51" t="str">
        <f>IFERROR(__xludf.DUMMYFUNCTION("""COMPUTED_VALUE"""),"#VALUE!")</f>
        <v>#VALUE!</v>
      </c>
      <c r="H533" s="51" t="str">
        <f>IFERROR(__xludf.DUMMYFUNCTION("""COMPUTED_VALUE"""),"")</f>
        <v/>
      </c>
      <c r="I533" s="51" t="str">
        <f>IFERROR(__xludf.DUMMYFUNCTION("""COMPUTED_VALUE"""),"#VALUE!")</f>
        <v>#VALUE!</v>
      </c>
      <c r="J533" s="51" t="str">
        <f>IFERROR(__xludf.DUMMYFUNCTION("""COMPUTED_VALUE"""),"")</f>
        <v/>
      </c>
      <c r="K533" s="51"/>
      <c r="L533" s="51" t="s">
        <v>257</v>
      </c>
      <c r="M533" s="51"/>
      <c r="N533" s="51"/>
      <c r="O533" s="51"/>
      <c r="P533" s="51"/>
      <c r="Q533" s="51"/>
      <c r="R533" s="51"/>
      <c r="S533" s="51"/>
      <c r="T533" s="51"/>
    </row>
    <row r="534">
      <c r="A534" s="51"/>
      <c r="B534" s="51"/>
      <c r="C534" s="56"/>
      <c r="D534" s="51"/>
      <c r="E534" s="51"/>
      <c r="F534" s="51"/>
      <c r="G534" s="51" t="str">
        <f>IFERROR(__xludf.DUMMYFUNCTION("""COMPUTED_VALUE"""),"#VALUE!")</f>
        <v>#VALUE!</v>
      </c>
      <c r="H534" s="51" t="str">
        <f>IFERROR(__xludf.DUMMYFUNCTION("""COMPUTED_VALUE"""),"")</f>
        <v/>
      </c>
      <c r="I534" s="51" t="str">
        <f>IFERROR(__xludf.DUMMYFUNCTION("""COMPUTED_VALUE"""),"#VALUE!")</f>
        <v>#VALUE!</v>
      </c>
      <c r="J534" s="51" t="str">
        <f>IFERROR(__xludf.DUMMYFUNCTION("""COMPUTED_VALUE"""),"")</f>
        <v/>
      </c>
      <c r="K534" s="51"/>
      <c r="L534" s="51" t="s">
        <v>257</v>
      </c>
      <c r="M534" s="51"/>
      <c r="N534" s="51"/>
      <c r="O534" s="51"/>
      <c r="P534" s="51"/>
      <c r="Q534" s="51"/>
      <c r="R534" s="51"/>
      <c r="S534" s="51"/>
      <c r="T534" s="51"/>
    </row>
    <row r="535">
      <c r="A535" s="51"/>
      <c r="B535" s="51"/>
      <c r="C535" s="56"/>
      <c r="D535" s="51"/>
      <c r="E535" s="51"/>
      <c r="F535" s="51"/>
      <c r="G535" s="51" t="str">
        <f>IFERROR(__xludf.DUMMYFUNCTION("""COMPUTED_VALUE"""),"#VALUE!")</f>
        <v>#VALUE!</v>
      </c>
      <c r="H535" s="51" t="str">
        <f>IFERROR(__xludf.DUMMYFUNCTION("""COMPUTED_VALUE"""),"")</f>
        <v/>
      </c>
      <c r="I535" s="51" t="str">
        <f>IFERROR(__xludf.DUMMYFUNCTION("""COMPUTED_VALUE"""),"#VALUE!")</f>
        <v>#VALUE!</v>
      </c>
      <c r="J535" s="51" t="str">
        <f>IFERROR(__xludf.DUMMYFUNCTION("""COMPUTED_VALUE"""),"")</f>
        <v/>
      </c>
      <c r="K535" s="51"/>
      <c r="L535" s="51" t="s">
        <v>257</v>
      </c>
      <c r="M535" s="51"/>
      <c r="N535" s="51"/>
      <c r="O535" s="51"/>
      <c r="P535" s="51"/>
      <c r="Q535" s="51"/>
      <c r="R535" s="51"/>
      <c r="S535" s="51"/>
      <c r="T535" s="51"/>
    </row>
    <row r="536">
      <c r="A536" s="51"/>
      <c r="B536" s="51"/>
      <c r="C536" s="56"/>
      <c r="D536" s="51"/>
      <c r="E536" s="51"/>
      <c r="F536" s="51"/>
      <c r="G536" s="51" t="str">
        <f>IFERROR(__xludf.DUMMYFUNCTION("""COMPUTED_VALUE"""),"#VALUE!")</f>
        <v>#VALUE!</v>
      </c>
      <c r="H536" s="51" t="str">
        <f>IFERROR(__xludf.DUMMYFUNCTION("""COMPUTED_VALUE"""),"")</f>
        <v/>
      </c>
      <c r="I536" s="51" t="str">
        <f>IFERROR(__xludf.DUMMYFUNCTION("""COMPUTED_VALUE"""),"#VALUE!")</f>
        <v>#VALUE!</v>
      </c>
      <c r="J536" s="51" t="str">
        <f>IFERROR(__xludf.DUMMYFUNCTION("""COMPUTED_VALUE"""),"")</f>
        <v/>
      </c>
      <c r="K536" s="51"/>
      <c r="L536" s="51" t="s">
        <v>257</v>
      </c>
      <c r="M536" s="51"/>
      <c r="N536" s="51"/>
      <c r="O536" s="51"/>
      <c r="P536" s="51"/>
      <c r="Q536" s="51"/>
      <c r="R536" s="51"/>
      <c r="S536" s="51"/>
      <c r="T536" s="51"/>
    </row>
    <row r="537">
      <c r="A537" s="51"/>
      <c r="B537" s="51"/>
      <c r="C537" s="56"/>
      <c r="D537" s="51"/>
      <c r="E537" s="51"/>
      <c r="F537" s="51"/>
      <c r="G537" s="51" t="str">
        <f>IFERROR(__xludf.DUMMYFUNCTION("""COMPUTED_VALUE"""),"#VALUE!")</f>
        <v>#VALUE!</v>
      </c>
      <c r="H537" s="51" t="str">
        <f>IFERROR(__xludf.DUMMYFUNCTION("""COMPUTED_VALUE"""),"")</f>
        <v/>
      </c>
      <c r="I537" s="51" t="str">
        <f>IFERROR(__xludf.DUMMYFUNCTION("""COMPUTED_VALUE"""),"#VALUE!")</f>
        <v>#VALUE!</v>
      </c>
      <c r="J537" s="51" t="str">
        <f>IFERROR(__xludf.DUMMYFUNCTION("""COMPUTED_VALUE"""),"")</f>
        <v/>
      </c>
      <c r="K537" s="51"/>
      <c r="L537" s="51" t="s">
        <v>257</v>
      </c>
      <c r="M537" s="51"/>
      <c r="N537" s="51"/>
      <c r="O537" s="51"/>
      <c r="P537" s="51"/>
      <c r="Q537" s="51"/>
      <c r="R537" s="51"/>
      <c r="S537" s="51"/>
      <c r="T537" s="51"/>
    </row>
    <row r="538">
      <c r="A538" s="51"/>
      <c r="B538" s="51"/>
      <c r="C538" s="56"/>
      <c r="D538" s="51"/>
      <c r="E538" s="51"/>
      <c r="F538" s="51"/>
      <c r="G538" s="51" t="str">
        <f>IFERROR(__xludf.DUMMYFUNCTION("""COMPUTED_VALUE"""),"#VALUE!")</f>
        <v>#VALUE!</v>
      </c>
      <c r="H538" s="51" t="str">
        <f>IFERROR(__xludf.DUMMYFUNCTION("""COMPUTED_VALUE"""),"")</f>
        <v/>
      </c>
      <c r="I538" s="51" t="str">
        <f>IFERROR(__xludf.DUMMYFUNCTION("""COMPUTED_VALUE"""),"#VALUE!")</f>
        <v>#VALUE!</v>
      </c>
      <c r="J538" s="51" t="str">
        <f>IFERROR(__xludf.DUMMYFUNCTION("""COMPUTED_VALUE"""),"")</f>
        <v/>
      </c>
      <c r="K538" s="51"/>
      <c r="L538" s="51" t="s">
        <v>257</v>
      </c>
      <c r="M538" s="51"/>
      <c r="N538" s="51"/>
      <c r="O538" s="51"/>
      <c r="P538" s="51"/>
      <c r="Q538" s="51"/>
      <c r="R538" s="51"/>
      <c r="S538" s="51"/>
      <c r="T538" s="51"/>
    </row>
    <row r="539">
      <c r="A539" s="51"/>
      <c r="B539" s="51"/>
      <c r="C539" s="56"/>
      <c r="D539" s="51"/>
      <c r="E539" s="51"/>
      <c r="F539" s="51"/>
      <c r="G539" s="51" t="str">
        <f>IFERROR(__xludf.DUMMYFUNCTION("""COMPUTED_VALUE"""),"#VALUE!")</f>
        <v>#VALUE!</v>
      </c>
      <c r="H539" s="51" t="str">
        <f>IFERROR(__xludf.DUMMYFUNCTION("""COMPUTED_VALUE"""),"")</f>
        <v/>
      </c>
      <c r="I539" s="51" t="str">
        <f>IFERROR(__xludf.DUMMYFUNCTION("""COMPUTED_VALUE"""),"#VALUE!")</f>
        <v>#VALUE!</v>
      </c>
      <c r="J539" s="51" t="str">
        <f>IFERROR(__xludf.DUMMYFUNCTION("""COMPUTED_VALUE"""),"")</f>
        <v/>
      </c>
      <c r="K539" s="51"/>
      <c r="L539" s="51" t="s">
        <v>257</v>
      </c>
      <c r="M539" s="51"/>
      <c r="N539" s="51"/>
      <c r="O539" s="51"/>
      <c r="P539" s="51"/>
      <c r="Q539" s="51"/>
      <c r="R539" s="51"/>
      <c r="S539" s="51"/>
      <c r="T539" s="51"/>
    </row>
    <row r="540">
      <c r="A540" s="51"/>
      <c r="B540" s="51"/>
      <c r="C540" s="56"/>
      <c r="D540" s="51"/>
      <c r="E540" s="51"/>
      <c r="F540" s="51"/>
      <c r="G540" s="51" t="str">
        <f>IFERROR(__xludf.DUMMYFUNCTION("""COMPUTED_VALUE"""),"#VALUE!")</f>
        <v>#VALUE!</v>
      </c>
      <c r="H540" s="51" t="str">
        <f>IFERROR(__xludf.DUMMYFUNCTION("""COMPUTED_VALUE"""),"")</f>
        <v/>
      </c>
      <c r="I540" s="51" t="str">
        <f>IFERROR(__xludf.DUMMYFUNCTION("""COMPUTED_VALUE"""),"#VALUE!")</f>
        <v>#VALUE!</v>
      </c>
      <c r="J540" s="51" t="str">
        <f>IFERROR(__xludf.DUMMYFUNCTION("""COMPUTED_VALUE"""),"")</f>
        <v/>
      </c>
      <c r="K540" s="51"/>
      <c r="L540" s="51" t="s">
        <v>257</v>
      </c>
      <c r="M540" s="51"/>
      <c r="N540" s="51"/>
      <c r="O540" s="51"/>
      <c r="P540" s="51"/>
      <c r="Q540" s="51"/>
      <c r="R540" s="51"/>
      <c r="S540" s="51"/>
      <c r="T540" s="51"/>
    </row>
    <row r="541">
      <c r="A541" s="51"/>
      <c r="B541" s="51"/>
      <c r="C541" s="56"/>
      <c r="D541" s="51"/>
      <c r="E541" s="51"/>
      <c r="F541" s="51"/>
      <c r="G541" s="51" t="str">
        <f>IFERROR(__xludf.DUMMYFUNCTION("""COMPUTED_VALUE"""),"#VALUE!")</f>
        <v>#VALUE!</v>
      </c>
      <c r="H541" s="51" t="str">
        <f>IFERROR(__xludf.DUMMYFUNCTION("""COMPUTED_VALUE"""),"")</f>
        <v/>
      </c>
      <c r="I541" s="51" t="str">
        <f>IFERROR(__xludf.DUMMYFUNCTION("""COMPUTED_VALUE"""),"#VALUE!")</f>
        <v>#VALUE!</v>
      </c>
      <c r="J541" s="51" t="str">
        <f>IFERROR(__xludf.DUMMYFUNCTION("""COMPUTED_VALUE"""),"")</f>
        <v/>
      </c>
      <c r="K541" s="51"/>
      <c r="L541" s="51" t="s">
        <v>257</v>
      </c>
      <c r="M541" s="51"/>
      <c r="N541" s="51"/>
      <c r="O541" s="51"/>
      <c r="P541" s="51"/>
      <c r="Q541" s="51"/>
      <c r="R541" s="51"/>
      <c r="S541" s="51"/>
      <c r="T541" s="51"/>
    </row>
    <row r="542">
      <c r="A542" s="51"/>
      <c r="B542" s="51"/>
      <c r="C542" s="56"/>
      <c r="D542" s="51"/>
      <c r="E542" s="51"/>
      <c r="F542" s="51"/>
      <c r="G542" s="51" t="str">
        <f>IFERROR(__xludf.DUMMYFUNCTION("""COMPUTED_VALUE"""),"#VALUE!")</f>
        <v>#VALUE!</v>
      </c>
      <c r="H542" s="51" t="str">
        <f>IFERROR(__xludf.DUMMYFUNCTION("""COMPUTED_VALUE"""),"")</f>
        <v/>
      </c>
      <c r="I542" s="51" t="str">
        <f>IFERROR(__xludf.DUMMYFUNCTION("""COMPUTED_VALUE"""),"#VALUE!")</f>
        <v>#VALUE!</v>
      </c>
      <c r="J542" s="51" t="str">
        <f>IFERROR(__xludf.DUMMYFUNCTION("""COMPUTED_VALUE"""),"")</f>
        <v/>
      </c>
      <c r="K542" s="51"/>
      <c r="L542" s="51" t="s">
        <v>257</v>
      </c>
      <c r="M542" s="51"/>
      <c r="N542" s="51"/>
      <c r="O542" s="51"/>
      <c r="P542" s="51"/>
      <c r="Q542" s="51"/>
      <c r="R542" s="51"/>
      <c r="S542" s="51"/>
      <c r="T542" s="51"/>
    </row>
    <row r="543">
      <c r="A543" s="51"/>
      <c r="B543" s="51"/>
      <c r="C543" s="56"/>
      <c r="D543" s="51"/>
      <c r="E543" s="51"/>
      <c r="F543" s="51"/>
      <c r="G543" s="51" t="str">
        <f>IFERROR(__xludf.DUMMYFUNCTION("""COMPUTED_VALUE"""),"#VALUE!")</f>
        <v>#VALUE!</v>
      </c>
      <c r="H543" s="51" t="str">
        <f>IFERROR(__xludf.DUMMYFUNCTION("""COMPUTED_VALUE"""),"")</f>
        <v/>
      </c>
      <c r="I543" s="51" t="str">
        <f>IFERROR(__xludf.DUMMYFUNCTION("""COMPUTED_VALUE"""),"#VALUE!")</f>
        <v>#VALUE!</v>
      </c>
      <c r="J543" s="51" t="str">
        <f>IFERROR(__xludf.DUMMYFUNCTION("""COMPUTED_VALUE"""),"")</f>
        <v/>
      </c>
      <c r="K543" s="51"/>
      <c r="L543" s="51" t="s">
        <v>257</v>
      </c>
      <c r="M543" s="51"/>
      <c r="N543" s="51"/>
      <c r="O543" s="51"/>
      <c r="P543" s="51"/>
      <c r="Q543" s="51"/>
      <c r="R543" s="51"/>
      <c r="S543" s="51"/>
      <c r="T543" s="51"/>
    </row>
    <row r="544">
      <c r="A544" s="51"/>
      <c r="B544" s="51"/>
      <c r="C544" s="56"/>
      <c r="D544" s="51"/>
      <c r="E544" s="51"/>
      <c r="F544" s="51"/>
      <c r="G544" s="51" t="str">
        <f>IFERROR(__xludf.DUMMYFUNCTION("""COMPUTED_VALUE"""),"#VALUE!")</f>
        <v>#VALUE!</v>
      </c>
      <c r="H544" s="51" t="str">
        <f>IFERROR(__xludf.DUMMYFUNCTION("""COMPUTED_VALUE"""),"")</f>
        <v/>
      </c>
      <c r="I544" s="51" t="str">
        <f>IFERROR(__xludf.DUMMYFUNCTION("""COMPUTED_VALUE"""),"#VALUE!")</f>
        <v>#VALUE!</v>
      </c>
      <c r="J544" s="51" t="str">
        <f>IFERROR(__xludf.DUMMYFUNCTION("""COMPUTED_VALUE"""),"")</f>
        <v/>
      </c>
      <c r="K544" s="51"/>
      <c r="L544" s="51" t="s">
        <v>257</v>
      </c>
      <c r="M544" s="51"/>
      <c r="N544" s="51"/>
      <c r="O544" s="51"/>
      <c r="P544" s="51"/>
      <c r="Q544" s="51"/>
      <c r="R544" s="51"/>
      <c r="S544" s="51"/>
      <c r="T544" s="51"/>
    </row>
    <row r="545">
      <c r="A545" s="51"/>
      <c r="B545" s="51"/>
      <c r="C545" s="56"/>
      <c r="D545" s="51"/>
      <c r="E545" s="51"/>
      <c r="F545" s="51"/>
      <c r="G545" s="51" t="str">
        <f>IFERROR(__xludf.DUMMYFUNCTION("""COMPUTED_VALUE"""),"#VALUE!")</f>
        <v>#VALUE!</v>
      </c>
      <c r="H545" s="51" t="str">
        <f>IFERROR(__xludf.DUMMYFUNCTION("""COMPUTED_VALUE"""),"")</f>
        <v/>
      </c>
      <c r="I545" s="51" t="str">
        <f>IFERROR(__xludf.DUMMYFUNCTION("""COMPUTED_VALUE"""),"#VALUE!")</f>
        <v>#VALUE!</v>
      </c>
      <c r="J545" s="51" t="str">
        <f>IFERROR(__xludf.DUMMYFUNCTION("""COMPUTED_VALUE"""),"")</f>
        <v/>
      </c>
      <c r="K545" s="51"/>
      <c r="L545" s="51" t="s">
        <v>257</v>
      </c>
      <c r="M545" s="51"/>
      <c r="N545" s="51"/>
      <c r="O545" s="51"/>
      <c r="P545" s="51"/>
      <c r="Q545" s="51"/>
      <c r="R545" s="51"/>
      <c r="S545" s="51"/>
      <c r="T545" s="51"/>
    </row>
    <row r="546">
      <c r="A546" s="51"/>
      <c r="B546" s="51"/>
      <c r="C546" s="56"/>
      <c r="D546" s="51"/>
      <c r="E546" s="51"/>
      <c r="F546" s="51"/>
      <c r="G546" s="51" t="str">
        <f>IFERROR(__xludf.DUMMYFUNCTION("""COMPUTED_VALUE"""),"#VALUE!")</f>
        <v>#VALUE!</v>
      </c>
      <c r="H546" s="51" t="str">
        <f>IFERROR(__xludf.DUMMYFUNCTION("""COMPUTED_VALUE"""),"")</f>
        <v/>
      </c>
      <c r="I546" s="51" t="str">
        <f>IFERROR(__xludf.DUMMYFUNCTION("""COMPUTED_VALUE"""),"#VALUE!")</f>
        <v>#VALUE!</v>
      </c>
      <c r="J546" s="51" t="str">
        <f>IFERROR(__xludf.DUMMYFUNCTION("""COMPUTED_VALUE"""),"")</f>
        <v/>
      </c>
      <c r="K546" s="51"/>
      <c r="L546" s="51" t="s">
        <v>257</v>
      </c>
      <c r="M546" s="51"/>
      <c r="N546" s="51"/>
      <c r="O546" s="51"/>
      <c r="P546" s="51"/>
      <c r="Q546" s="51"/>
      <c r="R546" s="51"/>
      <c r="S546" s="51"/>
      <c r="T546" s="51"/>
    </row>
    <row r="547">
      <c r="A547" s="51"/>
      <c r="B547" s="51"/>
      <c r="C547" s="56"/>
      <c r="D547" s="51"/>
      <c r="E547" s="51"/>
      <c r="F547" s="51"/>
      <c r="G547" s="51" t="str">
        <f>IFERROR(__xludf.DUMMYFUNCTION("""COMPUTED_VALUE"""),"#VALUE!")</f>
        <v>#VALUE!</v>
      </c>
      <c r="H547" s="51" t="str">
        <f>IFERROR(__xludf.DUMMYFUNCTION("""COMPUTED_VALUE"""),"")</f>
        <v/>
      </c>
      <c r="I547" s="51" t="str">
        <f>IFERROR(__xludf.DUMMYFUNCTION("""COMPUTED_VALUE"""),"#VALUE!")</f>
        <v>#VALUE!</v>
      </c>
      <c r="J547" s="51" t="str">
        <f>IFERROR(__xludf.DUMMYFUNCTION("""COMPUTED_VALUE"""),"")</f>
        <v/>
      </c>
      <c r="K547" s="51"/>
      <c r="L547" s="51" t="s">
        <v>257</v>
      </c>
      <c r="M547" s="51"/>
      <c r="N547" s="51"/>
      <c r="O547" s="51"/>
      <c r="P547" s="51"/>
      <c r="Q547" s="51"/>
      <c r="R547" s="51"/>
      <c r="S547" s="51"/>
      <c r="T547" s="51"/>
    </row>
    <row r="548">
      <c r="A548" s="51"/>
      <c r="B548" s="51"/>
      <c r="C548" s="56"/>
      <c r="D548" s="51"/>
      <c r="E548" s="51"/>
      <c r="F548" s="51"/>
      <c r="G548" s="51" t="str">
        <f>IFERROR(__xludf.DUMMYFUNCTION("""COMPUTED_VALUE"""),"#VALUE!")</f>
        <v>#VALUE!</v>
      </c>
      <c r="H548" s="51" t="str">
        <f>IFERROR(__xludf.DUMMYFUNCTION("""COMPUTED_VALUE"""),"")</f>
        <v/>
      </c>
      <c r="I548" s="51" t="str">
        <f>IFERROR(__xludf.DUMMYFUNCTION("""COMPUTED_VALUE"""),"#VALUE!")</f>
        <v>#VALUE!</v>
      </c>
      <c r="J548" s="51" t="str">
        <f>IFERROR(__xludf.DUMMYFUNCTION("""COMPUTED_VALUE"""),"")</f>
        <v/>
      </c>
      <c r="K548" s="51"/>
      <c r="L548" s="51" t="s">
        <v>257</v>
      </c>
      <c r="M548" s="51"/>
      <c r="N548" s="51"/>
      <c r="O548" s="51"/>
      <c r="P548" s="51"/>
      <c r="Q548" s="51"/>
      <c r="R548" s="51"/>
      <c r="S548" s="51"/>
      <c r="T548" s="51"/>
    </row>
    <row r="549">
      <c r="A549" s="51"/>
      <c r="B549" s="51"/>
      <c r="C549" s="56"/>
      <c r="D549" s="51"/>
      <c r="E549" s="51"/>
      <c r="F549" s="51"/>
      <c r="G549" s="51" t="str">
        <f>IFERROR(__xludf.DUMMYFUNCTION("""COMPUTED_VALUE"""),"#VALUE!")</f>
        <v>#VALUE!</v>
      </c>
      <c r="H549" s="51" t="str">
        <f>IFERROR(__xludf.DUMMYFUNCTION("""COMPUTED_VALUE"""),"")</f>
        <v/>
      </c>
      <c r="I549" s="51" t="str">
        <f>IFERROR(__xludf.DUMMYFUNCTION("""COMPUTED_VALUE"""),"#VALUE!")</f>
        <v>#VALUE!</v>
      </c>
      <c r="J549" s="51" t="str">
        <f>IFERROR(__xludf.DUMMYFUNCTION("""COMPUTED_VALUE"""),"")</f>
        <v/>
      </c>
      <c r="K549" s="51"/>
      <c r="L549" s="51" t="s">
        <v>257</v>
      </c>
      <c r="M549" s="51"/>
      <c r="N549" s="51"/>
      <c r="O549" s="51"/>
      <c r="P549" s="51"/>
      <c r="Q549" s="51"/>
      <c r="R549" s="51"/>
      <c r="S549" s="51"/>
      <c r="T549" s="51"/>
    </row>
    <row r="550">
      <c r="A550" s="51"/>
      <c r="B550" s="51"/>
      <c r="C550" s="56"/>
      <c r="D550" s="51"/>
      <c r="E550" s="51"/>
      <c r="F550" s="51"/>
      <c r="G550" s="51" t="str">
        <f>IFERROR(__xludf.DUMMYFUNCTION("""COMPUTED_VALUE"""),"#VALUE!")</f>
        <v>#VALUE!</v>
      </c>
      <c r="H550" s="51" t="str">
        <f>IFERROR(__xludf.DUMMYFUNCTION("""COMPUTED_VALUE"""),"")</f>
        <v/>
      </c>
      <c r="I550" s="51" t="str">
        <f>IFERROR(__xludf.DUMMYFUNCTION("""COMPUTED_VALUE"""),"#VALUE!")</f>
        <v>#VALUE!</v>
      </c>
      <c r="J550" s="51" t="str">
        <f>IFERROR(__xludf.DUMMYFUNCTION("""COMPUTED_VALUE"""),"")</f>
        <v/>
      </c>
      <c r="K550" s="51"/>
      <c r="L550" s="51" t="s">
        <v>257</v>
      </c>
      <c r="M550" s="51"/>
      <c r="N550" s="51"/>
      <c r="O550" s="51"/>
      <c r="P550" s="51"/>
      <c r="Q550" s="51"/>
      <c r="R550" s="51"/>
      <c r="S550" s="51"/>
      <c r="T550" s="51"/>
    </row>
    <row r="551">
      <c r="A551" s="51"/>
      <c r="B551" s="51"/>
      <c r="C551" s="56"/>
      <c r="D551" s="51"/>
      <c r="E551" s="51"/>
      <c r="F551" s="51"/>
      <c r="G551" s="51" t="str">
        <f>IFERROR(__xludf.DUMMYFUNCTION("""COMPUTED_VALUE"""),"#VALUE!")</f>
        <v>#VALUE!</v>
      </c>
      <c r="H551" s="51" t="str">
        <f>IFERROR(__xludf.DUMMYFUNCTION("""COMPUTED_VALUE"""),"")</f>
        <v/>
      </c>
      <c r="I551" s="51" t="str">
        <f>IFERROR(__xludf.DUMMYFUNCTION("""COMPUTED_VALUE"""),"#VALUE!")</f>
        <v>#VALUE!</v>
      </c>
      <c r="J551" s="51" t="str">
        <f>IFERROR(__xludf.DUMMYFUNCTION("""COMPUTED_VALUE"""),"")</f>
        <v/>
      </c>
      <c r="K551" s="51"/>
      <c r="L551" s="51" t="s">
        <v>257</v>
      </c>
      <c r="M551" s="51"/>
      <c r="N551" s="51"/>
      <c r="O551" s="51"/>
      <c r="P551" s="51"/>
      <c r="Q551" s="51"/>
      <c r="R551" s="51"/>
      <c r="S551" s="51"/>
      <c r="T551" s="51"/>
    </row>
    <row r="552">
      <c r="A552" s="51"/>
      <c r="B552" s="51"/>
      <c r="C552" s="56"/>
      <c r="D552" s="51"/>
      <c r="E552" s="51"/>
      <c r="F552" s="51"/>
      <c r="G552" s="51" t="str">
        <f>IFERROR(__xludf.DUMMYFUNCTION("""COMPUTED_VALUE"""),"#VALUE!")</f>
        <v>#VALUE!</v>
      </c>
      <c r="H552" s="51" t="str">
        <f>IFERROR(__xludf.DUMMYFUNCTION("""COMPUTED_VALUE"""),"")</f>
        <v/>
      </c>
      <c r="I552" s="51" t="str">
        <f>IFERROR(__xludf.DUMMYFUNCTION("""COMPUTED_VALUE"""),"#VALUE!")</f>
        <v>#VALUE!</v>
      </c>
      <c r="J552" s="51" t="str">
        <f>IFERROR(__xludf.DUMMYFUNCTION("""COMPUTED_VALUE"""),"")</f>
        <v/>
      </c>
      <c r="K552" s="51"/>
      <c r="L552" s="51" t="s">
        <v>257</v>
      </c>
      <c r="M552" s="51"/>
      <c r="N552" s="51"/>
      <c r="O552" s="51"/>
      <c r="P552" s="51"/>
      <c r="Q552" s="51"/>
      <c r="R552" s="51"/>
      <c r="S552" s="51"/>
      <c r="T552" s="51"/>
    </row>
    <row r="553">
      <c r="A553" s="51"/>
      <c r="B553" s="51"/>
      <c r="C553" s="56"/>
      <c r="D553" s="51"/>
      <c r="E553" s="51"/>
      <c r="F553" s="51"/>
      <c r="G553" s="51" t="str">
        <f>IFERROR(__xludf.DUMMYFUNCTION("""COMPUTED_VALUE"""),"#VALUE!")</f>
        <v>#VALUE!</v>
      </c>
      <c r="H553" s="51" t="str">
        <f>IFERROR(__xludf.DUMMYFUNCTION("""COMPUTED_VALUE"""),"")</f>
        <v/>
      </c>
      <c r="I553" s="51" t="str">
        <f>IFERROR(__xludf.DUMMYFUNCTION("""COMPUTED_VALUE"""),"#VALUE!")</f>
        <v>#VALUE!</v>
      </c>
      <c r="J553" s="51" t="str">
        <f>IFERROR(__xludf.DUMMYFUNCTION("""COMPUTED_VALUE"""),"")</f>
        <v/>
      </c>
      <c r="K553" s="51"/>
      <c r="L553" s="51" t="s">
        <v>257</v>
      </c>
      <c r="M553" s="51"/>
      <c r="N553" s="51"/>
      <c r="O553" s="51"/>
      <c r="P553" s="51"/>
      <c r="Q553" s="51"/>
      <c r="R553" s="51"/>
      <c r="S553" s="51"/>
      <c r="T553" s="51"/>
    </row>
    <row r="554">
      <c r="A554" s="51"/>
      <c r="B554" s="51"/>
      <c r="C554" s="56"/>
      <c r="D554" s="51"/>
      <c r="E554" s="51"/>
      <c r="F554" s="51"/>
      <c r="G554" s="51" t="str">
        <f>IFERROR(__xludf.DUMMYFUNCTION("""COMPUTED_VALUE"""),"#VALUE!")</f>
        <v>#VALUE!</v>
      </c>
      <c r="H554" s="51" t="str">
        <f>IFERROR(__xludf.DUMMYFUNCTION("""COMPUTED_VALUE"""),"")</f>
        <v/>
      </c>
      <c r="I554" s="51" t="str">
        <f>IFERROR(__xludf.DUMMYFUNCTION("""COMPUTED_VALUE"""),"#VALUE!")</f>
        <v>#VALUE!</v>
      </c>
      <c r="J554" s="51" t="str">
        <f>IFERROR(__xludf.DUMMYFUNCTION("""COMPUTED_VALUE"""),"")</f>
        <v/>
      </c>
      <c r="K554" s="51"/>
      <c r="L554" s="51" t="s">
        <v>257</v>
      </c>
      <c r="M554" s="51"/>
      <c r="N554" s="51"/>
      <c r="O554" s="51"/>
      <c r="P554" s="51"/>
      <c r="Q554" s="51"/>
      <c r="R554" s="51"/>
      <c r="S554" s="51"/>
      <c r="T554" s="51"/>
    </row>
    <row r="555">
      <c r="A555" s="51"/>
      <c r="B555" s="51"/>
      <c r="C555" s="56"/>
      <c r="D555" s="51"/>
      <c r="E555" s="51"/>
      <c r="F555" s="51"/>
      <c r="G555" s="51" t="str">
        <f>IFERROR(__xludf.DUMMYFUNCTION("""COMPUTED_VALUE"""),"#VALUE!")</f>
        <v>#VALUE!</v>
      </c>
      <c r="H555" s="51" t="str">
        <f>IFERROR(__xludf.DUMMYFUNCTION("""COMPUTED_VALUE"""),"")</f>
        <v/>
      </c>
      <c r="I555" s="51" t="str">
        <f>IFERROR(__xludf.DUMMYFUNCTION("""COMPUTED_VALUE"""),"#VALUE!")</f>
        <v>#VALUE!</v>
      </c>
      <c r="J555" s="51" t="str">
        <f>IFERROR(__xludf.DUMMYFUNCTION("""COMPUTED_VALUE"""),"")</f>
        <v/>
      </c>
      <c r="K555" s="51"/>
      <c r="L555" s="51" t="s">
        <v>257</v>
      </c>
      <c r="M555" s="51"/>
      <c r="N555" s="51"/>
      <c r="O555" s="51"/>
      <c r="P555" s="51"/>
      <c r="Q555" s="51"/>
      <c r="R555" s="51"/>
      <c r="S555" s="51"/>
      <c r="T555" s="51"/>
    </row>
    <row r="556">
      <c r="A556" s="51"/>
      <c r="B556" s="51"/>
      <c r="C556" s="56"/>
      <c r="D556" s="51"/>
      <c r="E556" s="51"/>
      <c r="F556" s="51"/>
      <c r="G556" s="51" t="str">
        <f>IFERROR(__xludf.DUMMYFUNCTION("""COMPUTED_VALUE"""),"#VALUE!")</f>
        <v>#VALUE!</v>
      </c>
      <c r="H556" s="51" t="str">
        <f>IFERROR(__xludf.DUMMYFUNCTION("""COMPUTED_VALUE"""),"")</f>
        <v/>
      </c>
      <c r="I556" s="51" t="str">
        <f>IFERROR(__xludf.DUMMYFUNCTION("""COMPUTED_VALUE"""),"#VALUE!")</f>
        <v>#VALUE!</v>
      </c>
      <c r="J556" s="51" t="str">
        <f>IFERROR(__xludf.DUMMYFUNCTION("""COMPUTED_VALUE"""),"")</f>
        <v/>
      </c>
      <c r="K556" s="51"/>
      <c r="L556" s="51" t="s">
        <v>257</v>
      </c>
      <c r="M556" s="51"/>
      <c r="N556" s="51"/>
      <c r="O556" s="51"/>
      <c r="P556" s="51"/>
      <c r="Q556" s="51"/>
      <c r="R556" s="51"/>
      <c r="S556" s="51"/>
      <c r="T556" s="51"/>
    </row>
    <row r="557">
      <c r="A557" s="51"/>
      <c r="B557" s="51"/>
      <c r="C557" s="56"/>
      <c r="D557" s="51"/>
      <c r="E557" s="51"/>
      <c r="F557" s="51"/>
      <c r="G557" s="51" t="str">
        <f>IFERROR(__xludf.DUMMYFUNCTION("""COMPUTED_VALUE"""),"#VALUE!")</f>
        <v>#VALUE!</v>
      </c>
      <c r="H557" s="51" t="str">
        <f>IFERROR(__xludf.DUMMYFUNCTION("""COMPUTED_VALUE"""),"")</f>
        <v/>
      </c>
      <c r="I557" s="51" t="str">
        <f>IFERROR(__xludf.DUMMYFUNCTION("""COMPUTED_VALUE"""),"#VALUE!")</f>
        <v>#VALUE!</v>
      </c>
      <c r="J557" s="51" t="str">
        <f>IFERROR(__xludf.DUMMYFUNCTION("""COMPUTED_VALUE"""),"")</f>
        <v/>
      </c>
      <c r="K557" s="51"/>
      <c r="L557" s="51" t="s">
        <v>257</v>
      </c>
      <c r="M557" s="51"/>
      <c r="N557" s="51"/>
      <c r="O557" s="51"/>
      <c r="P557" s="51"/>
      <c r="Q557" s="51"/>
      <c r="R557" s="51"/>
      <c r="S557" s="51"/>
      <c r="T557" s="51"/>
    </row>
    <row r="558">
      <c r="A558" s="51"/>
      <c r="B558" s="51"/>
      <c r="C558" s="56"/>
      <c r="D558" s="51"/>
      <c r="E558" s="51"/>
      <c r="F558" s="51"/>
      <c r="G558" s="51" t="str">
        <f>IFERROR(__xludf.DUMMYFUNCTION("""COMPUTED_VALUE"""),"#VALUE!")</f>
        <v>#VALUE!</v>
      </c>
      <c r="H558" s="51" t="str">
        <f>IFERROR(__xludf.DUMMYFUNCTION("""COMPUTED_VALUE"""),"")</f>
        <v/>
      </c>
      <c r="I558" s="51" t="str">
        <f>IFERROR(__xludf.DUMMYFUNCTION("""COMPUTED_VALUE"""),"#VALUE!")</f>
        <v>#VALUE!</v>
      </c>
      <c r="J558" s="51" t="str">
        <f>IFERROR(__xludf.DUMMYFUNCTION("""COMPUTED_VALUE"""),"")</f>
        <v/>
      </c>
      <c r="K558" s="51"/>
      <c r="L558" s="51" t="s">
        <v>257</v>
      </c>
      <c r="M558" s="51"/>
      <c r="N558" s="51"/>
      <c r="O558" s="51"/>
      <c r="P558" s="51"/>
      <c r="Q558" s="51"/>
      <c r="R558" s="51"/>
      <c r="S558" s="51"/>
      <c r="T558" s="51"/>
    </row>
    <row r="559">
      <c r="A559" s="51"/>
      <c r="B559" s="51"/>
      <c r="C559" s="56"/>
      <c r="D559" s="51"/>
      <c r="E559" s="51"/>
      <c r="F559" s="51"/>
      <c r="G559" s="51" t="str">
        <f>IFERROR(__xludf.DUMMYFUNCTION("""COMPUTED_VALUE"""),"#VALUE!")</f>
        <v>#VALUE!</v>
      </c>
      <c r="H559" s="51" t="str">
        <f>IFERROR(__xludf.DUMMYFUNCTION("""COMPUTED_VALUE"""),"")</f>
        <v/>
      </c>
      <c r="I559" s="51" t="str">
        <f>IFERROR(__xludf.DUMMYFUNCTION("""COMPUTED_VALUE"""),"#VALUE!")</f>
        <v>#VALUE!</v>
      </c>
      <c r="J559" s="51" t="str">
        <f>IFERROR(__xludf.DUMMYFUNCTION("""COMPUTED_VALUE"""),"")</f>
        <v/>
      </c>
      <c r="K559" s="51"/>
      <c r="L559" s="51" t="s">
        <v>257</v>
      </c>
      <c r="M559" s="51"/>
      <c r="N559" s="51"/>
      <c r="O559" s="51"/>
      <c r="P559" s="51"/>
      <c r="Q559" s="51"/>
      <c r="R559" s="51"/>
      <c r="S559" s="51"/>
      <c r="T559" s="51"/>
    </row>
    <row r="560">
      <c r="A560" s="51"/>
      <c r="B560" s="51"/>
      <c r="C560" s="56"/>
      <c r="D560" s="51"/>
      <c r="E560" s="51"/>
      <c r="F560" s="51"/>
      <c r="G560" s="51" t="str">
        <f>IFERROR(__xludf.DUMMYFUNCTION("""COMPUTED_VALUE"""),"#VALUE!")</f>
        <v>#VALUE!</v>
      </c>
      <c r="H560" s="51" t="str">
        <f>IFERROR(__xludf.DUMMYFUNCTION("""COMPUTED_VALUE"""),"")</f>
        <v/>
      </c>
      <c r="I560" s="51" t="str">
        <f>IFERROR(__xludf.DUMMYFUNCTION("""COMPUTED_VALUE"""),"#VALUE!")</f>
        <v>#VALUE!</v>
      </c>
      <c r="J560" s="51" t="str">
        <f>IFERROR(__xludf.DUMMYFUNCTION("""COMPUTED_VALUE"""),"")</f>
        <v/>
      </c>
      <c r="K560" s="51"/>
      <c r="L560" s="51" t="s">
        <v>257</v>
      </c>
      <c r="M560" s="51"/>
      <c r="N560" s="51"/>
      <c r="O560" s="51"/>
      <c r="P560" s="51"/>
      <c r="Q560" s="51"/>
      <c r="R560" s="51"/>
      <c r="S560" s="51"/>
      <c r="T560" s="51"/>
    </row>
  </sheetData>
  <conditionalFormatting sqref="O2:O47">
    <cfRule type="containsText" dxfId="4" priority="1" operator="containsText" text="YES">
      <formula>NOT(ISERROR(SEARCH(("YES"),(O2))))</formula>
    </cfRule>
  </conditionalFormatting>
  <conditionalFormatting sqref="O2:O47">
    <cfRule type="cellIs" dxfId="5" priority="2" operator="equal">
      <formula>"NO"</formula>
    </cfRule>
  </conditionalFormatting>
  <conditionalFormatting sqref="P2:P47">
    <cfRule type="cellIs" dxfId="4" priority="3" operator="equal">
      <formula>"AVAILABLE"</formula>
    </cfRule>
  </conditionalFormatting>
  <conditionalFormatting sqref="P2:P47">
    <cfRule type="cellIs" dxfId="5" priority="4" operator="equal">
      <formula>"NOT AVAILABLE"</formula>
    </cfRule>
  </conditionalFormatting>
  <conditionalFormatting sqref="Q2:Q47">
    <cfRule type="cellIs" dxfId="4" priority="5" operator="equal">
      <formula>"AVAILABLE"</formula>
    </cfRule>
  </conditionalFormatting>
  <conditionalFormatting sqref="Q2:Q47">
    <cfRule type="cellIs" dxfId="6" priority="6" operator="equal">
      <formula>"UPLOADING"</formula>
    </cfRule>
  </conditionalFormatting>
  <conditionalFormatting sqref="Q2:Q47">
    <cfRule type="cellIs" dxfId="5" priority="7" operator="equal">
      <formula>"NOT AVAILABLE"</formula>
    </cfRule>
  </conditionalFormatting>
  <dataValidations>
    <dataValidation type="list" allowBlank="1" sqref="O2:O47">
      <formula1>"YES,NO"</formula1>
    </dataValidation>
    <dataValidation type="list" allowBlank="1" sqref="P2:P47">
      <formula1>"AVAILABLE,NOT AVAILABLE"</formula1>
    </dataValidation>
    <dataValidation type="list" allowBlank="1" sqref="Q2:Q47">
      <formula1>"AVAILABLE,UPLOADING,NOT AVAILABLE"</formula1>
    </dataValidation>
  </dataValidations>
  <drawing r:id="rId1"/>
  <tableParts count="1">
    <tablePart r:id="rId3"/>
  </tableParts>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4.29"/>
    <col customWidth="1" min="3" max="3" width="26.43"/>
    <col hidden="1" min="4" max="5" width="14.43"/>
    <col customWidth="1" min="6" max="6" width="42.43"/>
    <col hidden="1" min="9" max="9" width="14.43"/>
  </cols>
  <sheetData>
    <row r="1">
      <c r="A1" s="46" t="s">
        <v>79</v>
      </c>
      <c r="B1" s="46" t="s">
        <v>80</v>
      </c>
      <c r="C1" s="93" t="s">
        <v>81</v>
      </c>
      <c r="D1" s="46" t="s">
        <v>82</v>
      </c>
      <c r="E1" s="46" t="s">
        <v>83</v>
      </c>
      <c r="F1" s="46" t="s">
        <v>84</v>
      </c>
      <c r="G1" s="46" t="s">
        <v>85</v>
      </c>
      <c r="H1" s="46" t="s">
        <v>86</v>
      </c>
      <c r="I1" s="46" t="s">
        <v>87</v>
      </c>
      <c r="J1" s="46" t="s">
        <v>88</v>
      </c>
      <c r="K1" s="46" t="s">
        <v>89</v>
      </c>
      <c r="L1" s="46" t="s">
        <v>90</v>
      </c>
      <c r="M1" s="46" t="s">
        <v>91</v>
      </c>
      <c r="N1" s="46" t="s">
        <v>92</v>
      </c>
      <c r="O1" s="50" t="s">
        <v>93</v>
      </c>
      <c r="P1" s="50" t="s">
        <v>94</v>
      </c>
      <c r="Q1" s="50" t="s">
        <v>95</v>
      </c>
      <c r="R1" s="51"/>
      <c r="S1" s="51"/>
      <c r="T1" s="51"/>
    </row>
    <row r="2">
      <c r="A2" s="54" t="str">
        <f>IFERROR(__xludf.DUMMYFUNCTION("QUERY(Master!A:H,""SELECT A,C,D,F,G,H where C = 'Corporate Innovation Summit' ORDER BY F"")"),"Opening remarks")</f>
        <v>Opening remarks</v>
      </c>
      <c r="B2" s="51" t="str">
        <f>IFERROR(__xludf.DUMMYFUNCTION("""COMPUTED_VALUE"""),"Corporate Innovation Summit")</f>
        <v>Corporate Innovation Summit</v>
      </c>
      <c r="C2" s="94" t="str">
        <f>IFERROR(__xludf.DUMMYFUNCTION("""COMPUTED_VALUE"""),"Scott Campbell")</f>
        <v>Scott Campbell</v>
      </c>
      <c r="D2" s="51" t="str">
        <f>IFERROR(__xludf.DUMMYFUNCTION("""COMPUTED_VALUE"""),"2019/11/05 10:00:00")</f>
        <v>2019/11/05 10:00:00</v>
      </c>
      <c r="E2" s="51" t="str">
        <f>IFERROR(__xludf.DUMMYFUNCTION("""COMPUTED_VALUE"""),"2019/11/05 10:15:00")</f>
        <v>2019/11/05 10:15:00</v>
      </c>
      <c r="F2" s="51" t="str">
        <f>IFERROR(__xludf.DUMMYFUNCTION("""COMPUTED_VALUE"""),"f67dafe5-f84e-4ff8-bcb4-804dfba7b2a5")</f>
        <v>f67dafe5-f84e-4ff8-bcb4-804dfba7b2a5</v>
      </c>
      <c r="G2" s="61">
        <f>IFERROR(__xludf.DUMMYFUNCTION("ARRAYFORMULA(SPLIT(D2:D568,"" ""))"),43774.0)</f>
        <v>43774</v>
      </c>
      <c r="H2" s="60">
        <f>IFERROR(__xludf.DUMMYFUNCTION("""COMPUTED_VALUE"""),0.4166666666666667)</f>
        <v>0.4166666667</v>
      </c>
      <c r="I2" s="61">
        <f>IFERROR(__xludf.DUMMYFUNCTION("ARRAYFORMULA(SPLIT(E2:E568,"" ""))"),43774.0)</f>
        <v>43774</v>
      </c>
      <c r="J2" s="60">
        <f>IFERROR(__xludf.DUMMYFUNCTION("""COMPUTED_VALUE"""),0.4270833333333333)</f>
        <v>0.4270833333</v>
      </c>
      <c r="K2" s="60">
        <f t="shared" ref="K2:K67" si="1">J2-H2</f>
        <v>0.01041666667</v>
      </c>
      <c r="L2" s="54" t="str">
        <f t="array" ref="L2:L568">TEXT(K2:K568,"hhmmss")</f>
        <v>001500</v>
      </c>
      <c r="M2" s="87" t="s">
        <v>740</v>
      </c>
      <c r="N2" s="62" t="str">
        <f>CONCATENATE(M2,"_",F2,"_","000000_000000.mp4")</f>
        <v>CI_5_1_f67dafe5-f84e-4ff8-bcb4-804dfba7b2a5_000000_000000.mp4</v>
      </c>
      <c r="O2" s="50"/>
      <c r="P2" s="50"/>
      <c r="Q2" s="63"/>
      <c r="R2" s="51"/>
      <c r="S2" s="51"/>
      <c r="T2" s="51"/>
    </row>
    <row r="3">
      <c r="A3" s="51" t="str">
        <f>IFERROR(__xludf.DUMMYFUNCTION("""COMPUTED_VALUE"""),"The code: Business secrets from Silicon Valley")</f>
        <v>The code: Business secrets from Silicon Valley</v>
      </c>
      <c r="B3" s="51" t="str">
        <f>IFERROR(__xludf.DUMMYFUNCTION("""COMPUTED_VALUE"""),"Corporate Innovation Summit")</f>
        <v>Corporate Innovation Summit</v>
      </c>
      <c r="C3" s="94" t="str">
        <f>IFERROR(__xludf.DUMMYFUNCTION("""COMPUTED_VALUE"""),"Margaret O'Mara")</f>
        <v>Margaret O'Mara</v>
      </c>
      <c r="D3" s="51" t="str">
        <f>IFERROR(__xludf.DUMMYFUNCTION("""COMPUTED_VALUE"""),"2019/11/05 10:15:00")</f>
        <v>2019/11/05 10:15:00</v>
      </c>
      <c r="E3" s="51" t="str">
        <f>IFERROR(__xludf.DUMMYFUNCTION("""COMPUTED_VALUE"""),"2019/11/05 10:35:00")</f>
        <v>2019/11/05 10:35:00</v>
      </c>
      <c r="F3" s="51" t="str">
        <f>IFERROR(__xludf.DUMMYFUNCTION("""COMPUTED_VALUE"""),"399de8d4-96aa-442c-a383-c8d98cbc61f6")</f>
        <v>399de8d4-96aa-442c-a383-c8d98cbc61f6</v>
      </c>
      <c r="G3" s="58">
        <f>IFERROR(__xludf.DUMMYFUNCTION("""COMPUTED_VALUE"""),43774.0)</f>
        <v>43774</v>
      </c>
      <c r="H3" s="60">
        <f>IFERROR(__xludf.DUMMYFUNCTION("""COMPUTED_VALUE"""),0.4270833333333333)</f>
        <v>0.4270833333</v>
      </c>
      <c r="I3" s="58">
        <f>IFERROR(__xludf.DUMMYFUNCTION("""COMPUTED_VALUE"""),43774.0)</f>
        <v>43774</v>
      </c>
      <c r="J3" s="60">
        <f>IFERROR(__xludf.DUMMYFUNCTION("""COMPUTED_VALUE"""),0.4409722222222222)</f>
        <v>0.4409722222</v>
      </c>
      <c r="K3" s="60">
        <f t="shared" si="1"/>
        <v>0.01388888889</v>
      </c>
      <c r="L3" s="51" t="s">
        <v>111</v>
      </c>
      <c r="M3" s="87" t="s">
        <v>742</v>
      </c>
      <c r="N3" s="51"/>
      <c r="O3" s="50"/>
      <c r="P3" s="50"/>
      <c r="Q3" s="63"/>
      <c r="R3" s="51"/>
      <c r="S3" s="51"/>
      <c r="T3" s="51"/>
    </row>
    <row r="4">
      <c r="A4" s="51" t="str">
        <f>IFERROR(__xludf.DUMMYFUNCTION("""COMPUTED_VALUE"""),"Governments' role in the fourth Industrial Revolution")</f>
        <v>Governments' role in the fourth Industrial Revolution</v>
      </c>
      <c r="B4" s="51" t="str">
        <f>IFERROR(__xludf.DUMMYFUNCTION("""COMPUTED_VALUE"""),"Corporate Innovation Summit")</f>
        <v>Corporate Innovation Summit</v>
      </c>
      <c r="C4" s="94" t="str">
        <f>IFERROR(__xludf.DUMMYFUNCTION("""COMPUTED_VALUE"""),"Andrej Kiska, Paula Ingabire and Nicholas Vinocur")</f>
        <v>Andrej Kiska, Paula Ingabire and Nicholas Vinocur</v>
      </c>
      <c r="D4" s="51" t="str">
        <f>IFERROR(__xludf.DUMMYFUNCTION("""COMPUTED_VALUE"""),"2019/11/05 10:35:00")</f>
        <v>2019/11/05 10:35:00</v>
      </c>
      <c r="E4" s="51" t="str">
        <f>IFERROR(__xludf.DUMMYFUNCTION("""COMPUTED_VALUE"""),"2019/11/05 10:55:00")</f>
        <v>2019/11/05 10:55:00</v>
      </c>
      <c r="F4" s="51" t="str">
        <f>IFERROR(__xludf.DUMMYFUNCTION("""COMPUTED_VALUE"""),"e0abd19e-f2e5-4ed4-a1e3-3370df139a42")</f>
        <v>e0abd19e-f2e5-4ed4-a1e3-3370df139a42</v>
      </c>
      <c r="G4" s="58">
        <f>IFERROR(__xludf.DUMMYFUNCTION("""COMPUTED_VALUE"""),43774.0)</f>
        <v>43774</v>
      </c>
      <c r="H4" s="60">
        <f>IFERROR(__xludf.DUMMYFUNCTION("""COMPUTED_VALUE"""),0.4409722222222222)</f>
        <v>0.4409722222</v>
      </c>
      <c r="I4" s="58">
        <f>IFERROR(__xludf.DUMMYFUNCTION("""COMPUTED_VALUE"""),43774.0)</f>
        <v>43774</v>
      </c>
      <c r="J4" s="60">
        <f>IFERROR(__xludf.DUMMYFUNCTION("""COMPUTED_VALUE"""),0.4548611111111111)</f>
        <v>0.4548611111</v>
      </c>
      <c r="K4" s="60">
        <f t="shared" si="1"/>
        <v>0.01388888889</v>
      </c>
      <c r="L4" s="51" t="s">
        <v>111</v>
      </c>
      <c r="M4" s="87" t="s">
        <v>744</v>
      </c>
      <c r="N4" s="51"/>
      <c r="O4" s="50"/>
      <c r="P4" s="50"/>
      <c r="Q4" s="63"/>
      <c r="R4" s="51"/>
      <c r="S4" s="51"/>
      <c r="T4" s="51"/>
    </row>
    <row r="5">
      <c r="A5" s="51" t="str">
        <f>IFERROR(__xludf.DUMMYFUNCTION("""COMPUTED_VALUE"""),"The cognitive enterprise")</f>
        <v>The cognitive enterprise</v>
      </c>
      <c r="B5" s="51" t="str">
        <f>IFERROR(__xludf.DUMMYFUNCTION("""COMPUTED_VALUE"""),"Corporate Innovation Summit")</f>
        <v>Corporate Innovation Summit</v>
      </c>
      <c r="C5" s="94" t="str">
        <f>IFERROR(__xludf.DUMMYFUNCTION("""COMPUTED_VALUE"""),"Mark Foster and Paul Michelman")</f>
        <v>Mark Foster and Paul Michelman</v>
      </c>
      <c r="D5" s="51" t="str">
        <f>IFERROR(__xludf.DUMMYFUNCTION("""COMPUTED_VALUE"""),"2019/11/05 10:55:00")</f>
        <v>2019/11/05 10:55:00</v>
      </c>
      <c r="E5" s="51" t="str">
        <f>IFERROR(__xludf.DUMMYFUNCTION("""COMPUTED_VALUE"""),"2019/11/05 11:15:00")</f>
        <v>2019/11/05 11:15:00</v>
      </c>
      <c r="F5" s="51" t="str">
        <f>IFERROR(__xludf.DUMMYFUNCTION("""COMPUTED_VALUE"""),"4deaa9c0-697f-41cf-80d1-ff36597371ff")</f>
        <v>4deaa9c0-697f-41cf-80d1-ff36597371ff</v>
      </c>
      <c r="G5" s="58">
        <f>IFERROR(__xludf.DUMMYFUNCTION("""COMPUTED_VALUE"""),43774.0)</f>
        <v>43774</v>
      </c>
      <c r="H5" s="60">
        <f>IFERROR(__xludf.DUMMYFUNCTION("""COMPUTED_VALUE"""),0.4548611111111111)</f>
        <v>0.4548611111</v>
      </c>
      <c r="I5" s="58">
        <f>IFERROR(__xludf.DUMMYFUNCTION("""COMPUTED_VALUE"""),43774.0)</f>
        <v>43774</v>
      </c>
      <c r="J5" s="60">
        <f>IFERROR(__xludf.DUMMYFUNCTION("""COMPUTED_VALUE"""),0.46875)</f>
        <v>0.46875</v>
      </c>
      <c r="K5" s="60">
        <f t="shared" si="1"/>
        <v>0.01388888889</v>
      </c>
      <c r="L5" s="51" t="s">
        <v>111</v>
      </c>
      <c r="M5" s="87" t="s">
        <v>746</v>
      </c>
      <c r="N5" s="51"/>
      <c r="O5" s="50"/>
      <c r="P5" s="50"/>
      <c r="Q5" s="63"/>
      <c r="R5" s="51"/>
      <c r="S5" s="51"/>
      <c r="T5" s="51"/>
    </row>
    <row r="6">
      <c r="A6" s="51" t="str">
        <f>IFERROR(__xludf.DUMMYFUNCTION("""COMPUTED_VALUE"""),"The good, the bad and the future of big data")</f>
        <v>The good, the bad and the future of big data</v>
      </c>
      <c r="B6" s="51" t="str">
        <f>IFERROR(__xludf.DUMMYFUNCTION("""COMPUTED_VALUE"""),"Corporate Innovation Summit")</f>
        <v>Corporate Innovation Summit</v>
      </c>
      <c r="C6" s="94" t="str">
        <f>IFERROR(__xludf.DUMMYFUNCTION("""COMPUTED_VALUE"""),"François-Xavier Pierrel, Steve Rempel, Lori Fink and Joaquim Bretcha Boix")</f>
        <v>François-Xavier Pierrel, Steve Rempel, Lori Fink and Joaquim Bretcha Boix</v>
      </c>
      <c r="D6" s="51" t="str">
        <f>IFERROR(__xludf.DUMMYFUNCTION("""COMPUTED_VALUE"""),"2019/11/05 11:15:00")</f>
        <v>2019/11/05 11:15:00</v>
      </c>
      <c r="E6" s="51" t="str">
        <f>IFERROR(__xludf.DUMMYFUNCTION("""COMPUTED_VALUE"""),"2019/11/05 11:40:00")</f>
        <v>2019/11/05 11:40:00</v>
      </c>
      <c r="F6" s="51" t="str">
        <f>IFERROR(__xludf.DUMMYFUNCTION("""COMPUTED_VALUE"""),"a73787b3-c882-46bc-a562-93cc0e79cec7")</f>
        <v>a73787b3-c882-46bc-a562-93cc0e79cec7</v>
      </c>
      <c r="G6" s="58">
        <f>IFERROR(__xludf.DUMMYFUNCTION("""COMPUTED_VALUE"""),43774.0)</f>
        <v>43774</v>
      </c>
      <c r="H6" s="60">
        <f>IFERROR(__xludf.DUMMYFUNCTION("""COMPUTED_VALUE"""),0.46875)</f>
        <v>0.46875</v>
      </c>
      <c r="I6" s="58">
        <f>IFERROR(__xludf.DUMMYFUNCTION("""COMPUTED_VALUE"""),43774.0)</f>
        <v>43774</v>
      </c>
      <c r="J6" s="60">
        <f>IFERROR(__xludf.DUMMYFUNCTION("""COMPUTED_VALUE"""),0.4861111111111111)</f>
        <v>0.4861111111</v>
      </c>
      <c r="K6" s="60">
        <f t="shared" si="1"/>
        <v>0.01736111111</v>
      </c>
      <c r="L6" s="51" t="s">
        <v>107</v>
      </c>
      <c r="M6" s="87" t="s">
        <v>748</v>
      </c>
      <c r="N6" s="51"/>
      <c r="O6" s="50"/>
      <c r="P6" s="50"/>
      <c r="Q6" s="63"/>
      <c r="R6" s="51"/>
      <c r="S6" s="51"/>
      <c r="T6" s="51"/>
    </row>
    <row r="7">
      <c r="A7" s="51" t="str">
        <f>IFERROR(__xludf.DUMMYFUNCTION("""COMPUTED_VALUE"""),"Blockchain: The use cases")</f>
        <v>Blockchain: The use cases</v>
      </c>
      <c r="B7" s="51" t="str">
        <f>IFERROR(__xludf.DUMMYFUNCTION("""COMPUTED_VALUE"""),"Corporate Innovation Summit")</f>
        <v>Corporate Innovation Summit</v>
      </c>
      <c r="C7" s="94" t="str">
        <f>IFERROR(__xludf.DUMMYFUNCTION("""COMPUTED_VALUE"""),"David Wachsman, David Chaum, Corentin Denoeud and Noelle Acheson")</f>
        <v>David Wachsman, David Chaum, Corentin Denoeud and Noelle Acheson</v>
      </c>
      <c r="D7" s="51" t="str">
        <f>IFERROR(__xludf.DUMMYFUNCTION("""COMPUTED_VALUE"""),"2019/11/05 11:40:00")</f>
        <v>2019/11/05 11:40:00</v>
      </c>
      <c r="E7" s="51" t="str">
        <f>IFERROR(__xludf.DUMMYFUNCTION("""COMPUTED_VALUE"""),"2019/11/05 12:00:00")</f>
        <v>2019/11/05 12:00:00</v>
      </c>
      <c r="F7" s="51" t="str">
        <f>IFERROR(__xludf.DUMMYFUNCTION("""COMPUTED_VALUE"""),"8b1d95d1-cd19-4937-92ab-d85556bb3c98")</f>
        <v>8b1d95d1-cd19-4937-92ab-d85556bb3c98</v>
      </c>
      <c r="G7" s="58">
        <f>IFERROR(__xludf.DUMMYFUNCTION("""COMPUTED_VALUE"""),43774.0)</f>
        <v>43774</v>
      </c>
      <c r="H7" s="60">
        <f>IFERROR(__xludf.DUMMYFUNCTION("""COMPUTED_VALUE"""),0.4861111111111111)</f>
        <v>0.4861111111</v>
      </c>
      <c r="I7" s="58">
        <f>IFERROR(__xludf.DUMMYFUNCTION("""COMPUTED_VALUE"""),43774.0)</f>
        <v>43774</v>
      </c>
      <c r="J7" s="60">
        <f>IFERROR(__xludf.DUMMYFUNCTION("""COMPUTED_VALUE"""),0.5)</f>
        <v>0.5</v>
      </c>
      <c r="K7" s="60">
        <f t="shared" si="1"/>
        <v>0.01388888889</v>
      </c>
      <c r="L7" s="51" t="s">
        <v>111</v>
      </c>
      <c r="M7" s="87" t="s">
        <v>749</v>
      </c>
      <c r="N7" s="51"/>
      <c r="O7" s="50"/>
      <c r="P7" s="50"/>
      <c r="Q7" s="63"/>
      <c r="R7" s="51"/>
      <c r="S7" s="51"/>
      <c r="T7" s="51"/>
    </row>
    <row r="8">
      <c r="A8" s="51" t="str">
        <f>IFERROR(__xludf.DUMMYFUNCTION("""COMPUTED_VALUE"""),"Stitching fashion back together ")</f>
        <v>Stitching fashion back together </v>
      </c>
      <c r="B8" s="51" t="str">
        <f>IFERROR(__xludf.DUMMYFUNCTION("""COMPUTED_VALUE"""),"Corporate Innovation Summit")</f>
        <v>Corporate Innovation Summit</v>
      </c>
      <c r="C8" s="94" t="str">
        <f>IFERROR(__xludf.DUMMYFUNCTION("""COMPUTED_VALUE"""),"Anne-Christine Polet")</f>
        <v>Anne-Christine Polet</v>
      </c>
      <c r="D8" s="51" t="str">
        <f>IFERROR(__xludf.DUMMYFUNCTION("""COMPUTED_VALUE"""),"2019/11/05 12:00:00")</f>
        <v>2019/11/05 12:00:00</v>
      </c>
      <c r="E8" s="51" t="str">
        <f>IFERROR(__xludf.DUMMYFUNCTION("""COMPUTED_VALUE"""),"2019/11/05 12:20:00")</f>
        <v>2019/11/05 12:20:00</v>
      </c>
      <c r="F8" s="51" t="str">
        <f>IFERROR(__xludf.DUMMYFUNCTION("""COMPUTED_VALUE"""),"a40193d7-a95e-4545-8287-f4fdbe25511a")</f>
        <v>a40193d7-a95e-4545-8287-f4fdbe25511a</v>
      </c>
      <c r="G8" s="58">
        <f>IFERROR(__xludf.DUMMYFUNCTION("""COMPUTED_VALUE"""),43774.0)</f>
        <v>43774</v>
      </c>
      <c r="H8" s="60">
        <f>IFERROR(__xludf.DUMMYFUNCTION("""COMPUTED_VALUE"""),0.5)</f>
        <v>0.5</v>
      </c>
      <c r="I8" s="58">
        <f>IFERROR(__xludf.DUMMYFUNCTION("""COMPUTED_VALUE"""),43774.0)</f>
        <v>43774</v>
      </c>
      <c r="J8" s="60">
        <f>IFERROR(__xludf.DUMMYFUNCTION("""COMPUTED_VALUE"""),0.5138888888888888)</f>
        <v>0.5138888889</v>
      </c>
      <c r="K8" s="60">
        <f t="shared" si="1"/>
        <v>0.01388888889</v>
      </c>
      <c r="L8" s="51" t="s">
        <v>111</v>
      </c>
      <c r="M8" s="87" t="s">
        <v>751</v>
      </c>
      <c r="N8" s="51"/>
      <c r="O8" s="50"/>
      <c r="P8" s="50"/>
      <c r="Q8" s="63"/>
      <c r="R8" s="51"/>
      <c r="S8" s="51"/>
      <c r="T8" s="51"/>
    </row>
    <row r="9">
      <c r="A9" s="51" t="str">
        <f>IFERROR(__xludf.DUMMYFUNCTION("""COMPUTED_VALUE"""),"Lunch break")</f>
        <v>Lunch break</v>
      </c>
      <c r="B9" s="51" t="str">
        <f>IFERROR(__xludf.DUMMYFUNCTION("""COMPUTED_VALUE"""),"Corporate Innovation Summit")</f>
        <v>Corporate Innovation Summit</v>
      </c>
      <c r="C9" s="94" t="str">
        <f>IFERROR(__xludf.DUMMYFUNCTION("""COMPUTED_VALUE"""),"")</f>
        <v/>
      </c>
      <c r="D9" s="51" t="str">
        <f>IFERROR(__xludf.DUMMYFUNCTION("""COMPUTED_VALUE"""),"2019/11/05 12:20:00")</f>
        <v>2019/11/05 12:20:00</v>
      </c>
      <c r="E9" s="51" t="str">
        <f>IFERROR(__xludf.DUMMYFUNCTION("""COMPUTED_VALUE"""),"2019/11/05 13:05:00")</f>
        <v>2019/11/05 13:05:00</v>
      </c>
      <c r="F9" s="51" t="str">
        <f>IFERROR(__xludf.DUMMYFUNCTION("""COMPUTED_VALUE"""),"7d8ded41-38a2-46b6-aa76-5860532c8e53")</f>
        <v>7d8ded41-38a2-46b6-aa76-5860532c8e53</v>
      </c>
      <c r="G9" s="58">
        <f>IFERROR(__xludf.DUMMYFUNCTION("""COMPUTED_VALUE"""),43774.0)</f>
        <v>43774</v>
      </c>
      <c r="H9" s="60">
        <f>IFERROR(__xludf.DUMMYFUNCTION("""COMPUTED_VALUE"""),0.5138888888888888)</f>
        <v>0.5138888889</v>
      </c>
      <c r="I9" s="58">
        <f>IFERROR(__xludf.DUMMYFUNCTION("""COMPUTED_VALUE"""),43774.0)</f>
        <v>43774</v>
      </c>
      <c r="J9" s="60">
        <f>IFERROR(__xludf.DUMMYFUNCTION("""COMPUTED_VALUE"""),0.5451388888888888)</f>
        <v>0.5451388889</v>
      </c>
      <c r="K9" s="60">
        <f t="shared" si="1"/>
        <v>0.03125</v>
      </c>
      <c r="L9" s="51" t="s">
        <v>131</v>
      </c>
      <c r="M9" s="51"/>
      <c r="N9" s="51"/>
      <c r="O9" s="50"/>
      <c r="P9" s="50"/>
      <c r="Q9" s="63"/>
      <c r="R9" s="51"/>
      <c r="S9" s="51"/>
      <c r="T9" s="51"/>
    </row>
    <row r="10">
      <c r="A10" s="51" t="str">
        <f>IFERROR(__xludf.DUMMYFUNCTION("""COMPUTED_VALUE"""),"Opening remarks")</f>
        <v>Opening remarks</v>
      </c>
      <c r="B10" s="51" t="str">
        <f>IFERROR(__xludf.DUMMYFUNCTION("""COMPUTED_VALUE"""),"Corporate Innovation Summit")</f>
        <v>Corporate Innovation Summit</v>
      </c>
      <c r="C10" s="94" t="str">
        <f>IFERROR(__xludf.DUMMYFUNCTION("""COMPUTED_VALUE"""),"Kristin Luck")</f>
        <v>Kristin Luck</v>
      </c>
      <c r="D10" s="51" t="str">
        <f>IFERROR(__xludf.DUMMYFUNCTION("""COMPUTED_VALUE"""),"2019/11/05 13:05:00")</f>
        <v>2019/11/05 13:05:00</v>
      </c>
      <c r="E10" s="51" t="str">
        <f>IFERROR(__xludf.DUMMYFUNCTION("""COMPUTED_VALUE"""),"2019/11/05 13:20:00")</f>
        <v>2019/11/05 13:20:00</v>
      </c>
      <c r="F10" s="51" t="str">
        <f>IFERROR(__xludf.DUMMYFUNCTION("""COMPUTED_VALUE"""),"9118afdf-2b77-483f-a104-93a2716e18af")</f>
        <v>9118afdf-2b77-483f-a104-93a2716e18af</v>
      </c>
      <c r="G10" s="58">
        <f>IFERROR(__xludf.DUMMYFUNCTION("""COMPUTED_VALUE"""),43774.0)</f>
        <v>43774</v>
      </c>
      <c r="H10" s="60">
        <f>IFERROR(__xludf.DUMMYFUNCTION("""COMPUTED_VALUE"""),0.5451388888888888)</f>
        <v>0.5451388889</v>
      </c>
      <c r="I10" s="58">
        <f>IFERROR(__xludf.DUMMYFUNCTION("""COMPUTED_VALUE"""),43774.0)</f>
        <v>43774</v>
      </c>
      <c r="J10" s="60">
        <f>IFERROR(__xludf.DUMMYFUNCTION("""COMPUTED_VALUE"""),0.5555555555555556)</f>
        <v>0.5555555556</v>
      </c>
      <c r="K10" s="60">
        <f t="shared" si="1"/>
        <v>0.01041666667</v>
      </c>
      <c r="L10" s="51" t="s">
        <v>116</v>
      </c>
      <c r="M10" s="87" t="s">
        <v>753</v>
      </c>
      <c r="N10" s="51"/>
      <c r="O10" s="50"/>
      <c r="P10" s="50"/>
      <c r="Q10" s="63"/>
      <c r="R10" s="51"/>
      <c r="S10" s="51"/>
      <c r="T10" s="51"/>
    </row>
    <row r="11">
      <c r="A11" s="51" t="str">
        <f>IFERROR(__xludf.DUMMYFUNCTION("""COMPUTED_VALUE"""),"Innovating against crisis")</f>
        <v>Innovating against crisis</v>
      </c>
      <c r="B11" s="51" t="str">
        <f>IFERROR(__xludf.DUMMYFUNCTION("""COMPUTED_VALUE"""),"Corporate Innovation Summit")</f>
        <v>Corporate Innovation Summit</v>
      </c>
      <c r="C11" s="94" t="str">
        <f>IFERROR(__xludf.DUMMYFUNCTION("""COMPUTED_VALUE"""),"Ricardo Vargas")</f>
        <v>Ricardo Vargas</v>
      </c>
      <c r="D11" s="51" t="str">
        <f>IFERROR(__xludf.DUMMYFUNCTION("""COMPUTED_VALUE"""),"2019/11/05 13:20:00")</f>
        <v>2019/11/05 13:20:00</v>
      </c>
      <c r="E11" s="51" t="str">
        <f>IFERROR(__xludf.DUMMYFUNCTION("""COMPUTED_VALUE"""),"2019/11/05 13:40:00")</f>
        <v>2019/11/05 13:40:00</v>
      </c>
      <c r="F11" s="51" t="str">
        <f>IFERROR(__xludf.DUMMYFUNCTION("""COMPUTED_VALUE"""),"4da5b880-2153-40a4-8868-22b185a3dd98")</f>
        <v>4da5b880-2153-40a4-8868-22b185a3dd98</v>
      </c>
      <c r="G11" s="58">
        <f>IFERROR(__xludf.DUMMYFUNCTION("""COMPUTED_VALUE"""),43774.0)</f>
        <v>43774</v>
      </c>
      <c r="H11" s="60">
        <f>IFERROR(__xludf.DUMMYFUNCTION("""COMPUTED_VALUE"""),0.5555555555555556)</f>
        <v>0.5555555556</v>
      </c>
      <c r="I11" s="58">
        <f>IFERROR(__xludf.DUMMYFUNCTION("""COMPUTED_VALUE"""),43774.0)</f>
        <v>43774</v>
      </c>
      <c r="J11" s="60">
        <f>IFERROR(__xludf.DUMMYFUNCTION("""COMPUTED_VALUE"""),0.5694444444444444)</f>
        <v>0.5694444444</v>
      </c>
      <c r="K11" s="60">
        <f t="shared" si="1"/>
        <v>0.01388888889</v>
      </c>
      <c r="L11" s="51" t="s">
        <v>111</v>
      </c>
      <c r="M11" s="87" t="s">
        <v>755</v>
      </c>
      <c r="N11" s="51"/>
      <c r="O11" s="50"/>
      <c r="P11" s="50"/>
      <c r="Q11" s="63"/>
      <c r="R11" s="51"/>
      <c r="S11" s="51"/>
      <c r="T11" s="51"/>
    </row>
    <row r="12">
      <c r="A12" s="51" t="str">
        <f>IFERROR(__xludf.DUMMYFUNCTION("""COMPUTED_VALUE"""),"Powering disruptive innovation")</f>
        <v>Powering disruptive innovation</v>
      </c>
      <c r="B12" s="51" t="str">
        <f>IFERROR(__xludf.DUMMYFUNCTION("""COMPUTED_VALUE"""),"Corporate Innovation Summit")</f>
        <v>Corporate Innovation Summit</v>
      </c>
      <c r="C12" s="94" t="str">
        <f>IFERROR(__xludf.DUMMYFUNCTION("""COMPUTED_VALUE"""),"Paul Walsh")</f>
        <v>Paul Walsh</v>
      </c>
      <c r="D12" s="51" t="str">
        <f>IFERROR(__xludf.DUMMYFUNCTION("""COMPUTED_VALUE"""),"2019/11/05 13:40:00")</f>
        <v>2019/11/05 13:40:00</v>
      </c>
      <c r="E12" s="51" t="str">
        <f>IFERROR(__xludf.DUMMYFUNCTION("""COMPUTED_VALUE"""),"2019/11/05 14:00:00")</f>
        <v>2019/11/05 14:00:00</v>
      </c>
      <c r="F12" s="51" t="str">
        <f>IFERROR(__xludf.DUMMYFUNCTION("""COMPUTED_VALUE"""),"8cb35e11-4183-4853-9d46-c1dca65a3b36")</f>
        <v>8cb35e11-4183-4853-9d46-c1dca65a3b36</v>
      </c>
      <c r="G12" s="58">
        <f>IFERROR(__xludf.DUMMYFUNCTION("""COMPUTED_VALUE"""),43774.0)</f>
        <v>43774</v>
      </c>
      <c r="H12" s="60">
        <f>IFERROR(__xludf.DUMMYFUNCTION("""COMPUTED_VALUE"""),0.5694444444444444)</f>
        <v>0.5694444444</v>
      </c>
      <c r="I12" s="58">
        <f>IFERROR(__xludf.DUMMYFUNCTION("""COMPUTED_VALUE"""),43774.0)</f>
        <v>43774</v>
      </c>
      <c r="J12" s="60">
        <f>IFERROR(__xludf.DUMMYFUNCTION("""COMPUTED_VALUE"""),0.5833333333333334)</f>
        <v>0.5833333333</v>
      </c>
      <c r="K12" s="60">
        <f t="shared" si="1"/>
        <v>0.01388888889</v>
      </c>
      <c r="L12" s="51" t="s">
        <v>111</v>
      </c>
      <c r="M12" s="87" t="s">
        <v>757</v>
      </c>
      <c r="N12" s="51"/>
      <c r="O12" s="50"/>
      <c r="P12" s="50"/>
      <c r="Q12" s="63"/>
      <c r="R12" s="51"/>
      <c r="S12" s="51"/>
      <c r="T12" s="51"/>
    </row>
    <row r="13">
      <c r="A13" s="51" t="str">
        <f>IFERROR(__xludf.DUMMYFUNCTION("""COMPUTED_VALUE"""),"Mindsets beyond MVPs: Innovating at scale ")</f>
        <v>Mindsets beyond MVPs: Innovating at scale </v>
      </c>
      <c r="B13" s="51" t="str">
        <f>IFERROR(__xludf.DUMMYFUNCTION("""COMPUTED_VALUE"""),"Corporate Innovation Summit")</f>
        <v>Corporate Innovation Summit</v>
      </c>
      <c r="C13" s="94" t="str">
        <f>IFERROR(__xludf.DUMMYFUNCTION("""COMPUTED_VALUE"""),"Narry Singh")</f>
        <v>Narry Singh</v>
      </c>
      <c r="D13" s="51" t="str">
        <f>IFERROR(__xludf.DUMMYFUNCTION("""COMPUTED_VALUE"""),"2019/11/05 14:00:00")</f>
        <v>2019/11/05 14:00:00</v>
      </c>
      <c r="E13" s="51" t="str">
        <f>IFERROR(__xludf.DUMMYFUNCTION("""COMPUTED_VALUE"""),"2019/11/05 14:20:00")</f>
        <v>2019/11/05 14:20:00</v>
      </c>
      <c r="F13" s="51" t="str">
        <f>IFERROR(__xludf.DUMMYFUNCTION("""COMPUTED_VALUE"""),"a81d16fb-cafe-457b-89db-d8e73022ef0c")</f>
        <v>a81d16fb-cafe-457b-89db-d8e73022ef0c</v>
      </c>
      <c r="G13" s="58">
        <f>IFERROR(__xludf.DUMMYFUNCTION("""COMPUTED_VALUE"""),43774.0)</f>
        <v>43774</v>
      </c>
      <c r="H13" s="60">
        <f>IFERROR(__xludf.DUMMYFUNCTION("""COMPUTED_VALUE"""),0.5833333333333334)</f>
        <v>0.5833333333</v>
      </c>
      <c r="I13" s="58">
        <f>IFERROR(__xludf.DUMMYFUNCTION("""COMPUTED_VALUE"""),43774.0)</f>
        <v>43774</v>
      </c>
      <c r="J13" s="60">
        <f>IFERROR(__xludf.DUMMYFUNCTION("""COMPUTED_VALUE"""),0.5972222222222222)</f>
        <v>0.5972222222</v>
      </c>
      <c r="K13" s="60">
        <f t="shared" si="1"/>
        <v>0.01388888889</v>
      </c>
      <c r="L13" s="51" t="s">
        <v>111</v>
      </c>
      <c r="M13" s="87" t="s">
        <v>758</v>
      </c>
      <c r="N13" s="51"/>
      <c r="O13" s="50"/>
      <c r="P13" s="50"/>
      <c r="Q13" s="63"/>
      <c r="R13" s="51"/>
      <c r="S13" s="51"/>
      <c r="T13" s="51"/>
    </row>
    <row r="14">
      <c r="A14" s="51" t="str">
        <f>IFERROR(__xludf.DUMMYFUNCTION("""COMPUTED_VALUE"""),"Driving digital transformation through experience")</f>
        <v>Driving digital transformation through experience</v>
      </c>
      <c r="B14" s="51" t="str">
        <f>IFERROR(__xludf.DUMMYFUNCTION("""COMPUTED_VALUE"""),"Corporate Innovation Summit")</f>
        <v>Corporate Innovation Summit</v>
      </c>
      <c r="C14" s="94" t="str">
        <f>IFERROR(__xludf.DUMMYFUNCTION("""COMPUTED_VALUE"""),"Lidia Fonseca, Michael Treff and Paul Michelman")</f>
        <v>Lidia Fonseca, Michael Treff and Paul Michelman</v>
      </c>
      <c r="D14" s="51" t="str">
        <f>IFERROR(__xludf.DUMMYFUNCTION("""COMPUTED_VALUE"""),"2019/11/05 14:20:00")</f>
        <v>2019/11/05 14:20:00</v>
      </c>
      <c r="E14" s="51" t="str">
        <f>IFERROR(__xludf.DUMMYFUNCTION("""COMPUTED_VALUE"""),"2019/11/05 14:40:00")</f>
        <v>2019/11/05 14:40:00</v>
      </c>
      <c r="F14" s="51" t="str">
        <f>IFERROR(__xludf.DUMMYFUNCTION("""COMPUTED_VALUE"""),"fed1c503-24ef-49af-9d61-26944768d304")</f>
        <v>fed1c503-24ef-49af-9d61-26944768d304</v>
      </c>
      <c r="G14" s="58">
        <f>IFERROR(__xludf.DUMMYFUNCTION("""COMPUTED_VALUE"""),43774.0)</f>
        <v>43774</v>
      </c>
      <c r="H14" s="60">
        <f>IFERROR(__xludf.DUMMYFUNCTION("""COMPUTED_VALUE"""),0.5972222222222222)</f>
        <v>0.5972222222</v>
      </c>
      <c r="I14" s="58">
        <f>IFERROR(__xludf.DUMMYFUNCTION("""COMPUTED_VALUE"""),43774.0)</f>
        <v>43774</v>
      </c>
      <c r="J14" s="60">
        <f>IFERROR(__xludf.DUMMYFUNCTION("""COMPUTED_VALUE"""),0.6111111111111112)</f>
        <v>0.6111111111</v>
      </c>
      <c r="K14" s="60">
        <f t="shared" si="1"/>
        <v>0.01388888889</v>
      </c>
      <c r="L14" s="51" t="s">
        <v>111</v>
      </c>
      <c r="M14" s="87" t="s">
        <v>760</v>
      </c>
      <c r="N14" s="51"/>
      <c r="O14" s="50"/>
      <c r="P14" s="50"/>
      <c r="Q14" s="63"/>
      <c r="R14" s="51"/>
      <c r="S14" s="51"/>
      <c r="T14" s="51"/>
    </row>
    <row r="15">
      <c r="A15" s="51" t="str">
        <f>IFERROR(__xludf.DUMMYFUNCTION("""COMPUTED_VALUE"""),"Building an ecosystem for big growth")</f>
        <v>Building an ecosystem for big growth</v>
      </c>
      <c r="B15" s="51" t="str">
        <f>IFERROR(__xludf.DUMMYFUNCTION("""COMPUTED_VALUE"""),"Corporate Innovation Summit")</f>
        <v>Corporate Innovation Summit</v>
      </c>
      <c r="C15" s="94" t="str">
        <f>IFERROR(__xludf.DUMMYFUNCTION("""COMPUTED_VALUE"""),"George Tee, Kat Borlongan, Paula Ingabire and Margaret O'Mara")</f>
        <v>George Tee, Kat Borlongan, Paula Ingabire and Margaret O'Mara</v>
      </c>
      <c r="D15" s="51" t="str">
        <f>IFERROR(__xludf.DUMMYFUNCTION("""COMPUTED_VALUE"""),"2019/11/05 14:40:00")</f>
        <v>2019/11/05 14:40:00</v>
      </c>
      <c r="E15" s="51" t="str">
        <f>IFERROR(__xludf.DUMMYFUNCTION("""COMPUTED_VALUE"""),"2019/11/05 15:00:00")</f>
        <v>2019/11/05 15:00:00</v>
      </c>
      <c r="F15" s="51" t="str">
        <f>IFERROR(__xludf.DUMMYFUNCTION("""COMPUTED_VALUE"""),"6ecc4201-82fb-4356-aba6-a4d145ee7f6b")</f>
        <v>6ecc4201-82fb-4356-aba6-a4d145ee7f6b</v>
      </c>
      <c r="G15" s="58">
        <f>IFERROR(__xludf.DUMMYFUNCTION("""COMPUTED_VALUE"""),43774.0)</f>
        <v>43774</v>
      </c>
      <c r="H15" s="60">
        <f>IFERROR(__xludf.DUMMYFUNCTION("""COMPUTED_VALUE"""),0.6111111111111112)</f>
        <v>0.6111111111</v>
      </c>
      <c r="I15" s="58">
        <f>IFERROR(__xludf.DUMMYFUNCTION("""COMPUTED_VALUE"""),43774.0)</f>
        <v>43774</v>
      </c>
      <c r="J15" s="60">
        <f>IFERROR(__xludf.DUMMYFUNCTION("""COMPUTED_VALUE"""),0.625)</f>
        <v>0.625</v>
      </c>
      <c r="K15" s="60">
        <f t="shared" si="1"/>
        <v>0.01388888889</v>
      </c>
      <c r="L15" s="51" t="s">
        <v>111</v>
      </c>
      <c r="M15" s="87" t="s">
        <v>761</v>
      </c>
      <c r="N15" s="51"/>
      <c r="O15" s="50"/>
      <c r="P15" s="50"/>
      <c r="Q15" s="63"/>
      <c r="R15" s="51"/>
      <c r="S15" s="51"/>
      <c r="T15" s="51"/>
    </row>
    <row r="16">
      <c r="A16" s="51" t="str">
        <f>IFERROR(__xludf.DUMMYFUNCTION("""COMPUTED_VALUE"""),"On the brink of catastrophe: A digital 21st century without Europe")</f>
        <v>On the brink of catastrophe: A digital 21st century without Europe</v>
      </c>
      <c r="B16" s="51" t="str">
        <f>IFERROR(__xludf.DUMMYFUNCTION("""COMPUTED_VALUE"""),"Corporate Innovation Summit")</f>
        <v>Corporate Innovation Summit</v>
      </c>
      <c r="C16" s="94" t="str">
        <f>IFERROR(__xludf.DUMMYFUNCTION("""COMPUTED_VALUE"""),"François Candelon")</f>
        <v>François Candelon</v>
      </c>
      <c r="D16" s="51" t="str">
        <f>IFERROR(__xludf.DUMMYFUNCTION("""COMPUTED_VALUE"""),"2019/11/05 15:00:00")</f>
        <v>2019/11/05 15:00:00</v>
      </c>
      <c r="E16" s="51" t="str">
        <f>IFERROR(__xludf.DUMMYFUNCTION("""COMPUTED_VALUE"""),"2019/11/05 15:15:00")</f>
        <v>2019/11/05 15:15:00</v>
      </c>
      <c r="F16" s="51" t="str">
        <f>IFERROR(__xludf.DUMMYFUNCTION("""COMPUTED_VALUE"""),"af1ef915-e7b5-42d0-84ab-567adea8be01")</f>
        <v>af1ef915-e7b5-42d0-84ab-567adea8be01</v>
      </c>
      <c r="G16" s="58">
        <f>IFERROR(__xludf.DUMMYFUNCTION("""COMPUTED_VALUE"""),43774.0)</f>
        <v>43774</v>
      </c>
      <c r="H16" s="60">
        <f>IFERROR(__xludf.DUMMYFUNCTION("""COMPUTED_VALUE"""),0.625)</f>
        <v>0.625</v>
      </c>
      <c r="I16" s="58">
        <f>IFERROR(__xludf.DUMMYFUNCTION("""COMPUTED_VALUE"""),43774.0)</f>
        <v>43774</v>
      </c>
      <c r="J16" s="60">
        <f>IFERROR(__xludf.DUMMYFUNCTION("""COMPUTED_VALUE"""),0.6354166666666666)</f>
        <v>0.6354166667</v>
      </c>
      <c r="K16" s="60">
        <f t="shared" si="1"/>
        <v>0.01041666667</v>
      </c>
      <c r="L16" s="51" t="s">
        <v>116</v>
      </c>
      <c r="M16" s="87" t="s">
        <v>763</v>
      </c>
      <c r="N16" s="51"/>
      <c r="O16" s="50"/>
      <c r="P16" s="50"/>
      <c r="Q16" s="63"/>
      <c r="R16" s="51"/>
      <c r="S16" s="51"/>
      <c r="T16" s="51"/>
    </row>
    <row r="17">
      <c r="A17" s="51" t="str">
        <f>IFERROR(__xludf.DUMMYFUNCTION("""COMPUTED_VALUE"""),"Tech secrets of the superbrands")</f>
        <v>Tech secrets of the superbrands</v>
      </c>
      <c r="B17" s="51" t="str">
        <f>IFERROR(__xludf.DUMMYFUNCTION("""COMPUTED_VALUE"""),"Corporate Innovation Summit")</f>
        <v>Corporate Innovation Summit</v>
      </c>
      <c r="C17" s="94" t="str">
        <f>IFERROR(__xludf.DUMMYFUNCTION("""COMPUTED_VALUE"""),"Alan Boehme, Chris Perry, Sairah Ashman and Michelle Castillo")</f>
        <v>Alan Boehme, Chris Perry, Sairah Ashman and Michelle Castillo</v>
      </c>
      <c r="D17" s="51" t="str">
        <f>IFERROR(__xludf.DUMMYFUNCTION("""COMPUTED_VALUE"""),"2019/11/05 15:15:00")</f>
        <v>2019/11/05 15:15:00</v>
      </c>
      <c r="E17" s="51" t="str">
        <f>IFERROR(__xludf.DUMMYFUNCTION("""COMPUTED_VALUE"""),"2019/11/05 15:35:00")</f>
        <v>2019/11/05 15:35:00</v>
      </c>
      <c r="F17" s="51" t="str">
        <f>IFERROR(__xludf.DUMMYFUNCTION("""COMPUTED_VALUE"""),"0909ca5d-0c4e-4781-a377-6c604d53ebae")</f>
        <v>0909ca5d-0c4e-4781-a377-6c604d53ebae</v>
      </c>
      <c r="G17" s="58">
        <f>IFERROR(__xludf.DUMMYFUNCTION("""COMPUTED_VALUE"""),43774.0)</f>
        <v>43774</v>
      </c>
      <c r="H17" s="60">
        <f>IFERROR(__xludf.DUMMYFUNCTION("""COMPUTED_VALUE"""),0.6354166666666666)</f>
        <v>0.6354166667</v>
      </c>
      <c r="I17" s="58">
        <f>IFERROR(__xludf.DUMMYFUNCTION("""COMPUTED_VALUE"""),43774.0)</f>
        <v>43774</v>
      </c>
      <c r="J17" s="60">
        <f>IFERROR(__xludf.DUMMYFUNCTION("""COMPUTED_VALUE"""),0.6493055555555556)</f>
        <v>0.6493055556</v>
      </c>
      <c r="K17" s="60">
        <f t="shared" si="1"/>
        <v>0.01388888889</v>
      </c>
      <c r="L17" s="51" t="s">
        <v>111</v>
      </c>
      <c r="M17" s="87" t="s">
        <v>766</v>
      </c>
      <c r="N17" s="51"/>
      <c r="O17" s="50"/>
      <c r="P17" s="50"/>
      <c r="Q17" s="63"/>
      <c r="R17" s="51"/>
      <c r="S17" s="51"/>
      <c r="T17" s="51"/>
    </row>
    <row r="18">
      <c r="A18" s="51" t="str">
        <f>IFERROR(__xludf.DUMMYFUNCTION("""COMPUTED_VALUE"""),"The Height of Disruption")</f>
        <v>The Height of Disruption</v>
      </c>
      <c r="B18" s="51" t="str">
        <f>IFERROR(__xludf.DUMMYFUNCTION("""COMPUTED_VALUE"""),"Corporate Innovation Summit")</f>
        <v>Corporate Innovation Summit</v>
      </c>
      <c r="C18" s="94" t="str">
        <f>IFERROR(__xludf.DUMMYFUNCTION("""COMPUTED_VALUE"""),"Jean-Marie Dru")</f>
        <v>Jean-Marie Dru</v>
      </c>
      <c r="D18" s="51" t="str">
        <f>IFERROR(__xludf.DUMMYFUNCTION("""COMPUTED_VALUE"""),"2019/11/05 15:35:00")</f>
        <v>2019/11/05 15:35:00</v>
      </c>
      <c r="E18" s="51" t="str">
        <f>IFERROR(__xludf.DUMMYFUNCTION("""COMPUTED_VALUE"""),"2019/11/05 15:55:00")</f>
        <v>2019/11/05 15:55:00</v>
      </c>
      <c r="F18" s="51" t="str">
        <f>IFERROR(__xludf.DUMMYFUNCTION("""COMPUTED_VALUE"""),"0c04eae5-3135-4e48-9e2f-336649101992")</f>
        <v>0c04eae5-3135-4e48-9e2f-336649101992</v>
      </c>
      <c r="G18" s="58">
        <f>IFERROR(__xludf.DUMMYFUNCTION("""COMPUTED_VALUE"""),43774.0)</f>
        <v>43774</v>
      </c>
      <c r="H18" s="60">
        <f>IFERROR(__xludf.DUMMYFUNCTION("""COMPUTED_VALUE"""),0.6493055555555556)</f>
        <v>0.6493055556</v>
      </c>
      <c r="I18" s="58">
        <f>IFERROR(__xludf.DUMMYFUNCTION("""COMPUTED_VALUE"""),43774.0)</f>
        <v>43774</v>
      </c>
      <c r="J18" s="60">
        <f>IFERROR(__xludf.DUMMYFUNCTION("""COMPUTED_VALUE"""),0.6631944444444444)</f>
        <v>0.6631944444</v>
      </c>
      <c r="K18" s="60">
        <f t="shared" si="1"/>
        <v>0.01388888889</v>
      </c>
      <c r="L18" s="51" t="s">
        <v>111</v>
      </c>
      <c r="M18" s="87" t="s">
        <v>768</v>
      </c>
      <c r="N18" s="51"/>
      <c r="O18" s="50"/>
      <c r="P18" s="50"/>
      <c r="Q18" s="63"/>
      <c r="R18" s="51"/>
      <c r="S18" s="51"/>
      <c r="T18" s="51"/>
    </row>
    <row r="19">
      <c r="A19" s="51" t="str">
        <f>IFERROR(__xludf.DUMMYFUNCTION("""COMPUTED_VALUE"""),"Opening remarks")</f>
        <v>Opening remarks</v>
      </c>
      <c r="B19" s="51" t="str">
        <f>IFERROR(__xludf.DUMMYFUNCTION("""COMPUTED_VALUE"""),"Corporate Innovation Summit")</f>
        <v>Corporate Innovation Summit</v>
      </c>
      <c r="C19" s="94" t="str">
        <f>IFERROR(__xludf.DUMMYFUNCTION("""COMPUTED_VALUE"""),"Diogo Sousa")</f>
        <v>Diogo Sousa</v>
      </c>
      <c r="D19" s="51" t="str">
        <f>IFERROR(__xludf.DUMMYFUNCTION("""COMPUTED_VALUE"""),"2019/11/06 10:15:00")</f>
        <v>2019/11/06 10:15:00</v>
      </c>
      <c r="E19" s="51" t="str">
        <f>IFERROR(__xludf.DUMMYFUNCTION("""COMPUTED_VALUE"""),"2019/11/06 10:30:00")</f>
        <v>2019/11/06 10:30:00</v>
      </c>
      <c r="F19" s="51" t="str">
        <f>IFERROR(__xludf.DUMMYFUNCTION("""COMPUTED_VALUE"""),"145259d2-ccb5-41ce-9ab9-b98883051820")</f>
        <v>145259d2-ccb5-41ce-9ab9-b98883051820</v>
      </c>
      <c r="G19" s="58">
        <f>IFERROR(__xludf.DUMMYFUNCTION("""COMPUTED_VALUE"""),43775.0)</f>
        <v>43775</v>
      </c>
      <c r="H19" s="60">
        <f>IFERROR(__xludf.DUMMYFUNCTION("""COMPUTED_VALUE"""),0.4270833333333333)</f>
        <v>0.4270833333</v>
      </c>
      <c r="I19" s="58">
        <f>IFERROR(__xludf.DUMMYFUNCTION("""COMPUTED_VALUE"""),43775.0)</f>
        <v>43775</v>
      </c>
      <c r="J19" s="60">
        <f>IFERROR(__xludf.DUMMYFUNCTION("""COMPUTED_VALUE"""),0.4375)</f>
        <v>0.4375</v>
      </c>
      <c r="K19" s="60">
        <f t="shared" si="1"/>
        <v>0.01041666667</v>
      </c>
      <c r="L19" s="51" t="s">
        <v>116</v>
      </c>
      <c r="M19" s="87" t="s">
        <v>771</v>
      </c>
      <c r="N19" s="51"/>
      <c r="O19" s="50"/>
      <c r="P19" s="50"/>
      <c r="Q19" s="63"/>
      <c r="R19" s="51"/>
      <c r="S19" s="51"/>
      <c r="T19" s="51"/>
    </row>
    <row r="20">
      <c r="A20" s="51" t="str">
        <f>IFERROR(__xludf.DUMMYFUNCTION("""COMPUTED_VALUE"""),"Hello digital, goodbye friction: How an iconic American retailer has “gone tech”")</f>
        <v>Hello digital, goodbye friction: How an iconic American retailer has “gone tech”</v>
      </c>
      <c r="B20" s="51" t="str">
        <f>IFERROR(__xludf.DUMMYFUNCTION("""COMPUTED_VALUE"""),"Corporate Innovation Summit")</f>
        <v>Corporate Innovation Summit</v>
      </c>
      <c r="C20" s="94" t="str">
        <f>IFERROR(__xludf.DUMMYFUNCTION("""COMPUTED_VALUE"""),"Jamie Iannone and Alyssa Newcomb")</f>
        <v>Jamie Iannone and Alyssa Newcomb</v>
      </c>
      <c r="D20" s="51" t="str">
        <f>IFERROR(__xludf.DUMMYFUNCTION("""COMPUTED_VALUE"""),"2019/11/06 10:30:00")</f>
        <v>2019/11/06 10:30:00</v>
      </c>
      <c r="E20" s="51" t="str">
        <f>IFERROR(__xludf.DUMMYFUNCTION("""COMPUTED_VALUE"""),"2019/11/06 10:45:00")</f>
        <v>2019/11/06 10:45:00</v>
      </c>
      <c r="F20" s="51" t="str">
        <f>IFERROR(__xludf.DUMMYFUNCTION("""COMPUTED_VALUE"""),"d2214fc6-73d6-4763-a9b6-9af196749714")</f>
        <v>d2214fc6-73d6-4763-a9b6-9af196749714</v>
      </c>
      <c r="G20" s="58">
        <f>IFERROR(__xludf.DUMMYFUNCTION("""COMPUTED_VALUE"""),43775.0)</f>
        <v>43775</v>
      </c>
      <c r="H20" s="60">
        <f>IFERROR(__xludf.DUMMYFUNCTION("""COMPUTED_VALUE"""),0.4375)</f>
        <v>0.4375</v>
      </c>
      <c r="I20" s="58">
        <f>IFERROR(__xludf.DUMMYFUNCTION("""COMPUTED_VALUE"""),43775.0)</f>
        <v>43775</v>
      </c>
      <c r="J20" s="60">
        <f>IFERROR(__xludf.DUMMYFUNCTION("""COMPUTED_VALUE"""),0.4479166666666667)</f>
        <v>0.4479166667</v>
      </c>
      <c r="K20" s="60">
        <f t="shared" si="1"/>
        <v>0.01041666667</v>
      </c>
      <c r="L20" s="51" t="s">
        <v>116</v>
      </c>
      <c r="M20" s="87" t="s">
        <v>774</v>
      </c>
      <c r="N20" s="51"/>
      <c r="O20" s="50"/>
      <c r="P20" s="50"/>
      <c r="Q20" s="63"/>
      <c r="R20" s="51"/>
      <c r="S20" s="51"/>
      <c r="T20" s="51"/>
    </row>
    <row r="21">
      <c r="A21" s="51" t="str">
        <f>IFERROR(__xludf.DUMMYFUNCTION("""COMPUTED_VALUE"""),"Delivering to the next level")</f>
        <v>Delivering to the next level</v>
      </c>
      <c r="B21" s="51" t="str">
        <f>IFERROR(__xludf.DUMMYFUNCTION("""COMPUTED_VALUE"""),"Corporate Innovation Summit")</f>
        <v>Corporate Innovation Summit</v>
      </c>
      <c r="C21" s="94" t="str">
        <f>IFERROR(__xludf.DUMMYFUNCTION("""COMPUTED_VALUE"""),"Martin Kolbe")</f>
        <v>Martin Kolbe</v>
      </c>
      <c r="D21" s="51" t="str">
        <f>IFERROR(__xludf.DUMMYFUNCTION("""COMPUTED_VALUE"""),"2019/11/06 10:45:00")</f>
        <v>2019/11/06 10:45:00</v>
      </c>
      <c r="E21" s="51" t="str">
        <f>IFERROR(__xludf.DUMMYFUNCTION("""COMPUTED_VALUE"""),"2019/11/06 11:05:00")</f>
        <v>2019/11/06 11:05:00</v>
      </c>
      <c r="F21" s="51" t="str">
        <f>IFERROR(__xludf.DUMMYFUNCTION("""COMPUTED_VALUE"""),"30de7968-f8a8-4392-8a75-a2d96fe1f170")</f>
        <v>30de7968-f8a8-4392-8a75-a2d96fe1f170</v>
      </c>
      <c r="G21" s="58">
        <f>IFERROR(__xludf.DUMMYFUNCTION("""COMPUTED_VALUE"""),43775.0)</f>
        <v>43775</v>
      </c>
      <c r="H21" s="60">
        <f>IFERROR(__xludf.DUMMYFUNCTION("""COMPUTED_VALUE"""),0.4479166666666667)</f>
        <v>0.4479166667</v>
      </c>
      <c r="I21" s="58">
        <f>IFERROR(__xludf.DUMMYFUNCTION("""COMPUTED_VALUE"""),43775.0)</f>
        <v>43775</v>
      </c>
      <c r="J21" s="60">
        <f>IFERROR(__xludf.DUMMYFUNCTION("""COMPUTED_VALUE"""),0.4618055555555556)</f>
        <v>0.4618055556</v>
      </c>
      <c r="K21" s="60">
        <f t="shared" si="1"/>
        <v>0.01388888889</v>
      </c>
      <c r="L21" s="51" t="s">
        <v>111</v>
      </c>
      <c r="M21" s="87" t="s">
        <v>777</v>
      </c>
      <c r="N21" s="51"/>
      <c r="O21" s="50"/>
      <c r="P21" s="50"/>
      <c r="Q21" s="63"/>
      <c r="R21" s="51"/>
      <c r="S21" s="51"/>
      <c r="T21" s="51"/>
    </row>
    <row r="22">
      <c r="A22" s="51" t="str">
        <f>IFERROR(__xludf.DUMMYFUNCTION("""COMPUTED_VALUE"""),"Avon's digital makeover")</f>
        <v>Avon's digital makeover</v>
      </c>
      <c r="B22" s="51" t="str">
        <f>IFERROR(__xludf.DUMMYFUNCTION("""COMPUTED_VALUE"""),"Corporate Innovation Summit")</f>
        <v>Corporate Innovation Summit</v>
      </c>
      <c r="C22" s="94" t="str">
        <f>IFERROR(__xludf.DUMMYFUNCTION("""COMPUTED_VALUE"""),"Benedetto Conversano and Bruno Guicardi")</f>
        <v>Benedetto Conversano and Bruno Guicardi</v>
      </c>
      <c r="D22" s="51" t="str">
        <f>IFERROR(__xludf.DUMMYFUNCTION("""COMPUTED_VALUE"""),"2019/11/06 11:05:00")</f>
        <v>2019/11/06 11:05:00</v>
      </c>
      <c r="E22" s="51" t="str">
        <f>IFERROR(__xludf.DUMMYFUNCTION("""COMPUTED_VALUE"""),"2019/11/06 11:25:00")</f>
        <v>2019/11/06 11:25:00</v>
      </c>
      <c r="F22" s="51" t="str">
        <f>IFERROR(__xludf.DUMMYFUNCTION("""COMPUTED_VALUE"""),"e7eecd57-22eb-44a9-8cf7-a5d270877bde")</f>
        <v>e7eecd57-22eb-44a9-8cf7-a5d270877bde</v>
      </c>
      <c r="G22" s="58">
        <f>IFERROR(__xludf.DUMMYFUNCTION("""COMPUTED_VALUE"""),43775.0)</f>
        <v>43775</v>
      </c>
      <c r="H22" s="60">
        <f>IFERROR(__xludf.DUMMYFUNCTION("""COMPUTED_VALUE"""),0.4618055555555556)</f>
        <v>0.4618055556</v>
      </c>
      <c r="I22" s="58">
        <f>IFERROR(__xludf.DUMMYFUNCTION("""COMPUTED_VALUE"""),43775.0)</f>
        <v>43775</v>
      </c>
      <c r="J22" s="60">
        <f>IFERROR(__xludf.DUMMYFUNCTION("""COMPUTED_VALUE"""),0.4756944444444444)</f>
        <v>0.4756944444</v>
      </c>
      <c r="K22" s="60">
        <f t="shared" si="1"/>
        <v>0.01388888889</v>
      </c>
      <c r="L22" s="51" t="s">
        <v>111</v>
      </c>
      <c r="M22" s="87" t="s">
        <v>779</v>
      </c>
      <c r="N22" s="51"/>
      <c r="O22" s="50"/>
      <c r="P22" s="50"/>
      <c r="Q22" s="63"/>
      <c r="R22" s="51"/>
      <c r="S22" s="51"/>
      <c r="T22" s="51"/>
    </row>
    <row r="23">
      <c r="A23" s="51" t="str">
        <f>IFERROR(__xludf.DUMMYFUNCTION("""COMPUTED_VALUE"""),"The challenges of innovating in a big bank – how to operate like a fintech?")</f>
        <v>The challenges of innovating in a big bank – how to operate like a fintech?</v>
      </c>
      <c r="B23" s="51" t="str">
        <f>IFERROR(__xludf.DUMMYFUNCTION("""COMPUTED_VALUE"""),"Corporate Innovation Summit")</f>
        <v>Corporate Innovation Summit</v>
      </c>
      <c r="C23" s="94" t="str">
        <f>IFERROR(__xludf.DUMMYFUNCTION("""COMPUTED_VALUE"""),"Ricardo Madeira, Jakub Piotrowski and Rosália Amorim")</f>
        <v>Ricardo Madeira, Jakub Piotrowski and Rosália Amorim</v>
      </c>
      <c r="D23" s="51" t="str">
        <f>IFERROR(__xludf.DUMMYFUNCTION("""COMPUTED_VALUE"""),"2019/11/06 11:25:00")</f>
        <v>2019/11/06 11:25:00</v>
      </c>
      <c r="E23" s="51" t="str">
        <f>IFERROR(__xludf.DUMMYFUNCTION("""COMPUTED_VALUE"""),"2019/11/06 11:45:00")</f>
        <v>2019/11/06 11:45:00</v>
      </c>
      <c r="F23" s="51" t="str">
        <f>IFERROR(__xludf.DUMMYFUNCTION("""COMPUTED_VALUE"""),"258b9338-ff99-45af-b822-895469ea3277")</f>
        <v>258b9338-ff99-45af-b822-895469ea3277</v>
      </c>
      <c r="G23" s="58">
        <f>IFERROR(__xludf.DUMMYFUNCTION("""COMPUTED_VALUE"""),43775.0)</f>
        <v>43775</v>
      </c>
      <c r="H23" s="60">
        <f>IFERROR(__xludf.DUMMYFUNCTION("""COMPUTED_VALUE"""),0.4756944444444444)</f>
        <v>0.4756944444</v>
      </c>
      <c r="I23" s="58">
        <f>IFERROR(__xludf.DUMMYFUNCTION("""COMPUTED_VALUE"""),43775.0)</f>
        <v>43775</v>
      </c>
      <c r="J23" s="60">
        <f>IFERROR(__xludf.DUMMYFUNCTION("""COMPUTED_VALUE"""),0.4895833333333333)</f>
        <v>0.4895833333</v>
      </c>
      <c r="K23" s="60">
        <f t="shared" si="1"/>
        <v>0.01388888889</v>
      </c>
      <c r="L23" s="51" t="s">
        <v>111</v>
      </c>
      <c r="M23" s="87" t="s">
        <v>781</v>
      </c>
      <c r="N23" s="51"/>
      <c r="O23" s="50"/>
      <c r="P23" s="50"/>
      <c r="Q23" s="63"/>
      <c r="R23" s="51"/>
      <c r="S23" s="51"/>
      <c r="T23" s="51"/>
    </row>
    <row r="24">
      <c r="A24" s="51" t="str">
        <f>IFERROR(__xludf.DUMMYFUNCTION("""COMPUTED_VALUE"""),"Growth lessons from Japan")</f>
        <v>Growth lessons from Japan</v>
      </c>
      <c r="B24" s="51" t="str">
        <f>IFERROR(__xludf.DUMMYFUNCTION("""COMPUTED_VALUE"""),"Corporate Innovation Summit")</f>
        <v>Corporate Innovation Summit</v>
      </c>
      <c r="C24" s="94" t="str">
        <f>IFERROR(__xludf.DUMMYFUNCTION("""COMPUTED_VALUE"""),"Noriyuki Yamazaki, Aya Nakajo and Leisha Santorelli")</f>
        <v>Noriyuki Yamazaki, Aya Nakajo and Leisha Santorelli</v>
      </c>
      <c r="D24" s="51" t="str">
        <f>IFERROR(__xludf.DUMMYFUNCTION("""COMPUTED_VALUE"""),"2019/11/06 11:45:00")</f>
        <v>2019/11/06 11:45:00</v>
      </c>
      <c r="E24" s="51" t="str">
        <f>IFERROR(__xludf.DUMMYFUNCTION("""COMPUTED_VALUE"""),"2019/11/06 12:05:00")</f>
        <v>2019/11/06 12:05:00</v>
      </c>
      <c r="F24" s="51" t="str">
        <f>IFERROR(__xludf.DUMMYFUNCTION("""COMPUTED_VALUE"""),"afba863a-7765-421b-8672-b51d2a8e79e5")</f>
        <v>afba863a-7765-421b-8672-b51d2a8e79e5</v>
      </c>
      <c r="G24" s="58">
        <f>IFERROR(__xludf.DUMMYFUNCTION("""COMPUTED_VALUE"""),43775.0)</f>
        <v>43775</v>
      </c>
      <c r="H24" s="60">
        <f>IFERROR(__xludf.DUMMYFUNCTION("""COMPUTED_VALUE"""),0.4895833333333333)</f>
        <v>0.4895833333</v>
      </c>
      <c r="I24" s="58">
        <f>IFERROR(__xludf.DUMMYFUNCTION("""COMPUTED_VALUE"""),43775.0)</f>
        <v>43775</v>
      </c>
      <c r="J24" s="60">
        <f>IFERROR(__xludf.DUMMYFUNCTION("""COMPUTED_VALUE"""),0.5034722222222222)</f>
        <v>0.5034722222</v>
      </c>
      <c r="K24" s="60">
        <f t="shared" si="1"/>
        <v>0.01388888889</v>
      </c>
      <c r="L24" s="51" t="s">
        <v>111</v>
      </c>
      <c r="M24" s="87" t="s">
        <v>784</v>
      </c>
      <c r="N24" s="51"/>
      <c r="O24" s="50"/>
      <c r="P24" s="50"/>
      <c r="Q24" s="63"/>
      <c r="R24" s="51"/>
      <c r="S24" s="51"/>
      <c r="T24" s="51"/>
    </row>
    <row r="25">
      <c r="A25" s="51" t="str">
        <f>IFERROR(__xludf.DUMMYFUNCTION("""COMPUTED_VALUE"""),"Reframing inclusive growth")</f>
        <v>Reframing inclusive growth</v>
      </c>
      <c r="B25" s="51" t="str">
        <f>IFERROR(__xludf.DUMMYFUNCTION("""COMPUTED_VALUE"""),"Corporate Innovation Summit")</f>
        <v>Corporate Innovation Summit</v>
      </c>
      <c r="C25" s="94" t="str">
        <f>IFERROR(__xludf.DUMMYFUNCTION("""COMPUTED_VALUE"""),"Ambroise Fayolle, Juliano Seabra and Diogo Sousa")</f>
        <v>Ambroise Fayolle, Juliano Seabra and Diogo Sousa</v>
      </c>
      <c r="D25" s="51" t="str">
        <f>IFERROR(__xludf.DUMMYFUNCTION("""COMPUTED_VALUE"""),"2019/11/06 12:05:00")</f>
        <v>2019/11/06 12:05:00</v>
      </c>
      <c r="E25" s="51" t="str">
        <f>IFERROR(__xludf.DUMMYFUNCTION("""COMPUTED_VALUE"""),"2019/11/06 12:25:00")</f>
        <v>2019/11/06 12:25:00</v>
      </c>
      <c r="F25" s="51" t="str">
        <f>IFERROR(__xludf.DUMMYFUNCTION("""COMPUTED_VALUE"""),"dc90930a-ffb0-4920-9720-dd2ce39a0b4a")</f>
        <v>dc90930a-ffb0-4920-9720-dd2ce39a0b4a</v>
      </c>
      <c r="G25" s="58">
        <f>IFERROR(__xludf.DUMMYFUNCTION("""COMPUTED_VALUE"""),43775.0)</f>
        <v>43775</v>
      </c>
      <c r="H25" s="60">
        <f>IFERROR(__xludf.DUMMYFUNCTION("""COMPUTED_VALUE"""),0.5034722222222222)</f>
        <v>0.5034722222</v>
      </c>
      <c r="I25" s="58">
        <f>IFERROR(__xludf.DUMMYFUNCTION("""COMPUTED_VALUE"""),43775.0)</f>
        <v>43775</v>
      </c>
      <c r="J25" s="60">
        <f>IFERROR(__xludf.DUMMYFUNCTION("""COMPUTED_VALUE"""),0.5173611111111112)</f>
        <v>0.5173611111</v>
      </c>
      <c r="K25" s="60">
        <f t="shared" si="1"/>
        <v>0.01388888889</v>
      </c>
      <c r="L25" s="51" t="s">
        <v>111</v>
      </c>
      <c r="M25" s="87" t="s">
        <v>785</v>
      </c>
      <c r="N25" s="51"/>
      <c r="O25" s="50"/>
      <c r="P25" s="50"/>
      <c r="Q25" s="63"/>
      <c r="R25" s="51"/>
      <c r="S25" s="51"/>
      <c r="T25" s="51"/>
    </row>
    <row r="26">
      <c r="A26" s="51" t="str">
        <f>IFERROR(__xludf.DUMMYFUNCTION("""COMPUTED_VALUE"""),"AI is recession-proof")</f>
        <v>AI is recession-proof</v>
      </c>
      <c r="B26" s="51" t="str">
        <f>IFERROR(__xludf.DUMMYFUNCTION("""COMPUTED_VALUE"""),"Corporate Innovation Summit")</f>
        <v>Corporate Innovation Summit</v>
      </c>
      <c r="C26" s="94" t="str">
        <f>IFERROR(__xludf.DUMMYFUNCTION("""COMPUTED_VALUE"""),"Jeff Wong")</f>
        <v>Jeff Wong</v>
      </c>
      <c r="D26" s="51" t="str">
        <f>IFERROR(__xludf.DUMMYFUNCTION("""COMPUTED_VALUE"""),"2019/11/06 12:25:00")</f>
        <v>2019/11/06 12:25:00</v>
      </c>
      <c r="E26" s="51" t="str">
        <f>IFERROR(__xludf.DUMMYFUNCTION("""COMPUTED_VALUE"""),"2019/11/06 12:40:00")</f>
        <v>2019/11/06 12:40:00</v>
      </c>
      <c r="F26" s="51" t="str">
        <f>IFERROR(__xludf.DUMMYFUNCTION("""COMPUTED_VALUE"""),"0356687d-90c2-43df-8c45-c8baeaf6e765")</f>
        <v>0356687d-90c2-43df-8c45-c8baeaf6e765</v>
      </c>
      <c r="G26" s="58">
        <f>IFERROR(__xludf.DUMMYFUNCTION("""COMPUTED_VALUE"""),43775.0)</f>
        <v>43775</v>
      </c>
      <c r="H26" s="60">
        <f>IFERROR(__xludf.DUMMYFUNCTION("""COMPUTED_VALUE"""),0.5173611111111112)</f>
        <v>0.5173611111</v>
      </c>
      <c r="I26" s="58">
        <f>IFERROR(__xludf.DUMMYFUNCTION("""COMPUTED_VALUE"""),43775.0)</f>
        <v>43775</v>
      </c>
      <c r="J26" s="60">
        <f>IFERROR(__xludf.DUMMYFUNCTION("""COMPUTED_VALUE"""),0.5277777777777778)</f>
        <v>0.5277777778</v>
      </c>
      <c r="K26" s="60">
        <f t="shared" si="1"/>
        <v>0.01041666667</v>
      </c>
      <c r="L26" s="51" t="s">
        <v>116</v>
      </c>
      <c r="M26" s="87" t="s">
        <v>787</v>
      </c>
      <c r="N26" s="51"/>
      <c r="O26" s="50"/>
      <c r="P26" s="50"/>
      <c r="Q26" s="63"/>
      <c r="R26" s="51"/>
      <c r="S26" s="51"/>
      <c r="T26" s="51"/>
    </row>
    <row r="27">
      <c r="A27" s="51" t="str">
        <f>IFERROR(__xludf.DUMMYFUNCTION("""COMPUTED_VALUE"""),"Why 5G will change everything")</f>
        <v>Why 5G will change everything</v>
      </c>
      <c r="B27" s="51" t="str">
        <f>IFERROR(__xludf.DUMMYFUNCTION("""COMPUTED_VALUE"""),"Corporate Innovation Summit")</f>
        <v>Corporate Innovation Summit</v>
      </c>
      <c r="C27" s="94" t="str">
        <f>IFERROR(__xludf.DUMMYFUNCTION("""COMPUTED_VALUE"""),"Marcus Weldon and Jonathan Weber")</f>
        <v>Marcus Weldon and Jonathan Weber</v>
      </c>
      <c r="D27" s="51" t="str">
        <f>IFERROR(__xludf.DUMMYFUNCTION("""COMPUTED_VALUE"""),"2019/11/06 12:40:00")</f>
        <v>2019/11/06 12:40:00</v>
      </c>
      <c r="E27" s="51" t="str">
        <f>IFERROR(__xludf.DUMMYFUNCTION("""COMPUTED_VALUE"""),"2019/11/06 13:00:00")</f>
        <v>2019/11/06 13:00:00</v>
      </c>
      <c r="F27" s="51" t="str">
        <f>IFERROR(__xludf.DUMMYFUNCTION("""COMPUTED_VALUE"""),"e3731954-0333-42a2-881e-44b3ce1c97d4")</f>
        <v>e3731954-0333-42a2-881e-44b3ce1c97d4</v>
      </c>
      <c r="G27" s="58">
        <f>IFERROR(__xludf.DUMMYFUNCTION("""COMPUTED_VALUE"""),43775.0)</f>
        <v>43775</v>
      </c>
      <c r="H27" s="60">
        <f>IFERROR(__xludf.DUMMYFUNCTION("""COMPUTED_VALUE"""),0.5277777777777778)</f>
        <v>0.5277777778</v>
      </c>
      <c r="I27" s="58">
        <f>IFERROR(__xludf.DUMMYFUNCTION("""COMPUTED_VALUE"""),43775.0)</f>
        <v>43775</v>
      </c>
      <c r="J27" s="60">
        <f>IFERROR(__xludf.DUMMYFUNCTION("""COMPUTED_VALUE"""),0.5416666666666666)</f>
        <v>0.5416666667</v>
      </c>
      <c r="K27" s="60">
        <f t="shared" si="1"/>
        <v>0.01388888889</v>
      </c>
      <c r="L27" s="51" t="s">
        <v>111</v>
      </c>
      <c r="M27" s="87" t="s">
        <v>789</v>
      </c>
      <c r="N27" s="51"/>
      <c r="O27" s="50"/>
      <c r="P27" s="50"/>
      <c r="Q27" s="63"/>
      <c r="R27" s="51"/>
      <c r="S27" s="51"/>
      <c r="T27" s="51"/>
    </row>
    <row r="28">
      <c r="A28" s="51" t="str">
        <f>IFERROR(__xludf.DUMMYFUNCTION("""COMPUTED_VALUE"""),"Lunch break")</f>
        <v>Lunch break</v>
      </c>
      <c r="B28" s="51" t="str">
        <f>IFERROR(__xludf.DUMMYFUNCTION("""COMPUTED_VALUE"""),"Corporate Innovation Summit")</f>
        <v>Corporate Innovation Summit</v>
      </c>
      <c r="C28" s="94" t="str">
        <f>IFERROR(__xludf.DUMMYFUNCTION("""COMPUTED_VALUE"""),"")</f>
        <v/>
      </c>
      <c r="D28" s="51" t="str">
        <f>IFERROR(__xludf.DUMMYFUNCTION("""COMPUTED_VALUE"""),"2019/11/06 13:00:00")</f>
        <v>2019/11/06 13:00:00</v>
      </c>
      <c r="E28" s="51" t="str">
        <f>IFERROR(__xludf.DUMMYFUNCTION("""COMPUTED_VALUE"""),"2019/11/06 13:45:00")</f>
        <v>2019/11/06 13:45:00</v>
      </c>
      <c r="F28" s="51" t="str">
        <f>IFERROR(__xludf.DUMMYFUNCTION("""COMPUTED_VALUE"""),"b1eee270-2eba-4cdb-9fce-e15b7bdfe981")</f>
        <v>b1eee270-2eba-4cdb-9fce-e15b7bdfe981</v>
      </c>
      <c r="G28" s="58">
        <f>IFERROR(__xludf.DUMMYFUNCTION("""COMPUTED_VALUE"""),43775.0)</f>
        <v>43775</v>
      </c>
      <c r="H28" s="60">
        <f>IFERROR(__xludf.DUMMYFUNCTION("""COMPUTED_VALUE"""),0.5416666666666666)</f>
        <v>0.5416666667</v>
      </c>
      <c r="I28" s="58">
        <f>IFERROR(__xludf.DUMMYFUNCTION("""COMPUTED_VALUE"""),43775.0)</f>
        <v>43775</v>
      </c>
      <c r="J28" s="60">
        <f>IFERROR(__xludf.DUMMYFUNCTION("""COMPUTED_VALUE"""),0.5729166666666666)</f>
        <v>0.5729166667</v>
      </c>
      <c r="K28" s="60">
        <f t="shared" si="1"/>
        <v>0.03125</v>
      </c>
      <c r="L28" s="51" t="s">
        <v>131</v>
      </c>
      <c r="M28" s="51"/>
      <c r="N28" s="51"/>
      <c r="O28" s="50"/>
      <c r="P28" s="50"/>
      <c r="Q28" s="63"/>
      <c r="R28" s="51"/>
      <c r="S28" s="51"/>
      <c r="T28" s="51"/>
    </row>
    <row r="29">
      <c r="A29" s="51" t="str">
        <f>IFERROR(__xludf.DUMMYFUNCTION("""COMPUTED_VALUE"""),"Opening remarks ")</f>
        <v>Opening remarks </v>
      </c>
      <c r="B29" s="51" t="str">
        <f>IFERROR(__xludf.DUMMYFUNCTION("""COMPUTED_VALUE"""),"Corporate Innovation Summit")</f>
        <v>Corporate Innovation Summit</v>
      </c>
      <c r="C29" s="94" t="str">
        <f>IFERROR(__xludf.DUMMYFUNCTION("""COMPUTED_VALUE"""),"Mmantsetsa Marope")</f>
        <v>Mmantsetsa Marope</v>
      </c>
      <c r="D29" s="51" t="str">
        <f>IFERROR(__xludf.DUMMYFUNCTION("""COMPUTED_VALUE"""),"2019/11/06 13:45:00")</f>
        <v>2019/11/06 13:45:00</v>
      </c>
      <c r="E29" s="51" t="str">
        <f>IFERROR(__xludf.DUMMYFUNCTION("""COMPUTED_VALUE"""),"2019/11/06 14:00:00")</f>
        <v>2019/11/06 14:00:00</v>
      </c>
      <c r="F29" s="51" t="str">
        <f>IFERROR(__xludf.DUMMYFUNCTION("""COMPUTED_VALUE"""),"f0b27e37-4284-471d-815e-3c0ed00e58ce")</f>
        <v>f0b27e37-4284-471d-815e-3c0ed00e58ce</v>
      </c>
      <c r="G29" s="58">
        <f>IFERROR(__xludf.DUMMYFUNCTION("""COMPUTED_VALUE"""),43775.0)</f>
        <v>43775</v>
      </c>
      <c r="H29" s="60">
        <f>IFERROR(__xludf.DUMMYFUNCTION("""COMPUTED_VALUE"""),0.5729166666666666)</f>
        <v>0.5729166667</v>
      </c>
      <c r="I29" s="58">
        <f>IFERROR(__xludf.DUMMYFUNCTION("""COMPUTED_VALUE"""),43775.0)</f>
        <v>43775</v>
      </c>
      <c r="J29" s="60">
        <f>IFERROR(__xludf.DUMMYFUNCTION("""COMPUTED_VALUE"""),0.5833333333333334)</f>
        <v>0.5833333333</v>
      </c>
      <c r="K29" s="60">
        <f t="shared" si="1"/>
        <v>0.01041666667</v>
      </c>
      <c r="L29" s="51" t="s">
        <v>116</v>
      </c>
      <c r="M29" s="87" t="s">
        <v>792</v>
      </c>
      <c r="N29" s="51"/>
      <c r="O29" s="50"/>
      <c r="P29" s="50"/>
      <c r="Q29" s="63"/>
      <c r="R29" s="51"/>
      <c r="S29" s="51"/>
      <c r="T29" s="51"/>
    </row>
    <row r="30">
      <c r="A30" s="51" t="str">
        <f>IFERROR(__xludf.DUMMYFUNCTION("""COMPUTED_VALUE"""),"Solving planetary challenges with enterprise")</f>
        <v>Solving planetary challenges with enterprise</v>
      </c>
      <c r="B30" s="51" t="str">
        <f>IFERROR(__xludf.DUMMYFUNCTION("""COMPUTED_VALUE"""),"Corporate Innovation Summit")</f>
        <v>Corporate Innovation Summit</v>
      </c>
      <c r="C30" s="94" t="str">
        <f>IFERROR(__xludf.DUMMYFUNCTION("""COMPUTED_VALUE"""),"David Wallerstein, Pedro Siza Vieira and Cheng Lei")</f>
        <v>David Wallerstein, Pedro Siza Vieira and Cheng Lei</v>
      </c>
      <c r="D30" s="51" t="str">
        <f>IFERROR(__xludf.DUMMYFUNCTION("""COMPUTED_VALUE"""),"2019/11/06 14:00:00")</f>
        <v>2019/11/06 14:00:00</v>
      </c>
      <c r="E30" s="51" t="str">
        <f>IFERROR(__xludf.DUMMYFUNCTION("""COMPUTED_VALUE"""),"2019/11/06 14:20:00")</f>
        <v>2019/11/06 14:20:00</v>
      </c>
      <c r="F30" s="51" t="str">
        <f>IFERROR(__xludf.DUMMYFUNCTION("""COMPUTED_VALUE"""),"2477e575-9d96-41f4-98bd-1a5ae0474f37")</f>
        <v>2477e575-9d96-41f4-98bd-1a5ae0474f37</v>
      </c>
      <c r="G30" s="58">
        <f>IFERROR(__xludf.DUMMYFUNCTION("""COMPUTED_VALUE"""),43775.0)</f>
        <v>43775</v>
      </c>
      <c r="H30" s="60">
        <f>IFERROR(__xludf.DUMMYFUNCTION("""COMPUTED_VALUE"""),0.5833333333333334)</f>
        <v>0.5833333333</v>
      </c>
      <c r="I30" s="58">
        <f>IFERROR(__xludf.DUMMYFUNCTION("""COMPUTED_VALUE"""),43775.0)</f>
        <v>43775</v>
      </c>
      <c r="J30" s="60">
        <f>IFERROR(__xludf.DUMMYFUNCTION("""COMPUTED_VALUE"""),0.5972222222222222)</f>
        <v>0.5972222222</v>
      </c>
      <c r="K30" s="60">
        <f t="shared" si="1"/>
        <v>0.01388888889</v>
      </c>
      <c r="L30" s="51" t="s">
        <v>111</v>
      </c>
      <c r="M30" s="87" t="s">
        <v>795</v>
      </c>
      <c r="N30" s="51"/>
      <c r="O30" s="50"/>
      <c r="P30" s="50"/>
      <c r="Q30" s="63"/>
      <c r="R30" s="51"/>
      <c r="S30" s="51"/>
      <c r="T30" s="51"/>
    </row>
    <row r="31">
      <c r="A31" s="51" t="str">
        <f>IFERROR(__xludf.DUMMYFUNCTION("""COMPUTED_VALUE"""),"Evolving a Portuguese icon")</f>
        <v>Evolving a Portuguese icon</v>
      </c>
      <c r="B31" s="51" t="str">
        <f>IFERROR(__xludf.DUMMYFUNCTION("""COMPUTED_VALUE"""),"Corporate Innovation Summit")</f>
        <v>Corporate Innovation Summit</v>
      </c>
      <c r="C31" s="94" t="str">
        <f>IFERROR(__xludf.DUMMYFUNCTION("""COMPUTED_VALUE"""),"André Ribeiro de Faria and Rosália Amorim")</f>
        <v>André Ribeiro de Faria and Rosália Amorim</v>
      </c>
      <c r="D31" s="51" t="str">
        <f>IFERROR(__xludf.DUMMYFUNCTION("""COMPUTED_VALUE"""),"2019/11/06 14:20:00")</f>
        <v>2019/11/06 14:20:00</v>
      </c>
      <c r="E31" s="51" t="str">
        <f>IFERROR(__xludf.DUMMYFUNCTION("""COMPUTED_VALUE"""),"2019/11/06 14:40:00")</f>
        <v>2019/11/06 14:40:00</v>
      </c>
      <c r="F31" s="51" t="str">
        <f>IFERROR(__xludf.DUMMYFUNCTION("""COMPUTED_VALUE"""),"600802da-6ff9-4459-9077-57dacb3985e1")</f>
        <v>600802da-6ff9-4459-9077-57dacb3985e1</v>
      </c>
      <c r="G31" s="58">
        <f>IFERROR(__xludf.DUMMYFUNCTION("""COMPUTED_VALUE"""),43775.0)</f>
        <v>43775</v>
      </c>
      <c r="H31" s="60">
        <f>IFERROR(__xludf.DUMMYFUNCTION("""COMPUTED_VALUE"""),0.5972222222222222)</f>
        <v>0.5972222222</v>
      </c>
      <c r="I31" s="58">
        <f>IFERROR(__xludf.DUMMYFUNCTION("""COMPUTED_VALUE"""),43775.0)</f>
        <v>43775</v>
      </c>
      <c r="J31" s="60">
        <f>IFERROR(__xludf.DUMMYFUNCTION("""COMPUTED_VALUE"""),0.6111111111111112)</f>
        <v>0.6111111111</v>
      </c>
      <c r="K31" s="60">
        <f t="shared" si="1"/>
        <v>0.01388888889</v>
      </c>
      <c r="L31" s="51" t="s">
        <v>111</v>
      </c>
      <c r="M31" s="87" t="s">
        <v>797</v>
      </c>
      <c r="N31" s="51"/>
      <c r="O31" s="50"/>
      <c r="P31" s="50"/>
      <c r="Q31" s="63"/>
      <c r="R31" s="51"/>
      <c r="S31" s="51"/>
      <c r="T31" s="51"/>
    </row>
    <row r="32">
      <c r="A32" s="51" t="str">
        <f>IFERROR(__xludf.DUMMYFUNCTION("""COMPUTED_VALUE"""),"Mastercard's leadership in responsible technology")</f>
        <v>Mastercard's leadership in responsible technology</v>
      </c>
      <c r="B32" s="51" t="str">
        <f>IFERROR(__xludf.DUMMYFUNCTION("""COMPUTED_VALUE"""),"Corporate Innovation Summit")</f>
        <v>Corporate Innovation Summit</v>
      </c>
      <c r="C32" s="94" t="str">
        <f>IFERROR(__xludf.DUMMYFUNCTION("""COMPUTED_VALUE"""),"Ajay Bhalla and Jeremy Kahn")</f>
        <v>Ajay Bhalla and Jeremy Kahn</v>
      </c>
      <c r="D32" s="51" t="str">
        <f>IFERROR(__xludf.DUMMYFUNCTION("""COMPUTED_VALUE"""),"2019/11/06 14:40:00")</f>
        <v>2019/11/06 14:40:00</v>
      </c>
      <c r="E32" s="51" t="str">
        <f>IFERROR(__xludf.DUMMYFUNCTION("""COMPUTED_VALUE"""),"2019/11/06 15:00:00")</f>
        <v>2019/11/06 15:00:00</v>
      </c>
      <c r="F32" s="51" t="str">
        <f>IFERROR(__xludf.DUMMYFUNCTION("""COMPUTED_VALUE"""),"3ff9efcf-7f8b-4346-81eb-8d4e9ef580de")</f>
        <v>3ff9efcf-7f8b-4346-81eb-8d4e9ef580de</v>
      </c>
      <c r="G32" s="58">
        <f>IFERROR(__xludf.DUMMYFUNCTION("""COMPUTED_VALUE"""),43775.0)</f>
        <v>43775</v>
      </c>
      <c r="H32" s="60">
        <f>IFERROR(__xludf.DUMMYFUNCTION("""COMPUTED_VALUE"""),0.6111111111111112)</f>
        <v>0.6111111111</v>
      </c>
      <c r="I32" s="58">
        <f>IFERROR(__xludf.DUMMYFUNCTION("""COMPUTED_VALUE"""),43775.0)</f>
        <v>43775</v>
      </c>
      <c r="J32" s="60">
        <f>IFERROR(__xludf.DUMMYFUNCTION("""COMPUTED_VALUE"""),0.625)</f>
        <v>0.625</v>
      </c>
      <c r="K32" s="60">
        <f t="shared" si="1"/>
        <v>0.01388888889</v>
      </c>
      <c r="L32" s="51" t="s">
        <v>111</v>
      </c>
      <c r="M32" s="87" t="s">
        <v>799</v>
      </c>
      <c r="N32" s="51"/>
      <c r="O32" s="50"/>
      <c r="P32" s="50"/>
      <c r="Q32" s="63"/>
      <c r="R32" s="51"/>
      <c r="S32" s="51"/>
      <c r="T32" s="51"/>
    </row>
    <row r="33">
      <c r="A33" s="51" t="str">
        <f>IFERROR(__xludf.DUMMYFUNCTION("""COMPUTED_VALUE"""),"Unlocking the true potential of AI")</f>
        <v>Unlocking the true potential of AI</v>
      </c>
      <c r="B33" s="51" t="str">
        <f>IFERROR(__xludf.DUMMYFUNCTION("""COMPUTED_VALUE"""),"Corporate Innovation Summit")</f>
        <v>Corporate Innovation Summit</v>
      </c>
      <c r="C33" s="94" t="str">
        <f>IFERROR(__xludf.DUMMYFUNCTION("""COMPUTED_VALUE"""),"Ulli Waltinger, Ursula Soritsch-Renier, Ian Massingham and Philippe Bournhonesque")</f>
        <v>Ulli Waltinger, Ursula Soritsch-Renier, Ian Massingham and Philippe Bournhonesque</v>
      </c>
      <c r="D33" s="51" t="str">
        <f>IFERROR(__xludf.DUMMYFUNCTION("""COMPUTED_VALUE"""),"2019/11/06 15:00:00")</f>
        <v>2019/11/06 15:00:00</v>
      </c>
      <c r="E33" s="51" t="str">
        <f>IFERROR(__xludf.DUMMYFUNCTION("""COMPUTED_VALUE"""),"2019/11/06 15:25:00")</f>
        <v>2019/11/06 15:25:00</v>
      </c>
      <c r="F33" s="51" t="str">
        <f>IFERROR(__xludf.DUMMYFUNCTION("""COMPUTED_VALUE"""),"b537042e-852a-4cf8-9eea-a7b970a253ca")</f>
        <v>b537042e-852a-4cf8-9eea-a7b970a253ca</v>
      </c>
      <c r="G33" s="58">
        <f>IFERROR(__xludf.DUMMYFUNCTION("""COMPUTED_VALUE"""),43775.0)</f>
        <v>43775</v>
      </c>
      <c r="H33" s="60">
        <f>IFERROR(__xludf.DUMMYFUNCTION("""COMPUTED_VALUE"""),0.625)</f>
        <v>0.625</v>
      </c>
      <c r="I33" s="58">
        <f>IFERROR(__xludf.DUMMYFUNCTION("""COMPUTED_VALUE"""),43775.0)</f>
        <v>43775</v>
      </c>
      <c r="J33" s="60">
        <f>IFERROR(__xludf.DUMMYFUNCTION("""COMPUTED_VALUE"""),0.6423611111111112)</f>
        <v>0.6423611111</v>
      </c>
      <c r="K33" s="60">
        <f t="shared" si="1"/>
        <v>0.01736111111</v>
      </c>
      <c r="L33" s="51" t="s">
        <v>107</v>
      </c>
      <c r="M33" s="87" t="s">
        <v>801</v>
      </c>
      <c r="N33" s="51"/>
      <c r="O33" s="50"/>
      <c r="P33" s="50"/>
      <c r="Q33" s="63"/>
      <c r="R33" s="51"/>
      <c r="S33" s="51"/>
      <c r="T33" s="51"/>
    </row>
    <row r="34">
      <c r="A34" s="51" t="str">
        <f>IFERROR(__xludf.DUMMYFUNCTION("""COMPUTED_VALUE"""),"Demonstration: AI in practice, with Leo Pharma")</f>
        <v>Demonstration: AI in practice, with Leo Pharma</v>
      </c>
      <c r="B34" s="51" t="str">
        <f>IFERROR(__xludf.DUMMYFUNCTION("""COMPUTED_VALUE"""),"Corporate Innovation Summit")</f>
        <v>Corporate Innovation Summit</v>
      </c>
      <c r="C34" s="94" t="str">
        <f>IFERROR(__xludf.DUMMYFUNCTION("""COMPUTED_VALUE"""),"Kristian Hart-Hansen")</f>
        <v>Kristian Hart-Hansen</v>
      </c>
      <c r="D34" s="51" t="str">
        <f>IFERROR(__xludf.DUMMYFUNCTION("""COMPUTED_VALUE"""),"2019/11/06 15:25:00")</f>
        <v>2019/11/06 15:25:00</v>
      </c>
      <c r="E34" s="51" t="str">
        <f>IFERROR(__xludf.DUMMYFUNCTION("""COMPUTED_VALUE"""),"2019/11/06 15:45:00")</f>
        <v>2019/11/06 15:45:00</v>
      </c>
      <c r="F34" s="51" t="str">
        <f>IFERROR(__xludf.DUMMYFUNCTION("""COMPUTED_VALUE"""),"8ca8ced7-9244-4ff6-98cf-ae0c5fd93555")</f>
        <v>8ca8ced7-9244-4ff6-98cf-ae0c5fd93555</v>
      </c>
      <c r="G34" s="58">
        <f>IFERROR(__xludf.DUMMYFUNCTION("""COMPUTED_VALUE"""),43775.0)</f>
        <v>43775</v>
      </c>
      <c r="H34" s="60">
        <f>IFERROR(__xludf.DUMMYFUNCTION("""COMPUTED_VALUE"""),0.6423611111111112)</f>
        <v>0.6423611111</v>
      </c>
      <c r="I34" s="58">
        <f>IFERROR(__xludf.DUMMYFUNCTION("""COMPUTED_VALUE"""),43775.0)</f>
        <v>43775</v>
      </c>
      <c r="J34" s="60">
        <f>IFERROR(__xludf.DUMMYFUNCTION("""COMPUTED_VALUE"""),0.65625)</f>
        <v>0.65625</v>
      </c>
      <c r="K34" s="60">
        <f t="shared" si="1"/>
        <v>0.01388888889</v>
      </c>
      <c r="L34" s="51" t="s">
        <v>111</v>
      </c>
      <c r="M34" s="87" t="s">
        <v>803</v>
      </c>
      <c r="N34" s="51"/>
      <c r="O34" s="50"/>
      <c r="P34" s="50"/>
      <c r="Q34" s="63"/>
      <c r="R34" s="51"/>
      <c r="S34" s="51"/>
      <c r="T34" s="51"/>
    </row>
    <row r="35">
      <c r="A35" s="51" t="str">
        <f>IFERROR(__xludf.DUMMYFUNCTION("""COMPUTED_VALUE"""),"Retrofitting digital to banking")</f>
        <v>Retrofitting digital to banking</v>
      </c>
      <c r="B35" s="51" t="str">
        <f>IFERROR(__xludf.DUMMYFUNCTION("""COMPUTED_VALUE"""),"Corporate Innovation Summit")</f>
        <v>Corporate Innovation Summit</v>
      </c>
      <c r="C35" s="94" t="str">
        <f>IFERROR(__xludf.DUMMYFUNCTION("""COMPUTED_VALUE"""),"Luis Uguina, Claire Calmejane, Paulo Marques and Peter Zemsky")</f>
        <v>Luis Uguina, Claire Calmejane, Paulo Marques and Peter Zemsky</v>
      </c>
      <c r="D35" s="51" t="str">
        <f>IFERROR(__xludf.DUMMYFUNCTION("""COMPUTED_VALUE"""),"2019/11/06 15:45:00")</f>
        <v>2019/11/06 15:45:00</v>
      </c>
      <c r="E35" s="51" t="str">
        <f>IFERROR(__xludf.DUMMYFUNCTION("""COMPUTED_VALUE"""),"2019/11/06 16:05:00")</f>
        <v>2019/11/06 16:05:00</v>
      </c>
      <c r="F35" s="51" t="str">
        <f>IFERROR(__xludf.DUMMYFUNCTION("""COMPUTED_VALUE"""),"f696cbec-24a3-42b1-b196-2a9ab262bbd7")</f>
        <v>f696cbec-24a3-42b1-b196-2a9ab262bbd7</v>
      </c>
      <c r="G35" s="58">
        <f>IFERROR(__xludf.DUMMYFUNCTION("""COMPUTED_VALUE"""),43775.0)</f>
        <v>43775</v>
      </c>
      <c r="H35" s="60">
        <f>IFERROR(__xludf.DUMMYFUNCTION("""COMPUTED_VALUE"""),0.65625)</f>
        <v>0.65625</v>
      </c>
      <c r="I35" s="58">
        <f>IFERROR(__xludf.DUMMYFUNCTION("""COMPUTED_VALUE"""),43775.0)</f>
        <v>43775</v>
      </c>
      <c r="J35" s="60">
        <f>IFERROR(__xludf.DUMMYFUNCTION("""COMPUTED_VALUE"""),0.6701388888888888)</f>
        <v>0.6701388889</v>
      </c>
      <c r="K35" s="60">
        <f t="shared" si="1"/>
        <v>0.01388888889</v>
      </c>
      <c r="L35" s="51" t="s">
        <v>111</v>
      </c>
      <c r="M35" s="87" t="s">
        <v>805</v>
      </c>
      <c r="N35" s="51"/>
      <c r="O35" s="50"/>
      <c r="P35" s="50"/>
      <c r="Q35" s="63"/>
      <c r="R35" s="51"/>
      <c r="S35" s="51"/>
      <c r="T35" s="51"/>
    </row>
    <row r="36">
      <c r="A36" s="51" t="str">
        <f>IFERROR(__xludf.DUMMYFUNCTION("""COMPUTED_VALUE"""),"A formula for customer experience")</f>
        <v>A formula for customer experience</v>
      </c>
      <c r="B36" s="51" t="str">
        <f>IFERROR(__xludf.DUMMYFUNCTION("""COMPUTED_VALUE"""),"Corporate Innovation Summit")</f>
        <v>Corporate Innovation Summit</v>
      </c>
      <c r="C36" s="94" t="str">
        <f>IFERROR(__xludf.DUMMYFUNCTION("""COMPUTED_VALUE"""),"Alicia Tillman and Xavier Oliver")</f>
        <v>Alicia Tillman and Xavier Oliver</v>
      </c>
      <c r="D36" s="51" t="str">
        <f>IFERROR(__xludf.DUMMYFUNCTION("""COMPUTED_VALUE"""),"2019/11/06 16:05:00")</f>
        <v>2019/11/06 16:05:00</v>
      </c>
      <c r="E36" s="51" t="str">
        <f>IFERROR(__xludf.DUMMYFUNCTION("""COMPUTED_VALUE"""),"2019/11/06 16:25:00")</f>
        <v>2019/11/06 16:25:00</v>
      </c>
      <c r="F36" s="51" t="str">
        <f>IFERROR(__xludf.DUMMYFUNCTION("""COMPUTED_VALUE"""),"3c213a4c-f1a9-4840-bd25-76f333eb7641")</f>
        <v>3c213a4c-f1a9-4840-bd25-76f333eb7641</v>
      </c>
      <c r="G36" s="58">
        <f>IFERROR(__xludf.DUMMYFUNCTION("""COMPUTED_VALUE"""),43775.0)</f>
        <v>43775</v>
      </c>
      <c r="H36" s="60">
        <f>IFERROR(__xludf.DUMMYFUNCTION("""COMPUTED_VALUE"""),0.6701388888888888)</f>
        <v>0.6701388889</v>
      </c>
      <c r="I36" s="58">
        <f>IFERROR(__xludf.DUMMYFUNCTION("""COMPUTED_VALUE"""),43775.0)</f>
        <v>43775</v>
      </c>
      <c r="J36" s="60">
        <f>IFERROR(__xludf.DUMMYFUNCTION("""COMPUTED_VALUE"""),0.6840277777777778)</f>
        <v>0.6840277778</v>
      </c>
      <c r="K36" s="60">
        <f t="shared" si="1"/>
        <v>0.01388888889</v>
      </c>
      <c r="L36" s="51" t="s">
        <v>111</v>
      </c>
      <c r="M36" s="87" t="s">
        <v>807</v>
      </c>
      <c r="N36" s="51"/>
      <c r="O36" s="50"/>
      <c r="P36" s="50"/>
      <c r="Q36" s="63"/>
      <c r="R36" s="51"/>
      <c r="S36" s="51"/>
      <c r="T36" s="51"/>
    </row>
    <row r="37">
      <c r="A37" s="51" t="str">
        <f>IFERROR(__xludf.DUMMYFUNCTION("""COMPUTED_VALUE"""),"Opening remarks")</f>
        <v>Opening remarks</v>
      </c>
      <c r="B37" s="51" t="str">
        <f>IFERROR(__xludf.DUMMYFUNCTION("""COMPUTED_VALUE"""),"Corporate Innovation Summit")</f>
        <v>Corporate Innovation Summit</v>
      </c>
      <c r="C37" s="94" t="str">
        <f>IFERROR(__xludf.DUMMYFUNCTION("""COMPUTED_VALUE"""),"Shivani Sopory")</f>
        <v>Shivani Sopory</v>
      </c>
      <c r="D37" s="51" t="str">
        <f>IFERROR(__xludf.DUMMYFUNCTION("""COMPUTED_VALUE"""),"2019/11/07 10:45:00")</f>
        <v>2019/11/07 10:45:00</v>
      </c>
      <c r="E37" s="51" t="str">
        <f>IFERROR(__xludf.DUMMYFUNCTION("""COMPUTED_VALUE"""),"2019/11/07 11:00:00")</f>
        <v>2019/11/07 11:00:00</v>
      </c>
      <c r="F37" s="51" t="str">
        <f>IFERROR(__xludf.DUMMYFUNCTION("""COMPUTED_VALUE"""),"febf04c1-e73e-46f0-a6b9-173ce6c5fc2d")</f>
        <v>febf04c1-e73e-46f0-a6b9-173ce6c5fc2d</v>
      </c>
      <c r="G37" s="58">
        <f>IFERROR(__xludf.DUMMYFUNCTION("""COMPUTED_VALUE"""),43776.0)</f>
        <v>43776</v>
      </c>
      <c r="H37" s="60">
        <f>IFERROR(__xludf.DUMMYFUNCTION("""COMPUTED_VALUE"""),0.4479166666666667)</f>
        <v>0.4479166667</v>
      </c>
      <c r="I37" s="58">
        <f>IFERROR(__xludf.DUMMYFUNCTION("""COMPUTED_VALUE"""),43776.0)</f>
        <v>43776</v>
      </c>
      <c r="J37" s="60">
        <f>IFERROR(__xludf.DUMMYFUNCTION("""COMPUTED_VALUE"""),0.4583333333333333)</f>
        <v>0.4583333333</v>
      </c>
      <c r="K37" s="60">
        <f t="shared" si="1"/>
        <v>0.01041666667</v>
      </c>
      <c r="L37" s="51" t="s">
        <v>116</v>
      </c>
      <c r="M37" s="87" t="s">
        <v>809</v>
      </c>
      <c r="N37" s="51"/>
      <c r="O37" s="50"/>
      <c r="P37" s="50"/>
      <c r="Q37" s="63"/>
      <c r="R37" s="51"/>
      <c r="S37" s="51"/>
      <c r="T37" s="51"/>
    </row>
    <row r="38">
      <c r="A38" s="51" t="str">
        <f>IFERROR(__xludf.DUMMYFUNCTION("""COMPUTED_VALUE"""),"Purpose as an accelerator for transformation")</f>
        <v>Purpose as an accelerator for transformation</v>
      </c>
      <c r="B38" s="51" t="str">
        <f>IFERROR(__xludf.DUMMYFUNCTION("""COMPUTED_VALUE"""),"Corporate Innovation Summit")</f>
        <v>Corporate Innovation Summit</v>
      </c>
      <c r="C38" s="94" t="str">
        <f>IFERROR(__xludf.DUMMYFUNCTION("""COMPUTED_VALUE"""),"Andre Le Masurier, George Aivazoglou and Marty Swant")</f>
        <v>Andre Le Masurier, George Aivazoglou and Marty Swant</v>
      </c>
      <c r="D38" s="51" t="str">
        <f>IFERROR(__xludf.DUMMYFUNCTION("""COMPUTED_VALUE"""),"2019/11/07 11:00:00")</f>
        <v>2019/11/07 11:00:00</v>
      </c>
      <c r="E38" s="51" t="str">
        <f>IFERROR(__xludf.DUMMYFUNCTION("""COMPUTED_VALUE"""),"2019/11/07 11:20:00")</f>
        <v>2019/11/07 11:20:00</v>
      </c>
      <c r="F38" s="51" t="str">
        <f>IFERROR(__xludf.DUMMYFUNCTION("""COMPUTED_VALUE"""),"a8ae5789-78e4-4970-8dce-451e54bd8ac5")</f>
        <v>a8ae5789-78e4-4970-8dce-451e54bd8ac5</v>
      </c>
      <c r="G38" s="58">
        <f>IFERROR(__xludf.DUMMYFUNCTION("""COMPUTED_VALUE"""),43776.0)</f>
        <v>43776</v>
      </c>
      <c r="H38" s="60">
        <f>IFERROR(__xludf.DUMMYFUNCTION("""COMPUTED_VALUE"""),0.4583333333333333)</f>
        <v>0.4583333333</v>
      </c>
      <c r="I38" s="58">
        <f>IFERROR(__xludf.DUMMYFUNCTION("""COMPUTED_VALUE"""),43776.0)</f>
        <v>43776</v>
      </c>
      <c r="J38" s="60">
        <f>IFERROR(__xludf.DUMMYFUNCTION("""COMPUTED_VALUE"""),0.4722222222222222)</f>
        <v>0.4722222222</v>
      </c>
      <c r="K38" s="60">
        <f t="shared" si="1"/>
        <v>0.01388888889</v>
      </c>
      <c r="L38" s="51" t="s">
        <v>111</v>
      </c>
      <c r="M38" s="87" t="s">
        <v>811</v>
      </c>
      <c r="N38" s="51"/>
      <c r="O38" s="50"/>
      <c r="P38" s="50"/>
      <c r="Q38" s="63"/>
      <c r="R38" s="51"/>
      <c r="S38" s="51"/>
      <c r="T38" s="51"/>
    </row>
    <row r="39">
      <c r="A39" s="51" t="str">
        <f>IFERROR(__xludf.DUMMYFUNCTION("""COMPUTED_VALUE"""),"Embracing the discomfort zone ")</f>
        <v>Embracing the discomfort zone </v>
      </c>
      <c r="B39" s="51" t="str">
        <f>IFERROR(__xludf.DUMMYFUNCTION("""COMPUTED_VALUE"""),"Corporate Innovation Summit")</f>
        <v>Corporate Innovation Summit</v>
      </c>
      <c r="C39" s="94" t="str">
        <f>IFERROR(__xludf.DUMMYFUNCTION("""COMPUTED_VALUE"""),"Veit Dengler and Sara Fischer")</f>
        <v>Veit Dengler and Sara Fischer</v>
      </c>
      <c r="D39" s="51" t="str">
        <f>IFERROR(__xludf.DUMMYFUNCTION("""COMPUTED_VALUE"""),"2019/11/07 11:20:00")</f>
        <v>2019/11/07 11:20:00</v>
      </c>
      <c r="E39" s="51" t="str">
        <f>IFERROR(__xludf.DUMMYFUNCTION("""COMPUTED_VALUE"""),"2019/11/07 11:40:00")</f>
        <v>2019/11/07 11:40:00</v>
      </c>
      <c r="F39" s="51" t="str">
        <f>IFERROR(__xludf.DUMMYFUNCTION("""COMPUTED_VALUE"""),"c12355eb-7a0b-40cc-acaa-05ba0553f310")</f>
        <v>c12355eb-7a0b-40cc-acaa-05ba0553f310</v>
      </c>
      <c r="G39" s="58">
        <f>IFERROR(__xludf.DUMMYFUNCTION("""COMPUTED_VALUE"""),43776.0)</f>
        <v>43776</v>
      </c>
      <c r="H39" s="60">
        <f>IFERROR(__xludf.DUMMYFUNCTION("""COMPUTED_VALUE"""),0.4722222222222222)</f>
        <v>0.4722222222</v>
      </c>
      <c r="I39" s="58">
        <f>IFERROR(__xludf.DUMMYFUNCTION("""COMPUTED_VALUE"""),43776.0)</f>
        <v>43776</v>
      </c>
      <c r="J39" s="60">
        <f>IFERROR(__xludf.DUMMYFUNCTION("""COMPUTED_VALUE"""),0.4861111111111111)</f>
        <v>0.4861111111</v>
      </c>
      <c r="K39" s="60">
        <f t="shared" si="1"/>
        <v>0.01388888889</v>
      </c>
      <c r="L39" s="51" t="s">
        <v>111</v>
      </c>
      <c r="M39" s="87" t="s">
        <v>813</v>
      </c>
      <c r="N39" s="51"/>
      <c r="O39" s="50"/>
      <c r="P39" s="50"/>
      <c r="Q39" s="63"/>
      <c r="R39" s="51"/>
      <c r="S39" s="51"/>
      <c r="T39" s="51"/>
    </row>
    <row r="40">
      <c r="A40" s="51" t="str">
        <f>IFERROR(__xludf.DUMMYFUNCTION("""COMPUTED_VALUE"""),"Data and trust: A way forward")</f>
        <v>Data and trust: A way forward</v>
      </c>
      <c r="B40" s="51" t="str">
        <f>IFERROR(__xludf.DUMMYFUNCTION("""COMPUTED_VALUE"""),"Corporate Innovation Summit")</f>
        <v>Corporate Innovation Summit</v>
      </c>
      <c r="C40" s="94" t="str">
        <f>IFERROR(__xludf.DUMMYFUNCTION("""COMPUTED_VALUE"""),"Eva Kaili, Ayman Hariri and Mark Di Stefano")</f>
        <v>Eva Kaili, Ayman Hariri and Mark Di Stefano</v>
      </c>
      <c r="D40" s="51" t="str">
        <f>IFERROR(__xludf.DUMMYFUNCTION("""COMPUTED_VALUE"""),"2019/11/07 11:40:00")</f>
        <v>2019/11/07 11:40:00</v>
      </c>
      <c r="E40" s="51" t="str">
        <f>IFERROR(__xludf.DUMMYFUNCTION("""COMPUTED_VALUE"""),"2019/11/07 12:00:00")</f>
        <v>2019/11/07 12:00:00</v>
      </c>
      <c r="F40" s="51" t="str">
        <f>IFERROR(__xludf.DUMMYFUNCTION("""COMPUTED_VALUE"""),"7dd7239a-ba88-46b1-ad03-f5c831b9e435")</f>
        <v>7dd7239a-ba88-46b1-ad03-f5c831b9e435</v>
      </c>
      <c r="G40" s="58">
        <f>IFERROR(__xludf.DUMMYFUNCTION("""COMPUTED_VALUE"""),43776.0)</f>
        <v>43776</v>
      </c>
      <c r="H40" s="60">
        <f>IFERROR(__xludf.DUMMYFUNCTION("""COMPUTED_VALUE"""),0.4861111111111111)</f>
        <v>0.4861111111</v>
      </c>
      <c r="I40" s="58">
        <f>IFERROR(__xludf.DUMMYFUNCTION("""COMPUTED_VALUE"""),43776.0)</f>
        <v>43776</v>
      </c>
      <c r="J40" s="60">
        <f>IFERROR(__xludf.DUMMYFUNCTION("""COMPUTED_VALUE"""),0.5)</f>
        <v>0.5</v>
      </c>
      <c r="K40" s="60">
        <f t="shared" si="1"/>
        <v>0.01388888889</v>
      </c>
      <c r="L40" s="51" t="s">
        <v>111</v>
      </c>
      <c r="M40" s="87" t="s">
        <v>814</v>
      </c>
      <c r="N40" s="51"/>
      <c r="O40" s="50"/>
      <c r="P40" s="50"/>
      <c r="Q40" s="63"/>
      <c r="R40" s="51"/>
      <c r="S40" s="51"/>
      <c r="T40" s="51"/>
    </row>
    <row r="41">
      <c r="A41" s="51" t="str">
        <f>IFERROR(__xludf.DUMMYFUNCTION("""COMPUTED_VALUE"""),"Anticipating trends in customer experience ")</f>
        <v>Anticipating trends in customer experience </v>
      </c>
      <c r="B41" s="51" t="str">
        <f>IFERROR(__xludf.DUMMYFUNCTION("""COMPUTED_VALUE"""),"Corporate Innovation Summit")</f>
        <v>Corporate Innovation Summit</v>
      </c>
      <c r="C41" s="94" t="str">
        <f>IFERROR(__xludf.DUMMYFUNCTION("""COMPUTED_VALUE"""),"John Gordon, Nico Gabriel, Olaf Lorenz and Britta Muzyk-Tikovsky")</f>
        <v>John Gordon, Nico Gabriel, Olaf Lorenz and Britta Muzyk-Tikovsky</v>
      </c>
      <c r="D41" s="51" t="str">
        <f>IFERROR(__xludf.DUMMYFUNCTION("""COMPUTED_VALUE"""),"2019/11/07 12:00:00")</f>
        <v>2019/11/07 12:00:00</v>
      </c>
      <c r="E41" s="51" t="str">
        <f>IFERROR(__xludf.DUMMYFUNCTION("""COMPUTED_VALUE"""),"2019/11/07 12:20:00")</f>
        <v>2019/11/07 12:20:00</v>
      </c>
      <c r="F41" s="51" t="str">
        <f>IFERROR(__xludf.DUMMYFUNCTION("""COMPUTED_VALUE"""),"47f41f93-87ac-4ab1-a655-3b32624dff1b")</f>
        <v>47f41f93-87ac-4ab1-a655-3b32624dff1b</v>
      </c>
      <c r="G41" s="58">
        <f>IFERROR(__xludf.DUMMYFUNCTION("""COMPUTED_VALUE"""),43776.0)</f>
        <v>43776</v>
      </c>
      <c r="H41" s="60">
        <f>IFERROR(__xludf.DUMMYFUNCTION("""COMPUTED_VALUE"""),0.5)</f>
        <v>0.5</v>
      </c>
      <c r="I41" s="58">
        <f>IFERROR(__xludf.DUMMYFUNCTION("""COMPUTED_VALUE"""),43776.0)</f>
        <v>43776</v>
      </c>
      <c r="J41" s="60">
        <f>IFERROR(__xludf.DUMMYFUNCTION("""COMPUTED_VALUE"""),0.5138888888888888)</f>
        <v>0.5138888889</v>
      </c>
      <c r="K41" s="60">
        <f t="shared" si="1"/>
        <v>0.01388888889</v>
      </c>
      <c r="L41" s="51" t="s">
        <v>111</v>
      </c>
      <c r="M41" s="87" t="s">
        <v>817</v>
      </c>
      <c r="N41" s="51"/>
      <c r="O41" s="50"/>
      <c r="P41" s="50"/>
      <c r="Q41" s="63"/>
      <c r="R41" s="51"/>
      <c r="S41" s="51"/>
      <c r="T41" s="51"/>
    </row>
    <row r="42">
      <c r="A42" s="51" t="str">
        <f>IFERROR(__xludf.DUMMYFUNCTION("""COMPUTED_VALUE"""),"Time Out: A tasty transformation")</f>
        <v>Time Out: A tasty transformation</v>
      </c>
      <c r="B42" s="51" t="str">
        <f>IFERROR(__xludf.DUMMYFUNCTION("""COMPUTED_VALUE"""),"Corporate Innovation Summit")</f>
        <v>Corporate Innovation Summit</v>
      </c>
      <c r="C42" s="94" t="str">
        <f>IFERROR(__xludf.DUMMYFUNCTION("""COMPUTED_VALUE"""),"Julio Bruno")</f>
        <v>Julio Bruno</v>
      </c>
      <c r="D42" s="51" t="str">
        <f>IFERROR(__xludf.DUMMYFUNCTION("""COMPUTED_VALUE"""),"2019/11/07 12:20:00")</f>
        <v>2019/11/07 12:20:00</v>
      </c>
      <c r="E42" s="51" t="str">
        <f>IFERROR(__xludf.DUMMYFUNCTION("""COMPUTED_VALUE"""),"2019/11/07 12:35:00")</f>
        <v>2019/11/07 12:35:00</v>
      </c>
      <c r="F42" s="51" t="str">
        <f>IFERROR(__xludf.DUMMYFUNCTION("""COMPUTED_VALUE"""),"db64c6fe-ffe5-4c73-9c46-4261eb510ebd")</f>
        <v>db64c6fe-ffe5-4c73-9c46-4261eb510ebd</v>
      </c>
      <c r="G42" s="58">
        <f>IFERROR(__xludf.DUMMYFUNCTION("""COMPUTED_VALUE"""),43776.0)</f>
        <v>43776</v>
      </c>
      <c r="H42" s="60">
        <f>IFERROR(__xludf.DUMMYFUNCTION("""COMPUTED_VALUE"""),0.5138888888888888)</f>
        <v>0.5138888889</v>
      </c>
      <c r="I42" s="58">
        <f>IFERROR(__xludf.DUMMYFUNCTION("""COMPUTED_VALUE"""),43776.0)</f>
        <v>43776</v>
      </c>
      <c r="J42" s="60">
        <f>IFERROR(__xludf.DUMMYFUNCTION("""COMPUTED_VALUE"""),0.5243055555555556)</f>
        <v>0.5243055556</v>
      </c>
      <c r="K42" s="60">
        <f t="shared" si="1"/>
        <v>0.01041666667</v>
      </c>
      <c r="L42" s="51" t="s">
        <v>116</v>
      </c>
      <c r="M42" s="87" t="s">
        <v>819</v>
      </c>
      <c r="N42" s="51"/>
      <c r="O42" s="50"/>
      <c r="P42" s="50"/>
      <c r="Q42" s="63"/>
      <c r="R42" s="51"/>
      <c r="S42" s="51"/>
      <c r="T42" s="51"/>
    </row>
    <row r="43">
      <c r="A43" s="51" t="str">
        <f>IFERROR(__xludf.DUMMYFUNCTION("""COMPUTED_VALUE"""),"Leveraging innovation, at pace")</f>
        <v>Leveraging innovation, at pace</v>
      </c>
      <c r="B43" s="51" t="str">
        <f>IFERROR(__xludf.DUMMYFUNCTION("""COMPUTED_VALUE"""),"Corporate Innovation Summit")</f>
        <v>Corporate Innovation Summit</v>
      </c>
      <c r="C43" s="94" t="str">
        <f>IFERROR(__xludf.DUMMYFUNCTION("""COMPUTED_VALUE"""),"António Vidigal")</f>
        <v>António Vidigal</v>
      </c>
      <c r="D43" s="51" t="str">
        <f>IFERROR(__xludf.DUMMYFUNCTION("""COMPUTED_VALUE"""),"2019/11/07 12:35:00")</f>
        <v>2019/11/07 12:35:00</v>
      </c>
      <c r="E43" s="51" t="str">
        <f>IFERROR(__xludf.DUMMYFUNCTION("""COMPUTED_VALUE"""),"2019/11/07 12:55:00")</f>
        <v>2019/11/07 12:55:00</v>
      </c>
      <c r="F43" s="51" t="str">
        <f>IFERROR(__xludf.DUMMYFUNCTION("""COMPUTED_VALUE"""),"e55e8213-044f-4b1e-8cc4-7b3ae67c2b4a")</f>
        <v>e55e8213-044f-4b1e-8cc4-7b3ae67c2b4a</v>
      </c>
      <c r="G43" s="58">
        <f>IFERROR(__xludf.DUMMYFUNCTION("""COMPUTED_VALUE"""),43776.0)</f>
        <v>43776</v>
      </c>
      <c r="H43" s="60">
        <f>IFERROR(__xludf.DUMMYFUNCTION("""COMPUTED_VALUE"""),0.5243055555555556)</f>
        <v>0.5243055556</v>
      </c>
      <c r="I43" s="58">
        <f>IFERROR(__xludf.DUMMYFUNCTION("""COMPUTED_VALUE"""),43776.0)</f>
        <v>43776</v>
      </c>
      <c r="J43" s="60">
        <f>IFERROR(__xludf.DUMMYFUNCTION("""COMPUTED_VALUE"""),0.5381944444444444)</f>
        <v>0.5381944444</v>
      </c>
      <c r="K43" s="60">
        <f t="shared" si="1"/>
        <v>0.01388888889</v>
      </c>
      <c r="L43" s="51" t="s">
        <v>111</v>
      </c>
      <c r="M43" s="87" t="s">
        <v>821</v>
      </c>
      <c r="N43" s="51"/>
      <c r="O43" s="50"/>
      <c r="P43" s="50"/>
      <c r="Q43" s="63"/>
      <c r="R43" s="51"/>
      <c r="S43" s="51"/>
      <c r="T43" s="51"/>
    </row>
    <row r="44">
      <c r="A44" s="51" t="str">
        <f>IFERROR(__xludf.DUMMYFUNCTION("""COMPUTED_VALUE"""),"Lunch break")</f>
        <v>Lunch break</v>
      </c>
      <c r="B44" s="51" t="str">
        <f>IFERROR(__xludf.DUMMYFUNCTION("""COMPUTED_VALUE"""),"Corporate Innovation Summit")</f>
        <v>Corporate Innovation Summit</v>
      </c>
      <c r="C44" s="94" t="str">
        <f>IFERROR(__xludf.DUMMYFUNCTION("""COMPUTED_VALUE"""),"")</f>
        <v/>
      </c>
      <c r="D44" s="51" t="str">
        <f>IFERROR(__xludf.DUMMYFUNCTION("""COMPUTED_VALUE"""),"2019/11/07 12:55:00")</f>
        <v>2019/11/07 12:55:00</v>
      </c>
      <c r="E44" s="51" t="str">
        <f>IFERROR(__xludf.DUMMYFUNCTION("""COMPUTED_VALUE"""),"2019/11/07 13:30:00")</f>
        <v>2019/11/07 13:30:00</v>
      </c>
      <c r="F44" s="51" t="str">
        <f>IFERROR(__xludf.DUMMYFUNCTION("""COMPUTED_VALUE"""),"d36c7638-471e-453f-9f5e-b95a47877687")</f>
        <v>d36c7638-471e-453f-9f5e-b95a47877687</v>
      </c>
      <c r="G44" s="58">
        <f>IFERROR(__xludf.DUMMYFUNCTION("""COMPUTED_VALUE"""),43776.0)</f>
        <v>43776</v>
      </c>
      <c r="H44" s="60">
        <f>IFERROR(__xludf.DUMMYFUNCTION("""COMPUTED_VALUE"""),0.5381944444444444)</f>
        <v>0.5381944444</v>
      </c>
      <c r="I44" s="58">
        <f>IFERROR(__xludf.DUMMYFUNCTION("""COMPUTED_VALUE"""),43776.0)</f>
        <v>43776</v>
      </c>
      <c r="J44" s="60">
        <f>IFERROR(__xludf.DUMMYFUNCTION("""COMPUTED_VALUE"""),0.5625)</f>
        <v>0.5625</v>
      </c>
      <c r="K44" s="60">
        <f t="shared" si="1"/>
        <v>0.02430555556</v>
      </c>
      <c r="L44" s="51" t="s">
        <v>147</v>
      </c>
      <c r="M44" s="51"/>
      <c r="N44" s="51"/>
      <c r="O44" s="50"/>
      <c r="P44" s="50"/>
      <c r="Q44" s="63"/>
      <c r="R44" s="51"/>
      <c r="S44" s="51"/>
      <c r="T44" s="51"/>
    </row>
    <row r="45">
      <c r="A45" s="51" t="str">
        <f>IFERROR(__xludf.DUMMYFUNCTION("""COMPUTED_VALUE"""),"Opening remarks")</f>
        <v>Opening remarks</v>
      </c>
      <c r="B45" s="51" t="str">
        <f>IFERROR(__xludf.DUMMYFUNCTION("""COMPUTED_VALUE"""),"Corporate Innovation Summit")</f>
        <v>Corporate Innovation Summit</v>
      </c>
      <c r="C45" s="94" t="str">
        <f>IFERROR(__xludf.DUMMYFUNCTION("""COMPUTED_VALUE"""),"Belinda Esterhammer")</f>
        <v>Belinda Esterhammer</v>
      </c>
      <c r="D45" s="51" t="str">
        <f>IFERROR(__xludf.DUMMYFUNCTION("""COMPUTED_VALUE"""),"2019/11/07 13:30:00")</f>
        <v>2019/11/07 13:30:00</v>
      </c>
      <c r="E45" s="51" t="str">
        <f>IFERROR(__xludf.DUMMYFUNCTION("""COMPUTED_VALUE"""),"2019/11/07 13:45:00")</f>
        <v>2019/11/07 13:45:00</v>
      </c>
      <c r="F45" s="51" t="str">
        <f>IFERROR(__xludf.DUMMYFUNCTION("""COMPUTED_VALUE"""),"e3898815-c179-4865-b49c-c5960add5cb3")</f>
        <v>e3898815-c179-4865-b49c-c5960add5cb3</v>
      </c>
      <c r="G45" s="58">
        <f>IFERROR(__xludf.DUMMYFUNCTION("""COMPUTED_VALUE"""),43776.0)</f>
        <v>43776</v>
      </c>
      <c r="H45" s="60">
        <f>IFERROR(__xludf.DUMMYFUNCTION("""COMPUTED_VALUE"""),0.5625)</f>
        <v>0.5625</v>
      </c>
      <c r="I45" s="58">
        <f>IFERROR(__xludf.DUMMYFUNCTION("""COMPUTED_VALUE"""),43776.0)</f>
        <v>43776</v>
      </c>
      <c r="J45" s="60">
        <f>IFERROR(__xludf.DUMMYFUNCTION("""COMPUTED_VALUE"""),0.5729166666666666)</f>
        <v>0.5729166667</v>
      </c>
      <c r="K45" s="60">
        <f t="shared" si="1"/>
        <v>0.01041666667</v>
      </c>
      <c r="L45" s="51" t="s">
        <v>116</v>
      </c>
      <c r="M45" s="87" t="s">
        <v>825</v>
      </c>
      <c r="N45" s="51"/>
      <c r="O45" s="50"/>
      <c r="P45" s="50"/>
      <c r="Q45" s="63"/>
      <c r="R45" s="51"/>
      <c r="S45" s="51"/>
      <c r="T45" s="51"/>
    </row>
    <row r="46">
      <c r="A46" s="51" t="str">
        <f>IFERROR(__xludf.DUMMYFUNCTION("""COMPUTED_VALUE"""),"Responding to a €50m cyberattack")</f>
        <v>Responding to a €50m cyberattack</v>
      </c>
      <c r="B46" s="51" t="str">
        <f>IFERROR(__xludf.DUMMYFUNCTION("""COMPUTED_VALUE"""),"Corporate Innovation Summit")</f>
        <v>Corporate Innovation Summit</v>
      </c>
      <c r="C46" s="94" t="str">
        <f>IFERROR(__xludf.DUMMYFUNCTION("""COMPUTED_VALUE"""),"Jo De Vliegher")</f>
        <v>Jo De Vliegher</v>
      </c>
      <c r="D46" s="51" t="str">
        <f>IFERROR(__xludf.DUMMYFUNCTION("""COMPUTED_VALUE"""),"2019/11/07 13:45:00")</f>
        <v>2019/11/07 13:45:00</v>
      </c>
      <c r="E46" s="51" t="str">
        <f>IFERROR(__xludf.DUMMYFUNCTION("""COMPUTED_VALUE"""),"2019/11/07 14:00:00")</f>
        <v>2019/11/07 14:00:00</v>
      </c>
      <c r="F46" s="51" t="str">
        <f>IFERROR(__xludf.DUMMYFUNCTION("""COMPUTED_VALUE"""),"cdb13e7c-ed2b-46b7-8994-f87e2e697de8")</f>
        <v>cdb13e7c-ed2b-46b7-8994-f87e2e697de8</v>
      </c>
      <c r="G46" s="58">
        <f>IFERROR(__xludf.DUMMYFUNCTION("""COMPUTED_VALUE"""),43776.0)</f>
        <v>43776</v>
      </c>
      <c r="H46" s="60">
        <f>IFERROR(__xludf.DUMMYFUNCTION("""COMPUTED_VALUE"""),0.5729166666666666)</f>
        <v>0.5729166667</v>
      </c>
      <c r="I46" s="58">
        <f>IFERROR(__xludf.DUMMYFUNCTION("""COMPUTED_VALUE"""),43776.0)</f>
        <v>43776</v>
      </c>
      <c r="J46" s="60">
        <f>IFERROR(__xludf.DUMMYFUNCTION("""COMPUTED_VALUE"""),0.5833333333333334)</f>
        <v>0.5833333333</v>
      </c>
      <c r="K46" s="60">
        <f t="shared" si="1"/>
        <v>0.01041666667</v>
      </c>
      <c r="L46" s="51" t="s">
        <v>116</v>
      </c>
      <c r="M46" s="87" t="s">
        <v>827</v>
      </c>
      <c r="N46" s="51"/>
      <c r="O46" s="50"/>
      <c r="P46" s="50"/>
      <c r="Q46" s="63"/>
      <c r="R46" s="51"/>
      <c r="S46" s="51"/>
      <c r="T46" s="51"/>
    </row>
    <row r="47">
      <c r="A47" s="51" t="str">
        <f>IFERROR(__xludf.DUMMYFUNCTION("""COMPUTED_VALUE"""),"How to build an invincible company")</f>
        <v>How to build an invincible company</v>
      </c>
      <c r="B47" s="51" t="str">
        <f>IFERROR(__xludf.DUMMYFUNCTION("""COMPUTED_VALUE"""),"Corporate Innovation Summit")</f>
        <v>Corporate Innovation Summit</v>
      </c>
      <c r="C47" s="94" t="str">
        <f>IFERROR(__xludf.DUMMYFUNCTION("""COMPUTED_VALUE"""),"Alex Osterwalder")</f>
        <v>Alex Osterwalder</v>
      </c>
      <c r="D47" s="51" t="str">
        <f>IFERROR(__xludf.DUMMYFUNCTION("""COMPUTED_VALUE"""),"2019/11/07 14:00:00")</f>
        <v>2019/11/07 14:00:00</v>
      </c>
      <c r="E47" s="51" t="str">
        <f>IFERROR(__xludf.DUMMYFUNCTION("""COMPUTED_VALUE"""),"2019/11/07 14:20:00")</f>
        <v>2019/11/07 14:20:00</v>
      </c>
      <c r="F47" s="51" t="str">
        <f>IFERROR(__xludf.DUMMYFUNCTION("""COMPUTED_VALUE"""),"f72b995c-5b25-443d-b7e6-9c255da1688c")</f>
        <v>f72b995c-5b25-443d-b7e6-9c255da1688c</v>
      </c>
      <c r="G47" s="58">
        <f>IFERROR(__xludf.DUMMYFUNCTION("""COMPUTED_VALUE"""),43776.0)</f>
        <v>43776</v>
      </c>
      <c r="H47" s="60">
        <f>IFERROR(__xludf.DUMMYFUNCTION("""COMPUTED_VALUE"""),0.5833333333333334)</f>
        <v>0.5833333333</v>
      </c>
      <c r="I47" s="58">
        <f>IFERROR(__xludf.DUMMYFUNCTION("""COMPUTED_VALUE"""),43776.0)</f>
        <v>43776</v>
      </c>
      <c r="J47" s="60">
        <f>IFERROR(__xludf.DUMMYFUNCTION("""COMPUTED_VALUE"""),0.5972222222222222)</f>
        <v>0.5972222222</v>
      </c>
      <c r="K47" s="60">
        <f t="shared" si="1"/>
        <v>0.01388888889</v>
      </c>
      <c r="L47" s="51" t="s">
        <v>111</v>
      </c>
      <c r="M47" s="87" t="s">
        <v>830</v>
      </c>
      <c r="N47" s="51"/>
      <c r="O47" s="50"/>
      <c r="P47" s="50"/>
      <c r="Q47" s="63"/>
      <c r="R47" s="51"/>
      <c r="S47" s="51"/>
      <c r="T47" s="51"/>
    </row>
    <row r="48">
      <c r="A48" s="51" t="str">
        <f>IFERROR(__xludf.DUMMYFUNCTION("""COMPUTED_VALUE"""),"Inside the corporate/startup relationship")</f>
        <v>Inside the corporate/startup relationship</v>
      </c>
      <c r="B48" s="51" t="str">
        <f>IFERROR(__xludf.DUMMYFUNCTION("""COMPUTED_VALUE"""),"Corporate Innovation Summit")</f>
        <v>Corporate Innovation Summit</v>
      </c>
      <c r="C48" s="94" t="str">
        <f>IFERROR(__xludf.DUMMYFUNCTION("""COMPUTED_VALUE"""),"Mario Pieper, Emmanuel Lagarrigue, Bedy Yang and Matthias Meyer")</f>
        <v>Mario Pieper, Emmanuel Lagarrigue, Bedy Yang and Matthias Meyer</v>
      </c>
      <c r="D48" s="51" t="str">
        <f>IFERROR(__xludf.DUMMYFUNCTION("""COMPUTED_VALUE"""),"2019/11/07 14:20:00")</f>
        <v>2019/11/07 14:20:00</v>
      </c>
      <c r="E48" s="51" t="str">
        <f>IFERROR(__xludf.DUMMYFUNCTION("""COMPUTED_VALUE"""),"2019/11/07 14:40:00")</f>
        <v>2019/11/07 14:40:00</v>
      </c>
      <c r="F48" s="51" t="str">
        <f>IFERROR(__xludf.DUMMYFUNCTION("""COMPUTED_VALUE"""),"8ab58a18-3d4c-4d2b-8a8b-fe2983ab6113")</f>
        <v>8ab58a18-3d4c-4d2b-8a8b-fe2983ab6113</v>
      </c>
      <c r="G48" s="58">
        <f>IFERROR(__xludf.DUMMYFUNCTION("""COMPUTED_VALUE"""),43776.0)</f>
        <v>43776</v>
      </c>
      <c r="H48" s="60">
        <f>IFERROR(__xludf.DUMMYFUNCTION("""COMPUTED_VALUE"""),0.5972222222222222)</f>
        <v>0.5972222222</v>
      </c>
      <c r="I48" s="58">
        <f>IFERROR(__xludf.DUMMYFUNCTION("""COMPUTED_VALUE"""),43776.0)</f>
        <v>43776</v>
      </c>
      <c r="J48" s="60">
        <f>IFERROR(__xludf.DUMMYFUNCTION("""COMPUTED_VALUE"""),0.6111111111111112)</f>
        <v>0.6111111111</v>
      </c>
      <c r="K48" s="60">
        <f t="shared" si="1"/>
        <v>0.01388888889</v>
      </c>
      <c r="L48" s="51" t="s">
        <v>111</v>
      </c>
      <c r="M48" s="87" t="s">
        <v>833</v>
      </c>
      <c r="N48" s="51"/>
      <c r="O48" s="50"/>
      <c r="P48" s="50"/>
      <c r="Q48" s="63"/>
      <c r="R48" s="51"/>
      <c r="S48" s="51"/>
      <c r="T48" s="51"/>
    </row>
    <row r="49">
      <c r="A49" s="51" t="str">
        <f>IFERROR(__xludf.DUMMYFUNCTION("""COMPUTED_VALUE"""),"Reinvention through reinvestment")</f>
        <v>Reinvention through reinvestment</v>
      </c>
      <c r="B49" s="51" t="str">
        <f>IFERROR(__xludf.DUMMYFUNCTION("""COMPUTED_VALUE"""),"Corporate Innovation Summit")</f>
        <v>Corporate Innovation Summit</v>
      </c>
      <c r="C49" s="94" t="str">
        <f>IFERROR(__xludf.DUMMYFUNCTION("""COMPUTED_VALUE"""),"Rashmi Gopinath, Christina Bechhold Russ, Deborah Magid and James Mawson")</f>
        <v>Rashmi Gopinath, Christina Bechhold Russ, Deborah Magid and James Mawson</v>
      </c>
      <c r="D49" s="51" t="str">
        <f>IFERROR(__xludf.DUMMYFUNCTION("""COMPUTED_VALUE"""),"2019/11/07 14:40:00")</f>
        <v>2019/11/07 14:40:00</v>
      </c>
      <c r="E49" s="51" t="str">
        <f>IFERROR(__xludf.DUMMYFUNCTION("""COMPUTED_VALUE"""),"2019/11/07 15:00:00")</f>
        <v>2019/11/07 15:00:00</v>
      </c>
      <c r="F49" s="51" t="str">
        <f>IFERROR(__xludf.DUMMYFUNCTION("""COMPUTED_VALUE"""),"4c726b46-cb82-4053-907c-02bdbd8ead64")</f>
        <v>4c726b46-cb82-4053-907c-02bdbd8ead64</v>
      </c>
      <c r="G49" s="58">
        <f>IFERROR(__xludf.DUMMYFUNCTION("""COMPUTED_VALUE"""),43776.0)</f>
        <v>43776</v>
      </c>
      <c r="H49" s="60">
        <f>IFERROR(__xludf.DUMMYFUNCTION("""COMPUTED_VALUE"""),0.6111111111111112)</f>
        <v>0.6111111111</v>
      </c>
      <c r="I49" s="58">
        <f>IFERROR(__xludf.DUMMYFUNCTION("""COMPUTED_VALUE"""),43776.0)</f>
        <v>43776</v>
      </c>
      <c r="J49" s="60">
        <f>IFERROR(__xludf.DUMMYFUNCTION("""COMPUTED_VALUE"""),0.625)</f>
        <v>0.625</v>
      </c>
      <c r="K49" s="60">
        <f t="shared" si="1"/>
        <v>0.01388888889</v>
      </c>
      <c r="L49" s="51" t="s">
        <v>111</v>
      </c>
      <c r="M49" s="87" t="s">
        <v>835</v>
      </c>
      <c r="N49" s="51"/>
      <c r="O49" s="50"/>
      <c r="P49" s="50"/>
      <c r="Q49" s="63"/>
      <c r="R49" s="51"/>
      <c r="S49" s="51"/>
      <c r="T49" s="51"/>
    </row>
    <row r="50">
      <c r="A50" s="51" t="str">
        <f>IFERROR(__xludf.DUMMYFUNCTION("""COMPUTED_VALUE"""),"The technology fallacy ")</f>
        <v>The technology fallacy </v>
      </c>
      <c r="B50" s="51" t="str">
        <f>IFERROR(__xludf.DUMMYFUNCTION("""COMPUTED_VALUE"""),"Corporate Innovation Summit")</f>
        <v>Corporate Innovation Summit</v>
      </c>
      <c r="C50" s="94" t="str">
        <f>IFERROR(__xludf.DUMMYFUNCTION("""COMPUTED_VALUE"""),"Jacqui Canney, Gerald Kane and Paul Michelman")</f>
        <v>Jacqui Canney, Gerald Kane and Paul Michelman</v>
      </c>
      <c r="D50" s="51" t="str">
        <f>IFERROR(__xludf.DUMMYFUNCTION("""COMPUTED_VALUE"""),"2019/11/07 15:00:00")</f>
        <v>2019/11/07 15:00:00</v>
      </c>
      <c r="E50" s="51" t="str">
        <f>IFERROR(__xludf.DUMMYFUNCTION("""COMPUTED_VALUE"""),"2019/11/07 15:20:00")</f>
        <v>2019/11/07 15:20:00</v>
      </c>
      <c r="F50" s="51" t="str">
        <f>IFERROR(__xludf.DUMMYFUNCTION("""COMPUTED_VALUE"""),"bdc9a14d-8e63-47fc-acc6-e7a82cf37070")</f>
        <v>bdc9a14d-8e63-47fc-acc6-e7a82cf37070</v>
      </c>
      <c r="G50" s="58">
        <f>IFERROR(__xludf.DUMMYFUNCTION("""COMPUTED_VALUE"""),43776.0)</f>
        <v>43776</v>
      </c>
      <c r="H50" s="60">
        <f>IFERROR(__xludf.DUMMYFUNCTION("""COMPUTED_VALUE"""),0.625)</f>
        <v>0.625</v>
      </c>
      <c r="I50" s="58">
        <f>IFERROR(__xludf.DUMMYFUNCTION("""COMPUTED_VALUE"""),43776.0)</f>
        <v>43776</v>
      </c>
      <c r="J50" s="60">
        <f>IFERROR(__xludf.DUMMYFUNCTION("""COMPUTED_VALUE"""),0.6388888888888888)</f>
        <v>0.6388888889</v>
      </c>
      <c r="K50" s="60">
        <f t="shared" si="1"/>
        <v>0.01388888889</v>
      </c>
      <c r="L50" s="51" t="s">
        <v>111</v>
      </c>
      <c r="M50" s="87" t="s">
        <v>837</v>
      </c>
      <c r="N50" s="51"/>
      <c r="O50" s="50"/>
      <c r="P50" s="50"/>
      <c r="Q50" s="63"/>
      <c r="R50" s="51"/>
      <c r="S50" s="51"/>
      <c r="T50" s="51"/>
    </row>
    <row r="51">
      <c r="A51" s="51" t="str">
        <f>IFERROR(__xludf.DUMMYFUNCTION("""COMPUTED_VALUE"""),"Evolution through courageous choices")</f>
        <v>Evolution through courageous choices</v>
      </c>
      <c r="B51" s="51" t="str">
        <f>IFERROR(__xludf.DUMMYFUNCTION("""COMPUTED_VALUE"""),"Corporate Innovation Summit")</f>
        <v>Corporate Innovation Summit</v>
      </c>
      <c r="C51" s="94" t="str">
        <f>IFERROR(__xludf.DUMMYFUNCTION("""COMPUTED_VALUE"""),"Jeroen Tas")</f>
        <v>Jeroen Tas</v>
      </c>
      <c r="D51" s="51" t="str">
        <f>IFERROR(__xludf.DUMMYFUNCTION("""COMPUTED_VALUE"""),"2019/11/07 15:20:00")</f>
        <v>2019/11/07 15:20:00</v>
      </c>
      <c r="E51" s="51" t="str">
        <f>IFERROR(__xludf.DUMMYFUNCTION("""COMPUTED_VALUE"""),"2019/11/07 15:35:00")</f>
        <v>2019/11/07 15:35:00</v>
      </c>
      <c r="F51" s="51" t="str">
        <f>IFERROR(__xludf.DUMMYFUNCTION("""COMPUTED_VALUE"""),"2d0c7b07-11fc-414f-a6b6-65f15b697eb4")</f>
        <v>2d0c7b07-11fc-414f-a6b6-65f15b697eb4</v>
      </c>
      <c r="G51" s="58">
        <f>IFERROR(__xludf.DUMMYFUNCTION("""COMPUTED_VALUE"""),43776.0)</f>
        <v>43776</v>
      </c>
      <c r="H51" s="60">
        <f>IFERROR(__xludf.DUMMYFUNCTION("""COMPUTED_VALUE"""),0.6388888888888888)</f>
        <v>0.6388888889</v>
      </c>
      <c r="I51" s="58">
        <f>IFERROR(__xludf.DUMMYFUNCTION("""COMPUTED_VALUE"""),43776.0)</f>
        <v>43776</v>
      </c>
      <c r="J51" s="60">
        <f>IFERROR(__xludf.DUMMYFUNCTION("""COMPUTED_VALUE"""),0.6493055555555556)</f>
        <v>0.6493055556</v>
      </c>
      <c r="K51" s="60">
        <f t="shared" si="1"/>
        <v>0.01041666667</v>
      </c>
      <c r="L51" s="51" t="s">
        <v>116</v>
      </c>
      <c r="M51" s="87" t="s">
        <v>838</v>
      </c>
      <c r="N51" s="51"/>
      <c r="O51" s="50"/>
      <c r="P51" s="50"/>
      <c r="Q51" s="63"/>
      <c r="R51" s="51"/>
      <c r="S51" s="51"/>
      <c r="T51" s="51"/>
    </row>
    <row r="52">
      <c r="A52" s="51" t="str">
        <f>IFERROR(__xludf.DUMMYFUNCTION("""COMPUTED_VALUE"""),"Taking care of tomorrow")</f>
        <v>Taking care of tomorrow</v>
      </c>
      <c r="B52" s="51" t="str">
        <f>IFERROR(__xludf.DUMMYFUNCTION("""COMPUTED_VALUE"""),"Corporate Innovation Summit")</f>
        <v>Corporate Innovation Summit</v>
      </c>
      <c r="C52" s="94" t="str">
        <f>IFERROR(__xludf.DUMMYFUNCTION("""COMPUTED_VALUE"""),"Jeroen Tas, Saskia Steinacker and Paul Nuki")</f>
        <v>Jeroen Tas, Saskia Steinacker and Paul Nuki</v>
      </c>
      <c r="D52" s="51" t="str">
        <f>IFERROR(__xludf.DUMMYFUNCTION("""COMPUTED_VALUE"""),"2019/11/07 15:35:00")</f>
        <v>2019/11/07 15:35:00</v>
      </c>
      <c r="E52" s="51" t="str">
        <f>IFERROR(__xludf.DUMMYFUNCTION("""COMPUTED_VALUE"""),"2019/11/07 15:55:00")</f>
        <v>2019/11/07 15:55:00</v>
      </c>
      <c r="F52" s="51" t="str">
        <f>IFERROR(__xludf.DUMMYFUNCTION("""COMPUTED_VALUE"""),"31916c61-e7f5-4a42-9918-07d2fac5dfe2")</f>
        <v>31916c61-e7f5-4a42-9918-07d2fac5dfe2</v>
      </c>
      <c r="G52" s="58">
        <f>IFERROR(__xludf.DUMMYFUNCTION("""COMPUTED_VALUE"""),43776.0)</f>
        <v>43776</v>
      </c>
      <c r="H52" s="60">
        <f>IFERROR(__xludf.DUMMYFUNCTION("""COMPUTED_VALUE"""),0.6493055555555556)</f>
        <v>0.6493055556</v>
      </c>
      <c r="I52" s="58">
        <f>IFERROR(__xludf.DUMMYFUNCTION("""COMPUTED_VALUE"""),43776.0)</f>
        <v>43776</v>
      </c>
      <c r="J52" s="60">
        <f>IFERROR(__xludf.DUMMYFUNCTION("""COMPUTED_VALUE"""),0.6631944444444444)</f>
        <v>0.6631944444</v>
      </c>
      <c r="K52" s="60">
        <f t="shared" si="1"/>
        <v>0.01388888889</v>
      </c>
      <c r="L52" s="51" t="s">
        <v>111</v>
      </c>
      <c r="M52" s="87" t="s">
        <v>841</v>
      </c>
      <c r="N52" s="51"/>
      <c r="O52" s="50"/>
      <c r="P52" s="50"/>
      <c r="Q52" s="63"/>
      <c r="R52" s="51"/>
      <c r="S52" s="51"/>
      <c r="T52" s="51"/>
    </row>
    <row r="53">
      <c r="A53" s="51" t="str">
        <f>IFERROR(__xludf.DUMMYFUNCTION("""COMPUTED_VALUE"""),"Funding growth through innovation")</f>
        <v>Funding growth through innovation</v>
      </c>
      <c r="B53" s="51" t="str">
        <f>IFERROR(__xludf.DUMMYFUNCTION("""COMPUTED_VALUE"""),"Corporate Innovation Summit")</f>
        <v>Corporate Innovation Summit</v>
      </c>
      <c r="C53" s="94" t="str">
        <f>IFERROR(__xludf.DUMMYFUNCTION("""COMPUTED_VALUE"""),"Abdulaziz Bin Nasser Al-Khalifa, Emma Navarro and Nuno Fernandes")</f>
        <v>Abdulaziz Bin Nasser Al-Khalifa, Emma Navarro and Nuno Fernandes</v>
      </c>
      <c r="D53" s="51" t="str">
        <f>IFERROR(__xludf.DUMMYFUNCTION("""COMPUTED_VALUE"""),"2019/11/07 15:55:00")</f>
        <v>2019/11/07 15:55:00</v>
      </c>
      <c r="E53" s="51" t="str">
        <f>IFERROR(__xludf.DUMMYFUNCTION("""COMPUTED_VALUE"""),"2019/11/07 16:15:00")</f>
        <v>2019/11/07 16:15:00</v>
      </c>
      <c r="F53" s="51" t="str">
        <f>IFERROR(__xludf.DUMMYFUNCTION("""COMPUTED_VALUE"""),"e2b57d34-ddf4-4726-8d17-476e4dd618c9")</f>
        <v>e2b57d34-ddf4-4726-8d17-476e4dd618c9</v>
      </c>
      <c r="G53" s="58">
        <f>IFERROR(__xludf.DUMMYFUNCTION("""COMPUTED_VALUE"""),43776.0)</f>
        <v>43776</v>
      </c>
      <c r="H53" s="60">
        <f>IFERROR(__xludf.DUMMYFUNCTION("""COMPUTED_VALUE"""),0.6631944444444444)</f>
        <v>0.6631944444</v>
      </c>
      <c r="I53" s="58">
        <f>IFERROR(__xludf.DUMMYFUNCTION("""COMPUTED_VALUE"""),43776.0)</f>
        <v>43776</v>
      </c>
      <c r="J53" s="60">
        <f>IFERROR(__xludf.DUMMYFUNCTION("""COMPUTED_VALUE"""),0.6770833333333334)</f>
        <v>0.6770833333</v>
      </c>
      <c r="K53" s="60">
        <f t="shared" si="1"/>
        <v>0.01388888889</v>
      </c>
      <c r="L53" s="51" t="s">
        <v>111</v>
      </c>
      <c r="M53" s="87" t="s">
        <v>843</v>
      </c>
      <c r="N53" s="51"/>
      <c r="O53" s="50"/>
      <c r="P53" s="50"/>
      <c r="Q53" s="63"/>
      <c r="R53" s="51"/>
      <c r="S53" s="51"/>
      <c r="T53" s="51"/>
    </row>
    <row r="54">
      <c r="A54" s="51"/>
      <c r="B54" s="51"/>
      <c r="C54" s="94"/>
      <c r="D54" s="51"/>
      <c r="E54" s="51"/>
      <c r="F54" s="51"/>
      <c r="G54" s="51" t="str">
        <f>IFERROR(__xludf.DUMMYFUNCTION("""COMPUTED_VALUE"""),"#VALUE!")</f>
        <v>#VALUE!</v>
      </c>
      <c r="H54" s="51" t="str">
        <f>IFERROR(__xludf.DUMMYFUNCTION("""COMPUTED_VALUE"""),"")</f>
        <v/>
      </c>
      <c r="I54" s="51" t="str">
        <f>IFERROR(__xludf.DUMMYFUNCTION("""COMPUTED_VALUE"""),"#VALUE!")</f>
        <v>#VALUE!</v>
      </c>
      <c r="J54" s="51" t="str">
        <f>IFERROR(__xludf.DUMMYFUNCTION("""COMPUTED_VALUE"""),"")</f>
        <v/>
      </c>
      <c r="K54" s="51">
        <f t="shared" si="1"/>
        <v>0</v>
      </c>
      <c r="L54" s="51" t="s">
        <v>257</v>
      </c>
      <c r="M54" s="51"/>
      <c r="N54" s="51"/>
      <c r="O54" s="51"/>
      <c r="P54" s="51"/>
      <c r="Q54" s="51"/>
      <c r="R54" s="51"/>
      <c r="S54" s="51"/>
      <c r="T54" s="51"/>
    </row>
    <row r="55">
      <c r="A55" s="51"/>
      <c r="B55" s="51"/>
      <c r="C55" s="94"/>
      <c r="D55" s="51"/>
      <c r="E55" s="51"/>
      <c r="F55" s="51"/>
      <c r="G55" s="51" t="str">
        <f>IFERROR(__xludf.DUMMYFUNCTION("""COMPUTED_VALUE"""),"#VALUE!")</f>
        <v>#VALUE!</v>
      </c>
      <c r="H55" s="51" t="str">
        <f>IFERROR(__xludf.DUMMYFUNCTION("""COMPUTED_VALUE"""),"")</f>
        <v/>
      </c>
      <c r="I55" s="51" t="str">
        <f>IFERROR(__xludf.DUMMYFUNCTION("""COMPUTED_VALUE"""),"#VALUE!")</f>
        <v>#VALUE!</v>
      </c>
      <c r="J55" s="51" t="str">
        <f>IFERROR(__xludf.DUMMYFUNCTION("""COMPUTED_VALUE"""),"")</f>
        <v/>
      </c>
      <c r="K55" s="51">
        <f t="shared" si="1"/>
        <v>0</v>
      </c>
      <c r="L55" s="51" t="s">
        <v>257</v>
      </c>
      <c r="M55" s="51"/>
      <c r="N55" s="51"/>
      <c r="O55" s="51"/>
      <c r="P55" s="51"/>
      <c r="Q55" s="51"/>
      <c r="R55" s="51"/>
      <c r="S55" s="51"/>
      <c r="T55" s="51"/>
    </row>
    <row r="56">
      <c r="A56" s="51"/>
      <c r="B56" s="51"/>
      <c r="C56" s="94"/>
      <c r="D56" s="51"/>
      <c r="E56" s="51"/>
      <c r="F56" s="51"/>
      <c r="G56" s="51" t="str">
        <f>IFERROR(__xludf.DUMMYFUNCTION("""COMPUTED_VALUE"""),"#VALUE!")</f>
        <v>#VALUE!</v>
      </c>
      <c r="H56" s="51" t="str">
        <f>IFERROR(__xludf.DUMMYFUNCTION("""COMPUTED_VALUE"""),"")</f>
        <v/>
      </c>
      <c r="I56" s="51" t="str">
        <f>IFERROR(__xludf.DUMMYFUNCTION("""COMPUTED_VALUE"""),"#VALUE!")</f>
        <v>#VALUE!</v>
      </c>
      <c r="J56" s="51" t="str">
        <f>IFERROR(__xludf.DUMMYFUNCTION("""COMPUTED_VALUE"""),"")</f>
        <v/>
      </c>
      <c r="K56" s="51">
        <f t="shared" si="1"/>
        <v>0</v>
      </c>
      <c r="L56" s="51" t="s">
        <v>257</v>
      </c>
      <c r="M56" s="51"/>
      <c r="N56" s="51"/>
      <c r="O56" s="51"/>
      <c r="P56" s="51"/>
      <c r="Q56" s="51"/>
      <c r="R56" s="51"/>
      <c r="S56" s="51"/>
      <c r="T56" s="51"/>
    </row>
    <row r="57">
      <c r="A57" s="51"/>
      <c r="B57" s="51"/>
      <c r="C57" s="94"/>
      <c r="D57" s="51"/>
      <c r="E57" s="51"/>
      <c r="F57" s="51"/>
      <c r="G57" s="51" t="str">
        <f>IFERROR(__xludf.DUMMYFUNCTION("""COMPUTED_VALUE"""),"#VALUE!")</f>
        <v>#VALUE!</v>
      </c>
      <c r="H57" s="51" t="str">
        <f>IFERROR(__xludf.DUMMYFUNCTION("""COMPUTED_VALUE"""),"")</f>
        <v/>
      </c>
      <c r="I57" s="51" t="str">
        <f>IFERROR(__xludf.DUMMYFUNCTION("""COMPUTED_VALUE"""),"#VALUE!")</f>
        <v>#VALUE!</v>
      </c>
      <c r="J57" s="51" t="str">
        <f>IFERROR(__xludf.DUMMYFUNCTION("""COMPUTED_VALUE"""),"")</f>
        <v/>
      </c>
      <c r="K57" s="51">
        <f t="shared" si="1"/>
        <v>0</v>
      </c>
      <c r="L57" s="51" t="s">
        <v>257</v>
      </c>
      <c r="M57" s="51"/>
      <c r="N57" s="51"/>
      <c r="O57" s="51"/>
      <c r="P57" s="51"/>
      <c r="Q57" s="51"/>
      <c r="R57" s="51"/>
      <c r="S57" s="51"/>
      <c r="T57" s="51"/>
    </row>
    <row r="58">
      <c r="A58" s="51"/>
      <c r="B58" s="51"/>
      <c r="C58" s="94"/>
      <c r="D58" s="51"/>
      <c r="E58" s="51"/>
      <c r="F58" s="51"/>
      <c r="G58" s="51" t="str">
        <f>IFERROR(__xludf.DUMMYFUNCTION("""COMPUTED_VALUE"""),"#VALUE!")</f>
        <v>#VALUE!</v>
      </c>
      <c r="H58" s="51" t="str">
        <f>IFERROR(__xludf.DUMMYFUNCTION("""COMPUTED_VALUE"""),"")</f>
        <v/>
      </c>
      <c r="I58" s="51" t="str">
        <f>IFERROR(__xludf.DUMMYFUNCTION("""COMPUTED_VALUE"""),"#VALUE!")</f>
        <v>#VALUE!</v>
      </c>
      <c r="J58" s="51" t="str">
        <f>IFERROR(__xludf.DUMMYFUNCTION("""COMPUTED_VALUE"""),"")</f>
        <v/>
      </c>
      <c r="K58" s="51">
        <f t="shared" si="1"/>
        <v>0</v>
      </c>
      <c r="L58" s="51" t="s">
        <v>257</v>
      </c>
      <c r="M58" s="51"/>
      <c r="N58" s="51"/>
      <c r="O58" s="51"/>
      <c r="P58" s="51"/>
      <c r="Q58" s="51"/>
      <c r="R58" s="51"/>
      <c r="S58" s="51"/>
      <c r="T58" s="51"/>
    </row>
    <row r="59">
      <c r="A59" s="51"/>
      <c r="B59" s="51"/>
      <c r="C59" s="94"/>
      <c r="D59" s="51"/>
      <c r="E59" s="51"/>
      <c r="F59" s="51"/>
      <c r="G59" s="51" t="str">
        <f>IFERROR(__xludf.DUMMYFUNCTION("""COMPUTED_VALUE"""),"#VALUE!")</f>
        <v>#VALUE!</v>
      </c>
      <c r="H59" s="51" t="str">
        <f>IFERROR(__xludf.DUMMYFUNCTION("""COMPUTED_VALUE"""),"")</f>
        <v/>
      </c>
      <c r="I59" s="51" t="str">
        <f>IFERROR(__xludf.DUMMYFUNCTION("""COMPUTED_VALUE"""),"#VALUE!")</f>
        <v>#VALUE!</v>
      </c>
      <c r="J59" s="51" t="str">
        <f>IFERROR(__xludf.DUMMYFUNCTION("""COMPUTED_VALUE"""),"")</f>
        <v/>
      </c>
      <c r="K59" s="51">
        <f t="shared" si="1"/>
        <v>0</v>
      </c>
      <c r="L59" s="51" t="s">
        <v>257</v>
      </c>
      <c r="M59" s="51"/>
      <c r="N59" s="51"/>
      <c r="O59" s="51"/>
      <c r="P59" s="51"/>
      <c r="Q59" s="51"/>
      <c r="R59" s="51"/>
      <c r="S59" s="51"/>
      <c r="T59" s="51"/>
    </row>
    <row r="60">
      <c r="A60" s="51"/>
      <c r="B60" s="51"/>
      <c r="C60" s="94"/>
      <c r="D60" s="51"/>
      <c r="E60" s="51"/>
      <c r="F60" s="51"/>
      <c r="G60" s="51" t="str">
        <f>IFERROR(__xludf.DUMMYFUNCTION("""COMPUTED_VALUE"""),"#VALUE!")</f>
        <v>#VALUE!</v>
      </c>
      <c r="H60" s="51" t="str">
        <f>IFERROR(__xludf.DUMMYFUNCTION("""COMPUTED_VALUE"""),"")</f>
        <v/>
      </c>
      <c r="I60" s="51" t="str">
        <f>IFERROR(__xludf.DUMMYFUNCTION("""COMPUTED_VALUE"""),"#VALUE!")</f>
        <v>#VALUE!</v>
      </c>
      <c r="J60" s="51" t="str">
        <f>IFERROR(__xludf.DUMMYFUNCTION("""COMPUTED_VALUE"""),"")</f>
        <v/>
      </c>
      <c r="K60" s="51">
        <f t="shared" si="1"/>
        <v>0</v>
      </c>
      <c r="L60" s="51" t="s">
        <v>257</v>
      </c>
      <c r="M60" s="51"/>
      <c r="N60" s="51"/>
      <c r="O60" s="51"/>
      <c r="P60" s="51"/>
      <c r="Q60" s="51"/>
      <c r="R60" s="51"/>
      <c r="S60" s="51"/>
      <c r="T60" s="51"/>
    </row>
    <row r="61">
      <c r="A61" s="51"/>
      <c r="B61" s="51"/>
      <c r="C61" s="94"/>
      <c r="D61" s="51"/>
      <c r="E61" s="51"/>
      <c r="F61" s="51"/>
      <c r="G61" s="51" t="str">
        <f>IFERROR(__xludf.DUMMYFUNCTION("""COMPUTED_VALUE"""),"#VALUE!")</f>
        <v>#VALUE!</v>
      </c>
      <c r="H61" s="51" t="str">
        <f>IFERROR(__xludf.DUMMYFUNCTION("""COMPUTED_VALUE"""),"")</f>
        <v/>
      </c>
      <c r="I61" s="51" t="str">
        <f>IFERROR(__xludf.DUMMYFUNCTION("""COMPUTED_VALUE"""),"#VALUE!")</f>
        <v>#VALUE!</v>
      </c>
      <c r="J61" s="51" t="str">
        <f>IFERROR(__xludf.DUMMYFUNCTION("""COMPUTED_VALUE"""),"")</f>
        <v/>
      </c>
      <c r="K61" s="51">
        <f t="shared" si="1"/>
        <v>0</v>
      </c>
      <c r="L61" s="51" t="s">
        <v>257</v>
      </c>
      <c r="M61" s="51"/>
      <c r="N61" s="51"/>
      <c r="O61" s="51"/>
      <c r="P61" s="51"/>
      <c r="Q61" s="51"/>
      <c r="R61" s="51"/>
      <c r="S61" s="51"/>
      <c r="T61" s="51"/>
    </row>
    <row r="62">
      <c r="A62" s="51"/>
      <c r="B62" s="51"/>
      <c r="C62" s="94"/>
      <c r="D62" s="51"/>
      <c r="E62" s="51"/>
      <c r="F62" s="51"/>
      <c r="G62" s="51" t="str">
        <f>IFERROR(__xludf.DUMMYFUNCTION("""COMPUTED_VALUE"""),"#VALUE!")</f>
        <v>#VALUE!</v>
      </c>
      <c r="H62" s="51" t="str">
        <f>IFERROR(__xludf.DUMMYFUNCTION("""COMPUTED_VALUE"""),"")</f>
        <v/>
      </c>
      <c r="I62" s="51" t="str">
        <f>IFERROR(__xludf.DUMMYFUNCTION("""COMPUTED_VALUE"""),"#VALUE!")</f>
        <v>#VALUE!</v>
      </c>
      <c r="J62" s="51" t="str">
        <f>IFERROR(__xludf.DUMMYFUNCTION("""COMPUTED_VALUE"""),"")</f>
        <v/>
      </c>
      <c r="K62" s="51">
        <f t="shared" si="1"/>
        <v>0</v>
      </c>
      <c r="L62" s="51" t="s">
        <v>257</v>
      </c>
      <c r="M62" s="51"/>
      <c r="N62" s="51"/>
      <c r="O62" s="51"/>
      <c r="P62" s="51"/>
      <c r="Q62" s="51"/>
      <c r="R62" s="51"/>
      <c r="S62" s="51"/>
      <c r="T62" s="51"/>
    </row>
    <row r="63">
      <c r="A63" s="51"/>
      <c r="B63" s="51"/>
      <c r="C63" s="94"/>
      <c r="D63" s="51"/>
      <c r="E63" s="51"/>
      <c r="F63" s="51"/>
      <c r="G63" s="51" t="str">
        <f>IFERROR(__xludf.DUMMYFUNCTION("""COMPUTED_VALUE"""),"#VALUE!")</f>
        <v>#VALUE!</v>
      </c>
      <c r="H63" s="51" t="str">
        <f>IFERROR(__xludf.DUMMYFUNCTION("""COMPUTED_VALUE"""),"")</f>
        <v/>
      </c>
      <c r="I63" s="51" t="str">
        <f>IFERROR(__xludf.DUMMYFUNCTION("""COMPUTED_VALUE"""),"#VALUE!")</f>
        <v>#VALUE!</v>
      </c>
      <c r="J63" s="51" t="str">
        <f>IFERROR(__xludf.DUMMYFUNCTION("""COMPUTED_VALUE"""),"")</f>
        <v/>
      </c>
      <c r="K63" s="51">
        <f t="shared" si="1"/>
        <v>0</v>
      </c>
      <c r="L63" s="51" t="s">
        <v>257</v>
      </c>
      <c r="M63" s="51"/>
      <c r="N63" s="51"/>
      <c r="O63" s="51"/>
      <c r="P63" s="51"/>
      <c r="Q63" s="51"/>
      <c r="R63" s="51"/>
      <c r="S63" s="51"/>
      <c r="T63" s="51"/>
    </row>
    <row r="64">
      <c r="A64" s="51"/>
      <c r="B64" s="51"/>
      <c r="C64" s="94"/>
      <c r="D64" s="51"/>
      <c r="E64" s="51"/>
      <c r="F64" s="51"/>
      <c r="G64" s="51" t="str">
        <f>IFERROR(__xludf.DUMMYFUNCTION("""COMPUTED_VALUE"""),"#VALUE!")</f>
        <v>#VALUE!</v>
      </c>
      <c r="H64" s="51" t="str">
        <f>IFERROR(__xludf.DUMMYFUNCTION("""COMPUTED_VALUE"""),"")</f>
        <v/>
      </c>
      <c r="I64" s="51" t="str">
        <f>IFERROR(__xludf.DUMMYFUNCTION("""COMPUTED_VALUE"""),"#VALUE!")</f>
        <v>#VALUE!</v>
      </c>
      <c r="J64" s="51" t="str">
        <f>IFERROR(__xludf.DUMMYFUNCTION("""COMPUTED_VALUE"""),"")</f>
        <v/>
      </c>
      <c r="K64" s="51">
        <f t="shared" si="1"/>
        <v>0</v>
      </c>
      <c r="L64" s="51" t="s">
        <v>257</v>
      </c>
      <c r="M64" s="51"/>
      <c r="N64" s="51"/>
      <c r="O64" s="51"/>
      <c r="P64" s="51"/>
      <c r="Q64" s="51"/>
      <c r="R64" s="51"/>
      <c r="S64" s="51"/>
      <c r="T64" s="51"/>
    </row>
    <row r="65">
      <c r="A65" s="51"/>
      <c r="B65" s="51"/>
      <c r="C65" s="94"/>
      <c r="D65" s="51"/>
      <c r="E65" s="51"/>
      <c r="F65" s="51"/>
      <c r="G65" s="51" t="str">
        <f>IFERROR(__xludf.DUMMYFUNCTION("""COMPUTED_VALUE"""),"#VALUE!")</f>
        <v>#VALUE!</v>
      </c>
      <c r="H65" s="51" t="str">
        <f>IFERROR(__xludf.DUMMYFUNCTION("""COMPUTED_VALUE"""),"")</f>
        <v/>
      </c>
      <c r="I65" s="51" t="str">
        <f>IFERROR(__xludf.DUMMYFUNCTION("""COMPUTED_VALUE"""),"#VALUE!")</f>
        <v>#VALUE!</v>
      </c>
      <c r="J65" s="51" t="str">
        <f>IFERROR(__xludf.DUMMYFUNCTION("""COMPUTED_VALUE"""),"")</f>
        <v/>
      </c>
      <c r="K65" s="51">
        <f t="shared" si="1"/>
        <v>0</v>
      </c>
      <c r="L65" s="51" t="s">
        <v>257</v>
      </c>
      <c r="M65" s="51"/>
      <c r="N65" s="51"/>
      <c r="O65" s="51"/>
      <c r="P65" s="51"/>
      <c r="Q65" s="51"/>
      <c r="R65" s="51"/>
      <c r="S65" s="51"/>
      <c r="T65" s="51"/>
    </row>
    <row r="66">
      <c r="A66" s="51"/>
      <c r="B66" s="51"/>
      <c r="C66" s="94"/>
      <c r="D66" s="51"/>
      <c r="E66" s="51"/>
      <c r="F66" s="51"/>
      <c r="G66" s="51" t="str">
        <f>IFERROR(__xludf.DUMMYFUNCTION("""COMPUTED_VALUE"""),"#VALUE!")</f>
        <v>#VALUE!</v>
      </c>
      <c r="H66" s="51" t="str">
        <f>IFERROR(__xludf.DUMMYFUNCTION("""COMPUTED_VALUE"""),"")</f>
        <v/>
      </c>
      <c r="I66" s="51" t="str">
        <f>IFERROR(__xludf.DUMMYFUNCTION("""COMPUTED_VALUE"""),"#VALUE!")</f>
        <v>#VALUE!</v>
      </c>
      <c r="J66" s="51" t="str">
        <f>IFERROR(__xludf.DUMMYFUNCTION("""COMPUTED_VALUE"""),"")</f>
        <v/>
      </c>
      <c r="K66" s="51">
        <f t="shared" si="1"/>
        <v>0</v>
      </c>
      <c r="L66" s="51" t="s">
        <v>257</v>
      </c>
      <c r="M66" s="51"/>
      <c r="N66" s="51"/>
      <c r="O66" s="51"/>
      <c r="P66" s="51"/>
      <c r="Q66" s="51"/>
      <c r="R66" s="51"/>
      <c r="S66" s="51"/>
      <c r="T66" s="51"/>
    </row>
    <row r="67">
      <c r="A67" s="51"/>
      <c r="B67" s="51"/>
      <c r="C67" s="94"/>
      <c r="D67" s="51"/>
      <c r="E67" s="51"/>
      <c r="F67" s="51"/>
      <c r="G67" s="51" t="str">
        <f>IFERROR(__xludf.DUMMYFUNCTION("""COMPUTED_VALUE"""),"#VALUE!")</f>
        <v>#VALUE!</v>
      </c>
      <c r="H67" s="51" t="str">
        <f>IFERROR(__xludf.DUMMYFUNCTION("""COMPUTED_VALUE"""),"")</f>
        <v/>
      </c>
      <c r="I67" s="51" t="str">
        <f>IFERROR(__xludf.DUMMYFUNCTION("""COMPUTED_VALUE"""),"#VALUE!")</f>
        <v>#VALUE!</v>
      </c>
      <c r="J67" s="51" t="str">
        <f>IFERROR(__xludf.DUMMYFUNCTION("""COMPUTED_VALUE"""),"")</f>
        <v/>
      </c>
      <c r="K67" s="51">
        <f t="shared" si="1"/>
        <v>0</v>
      </c>
      <c r="L67" s="51" t="s">
        <v>257</v>
      </c>
      <c r="M67" s="51"/>
      <c r="N67" s="51"/>
      <c r="O67" s="51"/>
      <c r="P67" s="51"/>
      <c r="Q67" s="51"/>
      <c r="R67" s="51"/>
      <c r="S67" s="51"/>
      <c r="T67" s="51"/>
    </row>
    <row r="68">
      <c r="A68" s="51"/>
      <c r="B68" s="51"/>
      <c r="C68" s="94"/>
      <c r="D68" s="51"/>
      <c r="E68" s="51"/>
      <c r="F68" s="51"/>
      <c r="G68" s="51" t="str">
        <f>IFERROR(__xludf.DUMMYFUNCTION("""COMPUTED_VALUE"""),"#VALUE!")</f>
        <v>#VALUE!</v>
      </c>
      <c r="H68" s="51" t="str">
        <f>IFERROR(__xludf.DUMMYFUNCTION("""COMPUTED_VALUE"""),"")</f>
        <v/>
      </c>
      <c r="I68" s="51" t="str">
        <f>IFERROR(__xludf.DUMMYFUNCTION("""COMPUTED_VALUE"""),"#VALUE!")</f>
        <v>#VALUE!</v>
      </c>
      <c r="J68" s="51" t="str">
        <f>IFERROR(__xludf.DUMMYFUNCTION("""COMPUTED_VALUE"""),"")</f>
        <v/>
      </c>
      <c r="K68" s="51"/>
      <c r="L68" s="51" t="s">
        <v>257</v>
      </c>
      <c r="M68" s="51"/>
      <c r="N68" s="51"/>
      <c r="O68" s="51"/>
      <c r="P68" s="51"/>
      <c r="Q68" s="51"/>
      <c r="R68" s="51"/>
      <c r="S68" s="51"/>
      <c r="T68" s="51"/>
    </row>
    <row r="69">
      <c r="A69" s="51"/>
      <c r="B69" s="51"/>
      <c r="C69" s="94"/>
      <c r="D69" s="51"/>
      <c r="E69" s="51"/>
      <c r="F69" s="51"/>
      <c r="G69" s="51" t="str">
        <f>IFERROR(__xludf.DUMMYFUNCTION("""COMPUTED_VALUE"""),"#VALUE!")</f>
        <v>#VALUE!</v>
      </c>
      <c r="H69" s="51" t="str">
        <f>IFERROR(__xludf.DUMMYFUNCTION("""COMPUTED_VALUE"""),"")</f>
        <v/>
      </c>
      <c r="I69" s="51" t="str">
        <f>IFERROR(__xludf.DUMMYFUNCTION("""COMPUTED_VALUE"""),"#VALUE!")</f>
        <v>#VALUE!</v>
      </c>
      <c r="J69" s="51" t="str">
        <f>IFERROR(__xludf.DUMMYFUNCTION("""COMPUTED_VALUE"""),"")</f>
        <v/>
      </c>
      <c r="K69" s="51"/>
      <c r="L69" s="51" t="s">
        <v>257</v>
      </c>
      <c r="M69" s="51"/>
      <c r="N69" s="51"/>
      <c r="O69" s="51"/>
      <c r="P69" s="51"/>
      <c r="Q69" s="51"/>
      <c r="R69" s="51"/>
      <c r="S69" s="51"/>
      <c r="T69" s="51"/>
    </row>
    <row r="70">
      <c r="A70" s="51"/>
      <c r="B70" s="51"/>
      <c r="C70" s="94"/>
      <c r="D70" s="51"/>
      <c r="E70" s="51"/>
      <c r="F70" s="51"/>
      <c r="G70" s="51" t="str">
        <f>IFERROR(__xludf.DUMMYFUNCTION("""COMPUTED_VALUE"""),"#VALUE!")</f>
        <v>#VALUE!</v>
      </c>
      <c r="H70" s="51" t="str">
        <f>IFERROR(__xludf.DUMMYFUNCTION("""COMPUTED_VALUE"""),"")</f>
        <v/>
      </c>
      <c r="I70" s="51" t="str">
        <f>IFERROR(__xludf.DUMMYFUNCTION("""COMPUTED_VALUE"""),"#VALUE!")</f>
        <v>#VALUE!</v>
      </c>
      <c r="J70" s="51" t="str">
        <f>IFERROR(__xludf.DUMMYFUNCTION("""COMPUTED_VALUE"""),"")</f>
        <v/>
      </c>
      <c r="K70" s="51"/>
      <c r="L70" s="51" t="s">
        <v>257</v>
      </c>
      <c r="M70" s="51"/>
      <c r="N70" s="51"/>
      <c r="O70" s="51"/>
      <c r="P70" s="51"/>
      <c r="Q70" s="51"/>
      <c r="R70" s="51"/>
      <c r="S70" s="51"/>
      <c r="T70" s="51"/>
    </row>
    <row r="71">
      <c r="A71" s="51"/>
      <c r="B71" s="51"/>
      <c r="C71" s="94"/>
      <c r="D71" s="51"/>
      <c r="E71" s="51"/>
      <c r="F71" s="51"/>
      <c r="G71" s="51" t="str">
        <f>IFERROR(__xludf.DUMMYFUNCTION("""COMPUTED_VALUE"""),"#VALUE!")</f>
        <v>#VALUE!</v>
      </c>
      <c r="H71" s="51" t="str">
        <f>IFERROR(__xludf.DUMMYFUNCTION("""COMPUTED_VALUE"""),"")</f>
        <v/>
      </c>
      <c r="I71" s="51" t="str">
        <f>IFERROR(__xludf.DUMMYFUNCTION("""COMPUTED_VALUE"""),"#VALUE!")</f>
        <v>#VALUE!</v>
      </c>
      <c r="J71" s="51" t="str">
        <f>IFERROR(__xludf.DUMMYFUNCTION("""COMPUTED_VALUE"""),"")</f>
        <v/>
      </c>
      <c r="K71" s="51"/>
      <c r="L71" s="51" t="s">
        <v>257</v>
      </c>
      <c r="M71" s="51"/>
      <c r="N71" s="51"/>
      <c r="O71" s="51"/>
      <c r="P71" s="51"/>
      <c r="Q71" s="51"/>
      <c r="R71" s="51"/>
      <c r="S71" s="51"/>
      <c r="T71" s="51"/>
    </row>
    <row r="72">
      <c r="A72" s="51"/>
      <c r="B72" s="51"/>
      <c r="C72" s="94"/>
      <c r="D72" s="51"/>
      <c r="E72" s="51"/>
      <c r="F72" s="51"/>
      <c r="G72" s="51" t="str">
        <f>IFERROR(__xludf.DUMMYFUNCTION("""COMPUTED_VALUE"""),"#VALUE!")</f>
        <v>#VALUE!</v>
      </c>
      <c r="H72" s="51" t="str">
        <f>IFERROR(__xludf.DUMMYFUNCTION("""COMPUTED_VALUE"""),"")</f>
        <v/>
      </c>
      <c r="I72" s="51" t="str">
        <f>IFERROR(__xludf.DUMMYFUNCTION("""COMPUTED_VALUE"""),"#VALUE!")</f>
        <v>#VALUE!</v>
      </c>
      <c r="J72" s="51" t="str">
        <f>IFERROR(__xludf.DUMMYFUNCTION("""COMPUTED_VALUE"""),"")</f>
        <v/>
      </c>
      <c r="K72" s="51"/>
      <c r="L72" s="51" t="s">
        <v>257</v>
      </c>
      <c r="M72" s="51"/>
      <c r="N72" s="51"/>
      <c r="O72" s="51"/>
      <c r="P72" s="51"/>
      <c r="Q72" s="51"/>
      <c r="R72" s="51"/>
      <c r="S72" s="51"/>
      <c r="T72" s="51"/>
    </row>
    <row r="73">
      <c r="A73" s="51"/>
      <c r="B73" s="51"/>
      <c r="C73" s="94"/>
      <c r="D73" s="51"/>
      <c r="E73" s="51"/>
      <c r="F73" s="51"/>
      <c r="G73" s="51" t="str">
        <f>IFERROR(__xludf.DUMMYFUNCTION("""COMPUTED_VALUE"""),"#VALUE!")</f>
        <v>#VALUE!</v>
      </c>
      <c r="H73" s="51" t="str">
        <f>IFERROR(__xludf.DUMMYFUNCTION("""COMPUTED_VALUE"""),"")</f>
        <v/>
      </c>
      <c r="I73" s="51" t="str">
        <f>IFERROR(__xludf.DUMMYFUNCTION("""COMPUTED_VALUE"""),"#VALUE!")</f>
        <v>#VALUE!</v>
      </c>
      <c r="J73" s="51" t="str">
        <f>IFERROR(__xludf.DUMMYFUNCTION("""COMPUTED_VALUE"""),"")</f>
        <v/>
      </c>
      <c r="K73" s="51"/>
      <c r="L73" s="51" t="s">
        <v>257</v>
      </c>
      <c r="M73" s="51"/>
      <c r="N73" s="51"/>
      <c r="O73" s="51"/>
      <c r="P73" s="51"/>
      <c r="Q73" s="51"/>
      <c r="R73" s="51"/>
      <c r="S73" s="51"/>
      <c r="T73" s="51"/>
    </row>
    <row r="74">
      <c r="A74" s="51"/>
      <c r="B74" s="51"/>
      <c r="C74" s="94"/>
      <c r="D74" s="51"/>
      <c r="E74" s="51"/>
      <c r="F74" s="51"/>
      <c r="G74" s="51" t="str">
        <f>IFERROR(__xludf.DUMMYFUNCTION("""COMPUTED_VALUE"""),"#VALUE!")</f>
        <v>#VALUE!</v>
      </c>
      <c r="H74" s="51" t="str">
        <f>IFERROR(__xludf.DUMMYFUNCTION("""COMPUTED_VALUE"""),"")</f>
        <v/>
      </c>
      <c r="I74" s="51" t="str">
        <f>IFERROR(__xludf.DUMMYFUNCTION("""COMPUTED_VALUE"""),"#VALUE!")</f>
        <v>#VALUE!</v>
      </c>
      <c r="J74" s="51" t="str">
        <f>IFERROR(__xludf.DUMMYFUNCTION("""COMPUTED_VALUE"""),"")</f>
        <v/>
      </c>
      <c r="K74" s="51"/>
      <c r="L74" s="51" t="s">
        <v>257</v>
      </c>
      <c r="M74" s="51"/>
      <c r="N74" s="51"/>
      <c r="O74" s="51"/>
      <c r="P74" s="51"/>
      <c r="Q74" s="51"/>
      <c r="R74" s="51"/>
      <c r="S74" s="51"/>
      <c r="T74" s="51"/>
    </row>
    <row r="75">
      <c r="A75" s="51"/>
      <c r="B75" s="51"/>
      <c r="C75" s="94"/>
      <c r="D75" s="51"/>
      <c r="E75" s="51"/>
      <c r="F75" s="51"/>
      <c r="G75" s="51" t="str">
        <f>IFERROR(__xludf.DUMMYFUNCTION("""COMPUTED_VALUE"""),"#VALUE!")</f>
        <v>#VALUE!</v>
      </c>
      <c r="H75" s="51" t="str">
        <f>IFERROR(__xludf.DUMMYFUNCTION("""COMPUTED_VALUE"""),"")</f>
        <v/>
      </c>
      <c r="I75" s="51" t="str">
        <f>IFERROR(__xludf.DUMMYFUNCTION("""COMPUTED_VALUE"""),"#VALUE!")</f>
        <v>#VALUE!</v>
      </c>
      <c r="J75" s="51" t="str">
        <f>IFERROR(__xludf.DUMMYFUNCTION("""COMPUTED_VALUE"""),"")</f>
        <v/>
      </c>
      <c r="K75" s="51"/>
      <c r="L75" s="51" t="s">
        <v>257</v>
      </c>
      <c r="M75" s="51"/>
      <c r="N75" s="51"/>
      <c r="O75" s="51"/>
      <c r="P75" s="51"/>
      <c r="Q75" s="51"/>
      <c r="R75" s="51"/>
      <c r="S75" s="51"/>
      <c r="T75" s="51"/>
    </row>
    <row r="76">
      <c r="A76" s="51"/>
      <c r="B76" s="51"/>
      <c r="C76" s="94"/>
      <c r="D76" s="51"/>
      <c r="E76" s="51"/>
      <c r="F76" s="51"/>
      <c r="G76" s="51" t="str">
        <f>IFERROR(__xludf.DUMMYFUNCTION("""COMPUTED_VALUE"""),"#VALUE!")</f>
        <v>#VALUE!</v>
      </c>
      <c r="H76" s="51" t="str">
        <f>IFERROR(__xludf.DUMMYFUNCTION("""COMPUTED_VALUE"""),"")</f>
        <v/>
      </c>
      <c r="I76" s="51" t="str">
        <f>IFERROR(__xludf.DUMMYFUNCTION("""COMPUTED_VALUE"""),"#VALUE!")</f>
        <v>#VALUE!</v>
      </c>
      <c r="J76" s="51" t="str">
        <f>IFERROR(__xludf.DUMMYFUNCTION("""COMPUTED_VALUE"""),"")</f>
        <v/>
      </c>
      <c r="K76" s="51"/>
      <c r="L76" s="51" t="s">
        <v>257</v>
      </c>
      <c r="M76" s="51"/>
      <c r="N76" s="51"/>
      <c r="O76" s="51"/>
      <c r="P76" s="51"/>
      <c r="Q76" s="51"/>
      <c r="R76" s="51"/>
      <c r="S76" s="51"/>
      <c r="T76" s="51"/>
    </row>
    <row r="77">
      <c r="A77" s="51"/>
      <c r="B77" s="51"/>
      <c r="C77" s="94"/>
      <c r="D77" s="51"/>
      <c r="E77" s="51"/>
      <c r="F77" s="51"/>
      <c r="G77" s="51" t="str">
        <f>IFERROR(__xludf.DUMMYFUNCTION("""COMPUTED_VALUE"""),"#VALUE!")</f>
        <v>#VALUE!</v>
      </c>
      <c r="H77" s="51" t="str">
        <f>IFERROR(__xludf.DUMMYFUNCTION("""COMPUTED_VALUE"""),"")</f>
        <v/>
      </c>
      <c r="I77" s="51" t="str">
        <f>IFERROR(__xludf.DUMMYFUNCTION("""COMPUTED_VALUE"""),"#VALUE!")</f>
        <v>#VALUE!</v>
      </c>
      <c r="J77" s="51" t="str">
        <f>IFERROR(__xludf.DUMMYFUNCTION("""COMPUTED_VALUE"""),"")</f>
        <v/>
      </c>
      <c r="K77" s="51"/>
      <c r="L77" s="51" t="s">
        <v>257</v>
      </c>
      <c r="M77" s="51"/>
      <c r="N77" s="51"/>
      <c r="O77" s="51"/>
      <c r="P77" s="51"/>
      <c r="Q77" s="51"/>
      <c r="R77" s="51"/>
      <c r="S77" s="51"/>
      <c r="T77" s="51"/>
    </row>
    <row r="78">
      <c r="A78" s="51"/>
      <c r="B78" s="51"/>
      <c r="C78" s="94"/>
      <c r="D78" s="51"/>
      <c r="E78" s="51"/>
      <c r="F78" s="51"/>
      <c r="G78" s="51" t="str">
        <f>IFERROR(__xludf.DUMMYFUNCTION("""COMPUTED_VALUE"""),"#VALUE!")</f>
        <v>#VALUE!</v>
      </c>
      <c r="H78" s="51" t="str">
        <f>IFERROR(__xludf.DUMMYFUNCTION("""COMPUTED_VALUE"""),"")</f>
        <v/>
      </c>
      <c r="I78" s="51" t="str">
        <f>IFERROR(__xludf.DUMMYFUNCTION("""COMPUTED_VALUE"""),"#VALUE!")</f>
        <v>#VALUE!</v>
      </c>
      <c r="J78" s="51" t="str">
        <f>IFERROR(__xludf.DUMMYFUNCTION("""COMPUTED_VALUE"""),"")</f>
        <v/>
      </c>
      <c r="K78" s="51"/>
      <c r="L78" s="51" t="s">
        <v>257</v>
      </c>
      <c r="M78" s="51"/>
      <c r="N78" s="51"/>
      <c r="O78" s="51"/>
      <c r="P78" s="51"/>
      <c r="Q78" s="51"/>
      <c r="R78" s="51"/>
      <c r="S78" s="51"/>
      <c r="T78" s="51"/>
    </row>
    <row r="79">
      <c r="A79" s="51"/>
      <c r="B79" s="51"/>
      <c r="C79" s="94"/>
      <c r="D79" s="51"/>
      <c r="E79" s="51"/>
      <c r="F79" s="51"/>
      <c r="G79" s="51" t="str">
        <f>IFERROR(__xludf.DUMMYFUNCTION("""COMPUTED_VALUE"""),"#VALUE!")</f>
        <v>#VALUE!</v>
      </c>
      <c r="H79" s="51" t="str">
        <f>IFERROR(__xludf.DUMMYFUNCTION("""COMPUTED_VALUE"""),"")</f>
        <v/>
      </c>
      <c r="I79" s="51" t="str">
        <f>IFERROR(__xludf.DUMMYFUNCTION("""COMPUTED_VALUE"""),"#VALUE!")</f>
        <v>#VALUE!</v>
      </c>
      <c r="J79" s="51" t="str">
        <f>IFERROR(__xludf.DUMMYFUNCTION("""COMPUTED_VALUE"""),"")</f>
        <v/>
      </c>
      <c r="K79" s="51"/>
      <c r="L79" s="51" t="s">
        <v>257</v>
      </c>
      <c r="M79" s="51"/>
      <c r="N79" s="51"/>
      <c r="O79" s="51"/>
      <c r="P79" s="51"/>
      <c r="Q79" s="51"/>
      <c r="R79" s="51"/>
      <c r="S79" s="51"/>
      <c r="T79" s="51"/>
    </row>
    <row r="80">
      <c r="A80" s="51"/>
      <c r="B80" s="51"/>
      <c r="C80" s="94"/>
      <c r="D80" s="51"/>
      <c r="E80" s="51"/>
      <c r="F80" s="51"/>
      <c r="G80" s="51" t="str">
        <f>IFERROR(__xludf.DUMMYFUNCTION("""COMPUTED_VALUE"""),"#VALUE!")</f>
        <v>#VALUE!</v>
      </c>
      <c r="H80" s="51" t="str">
        <f>IFERROR(__xludf.DUMMYFUNCTION("""COMPUTED_VALUE"""),"")</f>
        <v/>
      </c>
      <c r="I80" s="51" t="str">
        <f>IFERROR(__xludf.DUMMYFUNCTION("""COMPUTED_VALUE"""),"#VALUE!")</f>
        <v>#VALUE!</v>
      </c>
      <c r="J80" s="51" t="str">
        <f>IFERROR(__xludf.DUMMYFUNCTION("""COMPUTED_VALUE"""),"")</f>
        <v/>
      </c>
      <c r="K80" s="51"/>
      <c r="L80" s="51" t="s">
        <v>257</v>
      </c>
      <c r="M80" s="51"/>
      <c r="N80" s="51"/>
      <c r="O80" s="51"/>
      <c r="P80" s="51"/>
      <c r="Q80" s="51"/>
      <c r="R80" s="51"/>
      <c r="S80" s="51"/>
      <c r="T80" s="51"/>
    </row>
    <row r="81">
      <c r="A81" s="51"/>
      <c r="B81" s="51"/>
      <c r="C81" s="94"/>
      <c r="D81" s="51"/>
      <c r="E81" s="51"/>
      <c r="F81" s="51"/>
      <c r="G81" s="51" t="str">
        <f>IFERROR(__xludf.DUMMYFUNCTION("""COMPUTED_VALUE"""),"#VALUE!")</f>
        <v>#VALUE!</v>
      </c>
      <c r="H81" s="51" t="str">
        <f>IFERROR(__xludf.DUMMYFUNCTION("""COMPUTED_VALUE"""),"")</f>
        <v/>
      </c>
      <c r="I81" s="51" t="str">
        <f>IFERROR(__xludf.DUMMYFUNCTION("""COMPUTED_VALUE"""),"#VALUE!")</f>
        <v>#VALUE!</v>
      </c>
      <c r="J81" s="51" t="str">
        <f>IFERROR(__xludf.DUMMYFUNCTION("""COMPUTED_VALUE"""),"")</f>
        <v/>
      </c>
      <c r="K81" s="51"/>
      <c r="L81" s="51" t="s">
        <v>257</v>
      </c>
      <c r="M81" s="51"/>
      <c r="N81" s="51"/>
      <c r="O81" s="51"/>
      <c r="P81" s="51"/>
      <c r="Q81" s="51"/>
      <c r="R81" s="51"/>
      <c r="S81" s="51"/>
      <c r="T81" s="51"/>
    </row>
    <row r="82">
      <c r="A82" s="51"/>
      <c r="B82" s="51"/>
      <c r="C82" s="94"/>
      <c r="D82" s="51"/>
      <c r="E82" s="51"/>
      <c r="F82" s="51"/>
      <c r="G82" s="51" t="str">
        <f>IFERROR(__xludf.DUMMYFUNCTION("""COMPUTED_VALUE"""),"#VALUE!")</f>
        <v>#VALUE!</v>
      </c>
      <c r="H82" s="51" t="str">
        <f>IFERROR(__xludf.DUMMYFUNCTION("""COMPUTED_VALUE"""),"")</f>
        <v/>
      </c>
      <c r="I82" s="51" t="str">
        <f>IFERROR(__xludf.DUMMYFUNCTION("""COMPUTED_VALUE"""),"#VALUE!")</f>
        <v>#VALUE!</v>
      </c>
      <c r="J82" s="51" t="str">
        <f>IFERROR(__xludf.DUMMYFUNCTION("""COMPUTED_VALUE"""),"")</f>
        <v/>
      </c>
      <c r="K82" s="51"/>
      <c r="L82" s="51" t="s">
        <v>257</v>
      </c>
      <c r="M82" s="51"/>
      <c r="N82" s="51"/>
      <c r="O82" s="51"/>
      <c r="P82" s="51"/>
      <c r="Q82" s="51"/>
      <c r="R82" s="51"/>
      <c r="S82" s="51"/>
      <c r="T82" s="51"/>
    </row>
    <row r="83">
      <c r="A83" s="51"/>
      <c r="B83" s="51"/>
      <c r="C83" s="94"/>
      <c r="D83" s="51"/>
      <c r="E83" s="51"/>
      <c r="F83" s="51"/>
      <c r="G83" s="51" t="str">
        <f>IFERROR(__xludf.DUMMYFUNCTION("""COMPUTED_VALUE"""),"#VALUE!")</f>
        <v>#VALUE!</v>
      </c>
      <c r="H83" s="51" t="str">
        <f>IFERROR(__xludf.DUMMYFUNCTION("""COMPUTED_VALUE"""),"")</f>
        <v/>
      </c>
      <c r="I83" s="51" t="str">
        <f>IFERROR(__xludf.DUMMYFUNCTION("""COMPUTED_VALUE"""),"#VALUE!")</f>
        <v>#VALUE!</v>
      </c>
      <c r="J83" s="51" t="str">
        <f>IFERROR(__xludf.DUMMYFUNCTION("""COMPUTED_VALUE"""),"")</f>
        <v/>
      </c>
      <c r="K83" s="51"/>
      <c r="L83" s="51" t="s">
        <v>257</v>
      </c>
      <c r="M83" s="51"/>
      <c r="N83" s="51"/>
      <c r="O83" s="51"/>
      <c r="P83" s="51"/>
      <c r="Q83" s="51"/>
      <c r="R83" s="51"/>
      <c r="S83" s="51"/>
      <c r="T83" s="51"/>
    </row>
    <row r="84">
      <c r="A84" s="51"/>
      <c r="B84" s="51"/>
      <c r="C84" s="94"/>
      <c r="D84" s="51"/>
      <c r="E84" s="51"/>
      <c r="F84" s="51"/>
      <c r="G84" s="51" t="str">
        <f>IFERROR(__xludf.DUMMYFUNCTION("""COMPUTED_VALUE"""),"#VALUE!")</f>
        <v>#VALUE!</v>
      </c>
      <c r="H84" s="51" t="str">
        <f>IFERROR(__xludf.DUMMYFUNCTION("""COMPUTED_VALUE"""),"")</f>
        <v/>
      </c>
      <c r="I84" s="51" t="str">
        <f>IFERROR(__xludf.DUMMYFUNCTION("""COMPUTED_VALUE"""),"#VALUE!")</f>
        <v>#VALUE!</v>
      </c>
      <c r="J84" s="51" t="str">
        <f>IFERROR(__xludf.DUMMYFUNCTION("""COMPUTED_VALUE"""),"")</f>
        <v/>
      </c>
      <c r="K84" s="51"/>
      <c r="L84" s="51" t="s">
        <v>257</v>
      </c>
      <c r="M84" s="51"/>
      <c r="N84" s="51"/>
      <c r="O84" s="51"/>
      <c r="P84" s="51"/>
      <c r="Q84" s="51"/>
      <c r="R84" s="51"/>
      <c r="S84" s="51"/>
      <c r="T84" s="51"/>
    </row>
    <row r="85">
      <c r="A85" s="51"/>
      <c r="B85" s="51"/>
      <c r="C85" s="94"/>
      <c r="D85" s="51"/>
      <c r="E85" s="51"/>
      <c r="F85" s="51"/>
      <c r="G85" s="51" t="str">
        <f>IFERROR(__xludf.DUMMYFUNCTION("""COMPUTED_VALUE"""),"#VALUE!")</f>
        <v>#VALUE!</v>
      </c>
      <c r="H85" s="51" t="str">
        <f>IFERROR(__xludf.DUMMYFUNCTION("""COMPUTED_VALUE"""),"")</f>
        <v/>
      </c>
      <c r="I85" s="51" t="str">
        <f>IFERROR(__xludf.DUMMYFUNCTION("""COMPUTED_VALUE"""),"#VALUE!")</f>
        <v>#VALUE!</v>
      </c>
      <c r="J85" s="51" t="str">
        <f>IFERROR(__xludf.DUMMYFUNCTION("""COMPUTED_VALUE"""),"")</f>
        <v/>
      </c>
      <c r="K85" s="51"/>
      <c r="L85" s="51" t="s">
        <v>257</v>
      </c>
      <c r="M85" s="51"/>
      <c r="N85" s="51"/>
      <c r="O85" s="51"/>
      <c r="P85" s="51"/>
      <c r="Q85" s="51"/>
      <c r="R85" s="51"/>
      <c r="S85" s="51"/>
      <c r="T85" s="51"/>
    </row>
    <row r="86">
      <c r="A86" s="51"/>
      <c r="B86" s="51"/>
      <c r="C86" s="94"/>
      <c r="D86" s="51"/>
      <c r="E86" s="51"/>
      <c r="F86" s="51"/>
      <c r="G86" s="51" t="str">
        <f>IFERROR(__xludf.DUMMYFUNCTION("""COMPUTED_VALUE"""),"#VALUE!")</f>
        <v>#VALUE!</v>
      </c>
      <c r="H86" s="51" t="str">
        <f>IFERROR(__xludf.DUMMYFUNCTION("""COMPUTED_VALUE"""),"")</f>
        <v/>
      </c>
      <c r="I86" s="51" t="str">
        <f>IFERROR(__xludf.DUMMYFUNCTION("""COMPUTED_VALUE"""),"#VALUE!")</f>
        <v>#VALUE!</v>
      </c>
      <c r="J86" s="51" t="str">
        <f>IFERROR(__xludf.DUMMYFUNCTION("""COMPUTED_VALUE"""),"")</f>
        <v/>
      </c>
      <c r="K86" s="51"/>
      <c r="L86" s="51" t="s">
        <v>257</v>
      </c>
      <c r="M86" s="51"/>
      <c r="N86" s="51"/>
      <c r="O86" s="51"/>
      <c r="P86" s="51"/>
      <c r="Q86" s="51"/>
      <c r="R86" s="51"/>
      <c r="S86" s="51"/>
      <c r="T86" s="51"/>
    </row>
    <row r="87">
      <c r="A87" s="51"/>
      <c r="B87" s="51"/>
      <c r="C87" s="94"/>
      <c r="D87" s="51"/>
      <c r="E87" s="51"/>
      <c r="F87" s="51"/>
      <c r="G87" s="51" t="str">
        <f>IFERROR(__xludf.DUMMYFUNCTION("""COMPUTED_VALUE"""),"#VALUE!")</f>
        <v>#VALUE!</v>
      </c>
      <c r="H87" s="51" t="str">
        <f>IFERROR(__xludf.DUMMYFUNCTION("""COMPUTED_VALUE"""),"")</f>
        <v/>
      </c>
      <c r="I87" s="51" t="str">
        <f>IFERROR(__xludf.DUMMYFUNCTION("""COMPUTED_VALUE"""),"#VALUE!")</f>
        <v>#VALUE!</v>
      </c>
      <c r="J87" s="51" t="str">
        <f>IFERROR(__xludf.DUMMYFUNCTION("""COMPUTED_VALUE"""),"")</f>
        <v/>
      </c>
      <c r="K87" s="51"/>
      <c r="L87" s="51" t="s">
        <v>257</v>
      </c>
      <c r="M87" s="51"/>
      <c r="N87" s="51"/>
      <c r="O87" s="51"/>
      <c r="P87" s="51"/>
      <c r="Q87" s="51"/>
      <c r="R87" s="51"/>
      <c r="S87" s="51"/>
      <c r="T87" s="51"/>
    </row>
    <row r="88">
      <c r="A88" s="51"/>
      <c r="B88" s="51"/>
      <c r="C88" s="94"/>
      <c r="D88" s="51"/>
      <c r="E88" s="51"/>
      <c r="F88" s="51"/>
      <c r="G88" s="51" t="str">
        <f>IFERROR(__xludf.DUMMYFUNCTION("""COMPUTED_VALUE"""),"#VALUE!")</f>
        <v>#VALUE!</v>
      </c>
      <c r="H88" s="51" t="str">
        <f>IFERROR(__xludf.DUMMYFUNCTION("""COMPUTED_VALUE"""),"")</f>
        <v/>
      </c>
      <c r="I88" s="51" t="str">
        <f>IFERROR(__xludf.DUMMYFUNCTION("""COMPUTED_VALUE"""),"#VALUE!")</f>
        <v>#VALUE!</v>
      </c>
      <c r="J88" s="51" t="str">
        <f>IFERROR(__xludf.DUMMYFUNCTION("""COMPUTED_VALUE"""),"")</f>
        <v/>
      </c>
      <c r="K88" s="51"/>
      <c r="L88" s="51" t="s">
        <v>257</v>
      </c>
      <c r="M88" s="51"/>
      <c r="N88" s="51"/>
      <c r="O88" s="51"/>
      <c r="P88" s="51"/>
      <c r="Q88" s="51"/>
      <c r="R88" s="51"/>
      <c r="S88" s="51"/>
      <c r="T88" s="51"/>
    </row>
    <row r="89">
      <c r="A89" s="51"/>
      <c r="B89" s="51"/>
      <c r="C89" s="94"/>
      <c r="D89" s="51"/>
      <c r="E89" s="51"/>
      <c r="F89" s="51"/>
      <c r="G89" s="51" t="str">
        <f>IFERROR(__xludf.DUMMYFUNCTION("""COMPUTED_VALUE"""),"#VALUE!")</f>
        <v>#VALUE!</v>
      </c>
      <c r="H89" s="51" t="str">
        <f>IFERROR(__xludf.DUMMYFUNCTION("""COMPUTED_VALUE"""),"")</f>
        <v/>
      </c>
      <c r="I89" s="51" t="str">
        <f>IFERROR(__xludf.DUMMYFUNCTION("""COMPUTED_VALUE"""),"#VALUE!")</f>
        <v>#VALUE!</v>
      </c>
      <c r="J89" s="51" t="str">
        <f>IFERROR(__xludf.DUMMYFUNCTION("""COMPUTED_VALUE"""),"")</f>
        <v/>
      </c>
      <c r="K89" s="51"/>
      <c r="L89" s="51" t="s">
        <v>257</v>
      </c>
      <c r="M89" s="51"/>
      <c r="N89" s="51"/>
      <c r="O89" s="51"/>
      <c r="P89" s="51"/>
      <c r="Q89" s="51"/>
      <c r="R89" s="51"/>
      <c r="S89" s="51"/>
      <c r="T89" s="51"/>
    </row>
    <row r="90">
      <c r="A90" s="51"/>
      <c r="B90" s="51"/>
      <c r="C90" s="94"/>
      <c r="D90" s="51"/>
      <c r="E90" s="51"/>
      <c r="F90" s="51"/>
      <c r="G90" s="51" t="str">
        <f>IFERROR(__xludf.DUMMYFUNCTION("""COMPUTED_VALUE"""),"#VALUE!")</f>
        <v>#VALUE!</v>
      </c>
      <c r="H90" s="51" t="str">
        <f>IFERROR(__xludf.DUMMYFUNCTION("""COMPUTED_VALUE"""),"")</f>
        <v/>
      </c>
      <c r="I90" s="51" t="str">
        <f>IFERROR(__xludf.DUMMYFUNCTION("""COMPUTED_VALUE"""),"#VALUE!")</f>
        <v>#VALUE!</v>
      </c>
      <c r="J90" s="51" t="str">
        <f>IFERROR(__xludf.DUMMYFUNCTION("""COMPUTED_VALUE"""),"")</f>
        <v/>
      </c>
      <c r="K90" s="51"/>
      <c r="L90" s="51" t="s">
        <v>257</v>
      </c>
      <c r="M90" s="51"/>
      <c r="N90" s="51"/>
      <c r="O90" s="51"/>
      <c r="P90" s="51"/>
      <c r="Q90" s="51"/>
      <c r="R90" s="51"/>
      <c r="S90" s="51"/>
      <c r="T90" s="51"/>
    </row>
    <row r="91">
      <c r="A91" s="51"/>
      <c r="B91" s="51"/>
      <c r="C91" s="94"/>
      <c r="D91" s="51"/>
      <c r="E91" s="51"/>
      <c r="F91" s="51"/>
      <c r="G91" s="51" t="str">
        <f>IFERROR(__xludf.DUMMYFUNCTION("""COMPUTED_VALUE"""),"#VALUE!")</f>
        <v>#VALUE!</v>
      </c>
      <c r="H91" s="51" t="str">
        <f>IFERROR(__xludf.DUMMYFUNCTION("""COMPUTED_VALUE"""),"")</f>
        <v/>
      </c>
      <c r="I91" s="51" t="str">
        <f>IFERROR(__xludf.DUMMYFUNCTION("""COMPUTED_VALUE"""),"#VALUE!")</f>
        <v>#VALUE!</v>
      </c>
      <c r="J91" s="51" t="str">
        <f>IFERROR(__xludf.DUMMYFUNCTION("""COMPUTED_VALUE"""),"")</f>
        <v/>
      </c>
      <c r="K91" s="51"/>
      <c r="L91" s="51" t="s">
        <v>257</v>
      </c>
      <c r="M91" s="51"/>
      <c r="N91" s="51"/>
      <c r="O91" s="51"/>
      <c r="P91" s="51"/>
      <c r="Q91" s="51"/>
      <c r="R91" s="51"/>
      <c r="S91" s="51"/>
      <c r="T91" s="51"/>
    </row>
    <row r="92">
      <c r="A92" s="51"/>
      <c r="B92" s="51"/>
      <c r="C92" s="94"/>
      <c r="D92" s="51"/>
      <c r="E92" s="51"/>
      <c r="F92" s="51"/>
      <c r="G92" s="51" t="str">
        <f>IFERROR(__xludf.DUMMYFUNCTION("""COMPUTED_VALUE"""),"#VALUE!")</f>
        <v>#VALUE!</v>
      </c>
      <c r="H92" s="51" t="str">
        <f>IFERROR(__xludf.DUMMYFUNCTION("""COMPUTED_VALUE"""),"")</f>
        <v/>
      </c>
      <c r="I92" s="51" t="str">
        <f>IFERROR(__xludf.DUMMYFUNCTION("""COMPUTED_VALUE"""),"#VALUE!")</f>
        <v>#VALUE!</v>
      </c>
      <c r="J92" s="51" t="str">
        <f>IFERROR(__xludf.DUMMYFUNCTION("""COMPUTED_VALUE"""),"")</f>
        <v/>
      </c>
      <c r="K92" s="51"/>
      <c r="L92" s="51" t="s">
        <v>257</v>
      </c>
      <c r="M92" s="51"/>
      <c r="N92" s="51"/>
      <c r="O92" s="51"/>
      <c r="P92" s="51"/>
      <c r="Q92" s="51"/>
      <c r="R92" s="51"/>
      <c r="S92" s="51"/>
      <c r="T92" s="51"/>
    </row>
    <row r="93">
      <c r="A93" s="51"/>
      <c r="B93" s="51"/>
      <c r="C93" s="94"/>
      <c r="D93" s="51"/>
      <c r="E93" s="51"/>
      <c r="F93" s="51"/>
      <c r="G93" s="51" t="str">
        <f>IFERROR(__xludf.DUMMYFUNCTION("""COMPUTED_VALUE"""),"#VALUE!")</f>
        <v>#VALUE!</v>
      </c>
      <c r="H93" s="51" t="str">
        <f>IFERROR(__xludf.DUMMYFUNCTION("""COMPUTED_VALUE"""),"")</f>
        <v/>
      </c>
      <c r="I93" s="51" t="str">
        <f>IFERROR(__xludf.DUMMYFUNCTION("""COMPUTED_VALUE"""),"#VALUE!")</f>
        <v>#VALUE!</v>
      </c>
      <c r="J93" s="51" t="str">
        <f>IFERROR(__xludf.DUMMYFUNCTION("""COMPUTED_VALUE"""),"")</f>
        <v/>
      </c>
      <c r="K93" s="51"/>
      <c r="L93" s="51" t="s">
        <v>257</v>
      </c>
      <c r="M93" s="51"/>
      <c r="N93" s="51"/>
      <c r="O93" s="51"/>
      <c r="P93" s="51"/>
      <c r="Q93" s="51"/>
      <c r="R93" s="51"/>
      <c r="S93" s="51"/>
      <c r="T93" s="51"/>
    </row>
    <row r="94">
      <c r="A94" s="51"/>
      <c r="B94" s="51"/>
      <c r="C94" s="94"/>
      <c r="D94" s="51"/>
      <c r="E94" s="51"/>
      <c r="F94" s="51"/>
      <c r="G94" s="51" t="str">
        <f>IFERROR(__xludf.DUMMYFUNCTION("""COMPUTED_VALUE"""),"#VALUE!")</f>
        <v>#VALUE!</v>
      </c>
      <c r="H94" s="51" t="str">
        <f>IFERROR(__xludf.DUMMYFUNCTION("""COMPUTED_VALUE"""),"")</f>
        <v/>
      </c>
      <c r="I94" s="51" t="str">
        <f>IFERROR(__xludf.DUMMYFUNCTION("""COMPUTED_VALUE"""),"#VALUE!")</f>
        <v>#VALUE!</v>
      </c>
      <c r="J94" s="51" t="str">
        <f>IFERROR(__xludf.DUMMYFUNCTION("""COMPUTED_VALUE"""),"")</f>
        <v/>
      </c>
      <c r="K94" s="51"/>
      <c r="L94" s="51" t="s">
        <v>257</v>
      </c>
      <c r="M94" s="51"/>
      <c r="N94" s="51"/>
      <c r="O94" s="51"/>
      <c r="P94" s="51"/>
      <c r="Q94" s="51"/>
      <c r="R94" s="51"/>
      <c r="S94" s="51"/>
      <c r="T94" s="51"/>
    </row>
    <row r="95">
      <c r="A95" s="51"/>
      <c r="B95" s="51"/>
      <c r="C95" s="94"/>
      <c r="D95" s="51"/>
      <c r="E95" s="51"/>
      <c r="F95" s="51"/>
      <c r="G95" s="51" t="str">
        <f>IFERROR(__xludf.DUMMYFUNCTION("""COMPUTED_VALUE"""),"#VALUE!")</f>
        <v>#VALUE!</v>
      </c>
      <c r="H95" s="51" t="str">
        <f>IFERROR(__xludf.DUMMYFUNCTION("""COMPUTED_VALUE"""),"")</f>
        <v/>
      </c>
      <c r="I95" s="51" t="str">
        <f>IFERROR(__xludf.DUMMYFUNCTION("""COMPUTED_VALUE"""),"#VALUE!")</f>
        <v>#VALUE!</v>
      </c>
      <c r="J95" s="51" t="str">
        <f>IFERROR(__xludf.DUMMYFUNCTION("""COMPUTED_VALUE"""),"")</f>
        <v/>
      </c>
      <c r="K95" s="51"/>
      <c r="L95" s="51" t="s">
        <v>257</v>
      </c>
      <c r="M95" s="51"/>
      <c r="N95" s="51"/>
      <c r="O95" s="51"/>
      <c r="P95" s="51"/>
      <c r="Q95" s="51"/>
      <c r="R95" s="51"/>
      <c r="S95" s="51"/>
      <c r="T95" s="51"/>
    </row>
    <row r="96">
      <c r="A96" s="51"/>
      <c r="B96" s="51"/>
      <c r="C96" s="94"/>
      <c r="D96" s="51"/>
      <c r="E96" s="51"/>
      <c r="F96" s="51"/>
      <c r="G96" s="51" t="str">
        <f>IFERROR(__xludf.DUMMYFUNCTION("""COMPUTED_VALUE"""),"#VALUE!")</f>
        <v>#VALUE!</v>
      </c>
      <c r="H96" s="51" t="str">
        <f>IFERROR(__xludf.DUMMYFUNCTION("""COMPUTED_VALUE"""),"")</f>
        <v/>
      </c>
      <c r="I96" s="51" t="str">
        <f>IFERROR(__xludf.DUMMYFUNCTION("""COMPUTED_VALUE"""),"#VALUE!")</f>
        <v>#VALUE!</v>
      </c>
      <c r="J96" s="51" t="str">
        <f>IFERROR(__xludf.DUMMYFUNCTION("""COMPUTED_VALUE"""),"")</f>
        <v/>
      </c>
      <c r="K96" s="51"/>
      <c r="L96" s="51" t="s">
        <v>257</v>
      </c>
      <c r="M96" s="51"/>
      <c r="N96" s="51"/>
      <c r="O96" s="51"/>
      <c r="P96" s="51"/>
      <c r="Q96" s="51"/>
      <c r="R96" s="51"/>
      <c r="S96" s="51"/>
      <c r="T96" s="51"/>
    </row>
    <row r="97">
      <c r="A97" s="51"/>
      <c r="B97" s="51"/>
      <c r="C97" s="94"/>
      <c r="D97" s="51"/>
      <c r="E97" s="51"/>
      <c r="F97" s="51"/>
      <c r="G97" s="51" t="str">
        <f>IFERROR(__xludf.DUMMYFUNCTION("""COMPUTED_VALUE"""),"#VALUE!")</f>
        <v>#VALUE!</v>
      </c>
      <c r="H97" s="51" t="str">
        <f>IFERROR(__xludf.DUMMYFUNCTION("""COMPUTED_VALUE"""),"")</f>
        <v/>
      </c>
      <c r="I97" s="51" t="str">
        <f>IFERROR(__xludf.DUMMYFUNCTION("""COMPUTED_VALUE"""),"#VALUE!")</f>
        <v>#VALUE!</v>
      </c>
      <c r="J97" s="51" t="str">
        <f>IFERROR(__xludf.DUMMYFUNCTION("""COMPUTED_VALUE"""),"")</f>
        <v/>
      </c>
      <c r="K97" s="51"/>
      <c r="L97" s="51" t="s">
        <v>257</v>
      </c>
      <c r="M97" s="51"/>
      <c r="N97" s="51"/>
      <c r="O97" s="51"/>
      <c r="P97" s="51"/>
      <c r="Q97" s="51"/>
      <c r="R97" s="51"/>
      <c r="S97" s="51"/>
      <c r="T97" s="51"/>
    </row>
    <row r="98">
      <c r="A98" s="51"/>
      <c r="B98" s="51"/>
      <c r="C98" s="94"/>
      <c r="D98" s="51"/>
      <c r="E98" s="51"/>
      <c r="F98" s="51"/>
      <c r="G98" s="51" t="str">
        <f>IFERROR(__xludf.DUMMYFUNCTION("""COMPUTED_VALUE"""),"#VALUE!")</f>
        <v>#VALUE!</v>
      </c>
      <c r="H98" s="51" t="str">
        <f>IFERROR(__xludf.DUMMYFUNCTION("""COMPUTED_VALUE"""),"")</f>
        <v/>
      </c>
      <c r="I98" s="51" t="str">
        <f>IFERROR(__xludf.DUMMYFUNCTION("""COMPUTED_VALUE"""),"#VALUE!")</f>
        <v>#VALUE!</v>
      </c>
      <c r="J98" s="51" t="str">
        <f>IFERROR(__xludf.DUMMYFUNCTION("""COMPUTED_VALUE"""),"")</f>
        <v/>
      </c>
      <c r="K98" s="51"/>
      <c r="L98" s="51" t="s">
        <v>257</v>
      </c>
      <c r="M98" s="51"/>
      <c r="N98" s="51"/>
      <c r="O98" s="51"/>
      <c r="P98" s="51"/>
      <c r="Q98" s="51"/>
      <c r="R98" s="51"/>
      <c r="S98" s="51"/>
      <c r="T98" s="51"/>
    </row>
    <row r="99">
      <c r="A99" s="51"/>
      <c r="B99" s="51"/>
      <c r="C99" s="94"/>
      <c r="D99" s="51"/>
      <c r="E99" s="51"/>
      <c r="F99" s="51"/>
      <c r="G99" s="51" t="str">
        <f>IFERROR(__xludf.DUMMYFUNCTION("""COMPUTED_VALUE"""),"#VALUE!")</f>
        <v>#VALUE!</v>
      </c>
      <c r="H99" s="51" t="str">
        <f>IFERROR(__xludf.DUMMYFUNCTION("""COMPUTED_VALUE"""),"")</f>
        <v/>
      </c>
      <c r="I99" s="51" t="str">
        <f>IFERROR(__xludf.DUMMYFUNCTION("""COMPUTED_VALUE"""),"#VALUE!")</f>
        <v>#VALUE!</v>
      </c>
      <c r="J99" s="51" t="str">
        <f>IFERROR(__xludf.DUMMYFUNCTION("""COMPUTED_VALUE"""),"")</f>
        <v/>
      </c>
      <c r="K99" s="51"/>
      <c r="L99" s="51" t="s">
        <v>257</v>
      </c>
      <c r="M99" s="51"/>
      <c r="N99" s="51"/>
      <c r="O99" s="51"/>
      <c r="P99" s="51"/>
      <c r="Q99" s="51"/>
      <c r="R99" s="51"/>
      <c r="S99" s="51"/>
      <c r="T99" s="51"/>
    </row>
    <row r="100">
      <c r="A100" s="51"/>
      <c r="B100" s="51"/>
      <c r="C100" s="94"/>
      <c r="D100" s="51"/>
      <c r="E100" s="51"/>
      <c r="F100" s="51"/>
      <c r="G100" s="51" t="str">
        <f>IFERROR(__xludf.DUMMYFUNCTION("""COMPUTED_VALUE"""),"#VALUE!")</f>
        <v>#VALUE!</v>
      </c>
      <c r="H100" s="51" t="str">
        <f>IFERROR(__xludf.DUMMYFUNCTION("""COMPUTED_VALUE"""),"")</f>
        <v/>
      </c>
      <c r="I100" s="51" t="str">
        <f>IFERROR(__xludf.DUMMYFUNCTION("""COMPUTED_VALUE"""),"#VALUE!")</f>
        <v>#VALUE!</v>
      </c>
      <c r="J100" s="51" t="str">
        <f>IFERROR(__xludf.DUMMYFUNCTION("""COMPUTED_VALUE"""),"")</f>
        <v/>
      </c>
      <c r="K100" s="51"/>
      <c r="L100" s="51" t="s">
        <v>257</v>
      </c>
      <c r="M100" s="51"/>
      <c r="N100" s="51"/>
      <c r="O100" s="51"/>
      <c r="P100" s="51"/>
      <c r="Q100" s="51"/>
      <c r="R100" s="51"/>
      <c r="S100" s="51"/>
      <c r="T100" s="51"/>
    </row>
    <row r="101">
      <c r="A101" s="51"/>
      <c r="B101" s="51"/>
      <c r="C101" s="94"/>
      <c r="D101" s="51"/>
      <c r="E101" s="51"/>
      <c r="F101" s="51"/>
      <c r="G101" s="51" t="str">
        <f>IFERROR(__xludf.DUMMYFUNCTION("""COMPUTED_VALUE"""),"#VALUE!")</f>
        <v>#VALUE!</v>
      </c>
      <c r="H101" s="51" t="str">
        <f>IFERROR(__xludf.DUMMYFUNCTION("""COMPUTED_VALUE"""),"")</f>
        <v/>
      </c>
      <c r="I101" s="51" t="str">
        <f>IFERROR(__xludf.DUMMYFUNCTION("""COMPUTED_VALUE"""),"#VALUE!")</f>
        <v>#VALUE!</v>
      </c>
      <c r="J101" s="51" t="str">
        <f>IFERROR(__xludf.DUMMYFUNCTION("""COMPUTED_VALUE"""),"")</f>
        <v/>
      </c>
      <c r="K101" s="51"/>
      <c r="L101" s="51" t="s">
        <v>257</v>
      </c>
      <c r="M101" s="51"/>
      <c r="N101" s="51"/>
      <c r="O101" s="51"/>
      <c r="P101" s="51"/>
      <c r="Q101" s="51"/>
      <c r="R101" s="51"/>
      <c r="S101" s="51"/>
      <c r="T101" s="51"/>
    </row>
    <row r="102">
      <c r="A102" s="51"/>
      <c r="B102" s="51"/>
      <c r="C102" s="94"/>
      <c r="D102" s="51"/>
      <c r="E102" s="51"/>
      <c r="F102" s="51"/>
      <c r="G102" s="51" t="str">
        <f>IFERROR(__xludf.DUMMYFUNCTION("""COMPUTED_VALUE"""),"#VALUE!")</f>
        <v>#VALUE!</v>
      </c>
      <c r="H102" s="51" t="str">
        <f>IFERROR(__xludf.DUMMYFUNCTION("""COMPUTED_VALUE"""),"")</f>
        <v/>
      </c>
      <c r="I102" s="51" t="str">
        <f>IFERROR(__xludf.DUMMYFUNCTION("""COMPUTED_VALUE"""),"#VALUE!")</f>
        <v>#VALUE!</v>
      </c>
      <c r="J102" s="51" t="str">
        <f>IFERROR(__xludf.DUMMYFUNCTION("""COMPUTED_VALUE"""),"")</f>
        <v/>
      </c>
      <c r="K102" s="51"/>
      <c r="L102" s="51" t="s">
        <v>257</v>
      </c>
      <c r="M102" s="51"/>
      <c r="N102" s="51"/>
      <c r="O102" s="51"/>
      <c r="P102" s="51"/>
      <c r="Q102" s="51"/>
      <c r="R102" s="51"/>
      <c r="S102" s="51"/>
      <c r="T102" s="51"/>
    </row>
    <row r="103">
      <c r="A103" s="51"/>
      <c r="B103" s="51"/>
      <c r="C103" s="94"/>
      <c r="D103" s="51"/>
      <c r="E103" s="51"/>
      <c r="F103" s="51"/>
      <c r="G103" s="51" t="str">
        <f>IFERROR(__xludf.DUMMYFUNCTION("""COMPUTED_VALUE"""),"#VALUE!")</f>
        <v>#VALUE!</v>
      </c>
      <c r="H103" s="51" t="str">
        <f>IFERROR(__xludf.DUMMYFUNCTION("""COMPUTED_VALUE"""),"")</f>
        <v/>
      </c>
      <c r="I103" s="51" t="str">
        <f>IFERROR(__xludf.DUMMYFUNCTION("""COMPUTED_VALUE"""),"#VALUE!")</f>
        <v>#VALUE!</v>
      </c>
      <c r="J103" s="51" t="str">
        <f>IFERROR(__xludf.DUMMYFUNCTION("""COMPUTED_VALUE"""),"")</f>
        <v/>
      </c>
      <c r="K103" s="51"/>
      <c r="L103" s="51" t="s">
        <v>257</v>
      </c>
      <c r="M103" s="51"/>
      <c r="N103" s="51"/>
      <c r="O103" s="51"/>
      <c r="P103" s="51"/>
      <c r="Q103" s="51"/>
      <c r="R103" s="51"/>
      <c r="S103" s="51"/>
      <c r="T103" s="51"/>
    </row>
    <row r="104">
      <c r="A104" s="51"/>
      <c r="B104" s="51"/>
      <c r="C104" s="94"/>
      <c r="D104" s="51"/>
      <c r="E104" s="51"/>
      <c r="F104" s="51"/>
      <c r="G104" s="51" t="str">
        <f>IFERROR(__xludf.DUMMYFUNCTION("""COMPUTED_VALUE"""),"#VALUE!")</f>
        <v>#VALUE!</v>
      </c>
      <c r="H104" s="51" t="str">
        <f>IFERROR(__xludf.DUMMYFUNCTION("""COMPUTED_VALUE"""),"")</f>
        <v/>
      </c>
      <c r="I104" s="51" t="str">
        <f>IFERROR(__xludf.DUMMYFUNCTION("""COMPUTED_VALUE"""),"#VALUE!")</f>
        <v>#VALUE!</v>
      </c>
      <c r="J104" s="51" t="str">
        <f>IFERROR(__xludf.DUMMYFUNCTION("""COMPUTED_VALUE"""),"")</f>
        <v/>
      </c>
      <c r="K104" s="51"/>
      <c r="L104" s="51" t="s">
        <v>257</v>
      </c>
      <c r="M104" s="51"/>
      <c r="N104" s="51"/>
      <c r="O104" s="51"/>
      <c r="P104" s="51"/>
      <c r="Q104" s="51"/>
      <c r="R104" s="51"/>
      <c r="S104" s="51"/>
      <c r="T104" s="51"/>
    </row>
    <row r="105">
      <c r="A105" s="51"/>
      <c r="B105" s="51"/>
      <c r="C105" s="94"/>
      <c r="D105" s="51"/>
      <c r="E105" s="51"/>
      <c r="F105" s="51"/>
      <c r="G105" s="51" t="str">
        <f>IFERROR(__xludf.DUMMYFUNCTION("""COMPUTED_VALUE"""),"#VALUE!")</f>
        <v>#VALUE!</v>
      </c>
      <c r="H105" s="51" t="str">
        <f>IFERROR(__xludf.DUMMYFUNCTION("""COMPUTED_VALUE"""),"")</f>
        <v/>
      </c>
      <c r="I105" s="51" t="str">
        <f>IFERROR(__xludf.DUMMYFUNCTION("""COMPUTED_VALUE"""),"#VALUE!")</f>
        <v>#VALUE!</v>
      </c>
      <c r="J105" s="51" t="str">
        <f>IFERROR(__xludf.DUMMYFUNCTION("""COMPUTED_VALUE"""),"")</f>
        <v/>
      </c>
      <c r="K105" s="51"/>
      <c r="L105" s="51" t="s">
        <v>257</v>
      </c>
      <c r="M105" s="51"/>
      <c r="N105" s="51"/>
      <c r="O105" s="51"/>
      <c r="P105" s="51"/>
      <c r="Q105" s="51"/>
      <c r="R105" s="51"/>
      <c r="S105" s="51"/>
      <c r="T105" s="51"/>
    </row>
    <row r="106">
      <c r="A106" s="51"/>
      <c r="B106" s="51"/>
      <c r="C106" s="94"/>
      <c r="D106" s="51"/>
      <c r="E106" s="51"/>
      <c r="F106" s="51"/>
      <c r="G106" s="51" t="str">
        <f>IFERROR(__xludf.DUMMYFUNCTION("""COMPUTED_VALUE"""),"#VALUE!")</f>
        <v>#VALUE!</v>
      </c>
      <c r="H106" s="51" t="str">
        <f>IFERROR(__xludf.DUMMYFUNCTION("""COMPUTED_VALUE"""),"")</f>
        <v/>
      </c>
      <c r="I106" s="51" t="str">
        <f>IFERROR(__xludf.DUMMYFUNCTION("""COMPUTED_VALUE"""),"#VALUE!")</f>
        <v>#VALUE!</v>
      </c>
      <c r="J106" s="51" t="str">
        <f>IFERROR(__xludf.DUMMYFUNCTION("""COMPUTED_VALUE"""),"")</f>
        <v/>
      </c>
      <c r="K106" s="51"/>
      <c r="L106" s="51" t="s">
        <v>257</v>
      </c>
      <c r="M106" s="51"/>
      <c r="N106" s="51"/>
      <c r="O106" s="51"/>
      <c r="P106" s="51"/>
      <c r="Q106" s="51"/>
      <c r="R106" s="51"/>
      <c r="S106" s="51"/>
      <c r="T106" s="51"/>
    </row>
    <row r="107">
      <c r="A107" s="51"/>
      <c r="B107" s="51"/>
      <c r="C107" s="94"/>
      <c r="D107" s="51"/>
      <c r="E107" s="51"/>
      <c r="F107" s="51"/>
      <c r="G107" s="51" t="str">
        <f>IFERROR(__xludf.DUMMYFUNCTION("""COMPUTED_VALUE"""),"#VALUE!")</f>
        <v>#VALUE!</v>
      </c>
      <c r="H107" s="51" t="str">
        <f>IFERROR(__xludf.DUMMYFUNCTION("""COMPUTED_VALUE"""),"")</f>
        <v/>
      </c>
      <c r="I107" s="51" t="str">
        <f>IFERROR(__xludf.DUMMYFUNCTION("""COMPUTED_VALUE"""),"#VALUE!")</f>
        <v>#VALUE!</v>
      </c>
      <c r="J107" s="51" t="str">
        <f>IFERROR(__xludf.DUMMYFUNCTION("""COMPUTED_VALUE"""),"")</f>
        <v/>
      </c>
      <c r="K107" s="51"/>
      <c r="L107" s="51" t="s">
        <v>257</v>
      </c>
      <c r="M107" s="51"/>
      <c r="N107" s="51"/>
      <c r="O107" s="51"/>
      <c r="P107" s="51"/>
      <c r="Q107" s="51"/>
      <c r="R107" s="51"/>
      <c r="S107" s="51"/>
      <c r="T107" s="51"/>
    </row>
    <row r="108">
      <c r="A108" s="51"/>
      <c r="B108" s="51"/>
      <c r="C108" s="94"/>
      <c r="D108" s="51"/>
      <c r="E108" s="51"/>
      <c r="F108" s="51"/>
      <c r="G108" s="51" t="str">
        <f>IFERROR(__xludf.DUMMYFUNCTION("""COMPUTED_VALUE"""),"#VALUE!")</f>
        <v>#VALUE!</v>
      </c>
      <c r="H108" s="51" t="str">
        <f>IFERROR(__xludf.DUMMYFUNCTION("""COMPUTED_VALUE"""),"")</f>
        <v/>
      </c>
      <c r="I108" s="51" t="str">
        <f>IFERROR(__xludf.DUMMYFUNCTION("""COMPUTED_VALUE"""),"#VALUE!")</f>
        <v>#VALUE!</v>
      </c>
      <c r="J108" s="51" t="str">
        <f>IFERROR(__xludf.DUMMYFUNCTION("""COMPUTED_VALUE"""),"")</f>
        <v/>
      </c>
      <c r="K108" s="51"/>
      <c r="L108" s="51" t="s">
        <v>257</v>
      </c>
      <c r="M108" s="51"/>
      <c r="N108" s="51"/>
      <c r="O108" s="51"/>
      <c r="P108" s="51"/>
      <c r="Q108" s="51"/>
      <c r="R108" s="51"/>
      <c r="S108" s="51"/>
      <c r="T108" s="51"/>
    </row>
    <row r="109">
      <c r="A109" s="51"/>
      <c r="B109" s="51"/>
      <c r="C109" s="94"/>
      <c r="D109" s="51"/>
      <c r="E109" s="51"/>
      <c r="F109" s="51"/>
      <c r="G109" s="51" t="str">
        <f>IFERROR(__xludf.DUMMYFUNCTION("""COMPUTED_VALUE"""),"#VALUE!")</f>
        <v>#VALUE!</v>
      </c>
      <c r="H109" s="51" t="str">
        <f>IFERROR(__xludf.DUMMYFUNCTION("""COMPUTED_VALUE"""),"")</f>
        <v/>
      </c>
      <c r="I109" s="51" t="str">
        <f>IFERROR(__xludf.DUMMYFUNCTION("""COMPUTED_VALUE"""),"#VALUE!")</f>
        <v>#VALUE!</v>
      </c>
      <c r="J109" s="51" t="str">
        <f>IFERROR(__xludf.DUMMYFUNCTION("""COMPUTED_VALUE"""),"")</f>
        <v/>
      </c>
      <c r="K109" s="51"/>
      <c r="L109" s="51" t="s">
        <v>257</v>
      </c>
      <c r="M109" s="51"/>
      <c r="N109" s="51"/>
      <c r="O109" s="51"/>
      <c r="P109" s="51"/>
      <c r="Q109" s="51"/>
      <c r="R109" s="51"/>
      <c r="S109" s="51"/>
      <c r="T109" s="51"/>
    </row>
    <row r="110">
      <c r="A110" s="51"/>
      <c r="B110" s="51"/>
      <c r="C110" s="94"/>
      <c r="D110" s="51"/>
      <c r="E110" s="51"/>
      <c r="F110" s="51"/>
      <c r="G110" s="51" t="str">
        <f>IFERROR(__xludf.DUMMYFUNCTION("""COMPUTED_VALUE"""),"#VALUE!")</f>
        <v>#VALUE!</v>
      </c>
      <c r="H110" s="51" t="str">
        <f>IFERROR(__xludf.DUMMYFUNCTION("""COMPUTED_VALUE"""),"")</f>
        <v/>
      </c>
      <c r="I110" s="51" t="str">
        <f>IFERROR(__xludf.DUMMYFUNCTION("""COMPUTED_VALUE"""),"#VALUE!")</f>
        <v>#VALUE!</v>
      </c>
      <c r="J110" s="51" t="str">
        <f>IFERROR(__xludf.DUMMYFUNCTION("""COMPUTED_VALUE"""),"")</f>
        <v/>
      </c>
      <c r="K110" s="51"/>
      <c r="L110" s="51" t="s">
        <v>257</v>
      </c>
      <c r="M110" s="51"/>
      <c r="N110" s="51"/>
      <c r="O110" s="51"/>
      <c r="P110" s="51"/>
      <c r="Q110" s="51"/>
      <c r="R110" s="51"/>
      <c r="S110" s="51"/>
      <c r="T110" s="51"/>
    </row>
    <row r="111">
      <c r="A111" s="51"/>
      <c r="B111" s="51"/>
      <c r="C111" s="94"/>
      <c r="D111" s="51"/>
      <c r="E111" s="51"/>
      <c r="F111" s="51"/>
      <c r="G111" s="51" t="str">
        <f>IFERROR(__xludf.DUMMYFUNCTION("""COMPUTED_VALUE"""),"#VALUE!")</f>
        <v>#VALUE!</v>
      </c>
      <c r="H111" s="51" t="str">
        <f>IFERROR(__xludf.DUMMYFUNCTION("""COMPUTED_VALUE"""),"")</f>
        <v/>
      </c>
      <c r="I111" s="51" t="str">
        <f>IFERROR(__xludf.DUMMYFUNCTION("""COMPUTED_VALUE"""),"#VALUE!")</f>
        <v>#VALUE!</v>
      </c>
      <c r="J111" s="51" t="str">
        <f>IFERROR(__xludf.DUMMYFUNCTION("""COMPUTED_VALUE"""),"")</f>
        <v/>
      </c>
      <c r="K111" s="51"/>
      <c r="L111" s="51" t="s">
        <v>257</v>
      </c>
      <c r="M111" s="51"/>
      <c r="N111" s="51"/>
      <c r="O111" s="51"/>
      <c r="P111" s="51"/>
      <c r="Q111" s="51"/>
      <c r="R111" s="51"/>
      <c r="S111" s="51"/>
      <c r="T111" s="51"/>
    </row>
    <row r="112">
      <c r="A112" s="51"/>
      <c r="B112" s="51"/>
      <c r="C112" s="94"/>
      <c r="D112" s="51"/>
      <c r="E112" s="51"/>
      <c r="F112" s="51"/>
      <c r="G112" s="51" t="str">
        <f>IFERROR(__xludf.DUMMYFUNCTION("""COMPUTED_VALUE"""),"#VALUE!")</f>
        <v>#VALUE!</v>
      </c>
      <c r="H112" s="51" t="str">
        <f>IFERROR(__xludf.DUMMYFUNCTION("""COMPUTED_VALUE"""),"")</f>
        <v/>
      </c>
      <c r="I112" s="51" t="str">
        <f>IFERROR(__xludf.DUMMYFUNCTION("""COMPUTED_VALUE"""),"#VALUE!")</f>
        <v>#VALUE!</v>
      </c>
      <c r="J112" s="51" t="str">
        <f>IFERROR(__xludf.DUMMYFUNCTION("""COMPUTED_VALUE"""),"")</f>
        <v/>
      </c>
      <c r="K112" s="51"/>
      <c r="L112" s="51" t="s">
        <v>257</v>
      </c>
      <c r="M112" s="51"/>
      <c r="N112" s="51"/>
      <c r="O112" s="51"/>
      <c r="P112" s="51"/>
      <c r="Q112" s="51"/>
      <c r="R112" s="51"/>
      <c r="S112" s="51"/>
      <c r="T112" s="51"/>
    </row>
    <row r="113">
      <c r="A113" s="51"/>
      <c r="B113" s="51"/>
      <c r="C113" s="94"/>
      <c r="D113" s="51"/>
      <c r="E113" s="51"/>
      <c r="F113" s="51"/>
      <c r="G113" s="51" t="str">
        <f>IFERROR(__xludf.DUMMYFUNCTION("""COMPUTED_VALUE"""),"#VALUE!")</f>
        <v>#VALUE!</v>
      </c>
      <c r="H113" s="51" t="str">
        <f>IFERROR(__xludf.DUMMYFUNCTION("""COMPUTED_VALUE"""),"")</f>
        <v/>
      </c>
      <c r="I113" s="51" t="str">
        <f>IFERROR(__xludf.DUMMYFUNCTION("""COMPUTED_VALUE"""),"#VALUE!")</f>
        <v>#VALUE!</v>
      </c>
      <c r="J113" s="51" t="str">
        <f>IFERROR(__xludf.DUMMYFUNCTION("""COMPUTED_VALUE"""),"")</f>
        <v/>
      </c>
      <c r="K113" s="51"/>
      <c r="L113" s="51" t="s">
        <v>257</v>
      </c>
      <c r="M113" s="51"/>
      <c r="N113" s="51"/>
      <c r="O113" s="51"/>
      <c r="P113" s="51"/>
      <c r="Q113" s="51"/>
      <c r="R113" s="51"/>
      <c r="S113" s="51"/>
      <c r="T113" s="51"/>
    </row>
    <row r="114">
      <c r="A114" s="51"/>
      <c r="B114" s="51"/>
      <c r="C114" s="94"/>
      <c r="D114" s="51"/>
      <c r="E114" s="51"/>
      <c r="F114" s="51"/>
      <c r="G114" s="51" t="str">
        <f>IFERROR(__xludf.DUMMYFUNCTION("""COMPUTED_VALUE"""),"#VALUE!")</f>
        <v>#VALUE!</v>
      </c>
      <c r="H114" s="51" t="str">
        <f>IFERROR(__xludf.DUMMYFUNCTION("""COMPUTED_VALUE"""),"")</f>
        <v/>
      </c>
      <c r="I114" s="51" t="str">
        <f>IFERROR(__xludf.DUMMYFUNCTION("""COMPUTED_VALUE"""),"#VALUE!")</f>
        <v>#VALUE!</v>
      </c>
      <c r="J114" s="51" t="str">
        <f>IFERROR(__xludf.DUMMYFUNCTION("""COMPUTED_VALUE"""),"")</f>
        <v/>
      </c>
      <c r="K114" s="51"/>
      <c r="L114" s="51" t="s">
        <v>257</v>
      </c>
      <c r="M114" s="51"/>
      <c r="N114" s="51"/>
      <c r="O114" s="51"/>
      <c r="P114" s="51"/>
      <c r="Q114" s="51"/>
      <c r="R114" s="51"/>
      <c r="S114" s="51"/>
      <c r="T114" s="51"/>
    </row>
    <row r="115">
      <c r="A115" s="51"/>
      <c r="B115" s="51"/>
      <c r="C115" s="94"/>
      <c r="D115" s="51"/>
      <c r="E115" s="51"/>
      <c r="F115" s="51"/>
      <c r="G115" s="51" t="str">
        <f>IFERROR(__xludf.DUMMYFUNCTION("""COMPUTED_VALUE"""),"#VALUE!")</f>
        <v>#VALUE!</v>
      </c>
      <c r="H115" s="51" t="str">
        <f>IFERROR(__xludf.DUMMYFUNCTION("""COMPUTED_VALUE"""),"")</f>
        <v/>
      </c>
      <c r="I115" s="51" t="str">
        <f>IFERROR(__xludf.DUMMYFUNCTION("""COMPUTED_VALUE"""),"#VALUE!")</f>
        <v>#VALUE!</v>
      </c>
      <c r="J115" s="51" t="str">
        <f>IFERROR(__xludf.DUMMYFUNCTION("""COMPUTED_VALUE"""),"")</f>
        <v/>
      </c>
      <c r="K115" s="51"/>
      <c r="L115" s="51" t="s">
        <v>257</v>
      </c>
      <c r="M115" s="51"/>
      <c r="N115" s="51"/>
      <c r="O115" s="51"/>
      <c r="P115" s="51"/>
      <c r="Q115" s="51"/>
      <c r="R115" s="51"/>
      <c r="S115" s="51"/>
      <c r="T115" s="51"/>
    </row>
    <row r="116">
      <c r="A116" s="51"/>
      <c r="B116" s="51"/>
      <c r="C116" s="94"/>
      <c r="D116" s="51"/>
      <c r="E116" s="51"/>
      <c r="F116" s="51"/>
      <c r="G116" s="51" t="str">
        <f>IFERROR(__xludf.DUMMYFUNCTION("""COMPUTED_VALUE"""),"#VALUE!")</f>
        <v>#VALUE!</v>
      </c>
      <c r="H116" s="51" t="str">
        <f>IFERROR(__xludf.DUMMYFUNCTION("""COMPUTED_VALUE"""),"")</f>
        <v/>
      </c>
      <c r="I116" s="51" t="str">
        <f>IFERROR(__xludf.DUMMYFUNCTION("""COMPUTED_VALUE"""),"#VALUE!")</f>
        <v>#VALUE!</v>
      </c>
      <c r="J116" s="51" t="str">
        <f>IFERROR(__xludf.DUMMYFUNCTION("""COMPUTED_VALUE"""),"")</f>
        <v/>
      </c>
      <c r="K116" s="51"/>
      <c r="L116" s="51" t="s">
        <v>257</v>
      </c>
      <c r="M116" s="51"/>
      <c r="N116" s="51"/>
      <c r="O116" s="51"/>
      <c r="P116" s="51"/>
      <c r="Q116" s="51"/>
      <c r="R116" s="51"/>
      <c r="S116" s="51"/>
      <c r="T116" s="51"/>
    </row>
    <row r="117">
      <c r="A117" s="51"/>
      <c r="B117" s="51"/>
      <c r="C117" s="94"/>
      <c r="D117" s="51"/>
      <c r="E117" s="51"/>
      <c r="F117" s="51"/>
      <c r="G117" s="51" t="str">
        <f>IFERROR(__xludf.DUMMYFUNCTION("""COMPUTED_VALUE"""),"#VALUE!")</f>
        <v>#VALUE!</v>
      </c>
      <c r="H117" s="51" t="str">
        <f>IFERROR(__xludf.DUMMYFUNCTION("""COMPUTED_VALUE"""),"")</f>
        <v/>
      </c>
      <c r="I117" s="51" t="str">
        <f>IFERROR(__xludf.DUMMYFUNCTION("""COMPUTED_VALUE"""),"#VALUE!")</f>
        <v>#VALUE!</v>
      </c>
      <c r="J117" s="51" t="str">
        <f>IFERROR(__xludf.DUMMYFUNCTION("""COMPUTED_VALUE"""),"")</f>
        <v/>
      </c>
      <c r="K117" s="51"/>
      <c r="L117" s="51" t="s">
        <v>257</v>
      </c>
      <c r="M117" s="51"/>
      <c r="N117" s="51"/>
      <c r="O117" s="51"/>
      <c r="P117" s="51"/>
      <c r="Q117" s="51"/>
      <c r="R117" s="51"/>
      <c r="S117" s="51"/>
      <c r="T117" s="51"/>
    </row>
    <row r="118">
      <c r="A118" s="51"/>
      <c r="B118" s="51"/>
      <c r="C118" s="94"/>
      <c r="D118" s="51"/>
      <c r="E118" s="51"/>
      <c r="F118" s="51"/>
      <c r="G118" s="51" t="str">
        <f>IFERROR(__xludf.DUMMYFUNCTION("""COMPUTED_VALUE"""),"#VALUE!")</f>
        <v>#VALUE!</v>
      </c>
      <c r="H118" s="51" t="str">
        <f>IFERROR(__xludf.DUMMYFUNCTION("""COMPUTED_VALUE"""),"")</f>
        <v/>
      </c>
      <c r="I118" s="51" t="str">
        <f>IFERROR(__xludf.DUMMYFUNCTION("""COMPUTED_VALUE"""),"#VALUE!")</f>
        <v>#VALUE!</v>
      </c>
      <c r="J118" s="51" t="str">
        <f>IFERROR(__xludf.DUMMYFUNCTION("""COMPUTED_VALUE"""),"")</f>
        <v/>
      </c>
      <c r="K118" s="51"/>
      <c r="L118" s="51" t="s">
        <v>257</v>
      </c>
      <c r="M118" s="51"/>
      <c r="N118" s="51"/>
      <c r="O118" s="51"/>
      <c r="P118" s="51"/>
      <c r="Q118" s="51"/>
      <c r="R118" s="51"/>
      <c r="S118" s="51"/>
      <c r="T118" s="51"/>
    </row>
    <row r="119">
      <c r="A119" s="51"/>
      <c r="B119" s="51"/>
      <c r="C119" s="94"/>
      <c r="D119" s="51"/>
      <c r="E119" s="51"/>
      <c r="F119" s="51"/>
      <c r="G119" s="51" t="str">
        <f>IFERROR(__xludf.DUMMYFUNCTION("""COMPUTED_VALUE"""),"#VALUE!")</f>
        <v>#VALUE!</v>
      </c>
      <c r="H119" s="51" t="str">
        <f>IFERROR(__xludf.DUMMYFUNCTION("""COMPUTED_VALUE"""),"")</f>
        <v/>
      </c>
      <c r="I119" s="51" t="str">
        <f>IFERROR(__xludf.DUMMYFUNCTION("""COMPUTED_VALUE"""),"#VALUE!")</f>
        <v>#VALUE!</v>
      </c>
      <c r="J119" s="51" t="str">
        <f>IFERROR(__xludf.DUMMYFUNCTION("""COMPUTED_VALUE"""),"")</f>
        <v/>
      </c>
      <c r="K119" s="51"/>
      <c r="L119" s="51" t="s">
        <v>257</v>
      </c>
      <c r="M119" s="51"/>
      <c r="N119" s="51"/>
      <c r="O119" s="51"/>
      <c r="P119" s="51"/>
      <c r="Q119" s="51"/>
      <c r="R119" s="51"/>
      <c r="S119" s="51"/>
      <c r="T119" s="51"/>
    </row>
    <row r="120">
      <c r="A120" s="51"/>
      <c r="B120" s="51"/>
      <c r="C120" s="94"/>
      <c r="D120" s="51"/>
      <c r="E120" s="51"/>
      <c r="F120" s="51"/>
      <c r="G120" s="51" t="str">
        <f>IFERROR(__xludf.DUMMYFUNCTION("""COMPUTED_VALUE"""),"#VALUE!")</f>
        <v>#VALUE!</v>
      </c>
      <c r="H120" s="51" t="str">
        <f>IFERROR(__xludf.DUMMYFUNCTION("""COMPUTED_VALUE"""),"")</f>
        <v/>
      </c>
      <c r="I120" s="51" t="str">
        <f>IFERROR(__xludf.DUMMYFUNCTION("""COMPUTED_VALUE"""),"#VALUE!")</f>
        <v>#VALUE!</v>
      </c>
      <c r="J120" s="51" t="str">
        <f>IFERROR(__xludf.DUMMYFUNCTION("""COMPUTED_VALUE"""),"")</f>
        <v/>
      </c>
      <c r="K120" s="51"/>
      <c r="L120" s="51" t="s">
        <v>257</v>
      </c>
      <c r="M120" s="51"/>
      <c r="N120" s="51"/>
      <c r="O120" s="51"/>
      <c r="P120" s="51"/>
      <c r="Q120" s="51"/>
      <c r="R120" s="51"/>
      <c r="S120" s="51"/>
      <c r="T120" s="51"/>
    </row>
    <row r="121">
      <c r="A121" s="51"/>
      <c r="B121" s="51"/>
      <c r="C121" s="94"/>
      <c r="D121" s="51"/>
      <c r="E121" s="51"/>
      <c r="F121" s="51"/>
      <c r="G121" s="51" t="str">
        <f>IFERROR(__xludf.DUMMYFUNCTION("""COMPUTED_VALUE"""),"#VALUE!")</f>
        <v>#VALUE!</v>
      </c>
      <c r="H121" s="51" t="str">
        <f>IFERROR(__xludf.DUMMYFUNCTION("""COMPUTED_VALUE"""),"")</f>
        <v/>
      </c>
      <c r="I121" s="51" t="str">
        <f>IFERROR(__xludf.DUMMYFUNCTION("""COMPUTED_VALUE"""),"#VALUE!")</f>
        <v>#VALUE!</v>
      </c>
      <c r="J121" s="51" t="str">
        <f>IFERROR(__xludf.DUMMYFUNCTION("""COMPUTED_VALUE"""),"")</f>
        <v/>
      </c>
      <c r="K121" s="51"/>
      <c r="L121" s="51" t="s">
        <v>257</v>
      </c>
      <c r="M121" s="51"/>
      <c r="N121" s="51"/>
      <c r="O121" s="51"/>
      <c r="P121" s="51"/>
      <c r="Q121" s="51"/>
      <c r="R121" s="51"/>
      <c r="S121" s="51"/>
      <c r="T121" s="51"/>
    </row>
    <row r="122">
      <c r="A122" s="51"/>
      <c r="B122" s="51"/>
      <c r="C122" s="94"/>
      <c r="D122" s="51"/>
      <c r="E122" s="51"/>
      <c r="F122" s="51"/>
      <c r="G122" s="51" t="str">
        <f>IFERROR(__xludf.DUMMYFUNCTION("""COMPUTED_VALUE"""),"#VALUE!")</f>
        <v>#VALUE!</v>
      </c>
      <c r="H122" s="51" t="str">
        <f>IFERROR(__xludf.DUMMYFUNCTION("""COMPUTED_VALUE"""),"")</f>
        <v/>
      </c>
      <c r="I122" s="51" t="str">
        <f>IFERROR(__xludf.DUMMYFUNCTION("""COMPUTED_VALUE"""),"#VALUE!")</f>
        <v>#VALUE!</v>
      </c>
      <c r="J122" s="51" t="str">
        <f>IFERROR(__xludf.DUMMYFUNCTION("""COMPUTED_VALUE"""),"")</f>
        <v/>
      </c>
      <c r="K122" s="51"/>
      <c r="L122" s="51" t="s">
        <v>257</v>
      </c>
      <c r="M122" s="51"/>
      <c r="N122" s="51"/>
      <c r="O122" s="51"/>
      <c r="P122" s="51"/>
      <c r="Q122" s="51"/>
      <c r="R122" s="51"/>
      <c r="S122" s="51"/>
      <c r="T122" s="51"/>
    </row>
    <row r="123">
      <c r="A123" s="51"/>
      <c r="B123" s="51"/>
      <c r="C123" s="94"/>
      <c r="D123" s="51"/>
      <c r="E123" s="51"/>
      <c r="F123" s="51"/>
      <c r="G123" s="51" t="str">
        <f>IFERROR(__xludf.DUMMYFUNCTION("""COMPUTED_VALUE"""),"#VALUE!")</f>
        <v>#VALUE!</v>
      </c>
      <c r="H123" s="51" t="str">
        <f>IFERROR(__xludf.DUMMYFUNCTION("""COMPUTED_VALUE"""),"")</f>
        <v/>
      </c>
      <c r="I123" s="51" t="str">
        <f>IFERROR(__xludf.DUMMYFUNCTION("""COMPUTED_VALUE"""),"#VALUE!")</f>
        <v>#VALUE!</v>
      </c>
      <c r="J123" s="51" t="str">
        <f>IFERROR(__xludf.DUMMYFUNCTION("""COMPUTED_VALUE"""),"")</f>
        <v/>
      </c>
      <c r="K123" s="51"/>
      <c r="L123" s="51" t="s">
        <v>257</v>
      </c>
      <c r="M123" s="51"/>
      <c r="N123" s="51"/>
      <c r="O123" s="51"/>
      <c r="P123" s="51"/>
      <c r="Q123" s="51"/>
      <c r="R123" s="51"/>
      <c r="S123" s="51"/>
      <c r="T123" s="51"/>
    </row>
    <row r="124">
      <c r="A124" s="51"/>
      <c r="B124" s="51"/>
      <c r="C124" s="94"/>
      <c r="D124" s="51"/>
      <c r="E124" s="51"/>
      <c r="F124" s="51"/>
      <c r="G124" s="51" t="str">
        <f>IFERROR(__xludf.DUMMYFUNCTION("""COMPUTED_VALUE"""),"#VALUE!")</f>
        <v>#VALUE!</v>
      </c>
      <c r="H124" s="51" t="str">
        <f>IFERROR(__xludf.DUMMYFUNCTION("""COMPUTED_VALUE"""),"")</f>
        <v/>
      </c>
      <c r="I124" s="51" t="str">
        <f>IFERROR(__xludf.DUMMYFUNCTION("""COMPUTED_VALUE"""),"#VALUE!")</f>
        <v>#VALUE!</v>
      </c>
      <c r="J124" s="51" t="str">
        <f>IFERROR(__xludf.DUMMYFUNCTION("""COMPUTED_VALUE"""),"")</f>
        <v/>
      </c>
      <c r="K124" s="51"/>
      <c r="L124" s="51" t="s">
        <v>257</v>
      </c>
      <c r="M124" s="51"/>
      <c r="N124" s="51"/>
      <c r="O124" s="51"/>
      <c r="P124" s="51"/>
      <c r="Q124" s="51"/>
      <c r="R124" s="51"/>
      <c r="S124" s="51"/>
      <c r="T124" s="51"/>
    </row>
    <row r="125">
      <c r="A125" s="51"/>
      <c r="B125" s="51"/>
      <c r="C125" s="94"/>
      <c r="D125" s="51"/>
      <c r="E125" s="51"/>
      <c r="F125" s="51"/>
      <c r="G125" s="51" t="str">
        <f>IFERROR(__xludf.DUMMYFUNCTION("""COMPUTED_VALUE"""),"#VALUE!")</f>
        <v>#VALUE!</v>
      </c>
      <c r="H125" s="51" t="str">
        <f>IFERROR(__xludf.DUMMYFUNCTION("""COMPUTED_VALUE"""),"")</f>
        <v/>
      </c>
      <c r="I125" s="51" t="str">
        <f>IFERROR(__xludf.DUMMYFUNCTION("""COMPUTED_VALUE"""),"#VALUE!")</f>
        <v>#VALUE!</v>
      </c>
      <c r="J125" s="51" t="str">
        <f>IFERROR(__xludf.DUMMYFUNCTION("""COMPUTED_VALUE"""),"")</f>
        <v/>
      </c>
      <c r="K125" s="51"/>
      <c r="L125" s="51" t="s">
        <v>257</v>
      </c>
      <c r="M125" s="51"/>
      <c r="N125" s="51"/>
      <c r="O125" s="51"/>
      <c r="P125" s="51"/>
      <c r="Q125" s="51"/>
      <c r="R125" s="51"/>
      <c r="S125" s="51"/>
      <c r="T125" s="51"/>
    </row>
    <row r="126">
      <c r="A126" s="51"/>
      <c r="B126" s="51"/>
      <c r="C126" s="94"/>
      <c r="D126" s="51"/>
      <c r="E126" s="51"/>
      <c r="F126" s="51"/>
      <c r="G126" s="51" t="str">
        <f>IFERROR(__xludf.DUMMYFUNCTION("""COMPUTED_VALUE"""),"#VALUE!")</f>
        <v>#VALUE!</v>
      </c>
      <c r="H126" s="51" t="str">
        <f>IFERROR(__xludf.DUMMYFUNCTION("""COMPUTED_VALUE"""),"")</f>
        <v/>
      </c>
      <c r="I126" s="51" t="str">
        <f>IFERROR(__xludf.DUMMYFUNCTION("""COMPUTED_VALUE"""),"#VALUE!")</f>
        <v>#VALUE!</v>
      </c>
      <c r="J126" s="51" t="str">
        <f>IFERROR(__xludf.DUMMYFUNCTION("""COMPUTED_VALUE"""),"")</f>
        <v/>
      </c>
      <c r="K126" s="51"/>
      <c r="L126" s="51" t="s">
        <v>257</v>
      </c>
      <c r="M126" s="51"/>
      <c r="N126" s="51"/>
      <c r="O126" s="51"/>
      <c r="P126" s="51"/>
      <c r="Q126" s="51"/>
      <c r="R126" s="51"/>
      <c r="S126" s="51"/>
      <c r="T126" s="51"/>
    </row>
    <row r="127">
      <c r="A127" s="51"/>
      <c r="B127" s="51"/>
      <c r="C127" s="94"/>
      <c r="D127" s="51"/>
      <c r="E127" s="51"/>
      <c r="F127" s="51"/>
      <c r="G127" s="51" t="str">
        <f>IFERROR(__xludf.DUMMYFUNCTION("""COMPUTED_VALUE"""),"#VALUE!")</f>
        <v>#VALUE!</v>
      </c>
      <c r="H127" s="51" t="str">
        <f>IFERROR(__xludf.DUMMYFUNCTION("""COMPUTED_VALUE"""),"")</f>
        <v/>
      </c>
      <c r="I127" s="51" t="str">
        <f>IFERROR(__xludf.DUMMYFUNCTION("""COMPUTED_VALUE"""),"#VALUE!")</f>
        <v>#VALUE!</v>
      </c>
      <c r="J127" s="51" t="str">
        <f>IFERROR(__xludf.DUMMYFUNCTION("""COMPUTED_VALUE"""),"")</f>
        <v/>
      </c>
      <c r="K127" s="51"/>
      <c r="L127" s="51" t="s">
        <v>257</v>
      </c>
      <c r="M127" s="51"/>
      <c r="N127" s="51"/>
      <c r="O127" s="51"/>
      <c r="P127" s="51"/>
      <c r="Q127" s="51"/>
      <c r="R127" s="51"/>
      <c r="S127" s="51"/>
      <c r="T127" s="51"/>
    </row>
    <row r="128">
      <c r="A128" s="51"/>
      <c r="B128" s="51"/>
      <c r="C128" s="94"/>
      <c r="D128" s="51"/>
      <c r="E128" s="51"/>
      <c r="F128" s="51"/>
      <c r="G128" s="51" t="str">
        <f>IFERROR(__xludf.DUMMYFUNCTION("""COMPUTED_VALUE"""),"#VALUE!")</f>
        <v>#VALUE!</v>
      </c>
      <c r="H128" s="51" t="str">
        <f>IFERROR(__xludf.DUMMYFUNCTION("""COMPUTED_VALUE"""),"")</f>
        <v/>
      </c>
      <c r="I128" s="51" t="str">
        <f>IFERROR(__xludf.DUMMYFUNCTION("""COMPUTED_VALUE"""),"#VALUE!")</f>
        <v>#VALUE!</v>
      </c>
      <c r="J128" s="51" t="str">
        <f>IFERROR(__xludf.DUMMYFUNCTION("""COMPUTED_VALUE"""),"")</f>
        <v/>
      </c>
      <c r="K128" s="51"/>
      <c r="L128" s="51" t="s">
        <v>257</v>
      </c>
      <c r="M128" s="51"/>
      <c r="N128" s="51"/>
      <c r="O128" s="51"/>
      <c r="P128" s="51"/>
      <c r="Q128" s="51"/>
      <c r="R128" s="51"/>
      <c r="S128" s="51"/>
      <c r="T128" s="51"/>
    </row>
    <row r="129">
      <c r="A129" s="51"/>
      <c r="B129" s="51"/>
      <c r="C129" s="94"/>
      <c r="D129" s="51"/>
      <c r="E129" s="51"/>
      <c r="F129" s="51"/>
      <c r="G129" s="51" t="str">
        <f>IFERROR(__xludf.DUMMYFUNCTION("""COMPUTED_VALUE"""),"#VALUE!")</f>
        <v>#VALUE!</v>
      </c>
      <c r="H129" s="51" t="str">
        <f>IFERROR(__xludf.DUMMYFUNCTION("""COMPUTED_VALUE"""),"")</f>
        <v/>
      </c>
      <c r="I129" s="51" t="str">
        <f>IFERROR(__xludf.DUMMYFUNCTION("""COMPUTED_VALUE"""),"#VALUE!")</f>
        <v>#VALUE!</v>
      </c>
      <c r="J129" s="51" t="str">
        <f>IFERROR(__xludf.DUMMYFUNCTION("""COMPUTED_VALUE"""),"")</f>
        <v/>
      </c>
      <c r="K129" s="51"/>
      <c r="L129" s="51" t="s">
        <v>257</v>
      </c>
      <c r="M129" s="51"/>
      <c r="N129" s="51"/>
      <c r="O129" s="51"/>
      <c r="P129" s="51"/>
      <c r="Q129" s="51"/>
      <c r="R129" s="51"/>
      <c r="S129" s="51"/>
      <c r="T129" s="51"/>
    </row>
    <row r="130">
      <c r="A130" s="51"/>
      <c r="B130" s="51"/>
      <c r="C130" s="94"/>
      <c r="D130" s="51"/>
      <c r="E130" s="51"/>
      <c r="F130" s="51"/>
      <c r="G130" s="51" t="str">
        <f>IFERROR(__xludf.DUMMYFUNCTION("""COMPUTED_VALUE"""),"#VALUE!")</f>
        <v>#VALUE!</v>
      </c>
      <c r="H130" s="51" t="str">
        <f>IFERROR(__xludf.DUMMYFUNCTION("""COMPUTED_VALUE"""),"")</f>
        <v/>
      </c>
      <c r="I130" s="51" t="str">
        <f>IFERROR(__xludf.DUMMYFUNCTION("""COMPUTED_VALUE"""),"#VALUE!")</f>
        <v>#VALUE!</v>
      </c>
      <c r="J130" s="51" t="str">
        <f>IFERROR(__xludf.DUMMYFUNCTION("""COMPUTED_VALUE"""),"")</f>
        <v/>
      </c>
      <c r="K130" s="51"/>
      <c r="L130" s="51" t="s">
        <v>257</v>
      </c>
      <c r="M130" s="51"/>
      <c r="N130" s="51"/>
      <c r="O130" s="51"/>
      <c r="P130" s="51"/>
      <c r="Q130" s="51"/>
      <c r="R130" s="51"/>
      <c r="S130" s="51"/>
      <c r="T130" s="51"/>
    </row>
    <row r="131">
      <c r="A131" s="51"/>
      <c r="B131" s="51"/>
      <c r="C131" s="94"/>
      <c r="D131" s="51"/>
      <c r="E131" s="51"/>
      <c r="F131" s="51"/>
      <c r="G131" s="51" t="str">
        <f>IFERROR(__xludf.DUMMYFUNCTION("""COMPUTED_VALUE"""),"#VALUE!")</f>
        <v>#VALUE!</v>
      </c>
      <c r="H131" s="51" t="str">
        <f>IFERROR(__xludf.DUMMYFUNCTION("""COMPUTED_VALUE"""),"")</f>
        <v/>
      </c>
      <c r="I131" s="51" t="str">
        <f>IFERROR(__xludf.DUMMYFUNCTION("""COMPUTED_VALUE"""),"#VALUE!")</f>
        <v>#VALUE!</v>
      </c>
      <c r="J131" s="51" t="str">
        <f>IFERROR(__xludf.DUMMYFUNCTION("""COMPUTED_VALUE"""),"")</f>
        <v/>
      </c>
      <c r="K131" s="51"/>
      <c r="L131" s="51" t="s">
        <v>257</v>
      </c>
      <c r="M131" s="51"/>
      <c r="N131" s="51"/>
      <c r="O131" s="51"/>
      <c r="P131" s="51"/>
      <c r="Q131" s="51"/>
      <c r="R131" s="51"/>
      <c r="S131" s="51"/>
      <c r="T131" s="51"/>
    </row>
    <row r="132">
      <c r="A132" s="51"/>
      <c r="B132" s="51"/>
      <c r="C132" s="94"/>
      <c r="D132" s="51"/>
      <c r="E132" s="51"/>
      <c r="F132" s="51"/>
      <c r="G132" s="51" t="str">
        <f>IFERROR(__xludf.DUMMYFUNCTION("""COMPUTED_VALUE"""),"#VALUE!")</f>
        <v>#VALUE!</v>
      </c>
      <c r="H132" s="51" t="str">
        <f>IFERROR(__xludf.DUMMYFUNCTION("""COMPUTED_VALUE"""),"")</f>
        <v/>
      </c>
      <c r="I132" s="51" t="str">
        <f>IFERROR(__xludf.DUMMYFUNCTION("""COMPUTED_VALUE"""),"#VALUE!")</f>
        <v>#VALUE!</v>
      </c>
      <c r="J132" s="51" t="str">
        <f>IFERROR(__xludf.DUMMYFUNCTION("""COMPUTED_VALUE"""),"")</f>
        <v/>
      </c>
      <c r="K132" s="51"/>
      <c r="L132" s="51" t="s">
        <v>257</v>
      </c>
      <c r="M132" s="51"/>
      <c r="N132" s="51"/>
      <c r="O132" s="51"/>
      <c r="P132" s="51"/>
      <c r="Q132" s="51"/>
      <c r="R132" s="51"/>
      <c r="S132" s="51"/>
      <c r="T132" s="51"/>
    </row>
    <row r="133">
      <c r="A133" s="51"/>
      <c r="B133" s="51"/>
      <c r="C133" s="94"/>
      <c r="D133" s="51"/>
      <c r="E133" s="51"/>
      <c r="F133" s="51"/>
      <c r="G133" s="51" t="str">
        <f>IFERROR(__xludf.DUMMYFUNCTION("""COMPUTED_VALUE"""),"#VALUE!")</f>
        <v>#VALUE!</v>
      </c>
      <c r="H133" s="51" t="str">
        <f>IFERROR(__xludf.DUMMYFUNCTION("""COMPUTED_VALUE"""),"")</f>
        <v/>
      </c>
      <c r="I133" s="51" t="str">
        <f>IFERROR(__xludf.DUMMYFUNCTION("""COMPUTED_VALUE"""),"#VALUE!")</f>
        <v>#VALUE!</v>
      </c>
      <c r="J133" s="51" t="str">
        <f>IFERROR(__xludf.DUMMYFUNCTION("""COMPUTED_VALUE"""),"")</f>
        <v/>
      </c>
      <c r="K133" s="51"/>
      <c r="L133" s="51" t="s">
        <v>257</v>
      </c>
      <c r="M133" s="51"/>
      <c r="N133" s="51"/>
      <c r="O133" s="51"/>
      <c r="P133" s="51"/>
      <c r="Q133" s="51"/>
      <c r="R133" s="51"/>
      <c r="S133" s="51"/>
      <c r="T133" s="51"/>
    </row>
    <row r="134">
      <c r="A134" s="51"/>
      <c r="B134" s="51"/>
      <c r="C134" s="94"/>
      <c r="D134" s="51"/>
      <c r="E134" s="51"/>
      <c r="F134" s="51"/>
      <c r="G134" s="51" t="str">
        <f>IFERROR(__xludf.DUMMYFUNCTION("""COMPUTED_VALUE"""),"#VALUE!")</f>
        <v>#VALUE!</v>
      </c>
      <c r="H134" s="51" t="str">
        <f>IFERROR(__xludf.DUMMYFUNCTION("""COMPUTED_VALUE"""),"")</f>
        <v/>
      </c>
      <c r="I134" s="51" t="str">
        <f>IFERROR(__xludf.DUMMYFUNCTION("""COMPUTED_VALUE"""),"#VALUE!")</f>
        <v>#VALUE!</v>
      </c>
      <c r="J134" s="51" t="str">
        <f>IFERROR(__xludf.DUMMYFUNCTION("""COMPUTED_VALUE"""),"")</f>
        <v/>
      </c>
      <c r="K134" s="51"/>
      <c r="L134" s="51" t="s">
        <v>257</v>
      </c>
      <c r="M134" s="51"/>
      <c r="N134" s="51"/>
      <c r="O134" s="51"/>
      <c r="P134" s="51"/>
      <c r="Q134" s="51"/>
      <c r="R134" s="51"/>
      <c r="S134" s="51"/>
      <c r="T134" s="51"/>
    </row>
    <row r="135">
      <c r="A135" s="51"/>
      <c r="B135" s="51"/>
      <c r="C135" s="94"/>
      <c r="D135" s="51"/>
      <c r="E135" s="51"/>
      <c r="F135" s="51"/>
      <c r="G135" s="51" t="str">
        <f>IFERROR(__xludf.DUMMYFUNCTION("""COMPUTED_VALUE"""),"#VALUE!")</f>
        <v>#VALUE!</v>
      </c>
      <c r="H135" s="51" t="str">
        <f>IFERROR(__xludf.DUMMYFUNCTION("""COMPUTED_VALUE"""),"")</f>
        <v/>
      </c>
      <c r="I135" s="51" t="str">
        <f>IFERROR(__xludf.DUMMYFUNCTION("""COMPUTED_VALUE"""),"#VALUE!")</f>
        <v>#VALUE!</v>
      </c>
      <c r="J135" s="51" t="str">
        <f>IFERROR(__xludf.DUMMYFUNCTION("""COMPUTED_VALUE"""),"")</f>
        <v/>
      </c>
      <c r="K135" s="51"/>
      <c r="L135" s="51" t="s">
        <v>257</v>
      </c>
      <c r="M135" s="51"/>
      <c r="N135" s="51"/>
      <c r="O135" s="51"/>
      <c r="P135" s="51"/>
      <c r="Q135" s="51"/>
      <c r="R135" s="51"/>
      <c r="S135" s="51"/>
      <c r="T135" s="51"/>
    </row>
    <row r="136">
      <c r="A136" s="51"/>
      <c r="B136" s="51"/>
      <c r="C136" s="94"/>
      <c r="D136" s="51"/>
      <c r="E136" s="51"/>
      <c r="F136" s="51"/>
      <c r="G136" s="51" t="str">
        <f>IFERROR(__xludf.DUMMYFUNCTION("""COMPUTED_VALUE"""),"#VALUE!")</f>
        <v>#VALUE!</v>
      </c>
      <c r="H136" s="51" t="str">
        <f>IFERROR(__xludf.DUMMYFUNCTION("""COMPUTED_VALUE"""),"")</f>
        <v/>
      </c>
      <c r="I136" s="51" t="str">
        <f>IFERROR(__xludf.DUMMYFUNCTION("""COMPUTED_VALUE"""),"#VALUE!")</f>
        <v>#VALUE!</v>
      </c>
      <c r="J136" s="51" t="str">
        <f>IFERROR(__xludf.DUMMYFUNCTION("""COMPUTED_VALUE"""),"")</f>
        <v/>
      </c>
      <c r="K136" s="51"/>
      <c r="L136" s="51" t="s">
        <v>257</v>
      </c>
      <c r="M136" s="51"/>
      <c r="N136" s="51"/>
      <c r="O136" s="51"/>
      <c r="P136" s="51"/>
      <c r="Q136" s="51"/>
      <c r="R136" s="51"/>
      <c r="S136" s="51"/>
      <c r="T136" s="51"/>
    </row>
    <row r="137">
      <c r="A137" s="51"/>
      <c r="B137" s="51"/>
      <c r="C137" s="94"/>
      <c r="D137" s="51"/>
      <c r="E137" s="51"/>
      <c r="F137" s="51"/>
      <c r="G137" s="51" t="str">
        <f>IFERROR(__xludf.DUMMYFUNCTION("""COMPUTED_VALUE"""),"#VALUE!")</f>
        <v>#VALUE!</v>
      </c>
      <c r="H137" s="51" t="str">
        <f>IFERROR(__xludf.DUMMYFUNCTION("""COMPUTED_VALUE"""),"")</f>
        <v/>
      </c>
      <c r="I137" s="51" t="str">
        <f>IFERROR(__xludf.DUMMYFUNCTION("""COMPUTED_VALUE"""),"#VALUE!")</f>
        <v>#VALUE!</v>
      </c>
      <c r="J137" s="51" t="str">
        <f>IFERROR(__xludf.DUMMYFUNCTION("""COMPUTED_VALUE"""),"")</f>
        <v/>
      </c>
      <c r="K137" s="51"/>
      <c r="L137" s="51" t="s">
        <v>257</v>
      </c>
      <c r="M137" s="51"/>
      <c r="N137" s="51"/>
      <c r="O137" s="51"/>
      <c r="P137" s="51"/>
      <c r="Q137" s="51"/>
      <c r="R137" s="51"/>
      <c r="S137" s="51"/>
      <c r="T137" s="51"/>
    </row>
    <row r="138">
      <c r="A138" s="51"/>
      <c r="B138" s="51"/>
      <c r="C138" s="94"/>
      <c r="D138" s="51"/>
      <c r="E138" s="51"/>
      <c r="F138" s="51"/>
      <c r="G138" s="51" t="str">
        <f>IFERROR(__xludf.DUMMYFUNCTION("""COMPUTED_VALUE"""),"#VALUE!")</f>
        <v>#VALUE!</v>
      </c>
      <c r="H138" s="51" t="str">
        <f>IFERROR(__xludf.DUMMYFUNCTION("""COMPUTED_VALUE"""),"")</f>
        <v/>
      </c>
      <c r="I138" s="51" t="str">
        <f>IFERROR(__xludf.DUMMYFUNCTION("""COMPUTED_VALUE"""),"#VALUE!")</f>
        <v>#VALUE!</v>
      </c>
      <c r="J138" s="51" t="str">
        <f>IFERROR(__xludf.DUMMYFUNCTION("""COMPUTED_VALUE"""),"")</f>
        <v/>
      </c>
      <c r="K138" s="51"/>
      <c r="L138" s="51" t="s">
        <v>257</v>
      </c>
      <c r="M138" s="51"/>
      <c r="N138" s="51"/>
      <c r="O138" s="51"/>
      <c r="P138" s="51"/>
      <c r="Q138" s="51"/>
      <c r="R138" s="51"/>
      <c r="S138" s="51"/>
      <c r="T138" s="51"/>
    </row>
    <row r="139">
      <c r="A139" s="51"/>
      <c r="B139" s="51"/>
      <c r="C139" s="94"/>
      <c r="D139" s="51"/>
      <c r="E139" s="51"/>
      <c r="F139" s="51"/>
      <c r="G139" s="51" t="str">
        <f>IFERROR(__xludf.DUMMYFUNCTION("""COMPUTED_VALUE"""),"#VALUE!")</f>
        <v>#VALUE!</v>
      </c>
      <c r="H139" s="51" t="str">
        <f>IFERROR(__xludf.DUMMYFUNCTION("""COMPUTED_VALUE"""),"")</f>
        <v/>
      </c>
      <c r="I139" s="51" t="str">
        <f>IFERROR(__xludf.DUMMYFUNCTION("""COMPUTED_VALUE"""),"#VALUE!")</f>
        <v>#VALUE!</v>
      </c>
      <c r="J139" s="51" t="str">
        <f>IFERROR(__xludf.DUMMYFUNCTION("""COMPUTED_VALUE"""),"")</f>
        <v/>
      </c>
      <c r="K139" s="51"/>
      <c r="L139" s="51" t="s">
        <v>257</v>
      </c>
      <c r="M139" s="51"/>
      <c r="N139" s="51"/>
      <c r="O139" s="51"/>
      <c r="P139" s="51"/>
      <c r="Q139" s="51"/>
      <c r="R139" s="51"/>
      <c r="S139" s="51"/>
      <c r="T139" s="51"/>
    </row>
    <row r="140">
      <c r="A140" s="51"/>
      <c r="B140" s="51"/>
      <c r="C140" s="94"/>
      <c r="D140" s="51"/>
      <c r="E140" s="51"/>
      <c r="F140" s="51"/>
      <c r="G140" s="51" t="str">
        <f>IFERROR(__xludf.DUMMYFUNCTION("""COMPUTED_VALUE"""),"#VALUE!")</f>
        <v>#VALUE!</v>
      </c>
      <c r="H140" s="51" t="str">
        <f>IFERROR(__xludf.DUMMYFUNCTION("""COMPUTED_VALUE"""),"")</f>
        <v/>
      </c>
      <c r="I140" s="51" t="str">
        <f>IFERROR(__xludf.DUMMYFUNCTION("""COMPUTED_VALUE"""),"#VALUE!")</f>
        <v>#VALUE!</v>
      </c>
      <c r="J140" s="51" t="str">
        <f>IFERROR(__xludf.DUMMYFUNCTION("""COMPUTED_VALUE"""),"")</f>
        <v/>
      </c>
      <c r="K140" s="51"/>
      <c r="L140" s="51" t="s">
        <v>257</v>
      </c>
      <c r="M140" s="51"/>
      <c r="N140" s="51"/>
      <c r="O140" s="51"/>
      <c r="P140" s="51"/>
      <c r="Q140" s="51"/>
      <c r="R140" s="51"/>
      <c r="S140" s="51"/>
      <c r="T140" s="51"/>
    </row>
    <row r="141">
      <c r="A141" s="51"/>
      <c r="B141" s="51"/>
      <c r="C141" s="94"/>
      <c r="D141" s="51"/>
      <c r="E141" s="51"/>
      <c r="F141" s="51"/>
      <c r="G141" s="51" t="str">
        <f>IFERROR(__xludf.DUMMYFUNCTION("""COMPUTED_VALUE"""),"#VALUE!")</f>
        <v>#VALUE!</v>
      </c>
      <c r="H141" s="51" t="str">
        <f>IFERROR(__xludf.DUMMYFUNCTION("""COMPUTED_VALUE"""),"")</f>
        <v/>
      </c>
      <c r="I141" s="51" t="str">
        <f>IFERROR(__xludf.DUMMYFUNCTION("""COMPUTED_VALUE"""),"#VALUE!")</f>
        <v>#VALUE!</v>
      </c>
      <c r="J141" s="51" t="str">
        <f>IFERROR(__xludf.DUMMYFUNCTION("""COMPUTED_VALUE"""),"")</f>
        <v/>
      </c>
      <c r="K141" s="51"/>
      <c r="L141" s="51" t="s">
        <v>257</v>
      </c>
      <c r="M141" s="51"/>
      <c r="N141" s="51"/>
      <c r="O141" s="51"/>
      <c r="P141" s="51"/>
      <c r="Q141" s="51"/>
      <c r="R141" s="51"/>
      <c r="S141" s="51"/>
      <c r="T141" s="51"/>
    </row>
    <row r="142">
      <c r="A142" s="51"/>
      <c r="B142" s="51"/>
      <c r="C142" s="94"/>
      <c r="D142" s="51"/>
      <c r="E142" s="51"/>
      <c r="F142" s="51"/>
      <c r="G142" s="51" t="str">
        <f>IFERROR(__xludf.DUMMYFUNCTION("""COMPUTED_VALUE"""),"#VALUE!")</f>
        <v>#VALUE!</v>
      </c>
      <c r="H142" s="51" t="str">
        <f>IFERROR(__xludf.DUMMYFUNCTION("""COMPUTED_VALUE"""),"")</f>
        <v/>
      </c>
      <c r="I142" s="51" t="str">
        <f>IFERROR(__xludf.DUMMYFUNCTION("""COMPUTED_VALUE"""),"#VALUE!")</f>
        <v>#VALUE!</v>
      </c>
      <c r="J142" s="51" t="str">
        <f>IFERROR(__xludf.DUMMYFUNCTION("""COMPUTED_VALUE"""),"")</f>
        <v/>
      </c>
      <c r="K142" s="51"/>
      <c r="L142" s="51" t="s">
        <v>257</v>
      </c>
      <c r="M142" s="51"/>
      <c r="N142" s="51"/>
      <c r="O142" s="51"/>
      <c r="P142" s="51"/>
      <c r="Q142" s="51"/>
      <c r="R142" s="51"/>
      <c r="S142" s="51"/>
      <c r="T142" s="51"/>
    </row>
    <row r="143">
      <c r="A143" s="51"/>
      <c r="B143" s="51"/>
      <c r="C143" s="94"/>
      <c r="D143" s="51"/>
      <c r="E143" s="51"/>
      <c r="F143" s="51"/>
      <c r="G143" s="51" t="str">
        <f>IFERROR(__xludf.DUMMYFUNCTION("""COMPUTED_VALUE"""),"#VALUE!")</f>
        <v>#VALUE!</v>
      </c>
      <c r="H143" s="51" t="str">
        <f>IFERROR(__xludf.DUMMYFUNCTION("""COMPUTED_VALUE"""),"")</f>
        <v/>
      </c>
      <c r="I143" s="51" t="str">
        <f>IFERROR(__xludf.DUMMYFUNCTION("""COMPUTED_VALUE"""),"#VALUE!")</f>
        <v>#VALUE!</v>
      </c>
      <c r="J143" s="51" t="str">
        <f>IFERROR(__xludf.DUMMYFUNCTION("""COMPUTED_VALUE"""),"")</f>
        <v/>
      </c>
      <c r="K143" s="51"/>
      <c r="L143" s="51" t="s">
        <v>257</v>
      </c>
      <c r="M143" s="51"/>
      <c r="N143" s="51"/>
      <c r="O143" s="51"/>
      <c r="P143" s="51"/>
      <c r="Q143" s="51"/>
      <c r="R143" s="51"/>
      <c r="S143" s="51"/>
      <c r="T143" s="51"/>
    </row>
    <row r="144">
      <c r="A144" s="51"/>
      <c r="B144" s="51"/>
      <c r="C144" s="94"/>
      <c r="D144" s="51"/>
      <c r="E144" s="51"/>
      <c r="F144" s="51"/>
      <c r="G144" s="51" t="str">
        <f>IFERROR(__xludf.DUMMYFUNCTION("""COMPUTED_VALUE"""),"#VALUE!")</f>
        <v>#VALUE!</v>
      </c>
      <c r="H144" s="51" t="str">
        <f>IFERROR(__xludf.DUMMYFUNCTION("""COMPUTED_VALUE"""),"")</f>
        <v/>
      </c>
      <c r="I144" s="51" t="str">
        <f>IFERROR(__xludf.DUMMYFUNCTION("""COMPUTED_VALUE"""),"#VALUE!")</f>
        <v>#VALUE!</v>
      </c>
      <c r="J144" s="51" t="str">
        <f>IFERROR(__xludf.DUMMYFUNCTION("""COMPUTED_VALUE"""),"")</f>
        <v/>
      </c>
      <c r="K144" s="51"/>
      <c r="L144" s="51" t="s">
        <v>257</v>
      </c>
      <c r="M144" s="51"/>
      <c r="N144" s="51"/>
      <c r="O144" s="51"/>
      <c r="P144" s="51"/>
      <c r="Q144" s="51"/>
      <c r="R144" s="51"/>
      <c r="S144" s="51"/>
      <c r="T144" s="51"/>
    </row>
    <row r="145">
      <c r="A145" s="51"/>
      <c r="B145" s="51"/>
      <c r="C145" s="94"/>
      <c r="D145" s="51"/>
      <c r="E145" s="51"/>
      <c r="F145" s="51"/>
      <c r="G145" s="51" t="str">
        <f>IFERROR(__xludf.DUMMYFUNCTION("""COMPUTED_VALUE"""),"#VALUE!")</f>
        <v>#VALUE!</v>
      </c>
      <c r="H145" s="51" t="str">
        <f>IFERROR(__xludf.DUMMYFUNCTION("""COMPUTED_VALUE"""),"")</f>
        <v/>
      </c>
      <c r="I145" s="51" t="str">
        <f>IFERROR(__xludf.DUMMYFUNCTION("""COMPUTED_VALUE"""),"#VALUE!")</f>
        <v>#VALUE!</v>
      </c>
      <c r="J145" s="51" t="str">
        <f>IFERROR(__xludf.DUMMYFUNCTION("""COMPUTED_VALUE"""),"")</f>
        <v/>
      </c>
      <c r="K145" s="51"/>
      <c r="L145" s="51" t="s">
        <v>257</v>
      </c>
      <c r="M145" s="51"/>
      <c r="N145" s="51"/>
      <c r="O145" s="51"/>
      <c r="P145" s="51"/>
      <c r="Q145" s="51"/>
      <c r="R145" s="51"/>
      <c r="S145" s="51"/>
      <c r="T145" s="51"/>
    </row>
    <row r="146">
      <c r="A146" s="51"/>
      <c r="B146" s="51"/>
      <c r="C146" s="94"/>
      <c r="D146" s="51"/>
      <c r="E146" s="51"/>
      <c r="F146" s="51"/>
      <c r="G146" s="51" t="str">
        <f>IFERROR(__xludf.DUMMYFUNCTION("""COMPUTED_VALUE"""),"#VALUE!")</f>
        <v>#VALUE!</v>
      </c>
      <c r="H146" s="51" t="str">
        <f>IFERROR(__xludf.DUMMYFUNCTION("""COMPUTED_VALUE"""),"")</f>
        <v/>
      </c>
      <c r="I146" s="51" t="str">
        <f>IFERROR(__xludf.DUMMYFUNCTION("""COMPUTED_VALUE"""),"#VALUE!")</f>
        <v>#VALUE!</v>
      </c>
      <c r="J146" s="51" t="str">
        <f>IFERROR(__xludf.DUMMYFUNCTION("""COMPUTED_VALUE"""),"")</f>
        <v/>
      </c>
      <c r="K146" s="51"/>
      <c r="L146" s="51" t="s">
        <v>257</v>
      </c>
      <c r="M146" s="51"/>
      <c r="N146" s="51"/>
      <c r="O146" s="51"/>
      <c r="P146" s="51"/>
      <c r="Q146" s="51"/>
      <c r="R146" s="51"/>
      <c r="S146" s="51"/>
      <c r="T146" s="51"/>
    </row>
    <row r="147">
      <c r="A147" s="51"/>
      <c r="B147" s="51"/>
      <c r="C147" s="94"/>
      <c r="D147" s="51"/>
      <c r="E147" s="51"/>
      <c r="F147" s="51"/>
      <c r="G147" s="51" t="str">
        <f>IFERROR(__xludf.DUMMYFUNCTION("""COMPUTED_VALUE"""),"#VALUE!")</f>
        <v>#VALUE!</v>
      </c>
      <c r="H147" s="51" t="str">
        <f>IFERROR(__xludf.DUMMYFUNCTION("""COMPUTED_VALUE"""),"")</f>
        <v/>
      </c>
      <c r="I147" s="51" t="str">
        <f>IFERROR(__xludf.DUMMYFUNCTION("""COMPUTED_VALUE"""),"#VALUE!")</f>
        <v>#VALUE!</v>
      </c>
      <c r="J147" s="51" t="str">
        <f>IFERROR(__xludf.DUMMYFUNCTION("""COMPUTED_VALUE"""),"")</f>
        <v/>
      </c>
      <c r="K147" s="51"/>
      <c r="L147" s="51" t="s">
        <v>257</v>
      </c>
      <c r="M147" s="51"/>
      <c r="N147" s="51"/>
      <c r="O147" s="51"/>
      <c r="P147" s="51"/>
      <c r="Q147" s="51"/>
      <c r="R147" s="51"/>
      <c r="S147" s="51"/>
      <c r="T147" s="51"/>
    </row>
    <row r="148">
      <c r="A148" s="51"/>
      <c r="B148" s="51"/>
      <c r="C148" s="94"/>
      <c r="D148" s="51"/>
      <c r="E148" s="51"/>
      <c r="F148" s="51"/>
      <c r="G148" s="51" t="str">
        <f>IFERROR(__xludf.DUMMYFUNCTION("""COMPUTED_VALUE"""),"#VALUE!")</f>
        <v>#VALUE!</v>
      </c>
      <c r="H148" s="51" t="str">
        <f>IFERROR(__xludf.DUMMYFUNCTION("""COMPUTED_VALUE"""),"")</f>
        <v/>
      </c>
      <c r="I148" s="51" t="str">
        <f>IFERROR(__xludf.DUMMYFUNCTION("""COMPUTED_VALUE"""),"#VALUE!")</f>
        <v>#VALUE!</v>
      </c>
      <c r="J148" s="51" t="str">
        <f>IFERROR(__xludf.DUMMYFUNCTION("""COMPUTED_VALUE"""),"")</f>
        <v/>
      </c>
      <c r="K148" s="51"/>
      <c r="L148" s="51" t="s">
        <v>257</v>
      </c>
      <c r="M148" s="51"/>
      <c r="N148" s="51"/>
      <c r="O148" s="51"/>
      <c r="P148" s="51"/>
      <c r="Q148" s="51"/>
      <c r="R148" s="51"/>
      <c r="S148" s="51"/>
      <c r="T148" s="51"/>
    </row>
    <row r="149">
      <c r="A149" s="51"/>
      <c r="B149" s="51"/>
      <c r="C149" s="94"/>
      <c r="D149" s="51"/>
      <c r="E149" s="51"/>
      <c r="F149" s="51"/>
      <c r="G149" s="51" t="str">
        <f>IFERROR(__xludf.DUMMYFUNCTION("""COMPUTED_VALUE"""),"#VALUE!")</f>
        <v>#VALUE!</v>
      </c>
      <c r="H149" s="51" t="str">
        <f>IFERROR(__xludf.DUMMYFUNCTION("""COMPUTED_VALUE"""),"")</f>
        <v/>
      </c>
      <c r="I149" s="51" t="str">
        <f>IFERROR(__xludf.DUMMYFUNCTION("""COMPUTED_VALUE"""),"#VALUE!")</f>
        <v>#VALUE!</v>
      </c>
      <c r="J149" s="51" t="str">
        <f>IFERROR(__xludf.DUMMYFUNCTION("""COMPUTED_VALUE"""),"")</f>
        <v/>
      </c>
      <c r="K149" s="51"/>
      <c r="L149" s="51" t="s">
        <v>257</v>
      </c>
      <c r="M149" s="51"/>
      <c r="N149" s="51"/>
      <c r="O149" s="51"/>
      <c r="P149" s="51"/>
      <c r="Q149" s="51"/>
      <c r="R149" s="51"/>
      <c r="S149" s="51"/>
      <c r="T149" s="51"/>
    </row>
    <row r="150">
      <c r="A150" s="51"/>
      <c r="B150" s="51"/>
      <c r="C150" s="94"/>
      <c r="D150" s="51"/>
      <c r="E150" s="51"/>
      <c r="F150" s="51"/>
      <c r="G150" s="51" t="str">
        <f>IFERROR(__xludf.DUMMYFUNCTION("""COMPUTED_VALUE"""),"#VALUE!")</f>
        <v>#VALUE!</v>
      </c>
      <c r="H150" s="51" t="str">
        <f>IFERROR(__xludf.DUMMYFUNCTION("""COMPUTED_VALUE"""),"")</f>
        <v/>
      </c>
      <c r="I150" s="51" t="str">
        <f>IFERROR(__xludf.DUMMYFUNCTION("""COMPUTED_VALUE"""),"#VALUE!")</f>
        <v>#VALUE!</v>
      </c>
      <c r="J150" s="51" t="str">
        <f>IFERROR(__xludf.DUMMYFUNCTION("""COMPUTED_VALUE"""),"")</f>
        <v/>
      </c>
      <c r="K150" s="51"/>
      <c r="L150" s="51" t="s">
        <v>257</v>
      </c>
      <c r="M150" s="51"/>
      <c r="N150" s="51"/>
      <c r="O150" s="51"/>
      <c r="P150" s="51"/>
      <c r="Q150" s="51"/>
      <c r="R150" s="51"/>
      <c r="S150" s="51"/>
      <c r="T150" s="51"/>
    </row>
    <row r="151">
      <c r="A151" s="51"/>
      <c r="B151" s="51"/>
      <c r="C151" s="94"/>
      <c r="D151" s="51"/>
      <c r="E151" s="51"/>
      <c r="F151" s="51"/>
      <c r="G151" s="51" t="str">
        <f>IFERROR(__xludf.DUMMYFUNCTION("""COMPUTED_VALUE"""),"#VALUE!")</f>
        <v>#VALUE!</v>
      </c>
      <c r="H151" s="51" t="str">
        <f>IFERROR(__xludf.DUMMYFUNCTION("""COMPUTED_VALUE"""),"")</f>
        <v/>
      </c>
      <c r="I151" s="51" t="str">
        <f>IFERROR(__xludf.DUMMYFUNCTION("""COMPUTED_VALUE"""),"#VALUE!")</f>
        <v>#VALUE!</v>
      </c>
      <c r="J151" s="51" t="str">
        <f>IFERROR(__xludf.DUMMYFUNCTION("""COMPUTED_VALUE"""),"")</f>
        <v/>
      </c>
      <c r="K151" s="51"/>
      <c r="L151" s="51" t="s">
        <v>257</v>
      </c>
      <c r="M151" s="51"/>
      <c r="N151" s="51"/>
      <c r="O151" s="51"/>
      <c r="P151" s="51"/>
      <c r="Q151" s="51"/>
      <c r="R151" s="51"/>
      <c r="S151" s="51"/>
      <c r="T151" s="51"/>
    </row>
    <row r="152">
      <c r="A152" s="51"/>
      <c r="B152" s="51"/>
      <c r="C152" s="94"/>
      <c r="D152" s="51"/>
      <c r="E152" s="51"/>
      <c r="F152" s="51"/>
      <c r="G152" s="51" t="str">
        <f>IFERROR(__xludf.DUMMYFUNCTION("""COMPUTED_VALUE"""),"#VALUE!")</f>
        <v>#VALUE!</v>
      </c>
      <c r="H152" s="51" t="str">
        <f>IFERROR(__xludf.DUMMYFUNCTION("""COMPUTED_VALUE"""),"")</f>
        <v/>
      </c>
      <c r="I152" s="51" t="str">
        <f>IFERROR(__xludf.DUMMYFUNCTION("""COMPUTED_VALUE"""),"#VALUE!")</f>
        <v>#VALUE!</v>
      </c>
      <c r="J152" s="51" t="str">
        <f>IFERROR(__xludf.DUMMYFUNCTION("""COMPUTED_VALUE"""),"")</f>
        <v/>
      </c>
      <c r="K152" s="51"/>
      <c r="L152" s="51" t="s">
        <v>257</v>
      </c>
      <c r="M152" s="51"/>
      <c r="N152" s="51"/>
      <c r="O152" s="51"/>
      <c r="P152" s="51"/>
      <c r="Q152" s="51"/>
      <c r="R152" s="51"/>
      <c r="S152" s="51"/>
      <c r="T152" s="51"/>
    </row>
    <row r="153">
      <c r="A153" s="51"/>
      <c r="B153" s="51"/>
      <c r="C153" s="94"/>
      <c r="D153" s="51"/>
      <c r="E153" s="51"/>
      <c r="F153" s="51"/>
      <c r="G153" s="51" t="str">
        <f>IFERROR(__xludf.DUMMYFUNCTION("""COMPUTED_VALUE"""),"#VALUE!")</f>
        <v>#VALUE!</v>
      </c>
      <c r="H153" s="51" t="str">
        <f>IFERROR(__xludf.DUMMYFUNCTION("""COMPUTED_VALUE"""),"")</f>
        <v/>
      </c>
      <c r="I153" s="51" t="str">
        <f>IFERROR(__xludf.DUMMYFUNCTION("""COMPUTED_VALUE"""),"#VALUE!")</f>
        <v>#VALUE!</v>
      </c>
      <c r="J153" s="51" t="str">
        <f>IFERROR(__xludf.DUMMYFUNCTION("""COMPUTED_VALUE"""),"")</f>
        <v/>
      </c>
      <c r="K153" s="51"/>
      <c r="L153" s="51" t="s">
        <v>257</v>
      </c>
      <c r="M153" s="51"/>
      <c r="N153" s="51"/>
      <c r="O153" s="51"/>
      <c r="P153" s="51"/>
      <c r="Q153" s="51"/>
      <c r="R153" s="51"/>
      <c r="S153" s="51"/>
      <c r="T153" s="51"/>
    </row>
    <row r="154">
      <c r="A154" s="51"/>
      <c r="B154" s="51"/>
      <c r="C154" s="94"/>
      <c r="D154" s="51"/>
      <c r="E154" s="51"/>
      <c r="F154" s="51"/>
      <c r="G154" s="51" t="str">
        <f>IFERROR(__xludf.DUMMYFUNCTION("""COMPUTED_VALUE"""),"#VALUE!")</f>
        <v>#VALUE!</v>
      </c>
      <c r="H154" s="51" t="str">
        <f>IFERROR(__xludf.DUMMYFUNCTION("""COMPUTED_VALUE"""),"")</f>
        <v/>
      </c>
      <c r="I154" s="51" t="str">
        <f>IFERROR(__xludf.DUMMYFUNCTION("""COMPUTED_VALUE"""),"#VALUE!")</f>
        <v>#VALUE!</v>
      </c>
      <c r="J154" s="51" t="str">
        <f>IFERROR(__xludf.DUMMYFUNCTION("""COMPUTED_VALUE"""),"")</f>
        <v/>
      </c>
      <c r="K154" s="51"/>
      <c r="L154" s="51" t="s">
        <v>257</v>
      </c>
      <c r="M154" s="51"/>
      <c r="N154" s="51"/>
      <c r="O154" s="51"/>
      <c r="P154" s="51"/>
      <c r="Q154" s="51"/>
      <c r="R154" s="51"/>
      <c r="S154" s="51"/>
      <c r="T154" s="51"/>
    </row>
    <row r="155">
      <c r="A155" s="51"/>
      <c r="B155" s="51"/>
      <c r="C155" s="94"/>
      <c r="D155" s="51"/>
      <c r="E155" s="51"/>
      <c r="F155" s="51"/>
      <c r="G155" s="51" t="str">
        <f>IFERROR(__xludf.DUMMYFUNCTION("""COMPUTED_VALUE"""),"#VALUE!")</f>
        <v>#VALUE!</v>
      </c>
      <c r="H155" s="51" t="str">
        <f>IFERROR(__xludf.DUMMYFUNCTION("""COMPUTED_VALUE"""),"")</f>
        <v/>
      </c>
      <c r="I155" s="51" t="str">
        <f>IFERROR(__xludf.DUMMYFUNCTION("""COMPUTED_VALUE"""),"#VALUE!")</f>
        <v>#VALUE!</v>
      </c>
      <c r="J155" s="51" t="str">
        <f>IFERROR(__xludf.DUMMYFUNCTION("""COMPUTED_VALUE"""),"")</f>
        <v/>
      </c>
      <c r="K155" s="51"/>
      <c r="L155" s="51" t="s">
        <v>257</v>
      </c>
      <c r="M155" s="51"/>
      <c r="N155" s="51"/>
      <c r="O155" s="51"/>
      <c r="P155" s="51"/>
      <c r="Q155" s="51"/>
      <c r="R155" s="51"/>
      <c r="S155" s="51"/>
      <c r="T155" s="51"/>
    </row>
    <row r="156">
      <c r="A156" s="51"/>
      <c r="B156" s="51"/>
      <c r="C156" s="94"/>
      <c r="D156" s="51"/>
      <c r="E156" s="51"/>
      <c r="F156" s="51"/>
      <c r="G156" s="51" t="str">
        <f>IFERROR(__xludf.DUMMYFUNCTION("""COMPUTED_VALUE"""),"#VALUE!")</f>
        <v>#VALUE!</v>
      </c>
      <c r="H156" s="51" t="str">
        <f>IFERROR(__xludf.DUMMYFUNCTION("""COMPUTED_VALUE"""),"")</f>
        <v/>
      </c>
      <c r="I156" s="51" t="str">
        <f>IFERROR(__xludf.DUMMYFUNCTION("""COMPUTED_VALUE"""),"#VALUE!")</f>
        <v>#VALUE!</v>
      </c>
      <c r="J156" s="51" t="str">
        <f>IFERROR(__xludf.DUMMYFUNCTION("""COMPUTED_VALUE"""),"")</f>
        <v/>
      </c>
      <c r="K156" s="51"/>
      <c r="L156" s="51" t="s">
        <v>257</v>
      </c>
      <c r="M156" s="51"/>
      <c r="N156" s="51"/>
      <c r="O156" s="51"/>
      <c r="P156" s="51"/>
      <c r="Q156" s="51"/>
      <c r="R156" s="51"/>
      <c r="S156" s="51"/>
      <c r="T156" s="51"/>
    </row>
    <row r="157">
      <c r="A157" s="51"/>
      <c r="B157" s="51"/>
      <c r="C157" s="94"/>
      <c r="D157" s="51"/>
      <c r="E157" s="51"/>
      <c r="F157" s="51"/>
      <c r="G157" s="51" t="str">
        <f>IFERROR(__xludf.DUMMYFUNCTION("""COMPUTED_VALUE"""),"#VALUE!")</f>
        <v>#VALUE!</v>
      </c>
      <c r="H157" s="51" t="str">
        <f>IFERROR(__xludf.DUMMYFUNCTION("""COMPUTED_VALUE"""),"")</f>
        <v/>
      </c>
      <c r="I157" s="51" t="str">
        <f>IFERROR(__xludf.DUMMYFUNCTION("""COMPUTED_VALUE"""),"#VALUE!")</f>
        <v>#VALUE!</v>
      </c>
      <c r="J157" s="51" t="str">
        <f>IFERROR(__xludf.DUMMYFUNCTION("""COMPUTED_VALUE"""),"")</f>
        <v/>
      </c>
      <c r="K157" s="51"/>
      <c r="L157" s="51" t="s">
        <v>257</v>
      </c>
      <c r="M157" s="51"/>
      <c r="N157" s="51"/>
      <c r="O157" s="51"/>
      <c r="P157" s="51"/>
      <c r="Q157" s="51"/>
      <c r="R157" s="51"/>
      <c r="S157" s="51"/>
      <c r="T157" s="51"/>
    </row>
    <row r="158">
      <c r="A158" s="51"/>
      <c r="B158" s="51"/>
      <c r="C158" s="94"/>
      <c r="D158" s="51"/>
      <c r="E158" s="51"/>
      <c r="F158" s="51"/>
      <c r="G158" s="51" t="str">
        <f>IFERROR(__xludf.DUMMYFUNCTION("""COMPUTED_VALUE"""),"#VALUE!")</f>
        <v>#VALUE!</v>
      </c>
      <c r="H158" s="51" t="str">
        <f>IFERROR(__xludf.DUMMYFUNCTION("""COMPUTED_VALUE"""),"")</f>
        <v/>
      </c>
      <c r="I158" s="51" t="str">
        <f>IFERROR(__xludf.DUMMYFUNCTION("""COMPUTED_VALUE"""),"#VALUE!")</f>
        <v>#VALUE!</v>
      </c>
      <c r="J158" s="51" t="str">
        <f>IFERROR(__xludf.DUMMYFUNCTION("""COMPUTED_VALUE"""),"")</f>
        <v/>
      </c>
      <c r="K158" s="51"/>
      <c r="L158" s="51" t="s">
        <v>257</v>
      </c>
      <c r="M158" s="51"/>
      <c r="N158" s="51"/>
      <c r="O158" s="51"/>
      <c r="P158" s="51"/>
      <c r="Q158" s="51"/>
      <c r="R158" s="51"/>
      <c r="S158" s="51"/>
      <c r="T158" s="51"/>
    </row>
    <row r="159">
      <c r="A159" s="51"/>
      <c r="B159" s="51"/>
      <c r="C159" s="94"/>
      <c r="D159" s="51"/>
      <c r="E159" s="51"/>
      <c r="F159" s="51"/>
      <c r="G159" s="51" t="str">
        <f>IFERROR(__xludf.DUMMYFUNCTION("""COMPUTED_VALUE"""),"#VALUE!")</f>
        <v>#VALUE!</v>
      </c>
      <c r="H159" s="51" t="str">
        <f>IFERROR(__xludf.DUMMYFUNCTION("""COMPUTED_VALUE"""),"")</f>
        <v/>
      </c>
      <c r="I159" s="51" t="str">
        <f>IFERROR(__xludf.DUMMYFUNCTION("""COMPUTED_VALUE"""),"#VALUE!")</f>
        <v>#VALUE!</v>
      </c>
      <c r="J159" s="51" t="str">
        <f>IFERROR(__xludf.DUMMYFUNCTION("""COMPUTED_VALUE"""),"")</f>
        <v/>
      </c>
      <c r="K159" s="51"/>
      <c r="L159" s="51" t="s">
        <v>257</v>
      </c>
      <c r="M159" s="51"/>
      <c r="N159" s="51"/>
      <c r="O159" s="51"/>
      <c r="P159" s="51"/>
      <c r="Q159" s="51"/>
      <c r="R159" s="51"/>
      <c r="S159" s="51"/>
      <c r="T159" s="51"/>
    </row>
    <row r="160">
      <c r="A160" s="51"/>
      <c r="B160" s="51"/>
      <c r="C160" s="94"/>
      <c r="D160" s="51"/>
      <c r="E160" s="51"/>
      <c r="F160" s="51"/>
      <c r="G160" s="51" t="str">
        <f>IFERROR(__xludf.DUMMYFUNCTION("""COMPUTED_VALUE"""),"#VALUE!")</f>
        <v>#VALUE!</v>
      </c>
      <c r="H160" s="51" t="str">
        <f>IFERROR(__xludf.DUMMYFUNCTION("""COMPUTED_VALUE"""),"")</f>
        <v/>
      </c>
      <c r="I160" s="51" t="str">
        <f>IFERROR(__xludf.DUMMYFUNCTION("""COMPUTED_VALUE"""),"#VALUE!")</f>
        <v>#VALUE!</v>
      </c>
      <c r="J160" s="51" t="str">
        <f>IFERROR(__xludf.DUMMYFUNCTION("""COMPUTED_VALUE"""),"")</f>
        <v/>
      </c>
      <c r="K160" s="51"/>
      <c r="L160" s="51" t="s">
        <v>257</v>
      </c>
      <c r="M160" s="51"/>
      <c r="N160" s="51"/>
      <c r="O160" s="51"/>
      <c r="P160" s="51"/>
      <c r="Q160" s="51"/>
      <c r="R160" s="51"/>
      <c r="S160" s="51"/>
      <c r="T160" s="51"/>
    </row>
    <row r="161">
      <c r="A161" s="51"/>
      <c r="B161" s="51"/>
      <c r="C161" s="94"/>
      <c r="D161" s="51"/>
      <c r="E161" s="51"/>
      <c r="F161" s="51"/>
      <c r="G161" s="51" t="str">
        <f>IFERROR(__xludf.DUMMYFUNCTION("""COMPUTED_VALUE"""),"#VALUE!")</f>
        <v>#VALUE!</v>
      </c>
      <c r="H161" s="51" t="str">
        <f>IFERROR(__xludf.DUMMYFUNCTION("""COMPUTED_VALUE"""),"")</f>
        <v/>
      </c>
      <c r="I161" s="51" t="str">
        <f>IFERROR(__xludf.DUMMYFUNCTION("""COMPUTED_VALUE"""),"#VALUE!")</f>
        <v>#VALUE!</v>
      </c>
      <c r="J161" s="51" t="str">
        <f>IFERROR(__xludf.DUMMYFUNCTION("""COMPUTED_VALUE"""),"")</f>
        <v/>
      </c>
      <c r="K161" s="51"/>
      <c r="L161" s="51" t="s">
        <v>257</v>
      </c>
      <c r="M161" s="51"/>
      <c r="N161" s="51"/>
      <c r="O161" s="51"/>
      <c r="P161" s="51"/>
      <c r="Q161" s="51"/>
      <c r="R161" s="51"/>
      <c r="S161" s="51"/>
      <c r="T161" s="51"/>
    </row>
    <row r="162">
      <c r="A162" s="51"/>
      <c r="B162" s="51"/>
      <c r="C162" s="94"/>
      <c r="D162" s="51"/>
      <c r="E162" s="51"/>
      <c r="F162" s="51"/>
      <c r="G162" s="51" t="str">
        <f>IFERROR(__xludf.DUMMYFUNCTION("""COMPUTED_VALUE"""),"#VALUE!")</f>
        <v>#VALUE!</v>
      </c>
      <c r="H162" s="51" t="str">
        <f>IFERROR(__xludf.DUMMYFUNCTION("""COMPUTED_VALUE"""),"")</f>
        <v/>
      </c>
      <c r="I162" s="51" t="str">
        <f>IFERROR(__xludf.DUMMYFUNCTION("""COMPUTED_VALUE"""),"#VALUE!")</f>
        <v>#VALUE!</v>
      </c>
      <c r="J162" s="51" t="str">
        <f>IFERROR(__xludf.DUMMYFUNCTION("""COMPUTED_VALUE"""),"")</f>
        <v/>
      </c>
      <c r="K162" s="51"/>
      <c r="L162" s="51" t="s">
        <v>257</v>
      </c>
      <c r="M162" s="51"/>
      <c r="N162" s="51"/>
      <c r="O162" s="51"/>
      <c r="P162" s="51"/>
      <c r="Q162" s="51"/>
      <c r="R162" s="51"/>
      <c r="S162" s="51"/>
      <c r="T162" s="51"/>
    </row>
    <row r="163">
      <c r="A163" s="51"/>
      <c r="B163" s="51"/>
      <c r="C163" s="94"/>
      <c r="D163" s="51"/>
      <c r="E163" s="51"/>
      <c r="F163" s="51"/>
      <c r="G163" s="51" t="str">
        <f>IFERROR(__xludf.DUMMYFUNCTION("""COMPUTED_VALUE"""),"#VALUE!")</f>
        <v>#VALUE!</v>
      </c>
      <c r="H163" s="51" t="str">
        <f>IFERROR(__xludf.DUMMYFUNCTION("""COMPUTED_VALUE"""),"")</f>
        <v/>
      </c>
      <c r="I163" s="51" t="str">
        <f>IFERROR(__xludf.DUMMYFUNCTION("""COMPUTED_VALUE"""),"#VALUE!")</f>
        <v>#VALUE!</v>
      </c>
      <c r="J163" s="51" t="str">
        <f>IFERROR(__xludf.DUMMYFUNCTION("""COMPUTED_VALUE"""),"")</f>
        <v/>
      </c>
      <c r="K163" s="51"/>
      <c r="L163" s="51" t="s">
        <v>257</v>
      </c>
      <c r="M163" s="51"/>
      <c r="N163" s="51"/>
      <c r="O163" s="51"/>
      <c r="P163" s="51"/>
      <c r="Q163" s="51"/>
      <c r="R163" s="51"/>
      <c r="S163" s="51"/>
      <c r="T163" s="51"/>
    </row>
    <row r="164">
      <c r="A164" s="51"/>
      <c r="B164" s="51"/>
      <c r="C164" s="94"/>
      <c r="D164" s="51"/>
      <c r="E164" s="51"/>
      <c r="F164" s="51"/>
      <c r="G164" s="51" t="str">
        <f>IFERROR(__xludf.DUMMYFUNCTION("""COMPUTED_VALUE"""),"#VALUE!")</f>
        <v>#VALUE!</v>
      </c>
      <c r="H164" s="51" t="str">
        <f>IFERROR(__xludf.DUMMYFUNCTION("""COMPUTED_VALUE"""),"")</f>
        <v/>
      </c>
      <c r="I164" s="51" t="str">
        <f>IFERROR(__xludf.DUMMYFUNCTION("""COMPUTED_VALUE"""),"#VALUE!")</f>
        <v>#VALUE!</v>
      </c>
      <c r="J164" s="51" t="str">
        <f>IFERROR(__xludf.DUMMYFUNCTION("""COMPUTED_VALUE"""),"")</f>
        <v/>
      </c>
      <c r="K164" s="51"/>
      <c r="L164" s="51" t="s">
        <v>257</v>
      </c>
      <c r="M164" s="51"/>
      <c r="N164" s="51"/>
      <c r="O164" s="51"/>
      <c r="P164" s="51"/>
      <c r="Q164" s="51"/>
      <c r="R164" s="51"/>
      <c r="S164" s="51"/>
      <c r="T164" s="51"/>
    </row>
    <row r="165">
      <c r="A165" s="51"/>
      <c r="B165" s="51"/>
      <c r="C165" s="94"/>
      <c r="D165" s="51"/>
      <c r="E165" s="51"/>
      <c r="F165" s="51"/>
      <c r="G165" s="51" t="str">
        <f>IFERROR(__xludf.DUMMYFUNCTION("""COMPUTED_VALUE"""),"#VALUE!")</f>
        <v>#VALUE!</v>
      </c>
      <c r="H165" s="51" t="str">
        <f>IFERROR(__xludf.DUMMYFUNCTION("""COMPUTED_VALUE"""),"")</f>
        <v/>
      </c>
      <c r="I165" s="51" t="str">
        <f>IFERROR(__xludf.DUMMYFUNCTION("""COMPUTED_VALUE"""),"#VALUE!")</f>
        <v>#VALUE!</v>
      </c>
      <c r="J165" s="51" t="str">
        <f>IFERROR(__xludf.DUMMYFUNCTION("""COMPUTED_VALUE"""),"")</f>
        <v/>
      </c>
      <c r="K165" s="51"/>
      <c r="L165" s="51" t="s">
        <v>257</v>
      </c>
      <c r="M165" s="51"/>
      <c r="N165" s="51"/>
      <c r="O165" s="51"/>
      <c r="P165" s="51"/>
      <c r="Q165" s="51"/>
      <c r="R165" s="51"/>
      <c r="S165" s="51"/>
      <c r="T165" s="51"/>
    </row>
    <row r="166">
      <c r="A166" s="51"/>
      <c r="B166" s="51"/>
      <c r="C166" s="94"/>
      <c r="D166" s="51"/>
      <c r="E166" s="51"/>
      <c r="F166" s="51"/>
      <c r="G166" s="51" t="str">
        <f>IFERROR(__xludf.DUMMYFUNCTION("""COMPUTED_VALUE"""),"#VALUE!")</f>
        <v>#VALUE!</v>
      </c>
      <c r="H166" s="51" t="str">
        <f>IFERROR(__xludf.DUMMYFUNCTION("""COMPUTED_VALUE"""),"")</f>
        <v/>
      </c>
      <c r="I166" s="51" t="str">
        <f>IFERROR(__xludf.DUMMYFUNCTION("""COMPUTED_VALUE"""),"#VALUE!")</f>
        <v>#VALUE!</v>
      </c>
      <c r="J166" s="51" t="str">
        <f>IFERROR(__xludf.DUMMYFUNCTION("""COMPUTED_VALUE"""),"")</f>
        <v/>
      </c>
      <c r="K166" s="51"/>
      <c r="L166" s="51" t="s">
        <v>257</v>
      </c>
      <c r="M166" s="51"/>
      <c r="N166" s="51"/>
      <c r="O166" s="51"/>
      <c r="P166" s="51"/>
      <c r="Q166" s="51"/>
      <c r="R166" s="51"/>
      <c r="S166" s="51"/>
      <c r="T166" s="51"/>
    </row>
    <row r="167">
      <c r="A167" s="51"/>
      <c r="B167" s="51"/>
      <c r="C167" s="94"/>
      <c r="D167" s="51"/>
      <c r="E167" s="51"/>
      <c r="F167" s="51"/>
      <c r="G167" s="51" t="str">
        <f>IFERROR(__xludf.DUMMYFUNCTION("""COMPUTED_VALUE"""),"#VALUE!")</f>
        <v>#VALUE!</v>
      </c>
      <c r="H167" s="51" t="str">
        <f>IFERROR(__xludf.DUMMYFUNCTION("""COMPUTED_VALUE"""),"")</f>
        <v/>
      </c>
      <c r="I167" s="51" t="str">
        <f>IFERROR(__xludf.DUMMYFUNCTION("""COMPUTED_VALUE"""),"#VALUE!")</f>
        <v>#VALUE!</v>
      </c>
      <c r="J167" s="51" t="str">
        <f>IFERROR(__xludf.DUMMYFUNCTION("""COMPUTED_VALUE"""),"")</f>
        <v/>
      </c>
      <c r="K167" s="51"/>
      <c r="L167" s="51" t="s">
        <v>257</v>
      </c>
      <c r="M167" s="51"/>
      <c r="N167" s="51"/>
      <c r="O167" s="51"/>
      <c r="P167" s="51"/>
      <c r="Q167" s="51"/>
      <c r="R167" s="51"/>
      <c r="S167" s="51"/>
      <c r="T167" s="51"/>
    </row>
    <row r="168">
      <c r="A168" s="51"/>
      <c r="B168" s="51"/>
      <c r="C168" s="94"/>
      <c r="D168" s="51"/>
      <c r="E168" s="51"/>
      <c r="F168" s="51"/>
      <c r="G168" s="51" t="str">
        <f>IFERROR(__xludf.DUMMYFUNCTION("""COMPUTED_VALUE"""),"#VALUE!")</f>
        <v>#VALUE!</v>
      </c>
      <c r="H168" s="51" t="str">
        <f>IFERROR(__xludf.DUMMYFUNCTION("""COMPUTED_VALUE"""),"")</f>
        <v/>
      </c>
      <c r="I168" s="51" t="str">
        <f>IFERROR(__xludf.DUMMYFUNCTION("""COMPUTED_VALUE"""),"#VALUE!")</f>
        <v>#VALUE!</v>
      </c>
      <c r="J168" s="51" t="str">
        <f>IFERROR(__xludf.DUMMYFUNCTION("""COMPUTED_VALUE"""),"")</f>
        <v/>
      </c>
      <c r="K168" s="51"/>
      <c r="L168" s="51" t="s">
        <v>257</v>
      </c>
      <c r="M168" s="51"/>
      <c r="N168" s="51"/>
      <c r="O168" s="51"/>
      <c r="P168" s="51"/>
      <c r="Q168" s="51"/>
      <c r="R168" s="51"/>
      <c r="S168" s="51"/>
      <c r="T168" s="51"/>
    </row>
    <row r="169">
      <c r="A169" s="51"/>
      <c r="B169" s="51"/>
      <c r="C169" s="94"/>
      <c r="D169" s="51"/>
      <c r="E169" s="51"/>
      <c r="F169" s="51"/>
      <c r="G169" s="51" t="str">
        <f>IFERROR(__xludf.DUMMYFUNCTION("""COMPUTED_VALUE"""),"#VALUE!")</f>
        <v>#VALUE!</v>
      </c>
      <c r="H169" s="51" t="str">
        <f>IFERROR(__xludf.DUMMYFUNCTION("""COMPUTED_VALUE"""),"")</f>
        <v/>
      </c>
      <c r="I169" s="51" t="str">
        <f>IFERROR(__xludf.DUMMYFUNCTION("""COMPUTED_VALUE"""),"#VALUE!")</f>
        <v>#VALUE!</v>
      </c>
      <c r="J169" s="51" t="str">
        <f>IFERROR(__xludf.DUMMYFUNCTION("""COMPUTED_VALUE"""),"")</f>
        <v/>
      </c>
      <c r="K169" s="51"/>
      <c r="L169" s="51" t="s">
        <v>257</v>
      </c>
      <c r="M169" s="51"/>
      <c r="N169" s="51"/>
      <c r="O169" s="51"/>
      <c r="P169" s="51"/>
      <c r="Q169" s="51"/>
      <c r="R169" s="51"/>
      <c r="S169" s="51"/>
      <c r="T169" s="51"/>
    </row>
    <row r="170">
      <c r="A170" s="51"/>
      <c r="B170" s="51"/>
      <c r="C170" s="94"/>
      <c r="D170" s="51"/>
      <c r="E170" s="51"/>
      <c r="F170" s="51"/>
      <c r="G170" s="51" t="str">
        <f>IFERROR(__xludf.DUMMYFUNCTION("""COMPUTED_VALUE"""),"#VALUE!")</f>
        <v>#VALUE!</v>
      </c>
      <c r="H170" s="51" t="str">
        <f>IFERROR(__xludf.DUMMYFUNCTION("""COMPUTED_VALUE"""),"")</f>
        <v/>
      </c>
      <c r="I170" s="51" t="str">
        <f>IFERROR(__xludf.DUMMYFUNCTION("""COMPUTED_VALUE"""),"#VALUE!")</f>
        <v>#VALUE!</v>
      </c>
      <c r="J170" s="51" t="str">
        <f>IFERROR(__xludf.DUMMYFUNCTION("""COMPUTED_VALUE"""),"")</f>
        <v/>
      </c>
      <c r="K170" s="51"/>
      <c r="L170" s="51" t="s">
        <v>257</v>
      </c>
      <c r="M170" s="51"/>
      <c r="N170" s="51"/>
      <c r="O170" s="51"/>
      <c r="P170" s="51"/>
      <c r="Q170" s="51"/>
      <c r="R170" s="51"/>
      <c r="S170" s="51"/>
      <c r="T170" s="51"/>
    </row>
    <row r="171">
      <c r="A171" s="51"/>
      <c r="B171" s="51"/>
      <c r="C171" s="94"/>
      <c r="D171" s="51"/>
      <c r="E171" s="51"/>
      <c r="F171" s="51"/>
      <c r="G171" s="51" t="str">
        <f>IFERROR(__xludf.DUMMYFUNCTION("""COMPUTED_VALUE"""),"#VALUE!")</f>
        <v>#VALUE!</v>
      </c>
      <c r="H171" s="51" t="str">
        <f>IFERROR(__xludf.DUMMYFUNCTION("""COMPUTED_VALUE"""),"")</f>
        <v/>
      </c>
      <c r="I171" s="51" t="str">
        <f>IFERROR(__xludf.DUMMYFUNCTION("""COMPUTED_VALUE"""),"#VALUE!")</f>
        <v>#VALUE!</v>
      </c>
      <c r="J171" s="51" t="str">
        <f>IFERROR(__xludf.DUMMYFUNCTION("""COMPUTED_VALUE"""),"")</f>
        <v/>
      </c>
      <c r="K171" s="51"/>
      <c r="L171" s="51" t="s">
        <v>257</v>
      </c>
      <c r="M171" s="51"/>
      <c r="N171" s="51"/>
      <c r="O171" s="51"/>
      <c r="P171" s="51"/>
      <c r="Q171" s="51"/>
      <c r="R171" s="51"/>
      <c r="S171" s="51"/>
      <c r="T171" s="51"/>
    </row>
    <row r="172">
      <c r="A172" s="51"/>
      <c r="B172" s="51"/>
      <c r="C172" s="94"/>
      <c r="D172" s="51"/>
      <c r="E172" s="51"/>
      <c r="F172" s="51"/>
      <c r="G172" s="51" t="str">
        <f>IFERROR(__xludf.DUMMYFUNCTION("""COMPUTED_VALUE"""),"#VALUE!")</f>
        <v>#VALUE!</v>
      </c>
      <c r="H172" s="51" t="str">
        <f>IFERROR(__xludf.DUMMYFUNCTION("""COMPUTED_VALUE"""),"")</f>
        <v/>
      </c>
      <c r="I172" s="51" t="str">
        <f>IFERROR(__xludf.DUMMYFUNCTION("""COMPUTED_VALUE"""),"#VALUE!")</f>
        <v>#VALUE!</v>
      </c>
      <c r="J172" s="51" t="str">
        <f>IFERROR(__xludf.DUMMYFUNCTION("""COMPUTED_VALUE"""),"")</f>
        <v/>
      </c>
      <c r="K172" s="51"/>
      <c r="L172" s="51" t="s">
        <v>257</v>
      </c>
      <c r="M172" s="51"/>
      <c r="N172" s="51"/>
      <c r="O172" s="51"/>
      <c r="P172" s="51"/>
      <c r="Q172" s="51"/>
      <c r="R172" s="51"/>
      <c r="S172" s="51"/>
      <c r="T172" s="51"/>
    </row>
    <row r="173">
      <c r="A173" s="51"/>
      <c r="B173" s="51"/>
      <c r="C173" s="94"/>
      <c r="D173" s="51"/>
      <c r="E173" s="51"/>
      <c r="F173" s="51"/>
      <c r="G173" s="51" t="str">
        <f>IFERROR(__xludf.DUMMYFUNCTION("""COMPUTED_VALUE"""),"#VALUE!")</f>
        <v>#VALUE!</v>
      </c>
      <c r="H173" s="51" t="str">
        <f>IFERROR(__xludf.DUMMYFUNCTION("""COMPUTED_VALUE"""),"")</f>
        <v/>
      </c>
      <c r="I173" s="51" t="str">
        <f>IFERROR(__xludf.DUMMYFUNCTION("""COMPUTED_VALUE"""),"#VALUE!")</f>
        <v>#VALUE!</v>
      </c>
      <c r="J173" s="51" t="str">
        <f>IFERROR(__xludf.DUMMYFUNCTION("""COMPUTED_VALUE"""),"")</f>
        <v/>
      </c>
      <c r="K173" s="51"/>
      <c r="L173" s="51" t="s">
        <v>257</v>
      </c>
      <c r="M173" s="51"/>
      <c r="N173" s="51"/>
      <c r="O173" s="51"/>
      <c r="P173" s="51"/>
      <c r="Q173" s="51"/>
      <c r="R173" s="51"/>
      <c r="S173" s="51"/>
      <c r="T173" s="51"/>
    </row>
    <row r="174">
      <c r="A174" s="51"/>
      <c r="B174" s="51"/>
      <c r="C174" s="94"/>
      <c r="D174" s="51"/>
      <c r="E174" s="51"/>
      <c r="F174" s="51"/>
      <c r="G174" s="51" t="str">
        <f>IFERROR(__xludf.DUMMYFUNCTION("""COMPUTED_VALUE"""),"#VALUE!")</f>
        <v>#VALUE!</v>
      </c>
      <c r="H174" s="51" t="str">
        <f>IFERROR(__xludf.DUMMYFUNCTION("""COMPUTED_VALUE"""),"")</f>
        <v/>
      </c>
      <c r="I174" s="51" t="str">
        <f>IFERROR(__xludf.DUMMYFUNCTION("""COMPUTED_VALUE"""),"#VALUE!")</f>
        <v>#VALUE!</v>
      </c>
      <c r="J174" s="51" t="str">
        <f>IFERROR(__xludf.DUMMYFUNCTION("""COMPUTED_VALUE"""),"")</f>
        <v/>
      </c>
      <c r="K174" s="51"/>
      <c r="L174" s="51" t="s">
        <v>257</v>
      </c>
      <c r="M174" s="51"/>
      <c r="N174" s="51"/>
      <c r="O174" s="51"/>
      <c r="P174" s="51"/>
      <c r="Q174" s="51"/>
      <c r="R174" s="51"/>
      <c r="S174" s="51"/>
      <c r="T174" s="51"/>
    </row>
    <row r="175">
      <c r="A175" s="51"/>
      <c r="B175" s="51"/>
      <c r="C175" s="94"/>
      <c r="D175" s="51"/>
      <c r="E175" s="51"/>
      <c r="F175" s="51"/>
      <c r="G175" s="51" t="str">
        <f>IFERROR(__xludf.DUMMYFUNCTION("""COMPUTED_VALUE"""),"#VALUE!")</f>
        <v>#VALUE!</v>
      </c>
      <c r="H175" s="51" t="str">
        <f>IFERROR(__xludf.DUMMYFUNCTION("""COMPUTED_VALUE"""),"")</f>
        <v/>
      </c>
      <c r="I175" s="51" t="str">
        <f>IFERROR(__xludf.DUMMYFUNCTION("""COMPUTED_VALUE"""),"#VALUE!")</f>
        <v>#VALUE!</v>
      </c>
      <c r="J175" s="51" t="str">
        <f>IFERROR(__xludf.DUMMYFUNCTION("""COMPUTED_VALUE"""),"")</f>
        <v/>
      </c>
      <c r="K175" s="51"/>
      <c r="L175" s="51" t="s">
        <v>257</v>
      </c>
      <c r="M175" s="51"/>
      <c r="N175" s="51"/>
      <c r="O175" s="51"/>
      <c r="P175" s="51"/>
      <c r="Q175" s="51"/>
      <c r="R175" s="51"/>
      <c r="S175" s="51"/>
      <c r="T175" s="51"/>
    </row>
    <row r="176">
      <c r="A176" s="51"/>
      <c r="B176" s="51"/>
      <c r="C176" s="94"/>
      <c r="D176" s="51"/>
      <c r="E176" s="51"/>
      <c r="F176" s="51"/>
      <c r="G176" s="51" t="str">
        <f>IFERROR(__xludf.DUMMYFUNCTION("""COMPUTED_VALUE"""),"#VALUE!")</f>
        <v>#VALUE!</v>
      </c>
      <c r="H176" s="51" t="str">
        <f>IFERROR(__xludf.DUMMYFUNCTION("""COMPUTED_VALUE"""),"")</f>
        <v/>
      </c>
      <c r="I176" s="51" t="str">
        <f>IFERROR(__xludf.DUMMYFUNCTION("""COMPUTED_VALUE"""),"#VALUE!")</f>
        <v>#VALUE!</v>
      </c>
      <c r="J176" s="51" t="str">
        <f>IFERROR(__xludf.DUMMYFUNCTION("""COMPUTED_VALUE"""),"")</f>
        <v/>
      </c>
      <c r="K176" s="51"/>
      <c r="L176" s="51" t="s">
        <v>257</v>
      </c>
      <c r="M176" s="51"/>
      <c r="N176" s="51"/>
      <c r="O176" s="51"/>
      <c r="P176" s="51"/>
      <c r="Q176" s="51"/>
      <c r="R176" s="51"/>
      <c r="S176" s="51"/>
      <c r="T176" s="51"/>
    </row>
    <row r="177">
      <c r="A177" s="51"/>
      <c r="B177" s="51"/>
      <c r="C177" s="94"/>
      <c r="D177" s="51"/>
      <c r="E177" s="51"/>
      <c r="F177" s="51"/>
      <c r="G177" s="51" t="str">
        <f>IFERROR(__xludf.DUMMYFUNCTION("""COMPUTED_VALUE"""),"#VALUE!")</f>
        <v>#VALUE!</v>
      </c>
      <c r="H177" s="51" t="str">
        <f>IFERROR(__xludf.DUMMYFUNCTION("""COMPUTED_VALUE"""),"")</f>
        <v/>
      </c>
      <c r="I177" s="51" t="str">
        <f>IFERROR(__xludf.DUMMYFUNCTION("""COMPUTED_VALUE"""),"#VALUE!")</f>
        <v>#VALUE!</v>
      </c>
      <c r="J177" s="51" t="str">
        <f>IFERROR(__xludf.DUMMYFUNCTION("""COMPUTED_VALUE"""),"")</f>
        <v/>
      </c>
      <c r="K177" s="51"/>
      <c r="L177" s="51" t="s">
        <v>257</v>
      </c>
      <c r="M177" s="51"/>
      <c r="N177" s="51"/>
      <c r="O177" s="51"/>
      <c r="P177" s="51"/>
      <c r="Q177" s="51"/>
      <c r="R177" s="51"/>
      <c r="S177" s="51"/>
      <c r="T177" s="51"/>
    </row>
    <row r="178">
      <c r="A178" s="51"/>
      <c r="B178" s="51"/>
      <c r="C178" s="94"/>
      <c r="D178" s="51"/>
      <c r="E178" s="51"/>
      <c r="F178" s="51"/>
      <c r="G178" s="51" t="str">
        <f>IFERROR(__xludf.DUMMYFUNCTION("""COMPUTED_VALUE"""),"#VALUE!")</f>
        <v>#VALUE!</v>
      </c>
      <c r="H178" s="51" t="str">
        <f>IFERROR(__xludf.DUMMYFUNCTION("""COMPUTED_VALUE"""),"")</f>
        <v/>
      </c>
      <c r="I178" s="51" t="str">
        <f>IFERROR(__xludf.DUMMYFUNCTION("""COMPUTED_VALUE"""),"#VALUE!")</f>
        <v>#VALUE!</v>
      </c>
      <c r="J178" s="51" t="str">
        <f>IFERROR(__xludf.DUMMYFUNCTION("""COMPUTED_VALUE"""),"")</f>
        <v/>
      </c>
      <c r="K178" s="51"/>
      <c r="L178" s="51" t="s">
        <v>257</v>
      </c>
      <c r="M178" s="51"/>
      <c r="N178" s="51"/>
      <c r="O178" s="51"/>
      <c r="P178" s="51"/>
      <c r="Q178" s="51"/>
      <c r="R178" s="51"/>
      <c r="S178" s="51"/>
      <c r="T178" s="51"/>
    </row>
    <row r="179">
      <c r="A179" s="51"/>
      <c r="B179" s="51"/>
      <c r="C179" s="94"/>
      <c r="D179" s="51"/>
      <c r="E179" s="51"/>
      <c r="F179" s="51"/>
      <c r="G179" s="51" t="str">
        <f>IFERROR(__xludf.DUMMYFUNCTION("""COMPUTED_VALUE"""),"#VALUE!")</f>
        <v>#VALUE!</v>
      </c>
      <c r="H179" s="51" t="str">
        <f>IFERROR(__xludf.DUMMYFUNCTION("""COMPUTED_VALUE"""),"")</f>
        <v/>
      </c>
      <c r="I179" s="51" t="str">
        <f>IFERROR(__xludf.DUMMYFUNCTION("""COMPUTED_VALUE"""),"#VALUE!")</f>
        <v>#VALUE!</v>
      </c>
      <c r="J179" s="51" t="str">
        <f>IFERROR(__xludf.DUMMYFUNCTION("""COMPUTED_VALUE"""),"")</f>
        <v/>
      </c>
      <c r="K179" s="51"/>
      <c r="L179" s="51" t="s">
        <v>257</v>
      </c>
      <c r="M179" s="51"/>
      <c r="N179" s="51"/>
      <c r="O179" s="51"/>
      <c r="P179" s="51"/>
      <c r="Q179" s="51"/>
      <c r="R179" s="51"/>
      <c r="S179" s="51"/>
      <c r="T179" s="51"/>
    </row>
    <row r="180">
      <c r="A180" s="51"/>
      <c r="B180" s="51"/>
      <c r="C180" s="94"/>
      <c r="D180" s="51"/>
      <c r="E180" s="51"/>
      <c r="F180" s="51"/>
      <c r="G180" s="51" t="str">
        <f>IFERROR(__xludf.DUMMYFUNCTION("""COMPUTED_VALUE"""),"#VALUE!")</f>
        <v>#VALUE!</v>
      </c>
      <c r="H180" s="51" t="str">
        <f>IFERROR(__xludf.DUMMYFUNCTION("""COMPUTED_VALUE"""),"")</f>
        <v/>
      </c>
      <c r="I180" s="51" t="str">
        <f>IFERROR(__xludf.DUMMYFUNCTION("""COMPUTED_VALUE"""),"#VALUE!")</f>
        <v>#VALUE!</v>
      </c>
      <c r="J180" s="51" t="str">
        <f>IFERROR(__xludf.DUMMYFUNCTION("""COMPUTED_VALUE"""),"")</f>
        <v/>
      </c>
      <c r="K180" s="51"/>
      <c r="L180" s="51" t="s">
        <v>257</v>
      </c>
      <c r="M180" s="51"/>
      <c r="N180" s="51"/>
      <c r="O180" s="51"/>
      <c r="P180" s="51"/>
      <c r="Q180" s="51"/>
      <c r="R180" s="51"/>
      <c r="S180" s="51"/>
      <c r="T180" s="51"/>
    </row>
    <row r="181">
      <c r="A181" s="51"/>
      <c r="B181" s="51"/>
      <c r="C181" s="94"/>
      <c r="D181" s="51"/>
      <c r="E181" s="51"/>
      <c r="F181" s="51"/>
      <c r="G181" s="51" t="str">
        <f>IFERROR(__xludf.DUMMYFUNCTION("""COMPUTED_VALUE"""),"#VALUE!")</f>
        <v>#VALUE!</v>
      </c>
      <c r="H181" s="51" t="str">
        <f>IFERROR(__xludf.DUMMYFUNCTION("""COMPUTED_VALUE"""),"")</f>
        <v/>
      </c>
      <c r="I181" s="51" t="str">
        <f>IFERROR(__xludf.DUMMYFUNCTION("""COMPUTED_VALUE"""),"#VALUE!")</f>
        <v>#VALUE!</v>
      </c>
      <c r="J181" s="51" t="str">
        <f>IFERROR(__xludf.DUMMYFUNCTION("""COMPUTED_VALUE"""),"")</f>
        <v/>
      </c>
      <c r="K181" s="51"/>
      <c r="L181" s="51" t="s">
        <v>257</v>
      </c>
      <c r="M181" s="51"/>
      <c r="N181" s="51"/>
      <c r="O181" s="51"/>
      <c r="P181" s="51"/>
      <c r="Q181" s="51"/>
      <c r="R181" s="51"/>
      <c r="S181" s="51"/>
      <c r="T181" s="51"/>
    </row>
    <row r="182">
      <c r="A182" s="51"/>
      <c r="B182" s="51"/>
      <c r="C182" s="94"/>
      <c r="D182" s="51"/>
      <c r="E182" s="51"/>
      <c r="F182" s="51"/>
      <c r="G182" s="51" t="str">
        <f>IFERROR(__xludf.DUMMYFUNCTION("""COMPUTED_VALUE"""),"#VALUE!")</f>
        <v>#VALUE!</v>
      </c>
      <c r="H182" s="51" t="str">
        <f>IFERROR(__xludf.DUMMYFUNCTION("""COMPUTED_VALUE"""),"")</f>
        <v/>
      </c>
      <c r="I182" s="51" t="str">
        <f>IFERROR(__xludf.DUMMYFUNCTION("""COMPUTED_VALUE"""),"#VALUE!")</f>
        <v>#VALUE!</v>
      </c>
      <c r="J182" s="51" t="str">
        <f>IFERROR(__xludf.DUMMYFUNCTION("""COMPUTED_VALUE"""),"")</f>
        <v/>
      </c>
      <c r="K182" s="51"/>
      <c r="L182" s="51" t="s">
        <v>257</v>
      </c>
      <c r="M182" s="51"/>
      <c r="N182" s="51"/>
      <c r="O182" s="51"/>
      <c r="P182" s="51"/>
      <c r="Q182" s="51"/>
      <c r="R182" s="51"/>
      <c r="S182" s="51"/>
      <c r="T182" s="51"/>
    </row>
    <row r="183">
      <c r="A183" s="51"/>
      <c r="B183" s="51"/>
      <c r="C183" s="94"/>
      <c r="D183" s="51"/>
      <c r="E183" s="51"/>
      <c r="F183" s="51"/>
      <c r="G183" s="51" t="str">
        <f>IFERROR(__xludf.DUMMYFUNCTION("""COMPUTED_VALUE"""),"#VALUE!")</f>
        <v>#VALUE!</v>
      </c>
      <c r="H183" s="51" t="str">
        <f>IFERROR(__xludf.DUMMYFUNCTION("""COMPUTED_VALUE"""),"")</f>
        <v/>
      </c>
      <c r="I183" s="51" t="str">
        <f>IFERROR(__xludf.DUMMYFUNCTION("""COMPUTED_VALUE"""),"#VALUE!")</f>
        <v>#VALUE!</v>
      </c>
      <c r="J183" s="51" t="str">
        <f>IFERROR(__xludf.DUMMYFUNCTION("""COMPUTED_VALUE"""),"")</f>
        <v/>
      </c>
      <c r="K183" s="51"/>
      <c r="L183" s="51" t="s">
        <v>257</v>
      </c>
      <c r="M183" s="51"/>
      <c r="N183" s="51"/>
      <c r="O183" s="51"/>
      <c r="P183" s="51"/>
      <c r="Q183" s="51"/>
      <c r="R183" s="51"/>
      <c r="S183" s="51"/>
      <c r="T183" s="51"/>
    </row>
    <row r="184">
      <c r="A184" s="51"/>
      <c r="B184" s="51"/>
      <c r="C184" s="94"/>
      <c r="D184" s="51"/>
      <c r="E184" s="51"/>
      <c r="F184" s="51"/>
      <c r="G184" s="51" t="str">
        <f>IFERROR(__xludf.DUMMYFUNCTION("""COMPUTED_VALUE"""),"#VALUE!")</f>
        <v>#VALUE!</v>
      </c>
      <c r="H184" s="51" t="str">
        <f>IFERROR(__xludf.DUMMYFUNCTION("""COMPUTED_VALUE"""),"")</f>
        <v/>
      </c>
      <c r="I184" s="51" t="str">
        <f>IFERROR(__xludf.DUMMYFUNCTION("""COMPUTED_VALUE"""),"#VALUE!")</f>
        <v>#VALUE!</v>
      </c>
      <c r="J184" s="51" t="str">
        <f>IFERROR(__xludf.DUMMYFUNCTION("""COMPUTED_VALUE"""),"")</f>
        <v/>
      </c>
      <c r="K184" s="51"/>
      <c r="L184" s="51" t="s">
        <v>257</v>
      </c>
      <c r="M184" s="51"/>
      <c r="N184" s="51"/>
      <c r="O184" s="51"/>
      <c r="P184" s="51"/>
      <c r="Q184" s="51"/>
      <c r="R184" s="51"/>
      <c r="S184" s="51"/>
      <c r="T184" s="51"/>
    </row>
    <row r="185">
      <c r="A185" s="51"/>
      <c r="B185" s="51"/>
      <c r="C185" s="94"/>
      <c r="D185" s="51"/>
      <c r="E185" s="51"/>
      <c r="F185" s="51"/>
      <c r="G185" s="51" t="str">
        <f>IFERROR(__xludf.DUMMYFUNCTION("""COMPUTED_VALUE"""),"#VALUE!")</f>
        <v>#VALUE!</v>
      </c>
      <c r="H185" s="51" t="str">
        <f>IFERROR(__xludf.DUMMYFUNCTION("""COMPUTED_VALUE"""),"")</f>
        <v/>
      </c>
      <c r="I185" s="51" t="str">
        <f>IFERROR(__xludf.DUMMYFUNCTION("""COMPUTED_VALUE"""),"#VALUE!")</f>
        <v>#VALUE!</v>
      </c>
      <c r="J185" s="51" t="str">
        <f>IFERROR(__xludf.DUMMYFUNCTION("""COMPUTED_VALUE"""),"")</f>
        <v/>
      </c>
      <c r="K185" s="51"/>
      <c r="L185" s="51" t="s">
        <v>257</v>
      </c>
      <c r="M185" s="51"/>
      <c r="N185" s="51"/>
      <c r="O185" s="51"/>
      <c r="P185" s="51"/>
      <c r="Q185" s="51"/>
      <c r="R185" s="51"/>
      <c r="S185" s="51"/>
      <c r="T185" s="51"/>
    </row>
    <row r="186">
      <c r="A186" s="51"/>
      <c r="B186" s="51"/>
      <c r="C186" s="94"/>
      <c r="D186" s="51"/>
      <c r="E186" s="51"/>
      <c r="F186" s="51"/>
      <c r="G186" s="51" t="str">
        <f>IFERROR(__xludf.DUMMYFUNCTION("""COMPUTED_VALUE"""),"#VALUE!")</f>
        <v>#VALUE!</v>
      </c>
      <c r="H186" s="51" t="str">
        <f>IFERROR(__xludf.DUMMYFUNCTION("""COMPUTED_VALUE"""),"")</f>
        <v/>
      </c>
      <c r="I186" s="51" t="str">
        <f>IFERROR(__xludf.DUMMYFUNCTION("""COMPUTED_VALUE"""),"#VALUE!")</f>
        <v>#VALUE!</v>
      </c>
      <c r="J186" s="51" t="str">
        <f>IFERROR(__xludf.DUMMYFUNCTION("""COMPUTED_VALUE"""),"")</f>
        <v/>
      </c>
      <c r="K186" s="51"/>
      <c r="L186" s="51" t="s">
        <v>257</v>
      </c>
      <c r="M186" s="51"/>
      <c r="N186" s="51"/>
      <c r="O186" s="51"/>
      <c r="P186" s="51"/>
      <c r="Q186" s="51"/>
      <c r="R186" s="51"/>
      <c r="S186" s="51"/>
      <c r="T186" s="51"/>
    </row>
    <row r="187">
      <c r="A187" s="51"/>
      <c r="B187" s="51"/>
      <c r="C187" s="94"/>
      <c r="D187" s="51"/>
      <c r="E187" s="51"/>
      <c r="F187" s="51"/>
      <c r="G187" s="51" t="str">
        <f>IFERROR(__xludf.DUMMYFUNCTION("""COMPUTED_VALUE"""),"#VALUE!")</f>
        <v>#VALUE!</v>
      </c>
      <c r="H187" s="51" t="str">
        <f>IFERROR(__xludf.DUMMYFUNCTION("""COMPUTED_VALUE"""),"")</f>
        <v/>
      </c>
      <c r="I187" s="51" t="str">
        <f>IFERROR(__xludf.DUMMYFUNCTION("""COMPUTED_VALUE"""),"#VALUE!")</f>
        <v>#VALUE!</v>
      </c>
      <c r="J187" s="51" t="str">
        <f>IFERROR(__xludf.DUMMYFUNCTION("""COMPUTED_VALUE"""),"")</f>
        <v/>
      </c>
      <c r="K187" s="51"/>
      <c r="L187" s="51" t="s">
        <v>257</v>
      </c>
      <c r="M187" s="51"/>
      <c r="N187" s="51"/>
      <c r="O187" s="51"/>
      <c r="P187" s="51"/>
      <c r="Q187" s="51"/>
      <c r="R187" s="51"/>
      <c r="S187" s="51"/>
      <c r="T187" s="51"/>
    </row>
    <row r="188">
      <c r="A188" s="51"/>
      <c r="B188" s="51"/>
      <c r="C188" s="94"/>
      <c r="D188" s="51"/>
      <c r="E188" s="51"/>
      <c r="F188" s="51"/>
      <c r="G188" s="51" t="str">
        <f>IFERROR(__xludf.DUMMYFUNCTION("""COMPUTED_VALUE"""),"#VALUE!")</f>
        <v>#VALUE!</v>
      </c>
      <c r="H188" s="51" t="str">
        <f>IFERROR(__xludf.DUMMYFUNCTION("""COMPUTED_VALUE"""),"")</f>
        <v/>
      </c>
      <c r="I188" s="51" t="str">
        <f>IFERROR(__xludf.DUMMYFUNCTION("""COMPUTED_VALUE"""),"#VALUE!")</f>
        <v>#VALUE!</v>
      </c>
      <c r="J188" s="51" t="str">
        <f>IFERROR(__xludf.DUMMYFUNCTION("""COMPUTED_VALUE"""),"")</f>
        <v/>
      </c>
      <c r="K188" s="51"/>
      <c r="L188" s="51" t="s">
        <v>257</v>
      </c>
      <c r="M188" s="51"/>
      <c r="N188" s="51"/>
      <c r="O188" s="51"/>
      <c r="P188" s="51"/>
      <c r="Q188" s="51"/>
      <c r="R188" s="51"/>
      <c r="S188" s="51"/>
      <c r="T188" s="51"/>
    </row>
    <row r="189">
      <c r="A189" s="51"/>
      <c r="B189" s="51"/>
      <c r="C189" s="94"/>
      <c r="D189" s="51"/>
      <c r="E189" s="51"/>
      <c r="F189" s="51"/>
      <c r="G189" s="51" t="str">
        <f>IFERROR(__xludf.DUMMYFUNCTION("""COMPUTED_VALUE"""),"#VALUE!")</f>
        <v>#VALUE!</v>
      </c>
      <c r="H189" s="51" t="str">
        <f>IFERROR(__xludf.DUMMYFUNCTION("""COMPUTED_VALUE"""),"")</f>
        <v/>
      </c>
      <c r="I189" s="51" t="str">
        <f>IFERROR(__xludf.DUMMYFUNCTION("""COMPUTED_VALUE"""),"#VALUE!")</f>
        <v>#VALUE!</v>
      </c>
      <c r="J189" s="51" t="str">
        <f>IFERROR(__xludf.DUMMYFUNCTION("""COMPUTED_VALUE"""),"")</f>
        <v/>
      </c>
      <c r="K189" s="51"/>
      <c r="L189" s="51" t="s">
        <v>257</v>
      </c>
      <c r="M189" s="51"/>
      <c r="N189" s="51"/>
      <c r="O189" s="51"/>
      <c r="P189" s="51"/>
      <c r="Q189" s="51"/>
      <c r="R189" s="51"/>
      <c r="S189" s="51"/>
      <c r="T189" s="51"/>
    </row>
    <row r="190">
      <c r="A190" s="51"/>
      <c r="B190" s="51"/>
      <c r="C190" s="94"/>
      <c r="D190" s="51"/>
      <c r="E190" s="51"/>
      <c r="F190" s="51"/>
      <c r="G190" s="51" t="str">
        <f>IFERROR(__xludf.DUMMYFUNCTION("""COMPUTED_VALUE"""),"#VALUE!")</f>
        <v>#VALUE!</v>
      </c>
      <c r="H190" s="51" t="str">
        <f>IFERROR(__xludf.DUMMYFUNCTION("""COMPUTED_VALUE"""),"")</f>
        <v/>
      </c>
      <c r="I190" s="51" t="str">
        <f>IFERROR(__xludf.DUMMYFUNCTION("""COMPUTED_VALUE"""),"#VALUE!")</f>
        <v>#VALUE!</v>
      </c>
      <c r="J190" s="51" t="str">
        <f>IFERROR(__xludf.DUMMYFUNCTION("""COMPUTED_VALUE"""),"")</f>
        <v/>
      </c>
      <c r="K190" s="51"/>
      <c r="L190" s="51" t="s">
        <v>257</v>
      </c>
      <c r="M190" s="51"/>
      <c r="N190" s="51"/>
      <c r="O190" s="51"/>
      <c r="P190" s="51"/>
      <c r="Q190" s="51"/>
      <c r="R190" s="51"/>
      <c r="S190" s="51"/>
      <c r="T190" s="51"/>
    </row>
    <row r="191">
      <c r="A191" s="51"/>
      <c r="B191" s="51"/>
      <c r="C191" s="94"/>
      <c r="D191" s="51"/>
      <c r="E191" s="51"/>
      <c r="F191" s="51"/>
      <c r="G191" s="51" t="str">
        <f>IFERROR(__xludf.DUMMYFUNCTION("""COMPUTED_VALUE"""),"#VALUE!")</f>
        <v>#VALUE!</v>
      </c>
      <c r="H191" s="51" t="str">
        <f>IFERROR(__xludf.DUMMYFUNCTION("""COMPUTED_VALUE"""),"")</f>
        <v/>
      </c>
      <c r="I191" s="51" t="str">
        <f>IFERROR(__xludf.DUMMYFUNCTION("""COMPUTED_VALUE"""),"#VALUE!")</f>
        <v>#VALUE!</v>
      </c>
      <c r="J191" s="51" t="str">
        <f>IFERROR(__xludf.DUMMYFUNCTION("""COMPUTED_VALUE"""),"")</f>
        <v/>
      </c>
      <c r="K191" s="51"/>
      <c r="L191" s="51" t="s">
        <v>257</v>
      </c>
      <c r="M191" s="51"/>
      <c r="N191" s="51"/>
      <c r="O191" s="51"/>
      <c r="P191" s="51"/>
      <c r="Q191" s="51"/>
      <c r="R191" s="51"/>
      <c r="S191" s="51"/>
      <c r="T191" s="51"/>
    </row>
    <row r="192">
      <c r="A192" s="51"/>
      <c r="B192" s="51"/>
      <c r="C192" s="94"/>
      <c r="D192" s="51"/>
      <c r="E192" s="51"/>
      <c r="F192" s="51"/>
      <c r="G192" s="51" t="str">
        <f>IFERROR(__xludf.DUMMYFUNCTION("""COMPUTED_VALUE"""),"#VALUE!")</f>
        <v>#VALUE!</v>
      </c>
      <c r="H192" s="51" t="str">
        <f>IFERROR(__xludf.DUMMYFUNCTION("""COMPUTED_VALUE"""),"")</f>
        <v/>
      </c>
      <c r="I192" s="51" t="str">
        <f>IFERROR(__xludf.DUMMYFUNCTION("""COMPUTED_VALUE"""),"#VALUE!")</f>
        <v>#VALUE!</v>
      </c>
      <c r="J192" s="51" t="str">
        <f>IFERROR(__xludf.DUMMYFUNCTION("""COMPUTED_VALUE"""),"")</f>
        <v/>
      </c>
      <c r="K192" s="51"/>
      <c r="L192" s="51" t="s">
        <v>257</v>
      </c>
      <c r="M192" s="51"/>
      <c r="N192" s="51"/>
      <c r="O192" s="51"/>
      <c r="P192" s="51"/>
      <c r="Q192" s="51"/>
      <c r="R192" s="51"/>
      <c r="S192" s="51"/>
      <c r="T192" s="51"/>
    </row>
    <row r="193">
      <c r="A193" s="51"/>
      <c r="B193" s="51"/>
      <c r="C193" s="94"/>
      <c r="D193" s="51"/>
      <c r="E193" s="51"/>
      <c r="F193" s="51"/>
      <c r="G193" s="51" t="str">
        <f>IFERROR(__xludf.DUMMYFUNCTION("""COMPUTED_VALUE"""),"#VALUE!")</f>
        <v>#VALUE!</v>
      </c>
      <c r="H193" s="51" t="str">
        <f>IFERROR(__xludf.DUMMYFUNCTION("""COMPUTED_VALUE"""),"")</f>
        <v/>
      </c>
      <c r="I193" s="51" t="str">
        <f>IFERROR(__xludf.DUMMYFUNCTION("""COMPUTED_VALUE"""),"#VALUE!")</f>
        <v>#VALUE!</v>
      </c>
      <c r="J193" s="51" t="str">
        <f>IFERROR(__xludf.DUMMYFUNCTION("""COMPUTED_VALUE"""),"")</f>
        <v/>
      </c>
      <c r="K193" s="51"/>
      <c r="L193" s="51" t="s">
        <v>257</v>
      </c>
      <c r="M193" s="51"/>
      <c r="N193" s="51"/>
      <c r="O193" s="51"/>
      <c r="P193" s="51"/>
      <c r="Q193" s="51"/>
      <c r="R193" s="51"/>
      <c r="S193" s="51"/>
      <c r="T193" s="51"/>
    </row>
    <row r="194">
      <c r="A194" s="51"/>
      <c r="B194" s="51"/>
      <c r="C194" s="94"/>
      <c r="D194" s="51"/>
      <c r="E194" s="51"/>
      <c r="F194" s="51"/>
      <c r="G194" s="51" t="str">
        <f>IFERROR(__xludf.DUMMYFUNCTION("""COMPUTED_VALUE"""),"#VALUE!")</f>
        <v>#VALUE!</v>
      </c>
      <c r="H194" s="51" t="str">
        <f>IFERROR(__xludf.DUMMYFUNCTION("""COMPUTED_VALUE"""),"")</f>
        <v/>
      </c>
      <c r="I194" s="51" t="str">
        <f>IFERROR(__xludf.DUMMYFUNCTION("""COMPUTED_VALUE"""),"#VALUE!")</f>
        <v>#VALUE!</v>
      </c>
      <c r="J194" s="51" t="str">
        <f>IFERROR(__xludf.DUMMYFUNCTION("""COMPUTED_VALUE"""),"")</f>
        <v/>
      </c>
      <c r="K194" s="51"/>
      <c r="L194" s="51" t="s">
        <v>257</v>
      </c>
      <c r="M194" s="51"/>
      <c r="N194" s="51"/>
      <c r="O194" s="51"/>
      <c r="P194" s="51"/>
      <c r="Q194" s="51"/>
      <c r="R194" s="51"/>
      <c r="S194" s="51"/>
      <c r="T194" s="51"/>
    </row>
    <row r="195">
      <c r="A195" s="51"/>
      <c r="B195" s="51"/>
      <c r="C195" s="94"/>
      <c r="D195" s="51"/>
      <c r="E195" s="51"/>
      <c r="F195" s="51"/>
      <c r="G195" s="51" t="str">
        <f>IFERROR(__xludf.DUMMYFUNCTION("""COMPUTED_VALUE"""),"#VALUE!")</f>
        <v>#VALUE!</v>
      </c>
      <c r="H195" s="51" t="str">
        <f>IFERROR(__xludf.DUMMYFUNCTION("""COMPUTED_VALUE"""),"")</f>
        <v/>
      </c>
      <c r="I195" s="51" t="str">
        <f>IFERROR(__xludf.DUMMYFUNCTION("""COMPUTED_VALUE"""),"#VALUE!")</f>
        <v>#VALUE!</v>
      </c>
      <c r="J195" s="51" t="str">
        <f>IFERROR(__xludf.DUMMYFUNCTION("""COMPUTED_VALUE"""),"")</f>
        <v/>
      </c>
      <c r="K195" s="51"/>
      <c r="L195" s="51" t="s">
        <v>257</v>
      </c>
      <c r="M195" s="51"/>
      <c r="N195" s="51"/>
      <c r="O195" s="51"/>
      <c r="P195" s="51"/>
      <c r="Q195" s="51"/>
      <c r="R195" s="51"/>
      <c r="S195" s="51"/>
      <c r="T195" s="51"/>
    </row>
    <row r="196">
      <c r="A196" s="51"/>
      <c r="B196" s="51"/>
      <c r="C196" s="94"/>
      <c r="D196" s="51"/>
      <c r="E196" s="51"/>
      <c r="F196" s="51"/>
      <c r="G196" s="51" t="str">
        <f>IFERROR(__xludf.DUMMYFUNCTION("""COMPUTED_VALUE"""),"#VALUE!")</f>
        <v>#VALUE!</v>
      </c>
      <c r="H196" s="51" t="str">
        <f>IFERROR(__xludf.DUMMYFUNCTION("""COMPUTED_VALUE"""),"")</f>
        <v/>
      </c>
      <c r="I196" s="51" t="str">
        <f>IFERROR(__xludf.DUMMYFUNCTION("""COMPUTED_VALUE"""),"#VALUE!")</f>
        <v>#VALUE!</v>
      </c>
      <c r="J196" s="51" t="str">
        <f>IFERROR(__xludf.DUMMYFUNCTION("""COMPUTED_VALUE"""),"")</f>
        <v/>
      </c>
      <c r="K196" s="51"/>
      <c r="L196" s="51" t="s">
        <v>257</v>
      </c>
      <c r="M196" s="51"/>
      <c r="N196" s="51"/>
      <c r="O196" s="51"/>
      <c r="P196" s="51"/>
      <c r="Q196" s="51"/>
      <c r="R196" s="51"/>
      <c r="S196" s="51"/>
      <c r="T196" s="51"/>
    </row>
    <row r="197">
      <c r="A197" s="51"/>
      <c r="B197" s="51"/>
      <c r="C197" s="94"/>
      <c r="D197" s="51"/>
      <c r="E197" s="51"/>
      <c r="F197" s="51"/>
      <c r="G197" s="51" t="str">
        <f>IFERROR(__xludf.DUMMYFUNCTION("""COMPUTED_VALUE"""),"#VALUE!")</f>
        <v>#VALUE!</v>
      </c>
      <c r="H197" s="51" t="str">
        <f>IFERROR(__xludf.DUMMYFUNCTION("""COMPUTED_VALUE"""),"")</f>
        <v/>
      </c>
      <c r="I197" s="51" t="str">
        <f>IFERROR(__xludf.DUMMYFUNCTION("""COMPUTED_VALUE"""),"#VALUE!")</f>
        <v>#VALUE!</v>
      </c>
      <c r="J197" s="51" t="str">
        <f>IFERROR(__xludf.DUMMYFUNCTION("""COMPUTED_VALUE"""),"")</f>
        <v/>
      </c>
      <c r="K197" s="51"/>
      <c r="L197" s="51" t="s">
        <v>257</v>
      </c>
      <c r="M197" s="51"/>
      <c r="N197" s="51"/>
      <c r="O197" s="51"/>
      <c r="P197" s="51"/>
      <c r="Q197" s="51"/>
      <c r="R197" s="51"/>
      <c r="S197" s="51"/>
      <c r="T197" s="51"/>
    </row>
    <row r="198">
      <c r="A198" s="51"/>
      <c r="B198" s="51"/>
      <c r="C198" s="94"/>
      <c r="D198" s="51"/>
      <c r="E198" s="51"/>
      <c r="F198" s="51"/>
      <c r="G198" s="51" t="str">
        <f>IFERROR(__xludf.DUMMYFUNCTION("""COMPUTED_VALUE"""),"#VALUE!")</f>
        <v>#VALUE!</v>
      </c>
      <c r="H198" s="51" t="str">
        <f>IFERROR(__xludf.DUMMYFUNCTION("""COMPUTED_VALUE"""),"")</f>
        <v/>
      </c>
      <c r="I198" s="51" t="str">
        <f>IFERROR(__xludf.DUMMYFUNCTION("""COMPUTED_VALUE"""),"#VALUE!")</f>
        <v>#VALUE!</v>
      </c>
      <c r="J198" s="51" t="str">
        <f>IFERROR(__xludf.DUMMYFUNCTION("""COMPUTED_VALUE"""),"")</f>
        <v/>
      </c>
      <c r="K198" s="51"/>
      <c r="L198" s="51" t="s">
        <v>257</v>
      </c>
      <c r="M198" s="51"/>
      <c r="N198" s="51"/>
      <c r="O198" s="51"/>
      <c r="P198" s="51"/>
      <c r="Q198" s="51"/>
      <c r="R198" s="51"/>
      <c r="S198" s="51"/>
      <c r="T198" s="51"/>
    </row>
    <row r="199">
      <c r="A199" s="51"/>
      <c r="B199" s="51"/>
      <c r="C199" s="94"/>
      <c r="D199" s="51"/>
      <c r="E199" s="51"/>
      <c r="F199" s="51"/>
      <c r="G199" s="51" t="str">
        <f>IFERROR(__xludf.DUMMYFUNCTION("""COMPUTED_VALUE"""),"#VALUE!")</f>
        <v>#VALUE!</v>
      </c>
      <c r="H199" s="51" t="str">
        <f>IFERROR(__xludf.DUMMYFUNCTION("""COMPUTED_VALUE"""),"")</f>
        <v/>
      </c>
      <c r="I199" s="51" t="str">
        <f>IFERROR(__xludf.DUMMYFUNCTION("""COMPUTED_VALUE"""),"#VALUE!")</f>
        <v>#VALUE!</v>
      </c>
      <c r="J199" s="51" t="str">
        <f>IFERROR(__xludf.DUMMYFUNCTION("""COMPUTED_VALUE"""),"")</f>
        <v/>
      </c>
      <c r="K199" s="51"/>
      <c r="L199" s="51" t="s">
        <v>257</v>
      </c>
      <c r="M199" s="51"/>
      <c r="N199" s="51"/>
      <c r="O199" s="51"/>
      <c r="P199" s="51"/>
      <c r="Q199" s="51"/>
      <c r="R199" s="51"/>
      <c r="S199" s="51"/>
      <c r="T199" s="51"/>
    </row>
    <row r="200">
      <c r="A200" s="51"/>
      <c r="B200" s="51"/>
      <c r="C200" s="94"/>
      <c r="D200" s="51"/>
      <c r="E200" s="51"/>
      <c r="F200" s="51"/>
      <c r="G200" s="51" t="str">
        <f>IFERROR(__xludf.DUMMYFUNCTION("""COMPUTED_VALUE"""),"#VALUE!")</f>
        <v>#VALUE!</v>
      </c>
      <c r="H200" s="51" t="str">
        <f>IFERROR(__xludf.DUMMYFUNCTION("""COMPUTED_VALUE"""),"")</f>
        <v/>
      </c>
      <c r="I200" s="51" t="str">
        <f>IFERROR(__xludf.DUMMYFUNCTION("""COMPUTED_VALUE"""),"#VALUE!")</f>
        <v>#VALUE!</v>
      </c>
      <c r="J200" s="51" t="str">
        <f>IFERROR(__xludf.DUMMYFUNCTION("""COMPUTED_VALUE"""),"")</f>
        <v/>
      </c>
      <c r="K200" s="51"/>
      <c r="L200" s="51" t="s">
        <v>257</v>
      </c>
      <c r="M200" s="51"/>
      <c r="N200" s="51"/>
      <c r="O200" s="51"/>
      <c r="P200" s="51"/>
      <c r="Q200" s="51"/>
      <c r="R200" s="51"/>
      <c r="S200" s="51"/>
      <c r="T200" s="51"/>
    </row>
    <row r="201">
      <c r="A201" s="51"/>
      <c r="B201" s="51"/>
      <c r="C201" s="94"/>
      <c r="D201" s="51"/>
      <c r="E201" s="51"/>
      <c r="F201" s="51"/>
      <c r="G201" s="51" t="str">
        <f>IFERROR(__xludf.DUMMYFUNCTION("""COMPUTED_VALUE"""),"#VALUE!")</f>
        <v>#VALUE!</v>
      </c>
      <c r="H201" s="51" t="str">
        <f>IFERROR(__xludf.DUMMYFUNCTION("""COMPUTED_VALUE"""),"")</f>
        <v/>
      </c>
      <c r="I201" s="51" t="str">
        <f>IFERROR(__xludf.DUMMYFUNCTION("""COMPUTED_VALUE"""),"#VALUE!")</f>
        <v>#VALUE!</v>
      </c>
      <c r="J201" s="51" t="str">
        <f>IFERROR(__xludf.DUMMYFUNCTION("""COMPUTED_VALUE"""),"")</f>
        <v/>
      </c>
      <c r="K201" s="51"/>
      <c r="L201" s="51" t="s">
        <v>257</v>
      </c>
      <c r="M201" s="51"/>
      <c r="N201" s="51"/>
      <c r="O201" s="51"/>
      <c r="P201" s="51"/>
      <c r="Q201" s="51"/>
      <c r="R201" s="51"/>
      <c r="S201" s="51"/>
      <c r="T201" s="51"/>
    </row>
    <row r="202">
      <c r="A202" s="51"/>
      <c r="B202" s="51"/>
      <c r="C202" s="94"/>
      <c r="D202" s="51"/>
      <c r="E202" s="51"/>
      <c r="F202" s="51"/>
      <c r="G202" s="51" t="str">
        <f>IFERROR(__xludf.DUMMYFUNCTION("""COMPUTED_VALUE"""),"#VALUE!")</f>
        <v>#VALUE!</v>
      </c>
      <c r="H202" s="51" t="str">
        <f>IFERROR(__xludf.DUMMYFUNCTION("""COMPUTED_VALUE"""),"")</f>
        <v/>
      </c>
      <c r="I202" s="51" t="str">
        <f>IFERROR(__xludf.DUMMYFUNCTION("""COMPUTED_VALUE"""),"#VALUE!")</f>
        <v>#VALUE!</v>
      </c>
      <c r="J202" s="51" t="str">
        <f>IFERROR(__xludf.DUMMYFUNCTION("""COMPUTED_VALUE"""),"")</f>
        <v/>
      </c>
      <c r="K202" s="51"/>
      <c r="L202" s="51" t="s">
        <v>257</v>
      </c>
      <c r="M202" s="51"/>
      <c r="N202" s="51"/>
      <c r="O202" s="51"/>
      <c r="P202" s="51"/>
      <c r="Q202" s="51"/>
      <c r="R202" s="51"/>
      <c r="S202" s="51"/>
      <c r="T202" s="51"/>
    </row>
    <row r="203">
      <c r="A203" s="51"/>
      <c r="B203" s="51"/>
      <c r="C203" s="94"/>
      <c r="D203" s="51"/>
      <c r="E203" s="51"/>
      <c r="F203" s="51"/>
      <c r="G203" s="51" t="str">
        <f>IFERROR(__xludf.DUMMYFUNCTION("""COMPUTED_VALUE"""),"#VALUE!")</f>
        <v>#VALUE!</v>
      </c>
      <c r="H203" s="51" t="str">
        <f>IFERROR(__xludf.DUMMYFUNCTION("""COMPUTED_VALUE"""),"")</f>
        <v/>
      </c>
      <c r="I203" s="51" t="str">
        <f>IFERROR(__xludf.DUMMYFUNCTION("""COMPUTED_VALUE"""),"#VALUE!")</f>
        <v>#VALUE!</v>
      </c>
      <c r="J203" s="51" t="str">
        <f>IFERROR(__xludf.DUMMYFUNCTION("""COMPUTED_VALUE"""),"")</f>
        <v/>
      </c>
      <c r="K203" s="51"/>
      <c r="L203" s="51" t="s">
        <v>257</v>
      </c>
      <c r="M203" s="51"/>
      <c r="N203" s="51"/>
      <c r="O203" s="51"/>
      <c r="P203" s="51"/>
      <c r="Q203" s="51"/>
      <c r="R203" s="51"/>
      <c r="S203" s="51"/>
      <c r="T203" s="51"/>
    </row>
    <row r="204">
      <c r="A204" s="51"/>
      <c r="B204" s="51"/>
      <c r="C204" s="94"/>
      <c r="D204" s="51"/>
      <c r="E204" s="51"/>
      <c r="F204" s="51"/>
      <c r="G204" s="51" t="str">
        <f>IFERROR(__xludf.DUMMYFUNCTION("""COMPUTED_VALUE"""),"#VALUE!")</f>
        <v>#VALUE!</v>
      </c>
      <c r="H204" s="51" t="str">
        <f>IFERROR(__xludf.DUMMYFUNCTION("""COMPUTED_VALUE"""),"")</f>
        <v/>
      </c>
      <c r="I204" s="51" t="str">
        <f>IFERROR(__xludf.DUMMYFUNCTION("""COMPUTED_VALUE"""),"#VALUE!")</f>
        <v>#VALUE!</v>
      </c>
      <c r="J204" s="51" t="str">
        <f>IFERROR(__xludf.DUMMYFUNCTION("""COMPUTED_VALUE"""),"")</f>
        <v/>
      </c>
      <c r="K204" s="51"/>
      <c r="L204" s="51" t="s">
        <v>257</v>
      </c>
      <c r="M204" s="51"/>
      <c r="N204" s="51"/>
      <c r="O204" s="51"/>
      <c r="P204" s="51"/>
      <c r="Q204" s="51"/>
      <c r="R204" s="51"/>
      <c r="S204" s="51"/>
      <c r="T204" s="51"/>
    </row>
    <row r="205">
      <c r="A205" s="51"/>
      <c r="B205" s="51"/>
      <c r="C205" s="94"/>
      <c r="D205" s="51"/>
      <c r="E205" s="51"/>
      <c r="F205" s="51"/>
      <c r="G205" s="51" t="str">
        <f>IFERROR(__xludf.DUMMYFUNCTION("""COMPUTED_VALUE"""),"#VALUE!")</f>
        <v>#VALUE!</v>
      </c>
      <c r="H205" s="51" t="str">
        <f>IFERROR(__xludf.DUMMYFUNCTION("""COMPUTED_VALUE"""),"")</f>
        <v/>
      </c>
      <c r="I205" s="51" t="str">
        <f>IFERROR(__xludf.DUMMYFUNCTION("""COMPUTED_VALUE"""),"#VALUE!")</f>
        <v>#VALUE!</v>
      </c>
      <c r="J205" s="51" t="str">
        <f>IFERROR(__xludf.DUMMYFUNCTION("""COMPUTED_VALUE"""),"")</f>
        <v/>
      </c>
      <c r="K205" s="51"/>
      <c r="L205" s="51" t="s">
        <v>257</v>
      </c>
      <c r="M205" s="51"/>
      <c r="N205" s="51"/>
      <c r="O205" s="51"/>
      <c r="P205" s="51"/>
      <c r="Q205" s="51"/>
      <c r="R205" s="51"/>
      <c r="S205" s="51"/>
      <c r="T205" s="51"/>
    </row>
    <row r="206">
      <c r="A206" s="51"/>
      <c r="B206" s="51"/>
      <c r="C206" s="94"/>
      <c r="D206" s="51"/>
      <c r="E206" s="51"/>
      <c r="F206" s="51"/>
      <c r="G206" s="51" t="str">
        <f>IFERROR(__xludf.DUMMYFUNCTION("""COMPUTED_VALUE"""),"#VALUE!")</f>
        <v>#VALUE!</v>
      </c>
      <c r="H206" s="51" t="str">
        <f>IFERROR(__xludf.DUMMYFUNCTION("""COMPUTED_VALUE"""),"")</f>
        <v/>
      </c>
      <c r="I206" s="51" t="str">
        <f>IFERROR(__xludf.DUMMYFUNCTION("""COMPUTED_VALUE"""),"#VALUE!")</f>
        <v>#VALUE!</v>
      </c>
      <c r="J206" s="51" t="str">
        <f>IFERROR(__xludf.DUMMYFUNCTION("""COMPUTED_VALUE"""),"")</f>
        <v/>
      </c>
      <c r="K206" s="51"/>
      <c r="L206" s="51" t="s">
        <v>257</v>
      </c>
      <c r="M206" s="51"/>
      <c r="N206" s="51"/>
      <c r="O206" s="51"/>
      <c r="P206" s="51"/>
      <c r="Q206" s="51"/>
      <c r="R206" s="51"/>
      <c r="S206" s="51"/>
      <c r="T206" s="51"/>
    </row>
    <row r="207">
      <c r="A207" s="51"/>
      <c r="B207" s="51"/>
      <c r="C207" s="94"/>
      <c r="D207" s="51"/>
      <c r="E207" s="51"/>
      <c r="F207" s="51"/>
      <c r="G207" s="51" t="str">
        <f>IFERROR(__xludf.DUMMYFUNCTION("""COMPUTED_VALUE"""),"#VALUE!")</f>
        <v>#VALUE!</v>
      </c>
      <c r="H207" s="51" t="str">
        <f>IFERROR(__xludf.DUMMYFUNCTION("""COMPUTED_VALUE"""),"")</f>
        <v/>
      </c>
      <c r="I207" s="51" t="str">
        <f>IFERROR(__xludf.DUMMYFUNCTION("""COMPUTED_VALUE"""),"#VALUE!")</f>
        <v>#VALUE!</v>
      </c>
      <c r="J207" s="51" t="str">
        <f>IFERROR(__xludf.DUMMYFUNCTION("""COMPUTED_VALUE"""),"")</f>
        <v/>
      </c>
      <c r="K207" s="51"/>
      <c r="L207" s="51" t="s">
        <v>257</v>
      </c>
      <c r="M207" s="51"/>
      <c r="N207" s="51"/>
      <c r="O207" s="51"/>
      <c r="P207" s="51"/>
      <c r="Q207" s="51"/>
      <c r="R207" s="51"/>
      <c r="S207" s="51"/>
      <c r="T207" s="51"/>
    </row>
    <row r="208">
      <c r="A208" s="51"/>
      <c r="B208" s="51"/>
      <c r="C208" s="94"/>
      <c r="D208" s="51"/>
      <c r="E208" s="51"/>
      <c r="F208" s="51"/>
      <c r="G208" s="51" t="str">
        <f>IFERROR(__xludf.DUMMYFUNCTION("""COMPUTED_VALUE"""),"#VALUE!")</f>
        <v>#VALUE!</v>
      </c>
      <c r="H208" s="51" t="str">
        <f>IFERROR(__xludf.DUMMYFUNCTION("""COMPUTED_VALUE"""),"")</f>
        <v/>
      </c>
      <c r="I208" s="51" t="str">
        <f>IFERROR(__xludf.DUMMYFUNCTION("""COMPUTED_VALUE"""),"#VALUE!")</f>
        <v>#VALUE!</v>
      </c>
      <c r="J208" s="51" t="str">
        <f>IFERROR(__xludf.DUMMYFUNCTION("""COMPUTED_VALUE"""),"")</f>
        <v/>
      </c>
      <c r="K208" s="51"/>
      <c r="L208" s="51" t="s">
        <v>257</v>
      </c>
      <c r="M208" s="51"/>
      <c r="N208" s="51"/>
      <c r="O208" s="51"/>
      <c r="P208" s="51"/>
      <c r="Q208" s="51"/>
      <c r="R208" s="51"/>
      <c r="S208" s="51"/>
      <c r="T208" s="51"/>
    </row>
    <row r="209">
      <c r="A209" s="51"/>
      <c r="B209" s="51"/>
      <c r="C209" s="94"/>
      <c r="D209" s="51"/>
      <c r="E209" s="51"/>
      <c r="F209" s="51"/>
      <c r="G209" s="51" t="str">
        <f>IFERROR(__xludf.DUMMYFUNCTION("""COMPUTED_VALUE"""),"#VALUE!")</f>
        <v>#VALUE!</v>
      </c>
      <c r="H209" s="51" t="str">
        <f>IFERROR(__xludf.DUMMYFUNCTION("""COMPUTED_VALUE"""),"")</f>
        <v/>
      </c>
      <c r="I209" s="51" t="str">
        <f>IFERROR(__xludf.DUMMYFUNCTION("""COMPUTED_VALUE"""),"#VALUE!")</f>
        <v>#VALUE!</v>
      </c>
      <c r="J209" s="51" t="str">
        <f>IFERROR(__xludf.DUMMYFUNCTION("""COMPUTED_VALUE"""),"")</f>
        <v/>
      </c>
      <c r="K209" s="51"/>
      <c r="L209" s="51" t="s">
        <v>257</v>
      </c>
      <c r="M209" s="51"/>
      <c r="N209" s="51"/>
      <c r="O209" s="51"/>
      <c r="P209" s="51"/>
      <c r="Q209" s="51"/>
      <c r="R209" s="51"/>
      <c r="S209" s="51"/>
      <c r="T209" s="51"/>
    </row>
    <row r="210">
      <c r="A210" s="51"/>
      <c r="B210" s="51"/>
      <c r="C210" s="94"/>
      <c r="D210" s="51"/>
      <c r="E210" s="51"/>
      <c r="F210" s="51"/>
      <c r="G210" s="51" t="str">
        <f>IFERROR(__xludf.DUMMYFUNCTION("""COMPUTED_VALUE"""),"#VALUE!")</f>
        <v>#VALUE!</v>
      </c>
      <c r="H210" s="51" t="str">
        <f>IFERROR(__xludf.DUMMYFUNCTION("""COMPUTED_VALUE"""),"")</f>
        <v/>
      </c>
      <c r="I210" s="51" t="str">
        <f>IFERROR(__xludf.DUMMYFUNCTION("""COMPUTED_VALUE"""),"#VALUE!")</f>
        <v>#VALUE!</v>
      </c>
      <c r="J210" s="51" t="str">
        <f>IFERROR(__xludf.DUMMYFUNCTION("""COMPUTED_VALUE"""),"")</f>
        <v/>
      </c>
      <c r="K210" s="51"/>
      <c r="L210" s="51" t="s">
        <v>257</v>
      </c>
      <c r="M210" s="51"/>
      <c r="N210" s="51"/>
      <c r="O210" s="51"/>
      <c r="P210" s="51"/>
      <c r="Q210" s="51"/>
      <c r="R210" s="51"/>
      <c r="S210" s="51"/>
      <c r="T210" s="51"/>
    </row>
    <row r="211">
      <c r="A211" s="51"/>
      <c r="B211" s="51"/>
      <c r="C211" s="94"/>
      <c r="D211" s="51"/>
      <c r="E211" s="51"/>
      <c r="F211" s="51"/>
      <c r="G211" s="51" t="str">
        <f>IFERROR(__xludf.DUMMYFUNCTION("""COMPUTED_VALUE"""),"#VALUE!")</f>
        <v>#VALUE!</v>
      </c>
      <c r="H211" s="51" t="str">
        <f>IFERROR(__xludf.DUMMYFUNCTION("""COMPUTED_VALUE"""),"")</f>
        <v/>
      </c>
      <c r="I211" s="51" t="str">
        <f>IFERROR(__xludf.DUMMYFUNCTION("""COMPUTED_VALUE"""),"#VALUE!")</f>
        <v>#VALUE!</v>
      </c>
      <c r="J211" s="51" t="str">
        <f>IFERROR(__xludf.DUMMYFUNCTION("""COMPUTED_VALUE"""),"")</f>
        <v/>
      </c>
      <c r="K211" s="51"/>
      <c r="L211" s="51" t="s">
        <v>257</v>
      </c>
      <c r="M211" s="51"/>
      <c r="N211" s="51"/>
      <c r="O211" s="51"/>
      <c r="P211" s="51"/>
      <c r="Q211" s="51"/>
      <c r="R211" s="51"/>
      <c r="S211" s="51"/>
      <c r="T211" s="51"/>
    </row>
    <row r="212">
      <c r="A212" s="51"/>
      <c r="B212" s="51"/>
      <c r="C212" s="94"/>
      <c r="D212" s="51"/>
      <c r="E212" s="51"/>
      <c r="F212" s="51"/>
      <c r="G212" s="51" t="str">
        <f>IFERROR(__xludf.DUMMYFUNCTION("""COMPUTED_VALUE"""),"#VALUE!")</f>
        <v>#VALUE!</v>
      </c>
      <c r="H212" s="51" t="str">
        <f>IFERROR(__xludf.DUMMYFUNCTION("""COMPUTED_VALUE"""),"")</f>
        <v/>
      </c>
      <c r="I212" s="51" t="str">
        <f>IFERROR(__xludf.DUMMYFUNCTION("""COMPUTED_VALUE"""),"#VALUE!")</f>
        <v>#VALUE!</v>
      </c>
      <c r="J212" s="51" t="str">
        <f>IFERROR(__xludf.DUMMYFUNCTION("""COMPUTED_VALUE"""),"")</f>
        <v/>
      </c>
      <c r="K212" s="51"/>
      <c r="L212" s="51" t="s">
        <v>257</v>
      </c>
      <c r="M212" s="51"/>
      <c r="N212" s="51"/>
      <c r="O212" s="51"/>
      <c r="P212" s="51"/>
      <c r="Q212" s="51"/>
      <c r="R212" s="51"/>
      <c r="S212" s="51"/>
      <c r="T212" s="51"/>
    </row>
    <row r="213">
      <c r="A213" s="51"/>
      <c r="B213" s="51"/>
      <c r="C213" s="94"/>
      <c r="D213" s="51"/>
      <c r="E213" s="51"/>
      <c r="F213" s="51"/>
      <c r="G213" s="51" t="str">
        <f>IFERROR(__xludf.DUMMYFUNCTION("""COMPUTED_VALUE"""),"#VALUE!")</f>
        <v>#VALUE!</v>
      </c>
      <c r="H213" s="51" t="str">
        <f>IFERROR(__xludf.DUMMYFUNCTION("""COMPUTED_VALUE"""),"")</f>
        <v/>
      </c>
      <c r="I213" s="51" t="str">
        <f>IFERROR(__xludf.DUMMYFUNCTION("""COMPUTED_VALUE"""),"#VALUE!")</f>
        <v>#VALUE!</v>
      </c>
      <c r="J213" s="51" t="str">
        <f>IFERROR(__xludf.DUMMYFUNCTION("""COMPUTED_VALUE"""),"")</f>
        <v/>
      </c>
      <c r="K213" s="51"/>
      <c r="L213" s="51" t="s">
        <v>257</v>
      </c>
      <c r="M213" s="51"/>
      <c r="N213" s="51"/>
      <c r="O213" s="51"/>
      <c r="P213" s="51"/>
      <c r="Q213" s="51"/>
      <c r="R213" s="51"/>
      <c r="S213" s="51"/>
      <c r="T213" s="51"/>
    </row>
    <row r="214">
      <c r="A214" s="51"/>
      <c r="B214" s="51"/>
      <c r="C214" s="94"/>
      <c r="D214" s="51"/>
      <c r="E214" s="51"/>
      <c r="F214" s="51"/>
      <c r="G214" s="51" t="str">
        <f>IFERROR(__xludf.DUMMYFUNCTION("""COMPUTED_VALUE"""),"#VALUE!")</f>
        <v>#VALUE!</v>
      </c>
      <c r="H214" s="51" t="str">
        <f>IFERROR(__xludf.DUMMYFUNCTION("""COMPUTED_VALUE"""),"")</f>
        <v/>
      </c>
      <c r="I214" s="51" t="str">
        <f>IFERROR(__xludf.DUMMYFUNCTION("""COMPUTED_VALUE"""),"#VALUE!")</f>
        <v>#VALUE!</v>
      </c>
      <c r="J214" s="51" t="str">
        <f>IFERROR(__xludf.DUMMYFUNCTION("""COMPUTED_VALUE"""),"")</f>
        <v/>
      </c>
      <c r="K214" s="51"/>
      <c r="L214" s="51" t="s">
        <v>257</v>
      </c>
      <c r="M214" s="51"/>
      <c r="N214" s="51"/>
      <c r="O214" s="51"/>
      <c r="P214" s="51"/>
      <c r="Q214" s="51"/>
      <c r="R214" s="51"/>
      <c r="S214" s="51"/>
      <c r="T214" s="51"/>
    </row>
    <row r="215">
      <c r="A215" s="51"/>
      <c r="B215" s="51"/>
      <c r="C215" s="94"/>
      <c r="D215" s="51"/>
      <c r="E215" s="51"/>
      <c r="F215" s="51"/>
      <c r="G215" s="51" t="str">
        <f>IFERROR(__xludf.DUMMYFUNCTION("""COMPUTED_VALUE"""),"#VALUE!")</f>
        <v>#VALUE!</v>
      </c>
      <c r="H215" s="51" t="str">
        <f>IFERROR(__xludf.DUMMYFUNCTION("""COMPUTED_VALUE"""),"")</f>
        <v/>
      </c>
      <c r="I215" s="51" t="str">
        <f>IFERROR(__xludf.DUMMYFUNCTION("""COMPUTED_VALUE"""),"#VALUE!")</f>
        <v>#VALUE!</v>
      </c>
      <c r="J215" s="51" t="str">
        <f>IFERROR(__xludf.DUMMYFUNCTION("""COMPUTED_VALUE"""),"")</f>
        <v/>
      </c>
      <c r="K215" s="51"/>
      <c r="L215" s="51" t="s">
        <v>257</v>
      </c>
      <c r="M215" s="51"/>
      <c r="N215" s="51"/>
      <c r="O215" s="51"/>
      <c r="P215" s="51"/>
      <c r="Q215" s="51"/>
      <c r="R215" s="51"/>
      <c r="S215" s="51"/>
      <c r="T215" s="51"/>
    </row>
    <row r="216">
      <c r="A216" s="51"/>
      <c r="B216" s="51"/>
      <c r="C216" s="94"/>
      <c r="D216" s="51"/>
      <c r="E216" s="51"/>
      <c r="F216" s="51"/>
      <c r="G216" s="51" t="str">
        <f>IFERROR(__xludf.DUMMYFUNCTION("""COMPUTED_VALUE"""),"#VALUE!")</f>
        <v>#VALUE!</v>
      </c>
      <c r="H216" s="51" t="str">
        <f>IFERROR(__xludf.DUMMYFUNCTION("""COMPUTED_VALUE"""),"")</f>
        <v/>
      </c>
      <c r="I216" s="51" t="str">
        <f>IFERROR(__xludf.DUMMYFUNCTION("""COMPUTED_VALUE"""),"#VALUE!")</f>
        <v>#VALUE!</v>
      </c>
      <c r="J216" s="51" t="str">
        <f>IFERROR(__xludf.DUMMYFUNCTION("""COMPUTED_VALUE"""),"")</f>
        <v/>
      </c>
      <c r="K216" s="51"/>
      <c r="L216" s="51" t="s">
        <v>257</v>
      </c>
      <c r="M216" s="51"/>
      <c r="N216" s="51"/>
      <c r="O216" s="51"/>
      <c r="P216" s="51"/>
      <c r="Q216" s="51"/>
      <c r="R216" s="51"/>
      <c r="S216" s="51"/>
      <c r="T216" s="51"/>
    </row>
    <row r="217">
      <c r="A217" s="51"/>
      <c r="B217" s="51"/>
      <c r="C217" s="94"/>
      <c r="D217" s="51"/>
      <c r="E217" s="51"/>
      <c r="F217" s="51"/>
      <c r="G217" s="51" t="str">
        <f>IFERROR(__xludf.DUMMYFUNCTION("""COMPUTED_VALUE"""),"#VALUE!")</f>
        <v>#VALUE!</v>
      </c>
      <c r="H217" s="51" t="str">
        <f>IFERROR(__xludf.DUMMYFUNCTION("""COMPUTED_VALUE"""),"")</f>
        <v/>
      </c>
      <c r="I217" s="51" t="str">
        <f>IFERROR(__xludf.DUMMYFUNCTION("""COMPUTED_VALUE"""),"#VALUE!")</f>
        <v>#VALUE!</v>
      </c>
      <c r="J217" s="51" t="str">
        <f>IFERROR(__xludf.DUMMYFUNCTION("""COMPUTED_VALUE"""),"")</f>
        <v/>
      </c>
      <c r="K217" s="51"/>
      <c r="L217" s="51" t="s">
        <v>257</v>
      </c>
      <c r="M217" s="51"/>
      <c r="N217" s="51"/>
      <c r="O217" s="51"/>
      <c r="P217" s="51"/>
      <c r="Q217" s="51"/>
      <c r="R217" s="51"/>
      <c r="S217" s="51"/>
      <c r="T217" s="51"/>
    </row>
    <row r="218">
      <c r="A218" s="51"/>
      <c r="B218" s="51"/>
      <c r="C218" s="94"/>
      <c r="D218" s="51"/>
      <c r="E218" s="51"/>
      <c r="F218" s="51"/>
      <c r="G218" s="51" t="str">
        <f>IFERROR(__xludf.DUMMYFUNCTION("""COMPUTED_VALUE"""),"#VALUE!")</f>
        <v>#VALUE!</v>
      </c>
      <c r="H218" s="51" t="str">
        <f>IFERROR(__xludf.DUMMYFUNCTION("""COMPUTED_VALUE"""),"")</f>
        <v/>
      </c>
      <c r="I218" s="51" t="str">
        <f>IFERROR(__xludf.DUMMYFUNCTION("""COMPUTED_VALUE"""),"#VALUE!")</f>
        <v>#VALUE!</v>
      </c>
      <c r="J218" s="51" t="str">
        <f>IFERROR(__xludf.DUMMYFUNCTION("""COMPUTED_VALUE"""),"")</f>
        <v/>
      </c>
      <c r="K218" s="51"/>
      <c r="L218" s="51" t="s">
        <v>257</v>
      </c>
      <c r="M218" s="51"/>
      <c r="N218" s="51"/>
      <c r="O218" s="51"/>
      <c r="P218" s="51"/>
      <c r="Q218" s="51"/>
      <c r="R218" s="51"/>
      <c r="S218" s="51"/>
      <c r="T218" s="51"/>
    </row>
    <row r="219">
      <c r="A219" s="51"/>
      <c r="B219" s="51"/>
      <c r="C219" s="94"/>
      <c r="D219" s="51"/>
      <c r="E219" s="51"/>
      <c r="F219" s="51"/>
      <c r="G219" s="51" t="str">
        <f>IFERROR(__xludf.DUMMYFUNCTION("""COMPUTED_VALUE"""),"#VALUE!")</f>
        <v>#VALUE!</v>
      </c>
      <c r="H219" s="51" t="str">
        <f>IFERROR(__xludf.DUMMYFUNCTION("""COMPUTED_VALUE"""),"")</f>
        <v/>
      </c>
      <c r="I219" s="51" t="str">
        <f>IFERROR(__xludf.DUMMYFUNCTION("""COMPUTED_VALUE"""),"#VALUE!")</f>
        <v>#VALUE!</v>
      </c>
      <c r="J219" s="51" t="str">
        <f>IFERROR(__xludf.DUMMYFUNCTION("""COMPUTED_VALUE"""),"")</f>
        <v/>
      </c>
      <c r="K219" s="51"/>
      <c r="L219" s="51" t="s">
        <v>257</v>
      </c>
      <c r="M219" s="51"/>
      <c r="N219" s="51"/>
      <c r="O219" s="51"/>
      <c r="P219" s="51"/>
      <c r="Q219" s="51"/>
      <c r="R219" s="51"/>
      <c r="S219" s="51"/>
      <c r="T219" s="51"/>
    </row>
    <row r="220">
      <c r="A220" s="51"/>
      <c r="B220" s="51"/>
      <c r="C220" s="94"/>
      <c r="D220" s="51"/>
      <c r="E220" s="51"/>
      <c r="F220" s="51"/>
      <c r="G220" s="51" t="str">
        <f>IFERROR(__xludf.DUMMYFUNCTION("""COMPUTED_VALUE"""),"#VALUE!")</f>
        <v>#VALUE!</v>
      </c>
      <c r="H220" s="51" t="str">
        <f>IFERROR(__xludf.DUMMYFUNCTION("""COMPUTED_VALUE"""),"")</f>
        <v/>
      </c>
      <c r="I220" s="51" t="str">
        <f>IFERROR(__xludf.DUMMYFUNCTION("""COMPUTED_VALUE"""),"#VALUE!")</f>
        <v>#VALUE!</v>
      </c>
      <c r="J220" s="51" t="str">
        <f>IFERROR(__xludf.DUMMYFUNCTION("""COMPUTED_VALUE"""),"")</f>
        <v/>
      </c>
      <c r="K220" s="51"/>
      <c r="L220" s="51" t="s">
        <v>257</v>
      </c>
      <c r="M220" s="51"/>
      <c r="N220" s="51"/>
      <c r="O220" s="51"/>
      <c r="P220" s="51"/>
      <c r="Q220" s="51"/>
      <c r="R220" s="51"/>
      <c r="S220" s="51"/>
      <c r="T220" s="51"/>
    </row>
    <row r="221">
      <c r="A221" s="51"/>
      <c r="B221" s="51"/>
      <c r="C221" s="94"/>
      <c r="D221" s="51"/>
      <c r="E221" s="51"/>
      <c r="F221" s="51"/>
      <c r="G221" s="51" t="str">
        <f>IFERROR(__xludf.DUMMYFUNCTION("""COMPUTED_VALUE"""),"#VALUE!")</f>
        <v>#VALUE!</v>
      </c>
      <c r="H221" s="51" t="str">
        <f>IFERROR(__xludf.DUMMYFUNCTION("""COMPUTED_VALUE"""),"")</f>
        <v/>
      </c>
      <c r="I221" s="51" t="str">
        <f>IFERROR(__xludf.DUMMYFUNCTION("""COMPUTED_VALUE"""),"#VALUE!")</f>
        <v>#VALUE!</v>
      </c>
      <c r="J221" s="51" t="str">
        <f>IFERROR(__xludf.DUMMYFUNCTION("""COMPUTED_VALUE"""),"")</f>
        <v/>
      </c>
      <c r="K221" s="51"/>
      <c r="L221" s="51" t="s">
        <v>257</v>
      </c>
      <c r="M221" s="51"/>
      <c r="N221" s="51"/>
      <c r="O221" s="51"/>
      <c r="P221" s="51"/>
      <c r="Q221" s="51"/>
      <c r="R221" s="51"/>
      <c r="S221" s="51"/>
      <c r="T221" s="51"/>
    </row>
    <row r="222">
      <c r="A222" s="51"/>
      <c r="B222" s="51"/>
      <c r="C222" s="94"/>
      <c r="D222" s="51"/>
      <c r="E222" s="51"/>
      <c r="F222" s="51"/>
      <c r="G222" s="51" t="str">
        <f>IFERROR(__xludf.DUMMYFUNCTION("""COMPUTED_VALUE"""),"#VALUE!")</f>
        <v>#VALUE!</v>
      </c>
      <c r="H222" s="51" t="str">
        <f>IFERROR(__xludf.DUMMYFUNCTION("""COMPUTED_VALUE"""),"")</f>
        <v/>
      </c>
      <c r="I222" s="51" t="str">
        <f>IFERROR(__xludf.DUMMYFUNCTION("""COMPUTED_VALUE"""),"#VALUE!")</f>
        <v>#VALUE!</v>
      </c>
      <c r="J222" s="51" t="str">
        <f>IFERROR(__xludf.DUMMYFUNCTION("""COMPUTED_VALUE"""),"")</f>
        <v/>
      </c>
      <c r="K222" s="51"/>
      <c r="L222" s="51" t="s">
        <v>257</v>
      </c>
      <c r="M222" s="51"/>
      <c r="N222" s="51"/>
      <c r="O222" s="51"/>
      <c r="P222" s="51"/>
      <c r="Q222" s="51"/>
      <c r="R222" s="51"/>
      <c r="S222" s="51"/>
      <c r="T222" s="51"/>
    </row>
    <row r="223">
      <c r="A223" s="51"/>
      <c r="B223" s="51"/>
      <c r="C223" s="94"/>
      <c r="D223" s="51"/>
      <c r="E223" s="51"/>
      <c r="F223" s="51"/>
      <c r="G223" s="51" t="str">
        <f>IFERROR(__xludf.DUMMYFUNCTION("""COMPUTED_VALUE"""),"#VALUE!")</f>
        <v>#VALUE!</v>
      </c>
      <c r="H223" s="51" t="str">
        <f>IFERROR(__xludf.DUMMYFUNCTION("""COMPUTED_VALUE"""),"")</f>
        <v/>
      </c>
      <c r="I223" s="51" t="str">
        <f>IFERROR(__xludf.DUMMYFUNCTION("""COMPUTED_VALUE"""),"#VALUE!")</f>
        <v>#VALUE!</v>
      </c>
      <c r="J223" s="51" t="str">
        <f>IFERROR(__xludf.DUMMYFUNCTION("""COMPUTED_VALUE"""),"")</f>
        <v/>
      </c>
      <c r="K223" s="51"/>
      <c r="L223" s="51" t="s">
        <v>257</v>
      </c>
      <c r="M223" s="51"/>
      <c r="N223" s="51"/>
      <c r="O223" s="51"/>
      <c r="P223" s="51"/>
      <c r="Q223" s="51"/>
      <c r="R223" s="51"/>
      <c r="S223" s="51"/>
      <c r="T223" s="51"/>
    </row>
    <row r="224">
      <c r="A224" s="51"/>
      <c r="B224" s="51"/>
      <c r="C224" s="94"/>
      <c r="D224" s="51"/>
      <c r="E224" s="51"/>
      <c r="F224" s="51"/>
      <c r="G224" s="51" t="str">
        <f>IFERROR(__xludf.DUMMYFUNCTION("""COMPUTED_VALUE"""),"#VALUE!")</f>
        <v>#VALUE!</v>
      </c>
      <c r="H224" s="51" t="str">
        <f>IFERROR(__xludf.DUMMYFUNCTION("""COMPUTED_VALUE"""),"")</f>
        <v/>
      </c>
      <c r="I224" s="51" t="str">
        <f>IFERROR(__xludf.DUMMYFUNCTION("""COMPUTED_VALUE"""),"#VALUE!")</f>
        <v>#VALUE!</v>
      </c>
      <c r="J224" s="51" t="str">
        <f>IFERROR(__xludf.DUMMYFUNCTION("""COMPUTED_VALUE"""),"")</f>
        <v/>
      </c>
      <c r="K224" s="51"/>
      <c r="L224" s="51" t="s">
        <v>257</v>
      </c>
      <c r="M224" s="51"/>
      <c r="N224" s="51"/>
      <c r="O224" s="51"/>
      <c r="P224" s="51"/>
      <c r="Q224" s="51"/>
      <c r="R224" s="51"/>
      <c r="S224" s="51"/>
      <c r="T224" s="51"/>
    </row>
    <row r="225">
      <c r="A225" s="51"/>
      <c r="B225" s="51"/>
      <c r="C225" s="94"/>
      <c r="D225" s="51"/>
      <c r="E225" s="51"/>
      <c r="F225" s="51"/>
      <c r="G225" s="51" t="str">
        <f>IFERROR(__xludf.DUMMYFUNCTION("""COMPUTED_VALUE"""),"#VALUE!")</f>
        <v>#VALUE!</v>
      </c>
      <c r="H225" s="51" t="str">
        <f>IFERROR(__xludf.DUMMYFUNCTION("""COMPUTED_VALUE"""),"")</f>
        <v/>
      </c>
      <c r="I225" s="51" t="str">
        <f>IFERROR(__xludf.DUMMYFUNCTION("""COMPUTED_VALUE"""),"#VALUE!")</f>
        <v>#VALUE!</v>
      </c>
      <c r="J225" s="51" t="str">
        <f>IFERROR(__xludf.DUMMYFUNCTION("""COMPUTED_VALUE"""),"")</f>
        <v/>
      </c>
      <c r="K225" s="51"/>
      <c r="L225" s="51" t="s">
        <v>257</v>
      </c>
      <c r="M225" s="51"/>
      <c r="N225" s="51"/>
      <c r="O225" s="51"/>
      <c r="P225" s="51"/>
      <c r="Q225" s="51"/>
      <c r="R225" s="51"/>
      <c r="S225" s="51"/>
      <c r="T225" s="51"/>
    </row>
    <row r="226">
      <c r="A226" s="51"/>
      <c r="B226" s="51"/>
      <c r="C226" s="94"/>
      <c r="D226" s="51"/>
      <c r="E226" s="51"/>
      <c r="F226" s="51"/>
      <c r="G226" s="51" t="str">
        <f>IFERROR(__xludf.DUMMYFUNCTION("""COMPUTED_VALUE"""),"#VALUE!")</f>
        <v>#VALUE!</v>
      </c>
      <c r="H226" s="51" t="str">
        <f>IFERROR(__xludf.DUMMYFUNCTION("""COMPUTED_VALUE"""),"")</f>
        <v/>
      </c>
      <c r="I226" s="51" t="str">
        <f>IFERROR(__xludf.DUMMYFUNCTION("""COMPUTED_VALUE"""),"#VALUE!")</f>
        <v>#VALUE!</v>
      </c>
      <c r="J226" s="51" t="str">
        <f>IFERROR(__xludf.DUMMYFUNCTION("""COMPUTED_VALUE"""),"")</f>
        <v/>
      </c>
      <c r="K226" s="51"/>
      <c r="L226" s="51" t="s">
        <v>257</v>
      </c>
      <c r="M226" s="51"/>
      <c r="N226" s="51"/>
      <c r="O226" s="51"/>
      <c r="P226" s="51"/>
      <c r="Q226" s="51"/>
      <c r="R226" s="51"/>
      <c r="S226" s="51"/>
      <c r="T226" s="51"/>
    </row>
    <row r="227">
      <c r="A227" s="51"/>
      <c r="B227" s="51"/>
      <c r="C227" s="94"/>
      <c r="D227" s="51"/>
      <c r="E227" s="51"/>
      <c r="F227" s="51"/>
      <c r="G227" s="51" t="str">
        <f>IFERROR(__xludf.DUMMYFUNCTION("""COMPUTED_VALUE"""),"#VALUE!")</f>
        <v>#VALUE!</v>
      </c>
      <c r="H227" s="51" t="str">
        <f>IFERROR(__xludf.DUMMYFUNCTION("""COMPUTED_VALUE"""),"")</f>
        <v/>
      </c>
      <c r="I227" s="51" t="str">
        <f>IFERROR(__xludf.DUMMYFUNCTION("""COMPUTED_VALUE"""),"#VALUE!")</f>
        <v>#VALUE!</v>
      </c>
      <c r="J227" s="51" t="str">
        <f>IFERROR(__xludf.DUMMYFUNCTION("""COMPUTED_VALUE"""),"")</f>
        <v/>
      </c>
      <c r="K227" s="51"/>
      <c r="L227" s="51" t="s">
        <v>257</v>
      </c>
      <c r="M227" s="51"/>
      <c r="N227" s="51"/>
      <c r="O227" s="51"/>
      <c r="P227" s="51"/>
      <c r="Q227" s="51"/>
      <c r="R227" s="51"/>
      <c r="S227" s="51"/>
      <c r="T227" s="51"/>
    </row>
    <row r="228">
      <c r="A228" s="51"/>
      <c r="B228" s="51"/>
      <c r="C228" s="94"/>
      <c r="D228" s="51"/>
      <c r="E228" s="51"/>
      <c r="F228" s="51"/>
      <c r="G228" s="51" t="str">
        <f>IFERROR(__xludf.DUMMYFUNCTION("""COMPUTED_VALUE"""),"#VALUE!")</f>
        <v>#VALUE!</v>
      </c>
      <c r="H228" s="51" t="str">
        <f>IFERROR(__xludf.DUMMYFUNCTION("""COMPUTED_VALUE"""),"")</f>
        <v/>
      </c>
      <c r="I228" s="51" t="str">
        <f>IFERROR(__xludf.DUMMYFUNCTION("""COMPUTED_VALUE"""),"#VALUE!")</f>
        <v>#VALUE!</v>
      </c>
      <c r="J228" s="51" t="str">
        <f>IFERROR(__xludf.DUMMYFUNCTION("""COMPUTED_VALUE"""),"")</f>
        <v/>
      </c>
      <c r="K228" s="51"/>
      <c r="L228" s="51" t="s">
        <v>257</v>
      </c>
      <c r="M228" s="51"/>
      <c r="N228" s="51"/>
      <c r="O228" s="51"/>
      <c r="P228" s="51"/>
      <c r="Q228" s="51"/>
      <c r="R228" s="51"/>
      <c r="S228" s="51"/>
      <c r="T228" s="51"/>
    </row>
    <row r="229">
      <c r="A229" s="51"/>
      <c r="B229" s="51"/>
      <c r="C229" s="94"/>
      <c r="D229" s="51"/>
      <c r="E229" s="51"/>
      <c r="F229" s="51"/>
      <c r="G229" s="51" t="str">
        <f>IFERROR(__xludf.DUMMYFUNCTION("""COMPUTED_VALUE"""),"#VALUE!")</f>
        <v>#VALUE!</v>
      </c>
      <c r="H229" s="51" t="str">
        <f>IFERROR(__xludf.DUMMYFUNCTION("""COMPUTED_VALUE"""),"")</f>
        <v/>
      </c>
      <c r="I229" s="51" t="str">
        <f>IFERROR(__xludf.DUMMYFUNCTION("""COMPUTED_VALUE"""),"#VALUE!")</f>
        <v>#VALUE!</v>
      </c>
      <c r="J229" s="51" t="str">
        <f>IFERROR(__xludf.DUMMYFUNCTION("""COMPUTED_VALUE"""),"")</f>
        <v/>
      </c>
      <c r="K229" s="51"/>
      <c r="L229" s="51" t="s">
        <v>257</v>
      </c>
      <c r="M229" s="51"/>
      <c r="N229" s="51"/>
      <c r="O229" s="51"/>
      <c r="P229" s="51"/>
      <c r="Q229" s="51"/>
      <c r="R229" s="51"/>
      <c r="S229" s="51"/>
      <c r="T229" s="51"/>
    </row>
    <row r="230">
      <c r="A230" s="51"/>
      <c r="B230" s="51"/>
      <c r="C230" s="94"/>
      <c r="D230" s="51"/>
      <c r="E230" s="51"/>
      <c r="F230" s="51"/>
      <c r="G230" s="51" t="str">
        <f>IFERROR(__xludf.DUMMYFUNCTION("""COMPUTED_VALUE"""),"#VALUE!")</f>
        <v>#VALUE!</v>
      </c>
      <c r="H230" s="51" t="str">
        <f>IFERROR(__xludf.DUMMYFUNCTION("""COMPUTED_VALUE"""),"")</f>
        <v/>
      </c>
      <c r="I230" s="51" t="str">
        <f>IFERROR(__xludf.DUMMYFUNCTION("""COMPUTED_VALUE"""),"#VALUE!")</f>
        <v>#VALUE!</v>
      </c>
      <c r="J230" s="51" t="str">
        <f>IFERROR(__xludf.DUMMYFUNCTION("""COMPUTED_VALUE"""),"")</f>
        <v/>
      </c>
      <c r="K230" s="51"/>
      <c r="L230" s="51" t="s">
        <v>257</v>
      </c>
      <c r="M230" s="51"/>
      <c r="N230" s="51"/>
      <c r="O230" s="51"/>
      <c r="P230" s="51"/>
      <c r="Q230" s="51"/>
      <c r="R230" s="51"/>
      <c r="S230" s="51"/>
      <c r="T230" s="51"/>
    </row>
    <row r="231">
      <c r="A231" s="51"/>
      <c r="B231" s="51"/>
      <c r="C231" s="94"/>
      <c r="D231" s="51"/>
      <c r="E231" s="51"/>
      <c r="F231" s="51"/>
      <c r="G231" s="51" t="str">
        <f>IFERROR(__xludf.DUMMYFUNCTION("""COMPUTED_VALUE"""),"#VALUE!")</f>
        <v>#VALUE!</v>
      </c>
      <c r="H231" s="51" t="str">
        <f>IFERROR(__xludf.DUMMYFUNCTION("""COMPUTED_VALUE"""),"")</f>
        <v/>
      </c>
      <c r="I231" s="51" t="str">
        <f>IFERROR(__xludf.DUMMYFUNCTION("""COMPUTED_VALUE"""),"#VALUE!")</f>
        <v>#VALUE!</v>
      </c>
      <c r="J231" s="51" t="str">
        <f>IFERROR(__xludf.DUMMYFUNCTION("""COMPUTED_VALUE"""),"")</f>
        <v/>
      </c>
      <c r="K231" s="51"/>
      <c r="L231" s="51" t="s">
        <v>257</v>
      </c>
      <c r="M231" s="51"/>
      <c r="N231" s="51"/>
      <c r="O231" s="51"/>
      <c r="P231" s="51"/>
      <c r="Q231" s="51"/>
      <c r="R231" s="51"/>
      <c r="S231" s="51"/>
      <c r="T231" s="51"/>
    </row>
    <row r="232">
      <c r="A232" s="51"/>
      <c r="B232" s="51"/>
      <c r="C232" s="94"/>
      <c r="D232" s="51"/>
      <c r="E232" s="51"/>
      <c r="F232" s="51"/>
      <c r="G232" s="51" t="str">
        <f>IFERROR(__xludf.DUMMYFUNCTION("""COMPUTED_VALUE"""),"#VALUE!")</f>
        <v>#VALUE!</v>
      </c>
      <c r="H232" s="51" t="str">
        <f>IFERROR(__xludf.DUMMYFUNCTION("""COMPUTED_VALUE"""),"")</f>
        <v/>
      </c>
      <c r="I232" s="51" t="str">
        <f>IFERROR(__xludf.DUMMYFUNCTION("""COMPUTED_VALUE"""),"#VALUE!")</f>
        <v>#VALUE!</v>
      </c>
      <c r="J232" s="51" t="str">
        <f>IFERROR(__xludf.DUMMYFUNCTION("""COMPUTED_VALUE"""),"")</f>
        <v/>
      </c>
      <c r="K232" s="51"/>
      <c r="L232" s="51" t="s">
        <v>257</v>
      </c>
      <c r="M232" s="51"/>
      <c r="N232" s="51"/>
      <c r="O232" s="51"/>
      <c r="P232" s="51"/>
      <c r="Q232" s="51"/>
      <c r="R232" s="51"/>
      <c r="S232" s="51"/>
      <c r="T232" s="51"/>
    </row>
    <row r="233">
      <c r="A233" s="51"/>
      <c r="B233" s="51"/>
      <c r="C233" s="94"/>
      <c r="D233" s="51"/>
      <c r="E233" s="51"/>
      <c r="F233" s="51"/>
      <c r="G233" s="51" t="str">
        <f>IFERROR(__xludf.DUMMYFUNCTION("""COMPUTED_VALUE"""),"#VALUE!")</f>
        <v>#VALUE!</v>
      </c>
      <c r="H233" s="51" t="str">
        <f>IFERROR(__xludf.DUMMYFUNCTION("""COMPUTED_VALUE"""),"")</f>
        <v/>
      </c>
      <c r="I233" s="51" t="str">
        <f>IFERROR(__xludf.DUMMYFUNCTION("""COMPUTED_VALUE"""),"#VALUE!")</f>
        <v>#VALUE!</v>
      </c>
      <c r="J233" s="51" t="str">
        <f>IFERROR(__xludf.DUMMYFUNCTION("""COMPUTED_VALUE"""),"")</f>
        <v/>
      </c>
      <c r="K233" s="51"/>
      <c r="L233" s="51" t="s">
        <v>257</v>
      </c>
      <c r="M233" s="51"/>
      <c r="N233" s="51"/>
      <c r="O233" s="51"/>
      <c r="P233" s="51"/>
      <c r="Q233" s="51"/>
      <c r="R233" s="51"/>
      <c r="S233" s="51"/>
      <c r="T233" s="51"/>
    </row>
    <row r="234">
      <c r="A234" s="51"/>
      <c r="B234" s="51"/>
      <c r="C234" s="94"/>
      <c r="D234" s="51"/>
      <c r="E234" s="51"/>
      <c r="F234" s="51"/>
      <c r="G234" s="51" t="str">
        <f>IFERROR(__xludf.DUMMYFUNCTION("""COMPUTED_VALUE"""),"#VALUE!")</f>
        <v>#VALUE!</v>
      </c>
      <c r="H234" s="51" t="str">
        <f>IFERROR(__xludf.DUMMYFUNCTION("""COMPUTED_VALUE"""),"")</f>
        <v/>
      </c>
      <c r="I234" s="51" t="str">
        <f>IFERROR(__xludf.DUMMYFUNCTION("""COMPUTED_VALUE"""),"#VALUE!")</f>
        <v>#VALUE!</v>
      </c>
      <c r="J234" s="51" t="str">
        <f>IFERROR(__xludf.DUMMYFUNCTION("""COMPUTED_VALUE"""),"")</f>
        <v/>
      </c>
      <c r="K234" s="51"/>
      <c r="L234" s="51" t="s">
        <v>257</v>
      </c>
      <c r="M234" s="51"/>
      <c r="N234" s="51"/>
      <c r="O234" s="51"/>
      <c r="P234" s="51"/>
      <c r="Q234" s="51"/>
      <c r="R234" s="51"/>
      <c r="S234" s="51"/>
      <c r="T234" s="51"/>
    </row>
    <row r="235">
      <c r="A235" s="51"/>
      <c r="B235" s="51"/>
      <c r="C235" s="94"/>
      <c r="D235" s="51"/>
      <c r="E235" s="51"/>
      <c r="F235" s="51"/>
      <c r="G235" s="51" t="str">
        <f>IFERROR(__xludf.DUMMYFUNCTION("""COMPUTED_VALUE"""),"#VALUE!")</f>
        <v>#VALUE!</v>
      </c>
      <c r="H235" s="51" t="str">
        <f>IFERROR(__xludf.DUMMYFUNCTION("""COMPUTED_VALUE"""),"")</f>
        <v/>
      </c>
      <c r="I235" s="51" t="str">
        <f>IFERROR(__xludf.DUMMYFUNCTION("""COMPUTED_VALUE"""),"#VALUE!")</f>
        <v>#VALUE!</v>
      </c>
      <c r="J235" s="51" t="str">
        <f>IFERROR(__xludf.DUMMYFUNCTION("""COMPUTED_VALUE"""),"")</f>
        <v/>
      </c>
      <c r="K235" s="51"/>
      <c r="L235" s="51" t="s">
        <v>257</v>
      </c>
      <c r="M235" s="51"/>
      <c r="N235" s="51"/>
      <c r="O235" s="51"/>
      <c r="P235" s="51"/>
      <c r="Q235" s="51"/>
      <c r="R235" s="51"/>
      <c r="S235" s="51"/>
      <c r="T235" s="51"/>
    </row>
    <row r="236">
      <c r="A236" s="51"/>
      <c r="B236" s="51"/>
      <c r="C236" s="94"/>
      <c r="D236" s="51"/>
      <c r="E236" s="51"/>
      <c r="F236" s="51"/>
      <c r="G236" s="51" t="str">
        <f>IFERROR(__xludf.DUMMYFUNCTION("""COMPUTED_VALUE"""),"#VALUE!")</f>
        <v>#VALUE!</v>
      </c>
      <c r="H236" s="51" t="str">
        <f>IFERROR(__xludf.DUMMYFUNCTION("""COMPUTED_VALUE"""),"")</f>
        <v/>
      </c>
      <c r="I236" s="51" t="str">
        <f>IFERROR(__xludf.DUMMYFUNCTION("""COMPUTED_VALUE"""),"#VALUE!")</f>
        <v>#VALUE!</v>
      </c>
      <c r="J236" s="51" t="str">
        <f>IFERROR(__xludf.DUMMYFUNCTION("""COMPUTED_VALUE"""),"")</f>
        <v/>
      </c>
      <c r="K236" s="51"/>
      <c r="L236" s="51" t="s">
        <v>257</v>
      </c>
      <c r="M236" s="51"/>
      <c r="N236" s="51"/>
      <c r="O236" s="51"/>
      <c r="P236" s="51"/>
      <c r="Q236" s="51"/>
      <c r="R236" s="51"/>
      <c r="S236" s="51"/>
      <c r="T236" s="51"/>
    </row>
    <row r="237">
      <c r="A237" s="51"/>
      <c r="B237" s="51"/>
      <c r="C237" s="94"/>
      <c r="D237" s="51"/>
      <c r="E237" s="51"/>
      <c r="F237" s="51"/>
      <c r="G237" s="51" t="str">
        <f>IFERROR(__xludf.DUMMYFUNCTION("""COMPUTED_VALUE"""),"#VALUE!")</f>
        <v>#VALUE!</v>
      </c>
      <c r="H237" s="51" t="str">
        <f>IFERROR(__xludf.DUMMYFUNCTION("""COMPUTED_VALUE"""),"")</f>
        <v/>
      </c>
      <c r="I237" s="51" t="str">
        <f>IFERROR(__xludf.DUMMYFUNCTION("""COMPUTED_VALUE"""),"#VALUE!")</f>
        <v>#VALUE!</v>
      </c>
      <c r="J237" s="51" t="str">
        <f>IFERROR(__xludf.DUMMYFUNCTION("""COMPUTED_VALUE"""),"")</f>
        <v/>
      </c>
      <c r="K237" s="51"/>
      <c r="L237" s="51" t="s">
        <v>257</v>
      </c>
      <c r="M237" s="51"/>
      <c r="N237" s="51"/>
      <c r="O237" s="51"/>
      <c r="P237" s="51"/>
      <c r="Q237" s="51"/>
      <c r="R237" s="51"/>
      <c r="S237" s="51"/>
      <c r="T237" s="51"/>
    </row>
    <row r="238">
      <c r="A238" s="51"/>
      <c r="B238" s="51"/>
      <c r="C238" s="94"/>
      <c r="D238" s="51"/>
      <c r="E238" s="51"/>
      <c r="F238" s="51"/>
      <c r="G238" s="51" t="str">
        <f>IFERROR(__xludf.DUMMYFUNCTION("""COMPUTED_VALUE"""),"#VALUE!")</f>
        <v>#VALUE!</v>
      </c>
      <c r="H238" s="51" t="str">
        <f>IFERROR(__xludf.DUMMYFUNCTION("""COMPUTED_VALUE"""),"")</f>
        <v/>
      </c>
      <c r="I238" s="51" t="str">
        <f>IFERROR(__xludf.DUMMYFUNCTION("""COMPUTED_VALUE"""),"#VALUE!")</f>
        <v>#VALUE!</v>
      </c>
      <c r="J238" s="51" t="str">
        <f>IFERROR(__xludf.DUMMYFUNCTION("""COMPUTED_VALUE"""),"")</f>
        <v/>
      </c>
      <c r="K238" s="51"/>
      <c r="L238" s="51" t="s">
        <v>257</v>
      </c>
      <c r="M238" s="51"/>
      <c r="N238" s="51"/>
      <c r="O238" s="51"/>
      <c r="P238" s="51"/>
      <c r="Q238" s="51"/>
      <c r="R238" s="51"/>
      <c r="S238" s="51"/>
      <c r="T238" s="51"/>
    </row>
    <row r="239">
      <c r="A239" s="51"/>
      <c r="B239" s="51"/>
      <c r="C239" s="94"/>
      <c r="D239" s="51"/>
      <c r="E239" s="51"/>
      <c r="F239" s="51"/>
      <c r="G239" s="51" t="str">
        <f>IFERROR(__xludf.DUMMYFUNCTION("""COMPUTED_VALUE"""),"#VALUE!")</f>
        <v>#VALUE!</v>
      </c>
      <c r="H239" s="51" t="str">
        <f>IFERROR(__xludf.DUMMYFUNCTION("""COMPUTED_VALUE"""),"")</f>
        <v/>
      </c>
      <c r="I239" s="51" t="str">
        <f>IFERROR(__xludf.DUMMYFUNCTION("""COMPUTED_VALUE"""),"#VALUE!")</f>
        <v>#VALUE!</v>
      </c>
      <c r="J239" s="51" t="str">
        <f>IFERROR(__xludf.DUMMYFUNCTION("""COMPUTED_VALUE"""),"")</f>
        <v/>
      </c>
      <c r="K239" s="51"/>
      <c r="L239" s="51" t="s">
        <v>257</v>
      </c>
      <c r="M239" s="51"/>
      <c r="N239" s="51"/>
      <c r="O239" s="51"/>
      <c r="P239" s="51"/>
      <c r="Q239" s="51"/>
      <c r="R239" s="51"/>
      <c r="S239" s="51"/>
      <c r="T239" s="51"/>
    </row>
    <row r="240">
      <c r="A240" s="51"/>
      <c r="B240" s="51"/>
      <c r="C240" s="94"/>
      <c r="D240" s="51"/>
      <c r="E240" s="51"/>
      <c r="F240" s="51"/>
      <c r="G240" s="51" t="str">
        <f>IFERROR(__xludf.DUMMYFUNCTION("""COMPUTED_VALUE"""),"#VALUE!")</f>
        <v>#VALUE!</v>
      </c>
      <c r="H240" s="51" t="str">
        <f>IFERROR(__xludf.DUMMYFUNCTION("""COMPUTED_VALUE"""),"")</f>
        <v/>
      </c>
      <c r="I240" s="51" t="str">
        <f>IFERROR(__xludf.DUMMYFUNCTION("""COMPUTED_VALUE"""),"#VALUE!")</f>
        <v>#VALUE!</v>
      </c>
      <c r="J240" s="51" t="str">
        <f>IFERROR(__xludf.DUMMYFUNCTION("""COMPUTED_VALUE"""),"")</f>
        <v/>
      </c>
      <c r="K240" s="51"/>
      <c r="L240" s="51" t="s">
        <v>257</v>
      </c>
      <c r="M240" s="51"/>
      <c r="N240" s="51"/>
      <c r="O240" s="51"/>
      <c r="P240" s="51"/>
      <c r="Q240" s="51"/>
      <c r="R240" s="51"/>
      <c r="S240" s="51"/>
      <c r="T240" s="51"/>
    </row>
    <row r="241">
      <c r="A241" s="51"/>
      <c r="B241" s="51"/>
      <c r="C241" s="94"/>
      <c r="D241" s="51"/>
      <c r="E241" s="51"/>
      <c r="F241" s="51"/>
      <c r="G241" s="51" t="str">
        <f>IFERROR(__xludf.DUMMYFUNCTION("""COMPUTED_VALUE"""),"#VALUE!")</f>
        <v>#VALUE!</v>
      </c>
      <c r="H241" s="51" t="str">
        <f>IFERROR(__xludf.DUMMYFUNCTION("""COMPUTED_VALUE"""),"")</f>
        <v/>
      </c>
      <c r="I241" s="51" t="str">
        <f>IFERROR(__xludf.DUMMYFUNCTION("""COMPUTED_VALUE"""),"#VALUE!")</f>
        <v>#VALUE!</v>
      </c>
      <c r="J241" s="51" t="str">
        <f>IFERROR(__xludf.DUMMYFUNCTION("""COMPUTED_VALUE"""),"")</f>
        <v/>
      </c>
      <c r="K241" s="51"/>
      <c r="L241" s="51" t="s">
        <v>257</v>
      </c>
      <c r="M241" s="51"/>
      <c r="N241" s="51"/>
      <c r="O241" s="51"/>
      <c r="P241" s="51"/>
      <c r="Q241" s="51"/>
      <c r="R241" s="51"/>
      <c r="S241" s="51"/>
      <c r="T241" s="51"/>
    </row>
    <row r="242">
      <c r="A242" s="51"/>
      <c r="B242" s="51"/>
      <c r="C242" s="94"/>
      <c r="D242" s="51"/>
      <c r="E242" s="51"/>
      <c r="F242" s="51"/>
      <c r="G242" s="51" t="str">
        <f>IFERROR(__xludf.DUMMYFUNCTION("""COMPUTED_VALUE"""),"#VALUE!")</f>
        <v>#VALUE!</v>
      </c>
      <c r="H242" s="51" t="str">
        <f>IFERROR(__xludf.DUMMYFUNCTION("""COMPUTED_VALUE"""),"")</f>
        <v/>
      </c>
      <c r="I242" s="51" t="str">
        <f>IFERROR(__xludf.DUMMYFUNCTION("""COMPUTED_VALUE"""),"#VALUE!")</f>
        <v>#VALUE!</v>
      </c>
      <c r="J242" s="51" t="str">
        <f>IFERROR(__xludf.DUMMYFUNCTION("""COMPUTED_VALUE"""),"")</f>
        <v/>
      </c>
      <c r="K242" s="51"/>
      <c r="L242" s="51" t="s">
        <v>257</v>
      </c>
      <c r="M242" s="51"/>
      <c r="N242" s="51"/>
      <c r="O242" s="51"/>
      <c r="P242" s="51"/>
      <c r="Q242" s="51"/>
      <c r="R242" s="51"/>
      <c r="S242" s="51"/>
      <c r="T242" s="51"/>
    </row>
    <row r="243">
      <c r="A243" s="51"/>
      <c r="B243" s="51"/>
      <c r="C243" s="94"/>
      <c r="D243" s="51"/>
      <c r="E243" s="51"/>
      <c r="F243" s="51"/>
      <c r="G243" s="51" t="str">
        <f>IFERROR(__xludf.DUMMYFUNCTION("""COMPUTED_VALUE"""),"#VALUE!")</f>
        <v>#VALUE!</v>
      </c>
      <c r="H243" s="51" t="str">
        <f>IFERROR(__xludf.DUMMYFUNCTION("""COMPUTED_VALUE"""),"")</f>
        <v/>
      </c>
      <c r="I243" s="51" t="str">
        <f>IFERROR(__xludf.DUMMYFUNCTION("""COMPUTED_VALUE"""),"#VALUE!")</f>
        <v>#VALUE!</v>
      </c>
      <c r="J243" s="51" t="str">
        <f>IFERROR(__xludf.DUMMYFUNCTION("""COMPUTED_VALUE"""),"")</f>
        <v/>
      </c>
      <c r="K243" s="51"/>
      <c r="L243" s="51" t="s">
        <v>257</v>
      </c>
      <c r="M243" s="51"/>
      <c r="N243" s="51"/>
      <c r="O243" s="51"/>
      <c r="P243" s="51"/>
      <c r="Q243" s="51"/>
      <c r="R243" s="51"/>
      <c r="S243" s="51"/>
      <c r="T243" s="51"/>
    </row>
    <row r="244">
      <c r="A244" s="51"/>
      <c r="B244" s="51"/>
      <c r="C244" s="94"/>
      <c r="D244" s="51"/>
      <c r="E244" s="51"/>
      <c r="F244" s="51"/>
      <c r="G244" s="51" t="str">
        <f>IFERROR(__xludf.DUMMYFUNCTION("""COMPUTED_VALUE"""),"#VALUE!")</f>
        <v>#VALUE!</v>
      </c>
      <c r="H244" s="51" t="str">
        <f>IFERROR(__xludf.DUMMYFUNCTION("""COMPUTED_VALUE"""),"")</f>
        <v/>
      </c>
      <c r="I244" s="51" t="str">
        <f>IFERROR(__xludf.DUMMYFUNCTION("""COMPUTED_VALUE"""),"#VALUE!")</f>
        <v>#VALUE!</v>
      </c>
      <c r="J244" s="51" t="str">
        <f>IFERROR(__xludf.DUMMYFUNCTION("""COMPUTED_VALUE"""),"")</f>
        <v/>
      </c>
      <c r="K244" s="51"/>
      <c r="L244" s="51" t="s">
        <v>257</v>
      </c>
      <c r="M244" s="51"/>
      <c r="N244" s="51"/>
      <c r="O244" s="51"/>
      <c r="P244" s="51"/>
      <c r="Q244" s="51"/>
      <c r="R244" s="51"/>
      <c r="S244" s="51"/>
      <c r="T244" s="51"/>
    </row>
    <row r="245">
      <c r="A245" s="51"/>
      <c r="B245" s="51"/>
      <c r="C245" s="94"/>
      <c r="D245" s="51"/>
      <c r="E245" s="51"/>
      <c r="F245" s="51"/>
      <c r="G245" s="51" t="str">
        <f>IFERROR(__xludf.DUMMYFUNCTION("""COMPUTED_VALUE"""),"#VALUE!")</f>
        <v>#VALUE!</v>
      </c>
      <c r="H245" s="51" t="str">
        <f>IFERROR(__xludf.DUMMYFUNCTION("""COMPUTED_VALUE"""),"")</f>
        <v/>
      </c>
      <c r="I245" s="51" t="str">
        <f>IFERROR(__xludf.DUMMYFUNCTION("""COMPUTED_VALUE"""),"#VALUE!")</f>
        <v>#VALUE!</v>
      </c>
      <c r="J245" s="51" t="str">
        <f>IFERROR(__xludf.DUMMYFUNCTION("""COMPUTED_VALUE"""),"")</f>
        <v/>
      </c>
      <c r="K245" s="51"/>
      <c r="L245" s="51" t="s">
        <v>257</v>
      </c>
      <c r="M245" s="51"/>
      <c r="N245" s="51"/>
      <c r="O245" s="51"/>
      <c r="P245" s="51"/>
      <c r="Q245" s="51"/>
      <c r="R245" s="51"/>
      <c r="S245" s="51"/>
      <c r="T245" s="51"/>
    </row>
    <row r="246">
      <c r="A246" s="51"/>
      <c r="B246" s="51"/>
      <c r="C246" s="94"/>
      <c r="D246" s="51"/>
      <c r="E246" s="51"/>
      <c r="F246" s="51"/>
      <c r="G246" s="51" t="str">
        <f>IFERROR(__xludf.DUMMYFUNCTION("""COMPUTED_VALUE"""),"#VALUE!")</f>
        <v>#VALUE!</v>
      </c>
      <c r="H246" s="51" t="str">
        <f>IFERROR(__xludf.DUMMYFUNCTION("""COMPUTED_VALUE"""),"")</f>
        <v/>
      </c>
      <c r="I246" s="51" t="str">
        <f>IFERROR(__xludf.DUMMYFUNCTION("""COMPUTED_VALUE"""),"#VALUE!")</f>
        <v>#VALUE!</v>
      </c>
      <c r="J246" s="51" t="str">
        <f>IFERROR(__xludf.DUMMYFUNCTION("""COMPUTED_VALUE"""),"")</f>
        <v/>
      </c>
      <c r="K246" s="51"/>
      <c r="L246" s="51" t="s">
        <v>257</v>
      </c>
      <c r="M246" s="51"/>
      <c r="N246" s="51"/>
      <c r="O246" s="51"/>
      <c r="P246" s="51"/>
      <c r="Q246" s="51"/>
      <c r="R246" s="51"/>
      <c r="S246" s="51"/>
      <c r="T246" s="51"/>
    </row>
    <row r="247">
      <c r="A247" s="51"/>
      <c r="B247" s="51"/>
      <c r="C247" s="94"/>
      <c r="D247" s="51"/>
      <c r="E247" s="51"/>
      <c r="F247" s="51"/>
      <c r="G247" s="51" t="str">
        <f>IFERROR(__xludf.DUMMYFUNCTION("""COMPUTED_VALUE"""),"#VALUE!")</f>
        <v>#VALUE!</v>
      </c>
      <c r="H247" s="51" t="str">
        <f>IFERROR(__xludf.DUMMYFUNCTION("""COMPUTED_VALUE"""),"")</f>
        <v/>
      </c>
      <c r="I247" s="51" t="str">
        <f>IFERROR(__xludf.DUMMYFUNCTION("""COMPUTED_VALUE"""),"#VALUE!")</f>
        <v>#VALUE!</v>
      </c>
      <c r="J247" s="51" t="str">
        <f>IFERROR(__xludf.DUMMYFUNCTION("""COMPUTED_VALUE"""),"")</f>
        <v/>
      </c>
      <c r="K247" s="51"/>
      <c r="L247" s="51" t="s">
        <v>257</v>
      </c>
      <c r="M247" s="51"/>
      <c r="N247" s="51"/>
      <c r="O247" s="51"/>
      <c r="P247" s="51"/>
      <c r="Q247" s="51"/>
      <c r="R247" s="51"/>
      <c r="S247" s="51"/>
      <c r="T247" s="51"/>
    </row>
    <row r="248">
      <c r="A248" s="51"/>
      <c r="B248" s="51"/>
      <c r="C248" s="94"/>
      <c r="D248" s="51"/>
      <c r="E248" s="51"/>
      <c r="F248" s="51"/>
      <c r="G248" s="51" t="str">
        <f>IFERROR(__xludf.DUMMYFUNCTION("""COMPUTED_VALUE"""),"#VALUE!")</f>
        <v>#VALUE!</v>
      </c>
      <c r="H248" s="51" t="str">
        <f>IFERROR(__xludf.DUMMYFUNCTION("""COMPUTED_VALUE"""),"")</f>
        <v/>
      </c>
      <c r="I248" s="51" t="str">
        <f>IFERROR(__xludf.DUMMYFUNCTION("""COMPUTED_VALUE"""),"#VALUE!")</f>
        <v>#VALUE!</v>
      </c>
      <c r="J248" s="51" t="str">
        <f>IFERROR(__xludf.DUMMYFUNCTION("""COMPUTED_VALUE"""),"")</f>
        <v/>
      </c>
      <c r="K248" s="51"/>
      <c r="L248" s="51" t="s">
        <v>257</v>
      </c>
      <c r="M248" s="51"/>
      <c r="N248" s="51"/>
      <c r="O248" s="51"/>
      <c r="P248" s="51"/>
      <c r="Q248" s="51"/>
      <c r="R248" s="51"/>
      <c r="S248" s="51"/>
      <c r="T248" s="51"/>
    </row>
    <row r="249">
      <c r="A249" s="51"/>
      <c r="B249" s="51"/>
      <c r="C249" s="94"/>
      <c r="D249" s="51"/>
      <c r="E249" s="51"/>
      <c r="F249" s="51"/>
      <c r="G249" s="51" t="str">
        <f>IFERROR(__xludf.DUMMYFUNCTION("""COMPUTED_VALUE"""),"#VALUE!")</f>
        <v>#VALUE!</v>
      </c>
      <c r="H249" s="51" t="str">
        <f>IFERROR(__xludf.DUMMYFUNCTION("""COMPUTED_VALUE"""),"")</f>
        <v/>
      </c>
      <c r="I249" s="51" t="str">
        <f>IFERROR(__xludf.DUMMYFUNCTION("""COMPUTED_VALUE"""),"#VALUE!")</f>
        <v>#VALUE!</v>
      </c>
      <c r="J249" s="51" t="str">
        <f>IFERROR(__xludf.DUMMYFUNCTION("""COMPUTED_VALUE"""),"")</f>
        <v/>
      </c>
      <c r="K249" s="51"/>
      <c r="L249" s="51" t="s">
        <v>257</v>
      </c>
      <c r="M249" s="51"/>
      <c r="N249" s="51"/>
      <c r="O249" s="51"/>
      <c r="P249" s="51"/>
      <c r="Q249" s="51"/>
      <c r="R249" s="51"/>
      <c r="S249" s="51"/>
      <c r="T249" s="51"/>
    </row>
    <row r="250">
      <c r="A250" s="51"/>
      <c r="B250" s="51"/>
      <c r="C250" s="94"/>
      <c r="D250" s="51"/>
      <c r="E250" s="51"/>
      <c r="F250" s="51"/>
      <c r="G250" s="51" t="str">
        <f>IFERROR(__xludf.DUMMYFUNCTION("""COMPUTED_VALUE"""),"#VALUE!")</f>
        <v>#VALUE!</v>
      </c>
      <c r="H250" s="51" t="str">
        <f>IFERROR(__xludf.DUMMYFUNCTION("""COMPUTED_VALUE"""),"")</f>
        <v/>
      </c>
      <c r="I250" s="51" t="str">
        <f>IFERROR(__xludf.DUMMYFUNCTION("""COMPUTED_VALUE"""),"#VALUE!")</f>
        <v>#VALUE!</v>
      </c>
      <c r="J250" s="51" t="str">
        <f>IFERROR(__xludf.DUMMYFUNCTION("""COMPUTED_VALUE"""),"")</f>
        <v/>
      </c>
      <c r="K250" s="51"/>
      <c r="L250" s="51" t="s">
        <v>257</v>
      </c>
      <c r="M250" s="51"/>
      <c r="N250" s="51"/>
      <c r="O250" s="51"/>
      <c r="P250" s="51"/>
      <c r="Q250" s="51"/>
      <c r="R250" s="51"/>
      <c r="S250" s="51"/>
      <c r="T250" s="51"/>
    </row>
    <row r="251">
      <c r="A251" s="51"/>
      <c r="B251" s="51"/>
      <c r="C251" s="94"/>
      <c r="D251" s="51"/>
      <c r="E251" s="51"/>
      <c r="F251" s="51"/>
      <c r="G251" s="51" t="str">
        <f>IFERROR(__xludf.DUMMYFUNCTION("""COMPUTED_VALUE"""),"#VALUE!")</f>
        <v>#VALUE!</v>
      </c>
      <c r="H251" s="51" t="str">
        <f>IFERROR(__xludf.DUMMYFUNCTION("""COMPUTED_VALUE"""),"")</f>
        <v/>
      </c>
      <c r="I251" s="51" t="str">
        <f>IFERROR(__xludf.DUMMYFUNCTION("""COMPUTED_VALUE"""),"#VALUE!")</f>
        <v>#VALUE!</v>
      </c>
      <c r="J251" s="51" t="str">
        <f>IFERROR(__xludf.DUMMYFUNCTION("""COMPUTED_VALUE"""),"")</f>
        <v/>
      </c>
      <c r="K251" s="51"/>
      <c r="L251" s="51" t="s">
        <v>257</v>
      </c>
      <c r="M251" s="51"/>
      <c r="N251" s="51"/>
      <c r="O251" s="51"/>
      <c r="P251" s="51"/>
      <c r="Q251" s="51"/>
      <c r="R251" s="51"/>
      <c r="S251" s="51"/>
      <c r="T251" s="51"/>
    </row>
    <row r="252">
      <c r="A252" s="51"/>
      <c r="B252" s="51"/>
      <c r="C252" s="94"/>
      <c r="D252" s="51"/>
      <c r="E252" s="51"/>
      <c r="F252" s="51"/>
      <c r="G252" s="51" t="str">
        <f>IFERROR(__xludf.DUMMYFUNCTION("""COMPUTED_VALUE"""),"#VALUE!")</f>
        <v>#VALUE!</v>
      </c>
      <c r="H252" s="51" t="str">
        <f>IFERROR(__xludf.DUMMYFUNCTION("""COMPUTED_VALUE"""),"")</f>
        <v/>
      </c>
      <c r="I252" s="51" t="str">
        <f>IFERROR(__xludf.DUMMYFUNCTION("""COMPUTED_VALUE"""),"#VALUE!")</f>
        <v>#VALUE!</v>
      </c>
      <c r="J252" s="51" t="str">
        <f>IFERROR(__xludf.DUMMYFUNCTION("""COMPUTED_VALUE"""),"")</f>
        <v/>
      </c>
      <c r="K252" s="51"/>
      <c r="L252" s="51" t="s">
        <v>257</v>
      </c>
      <c r="M252" s="51"/>
      <c r="N252" s="51"/>
      <c r="O252" s="51"/>
      <c r="P252" s="51"/>
      <c r="Q252" s="51"/>
      <c r="R252" s="51"/>
      <c r="S252" s="51"/>
      <c r="T252" s="51"/>
    </row>
    <row r="253">
      <c r="A253" s="51"/>
      <c r="B253" s="51"/>
      <c r="C253" s="94"/>
      <c r="D253" s="51"/>
      <c r="E253" s="51"/>
      <c r="F253" s="51"/>
      <c r="G253" s="51" t="str">
        <f>IFERROR(__xludf.DUMMYFUNCTION("""COMPUTED_VALUE"""),"#VALUE!")</f>
        <v>#VALUE!</v>
      </c>
      <c r="H253" s="51" t="str">
        <f>IFERROR(__xludf.DUMMYFUNCTION("""COMPUTED_VALUE"""),"")</f>
        <v/>
      </c>
      <c r="I253" s="51" t="str">
        <f>IFERROR(__xludf.DUMMYFUNCTION("""COMPUTED_VALUE"""),"#VALUE!")</f>
        <v>#VALUE!</v>
      </c>
      <c r="J253" s="51" t="str">
        <f>IFERROR(__xludf.DUMMYFUNCTION("""COMPUTED_VALUE"""),"")</f>
        <v/>
      </c>
      <c r="K253" s="51"/>
      <c r="L253" s="51" t="s">
        <v>257</v>
      </c>
      <c r="M253" s="51"/>
      <c r="N253" s="51"/>
      <c r="O253" s="51"/>
      <c r="P253" s="51"/>
      <c r="Q253" s="51"/>
      <c r="R253" s="51"/>
      <c r="S253" s="51"/>
      <c r="T253" s="51"/>
    </row>
    <row r="254">
      <c r="A254" s="51"/>
      <c r="B254" s="51"/>
      <c r="C254" s="94"/>
      <c r="D254" s="51"/>
      <c r="E254" s="51"/>
      <c r="F254" s="51"/>
      <c r="G254" s="51" t="str">
        <f>IFERROR(__xludf.DUMMYFUNCTION("""COMPUTED_VALUE"""),"#VALUE!")</f>
        <v>#VALUE!</v>
      </c>
      <c r="H254" s="51" t="str">
        <f>IFERROR(__xludf.DUMMYFUNCTION("""COMPUTED_VALUE"""),"")</f>
        <v/>
      </c>
      <c r="I254" s="51" t="str">
        <f>IFERROR(__xludf.DUMMYFUNCTION("""COMPUTED_VALUE"""),"#VALUE!")</f>
        <v>#VALUE!</v>
      </c>
      <c r="J254" s="51" t="str">
        <f>IFERROR(__xludf.DUMMYFUNCTION("""COMPUTED_VALUE"""),"")</f>
        <v/>
      </c>
      <c r="K254" s="51"/>
      <c r="L254" s="51" t="s">
        <v>257</v>
      </c>
      <c r="M254" s="51"/>
      <c r="N254" s="51"/>
      <c r="O254" s="51"/>
      <c r="P254" s="51"/>
      <c r="Q254" s="51"/>
      <c r="R254" s="51"/>
      <c r="S254" s="51"/>
      <c r="T254" s="51"/>
    </row>
    <row r="255">
      <c r="A255" s="51"/>
      <c r="B255" s="51"/>
      <c r="C255" s="94"/>
      <c r="D255" s="51"/>
      <c r="E255" s="51"/>
      <c r="F255" s="51"/>
      <c r="G255" s="51" t="str">
        <f>IFERROR(__xludf.DUMMYFUNCTION("""COMPUTED_VALUE"""),"#VALUE!")</f>
        <v>#VALUE!</v>
      </c>
      <c r="H255" s="51" t="str">
        <f>IFERROR(__xludf.DUMMYFUNCTION("""COMPUTED_VALUE"""),"")</f>
        <v/>
      </c>
      <c r="I255" s="51" t="str">
        <f>IFERROR(__xludf.DUMMYFUNCTION("""COMPUTED_VALUE"""),"#VALUE!")</f>
        <v>#VALUE!</v>
      </c>
      <c r="J255" s="51" t="str">
        <f>IFERROR(__xludf.DUMMYFUNCTION("""COMPUTED_VALUE"""),"")</f>
        <v/>
      </c>
      <c r="K255" s="51"/>
      <c r="L255" s="51" t="s">
        <v>257</v>
      </c>
      <c r="M255" s="51"/>
      <c r="N255" s="51"/>
      <c r="O255" s="51"/>
      <c r="P255" s="51"/>
      <c r="Q255" s="51"/>
      <c r="R255" s="51"/>
      <c r="S255" s="51"/>
      <c r="T255" s="51"/>
    </row>
    <row r="256">
      <c r="A256" s="51"/>
      <c r="B256" s="51"/>
      <c r="C256" s="94"/>
      <c r="D256" s="51"/>
      <c r="E256" s="51"/>
      <c r="F256" s="51"/>
      <c r="G256" s="51" t="str">
        <f>IFERROR(__xludf.DUMMYFUNCTION("""COMPUTED_VALUE"""),"#VALUE!")</f>
        <v>#VALUE!</v>
      </c>
      <c r="H256" s="51" t="str">
        <f>IFERROR(__xludf.DUMMYFUNCTION("""COMPUTED_VALUE"""),"")</f>
        <v/>
      </c>
      <c r="I256" s="51" t="str">
        <f>IFERROR(__xludf.DUMMYFUNCTION("""COMPUTED_VALUE"""),"#VALUE!")</f>
        <v>#VALUE!</v>
      </c>
      <c r="J256" s="51" t="str">
        <f>IFERROR(__xludf.DUMMYFUNCTION("""COMPUTED_VALUE"""),"")</f>
        <v/>
      </c>
      <c r="K256" s="51"/>
      <c r="L256" s="51" t="s">
        <v>257</v>
      </c>
      <c r="M256" s="51"/>
      <c r="N256" s="51"/>
      <c r="O256" s="51"/>
      <c r="P256" s="51"/>
      <c r="Q256" s="51"/>
      <c r="R256" s="51"/>
      <c r="S256" s="51"/>
      <c r="T256" s="51"/>
    </row>
    <row r="257">
      <c r="A257" s="51"/>
      <c r="B257" s="51"/>
      <c r="C257" s="94"/>
      <c r="D257" s="51"/>
      <c r="E257" s="51"/>
      <c r="F257" s="51"/>
      <c r="G257" s="51" t="str">
        <f>IFERROR(__xludf.DUMMYFUNCTION("""COMPUTED_VALUE"""),"#VALUE!")</f>
        <v>#VALUE!</v>
      </c>
      <c r="H257" s="51" t="str">
        <f>IFERROR(__xludf.DUMMYFUNCTION("""COMPUTED_VALUE"""),"")</f>
        <v/>
      </c>
      <c r="I257" s="51" t="str">
        <f>IFERROR(__xludf.DUMMYFUNCTION("""COMPUTED_VALUE"""),"#VALUE!")</f>
        <v>#VALUE!</v>
      </c>
      <c r="J257" s="51" t="str">
        <f>IFERROR(__xludf.DUMMYFUNCTION("""COMPUTED_VALUE"""),"")</f>
        <v/>
      </c>
      <c r="K257" s="51"/>
      <c r="L257" s="51" t="s">
        <v>257</v>
      </c>
      <c r="M257" s="51"/>
      <c r="N257" s="51"/>
      <c r="O257" s="51"/>
      <c r="P257" s="51"/>
      <c r="Q257" s="51"/>
      <c r="R257" s="51"/>
      <c r="S257" s="51"/>
      <c r="T257" s="51"/>
    </row>
    <row r="258">
      <c r="A258" s="51"/>
      <c r="B258" s="51"/>
      <c r="C258" s="94"/>
      <c r="D258" s="51"/>
      <c r="E258" s="51"/>
      <c r="F258" s="51"/>
      <c r="G258" s="51" t="str">
        <f>IFERROR(__xludf.DUMMYFUNCTION("""COMPUTED_VALUE"""),"#VALUE!")</f>
        <v>#VALUE!</v>
      </c>
      <c r="H258" s="51" t="str">
        <f>IFERROR(__xludf.DUMMYFUNCTION("""COMPUTED_VALUE"""),"")</f>
        <v/>
      </c>
      <c r="I258" s="51" t="str">
        <f>IFERROR(__xludf.DUMMYFUNCTION("""COMPUTED_VALUE"""),"#VALUE!")</f>
        <v>#VALUE!</v>
      </c>
      <c r="J258" s="51" t="str">
        <f>IFERROR(__xludf.DUMMYFUNCTION("""COMPUTED_VALUE"""),"")</f>
        <v/>
      </c>
      <c r="K258" s="51"/>
      <c r="L258" s="51" t="s">
        <v>257</v>
      </c>
      <c r="M258" s="51"/>
      <c r="N258" s="51"/>
      <c r="O258" s="51"/>
      <c r="P258" s="51"/>
      <c r="Q258" s="51"/>
      <c r="R258" s="51"/>
      <c r="S258" s="51"/>
      <c r="T258" s="51"/>
    </row>
    <row r="259">
      <c r="A259" s="51"/>
      <c r="B259" s="51"/>
      <c r="C259" s="94"/>
      <c r="D259" s="51"/>
      <c r="E259" s="51"/>
      <c r="F259" s="51"/>
      <c r="G259" s="51" t="str">
        <f>IFERROR(__xludf.DUMMYFUNCTION("""COMPUTED_VALUE"""),"#VALUE!")</f>
        <v>#VALUE!</v>
      </c>
      <c r="H259" s="51" t="str">
        <f>IFERROR(__xludf.DUMMYFUNCTION("""COMPUTED_VALUE"""),"")</f>
        <v/>
      </c>
      <c r="I259" s="51" t="str">
        <f>IFERROR(__xludf.DUMMYFUNCTION("""COMPUTED_VALUE"""),"#VALUE!")</f>
        <v>#VALUE!</v>
      </c>
      <c r="J259" s="51" t="str">
        <f>IFERROR(__xludf.DUMMYFUNCTION("""COMPUTED_VALUE"""),"")</f>
        <v/>
      </c>
      <c r="K259" s="51"/>
      <c r="L259" s="51" t="s">
        <v>257</v>
      </c>
      <c r="M259" s="51"/>
      <c r="N259" s="51"/>
      <c r="O259" s="51"/>
      <c r="P259" s="51"/>
      <c r="Q259" s="51"/>
      <c r="R259" s="51"/>
      <c r="S259" s="51"/>
      <c r="T259" s="51"/>
    </row>
    <row r="260">
      <c r="A260" s="51"/>
      <c r="B260" s="51"/>
      <c r="C260" s="94"/>
      <c r="D260" s="51"/>
      <c r="E260" s="51"/>
      <c r="F260" s="51"/>
      <c r="G260" s="51" t="str">
        <f>IFERROR(__xludf.DUMMYFUNCTION("""COMPUTED_VALUE"""),"#VALUE!")</f>
        <v>#VALUE!</v>
      </c>
      <c r="H260" s="51" t="str">
        <f>IFERROR(__xludf.DUMMYFUNCTION("""COMPUTED_VALUE"""),"")</f>
        <v/>
      </c>
      <c r="I260" s="51" t="str">
        <f>IFERROR(__xludf.DUMMYFUNCTION("""COMPUTED_VALUE"""),"#VALUE!")</f>
        <v>#VALUE!</v>
      </c>
      <c r="J260" s="51" t="str">
        <f>IFERROR(__xludf.DUMMYFUNCTION("""COMPUTED_VALUE"""),"")</f>
        <v/>
      </c>
      <c r="K260" s="51"/>
      <c r="L260" s="51" t="s">
        <v>257</v>
      </c>
      <c r="M260" s="51"/>
      <c r="N260" s="51"/>
      <c r="O260" s="51"/>
      <c r="P260" s="51"/>
      <c r="Q260" s="51"/>
      <c r="R260" s="51"/>
      <c r="S260" s="51"/>
      <c r="T260" s="51"/>
    </row>
    <row r="261">
      <c r="A261" s="51"/>
      <c r="B261" s="51"/>
      <c r="C261" s="94"/>
      <c r="D261" s="51"/>
      <c r="E261" s="51"/>
      <c r="F261" s="51"/>
      <c r="G261" s="51" t="str">
        <f>IFERROR(__xludf.DUMMYFUNCTION("""COMPUTED_VALUE"""),"#VALUE!")</f>
        <v>#VALUE!</v>
      </c>
      <c r="H261" s="51" t="str">
        <f>IFERROR(__xludf.DUMMYFUNCTION("""COMPUTED_VALUE"""),"")</f>
        <v/>
      </c>
      <c r="I261" s="51" t="str">
        <f>IFERROR(__xludf.DUMMYFUNCTION("""COMPUTED_VALUE"""),"#VALUE!")</f>
        <v>#VALUE!</v>
      </c>
      <c r="J261" s="51" t="str">
        <f>IFERROR(__xludf.DUMMYFUNCTION("""COMPUTED_VALUE"""),"")</f>
        <v/>
      </c>
      <c r="K261" s="51"/>
      <c r="L261" s="51" t="s">
        <v>257</v>
      </c>
      <c r="M261" s="51"/>
      <c r="N261" s="51"/>
      <c r="O261" s="51"/>
      <c r="P261" s="51"/>
      <c r="Q261" s="51"/>
      <c r="R261" s="51"/>
      <c r="S261" s="51"/>
      <c r="T261" s="51"/>
    </row>
    <row r="262">
      <c r="A262" s="51"/>
      <c r="B262" s="51"/>
      <c r="C262" s="94"/>
      <c r="D262" s="51"/>
      <c r="E262" s="51"/>
      <c r="F262" s="51"/>
      <c r="G262" s="51" t="str">
        <f>IFERROR(__xludf.DUMMYFUNCTION("""COMPUTED_VALUE"""),"#VALUE!")</f>
        <v>#VALUE!</v>
      </c>
      <c r="H262" s="51" t="str">
        <f>IFERROR(__xludf.DUMMYFUNCTION("""COMPUTED_VALUE"""),"")</f>
        <v/>
      </c>
      <c r="I262" s="51" t="str">
        <f>IFERROR(__xludf.DUMMYFUNCTION("""COMPUTED_VALUE"""),"#VALUE!")</f>
        <v>#VALUE!</v>
      </c>
      <c r="J262" s="51" t="str">
        <f>IFERROR(__xludf.DUMMYFUNCTION("""COMPUTED_VALUE"""),"")</f>
        <v/>
      </c>
      <c r="K262" s="51"/>
      <c r="L262" s="51" t="s">
        <v>257</v>
      </c>
      <c r="M262" s="51"/>
      <c r="N262" s="51"/>
      <c r="O262" s="51"/>
      <c r="P262" s="51"/>
      <c r="Q262" s="51"/>
      <c r="R262" s="51"/>
      <c r="S262" s="51"/>
      <c r="T262" s="51"/>
    </row>
    <row r="263">
      <c r="A263" s="51"/>
      <c r="B263" s="51"/>
      <c r="C263" s="94"/>
      <c r="D263" s="51"/>
      <c r="E263" s="51"/>
      <c r="F263" s="51"/>
      <c r="G263" s="51" t="str">
        <f>IFERROR(__xludf.DUMMYFUNCTION("""COMPUTED_VALUE"""),"#VALUE!")</f>
        <v>#VALUE!</v>
      </c>
      <c r="H263" s="51" t="str">
        <f>IFERROR(__xludf.DUMMYFUNCTION("""COMPUTED_VALUE"""),"")</f>
        <v/>
      </c>
      <c r="I263" s="51" t="str">
        <f>IFERROR(__xludf.DUMMYFUNCTION("""COMPUTED_VALUE"""),"#VALUE!")</f>
        <v>#VALUE!</v>
      </c>
      <c r="J263" s="51" t="str">
        <f>IFERROR(__xludf.DUMMYFUNCTION("""COMPUTED_VALUE"""),"")</f>
        <v/>
      </c>
      <c r="K263" s="51"/>
      <c r="L263" s="51" t="s">
        <v>257</v>
      </c>
      <c r="M263" s="51"/>
      <c r="N263" s="51"/>
      <c r="O263" s="51"/>
      <c r="P263" s="51"/>
      <c r="Q263" s="51"/>
      <c r="R263" s="51"/>
      <c r="S263" s="51"/>
      <c r="T263" s="51"/>
    </row>
    <row r="264">
      <c r="A264" s="51"/>
      <c r="B264" s="51"/>
      <c r="C264" s="94"/>
      <c r="D264" s="51"/>
      <c r="E264" s="51"/>
      <c r="F264" s="51"/>
      <c r="G264" s="51" t="str">
        <f>IFERROR(__xludf.DUMMYFUNCTION("""COMPUTED_VALUE"""),"#VALUE!")</f>
        <v>#VALUE!</v>
      </c>
      <c r="H264" s="51" t="str">
        <f>IFERROR(__xludf.DUMMYFUNCTION("""COMPUTED_VALUE"""),"")</f>
        <v/>
      </c>
      <c r="I264" s="51" t="str">
        <f>IFERROR(__xludf.DUMMYFUNCTION("""COMPUTED_VALUE"""),"#VALUE!")</f>
        <v>#VALUE!</v>
      </c>
      <c r="J264" s="51" t="str">
        <f>IFERROR(__xludf.DUMMYFUNCTION("""COMPUTED_VALUE"""),"")</f>
        <v/>
      </c>
      <c r="K264" s="51"/>
      <c r="L264" s="51" t="s">
        <v>257</v>
      </c>
      <c r="M264" s="51"/>
      <c r="N264" s="51"/>
      <c r="O264" s="51"/>
      <c r="P264" s="51"/>
      <c r="Q264" s="51"/>
      <c r="R264" s="51"/>
      <c r="S264" s="51"/>
      <c r="T264" s="51"/>
    </row>
    <row r="265">
      <c r="A265" s="51"/>
      <c r="B265" s="51"/>
      <c r="C265" s="94"/>
      <c r="D265" s="51"/>
      <c r="E265" s="51"/>
      <c r="F265" s="51"/>
      <c r="G265" s="51" t="str">
        <f>IFERROR(__xludf.DUMMYFUNCTION("""COMPUTED_VALUE"""),"#VALUE!")</f>
        <v>#VALUE!</v>
      </c>
      <c r="H265" s="51" t="str">
        <f>IFERROR(__xludf.DUMMYFUNCTION("""COMPUTED_VALUE"""),"")</f>
        <v/>
      </c>
      <c r="I265" s="51" t="str">
        <f>IFERROR(__xludf.DUMMYFUNCTION("""COMPUTED_VALUE"""),"#VALUE!")</f>
        <v>#VALUE!</v>
      </c>
      <c r="J265" s="51" t="str">
        <f>IFERROR(__xludf.DUMMYFUNCTION("""COMPUTED_VALUE"""),"")</f>
        <v/>
      </c>
      <c r="K265" s="51"/>
      <c r="L265" s="51" t="s">
        <v>257</v>
      </c>
      <c r="M265" s="51"/>
      <c r="N265" s="51"/>
      <c r="O265" s="51"/>
      <c r="P265" s="51"/>
      <c r="Q265" s="51"/>
      <c r="R265" s="51"/>
      <c r="S265" s="51"/>
      <c r="T265" s="51"/>
    </row>
    <row r="266">
      <c r="A266" s="51"/>
      <c r="B266" s="51"/>
      <c r="C266" s="94"/>
      <c r="D266" s="51"/>
      <c r="E266" s="51"/>
      <c r="F266" s="51"/>
      <c r="G266" s="51" t="str">
        <f>IFERROR(__xludf.DUMMYFUNCTION("""COMPUTED_VALUE"""),"#VALUE!")</f>
        <v>#VALUE!</v>
      </c>
      <c r="H266" s="51" t="str">
        <f>IFERROR(__xludf.DUMMYFUNCTION("""COMPUTED_VALUE"""),"")</f>
        <v/>
      </c>
      <c r="I266" s="51" t="str">
        <f>IFERROR(__xludf.DUMMYFUNCTION("""COMPUTED_VALUE"""),"#VALUE!")</f>
        <v>#VALUE!</v>
      </c>
      <c r="J266" s="51" t="str">
        <f>IFERROR(__xludf.DUMMYFUNCTION("""COMPUTED_VALUE"""),"")</f>
        <v/>
      </c>
      <c r="K266" s="51"/>
      <c r="L266" s="51" t="s">
        <v>257</v>
      </c>
      <c r="M266" s="51"/>
      <c r="N266" s="51"/>
      <c r="O266" s="51"/>
      <c r="P266" s="51"/>
      <c r="Q266" s="51"/>
      <c r="R266" s="51"/>
      <c r="S266" s="51"/>
      <c r="T266" s="51"/>
    </row>
    <row r="267">
      <c r="A267" s="51"/>
      <c r="B267" s="51"/>
      <c r="C267" s="94"/>
      <c r="D267" s="51"/>
      <c r="E267" s="51"/>
      <c r="F267" s="51"/>
      <c r="G267" s="51" t="str">
        <f>IFERROR(__xludf.DUMMYFUNCTION("""COMPUTED_VALUE"""),"#VALUE!")</f>
        <v>#VALUE!</v>
      </c>
      <c r="H267" s="51" t="str">
        <f>IFERROR(__xludf.DUMMYFUNCTION("""COMPUTED_VALUE"""),"")</f>
        <v/>
      </c>
      <c r="I267" s="51" t="str">
        <f>IFERROR(__xludf.DUMMYFUNCTION("""COMPUTED_VALUE"""),"#VALUE!")</f>
        <v>#VALUE!</v>
      </c>
      <c r="J267" s="51" t="str">
        <f>IFERROR(__xludf.DUMMYFUNCTION("""COMPUTED_VALUE"""),"")</f>
        <v/>
      </c>
      <c r="K267" s="51"/>
      <c r="L267" s="51" t="s">
        <v>257</v>
      </c>
      <c r="M267" s="51"/>
      <c r="N267" s="51"/>
      <c r="O267" s="51"/>
      <c r="P267" s="51"/>
      <c r="Q267" s="51"/>
      <c r="R267" s="51"/>
      <c r="S267" s="51"/>
      <c r="T267" s="51"/>
    </row>
    <row r="268">
      <c r="A268" s="51"/>
      <c r="B268" s="51"/>
      <c r="C268" s="94"/>
      <c r="D268" s="51"/>
      <c r="E268" s="51"/>
      <c r="F268" s="51"/>
      <c r="G268" s="51" t="str">
        <f>IFERROR(__xludf.DUMMYFUNCTION("""COMPUTED_VALUE"""),"#VALUE!")</f>
        <v>#VALUE!</v>
      </c>
      <c r="H268" s="51" t="str">
        <f>IFERROR(__xludf.DUMMYFUNCTION("""COMPUTED_VALUE"""),"")</f>
        <v/>
      </c>
      <c r="I268" s="51" t="str">
        <f>IFERROR(__xludf.DUMMYFUNCTION("""COMPUTED_VALUE"""),"#VALUE!")</f>
        <v>#VALUE!</v>
      </c>
      <c r="J268" s="51" t="str">
        <f>IFERROR(__xludf.DUMMYFUNCTION("""COMPUTED_VALUE"""),"")</f>
        <v/>
      </c>
      <c r="K268" s="51"/>
      <c r="L268" s="51" t="s">
        <v>257</v>
      </c>
      <c r="M268" s="51"/>
      <c r="N268" s="51"/>
      <c r="O268" s="51"/>
      <c r="P268" s="51"/>
      <c r="Q268" s="51"/>
      <c r="R268" s="51"/>
      <c r="S268" s="51"/>
      <c r="T268" s="51"/>
    </row>
    <row r="269">
      <c r="A269" s="51"/>
      <c r="B269" s="51"/>
      <c r="C269" s="94"/>
      <c r="D269" s="51"/>
      <c r="E269" s="51"/>
      <c r="F269" s="51"/>
      <c r="G269" s="51" t="str">
        <f>IFERROR(__xludf.DUMMYFUNCTION("""COMPUTED_VALUE"""),"#VALUE!")</f>
        <v>#VALUE!</v>
      </c>
      <c r="H269" s="51" t="str">
        <f>IFERROR(__xludf.DUMMYFUNCTION("""COMPUTED_VALUE"""),"")</f>
        <v/>
      </c>
      <c r="I269" s="51" t="str">
        <f>IFERROR(__xludf.DUMMYFUNCTION("""COMPUTED_VALUE"""),"#VALUE!")</f>
        <v>#VALUE!</v>
      </c>
      <c r="J269" s="51" t="str">
        <f>IFERROR(__xludf.DUMMYFUNCTION("""COMPUTED_VALUE"""),"")</f>
        <v/>
      </c>
      <c r="K269" s="51"/>
      <c r="L269" s="51" t="s">
        <v>257</v>
      </c>
      <c r="M269" s="51"/>
      <c r="N269" s="51"/>
      <c r="O269" s="51"/>
      <c r="P269" s="51"/>
      <c r="Q269" s="51"/>
      <c r="R269" s="51"/>
      <c r="S269" s="51"/>
      <c r="T269" s="51"/>
    </row>
    <row r="270">
      <c r="A270" s="51"/>
      <c r="B270" s="51"/>
      <c r="C270" s="94"/>
      <c r="D270" s="51"/>
      <c r="E270" s="51"/>
      <c r="F270" s="51"/>
      <c r="G270" s="51" t="str">
        <f>IFERROR(__xludf.DUMMYFUNCTION("""COMPUTED_VALUE"""),"#VALUE!")</f>
        <v>#VALUE!</v>
      </c>
      <c r="H270" s="51" t="str">
        <f>IFERROR(__xludf.DUMMYFUNCTION("""COMPUTED_VALUE"""),"")</f>
        <v/>
      </c>
      <c r="I270" s="51" t="str">
        <f>IFERROR(__xludf.DUMMYFUNCTION("""COMPUTED_VALUE"""),"#VALUE!")</f>
        <v>#VALUE!</v>
      </c>
      <c r="J270" s="51" t="str">
        <f>IFERROR(__xludf.DUMMYFUNCTION("""COMPUTED_VALUE"""),"")</f>
        <v/>
      </c>
      <c r="K270" s="51"/>
      <c r="L270" s="51" t="s">
        <v>257</v>
      </c>
      <c r="M270" s="51"/>
      <c r="N270" s="51"/>
      <c r="O270" s="51"/>
      <c r="P270" s="51"/>
      <c r="Q270" s="51"/>
      <c r="R270" s="51"/>
      <c r="S270" s="51"/>
      <c r="T270" s="51"/>
    </row>
    <row r="271">
      <c r="A271" s="51"/>
      <c r="B271" s="51"/>
      <c r="C271" s="94"/>
      <c r="D271" s="51"/>
      <c r="E271" s="51"/>
      <c r="F271" s="51"/>
      <c r="G271" s="51" t="str">
        <f>IFERROR(__xludf.DUMMYFUNCTION("""COMPUTED_VALUE"""),"#VALUE!")</f>
        <v>#VALUE!</v>
      </c>
      <c r="H271" s="51" t="str">
        <f>IFERROR(__xludf.DUMMYFUNCTION("""COMPUTED_VALUE"""),"")</f>
        <v/>
      </c>
      <c r="I271" s="51" t="str">
        <f>IFERROR(__xludf.DUMMYFUNCTION("""COMPUTED_VALUE"""),"#VALUE!")</f>
        <v>#VALUE!</v>
      </c>
      <c r="J271" s="51" t="str">
        <f>IFERROR(__xludf.DUMMYFUNCTION("""COMPUTED_VALUE"""),"")</f>
        <v/>
      </c>
      <c r="K271" s="51"/>
      <c r="L271" s="51" t="s">
        <v>257</v>
      </c>
      <c r="M271" s="51"/>
      <c r="N271" s="51"/>
      <c r="O271" s="51"/>
      <c r="P271" s="51"/>
      <c r="Q271" s="51"/>
      <c r="R271" s="51"/>
      <c r="S271" s="51"/>
      <c r="T271" s="51"/>
    </row>
    <row r="272">
      <c r="A272" s="51"/>
      <c r="B272" s="51"/>
      <c r="C272" s="94"/>
      <c r="D272" s="51"/>
      <c r="E272" s="51"/>
      <c r="F272" s="51"/>
      <c r="G272" s="51" t="str">
        <f>IFERROR(__xludf.DUMMYFUNCTION("""COMPUTED_VALUE"""),"#VALUE!")</f>
        <v>#VALUE!</v>
      </c>
      <c r="H272" s="51" t="str">
        <f>IFERROR(__xludf.DUMMYFUNCTION("""COMPUTED_VALUE"""),"")</f>
        <v/>
      </c>
      <c r="I272" s="51" t="str">
        <f>IFERROR(__xludf.DUMMYFUNCTION("""COMPUTED_VALUE"""),"#VALUE!")</f>
        <v>#VALUE!</v>
      </c>
      <c r="J272" s="51" t="str">
        <f>IFERROR(__xludf.DUMMYFUNCTION("""COMPUTED_VALUE"""),"")</f>
        <v/>
      </c>
      <c r="K272" s="51"/>
      <c r="L272" s="51" t="s">
        <v>257</v>
      </c>
      <c r="M272" s="51"/>
      <c r="N272" s="51"/>
      <c r="O272" s="51"/>
      <c r="P272" s="51"/>
      <c r="Q272" s="51"/>
      <c r="R272" s="51"/>
      <c r="S272" s="51"/>
      <c r="T272" s="51"/>
    </row>
    <row r="273">
      <c r="A273" s="51"/>
      <c r="B273" s="51"/>
      <c r="C273" s="94"/>
      <c r="D273" s="51"/>
      <c r="E273" s="51"/>
      <c r="F273" s="51"/>
      <c r="G273" s="51" t="str">
        <f>IFERROR(__xludf.DUMMYFUNCTION("""COMPUTED_VALUE"""),"#VALUE!")</f>
        <v>#VALUE!</v>
      </c>
      <c r="H273" s="51" t="str">
        <f>IFERROR(__xludf.DUMMYFUNCTION("""COMPUTED_VALUE"""),"")</f>
        <v/>
      </c>
      <c r="I273" s="51" t="str">
        <f>IFERROR(__xludf.DUMMYFUNCTION("""COMPUTED_VALUE"""),"#VALUE!")</f>
        <v>#VALUE!</v>
      </c>
      <c r="J273" s="51" t="str">
        <f>IFERROR(__xludf.DUMMYFUNCTION("""COMPUTED_VALUE"""),"")</f>
        <v/>
      </c>
      <c r="K273" s="51"/>
      <c r="L273" s="51" t="s">
        <v>257</v>
      </c>
      <c r="M273" s="51"/>
      <c r="N273" s="51"/>
      <c r="O273" s="51"/>
      <c r="P273" s="51"/>
      <c r="Q273" s="51"/>
      <c r="R273" s="51"/>
      <c r="S273" s="51"/>
      <c r="T273" s="51"/>
    </row>
    <row r="274">
      <c r="A274" s="51"/>
      <c r="B274" s="51"/>
      <c r="C274" s="94"/>
      <c r="D274" s="51"/>
      <c r="E274" s="51"/>
      <c r="F274" s="51"/>
      <c r="G274" s="51" t="str">
        <f>IFERROR(__xludf.DUMMYFUNCTION("""COMPUTED_VALUE"""),"#VALUE!")</f>
        <v>#VALUE!</v>
      </c>
      <c r="H274" s="51" t="str">
        <f>IFERROR(__xludf.DUMMYFUNCTION("""COMPUTED_VALUE"""),"")</f>
        <v/>
      </c>
      <c r="I274" s="51" t="str">
        <f>IFERROR(__xludf.DUMMYFUNCTION("""COMPUTED_VALUE"""),"#VALUE!")</f>
        <v>#VALUE!</v>
      </c>
      <c r="J274" s="51" t="str">
        <f>IFERROR(__xludf.DUMMYFUNCTION("""COMPUTED_VALUE"""),"")</f>
        <v/>
      </c>
      <c r="K274" s="51"/>
      <c r="L274" s="51" t="s">
        <v>257</v>
      </c>
      <c r="M274" s="51"/>
      <c r="N274" s="51"/>
      <c r="O274" s="51"/>
      <c r="P274" s="51"/>
      <c r="Q274" s="51"/>
      <c r="R274" s="51"/>
      <c r="S274" s="51"/>
      <c r="T274" s="51"/>
    </row>
    <row r="275">
      <c r="A275" s="51"/>
      <c r="B275" s="51"/>
      <c r="C275" s="94"/>
      <c r="D275" s="51"/>
      <c r="E275" s="51"/>
      <c r="F275" s="51"/>
      <c r="G275" s="51" t="str">
        <f>IFERROR(__xludf.DUMMYFUNCTION("""COMPUTED_VALUE"""),"#VALUE!")</f>
        <v>#VALUE!</v>
      </c>
      <c r="H275" s="51" t="str">
        <f>IFERROR(__xludf.DUMMYFUNCTION("""COMPUTED_VALUE"""),"")</f>
        <v/>
      </c>
      <c r="I275" s="51" t="str">
        <f>IFERROR(__xludf.DUMMYFUNCTION("""COMPUTED_VALUE"""),"#VALUE!")</f>
        <v>#VALUE!</v>
      </c>
      <c r="J275" s="51" t="str">
        <f>IFERROR(__xludf.DUMMYFUNCTION("""COMPUTED_VALUE"""),"")</f>
        <v/>
      </c>
      <c r="K275" s="51"/>
      <c r="L275" s="51" t="s">
        <v>257</v>
      </c>
      <c r="M275" s="51"/>
      <c r="N275" s="51"/>
      <c r="O275" s="51"/>
      <c r="P275" s="51"/>
      <c r="Q275" s="51"/>
      <c r="R275" s="51"/>
      <c r="S275" s="51"/>
      <c r="T275" s="51"/>
    </row>
    <row r="276">
      <c r="A276" s="51"/>
      <c r="B276" s="51"/>
      <c r="C276" s="94"/>
      <c r="D276" s="51"/>
      <c r="E276" s="51"/>
      <c r="F276" s="51"/>
      <c r="G276" s="51" t="str">
        <f>IFERROR(__xludf.DUMMYFUNCTION("""COMPUTED_VALUE"""),"#VALUE!")</f>
        <v>#VALUE!</v>
      </c>
      <c r="H276" s="51" t="str">
        <f>IFERROR(__xludf.DUMMYFUNCTION("""COMPUTED_VALUE"""),"")</f>
        <v/>
      </c>
      <c r="I276" s="51" t="str">
        <f>IFERROR(__xludf.DUMMYFUNCTION("""COMPUTED_VALUE"""),"#VALUE!")</f>
        <v>#VALUE!</v>
      </c>
      <c r="J276" s="51" t="str">
        <f>IFERROR(__xludf.DUMMYFUNCTION("""COMPUTED_VALUE"""),"")</f>
        <v/>
      </c>
      <c r="K276" s="51"/>
      <c r="L276" s="51" t="s">
        <v>257</v>
      </c>
      <c r="M276" s="51"/>
      <c r="N276" s="51"/>
      <c r="O276" s="51"/>
      <c r="P276" s="51"/>
      <c r="Q276" s="51"/>
      <c r="R276" s="51"/>
      <c r="S276" s="51"/>
      <c r="T276" s="51"/>
    </row>
    <row r="277">
      <c r="A277" s="51"/>
      <c r="B277" s="51"/>
      <c r="C277" s="94"/>
      <c r="D277" s="51"/>
      <c r="E277" s="51"/>
      <c r="F277" s="51"/>
      <c r="G277" s="51" t="str">
        <f>IFERROR(__xludf.DUMMYFUNCTION("""COMPUTED_VALUE"""),"#VALUE!")</f>
        <v>#VALUE!</v>
      </c>
      <c r="H277" s="51" t="str">
        <f>IFERROR(__xludf.DUMMYFUNCTION("""COMPUTED_VALUE"""),"")</f>
        <v/>
      </c>
      <c r="I277" s="51" t="str">
        <f>IFERROR(__xludf.DUMMYFUNCTION("""COMPUTED_VALUE"""),"#VALUE!")</f>
        <v>#VALUE!</v>
      </c>
      <c r="J277" s="51" t="str">
        <f>IFERROR(__xludf.DUMMYFUNCTION("""COMPUTED_VALUE"""),"")</f>
        <v/>
      </c>
      <c r="K277" s="51"/>
      <c r="L277" s="51" t="s">
        <v>257</v>
      </c>
      <c r="M277" s="51"/>
      <c r="N277" s="51"/>
      <c r="O277" s="51"/>
      <c r="P277" s="51"/>
      <c r="Q277" s="51"/>
      <c r="R277" s="51"/>
      <c r="S277" s="51"/>
      <c r="T277" s="51"/>
    </row>
    <row r="278">
      <c r="A278" s="51"/>
      <c r="B278" s="51"/>
      <c r="C278" s="94"/>
      <c r="D278" s="51"/>
      <c r="E278" s="51"/>
      <c r="F278" s="51"/>
      <c r="G278" s="51" t="str">
        <f>IFERROR(__xludf.DUMMYFUNCTION("""COMPUTED_VALUE"""),"#VALUE!")</f>
        <v>#VALUE!</v>
      </c>
      <c r="H278" s="51" t="str">
        <f>IFERROR(__xludf.DUMMYFUNCTION("""COMPUTED_VALUE"""),"")</f>
        <v/>
      </c>
      <c r="I278" s="51" t="str">
        <f>IFERROR(__xludf.DUMMYFUNCTION("""COMPUTED_VALUE"""),"#VALUE!")</f>
        <v>#VALUE!</v>
      </c>
      <c r="J278" s="51" t="str">
        <f>IFERROR(__xludf.DUMMYFUNCTION("""COMPUTED_VALUE"""),"")</f>
        <v/>
      </c>
      <c r="K278" s="51"/>
      <c r="L278" s="51" t="s">
        <v>257</v>
      </c>
      <c r="M278" s="51"/>
      <c r="N278" s="51"/>
      <c r="O278" s="51"/>
      <c r="P278" s="51"/>
      <c r="Q278" s="51"/>
      <c r="R278" s="51"/>
      <c r="S278" s="51"/>
      <c r="T278" s="51"/>
    </row>
    <row r="279">
      <c r="A279" s="51"/>
      <c r="B279" s="51"/>
      <c r="C279" s="94"/>
      <c r="D279" s="51"/>
      <c r="E279" s="51"/>
      <c r="F279" s="51"/>
      <c r="G279" s="51" t="str">
        <f>IFERROR(__xludf.DUMMYFUNCTION("""COMPUTED_VALUE"""),"#VALUE!")</f>
        <v>#VALUE!</v>
      </c>
      <c r="H279" s="51" t="str">
        <f>IFERROR(__xludf.DUMMYFUNCTION("""COMPUTED_VALUE"""),"")</f>
        <v/>
      </c>
      <c r="I279" s="51" t="str">
        <f>IFERROR(__xludf.DUMMYFUNCTION("""COMPUTED_VALUE"""),"#VALUE!")</f>
        <v>#VALUE!</v>
      </c>
      <c r="J279" s="51" t="str">
        <f>IFERROR(__xludf.DUMMYFUNCTION("""COMPUTED_VALUE"""),"")</f>
        <v/>
      </c>
      <c r="K279" s="51"/>
      <c r="L279" s="51" t="s">
        <v>257</v>
      </c>
      <c r="M279" s="51"/>
      <c r="N279" s="51"/>
      <c r="O279" s="51"/>
      <c r="P279" s="51"/>
      <c r="Q279" s="51"/>
      <c r="R279" s="51"/>
      <c r="S279" s="51"/>
      <c r="T279" s="51"/>
    </row>
    <row r="280">
      <c r="A280" s="51"/>
      <c r="B280" s="51"/>
      <c r="C280" s="94"/>
      <c r="D280" s="51"/>
      <c r="E280" s="51"/>
      <c r="F280" s="51"/>
      <c r="G280" s="51" t="str">
        <f>IFERROR(__xludf.DUMMYFUNCTION("""COMPUTED_VALUE"""),"#VALUE!")</f>
        <v>#VALUE!</v>
      </c>
      <c r="H280" s="51" t="str">
        <f>IFERROR(__xludf.DUMMYFUNCTION("""COMPUTED_VALUE"""),"")</f>
        <v/>
      </c>
      <c r="I280" s="51" t="str">
        <f>IFERROR(__xludf.DUMMYFUNCTION("""COMPUTED_VALUE"""),"#VALUE!")</f>
        <v>#VALUE!</v>
      </c>
      <c r="J280" s="51" t="str">
        <f>IFERROR(__xludf.DUMMYFUNCTION("""COMPUTED_VALUE"""),"")</f>
        <v/>
      </c>
      <c r="K280" s="51"/>
      <c r="L280" s="51" t="s">
        <v>257</v>
      </c>
      <c r="M280" s="51"/>
      <c r="N280" s="51"/>
      <c r="O280" s="51"/>
      <c r="P280" s="51"/>
      <c r="Q280" s="51"/>
      <c r="R280" s="51"/>
      <c r="S280" s="51"/>
      <c r="T280" s="51"/>
    </row>
    <row r="281">
      <c r="A281" s="51"/>
      <c r="B281" s="51"/>
      <c r="C281" s="94"/>
      <c r="D281" s="51"/>
      <c r="E281" s="51"/>
      <c r="F281" s="51"/>
      <c r="G281" s="51" t="str">
        <f>IFERROR(__xludf.DUMMYFUNCTION("""COMPUTED_VALUE"""),"#VALUE!")</f>
        <v>#VALUE!</v>
      </c>
      <c r="H281" s="51" t="str">
        <f>IFERROR(__xludf.DUMMYFUNCTION("""COMPUTED_VALUE"""),"")</f>
        <v/>
      </c>
      <c r="I281" s="51" t="str">
        <f>IFERROR(__xludf.DUMMYFUNCTION("""COMPUTED_VALUE"""),"#VALUE!")</f>
        <v>#VALUE!</v>
      </c>
      <c r="J281" s="51" t="str">
        <f>IFERROR(__xludf.DUMMYFUNCTION("""COMPUTED_VALUE"""),"")</f>
        <v/>
      </c>
      <c r="K281" s="51"/>
      <c r="L281" s="51" t="s">
        <v>257</v>
      </c>
      <c r="M281" s="51"/>
      <c r="N281" s="51"/>
      <c r="O281" s="51"/>
      <c r="P281" s="51"/>
      <c r="Q281" s="51"/>
      <c r="R281" s="51"/>
      <c r="S281" s="51"/>
      <c r="T281" s="51"/>
    </row>
    <row r="282">
      <c r="A282" s="51"/>
      <c r="B282" s="51"/>
      <c r="C282" s="94"/>
      <c r="D282" s="51"/>
      <c r="E282" s="51"/>
      <c r="F282" s="51"/>
      <c r="G282" s="51" t="str">
        <f>IFERROR(__xludf.DUMMYFUNCTION("""COMPUTED_VALUE"""),"#VALUE!")</f>
        <v>#VALUE!</v>
      </c>
      <c r="H282" s="51" t="str">
        <f>IFERROR(__xludf.DUMMYFUNCTION("""COMPUTED_VALUE"""),"")</f>
        <v/>
      </c>
      <c r="I282" s="51" t="str">
        <f>IFERROR(__xludf.DUMMYFUNCTION("""COMPUTED_VALUE"""),"#VALUE!")</f>
        <v>#VALUE!</v>
      </c>
      <c r="J282" s="51" t="str">
        <f>IFERROR(__xludf.DUMMYFUNCTION("""COMPUTED_VALUE"""),"")</f>
        <v/>
      </c>
      <c r="K282" s="51"/>
      <c r="L282" s="51" t="s">
        <v>257</v>
      </c>
      <c r="M282" s="51"/>
      <c r="N282" s="51"/>
      <c r="O282" s="51"/>
      <c r="P282" s="51"/>
      <c r="Q282" s="51"/>
      <c r="R282" s="51"/>
      <c r="S282" s="51"/>
      <c r="T282" s="51"/>
    </row>
    <row r="283">
      <c r="A283" s="51"/>
      <c r="B283" s="51"/>
      <c r="C283" s="94"/>
      <c r="D283" s="51"/>
      <c r="E283" s="51"/>
      <c r="F283" s="51"/>
      <c r="G283" s="51" t="str">
        <f>IFERROR(__xludf.DUMMYFUNCTION("""COMPUTED_VALUE"""),"#VALUE!")</f>
        <v>#VALUE!</v>
      </c>
      <c r="H283" s="51" t="str">
        <f>IFERROR(__xludf.DUMMYFUNCTION("""COMPUTED_VALUE"""),"")</f>
        <v/>
      </c>
      <c r="I283" s="51" t="str">
        <f>IFERROR(__xludf.DUMMYFUNCTION("""COMPUTED_VALUE"""),"#VALUE!")</f>
        <v>#VALUE!</v>
      </c>
      <c r="J283" s="51" t="str">
        <f>IFERROR(__xludf.DUMMYFUNCTION("""COMPUTED_VALUE"""),"")</f>
        <v/>
      </c>
      <c r="K283" s="51"/>
      <c r="L283" s="51" t="s">
        <v>257</v>
      </c>
      <c r="M283" s="51"/>
      <c r="N283" s="51"/>
      <c r="O283" s="51"/>
      <c r="P283" s="51"/>
      <c r="Q283" s="51"/>
      <c r="R283" s="51"/>
      <c r="S283" s="51"/>
      <c r="T283" s="51"/>
    </row>
    <row r="284">
      <c r="A284" s="51"/>
      <c r="B284" s="51"/>
      <c r="C284" s="94"/>
      <c r="D284" s="51"/>
      <c r="E284" s="51"/>
      <c r="F284" s="51"/>
      <c r="G284" s="51" t="str">
        <f>IFERROR(__xludf.DUMMYFUNCTION("""COMPUTED_VALUE"""),"#VALUE!")</f>
        <v>#VALUE!</v>
      </c>
      <c r="H284" s="51" t="str">
        <f>IFERROR(__xludf.DUMMYFUNCTION("""COMPUTED_VALUE"""),"")</f>
        <v/>
      </c>
      <c r="I284" s="51" t="str">
        <f>IFERROR(__xludf.DUMMYFUNCTION("""COMPUTED_VALUE"""),"#VALUE!")</f>
        <v>#VALUE!</v>
      </c>
      <c r="J284" s="51" t="str">
        <f>IFERROR(__xludf.DUMMYFUNCTION("""COMPUTED_VALUE"""),"")</f>
        <v/>
      </c>
      <c r="K284" s="51"/>
      <c r="L284" s="51" t="s">
        <v>257</v>
      </c>
      <c r="M284" s="51"/>
      <c r="N284" s="51"/>
      <c r="O284" s="51"/>
      <c r="P284" s="51"/>
      <c r="Q284" s="51"/>
      <c r="R284" s="51"/>
      <c r="S284" s="51"/>
      <c r="T284" s="51"/>
    </row>
    <row r="285">
      <c r="A285" s="51"/>
      <c r="B285" s="51"/>
      <c r="C285" s="94"/>
      <c r="D285" s="51"/>
      <c r="E285" s="51"/>
      <c r="F285" s="51"/>
      <c r="G285" s="51" t="str">
        <f>IFERROR(__xludf.DUMMYFUNCTION("""COMPUTED_VALUE"""),"#VALUE!")</f>
        <v>#VALUE!</v>
      </c>
      <c r="H285" s="51" t="str">
        <f>IFERROR(__xludf.DUMMYFUNCTION("""COMPUTED_VALUE"""),"")</f>
        <v/>
      </c>
      <c r="I285" s="51" t="str">
        <f>IFERROR(__xludf.DUMMYFUNCTION("""COMPUTED_VALUE"""),"#VALUE!")</f>
        <v>#VALUE!</v>
      </c>
      <c r="J285" s="51" t="str">
        <f>IFERROR(__xludf.DUMMYFUNCTION("""COMPUTED_VALUE"""),"")</f>
        <v/>
      </c>
      <c r="K285" s="51"/>
      <c r="L285" s="51" t="s">
        <v>257</v>
      </c>
      <c r="M285" s="51"/>
      <c r="N285" s="51"/>
      <c r="O285" s="51"/>
      <c r="P285" s="51"/>
      <c r="Q285" s="51"/>
      <c r="R285" s="51"/>
      <c r="S285" s="51"/>
      <c r="T285" s="51"/>
    </row>
    <row r="286">
      <c r="A286" s="51"/>
      <c r="B286" s="51"/>
      <c r="C286" s="94"/>
      <c r="D286" s="51"/>
      <c r="E286" s="51"/>
      <c r="F286" s="51"/>
      <c r="G286" s="51" t="str">
        <f>IFERROR(__xludf.DUMMYFUNCTION("""COMPUTED_VALUE"""),"#VALUE!")</f>
        <v>#VALUE!</v>
      </c>
      <c r="H286" s="51" t="str">
        <f>IFERROR(__xludf.DUMMYFUNCTION("""COMPUTED_VALUE"""),"")</f>
        <v/>
      </c>
      <c r="I286" s="51" t="str">
        <f>IFERROR(__xludf.DUMMYFUNCTION("""COMPUTED_VALUE"""),"#VALUE!")</f>
        <v>#VALUE!</v>
      </c>
      <c r="J286" s="51" t="str">
        <f>IFERROR(__xludf.DUMMYFUNCTION("""COMPUTED_VALUE"""),"")</f>
        <v/>
      </c>
      <c r="K286" s="51"/>
      <c r="L286" s="51" t="s">
        <v>257</v>
      </c>
      <c r="M286" s="51"/>
      <c r="N286" s="51"/>
      <c r="O286" s="51"/>
      <c r="P286" s="51"/>
      <c r="Q286" s="51"/>
      <c r="R286" s="51"/>
      <c r="S286" s="51"/>
      <c r="T286" s="51"/>
    </row>
    <row r="287">
      <c r="A287" s="51"/>
      <c r="B287" s="51"/>
      <c r="C287" s="94"/>
      <c r="D287" s="51"/>
      <c r="E287" s="51"/>
      <c r="F287" s="51"/>
      <c r="G287" s="51" t="str">
        <f>IFERROR(__xludf.DUMMYFUNCTION("""COMPUTED_VALUE"""),"#VALUE!")</f>
        <v>#VALUE!</v>
      </c>
      <c r="H287" s="51" t="str">
        <f>IFERROR(__xludf.DUMMYFUNCTION("""COMPUTED_VALUE"""),"")</f>
        <v/>
      </c>
      <c r="I287" s="51" t="str">
        <f>IFERROR(__xludf.DUMMYFUNCTION("""COMPUTED_VALUE"""),"#VALUE!")</f>
        <v>#VALUE!</v>
      </c>
      <c r="J287" s="51" t="str">
        <f>IFERROR(__xludf.DUMMYFUNCTION("""COMPUTED_VALUE"""),"")</f>
        <v/>
      </c>
      <c r="K287" s="51"/>
      <c r="L287" s="51" t="s">
        <v>257</v>
      </c>
      <c r="M287" s="51"/>
      <c r="N287" s="51"/>
      <c r="O287" s="51"/>
      <c r="P287" s="51"/>
      <c r="Q287" s="51"/>
      <c r="R287" s="51"/>
      <c r="S287" s="51"/>
      <c r="T287" s="51"/>
    </row>
    <row r="288">
      <c r="A288" s="51"/>
      <c r="B288" s="51"/>
      <c r="C288" s="94"/>
      <c r="D288" s="51"/>
      <c r="E288" s="51"/>
      <c r="F288" s="51"/>
      <c r="G288" s="51" t="str">
        <f>IFERROR(__xludf.DUMMYFUNCTION("""COMPUTED_VALUE"""),"#VALUE!")</f>
        <v>#VALUE!</v>
      </c>
      <c r="H288" s="51" t="str">
        <f>IFERROR(__xludf.DUMMYFUNCTION("""COMPUTED_VALUE"""),"")</f>
        <v/>
      </c>
      <c r="I288" s="51" t="str">
        <f>IFERROR(__xludf.DUMMYFUNCTION("""COMPUTED_VALUE"""),"#VALUE!")</f>
        <v>#VALUE!</v>
      </c>
      <c r="J288" s="51" t="str">
        <f>IFERROR(__xludf.DUMMYFUNCTION("""COMPUTED_VALUE"""),"")</f>
        <v/>
      </c>
      <c r="K288" s="51"/>
      <c r="L288" s="51" t="s">
        <v>257</v>
      </c>
      <c r="M288" s="51"/>
      <c r="N288" s="51"/>
      <c r="O288" s="51"/>
      <c r="P288" s="51"/>
      <c r="Q288" s="51"/>
      <c r="R288" s="51"/>
      <c r="S288" s="51"/>
      <c r="T288" s="51"/>
    </row>
    <row r="289">
      <c r="A289" s="51"/>
      <c r="B289" s="51"/>
      <c r="C289" s="94"/>
      <c r="D289" s="51"/>
      <c r="E289" s="51"/>
      <c r="F289" s="51"/>
      <c r="G289" s="51" t="str">
        <f>IFERROR(__xludf.DUMMYFUNCTION("""COMPUTED_VALUE"""),"#VALUE!")</f>
        <v>#VALUE!</v>
      </c>
      <c r="H289" s="51" t="str">
        <f>IFERROR(__xludf.DUMMYFUNCTION("""COMPUTED_VALUE"""),"")</f>
        <v/>
      </c>
      <c r="I289" s="51" t="str">
        <f>IFERROR(__xludf.DUMMYFUNCTION("""COMPUTED_VALUE"""),"#VALUE!")</f>
        <v>#VALUE!</v>
      </c>
      <c r="J289" s="51" t="str">
        <f>IFERROR(__xludf.DUMMYFUNCTION("""COMPUTED_VALUE"""),"")</f>
        <v/>
      </c>
      <c r="K289" s="51"/>
      <c r="L289" s="51" t="s">
        <v>257</v>
      </c>
      <c r="M289" s="51"/>
      <c r="N289" s="51"/>
      <c r="O289" s="51"/>
      <c r="P289" s="51"/>
      <c r="Q289" s="51"/>
      <c r="R289" s="51"/>
      <c r="S289" s="51"/>
      <c r="T289" s="51"/>
    </row>
    <row r="290">
      <c r="A290" s="51"/>
      <c r="B290" s="51"/>
      <c r="C290" s="94"/>
      <c r="D290" s="51"/>
      <c r="E290" s="51"/>
      <c r="F290" s="51"/>
      <c r="G290" s="51" t="str">
        <f>IFERROR(__xludf.DUMMYFUNCTION("""COMPUTED_VALUE"""),"#VALUE!")</f>
        <v>#VALUE!</v>
      </c>
      <c r="H290" s="51" t="str">
        <f>IFERROR(__xludf.DUMMYFUNCTION("""COMPUTED_VALUE"""),"")</f>
        <v/>
      </c>
      <c r="I290" s="51" t="str">
        <f>IFERROR(__xludf.DUMMYFUNCTION("""COMPUTED_VALUE"""),"#VALUE!")</f>
        <v>#VALUE!</v>
      </c>
      <c r="J290" s="51" t="str">
        <f>IFERROR(__xludf.DUMMYFUNCTION("""COMPUTED_VALUE"""),"")</f>
        <v/>
      </c>
      <c r="K290" s="51"/>
      <c r="L290" s="51" t="s">
        <v>257</v>
      </c>
      <c r="M290" s="51"/>
      <c r="N290" s="51"/>
      <c r="O290" s="51"/>
      <c r="P290" s="51"/>
      <c r="Q290" s="51"/>
      <c r="R290" s="51"/>
      <c r="S290" s="51"/>
      <c r="T290" s="51"/>
    </row>
    <row r="291">
      <c r="A291" s="51"/>
      <c r="B291" s="51"/>
      <c r="C291" s="94"/>
      <c r="D291" s="51"/>
      <c r="E291" s="51"/>
      <c r="F291" s="51"/>
      <c r="G291" s="51" t="str">
        <f>IFERROR(__xludf.DUMMYFUNCTION("""COMPUTED_VALUE"""),"#VALUE!")</f>
        <v>#VALUE!</v>
      </c>
      <c r="H291" s="51" t="str">
        <f>IFERROR(__xludf.DUMMYFUNCTION("""COMPUTED_VALUE"""),"")</f>
        <v/>
      </c>
      <c r="I291" s="51" t="str">
        <f>IFERROR(__xludf.DUMMYFUNCTION("""COMPUTED_VALUE"""),"#VALUE!")</f>
        <v>#VALUE!</v>
      </c>
      <c r="J291" s="51" t="str">
        <f>IFERROR(__xludf.DUMMYFUNCTION("""COMPUTED_VALUE"""),"")</f>
        <v/>
      </c>
      <c r="K291" s="51"/>
      <c r="L291" s="51" t="s">
        <v>257</v>
      </c>
      <c r="M291" s="51"/>
      <c r="N291" s="51"/>
      <c r="O291" s="51"/>
      <c r="P291" s="51"/>
      <c r="Q291" s="51"/>
      <c r="R291" s="51"/>
      <c r="S291" s="51"/>
      <c r="T291" s="51"/>
    </row>
    <row r="292">
      <c r="A292" s="51"/>
      <c r="B292" s="51"/>
      <c r="C292" s="94"/>
      <c r="D292" s="51"/>
      <c r="E292" s="51"/>
      <c r="F292" s="51"/>
      <c r="G292" s="51" t="str">
        <f>IFERROR(__xludf.DUMMYFUNCTION("""COMPUTED_VALUE"""),"#VALUE!")</f>
        <v>#VALUE!</v>
      </c>
      <c r="H292" s="51" t="str">
        <f>IFERROR(__xludf.DUMMYFUNCTION("""COMPUTED_VALUE"""),"")</f>
        <v/>
      </c>
      <c r="I292" s="51" t="str">
        <f>IFERROR(__xludf.DUMMYFUNCTION("""COMPUTED_VALUE"""),"#VALUE!")</f>
        <v>#VALUE!</v>
      </c>
      <c r="J292" s="51" t="str">
        <f>IFERROR(__xludf.DUMMYFUNCTION("""COMPUTED_VALUE"""),"")</f>
        <v/>
      </c>
      <c r="K292" s="51"/>
      <c r="L292" s="51" t="s">
        <v>257</v>
      </c>
      <c r="M292" s="51"/>
      <c r="N292" s="51"/>
      <c r="O292" s="51"/>
      <c r="P292" s="51"/>
      <c r="Q292" s="51"/>
      <c r="R292" s="51"/>
      <c r="S292" s="51"/>
      <c r="T292" s="51"/>
    </row>
    <row r="293">
      <c r="A293" s="51"/>
      <c r="B293" s="51"/>
      <c r="C293" s="94"/>
      <c r="D293" s="51"/>
      <c r="E293" s="51"/>
      <c r="F293" s="51"/>
      <c r="G293" s="51" t="str">
        <f>IFERROR(__xludf.DUMMYFUNCTION("""COMPUTED_VALUE"""),"#VALUE!")</f>
        <v>#VALUE!</v>
      </c>
      <c r="H293" s="51" t="str">
        <f>IFERROR(__xludf.DUMMYFUNCTION("""COMPUTED_VALUE"""),"")</f>
        <v/>
      </c>
      <c r="I293" s="51" t="str">
        <f>IFERROR(__xludf.DUMMYFUNCTION("""COMPUTED_VALUE"""),"#VALUE!")</f>
        <v>#VALUE!</v>
      </c>
      <c r="J293" s="51" t="str">
        <f>IFERROR(__xludf.DUMMYFUNCTION("""COMPUTED_VALUE"""),"")</f>
        <v/>
      </c>
      <c r="K293" s="51"/>
      <c r="L293" s="51" t="s">
        <v>257</v>
      </c>
      <c r="M293" s="51"/>
      <c r="N293" s="51"/>
      <c r="O293" s="51"/>
      <c r="P293" s="51"/>
      <c r="Q293" s="51"/>
      <c r="R293" s="51"/>
      <c r="S293" s="51"/>
      <c r="T293" s="51"/>
    </row>
    <row r="294">
      <c r="A294" s="51"/>
      <c r="B294" s="51"/>
      <c r="C294" s="94"/>
      <c r="D294" s="51"/>
      <c r="E294" s="51"/>
      <c r="F294" s="51"/>
      <c r="G294" s="51" t="str">
        <f>IFERROR(__xludf.DUMMYFUNCTION("""COMPUTED_VALUE"""),"#VALUE!")</f>
        <v>#VALUE!</v>
      </c>
      <c r="H294" s="51" t="str">
        <f>IFERROR(__xludf.DUMMYFUNCTION("""COMPUTED_VALUE"""),"")</f>
        <v/>
      </c>
      <c r="I294" s="51" t="str">
        <f>IFERROR(__xludf.DUMMYFUNCTION("""COMPUTED_VALUE"""),"#VALUE!")</f>
        <v>#VALUE!</v>
      </c>
      <c r="J294" s="51" t="str">
        <f>IFERROR(__xludf.DUMMYFUNCTION("""COMPUTED_VALUE"""),"")</f>
        <v/>
      </c>
      <c r="K294" s="51"/>
      <c r="L294" s="51" t="s">
        <v>257</v>
      </c>
      <c r="M294" s="51"/>
      <c r="N294" s="51"/>
      <c r="O294" s="51"/>
      <c r="P294" s="51"/>
      <c r="Q294" s="51"/>
      <c r="R294" s="51"/>
      <c r="S294" s="51"/>
      <c r="T294" s="51"/>
    </row>
    <row r="295">
      <c r="A295" s="51"/>
      <c r="B295" s="51"/>
      <c r="C295" s="94"/>
      <c r="D295" s="51"/>
      <c r="E295" s="51"/>
      <c r="F295" s="51"/>
      <c r="G295" s="51" t="str">
        <f>IFERROR(__xludf.DUMMYFUNCTION("""COMPUTED_VALUE"""),"#VALUE!")</f>
        <v>#VALUE!</v>
      </c>
      <c r="H295" s="51" t="str">
        <f>IFERROR(__xludf.DUMMYFUNCTION("""COMPUTED_VALUE"""),"")</f>
        <v/>
      </c>
      <c r="I295" s="51" t="str">
        <f>IFERROR(__xludf.DUMMYFUNCTION("""COMPUTED_VALUE"""),"#VALUE!")</f>
        <v>#VALUE!</v>
      </c>
      <c r="J295" s="51" t="str">
        <f>IFERROR(__xludf.DUMMYFUNCTION("""COMPUTED_VALUE"""),"")</f>
        <v/>
      </c>
      <c r="K295" s="51"/>
      <c r="L295" s="51" t="s">
        <v>257</v>
      </c>
      <c r="M295" s="51"/>
      <c r="N295" s="51"/>
      <c r="O295" s="51"/>
      <c r="P295" s="51"/>
      <c r="Q295" s="51"/>
      <c r="R295" s="51"/>
      <c r="S295" s="51"/>
      <c r="T295" s="51"/>
    </row>
    <row r="296">
      <c r="A296" s="51"/>
      <c r="B296" s="51"/>
      <c r="C296" s="94"/>
      <c r="D296" s="51"/>
      <c r="E296" s="51"/>
      <c r="F296" s="51"/>
      <c r="G296" s="51" t="str">
        <f>IFERROR(__xludf.DUMMYFUNCTION("""COMPUTED_VALUE"""),"#VALUE!")</f>
        <v>#VALUE!</v>
      </c>
      <c r="H296" s="51" t="str">
        <f>IFERROR(__xludf.DUMMYFUNCTION("""COMPUTED_VALUE"""),"")</f>
        <v/>
      </c>
      <c r="I296" s="51" t="str">
        <f>IFERROR(__xludf.DUMMYFUNCTION("""COMPUTED_VALUE"""),"#VALUE!")</f>
        <v>#VALUE!</v>
      </c>
      <c r="J296" s="51" t="str">
        <f>IFERROR(__xludf.DUMMYFUNCTION("""COMPUTED_VALUE"""),"")</f>
        <v/>
      </c>
      <c r="K296" s="51"/>
      <c r="L296" s="51" t="s">
        <v>257</v>
      </c>
      <c r="M296" s="51"/>
      <c r="N296" s="51"/>
      <c r="O296" s="51"/>
      <c r="P296" s="51"/>
      <c r="Q296" s="51"/>
      <c r="R296" s="51"/>
      <c r="S296" s="51"/>
      <c r="T296" s="51"/>
    </row>
    <row r="297">
      <c r="A297" s="51"/>
      <c r="B297" s="51"/>
      <c r="C297" s="94"/>
      <c r="D297" s="51"/>
      <c r="E297" s="51"/>
      <c r="F297" s="51"/>
      <c r="G297" s="51" t="str">
        <f>IFERROR(__xludf.DUMMYFUNCTION("""COMPUTED_VALUE"""),"#VALUE!")</f>
        <v>#VALUE!</v>
      </c>
      <c r="H297" s="51" t="str">
        <f>IFERROR(__xludf.DUMMYFUNCTION("""COMPUTED_VALUE"""),"")</f>
        <v/>
      </c>
      <c r="I297" s="51" t="str">
        <f>IFERROR(__xludf.DUMMYFUNCTION("""COMPUTED_VALUE"""),"#VALUE!")</f>
        <v>#VALUE!</v>
      </c>
      <c r="J297" s="51" t="str">
        <f>IFERROR(__xludf.DUMMYFUNCTION("""COMPUTED_VALUE"""),"")</f>
        <v/>
      </c>
      <c r="K297" s="51"/>
      <c r="L297" s="51" t="s">
        <v>257</v>
      </c>
      <c r="M297" s="51"/>
      <c r="N297" s="51"/>
      <c r="O297" s="51"/>
      <c r="P297" s="51"/>
      <c r="Q297" s="51"/>
      <c r="R297" s="51"/>
      <c r="S297" s="51"/>
      <c r="T297" s="51"/>
    </row>
    <row r="298">
      <c r="A298" s="51"/>
      <c r="B298" s="51"/>
      <c r="C298" s="94"/>
      <c r="D298" s="51"/>
      <c r="E298" s="51"/>
      <c r="F298" s="51"/>
      <c r="G298" s="51" t="str">
        <f>IFERROR(__xludf.DUMMYFUNCTION("""COMPUTED_VALUE"""),"#VALUE!")</f>
        <v>#VALUE!</v>
      </c>
      <c r="H298" s="51" t="str">
        <f>IFERROR(__xludf.DUMMYFUNCTION("""COMPUTED_VALUE"""),"")</f>
        <v/>
      </c>
      <c r="I298" s="51" t="str">
        <f>IFERROR(__xludf.DUMMYFUNCTION("""COMPUTED_VALUE"""),"#VALUE!")</f>
        <v>#VALUE!</v>
      </c>
      <c r="J298" s="51" t="str">
        <f>IFERROR(__xludf.DUMMYFUNCTION("""COMPUTED_VALUE"""),"")</f>
        <v/>
      </c>
      <c r="K298" s="51"/>
      <c r="L298" s="51" t="s">
        <v>257</v>
      </c>
      <c r="M298" s="51"/>
      <c r="N298" s="51"/>
      <c r="O298" s="51"/>
      <c r="P298" s="51"/>
      <c r="Q298" s="51"/>
      <c r="R298" s="51"/>
      <c r="S298" s="51"/>
      <c r="T298" s="51"/>
    </row>
    <row r="299">
      <c r="A299" s="51"/>
      <c r="B299" s="51"/>
      <c r="C299" s="94"/>
      <c r="D299" s="51"/>
      <c r="E299" s="51"/>
      <c r="F299" s="51"/>
      <c r="G299" s="51" t="str">
        <f>IFERROR(__xludf.DUMMYFUNCTION("""COMPUTED_VALUE"""),"#VALUE!")</f>
        <v>#VALUE!</v>
      </c>
      <c r="H299" s="51" t="str">
        <f>IFERROR(__xludf.DUMMYFUNCTION("""COMPUTED_VALUE"""),"")</f>
        <v/>
      </c>
      <c r="I299" s="51" t="str">
        <f>IFERROR(__xludf.DUMMYFUNCTION("""COMPUTED_VALUE"""),"#VALUE!")</f>
        <v>#VALUE!</v>
      </c>
      <c r="J299" s="51" t="str">
        <f>IFERROR(__xludf.DUMMYFUNCTION("""COMPUTED_VALUE"""),"")</f>
        <v/>
      </c>
      <c r="K299" s="51"/>
      <c r="L299" s="51" t="s">
        <v>257</v>
      </c>
      <c r="M299" s="51"/>
      <c r="N299" s="51"/>
      <c r="O299" s="51"/>
      <c r="P299" s="51"/>
      <c r="Q299" s="51"/>
      <c r="R299" s="51"/>
      <c r="S299" s="51"/>
      <c r="T299" s="51"/>
    </row>
    <row r="300">
      <c r="A300" s="51"/>
      <c r="B300" s="51"/>
      <c r="C300" s="94"/>
      <c r="D300" s="51"/>
      <c r="E300" s="51"/>
      <c r="F300" s="51"/>
      <c r="G300" s="51" t="str">
        <f>IFERROR(__xludf.DUMMYFUNCTION("""COMPUTED_VALUE"""),"#VALUE!")</f>
        <v>#VALUE!</v>
      </c>
      <c r="H300" s="51" t="str">
        <f>IFERROR(__xludf.DUMMYFUNCTION("""COMPUTED_VALUE"""),"")</f>
        <v/>
      </c>
      <c r="I300" s="51" t="str">
        <f>IFERROR(__xludf.DUMMYFUNCTION("""COMPUTED_VALUE"""),"#VALUE!")</f>
        <v>#VALUE!</v>
      </c>
      <c r="J300" s="51" t="str">
        <f>IFERROR(__xludf.DUMMYFUNCTION("""COMPUTED_VALUE"""),"")</f>
        <v/>
      </c>
      <c r="K300" s="51"/>
      <c r="L300" s="51" t="s">
        <v>257</v>
      </c>
      <c r="M300" s="51"/>
      <c r="N300" s="51"/>
      <c r="O300" s="51"/>
      <c r="P300" s="51"/>
      <c r="Q300" s="51"/>
      <c r="R300" s="51"/>
      <c r="S300" s="51"/>
      <c r="T300" s="51"/>
    </row>
    <row r="301">
      <c r="A301" s="51"/>
      <c r="B301" s="51"/>
      <c r="C301" s="94"/>
      <c r="D301" s="51"/>
      <c r="E301" s="51"/>
      <c r="F301" s="51"/>
      <c r="G301" s="51" t="str">
        <f>IFERROR(__xludf.DUMMYFUNCTION("""COMPUTED_VALUE"""),"#VALUE!")</f>
        <v>#VALUE!</v>
      </c>
      <c r="H301" s="51" t="str">
        <f>IFERROR(__xludf.DUMMYFUNCTION("""COMPUTED_VALUE"""),"")</f>
        <v/>
      </c>
      <c r="I301" s="51" t="str">
        <f>IFERROR(__xludf.DUMMYFUNCTION("""COMPUTED_VALUE"""),"#VALUE!")</f>
        <v>#VALUE!</v>
      </c>
      <c r="J301" s="51" t="str">
        <f>IFERROR(__xludf.DUMMYFUNCTION("""COMPUTED_VALUE"""),"")</f>
        <v/>
      </c>
      <c r="K301" s="51"/>
      <c r="L301" s="51" t="s">
        <v>257</v>
      </c>
      <c r="M301" s="51"/>
      <c r="N301" s="51"/>
      <c r="O301" s="51"/>
      <c r="P301" s="51"/>
      <c r="Q301" s="51"/>
      <c r="R301" s="51"/>
      <c r="S301" s="51"/>
      <c r="T301" s="51"/>
    </row>
    <row r="302">
      <c r="A302" s="51"/>
      <c r="B302" s="51"/>
      <c r="C302" s="94"/>
      <c r="D302" s="51"/>
      <c r="E302" s="51"/>
      <c r="F302" s="51"/>
      <c r="G302" s="51" t="str">
        <f>IFERROR(__xludf.DUMMYFUNCTION("""COMPUTED_VALUE"""),"#VALUE!")</f>
        <v>#VALUE!</v>
      </c>
      <c r="H302" s="51" t="str">
        <f>IFERROR(__xludf.DUMMYFUNCTION("""COMPUTED_VALUE"""),"")</f>
        <v/>
      </c>
      <c r="I302" s="51" t="str">
        <f>IFERROR(__xludf.DUMMYFUNCTION("""COMPUTED_VALUE"""),"#VALUE!")</f>
        <v>#VALUE!</v>
      </c>
      <c r="J302" s="51" t="str">
        <f>IFERROR(__xludf.DUMMYFUNCTION("""COMPUTED_VALUE"""),"")</f>
        <v/>
      </c>
      <c r="K302" s="51"/>
      <c r="L302" s="51" t="s">
        <v>257</v>
      </c>
      <c r="M302" s="51"/>
      <c r="N302" s="51"/>
      <c r="O302" s="51"/>
      <c r="P302" s="51"/>
      <c r="Q302" s="51"/>
      <c r="R302" s="51"/>
      <c r="S302" s="51"/>
      <c r="T302" s="51"/>
    </row>
    <row r="303">
      <c r="A303" s="51"/>
      <c r="B303" s="51"/>
      <c r="C303" s="94"/>
      <c r="D303" s="51"/>
      <c r="E303" s="51"/>
      <c r="F303" s="51"/>
      <c r="G303" s="51" t="str">
        <f>IFERROR(__xludf.DUMMYFUNCTION("""COMPUTED_VALUE"""),"#VALUE!")</f>
        <v>#VALUE!</v>
      </c>
      <c r="H303" s="51" t="str">
        <f>IFERROR(__xludf.DUMMYFUNCTION("""COMPUTED_VALUE"""),"")</f>
        <v/>
      </c>
      <c r="I303" s="51" t="str">
        <f>IFERROR(__xludf.DUMMYFUNCTION("""COMPUTED_VALUE"""),"#VALUE!")</f>
        <v>#VALUE!</v>
      </c>
      <c r="J303" s="51" t="str">
        <f>IFERROR(__xludf.DUMMYFUNCTION("""COMPUTED_VALUE"""),"")</f>
        <v/>
      </c>
      <c r="K303" s="51"/>
      <c r="L303" s="51" t="s">
        <v>257</v>
      </c>
      <c r="M303" s="51"/>
      <c r="N303" s="51"/>
      <c r="O303" s="51"/>
      <c r="P303" s="51"/>
      <c r="Q303" s="51"/>
      <c r="R303" s="51"/>
      <c r="S303" s="51"/>
      <c r="T303" s="51"/>
    </row>
    <row r="304">
      <c r="A304" s="51"/>
      <c r="B304" s="51"/>
      <c r="C304" s="94"/>
      <c r="D304" s="51"/>
      <c r="E304" s="51"/>
      <c r="F304" s="51"/>
      <c r="G304" s="51" t="str">
        <f>IFERROR(__xludf.DUMMYFUNCTION("""COMPUTED_VALUE"""),"#VALUE!")</f>
        <v>#VALUE!</v>
      </c>
      <c r="H304" s="51" t="str">
        <f>IFERROR(__xludf.DUMMYFUNCTION("""COMPUTED_VALUE"""),"")</f>
        <v/>
      </c>
      <c r="I304" s="51" t="str">
        <f>IFERROR(__xludf.DUMMYFUNCTION("""COMPUTED_VALUE"""),"#VALUE!")</f>
        <v>#VALUE!</v>
      </c>
      <c r="J304" s="51" t="str">
        <f>IFERROR(__xludf.DUMMYFUNCTION("""COMPUTED_VALUE"""),"")</f>
        <v/>
      </c>
      <c r="K304" s="51"/>
      <c r="L304" s="51" t="s">
        <v>257</v>
      </c>
      <c r="M304" s="51"/>
      <c r="N304" s="51"/>
      <c r="O304" s="51"/>
      <c r="P304" s="51"/>
      <c r="Q304" s="51"/>
      <c r="R304" s="51"/>
      <c r="S304" s="51"/>
      <c r="T304" s="51"/>
    </row>
    <row r="305">
      <c r="A305" s="51"/>
      <c r="B305" s="51"/>
      <c r="C305" s="94"/>
      <c r="D305" s="51"/>
      <c r="E305" s="51"/>
      <c r="F305" s="51"/>
      <c r="G305" s="51" t="str">
        <f>IFERROR(__xludf.DUMMYFUNCTION("""COMPUTED_VALUE"""),"#VALUE!")</f>
        <v>#VALUE!</v>
      </c>
      <c r="H305" s="51" t="str">
        <f>IFERROR(__xludf.DUMMYFUNCTION("""COMPUTED_VALUE"""),"")</f>
        <v/>
      </c>
      <c r="I305" s="51" t="str">
        <f>IFERROR(__xludf.DUMMYFUNCTION("""COMPUTED_VALUE"""),"#VALUE!")</f>
        <v>#VALUE!</v>
      </c>
      <c r="J305" s="51" t="str">
        <f>IFERROR(__xludf.DUMMYFUNCTION("""COMPUTED_VALUE"""),"")</f>
        <v/>
      </c>
      <c r="K305" s="51"/>
      <c r="L305" s="51" t="s">
        <v>257</v>
      </c>
      <c r="M305" s="51"/>
      <c r="N305" s="51"/>
      <c r="O305" s="51"/>
      <c r="P305" s="51"/>
      <c r="Q305" s="51"/>
      <c r="R305" s="51"/>
      <c r="S305" s="51"/>
      <c r="T305" s="51"/>
    </row>
    <row r="306">
      <c r="A306" s="51"/>
      <c r="B306" s="51"/>
      <c r="C306" s="94"/>
      <c r="D306" s="51"/>
      <c r="E306" s="51"/>
      <c r="F306" s="51"/>
      <c r="G306" s="51" t="str">
        <f>IFERROR(__xludf.DUMMYFUNCTION("""COMPUTED_VALUE"""),"#VALUE!")</f>
        <v>#VALUE!</v>
      </c>
      <c r="H306" s="51" t="str">
        <f>IFERROR(__xludf.DUMMYFUNCTION("""COMPUTED_VALUE"""),"")</f>
        <v/>
      </c>
      <c r="I306" s="51" t="str">
        <f>IFERROR(__xludf.DUMMYFUNCTION("""COMPUTED_VALUE"""),"#VALUE!")</f>
        <v>#VALUE!</v>
      </c>
      <c r="J306" s="51" t="str">
        <f>IFERROR(__xludf.DUMMYFUNCTION("""COMPUTED_VALUE"""),"")</f>
        <v/>
      </c>
      <c r="K306" s="51"/>
      <c r="L306" s="51" t="s">
        <v>257</v>
      </c>
      <c r="M306" s="51"/>
      <c r="N306" s="51"/>
      <c r="O306" s="51"/>
      <c r="P306" s="51"/>
      <c r="Q306" s="51"/>
      <c r="R306" s="51"/>
      <c r="S306" s="51"/>
      <c r="T306" s="51"/>
    </row>
    <row r="307">
      <c r="A307" s="51"/>
      <c r="B307" s="51"/>
      <c r="C307" s="94"/>
      <c r="D307" s="51"/>
      <c r="E307" s="51"/>
      <c r="F307" s="51"/>
      <c r="G307" s="51" t="str">
        <f>IFERROR(__xludf.DUMMYFUNCTION("""COMPUTED_VALUE"""),"#VALUE!")</f>
        <v>#VALUE!</v>
      </c>
      <c r="H307" s="51" t="str">
        <f>IFERROR(__xludf.DUMMYFUNCTION("""COMPUTED_VALUE"""),"")</f>
        <v/>
      </c>
      <c r="I307" s="51" t="str">
        <f>IFERROR(__xludf.DUMMYFUNCTION("""COMPUTED_VALUE"""),"#VALUE!")</f>
        <v>#VALUE!</v>
      </c>
      <c r="J307" s="51" t="str">
        <f>IFERROR(__xludf.DUMMYFUNCTION("""COMPUTED_VALUE"""),"")</f>
        <v/>
      </c>
      <c r="K307" s="51"/>
      <c r="L307" s="51" t="s">
        <v>257</v>
      </c>
      <c r="M307" s="51"/>
      <c r="N307" s="51"/>
      <c r="O307" s="51"/>
      <c r="P307" s="51"/>
      <c r="Q307" s="51"/>
      <c r="R307" s="51"/>
      <c r="S307" s="51"/>
      <c r="T307" s="51"/>
    </row>
    <row r="308">
      <c r="A308" s="51"/>
      <c r="B308" s="51"/>
      <c r="C308" s="94"/>
      <c r="D308" s="51"/>
      <c r="E308" s="51"/>
      <c r="F308" s="51"/>
      <c r="G308" s="51" t="str">
        <f>IFERROR(__xludf.DUMMYFUNCTION("""COMPUTED_VALUE"""),"#VALUE!")</f>
        <v>#VALUE!</v>
      </c>
      <c r="H308" s="51" t="str">
        <f>IFERROR(__xludf.DUMMYFUNCTION("""COMPUTED_VALUE"""),"")</f>
        <v/>
      </c>
      <c r="I308" s="51" t="str">
        <f>IFERROR(__xludf.DUMMYFUNCTION("""COMPUTED_VALUE"""),"#VALUE!")</f>
        <v>#VALUE!</v>
      </c>
      <c r="J308" s="51" t="str">
        <f>IFERROR(__xludf.DUMMYFUNCTION("""COMPUTED_VALUE"""),"")</f>
        <v/>
      </c>
      <c r="K308" s="51"/>
      <c r="L308" s="51" t="s">
        <v>257</v>
      </c>
      <c r="M308" s="51"/>
      <c r="N308" s="51"/>
      <c r="O308" s="51"/>
      <c r="P308" s="51"/>
      <c r="Q308" s="51"/>
      <c r="R308" s="51"/>
      <c r="S308" s="51"/>
      <c r="T308" s="51"/>
    </row>
    <row r="309">
      <c r="A309" s="51"/>
      <c r="B309" s="51"/>
      <c r="C309" s="94"/>
      <c r="D309" s="51"/>
      <c r="E309" s="51"/>
      <c r="F309" s="51"/>
      <c r="G309" s="51" t="str">
        <f>IFERROR(__xludf.DUMMYFUNCTION("""COMPUTED_VALUE"""),"#VALUE!")</f>
        <v>#VALUE!</v>
      </c>
      <c r="H309" s="51" t="str">
        <f>IFERROR(__xludf.DUMMYFUNCTION("""COMPUTED_VALUE"""),"")</f>
        <v/>
      </c>
      <c r="I309" s="51" t="str">
        <f>IFERROR(__xludf.DUMMYFUNCTION("""COMPUTED_VALUE"""),"#VALUE!")</f>
        <v>#VALUE!</v>
      </c>
      <c r="J309" s="51" t="str">
        <f>IFERROR(__xludf.DUMMYFUNCTION("""COMPUTED_VALUE"""),"")</f>
        <v/>
      </c>
      <c r="K309" s="51"/>
      <c r="L309" s="51" t="s">
        <v>257</v>
      </c>
      <c r="M309" s="51"/>
      <c r="N309" s="51"/>
      <c r="O309" s="51"/>
      <c r="P309" s="51"/>
      <c r="Q309" s="51"/>
      <c r="R309" s="51"/>
      <c r="S309" s="51"/>
      <c r="T309" s="51"/>
    </row>
    <row r="310">
      <c r="A310" s="51"/>
      <c r="B310" s="51"/>
      <c r="C310" s="94"/>
      <c r="D310" s="51"/>
      <c r="E310" s="51"/>
      <c r="F310" s="51"/>
      <c r="G310" s="51" t="str">
        <f>IFERROR(__xludf.DUMMYFUNCTION("""COMPUTED_VALUE"""),"#VALUE!")</f>
        <v>#VALUE!</v>
      </c>
      <c r="H310" s="51" t="str">
        <f>IFERROR(__xludf.DUMMYFUNCTION("""COMPUTED_VALUE"""),"")</f>
        <v/>
      </c>
      <c r="I310" s="51" t="str">
        <f>IFERROR(__xludf.DUMMYFUNCTION("""COMPUTED_VALUE"""),"#VALUE!")</f>
        <v>#VALUE!</v>
      </c>
      <c r="J310" s="51" t="str">
        <f>IFERROR(__xludf.DUMMYFUNCTION("""COMPUTED_VALUE"""),"")</f>
        <v/>
      </c>
      <c r="K310" s="51"/>
      <c r="L310" s="51" t="s">
        <v>257</v>
      </c>
      <c r="M310" s="51"/>
      <c r="N310" s="51"/>
      <c r="O310" s="51"/>
      <c r="P310" s="51"/>
      <c r="Q310" s="51"/>
      <c r="R310" s="51"/>
      <c r="S310" s="51"/>
      <c r="T310" s="51"/>
    </row>
    <row r="311">
      <c r="A311" s="51"/>
      <c r="B311" s="51"/>
      <c r="C311" s="94"/>
      <c r="D311" s="51"/>
      <c r="E311" s="51"/>
      <c r="F311" s="51"/>
      <c r="G311" s="51" t="str">
        <f>IFERROR(__xludf.DUMMYFUNCTION("""COMPUTED_VALUE"""),"#VALUE!")</f>
        <v>#VALUE!</v>
      </c>
      <c r="H311" s="51" t="str">
        <f>IFERROR(__xludf.DUMMYFUNCTION("""COMPUTED_VALUE"""),"")</f>
        <v/>
      </c>
      <c r="I311" s="51" t="str">
        <f>IFERROR(__xludf.DUMMYFUNCTION("""COMPUTED_VALUE"""),"#VALUE!")</f>
        <v>#VALUE!</v>
      </c>
      <c r="J311" s="51" t="str">
        <f>IFERROR(__xludf.DUMMYFUNCTION("""COMPUTED_VALUE"""),"")</f>
        <v/>
      </c>
      <c r="K311" s="51"/>
      <c r="L311" s="51" t="s">
        <v>257</v>
      </c>
      <c r="M311" s="51"/>
      <c r="N311" s="51"/>
      <c r="O311" s="51"/>
      <c r="P311" s="51"/>
      <c r="Q311" s="51"/>
      <c r="R311" s="51"/>
      <c r="S311" s="51"/>
      <c r="T311" s="51"/>
    </row>
    <row r="312">
      <c r="A312" s="51"/>
      <c r="B312" s="51"/>
      <c r="C312" s="94"/>
      <c r="D312" s="51"/>
      <c r="E312" s="51"/>
      <c r="F312" s="51"/>
      <c r="G312" s="51" t="str">
        <f>IFERROR(__xludf.DUMMYFUNCTION("""COMPUTED_VALUE"""),"#VALUE!")</f>
        <v>#VALUE!</v>
      </c>
      <c r="H312" s="51" t="str">
        <f>IFERROR(__xludf.DUMMYFUNCTION("""COMPUTED_VALUE"""),"")</f>
        <v/>
      </c>
      <c r="I312" s="51" t="str">
        <f>IFERROR(__xludf.DUMMYFUNCTION("""COMPUTED_VALUE"""),"#VALUE!")</f>
        <v>#VALUE!</v>
      </c>
      <c r="J312" s="51" t="str">
        <f>IFERROR(__xludf.DUMMYFUNCTION("""COMPUTED_VALUE"""),"")</f>
        <v/>
      </c>
      <c r="K312" s="51"/>
      <c r="L312" s="51" t="s">
        <v>257</v>
      </c>
      <c r="M312" s="51"/>
      <c r="N312" s="51"/>
      <c r="O312" s="51"/>
      <c r="P312" s="51"/>
      <c r="Q312" s="51"/>
      <c r="R312" s="51"/>
      <c r="S312" s="51"/>
      <c r="T312" s="51"/>
    </row>
    <row r="313">
      <c r="A313" s="51"/>
      <c r="B313" s="51"/>
      <c r="C313" s="94"/>
      <c r="D313" s="51"/>
      <c r="E313" s="51"/>
      <c r="F313" s="51"/>
      <c r="G313" s="51" t="str">
        <f>IFERROR(__xludf.DUMMYFUNCTION("""COMPUTED_VALUE"""),"#VALUE!")</f>
        <v>#VALUE!</v>
      </c>
      <c r="H313" s="51" t="str">
        <f>IFERROR(__xludf.DUMMYFUNCTION("""COMPUTED_VALUE"""),"")</f>
        <v/>
      </c>
      <c r="I313" s="51" t="str">
        <f>IFERROR(__xludf.DUMMYFUNCTION("""COMPUTED_VALUE"""),"#VALUE!")</f>
        <v>#VALUE!</v>
      </c>
      <c r="J313" s="51" t="str">
        <f>IFERROR(__xludf.DUMMYFUNCTION("""COMPUTED_VALUE"""),"")</f>
        <v/>
      </c>
      <c r="K313" s="51"/>
      <c r="L313" s="51" t="s">
        <v>257</v>
      </c>
      <c r="M313" s="51"/>
      <c r="N313" s="51"/>
      <c r="O313" s="51"/>
      <c r="P313" s="51"/>
      <c r="Q313" s="51"/>
      <c r="R313" s="51"/>
      <c r="S313" s="51"/>
      <c r="T313" s="51"/>
    </row>
    <row r="314">
      <c r="A314" s="51"/>
      <c r="B314" s="51"/>
      <c r="C314" s="94"/>
      <c r="D314" s="51"/>
      <c r="E314" s="51"/>
      <c r="F314" s="51"/>
      <c r="G314" s="51" t="str">
        <f>IFERROR(__xludf.DUMMYFUNCTION("""COMPUTED_VALUE"""),"#VALUE!")</f>
        <v>#VALUE!</v>
      </c>
      <c r="H314" s="51" t="str">
        <f>IFERROR(__xludf.DUMMYFUNCTION("""COMPUTED_VALUE"""),"")</f>
        <v/>
      </c>
      <c r="I314" s="51" t="str">
        <f>IFERROR(__xludf.DUMMYFUNCTION("""COMPUTED_VALUE"""),"#VALUE!")</f>
        <v>#VALUE!</v>
      </c>
      <c r="J314" s="51" t="str">
        <f>IFERROR(__xludf.DUMMYFUNCTION("""COMPUTED_VALUE"""),"")</f>
        <v/>
      </c>
      <c r="K314" s="51"/>
      <c r="L314" s="51" t="s">
        <v>257</v>
      </c>
      <c r="M314" s="51"/>
      <c r="N314" s="51"/>
      <c r="O314" s="51"/>
      <c r="P314" s="51"/>
      <c r="Q314" s="51"/>
      <c r="R314" s="51"/>
      <c r="S314" s="51"/>
      <c r="T314" s="51"/>
    </row>
    <row r="315">
      <c r="A315" s="51"/>
      <c r="B315" s="51"/>
      <c r="C315" s="94"/>
      <c r="D315" s="51"/>
      <c r="E315" s="51"/>
      <c r="F315" s="51"/>
      <c r="G315" s="51" t="str">
        <f>IFERROR(__xludf.DUMMYFUNCTION("""COMPUTED_VALUE"""),"#VALUE!")</f>
        <v>#VALUE!</v>
      </c>
      <c r="H315" s="51" t="str">
        <f>IFERROR(__xludf.DUMMYFUNCTION("""COMPUTED_VALUE"""),"")</f>
        <v/>
      </c>
      <c r="I315" s="51" t="str">
        <f>IFERROR(__xludf.DUMMYFUNCTION("""COMPUTED_VALUE"""),"#VALUE!")</f>
        <v>#VALUE!</v>
      </c>
      <c r="J315" s="51" t="str">
        <f>IFERROR(__xludf.DUMMYFUNCTION("""COMPUTED_VALUE"""),"")</f>
        <v/>
      </c>
      <c r="K315" s="51"/>
      <c r="L315" s="51" t="s">
        <v>257</v>
      </c>
      <c r="M315" s="51"/>
      <c r="N315" s="51"/>
      <c r="O315" s="51"/>
      <c r="P315" s="51"/>
      <c r="Q315" s="51"/>
      <c r="R315" s="51"/>
      <c r="S315" s="51"/>
      <c r="T315" s="51"/>
    </row>
    <row r="316">
      <c r="A316" s="51"/>
      <c r="B316" s="51"/>
      <c r="C316" s="94"/>
      <c r="D316" s="51"/>
      <c r="E316" s="51"/>
      <c r="F316" s="51"/>
      <c r="G316" s="51" t="str">
        <f>IFERROR(__xludf.DUMMYFUNCTION("""COMPUTED_VALUE"""),"#VALUE!")</f>
        <v>#VALUE!</v>
      </c>
      <c r="H316" s="51" t="str">
        <f>IFERROR(__xludf.DUMMYFUNCTION("""COMPUTED_VALUE"""),"")</f>
        <v/>
      </c>
      <c r="I316" s="51" t="str">
        <f>IFERROR(__xludf.DUMMYFUNCTION("""COMPUTED_VALUE"""),"#VALUE!")</f>
        <v>#VALUE!</v>
      </c>
      <c r="J316" s="51" t="str">
        <f>IFERROR(__xludf.DUMMYFUNCTION("""COMPUTED_VALUE"""),"")</f>
        <v/>
      </c>
      <c r="K316" s="51"/>
      <c r="L316" s="51" t="s">
        <v>257</v>
      </c>
      <c r="M316" s="51"/>
      <c r="N316" s="51"/>
      <c r="O316" s="51"/>
      <c r="P316" s="51"/>
      <c r="Q316" s="51"/>
      <c r="R316" s="51"/>
      <c r="S316" s="51"/>
      <c r="T316" s="51"/>
    </row>
    <row r="317">
      <c r="A317" s="51"/>
      <c r="B317" s="51"/>
      <c r="C317" s="94"/>
      <c r="D317" s="51"/>
      <c r="E317" s="51"/>
      <c r="F317" s="51"/>
      <c r="G317" s="51" t="str">
        <f>IFERROR(__xludf.DUMMYFUNCTION("""COMPUTED_VALUE"""),"#VALUE!")</f>
        <v>#VALUE!</v>
      </c>
      <c r="H317" s="51" t="str">
        <f>IFERROR(__xludf.DUMMYFUNCTION("""COMPUTED_VALUE"""),"")</f>
        <v/>
      </c>
      <c r="I317" s="51" t="str">
        <f>IFERROR(__xludf.DUMMYFUNCTION("""COMPUTED_VALUE"""),"#VALUE!")</f>
        <v>#VALUE!</v>
      </c>
      <c r="J317" s="51" t="str">
        <f>IFERROR(__xludf.DUMMYFUNCTION("""COMPUTED_VALUE"""),"")</f>
        <v/>
      </c>
      <c r="K317" s="51"/>
      <c r="L317" s="51" t="s">
        <v>257</v>
      </c>
      <c r="M317" s="51"/>
      <c r="N317" s="51"/>
      <c r="O317" s="51"/>
      <c r="P317" s="51"/>
      <c r="Q317" s="51"/>
      <c r="R317" s="51"/>
      <c r="S317" s="51"/>
      <c r="T317" s="51"/>
    </row>
    <row r="318">
      <c r="A318" s="51"/>
      <c r="B318" s="51"/>
      <c r="C318" s="94"/>
      <c r="D318" s="51"/>
      <c r="E318" s="51"/>
      <c r="F318" s="51"/>
      <c r="G318" s="51" t="str">
        <f>IFERROR(__xludf.DUMMYFUNCTION("""COMPUTED_VALUE"""),"#VALUE!")</f>
        <v>#VALUE!</v>
      </c>
      <c r="H318" s="51" t="str">
        <f>IFERROR(__xludf.DUMMYFUNCTION("""COMPUTED_VALUE"""),"")</f>
        <v/>
      </c>
      <c r="I318" s="51" t="str">
        <f>IFERROR(__xludf.DUMMYFUNCTION("""COMPUTED_VALUE"""),"#VALUE!")</f>
        <v>#VALUE!</v>
      </c>
      <c r="J318" s="51" t="str">
        <f>IFERROR(__xludf.DUMMYFUNCTION("""COMPUTED_VALUE"""),"")</f>
        <v/>
      </c>
      <c r="K318" s="51"/>
      <c r="L318" s="51" t="s">
        <v>257</v>
      </c>
      <c r="M318" s="51"/>
      <c r="N318" s="51"/>
      <c r="O318" s="51"/>
      <c r="P318" s="51"/>
      <c r="Q318" s="51"/>
      <c r="R318" s="51"/>
      <c r="S318" s="51"/>
      <c r="T318" s="51"/>
    </row>
    <row r="319">
      <c r="A319" s="51"/>
      <c r="B319" s="51"/>
      <c r="C319" s="94"/>
      <c r="D319" s="51"/>
      <c r="E319" s="51"/>
      <c r="F319" s="51"/>
      <c r="G319" s="51" t="str">
        <f>IFERROR(__xludf.DUMMYFUNCTION("""COMPUTED_VALUE"""),"#VALUE!")</f>
        <v>#VALUE!</v>
      </c>
      <c r="H319" s="51" t="str">
        <f>IFERROR(__xludf.DUMMYFUNCTION("""COMPUTED_VALUE"""),"")</f>
        <v/>
      </c>
      <c r="I319" s="51" t="str">
        <f>IFERROR(__xludf.DUMMYFUNCTION("""COMPUTED_VALUE"""),"#VALUE!")</f>
        <v>#VALUE!</v>
      </c>
      <c r="J319" s="51" t="str">
        <f>IFERROR(__xludf.DUMMYFUNCTION("""COMPUTED_VALUE"""),"")</f>
        <v/>
      </c>
      <c r="K319" s="51"/>
      <c r="L319" s="51" t="s">
        <v>257</v>
      </c>
      <c r="M319" s="51"/>
      <c r="N319" s="51"/>
      <c r="O319" s="51"/>
      <c r="P319" s="51"/>
      <c r="Q319" s="51"/>
      <c r="R319" s="51"/>
      <c r="S319" s="51"/>
      <c r="T319" s="51"/>
    </row>
    <row r="320">
      <c r="A320" s="51"/>
      <c r="B320" s="51"/>
      <c r="C320" s="94"/>
      <c r="D320" s="51"/>
      <c r="E320" s="51"/>
      <c r="F320" s="51"/>
      <c r="G320" s="51" t="str">
        <f>IFERROR(__xludf.DUMMYFUNCTION("""COMPUTED_VALUE"""),"#VALUE!")</f>
        <v>#VALUE!</v>
      </c>
      <c r="H320" s="51" t="str">
        <f>IFERROR(__xludf.DUMMYFUNCTION("""COMPUTED_VALUE"""),"")</f>
        <v/>
      </c>
      <c r="I320" s="51" t="str">
        <f>IFERROR(__xludf.DUMMYFUNCTION("""COMPUTED_VALUE"""),"#VALUE!")</f>
        <v>#VALUE!</v>
      </c>
      <c r="J320" s="51" t="str">
        <f>IFERROR(__xludf.DUMMYFUNCTION("""COMPUTED_VALUE"""),"")</f>
        <v/>
      </c>
      <c r="K320" s="51"/>
      <c r="L320" s="51" t="s">
        <v>257</v>
      </c>
      <c r="M320" s="51"/>
      <c r="N320" s="51"/>
      <c r="O320" s="51"/>
      <c r="P320" s="51"/>
      <c r="Q320" s="51"/>
      <c r="R320" s="51"/>
      <c r="S320" s="51"/>
      <c r="T320" s="51"/>
    </row>
    <row r="321">
      <c r="A321" s="51"/>
      <c r="B321" s="51"/>
      <c r="C321" s="94"/>
      <c r="D321" s="51"/>
      <c r="E321" s="51"/>
      <c r="F321" s="51"/>
      <c r="G321" s="51" t="str">
        <f>IFERROR(__xludf.DUMMYFUNCTION("""COMPUTED_VALUE"""),"#VALUE!")</f>
        <v>#VALUE!</v>
      </c>
      <c r="H321" s="51" t="str">
        <f>IFERROR(__xludf.DUMMYFUNCTION("""COMPUTED_VALUE"""),"")</f>
        <v/>
      </c>
      <c r="I321" s="51" t="str">
        <f>IFERROR(__xludf.DUMMYFUNCTION("""COMPUTED_VALUE"""),"#VALUE!")</f>
        <v>#VALUE!</v>
      </c>
      <c r="J321" s="51" t="str">
        <f>IFERROR(__xludf.DUMMYFUNCTION("""COMPUTED_VALUE"""),"")</f>
        <v/>
      </c>
      <c r="K321" s="51"/>
      <c r="L321" s="51" t="s">
        <v>257</v>
      </c>
      <c r="M321" s="51"/>
      <c r="N321" s="51"/>
      <c r="O321" s="51"/>
      <c r="P321" s="51"/>
      <c r="Q321" s="51"/>
      <c r="R321" s="51"/>
      <c r="S321" s="51"/>
      <c r="T321" s="51"/>
    </row>
    <row r="322">
      <c r="A322" s="51"/>
      <c r="B322" s="51"/>
      <c r="C322" s="94"/>
      <c r="D322" s="51"/>
      <c r="E322" s="51"/>
      <c r="F322" s="51"/>
      <c r="G322" s="51" t="str">
        <f>IFERROR(__xludf.DUMMYFUNCTION("""COMPUTED_VALUE"""),"#VALUE!")</f>
        <v>#VALUE!</v>
      </c>
      <c r="H322" s="51" t="str">
        <f>IFERROR(__xludf.DUMMYFUNCTION("""COMPUTED_VALUE"""),"")</f>
        <v/>
      </c>
      <c r="I322" s="51" t="str">
        <f>IFERROR(__xludf.DUMMYFUNCTION("""COMPUTED_VALUE"""),"#VALUE!")</f>
        <v>#VALUE!</v>
      </c>
      <c r="J322" s="51" t="str">
        <f>IFERROR(__xludf.DUMMYFUNCTION("""COMPUTED_VALUE"""),"")</f>
        <v/>
      </c>
      <c r="K322" s="51"/>
      <c r="L322" s="51" t="s">
        <v>257</v>
      </c>
      <c r="M322" s="51"/>
      <c r="N322" s="51"/>
      <c r="O322" s="51"/>
      <c r="P322" s="51"/>
      <c r="Q322" s="51"/>
      <c r="R322" s="51"/>
      <c r="S322" s="51"/>
      <c r="T322" s="51"/>
    </row>
    <row r="323">
      <c r="A323" s="51"/>
      <c r="B323" s="51"/>
      <c r="C323" s="94"/>
      <c r="D323" s="51"/>
      <c r="E323" s="51"/>
      <c r="F323" s="51"/>
      <c r="G323" s="51" t="str">
        <f>IFERROR(__xludf.DUMMYFUNCTION("""COMPUTED_VALUE"""),"#VALUE!")</f>
        <v>#VALUE!</v>
      </c>
      <c r="H323" s="51" t="str">
        <f>IFERROR(__xludf.DUMMYFUNCTION("""COMPUTED_VALUE"""),"")</f>
        <v/>
      </c>
      <c r="I323" s="51" t="str">
        <f>IFERROR(__xludf.DUMMYFUNCTION("""COMPUTED_VALUE"""),"#VALUE!")</f>
        <v>#VALUE!</v>
      </c>
      <c r="J323" s="51" t="str">
        <f>IFERROR(__xludf.DUMMYFUNCTION("""COMPUTED_VALUE"""),"")</f>
        <v/>
      </c>
      <c r="K323" s="51"/>
      <c r="L323" s="51" t="s">
        <v>257</v>
      </c>
      <c r="M323" s="51"/>
      <c r="N323" s="51"/>
      <c r="O323" s="51"/>
      <c r="P323" s="51"/>
      <c r="Q323" s="51"/>
      <c r="R323" s="51"/>
      <c r="S323" s="51"/>
      <c r="T323" s="51"/>
    </row>
    <row r="324">
      <c r="A324" s="51"/>
      <c r="B324" s="51"/>
      <c r="C324" s="94"/>
      <c r="D324" s="51"/>
      <c r="E324" s="51"/>
      <c r="F324" s="51"/>
      <c r="G324" s="51" t="str">
        <f>IFERROR(__xludf.DUMMYFUNCTION("""COMPUTED_VALUE"""),"#VALUE!")</f>
        <v>#VALUE!</v>
      </c>
      <c r="H324" s="51" t="str">
        <f>IFERROR(__xludf.DUMMYFUNCTION("""COMPUTED_VALUE"""),"")</f>
        <v/>
      </c>
      <c r="I324" s="51" t="str">
        <f>IFERROR(__xludf.DUMMYFUNCTION("""COMPUTED_VALUE"""),"#VALUE!")</f>
        <v>#VALUE!</v>
      </c>
      <c r="J324" s="51" t="str">
        <f>IFERROR(__xludf.DUMMYFUNCTION("""COMPUTED_VALUE"""),"")</f>
        <v/>
      </c>
      <c r="K324" s="51"/>
      <c r="L324" s="51" t="s">
        <v>257</v>
      </c>
      <c r="M324" s="51"/>
      <c r="N324" s="51"/>
      <c r="O324" s="51"/>
      <c r="P324" s="51"/>
      <c r="Q324" s="51"/>
      <c r="R324" s="51"/>
      <c r="S324" s="51"/>
      <c r="T324" s="51"/>
    </row>
    <row r="325">
      <c r="A325" s="51"/>
      <c r="B325" s="51"/>
      <c r="C325" s="94"/>
      <c r="D325" s="51"/>
      <c r="E325" s="51"/>
      <c r="F325" s="51"/>
      <c r="G325" s="51" t="str">
        <f>IFERROR(__xludf.DUMMYFUNCTION("""COMPUTED_VALUE"""),"#VALUE!")</f>
        <v>#VALUE!</v>
      </c>
      <c r="H325" s="51" t="str">
        <f>IFERROR(__xludf.DUMMYFUNCTION("""COMPUTED_VALUE"""),"")</f>
        <v/>
      </c>
      <c r="I325" s="51" t="str">
        <f>IFERROR(__xludf.DUMMYFUNCTION("""COMPUTED_VALUE"""),"#VALUE!")</f>
        <v>#VALUE!</v>
      </c>
      <c r="J325" s="51" t="str">
        <f>IFERROR(__xludf.DUMMYFUNCTION("""COMPUTED_VALUE"""),"")</f>
        <v/>
      </c>
      <c r="K325" s="51"/>
      <c r="L325" s="51" t="s">
        <v>257</v>
      </c>
      <c r="M325" s="51"/>
      <c r="N325" s="51"/>
      <c r="O325" s="51"/>
      <c r="P325" s="51"/>
      <c r="Q325" s="51"/>
      <c r="R325" s="51"/>
      <c r="S325" s="51"/>
      <c r="T325" s="51"/>
    </row>
    <row r="326">
      <c r="A326" s="51"/>
      <c r="B326" s="51"/>
      <c r="C326" s="94"/>
      <c r="D326" s="51"/>
      <c r="E326" s="51"/>
      <c r="F326" s="51"/>
      <c r="G326" s="51" t="str">
        <f>IFERROR(__xludf.DUMMYFUNCTION("""COMPUTED_VALUE"""),"#VALUE!")</f>
        <v>#VALUE!</v>
      </c>
      <c r="H326" s="51" t="str">
        <f>IFERROR(__xludf.DUMMYFUNCTION("""COMPUTED_VALUE"""),"")</f>
        <v/>
      </c>
      <c r="I326" s="51" t="str">
        <f>IFERROR(__xludf.DUMMYFUNCTION("""COMPUTED_VALUE"""),"#VALUE!")</f>
        <v>#VALUE!</v>
      </c>
      <c r="J326" s="51" t="str">
        <f>IFERROR(__xludf.DUMMYFUNCTION("""COMPUTED_VALUE"""),"")</f>
        <v/>
      </c>
      <c r="K326" s="51"/>
      <c r="L326" s="51" t="s">
        <v>257</v>
      </c>
      <c r="M326" s="51"/>
      <c r="N326" s="51"/>
      <c r="O326" s="51"/>
      <c r="P326" s="51"/>
      <c r="Q326" s="51"/>
      <c r="R326" s="51"/>
      <c r="S326" s="51"/>
      <c r="T326" s="51"/>
    </row>
    <row r="327">
      <c r="A327" s="51"/>
      <c r="B327" s="51"/>
      <c r="C327" s="94"/>
      <c r="D327" s="51"/>
      <c r="E327" s="51"/>
      <c r="F327" s="51"/>
      <c r="G327" s="51" t="str">
        <f>IFERROR(__xludf.DUMMYFUNCTION("""COMPUTED_VALUE"""),"#VALUE!")</f>
        <v>#VALUE!</v>
      </c>
      <c r="H327" s="51" t="str">
        <f>IFERROR(__xludf.DUMMYFUNCTION("""COMPUTED_VALUE"""),"")</f>
        <v/>
      </c>
      <c r="I327" s="51" t="str">
        <f>IFERROR(__xludf.DUMMYFUNCTION("""COMPUTED_VALUE"""),"#VALUE!")</f>
        <v>#VALUE!</v>
      </c>
      <c r="J327" s="51" t="str">
        <f>IFERROR(__xludf.DUMMYFUNCTION("""COMPUTED_VALUE"""),"")</f>
        <v/>
      </c>
      <c r="K327" s="51"/>
      <c r="L327" s="51" t="s">
        <v>257</v>
      </c>
      <c r="M327" s="51"/>
      <c r="N327" s="51"/>
      <c r="O327" s="51"/>
      <c r="P327" s="51"/>
      <c r="Q327" s="51"/>
      <c r="R327" s="51"/>
      <c r="S327" s="51"/>
      <c r="T327" s="51"/>
    </row>
    <row r="328">
      <c r="A328" s="51"/>
      <c r="B328" s="51"/>
      <c r="C328" s="94"/>
      <c r="D328" s="51"/>
      <c r="E328" s="51"/>
      <c r="F328" s="51"/>
      <c r="G328" s="51" t="str">
        <f>IFERROR(__xludf.DUMMYFUNCTION("""COMPUTED_VALUE"""),"#VALUE!")</f>
        <v>#VALUE!</v>
      </c>
      <c r="H328" s="51" t="str">
        <f>IFERROR(__xludf.DUMMYFUNCTION("""COMPUTED_VALUE"""),"")</f>
        <v/>
      </c>
      <c r="I328" s="51" t="str">
        <f>IFERROR(__xludf.DUMMYFUNCTION("""COMPUTED_VALUE"""),"#VALUE!")</f>
        <v>#VALUE!</v>
      </c>
      <c r="J328" s="51" t="str">
        <f>IFERROR(__xludf.DUMMYFUNCTION("""COMPUTED_VALUE"""),"")</f>
        <v/>
      </c>
      <c r="K328" s="51"/>
      <c r="L328" s="51" t="s">
        <v>257</v>
      </c>
      <c r="M328" s="51"/>
      <c r="N328" s="51"/>
      <c r="O328" s="51"/>
      <c r="P328" s="51"/>
      <c r="Q328" s="51"/>
      <c r="R328" s="51"/>
      <c r="S328" s="51"/>
      <c r="T328" s="51"/>
    </row>
    <row r="329">
      <c r="A329" s="51"/>
      <c r="B329" s="51"/>
      <c r="C329" s="94"/>
      <c r="D329" s="51"/>
      <c r="E329" s="51"/>
      <c r="F329" s="51"/>
      <c r="G329" s="51" t="str">
        <f>IFERROR(__xludf.DUMMYFUNCTION("""COMPUTED_VALUE"""),"#VALUE!")</f>
        <v>#VALUE!</v>
      </c>
      <c r="H329" s="51" t="str">
        <f>IFERROR(__xludf.DUMMYFUNCTION("""COMPUTED_VALUE"""),"")</f>
        <v/>
      </c>
      <c r="I329" s="51" t="str">
        <f>IFERROR(__xludf.DUMMYFUNCTION("""COMPUTED_VALUE"""),"#VALUE!")</f>
        <v>#VALUE!</v>
      </c>
      <c r="J329" s="51" t="str">
        <f>IFERROR(__xludf.DUMMYFUNCTION("""COMPUTED_VALUE"""),"")</f>
        <v/>
      </c>
      <c r="K329" s="51"/>
      <c r="L329" s="51" t="s">
        <v>257</v>
      </c>
      <c r="M329" s="51"/>
      <c r="N329" s="51"/>
      <c r="O329" s="51"/>
      <c r="P329" s="51"/>
      <c r="Q329" s="51"/>
      <c r="R329" s="51"/>
      <c r="S329" s="51"/>
      <c r="T329" s="51"/>
    </row>
    <row r="330">
      <c r="A330" s="51"/>
      <c r="B330" s="51"/>
      <c r="C330" s="94"/>
      <c r="D330" s="51"/>
      <c r="E330" s="51"/>
      <c r="F330" s="51"/>
      <c r="G330" s="51" t="str">
        <f>IFERROR(__xludf.DUMMYFUNCTION("""COMPUTED_VALUE"""),"#VALUE!")</f>
        <v>#VALUE!</v>
      </c>
      <c r="H330" s="51" t="str">
        <f>IFERROR(__xludf.DUMMYFUNCTION("""COMPUTED_VALUE"""),"")</f>
        <v/>
      </c>
      <c r="I330" s="51" t="str">
        <f>IFERROR(__xludf.DUMMYFUNCTION("""COMPUTED_VALUE"""),"#VALUE!")</f>
        <v>#VALUE!</v>
      </c>
      <c r="J330" s="51" t="str">
        <f>IFERROR(__xludf.DUMMYFUNCTION("""COMPUTED_VALUE"""),"")</f>
        <v/>
      </c>
      <c r="K330" s="51"/>
      <c r="L330" s="51" t="s">
        <v>257</v>
      </c>
      <c r="M330" s="51"/>
      <c r="N330" s="51"/>
      <c r="O330" s="51"/>
      <c r="P330" s="51"/>
      <c r="Q330" s="51"/>
      <c r="R330" s="51"/>
      <c r="S330" s="51"/>
      <c r="T330" s="51"/>
    </row>
    <row r="331">
      <c r="A331" s="51"/>
      <c r="B331" s="51"/>
      <c r="C331" s="94"/>
      <c r="D331" s="51"/>
      <c r="E331" s="51"/>
      <c r="F331" s="51"/>
      <c r="G331" s="51" t="str">
        <f>IFERROR(__xludf.DUMMYFUNCTION("""COMPUTED_VALUE"""),"#VALUE!")</f>
        <v>#VALUE!</v>
      </c>
      <c r="H331" s="51" t="str">
        <f>IFERROR(__xludf.DUMMYFUNCTION("""COMPUTED_VALUE"""),"")</f>
        <v/>
      </c>
      <c r="I331" s="51" t="str">
        <f>IFERROR(__xludf.DUMMYFUNCTION("""COMPUTED_VALUE"""),"#VALUE!")</f>
        <v>#VALUE!</v>
      </c>
      <c r="J331" s="51" t="str">
        <f>IFERROR(__xludf.DUMMYFUNCTION("""COMPUTED_VALUE"""),"")</f>
        <v/>
      </c>
      <c r="K331" s="51"/>
      <c r="L331" s="51" t="s">
        <v>257</v>
      </c>
      <c r="M331" s="51"/>
      <c r="N331" s="51"/>
      <c r="O331" s="51"/>
      <c r="P331" s="51"/>
      <c r="Q331" s="51"/>
      <c r="R331" s="51"/>
      <c r="S331" s="51"/>
      <c r="T331" s="51"/>
    </row>
    <row r="332">
      <c r="A332" s="51"/>
      <c r="B332" s="51"/>
      <c r="C332" s="94"/>
      <c r="D332" s="51"/>
      <c r="E332" s="51"/>
      <c r="F332" s="51"/>
      <c r="G332" s="51" t="str">
        <f>IFERROR(__xludf.DUMMYFUNCTION("""COMPUTED_VALUE"""),"#VALUE!")</f>
        <v>#VALUE!</v>
      </c>
      <c r="H332" s="51" t="str">
        <f>IFERROR(__xludf.DUMMYFUNCTION("""COMPUTED_VALUE"""),"")</f>
        <v/>
      </c>
      <c r="I332" s="51" t="str">
        <f>IFERROR(__xludf.DUMMYFUNCTION("""COMPUTED_VALUE"""),"#VALUE!")</f>
        <v>#VALUE!</v>
      </c>
      <c r="J332" s="51" t="str">
        <f>IFERROR(__xludf.DUMMYFUNCTION("""COMPUTED_VALUE"""),"")</f>
        <v/>
      </c>
      <c r="K332" s="51"/>
      <c r="L332" s="51" t="s">
        <v>257</v>
      </c>
      <c r="M332" s="51"/>
      <c r="N332" s="51"/>
      <c r="O332" s="51"/>
      <c r="P332" s="51"/>
      <c r="Q332" s="51"/>
      <c r="R332" s="51"/>
      <c r="S332" s="51"/>
      <c r="T332" s="51"/>
    </row>
    <row r="333">
      <c r="A333" s="51"/>
      <c r="B333" s="51"/>
      <c r="C333" s="94"/>
      <c r="D333" s="51"/>
      <c r="E333" s="51"/>
      <c r="F333" s="51"/>
      <c r="G333" s="51" t="str">
        <f>IFERROR(__xludf.DUMMYFUNCTION("""COMPUTED_VALUE"""),"#VALUE!")</f>
        <v>#VALUE!</v>
      </c>
      <c r="H333" s="51" t="str">
        <f>IFERROR(__xludf.DUMMYFUNCTION("""COMPUTED_VALUE"""),"")</f>
        <v/>
      </c>
      <c r="I333" s="51" t="str">
        <f>IFERROR(__xludf.DUMMYFUNCTION("""COMPUTED_VALUE"""),"#VALUE!")</f>
        <v>#VALUE!</v>
      </c>
      <c r="J333" s="51" t="str">
        <f>IFERROR(__xludf.DUMMYFUNCTION("""COMPUTED_VALUE"""),"")</f>
        <v/>
      </c>
      <c r="K333" s="51"/>
      <c r="L333" s="51" t="s">
        <v>257</v>
      </c>
      <c r="M333" s="51"/>
      <c r="N333" s="51"/>
      <c r="O333" s="51"/>
      <c r="P333" s="51"/>
      <c r="Q333" s="51"/>
      <c r="R333" s="51"/>
      <c r="S333" s="51"/>
      <c r="T333" s="51"/>
    </row>
    <row r="334">
      <c r="A334" s="51"/>
      <c r="B334" s="51"/>
      <c r="C334" s="94"/>
      <c r="D334" s="51"/>
      <c r="E334" s="51"/>
      <c r="F334" s="51"/>
      <c r="G334" s="51" t="str">
        <f>IFERROR(__xludf.DUMMYFUNCTION("""COMPUTED_VALUE"""),"#VALUE!")</f>
        <v>#VALUE!</v>
      </c>
      <c r="H334" s="51" t="str">
        <f>IFERROR(__xludf.DUMMYFUNCTION("""COMPUTED_VALUE"""),"")</f>
        <v/>
      </c>
      <c r="I334" s="51" t="str">
        <f>IFERROR(__xludf.DUMMYFUNCTION("""COMPUTED_VALUE"""),"#VALUE!")</f>
        <v>#VALUE!</v>
      </c>
      <c r="J334" s="51" t="str">
        <f>IFERROR(__xludf.DUMMYFUNCTION("""COMPUTED_VALUE"""),"")</f>
        <v/>
      </c>
      <c r="K334" s="51"/>
      <c r="L334" s="51" t="s">
        <v>257</v>
      </c>
      <c r="M334" s="51"/>
      <c r="N334" s="51"/>
      <c r="O334" s="51"/>
      <c r="P334" s="51"/>
      <c r="Q334" s="51"/>
      <c r="R334" s="51"/>
      <c r="S334" s="51"/>
      <c r="T334" s="51"/>
    </row>
    <row r="335">
      <c r="A335" s="51"/>
      <c r="B335" s="51"/>
      <c r="C335" s="94"/>
      <c r="D335" s="51"/>
      <c r="E335" s="51"/>
      <c r="F335" s="51"/>
      <c r="G335" s="51" t="str">
        <f>IFERROR(__xludf.DUMMYFUNCTION("""COMPUTED_VALUE"""),"#VALUE!")</f>
        <v>#VALUE!</v>
      </c>
      <c r="H335" s="51" t="str">
        <f>IFERROR(__xludf.DUMMYFUNCTION("""COMPUTED_VALUE"""),"")</f>
        <v/>
      </c>
      <c r="I335" s="51" t="str">
        <f>IFERROR(__xludf.DUMMYFUNCTION("""COMPUTED_VALUE"""),"#VALUE!")</f>
        <v>#VALUE!</v>
      </c>
      <c r="J335" s="51" t="str">
        <f>IFERROR(__xludf.DUMMYFUNCTION("""COMPUTED_VALUE"""),"")</f>
        <v/>
      </c>
      <c r="K335" s="51"/>
      <c r="L335" s="51" t="s">
        <v>257</v>
      </c>
      <c r="M335" s="51"/>
      <c r="N335" s="51"/>
      <c r="O335" s="51"/>
      <c r="P335" s="51"/>
      <c r="Q335" s="51"/>
      <c r="R335" s="51"/>
      <c r="S335" s="51"/>
      <c r="T335" s="51"/>
    </row>
    <row r="336">
      <c r="A336" s="51"/>
      <c r="B336" s="51"/>
      <c r="C336" s="94"/>
      <c r="D336" s="51"/>
      <c r="E336" s="51"/>
      <c r="F336" s="51"/>
      <c r="G336" s="51" t="str">
        <f>IFERROR(__xludf.DUMMYFUNCTION("""COMPUTED_VALUE"""),"#VALUE!")</f>
        <v>#VALUE!</v>
      </c>
      <c r="H336" s="51" t="str">
        <f>IFERROR(__xludf.DUMMYFUNCTION("""COMPUTED_VALUE"""),"")</f>
        <v/>
      </c>
      <c r="I336" s="51" t="str">
        <f>IFERROR(__xludf.DUMMYFUNCTION("""COMPUTED_VALUE"""),"#VALUE!")</f>
        <v>#VALUE!</v>
      </c>
      <c r="J336" s="51" t="str">
        <f>IFERROR(__xludf.DUMMYFUNCTION("""COMPUTED_VALUE"""),"")</f>
        <v/>
      </c>
      <c r="K336" s="51"/>
      <c r="L336" s="51" t="s">
        <v>257</v>
      </c>
      <c r="M336" s="51"/>
      <c r="N336" s="51"/>
      <c r="O336" s="51"/>
      <c r="P336" s="51"/>
      <c r="Q336" s="51"/>
      <c r="R336" s="51"/>
      <c r="S336" s="51"/>
      <c r="T336" s="51"/>
    </row>
    <row r="337">
      <c r="A337" s="51"/>
      <c r="B337" s="51"/>
      <c r="C337" s="94"/>
      <c r="D337" s="51"/>
      <c r="E337" s="51"/>
      <c r="F337" s="51"/>
      <c r="G337" s="51" t="str">
        <f>IFERROR(__xludf.DUMMYFUNCTION("""COMPUTED_VALUE"""),"#VALUE!")</f>
        <v>#VALUE!</v>
      </c>
      <c r="H337" s="51" t="str">
        <f>IFERROR(__xludf.DUMMYFUNCTION("""COMPUTED_VALUE"""),"")</f>
        <v/>
      </c>
      <c r="I337" s="51" t="str">
        <f>IFERROR(__xludf.DUMMYFUNCTION("""COMPUTED_VALUE"""),"#VALUE!")</f>
        <v>#VALUE!</v>
      </c>
      <c r="J337" s="51" t="str">
        <f>IFERROR(__xludf.DUMMYFUNCTION("""COMPUTED_VALUE"""),"")</f>
        <v/>
      </c>
      <c r="K337" s="51"/>
      <c r="L337" s="51" t="s">
        <v>257</v>
      </c>
      <c r="M337" s="51"/>
      <c r="N337" s="51"/>
      <c r="O337" s="51"/>
      <c r="P337" s="51"/>
      <c r="Q337" s="51"/>
      <c r="R337" s="51"/>
      <c r="S337" s="51"/>
      <c r="T337" s="51"/>
    </row>
    <row r="338">
      <c r="A338" s="51"/>
      <c r="B338" s="51"/>
      <c r="C338" s="94"/>
      <c r="D338" s="51"/>
      <c r="E338" s="51"/>
      <c r="F338" s="51"/>
      <c r="G338" s="51" t="str">
        <f>IFERROR(__xludf.DUMMYFUNCTION("""COMPUTED_VALUE"""),"#VALUE!")</f>
        <v>#VALUE!</v>
      </c>
      <c r="H338" s="51" t="str">
        <f>IFERROR(__xludf.DUMMYFUNCTION("""COMPUTED_VALUE"""),"")</f>
        <v/>
      </c>
      <c r="I338" s="51" t="str">
        <f>IFERROR(__xludf.DUMMYFUNCTION("""COMPUTED_VALUE"""),"#VALUE!")</f>
        <v>#VALUE!</v>
      </c>
      <c r="J338" s="51" t="str">
        <f>IFERROR(__xludf.DUMMYFUNCTION("""COMPUTED_VALUE"""),"")</f>
        <v/>
      </c>
      <c r="K338" s="51"/>
      <c r="L338" s="51" t="s">
        <v>257</v>
      </c>
      <c r="M338" s="51"/>
      <c r="N338" s="51"/>
      <c r="O338" s="51"/>
      <c r="P338" s="51"/>
      <c r="Q338" s="51"/>
      <c r="R338" s="51"/>
      <c r="S338" s="51"/>
      <c r="T338" s="51"/>
    </row>
    <row r="339">
      <c r="A339" s="51"/>
      <c r="B339" s="51"/>
      <c r="C339" s="94"/>
      <c r="D339" s="51"/>
      <c r="E339" s="51"/>
      <c r="F339" s="51"/>
      <c r="G339" s="51" t="str">
        <f>IFERROR(__xludf.DUMMYFUNCTION("""COMPUTED_VALUE"""),"#VALUE!")</f>
        <v>#VALUE!</v>
      </c>
      <c r="H339" s="51" t="str">
        <f>IFERROR(__xludf.DUMMYFUNCTION("""COMPUTED_VALUE"""),"")</f>
        <v/>
      </c>
      <c r="I339" s="51" t="str">
        <f>IFERROR(__xludf.DUMMYFUNCTION("""COMPUTED_VALUE"""),"#VALUE!")</f>
        <v>#VALUE!</v>
      </c>
      <c r="J339" s="51" t="str">
        <f>IFERROR(__xludf.DUMMYFUNCTION("""COMPUTED_VALUE"""),"")</f>
        <v/>
      </c>
      <c r="K339" s="51"/>
      <c r="L339" s="51" t="s">
        <v>257</v>
      </c>
      <c r="M339" s="51"/>
      <c r="N339" s="51"/>
      <c r="O339" s="51"/>
      <c r="P339" s="51"/>
      <c r="Q339" s="51"/>
      <c r="R339" s="51"/>
      <c r="S339" s="51"/>
      <c r="T339" s="51"/>
    </row>
    <row r="340">
      <c r="A340" s="51"/>
      <c r="B340" s="51"/>
      <c r="C340" s="94"/>
      <c r="D340" s="51"/>
      <c r="E340" s="51"/>
      <c r="F340" s="51"/>
      <c r="G340" s="51" t="str">
        <f>IFERROR(__xludf.DUMMYFUNCTION("""COMPUTED_VALUE"""),"#VALUE!")</f>
        <v>#VALUE!</v>
      </c>
      <c r="H340" s="51" t="str">
        <f>IFERROR(__xludf.DUMMYFUNCTION("""COMPUTED_VALUE"""),"")</f>
        <v/>
      </c>
      <c r="I340" s="51" t="str">
        <f>IFERROR(__xludf.DUMMYFUNCTION("""COMPUTED_VALUE"""),"#VALUE!")</f>
        <v>#VALUE!</v>
      </c>
      <c r="J340" s="51" t="str">
        <f>IFERROR(__xludf.DUMMYFUNCTION("""COMPUTED_VALUE"""),"")</f>
        <v/>
      </c>
      <c r="K340" s="51"/>
      <c r="L340" s="51" t="s">
        <v>257</v>
      </c>
      <c r="M340" s="51"/>
      <c r="N340" s="51"/>
      <c r="O340" s="51"/>
      <c r="P340" s="51"/>
      <c r="Q340" s="51"/>
      <c r="R340" s="51"/>
      <c r="S340" s="51"/>
      <c r="T340" s="51"/>
    </row>
    <row r="341">
      <c r="A341" s="51"/>
      <c r="B341" s="51"/>
      <c r="C341" s="94"/>
      <c r="D341" s="51"/>
      <c r="E341" s="51"/>
      <c r="F341" s="51"/>
      <c r="G341" s="51" t="str">
        <f>IFERROR(__xludf.DUMMYFUNCTION("""COMPUTED_VALUE"""),"#VALUE!")</f>
        <v>#VALUE!</v>
      </c>
      <c r="H341" s="51" t="str">
        <f>IFERROR(__xludf.DUMMYFUNCTION("""COMPUTED_VALUE"""),"")</f>
        <v/>
      </c>
      <c r="I341" s="51" t="str">
        <f>IFERROR(__xludf.DUMMYFUNCTION("""COMPUTED_VALUE"""),"#VALUE!")</f>
        <v>#VALUE!</v>
      </c>
      <c r="J341" s="51" t="str">
        <f>IFERROR(__xludf.DUMMYFUNCTION("""COMPUTED_VALUE"""),"")</f>
        <v/>
      </c>
      <c r="K341" s="51"/>
      <c r="L341" s="51" t="s">
        <v>257</v>
      </c>
      <c r="M341" s="51"/>
      <c r="N341" s="51"/>
      <c r="O341" s="51"/>
      <c r="P341" s="51"/>
      <c r="Q341" s="51"/>
      <c r="R341" s="51"/>
      <c r="S341" s="51"/>
      <c r="T341" s="51"/>
    </row>
    <row r="342">
      <c r="A342" s="51"/>
      <c r="B342" s="51"/>
      <c r="C342" s="94"/>
      <c r="D342" s="51"/>
      <c r="E342" s="51"/>
      <c r="F342" s="51"/>
      <c r="G342" s="51" t="str">
        <f>IFERROR(__xludf.DUMMYFUNCTION("""COMPUTED_VALUE"""),"#VALUE!")</f>
        <v>#VALUE!</v>
      </c>
      <c r="H342" s="51" t="str">
        <f>IFERROR(__xludf.DUMMYFUNCTION("""COMPUTED_VALUE"""),"")</f>
        <v/>
      </c>
      <c r="I342" s="51" t="str">
        <f>IFERROR(__xludf.DUMMYFUNCTION("""COMPUTED_VALUE"""),"#VALUE!")</f>
        <v>#VALUE!</v>
      </c>
      <c r="J342" s="51" t="str">
        <f>IFERROR(__xludf.DUMMYFUNCTION("""COMPUTED_VALUE"""),"")</f>
        <v/>
      </c>
      <c r="K342" s="51"/>
      <c r="L342" s="51" t="s">
        <v>257</v>
      </c>
      <c r="M342" s="51"/>
      <c r="N342" s="51"/>
      <c r="O342" s="51"/>
      <c r="P342" s="51"/>
      <c r="Q342" s="51"/>
      <c r="R342" s="51"/>
      <c r="S342" s="51"/>
      <c r="T342" s="51"/>
    </row>
    <row r="343">
      <c r="A343" s="51"/>
      <c r="B343" s="51"/>
      <c r="C343" s="94"/>
      <c r="D343" s="51"/>
      <c r="E343" s="51"/>
      <c r="F343" s="51"/>
      <c r="G343" s="51" t="str">
        <f>IFERROR(__xludf.DUMMYFUNCTION("""COMPUTED_VALUE"""),"#VALUE!")</f>
        <v>#VALUE!</v>
      </c>
      <c r="H343" s="51" t="str">
        <f>IFERROR(__xludf.DUMMYFUNCTION("""COMPUTED_VALUE"""),"")</f>
        <v/>
      </c>
      <c r="I343" s="51" t="str">
        <f>IFERROR(__xludf.DUMMYFUNCTION("""COMPUTED_VALUE"""),"#VALUE!")</f>
        <v>#VALUE!</v>
      </c>
      <c r="J343" s="51" t="str">
        <f>IFERROR(__xludf.DUMMYFUNCTION("""COMPUTED_VALUE"""),"")</f>
        <v/>
      </c>
      <c r="K343" s="51"/>
      <c r="L343" s="51" t="s">
        <v>257</v>
      </c>
      <c r="M343" s="51"/>
      <c r="N343" s="51"/>
      <c r="O343" s="51"/>
      <c r="P343" s="51"/>
      <c r="Q343" s="51"/>
      <c r="R343" s="51"/>
      <c r="S343" s="51"/>
      <c r="T343" s="51"/>
    </row>
    <row r="344">
      <c r="A344" s="51"/>
      <c r="B344" s="51"/>
      <c r="C344" s="94"/>
      <c r="D344" s="51"/>
      <c r="E344" s="51"/>
      <c r="F344" s="51"/>
      <c r="G344" s="51" t="str">
        <f>IFERROR(__xludf.DUMMYFUNCTION("""COMPUTED_VALUE"""),"#VALUE!")</f>
        <v>#VALUE!</v>
      </c>
      <c r="H344" s="51" t="str">
        <f>IFERROR(__xludf.DUMMYFUNCTION("""COMPUTED_VALUE"""),"")</f>
        <v/>
      </c>
      <c r="I344" s="51" t="str">
        <f>IFERROR(__xludf.DUMMYFUNCTION("""COMPUTED_VALUE"""),"#VALUE!")</f>
        <v>#VALUE!</v>
      </c>
      <c r="J344" s="51" t="str">
        <f>IFERROR(__xludf.DUMMYFUNCTION("""COMPUTED_VALUE"""),"")</f>
        <v/>
      </c>
      <c r="K344" s="51"/>
      <c r="L344" s="51" t="s">
        <v>257</v>
      </c>
      <c r="M344" s="51"/>
      <c r="N344" s="51"/>
      <c r="O344" s="51"/>
      <c r="P344" s="51"/>
      <c r="Q344" s="51"/>
      <c r="R344" s="51"/>
      <c r="S344" s="51"/>
      <c r="T344" s="51"/>
    </row>
    <row r="345">
      <c r="A345" s="51"/>
      <c r="B345" s="51"/>
      <c r="C345" s="94"/>
      <c r="D345" s="51"/>
      <c r="E345" s="51"/>
      <c r="F345" s="51"/>
      <c r="G345" s="51" t="str">
        <f>IFERROR(__xludf.DUMMYFUNCTION("""COMPUTED_VALUE"""),"#VALUE!")</f>
        <v>#VALUE!</v>
      </c>
      <c r="H345" s="51" t="str">
        <f>IFERROR(__xludf.DUMMYFUNCTION("""COMPUTED_VALUE"""),"")</f>
        <v/>
      </c>
      <c r="I345" s="51" t="str">
        <f>IFERROR(__xludf.DUMMYFUNCTION("""COMPUTED_VALUE"""),"#VALUE!")</f>
        <v>#VALUE!</v>
      </c>
      <c r="J345" s="51" t="str">
        <f>IFERROR(__xludf.DUMMYFUNCTION("""COMPUTED_VALUE"""),"")</f>
        <v/>
      </c>
      <c r="K345" s="51"/>
      <c r="L345" s="51" t="s">
        <v>257</v>
      </c>
      <c r="M345" s="51"/>
      <c r="N345" s="51"/>
      <c r="O345" s="51"/>
      <c r="P345" s="51"/>
      <c r="Q345" s="51"/>
      <c r="R345" s="51"/>
      <c r="S345" s="51"/>
      <c r="T345" s="51"/>
    </row>
    <row r="346">
      <c r="A346" s="51"/>
      <c r="B346" s="51"/>
      <c r="C346" s="94"/>
      <c r="D346" s="51"/>
      <c r="E346" s="51"/>
      <c r="F346" s="51"/>
      <c r="G346" s="51" t="str">
        <f>IFERROR(__xludf.DUMMYFUNCTION("""COMPUTED_VALUE"""),"#VALUE!")</f>
        <v>#VALUE!</v>
      </c>
      <c r="H346" s="51" t="str">
        <f>IFERROR(__xludf.DUMMYFUNCTION("""COMPUTED_VALUE"""),"")</f>
        <v/>
      </c>
      <c r="I346" s="51" t="str">
        <f>IFERROR(__xludf.DUMMYFUNCTION("""COMPUTED_VALUE"""),"#VALUE!")</f>
        <v>#VALUE!</v>
      </c>
      <c r="J346" s="51" t="str">
        <f>IFERROR(__xludf.DUMMYFUNCTION("""COMPUTED_VALUE"""),"")</f>
        <v/>
      </c>
      <c r="K346" s="51"/>
      <c r="L346" s="51" t="s">
        <v>257</v>
      </c>
      <c r="M346" s="51"/>
      <c r="N346" s="51"/>
      <c r="O346" s="51"/>
      <c r="P346" s="51"/>
      <c r="Q346" s="51"/>
      <c r="R346" s="51"/>
      <c r="S346" s="51"/>
      <c r="T346" s="51"/>
    </row>
    <row r="347">
      <c r="A347" s="51"/>
      <c r="B347" s="51"/>
      <c r="C347" s="94"/>
      <c r="D347" s="51"/>
      <c r="E347" s="51"/>
      <c r="F347" s="51"/>
      <c r="G347" s="51" t="str">
        <f>IFERROR(__xludf.DUMMYFUNCTION("""COMPUTED_VALUE"""),"#VALUE!")</f>
        <v>#VALUE!</v>
      </c>
      <c r="H347" s="51" t="str">
        <f>IFERROR(__xludf.DUMMYFUNCTION("""COMPUTED_VALUE"""),"")</f>
        <v/>
      </c>
      <c r="I347" s="51" t="str">
        <f>IFERROR(__xludf.DUMMYFUNCTION("""COMPUTED_VALUE"""),"#VALUE!")</f>
        <v>#VALUE!</v>
      </c>
      <c r="J347" s="51" t="str">
        <f>IFERROR(__xludf.DUMMYFUNCTION("""COMPUTED_VALUE"""),"")</f>
        <v/>
      </c>
      <c r="K347" s="51"/>
      <c r="L347" s="51" t="s">
        <v>257</v>
      </c>
      <c r="M347" s="51"/>
      <c r="N347" s="51"/>
      <c r="O347" s="51"/>
      <c r="P347" s="51"/>
      <c r="Q347" s="51"/>
      <c r="R347" s="51"/>
      <c r="S347" s="51"/>
      <c r="T347" s="51"/>
    </row>
    <row r="348">
      <c r="A348" s="51"/>
      <c r="B348" s="51"/>
      <c r="C348" s="94"/>
      <c r="D348" s="51"/>
      <c r="E348" s="51"/>
      <c r="F348" s="51"/>
      <c r="G348" s="51" t="str">
        <f>IFERROR(__xludf.DUMMYFUNCTION("""COMPUTED_VALUE"""),"#VALUE!")</f>
        <v>#VALUE!</v>
      </c>
      <c r="H348" s="51" t="str">
        <f>IFERROR(__xludf.DUMMYFUNCTION("""COMPUTED_VALUE"""),"")</f>
        <v/>
      </c>
      <c r="I348" s="51" t="str">
        <f>IFERROR(__xludf.DUMMYFUNCTION("""COMPUTED_VALUE"""),"#VALUE!")</f>
        <v>#VALUE!</v>
      </c>
      <c r="J348" s="51" t="str">
        <f>IFERROR(__xludf.DUMMYFUNCTION("""COMPUTED_VALUE"""),"")</f>
        <v/>
      </c>
      <c r="K348" s="51"/>
      <c r="L348" s="51" t="s">
        <v>257</v>
      </c>
      <c r="M348" s="51"/>
      <c r="N348" s="51"/>
      <c r="O348" s="51"/>
      <c r="P348" s="51"/>
      <c r="Q348" s="51"/>
      <c r="R348" s="51"/>
      <c r="S348" s="51"/>
      <c r="T348" s="51"/>
    </row>
    <row r="349">
      <c r="A349" s="51"/>
      <c r="B349" s="51"/>
      <c r="C349" s="94"/>
      <c r="D349" s="51"/>
      <c r="E349" s="51"/>
      <c r="F349" s="51"/>
      <c r="G349" s="51" t="str">
        <f>IFERROR(__xludf.DUMMYFUNCTION("""COMPUTED_VALUE"""),"#VALUE!")</f>
        <v>#VALUE!</v>
      </c>
      <c r="H349" s="51" t="str">
        <f>IFERROR(__xludf.DUMMYFUNCTION("""COMPUTED_VALUE"""),"")</f>
        <v/>
      </c>
      <c r="I349" s="51" t="str">
        <f>IFERROR(__xludf.DUMMYFUNCTION("""COMPUTED_VALUE"""),"#VALUE!")</f>
        <v>#VALUE!</v>
      </c>
      <c r="J349" s="51" t="str">
        <f>IFERROR(__xludf.DUMMYFUNCTION("""COMPUTED_VALUE"""),"")</f>
        <v/>
      </c>
      <c r="K349" s="51"/>
      <c r="L349" s="51" t="s">
        <v>257</v>
      </c>
      <c r="M349" s="51"/>
      <c r="N349" s="51"/>
      <c r="O349" s="51"/>
      <c r="P349" s="51"/>
      <c r="Q349" s="51"/>
      <c r="R349" s="51"/>
      <c r="S349" s="51"/>
      <c r="T349" s="51"/>
    </row>
    <row r="350">
      <c r="A350" s="51"/>
      <c r="B350" s="51"/>
      <c r="C350" s="94"/>
      <c r="D350" s="51"/>
      <c r="E350" s="51"/>
      <c r="F350" s="51"/>
      <c r="G350" s="51" t="str">
        <f>IFERROR(__xludf.DUMMYFUNCTION("""COMPUTED_VALUE"""),"#VALUE!")</f>
        <v>#VALUE!</v>
      </c>
      <c r="H350" s="51" t="str">
        <f>IFERROR(__xludf.DUMMYFUNCTION("""COMPUTED_VALUE"""),"")</f>
        <v/>
      </c>
      <c r="I350" s="51" t="str">
        <f>IFERROR(__xludf.DUMMYFUNCTION("""COMPUTED_VALUE"""),"#VALUE!")</f>
        <v>#VALUE!</v>
      </c>
      <c r="J350" s="51" t="str">
        <f>IFERROR(__xludf.DUMMYFUNCTION("""COMPUTED_VALUE"""),"")</f>
        <v/>
      </c>
      <c r="K350" s="51"/>
      <c r="L350" s="51" t="s">
        <v>257</v>
      </c>
      <c r="M350" s="51"/>
      <c r="N350" s="51"/>
      <c r="O350" s="51"/>
      <c r="P350" s="51"/>
      <c r="Q350" s="51"/>
      <c r="R350" s="51"/>
      <c r="S350" s="51"/>
      <c r="T350" s="51"/>
    </row>
    <row r="351">
      <c r="A351" s="51"/>
      <c r="B351" s="51"/>
      <c r="C351" s="94"/>
      <c r="D351" s="51"/>
      <c r="E351" s="51"/>
      <c r="F351" s="51"/>
      <c r="G351" s="51" t="str">
        <f>IFERROR(__xludf.DUMMYFUNCTION("""COMPUTED_VALUE"""),"#VALUE!")</f>
        <v>#VALUE!</v>
      </c>
      <c r="H351" s="51" t="str">
        <f>IFERROR(__xludf.DUMMYFUNCTION("""COMPUTED_VALUE"""),"")</f>
        <v/>
      </c>
      <c r="I351" s="51" t="str">
        <f>IFERROR(__xludf.DUMMYFUNCTION("""COMPUTED_VALUE"""),"#VALUE!")</f>
        <v>#VALUE!</v>
      </c>
      <c r="J351" s="51" t="str">
        <f>IFERROR(__xludf.DUMMYFUNCTION("""COMPUTED_VALUE"""),"")</f>
        <v/>
      </c>
      <c r="K351" s="51"/>
      <c r="L351" s="51" t="s">
        <v>257</v>
      </c>
      <c r="M351" s="51"/>
      <c r="N351" s="51"/>
      <c r="O351" s="51"/>
      <c r="P351" s="51"/>
      <c r="Q351" s="51"/>
      <c r="R351" s="51"/>
      <c r="S351" s="51"/>
      <c r="T351" s="51"/>
    </row>
    <row r="352">
      <c r="A352" s="51"/>
      <c r="B352" s="51"/>
      <c r="C352" s="94"/>
      <c r="D352" s="51"/>
      <c r="E352" s="51"/>
      <c r="F352" s="51"/>
      <c r="G352" s="51" t="str">
        <f>IFERROR(__xludf.DUMMYFUNCTION("""COMPUTED_VALUE"""),"#VALUE!")</f>
        <v>#VALUE!</v>
      </c>
      <c r="H352" s="51" t="str">
        <f>IFERROR(__xludf.DUMMYFUNCTION("""COMPUTED_VALUE"""),"")</f>
        <v/>
      </c>
      <c r="I352" s="51" t="str">
        <f>IFERROR(__xludf.DUMMYFUNCTION("""COMPUTED_VALUE"""),"#VALUE!")</f>
        <v>#VALUE!</v>
      </c>
      <c r="J352" s="51" t="str">
        <f>IFERROR(__xludf.DUMMYFUNCTION("""COMPUTED_VALUE"""),"")</f>
        <v/>
      </c>
      <c r="K352" s="51"/>
      <c r="L352" s="51" t="s">
        <v>257</v>
      </c>
      <c r="M352" s="51"/>
      <c r="N352" s="51"/>
      <c r="O352" s="51"/>
      <c r="P352" s="51"/>
      <c r="Q352" s="51"/>
      <c r="R352" s="51"/>
      <c r="S352" s="51"/>
      <c r="T352" s="51"/>
    </row>
    <row r="353">
      <c r="A353" s="51"/>
      <c r="B353" s="51"/>
      <c r="C353" s="94"/>
      <c r="D353" s="51"/>
      <c r="E353" s="51"/>
      <c r="F353" s="51"/>
      <c r="G353" s="51" t="str">
        <f>IFERROR(__xludf.DUMMYFUNCTION("""COMPUTED_VALUE"""),"#VALUE!")</f>
        <v>#VALUE!</v>
      </c>
      <c r="H353" s="51" t="str">
        <f>IFERROR(__xludf.DUMMYFUNCTION("""COMPUTED_VALUE"""),"")</f>
        <v/>
      </c>
      <c r="I353" s="51" t="str">
        <f>IFERROR(__xludf.DUMMYFUNCTION("""COMPUTED_VALUE"""),"#VALUE!")</f>
        <v>#VALUE!</v>
      </c>
      <c r="J353" s="51" t="str">
        <f>IFERROR(__xludf.DUMMYFUNCTION("""COMPUTED_VALUE"""),"")</f>
        <v/>
      </c>
      <c r="K353" s="51"/>
      <c r="L353" s="51" t="s">
        <v>257</v>
      </c>
      <c r="M353" s="51"/>
      <c r="N353" s="51"/>
      <c r="O353" s="51"/>
      <c r="P353" s="51"/>
      <c r="Q353" s="51"/>
      <c r="R353" s="51"/>
      <c r="S353" s="51"/>
      <c r="T353" s="51"/>
    </row>
    <row r="354">
      <c r="A354" s="51"/>
      <c r="B354" s="51"/>
      <c r="C354" s="94"/>
      <c r="D354" s="51"/>
      <c r="E354" s="51"/>
      <c r="F354" s="51"/>
      <c r="G354" s="51" t="str">
        <f>IFERROR(__xludf.DUMMYFUNCTION("""COMPUTED_VALUE"""),"#VALUE!")</f>
        <v>#VALUE!</v>
      </c>
      <c r="H354" s="51" t="str">
        <f>IFERROR(__xludf.DUMMYFUNCTION("""COMPUTED_VALUE"""),"")</f>
        <v/>
      </c>
      <c r="I354" s="51" t="str">
        <f>IFERROR(__xludf.DUMMYFUNCTION("""COMPUTED_VALUE"""),"#VALUE!")</f>
        <v>#VALUE!</v>
      </c>
      <c r="J354" s="51" t="str">
        <f>IFERROR(__xludf.DUMMYFUNCTION("""COMPUTED_VALUE"""),"")</f>
        <v/>
      </c>
      <c r="K354" s="51"/>
      <c r="L354" s="51" t="s">
        <v>257</v>
      </c>
      <c r="M354" s="51"/>
      <c r="N354" s="51"/>
      <c r="O354" s="51"/>
      <c r="P354" s="51"/>
      <c r="Q354" s="51"/>
      <c r="R354" s="51"/>
      <c r="S354" s="51"/>
      <c r="T354" s="51"/>
    </row>
    <row r="355">
      <c r="A355" s="51"/>
      <c r="B355" s="51"/>
      <c r="C355" s="94"/>
      <c r="D355" s="51"/>
      <c r="E355" s="51"/>
      <c r="F355" s="51"/>
      <c r="G355" s="51" t="str">
        <f>IFERROR(__xludf.DUMMYFUNCTION("""COMPUTED_VALUE"""),"#VALUE!")</f>
        <v>#VALUE!</v>
      </c>
      <c r="H355" s="51" t="str">
        <f>IFERROR(__xludf.DUMMYFUNCTION("""COMPUTED_VALUE"""),"")</f>
        <v/>
      </c>
      <c r="I355" s="51" t="str">
        <f>IFERROR(__xludf.DUMMYFUNCTION("""COMPUTED_VALUE"""),"#VALUE!")</f>
        <v>#VALUE!</v>
      </c>
      <c r="J355" s="51" t="str">
        <f>IFERROR(__xludf.DUMMYFUNCTION("""COMPUTED_VALUE"""),"")</f>
        <v/>
      </c>
      <c r="K355" s="51"/>
      <c r="L355" s="51" t="s">
        <v>257</v>
      </c>
      <c r="M355" s="51"/>
      <c r="N355" s="51"/>
      <c r="O355" s="51"/>
      <c r="P355" s="51"/>
      <c r="Q355" s="51"/>
      <c r="R355" s="51"/>
      <c r="S355" s="51"/>
      <c r="T355" s="51"/>
    </row>
    <row r="356">
      <c r="A356" s="51"/>
      <c r="B356" s="51"/>
      <c r="C356" s="94"/>
      <c r="D356" s="51"/>
      <c r="E356" s="51"/>
      <c r="F356" s="51"/>
      <c r="G356" s="51" t="str">
        <f>IFERROR(__xludf.DUMMYFUNCTION("""COMPUTED_VALUE"""),"#VALUE!")</f>
        <v>#VALUE!</v>
      </c>
      <c r="H356" s="51" t="str">
        <f>IFERROR(__xludf.DUMMYFUNCTION("""COMPUTED_VALUE"""),"")</f>
        <v/>
      </c>
      <c r="I356" s="51" t="str">
        <f>IFERROR(__xludf.DUMMYFUNCTION("""COMPUTED_VALUE"""),"#VALUE!")</f>
        <v>#VALUE!</v>
      </c>
      <c r="J356" s="51" t="str">
        <f>IFERROR(__xludf.DUMMYFUNCTION("""COMPUTED_VALUE"""),"")</f>
        <v/>
      </c>
      <c r="K356" s="51"/>
      <c r="L356" s="51" t="s">
        <v>257</v>
      </c>
      <c r="M356" s="51"/>
      <c r="N356" s="51"/>
      <c r="O356" s="51"/>
      <c r="P356" s="51"/>
      <c r="Q356" s="51"/>
      <c r="R356" s="51"/>
      <c r="S356" s="51"/>
      <c r="T356" s="51"/>
    </row>
    <row r="357">
      <c r="A357" s="51"/>
      <c r="B357" s="51"/>
      <c r="C357" s="94"/>
      <c r="D357" s="51"/>
      <c r="E357" s="51"/>
      <c r="F357" s="51"/>
      <c r="G357" s="51" t="str">
        <f>IFERROR(__xludf.DUMMYFUNCTION("""COMPUTED_VALUE"""),"#VALUE!")</f>
        <v>#VALUE!</v>
      </c>
      <c r="H357" s="51" t="str">
        <f>IFERROR(__xludf.DUMMYFUNCTION("""COMPUTED_VALUE"""),"")</f>
        <v/>
      </c>
      <c r="I357" s="51" t="str">
        <f>IFERROR(__xludf.DUMMYFUNCTION("""COMPUTED_VALUE"""),"#VALUE!")</f>
        <v>#VALUE!</v>
      </c>
      <c r="J357" s="51" t="str">
        <f>IFERROR(__xludf.DUMMYFUNCTION("""COMPUTED_VALUE"""),"")</f>
        <v/>
      </c>
      <c r="K357" s="51"/>
      <c r="L357" s="51" t="s">
        <v>257</v>
      </c>
      <c r="M357" s="51"/>
      <c r="N357" s="51"/>
      <c r="O357" s="51"/>
      <c r="P357" s="51"/>
      <c r="Q357" s="51"/>
      <c r="R357" s="51"/>
      <c r="S357" s="51"/>
      <c r="T357" s="51"/>
    </row>
    <row r="358">
      <c r="A358" s="51"/>
      <c r="B358" s="51"/>
      <c r="C358" s="94"/>
      <c r="D358" s="51"/>
      <c r="E358" s="51"/>
      <c r="F358" s="51"/>
      <c r="G358" s="51" t="str">
        <f>IFERROR(__xludf.DUMMYFUNCTION("""COMPUTED_VALUE"""),"#VALUE!")</f>
        <v>#VALUE!</v>
      </c>
      <c r="H358" s="51" t="str">
        <f>IFERROR(__xludf.DUMMYFUNCTION("""COMPUTED_VALUE"""),"")</f>
        <v/>
      </c>
      <c r="I358" s="51" t="str">
        <f>IFERROR(__xludf.DUMMYFUNCTION("""COMPUTED_VALUE"""),"#VALUE!")</f>
        <v>#VALUE!</v>
      </c>
      <c r="J358" s="51" t="str">
        <f>IFERROR(__xludf.DUMMYFUNCTION("""COMPUTED_VALUE"""),"")</f>
        <v/>
      </c>
      <c r="K358" s="51"/>
      <c r="L358" s="51" t="s">
        <v>257</v>
      </c>
      <c r="M358" s="51"/>
      <c r="N358" s="51"/>
      <c r="O358" s="51"/>
      <c r="P358" s="51"/>
      <c r="Q358" s="51"/>
      <c r="R358" s="51"/>
      <c r="S358" s="51"/>
      <c r="T358" s="51"/>
    </row>
    <row r="359">
      <c r="A359" s="51"/>
      <c r="B359" s="51"/>
      <c r="C359" s="94"/>
      <c r="D359" s="51"/>
      <c r="E359" s="51"/>
      <c r="F359" s="51"/>
      <c r="G359" s="51" t="str">
        <f>IFERROR(__xludf.DUMMYFUNCTION("""COMPUTED_VALUE"""),"#VALUE!")</f>
        <v>#VALUE!</v>
      </c>
      <c r="H359" s="51" t="str">
        <f>IFERROR(__xludf.DUMMYFUNCTION("""COMPUTED_VALUE"""),"")</f>
        <v/>
      </c>
      <c r="I359" s="51" t="str">
        <f>IFERROR(__xludf.DUMMYFUNCTION("""COMPUTED_VALUE"""),"#VALUE!")</f>
        <v>#VALUE!</v>
      </c>
      <c r="J359" s="51" t="str">
        <f>IFERROR(__xludf.DUMMYFUNCTION("""COMPUTED_VALUE"""),"")</f>
        <v/>
      </c>
      <c r="K359" s="51"/>
      <c r="L359" s="51" t="s">
        <v>257</v>
      </c>
      <c r="M359" s="51"/>
      <c r="N359" s="51"/>
      <c r="O359" s="51"/>
      <c r="P359" s="51"/>
      <c r="Q359" s="51"/>
      <c r="R359" s="51"/>
      <c r="S359" s="51"/>
      <c r="T359" s="51"/>
    </row>
    <row r="360">
      <c r="A360" s="51"/>
      <c r="B360" s="51"/>
      <c r="C360" s="94"/>
      <c r="D360" s="51"/>
      <c r="E360" s="51"/>
      <c r="F360" s="51"/>
      <c r="G360" s="51" t="str">
        <f>IFERROR(__xludf.DUMMYFUNCTION("""COMPUTED_VALUE"""),"#VALUE!")</f>
        <v>#VALUE!</v>
      </c>
      <c r="H360" s="51" t="str">
        <f>IFERROR(__xludf.DUMMYFUNCTION("""COMPUTED_VALUE"""),"")</f>
        <v/>
      </c>
      <c r="I360" s="51" t="str">
        <f>IFERROR(__xludf.DUMMYFUNCTION("""COMPUTED_VALUE"""),"#VALUE!")</f>
        <v>#VALUE!</v>
      </c>
      <c r="J360" s="51" t="str">
        <f>IFERROR(__xludf.DUMMYFUNCTION("""COMPUTED_VALUE"""),"")</f>
        <v/>
      </c>
      <c r="K360" s="51"/>
      <c r="L360" s="51" t="s">
        <v>257</v>
      </c>
      <c r="M360" s="51"/>
      <c r="N360" s="51"/>
      <c r="O360" s="51"/>
      <c r="P360" s="51"/>
      <c r="Q360" s="51"/>
      <c r="R360" s="51"/>
      <c r="S360" s="51"/>
      <c r="T360" s="51"/>
    </row>
    <row r="361">
      <c r="A361" s="51"/>
      <c r="B361" s="51"/>
      <c r="C361" s="94"/>
      <c r="D361" s="51"/>
      <c r="E361" s="51"/>
      <c r="F361" s="51"/>
      <c r="G361" s="51" t="str">
        <f>IFERROR(__xludf.DUMMYFUNCTION("""COMPUTED_VALUE"""),"#VALUE!")</f>
        <v>#VALUE!</v>
      </c>
      <c r="H361" s="51" t="str">
        <f>IFERROR(__xludf.DUMMYFUNCTION("""COMPUTED_VALUE"""),"")</f>
        <v/>
      </c>
      <c r="I361" s="51" t="str">
        <f>IFERROR(__xludf.DUMMYFUNCTION("""COMPUTED_VALUE"""),"#VALUE!")</f>
        <v>#VALUE!</v>
      </c>
      <c r="J361" s="51" t="str">
        <f>IFERROR(__xludf.DUMMYFUNCTION("""COMPUTED_VALUE"""),"")</f>
        <v/>
      </c>
      <c r="K361" s="51"/>
      <c r="L361" s="51" t="s">
        <v>257</v>
      </c>
      <c r="M361" s="51"/>
      <c r="N361" s="51"/>
      <c r="O361" s="51"/>
      <c r="P361" s="51"/>
      <c r="Q361" s="51"/>
      <c r="R361" s="51"/>
      <c r="S361" s="51"/>
      <c r="T361" s="51"/>
    </row>
    <row r="362">
      <c r="A362" s="51"/>
      <c r="B362" s="51"/>
      <c r="C362" s="94"/>
      <c r="D362" s="51"/>
      <c r="E362" s="51"/>
      <c r="F362" s="51"/>
      <c r="G362" s="51" t="str">
        <f>IFERROR(__xludf.DUMMYFUNCTION("""COMPUTED_VALUE"""),"#VALUE!")</f>
        <v>#VALUE!</v>
      </c>
      <c r="H362" s="51" t="str">
        <f>IFERROR(__xludf.DUMMYFUNCTION("""COMPUTED_VALUE"""),"")</f>
        <v/>
      </c>
      <c r="I362" s="51" t="str">
        <f>IFERROR(__xludf.DUMMYFUNCTION("""COMPUTED_VALUE"""),"#VALUE!")</f>
        <v>#VALUE!</v>
      </c>
      <c r="J362" s="51" t="str">
        <f>IFERROR(__xludf.DUMMYFUNCTION("""COMPUTED_VALUE"""),"")</f>
        <v/>
      </c>
      <c r="K362" s="51"/>
      <c r="L362" s="51" t="s">
        <v>257</v>
      </c>
      <c r="M362" s="51"/>
      <c r="N362" s="51"/>
      <c r="O362" s="51"/>
      <c r="P362" s="51"/>
      <c r="Q362" s="51"/>
      <c r="R362" s="51"/>
      <c r="S362" s="51"/>
      <c r="T362" s="51"/>
    </row>
    <row r="363">
      <c r="A363" s="51"/>
      <c r="B363" s="51"/>
      <c r="C363" s="94"/>
      <c r="D363" s="51"/>
      <c r="E363" s="51"/>
      <c r="F363" s="51"/>
      <c r="G363" s="51" t="str">
        <f>IFERROR(__xludf.DUMMYFUNCTION("""COMPUTED_VALUE"""),"#VALUE!")</f>
        <v>#VALUE!</v>
      </c>
      <c r="H363" s="51" t="str">
        <f>IFERROR(__xludf.DUMMYFUNCTION("""COMPUTED_VALUE"""),"")</f>
        <v/>
      </c>
      <c r="I363" s="51" t="str">
        <f>IFERROR(__xludf.DUMMYFUNCTION("""COMPUTED_VALUE"""),"#VALUE!")</f>
        <v>#VALUE!</v>
      </c>
      <c r="J363" s="51" t="str">
        <f>IFERROR(__xludf.DUMMYFUNCTION("""COMPUTED_VALUE"""),"")</f>
        <v/>
      </c>
      <c r="K363" s="51"/>
      <c r="L363" s="51" t="s">
        <v>257</v>
      </c>
      <c r="M363" s="51"/>
      <c r="N363" s="51"/>
      <c r="O363" s="51"/>
      <c r="P363" s="51"/>
      <c r="Q363" s="51"/>
      <c r="R363" s="51"/>
      <c r="S363" s="51"/>
      <c r="T363" s="51"/>
    </row>
    <row r="364">
      <c r="A364" s="51"/>
      <c r="B364" s="51"/>
      <c r="C364" s="94"/>
      <c r="D364" s="51"/>
      <c r="E364" s="51"/>
      <c r="F364" s="51"/>
      <c r="G364" s="51" t="str">
        <f>IFERROR(__xludf.DUMMYFUNCTION("""COMPUTED_VALUE"""),"#VALUE!")</f>
        <v>#VALUE!</v>
      </c>
      <c r="H364" s="51" t="str">
        <f>IFERROR(__xludf.DUMMYFUNCTION("""COMPUTED_VALUE"""),"")</f>
        <v/>
      </c>
      <c r="I364" s="51" t="str">
        <f>IFERROR(__xludf.DUMMYFUNCTION("""COMPUTED_VALUE"""),"#VALUE!")</f>
        <v>#VALUE!</v>
      </c>
      <c r="J364" s="51" t="str">
        <f>IFERROR(__xludf.DUMMYFUNCTION("""COMPUTED_VALUE"""),"")</f>
        <v/>
      </c>
      <c r="K364" s="51"/>
      <c r="L364" s="51" t="s">
        <v>257</v>
      </c>
      <c r="M364" s="51"/>
      <c r="N364" s="51"/>
      <c r="O364" s="51"/>
      <c r="P364" s="51"/>
      <c r="Q364" s="51"/>
      <c r="R364" s="51"/>
      <c r="S364" s="51"/>
      <c r="T364" s="51"/>
    </row>
    <row r="365">
      <c r="A365" s="51"/>
      <c r="B365" s="51"/>
      <c r="C365" s="94"/>
      <c r="D365" s="51"/>
      <c r="E365" s="51"/>
      <c r="F365" s="51"/>
      <c r="G365" s="51" t="str">
        <f>IFERROR(__xludf.DUMMYFUNCTION("""COMPUTED_VALUE"""),"#VALUE!")</f>
        <v>#VALUE!</v>
      </c>
      <c r="H365" s="51" t="str">
        <f>IFERROR(__xludf.DUMMYFUNCTION("""COMPUTED_VALUE"""),"")</f>
        <v/>
      </c>
      <c r="I365" s="51" t="str">
        <f>IFERROR(__xludf.DUMMYFUNCTION("""COMPUTED_VALUE"""),"#VALUE!")</f>
        <v>#VALUE!</v>
      </c>
      <c r="J365" s="51" t="str">
        <f>IFERROR(__xludf.DUMMYFUNCTION("""COMPUTED_VALUE"""),"")</f>
        <v/>
      </c>
      <c r="K365" s="51"/>
      <c r="L365" s="51" t="s">
        <v>257</v>
      </c>
      <c r="M365" s="51"/>
      <c r="N365" s="51"/>
      <c r="O365" s="51"/>
      <c r="P365" s="51"/>
      <c r="Q365" s="51"/>
      <c r="R365" s="51"/>
      <c r="S365" s="51"/>
      <c r="T365" s="51"/>
    </row>
    <row r="366">
      <c r="A366" s="51"/>
      <c r="B366" s="51"/>
      <c r="C366" s="94"/>
      <c r="D366" s="51"/>
      <c r="E366" s="51"/>
      <c r="F366" s="51"/>
      <c r="G366" s="51" t="str">
        <f>IFERROR(__xludf.DUMMYFUNCTION("""COMPUTED_VALUE"""),"#VALUE!")</f>
        <v>#VALUE!</v>
      </c>
      <c r="H366" s="51" t="str">
        <f>IFERROR(__xludf.DUMMYFUNCTION("""COMPUTED_VALUE"""),"")</f>
        <v/>
      </c>
      <c r="I366" s="51" t="str">
        <f>IFERROR(__xludf.DUMMYFUNCTION("""COMPUTED_VALUE"""),"#VALUE!")</f>
        <v>#VALUE!</v>
      </c>
      <c r="J366" s="51" t="str">
        <f>IFERROR(__xludf.DUMMYFUNCTION("""COMPUTED_VALUE"""),"")</f>
        <v/>
      </c>
      <c r="K366" s="51"/>
      <c r="L366" s="51" t="s">
        <v>257</v>
      </c>
      <c r="M366" s="51"/>
      <c r="N366" s="51"/>
      <c r="O366" s="51"/>
      <c r="P366" s="51"/>
      <c r="Q366" s="51"/>
      <c r="R366" s="51"/>
      <c r="S366" s="51"/>
      <c r="T366" s="51"/>
    </row>
    <row r="367">
      <c r="A367" s="51"/>
      <c r="B367" s="51"/>
      <c r="C367" s="94"/>
      <c r="D367" s="51"/>
      <c r="E367" s="51"/>
      <c r="F367" s="51"/>
      <c r="G367" s="51" t="str">
        <f>IFERROR(__xludf.DUMMYFUNCTION("""COMPUTED_VALUE"""),"#VALUE!")</f>
        <v>#VALUE!</v>
      </c>
      <c r="H367" s="51" t="str">
        <f>IFERROR(__xludf.DUMMYFUNCTION("""COMPUTED_VALUE"""),"")</f>
        <v/>
      </c>
      <c r="I367" s="51" t="str">
        <f>IFERROR(__xludf.DUMMYFUNCTION("""COMPUTED_VALUE"""),"#VALUE!")</f>
        <v>#VALUE!</v>
      </c>
      <c r="J367" s="51" t="str">
        <f>IFERROR(__xludf.DUMMYFUNCTION("""COMPUTED_VALUE"""),"")</f>
        <v/>
      </c>
      <c r="K367" s="51"/>
      <c r="L367" s="51" t="s">
        <v>257</v>
      </c>
      <c r="M367" s="51"/>
      <c r="N367" s="51"/>
      <c r="O367" s="51"/>
      <c r="P367" s="51"/>
      <c r="Q367" s="51"/>
      <c r="R367" s="51"/>
      <c r="S367" s="51"/>
      <c r="T367" s="51"/>
    </row>
    <row r="368">
      <c r="A368" s="51"/>
      <c r="B368" s="51"/>
      <c r="C368" s="94"/>
      <c r="D368" s="51"/>
      <c r="E368" s="51"/>
      <c r="F368" s="51"/>
      <c r="G368" s="51" t="str">
        <f>IFERROR(__xludf.DUMMYFUNCTION("""COMPUTED_VALUE"""),"#VALUE!")</f>
        <v>#VALUE!</v>
      </c>
      <c r="H368" s="51" t="str">
        <f>IFERROR(__xludf.DUMMYFUNCTION("""COMPUTED_VALUE"""),"")</f>
        <v/>
      </c>
      <c r="I368" s="51" t="str">
        <f>IFERROR(__xludf.DUMMYFUNCTION("""COMPUTED_VALUE"""),"#VALUE!")</f>
        <v>#VALUE!</v>
      </c>
      <c r="J368" s="51" t="str">
        <f>IFERROR(__xludf.DUMMYFUNCTION("""COMPUTED_VALUE"""),"")</f>
        <v/>
      </c>
      <c r="K368" s="51"/>
      <c r="L368" s="51" t="s">
        <v>257</v>
      </c>
      <c r="M368" s="51"/>
      <c r="N368" s="51"/>
      <c r="O368" s="51"/>
      <c r="P368" s="51"/>
      <c r="Q368" s="51"/>
      <c r="R368" s="51"/>
      <c r="S368" s="51"/>
      <c r="T368" s="51"/>
    </row>
    <row r="369">
      <c r="A369" s="51"/>
      <c r="B369" s="51"/>
      <c r="C369" s="94"/>
      <c r="D369" s="51"/>
      <c r="E369" s="51"/>
      <c r="F369" s="51"/>
      <c r="G369" s="51" t="str">
        <f>IFERROR(__xludf.DUMMYFUNCTION("""COMPUTED_VALUE"""),"#VALUE!")</f>
        <v>#VALUE!</v>
      </c>
      <c r="H369" s="51" t="str">
        <f>IFERROR(__xludf.DUMMYFUNCTION("""COMPUTED_VALUE"""),"")</f>
        <v/>
      </c>
      <c r="I369" s="51" t="str">
        <f>IFERROR(__xludf.DUMMYFUNCTION("""COMPUTED_VALUE"""),"#VALUE!")</f>
        <v>#VALUE!</v>
      </c>
      <c r="J369" s="51" t="str">
        <f>IFERROR(__xludf.DUMMYFUNCTION("""COMPUTED_VALUE"""),"")</f>
        <v/>
      </c>
      <c r="K369" s="51"/>
      <c r="L369" s="51" t="s">
        <v>257</v>
      </c>
      <c r="M369" s="51"/>
      <c r="N369" s="51"/>
      <c r="O369" s="51"/>
      <c r="P369" s="51"/>
      <c r="Q369" s="51"/>
      <c r="R369" s="51"/>
      <c r="S369" s="51"/>
      <c r="T369" s="51"/>
    </row>
    <row r="370">
      <c r="A370" s="51"/>
      <c r="B370" s="51"/>
      <c r="C370" s="94"/>
      <c r="D370" s="51"/>
      <c r="E370" s="51"/>
      <c r="F370" s="51"/>
      <c r="G370" s="51" t="str">
        <f>IFERROR(__xludf.DUMMYFUNCTION("""COMPUTED_VALUE"""),"#VALUE!")</f>
        <v>#VALUE!</v>
      </c>
      <c r="H370" s="51" t="str">
        <f>IFERROR(__xludf.DUMMYFUNCTION("""COMPUTED_VALUE"""),"")</f>
        <v/>
      </c>
      <c r="I370" s="51" t="str">
        <f>IFERROR(__xludf.DUMMYFUNCTION("""COMPUTED_VALUE"""),"#VALUE!")</f>
        <v>#VALUE!</v>
      </c>
      <c r="J370" s="51" t="str">
        <f>IFERROR(__xludf.DUMMYFUNCTION("""COMPUTED_VALUE"""),"")</f>
        <v/>
      </c>
      <c r="K370" s="51"/>
      <c r="L370" s="51" t="s">
        <v>257</v>
      </c>
      <c r="M370" s="51"/>
      <c r="N370" s="51"/>
      <c r="O370" s="51"/>
      <c r="P370" s="51"/>
      <c r="Q370" s="51"/>
      <c r="R370" s="51"/>
      <c r="S370" s="51"/>
      <c r="T370" s="51"/>
    </row>
    <row r="371">
      <c r="A371" s="51"/>
      <c r="B371" s="51"/>
      <c r="C371" s="94"/>
      <c r="D371" s="51"/>
      <c r="E371" s="51"/>
      <c r="F371" s="51"/>
      <c r="G371" s="51" t="str">
        <f>IFERROR(__xludf.DUMMYFUNCTION("""COMPUTED_VALUE"""),"#VALUE!")</f>
        <v>#VALUE!</v>
      </c>
      <c r="H371" s="51" t="str">
        <f>IFERROR(__xludf.DUMMYFUNCTION("""COMPUTED_VALUE"""),"")</f>
        <v/>
      </c>
      <c r="I371" s="51" t="str">
        <f>IFERROR(__xludf.DUMMYFUNCTION("""COMPUTED_VALUE"""),"#VALUE!")</f>
        <v>#VALUE!</v>
      </c>
      <c r="J371" s="51" t="str">
        <f>IFERROR(__xludf.DUMMYFUNCTION("""COMPUTED_VALUE"""),"")</f>
        <v/>
      </c>
      <c r="K371" s="51"/>
      <c r="L371" s="51" t="s">
        <v>257</v>
      </c>
      <c r="M371" s="51"/>
      <c r="N371" s="51"/>
      <c r="O371" s="51"/>
      <c r="P371" s="51"/>
      <c r="Q371" s="51"/>
      <c r="R371" s="51"/>
      <c r="S371" s="51"/>
      <c r="T371" s="51"/>
    </row>
    <row r="372">
      <c r="A372" s="51"/>
      <c r="B372" s="51"/>
      <c r="C372" s="94"/>
      <c r="D372" s="51"/>
      <c r="E372" s="51"/>
      <c r="F372" s="51"/>
      <c r="G372" s="51" t="str">
        <f>IFERROR(__xludf.DUMMYFUNCTION("""COMPUTED_VALUE"""),"#VALUE!")</f>
        <v>#VALUE!</v>
      </c>
      <c r="H372" s="51" t="str">
        <f>IFERROR(__xludf.DUMMYFUNCTION("""COMPUTED_VALUE"""),"")</f>
        <v/>
      </c>
      <c r="I372" s="51" t="str">
        <f>IFERROR(__xludf.DUMMYFUNCTION("""COMPUTED_VALUE"""),"#VALUE!")</f>
        <v>#VALUE!</v>
      </c>
      <c r="J372" s="51" t="str">
        <f>IFERROR(__xludf.DUMMYFUNCTION("""COMPUTED_VALUE"""),"")</f>
        <v/>
      </c>
      <c r="K372" s="51"/>
      <c r="L372" s="51" t="s">
        <v>257</v>
      </c>
      <c r="M372" s="51"/>
      <c r="N372" s="51"/>
      <c r="O372" s="51"/>
      <c r="P372" s="51"/>
      <c r="Q372" s="51"/>
      <c r="R372" s="51"/>
      <c r="S372" s="51"/>
      <c r="T372" s="51"/>
    </row>
    <row r="373">
      <c r="A373" s="51"/>
      <c r="B373" s="51"/>
      <c r="C373" s="94"/>
      <c r="D373" s="51"/>
      <c r="E373" s="51"/>
      <c r="F373" s="51"/>
      <c r="G373" s="51" t="str">
        <f>IFERROR(__xludf.DUMMYFUNCTION("""COMPUTED_VALUE"""),"#VALUE!")</f>
        <v>#VALUE!</v>
      </c>
      <c r="H373" s="51" t="str">
        <f>IFERROR(__xludf.DUMMYFUNCTION("""COMPUTED_VALUE"""),"")</f>
        <v/>
      </c>
      <c r="I373" s="51" t="str">
        <f>IFERROR(__xludf.DUMMYFUNCTION("""COMPUTED_VALUE"""),"#VALUE!")</f>
        <v>#VALUE!</v>
      </c>
      <c r="J373" s="51" t="str">
        <f>IFERROR(__xludf.DUMMYFUNCTION("""COMPUTED_VALUE"""),"")</f>
        <v/>
      </c>
      <c r="K373" s="51"/>
      <c r="L373" s="51" t="s">
        <v>257</v>
      </c>
      <c r="M373" s="51"/>
      <c r="N373" s="51"/>
      <c r="O373" s="51"/>
      <c r="P373" s="51"/>
      <c r="Q373" s="51"/>
      <c r="R373" s="51"/>
      <c r="S373" s="51"/>
      <c r="T373" s="51"/>
    </row>
    <row r="374">
      <c r="A374" s="51"/>
      <c r="B374" s="51"/>
      <c r="C374" s="94"/>
      <c r="D374" s="51"/>
      <c r="E374" s="51"/>
      <c r="F374" s="51"/>
      <c r="G374" s="51" t="str">
        <f>IFERROR(__xludf.DUMMYFUNCTION("""COMPUTED_VALUE"""),"#VALUE!")</f>
        <v>#VALUE!</v>
      </c>
      <c r="H374" s="51" t="str">
        <f>IFERROR(__xludf.DUMMYFUNCTION("""COMPUTED_VALUE"""),"")</f>
        <v/>
      </c>
      <c r="I374" s="51" t="str">
        <f>IFERROR(__xludf.DUMMYFUNCTION("""COMPUTED_VALUE"""),"#VALUE!")</f>
        <v>#VALUE!</v>
      </c>
      <c r="J374" s="51" t="str">
        <f>IFERROR(__xludf.DUMMYFUNCTION("""COMPUTED_VALUE"""),"")</f>
        <v/>
      </c>
      <c r="K374" s="51"/>
      <c r="L374" s="51" t="s">
        <v>257</v>
      </c>
      <c r="M374" s="51"/>
      <c r="N374" s="51"/>
      <c r="O374" s="51"/>
      <c r="P374" s="51"/>
      <c r="Q374" s="51"/>
      <c r="R374" s="51"/>
      <c r="S374" s="51"/>
      <c r="T374" s="51"/>
    </row>
    <row r="375">
      <c r="A375" s="51"/>
      <c r="B375" s="51"/>
      <c r="C375" s="94"/>
      <c r="D375" s="51"/>
      <c r="E375" s="51"/>
      <c r="F375" s="51"/>
      <c r="G375" s="51" t="str">
        <f>IFERROR(__xludf.DUMMYFUNCTION("""COMPUTED_VALUE"""),"#VALUE!")</f>
        <v>#VALUE!</v>
      </c>
      <c r="H375" s="51" t="str">
        <f>IFERROR(__xludf.DUMMYFUNCTION("""COMPUTED_VALUE"""),"")</f>
        <v/>
      </c>
      <c r="I375" s="51" t="str">
        <f>IFERROR(__xludf.DUMMYFUNCTION("""COMPUTED_VALUE"""),"#VALUE!")</f>
        <v>#VALUE!</v>
      </c>
      <c r="J375" s="51" t="str">
        <f>IFERROR(__xludf.DUMMYFUNCTION("""COMPUTED_VALUE"""),"")</f>
        <v/>
      </c>
      <c r="K375" s="51"/>
      <c r="L375" s="51" t="s">
        <v>257</v>
      </c>
      <c r="M375" s="51"/>
      <c r="N375" s="51"/>
      <c r="O375" s="51"/>
      <c r="P375" s="51"/>
      <c r="Q375" s="51"/>
      <c r="R375" s="51"/>
      <c r="S375" s="51"/>
      <c r="T375" s="51"/>
    </row>
    <row r="376">
      <c r="A376" s="51"/>
      <c r="B376" s="51"/>
      <c r="C376" s="94"/>
      <c r="D376" s="51"/>
      <c r="E376" s="51"/>
      <c r="F376" s="51"/>
      <c r="G376" s="51" t="str">
        <f>IFERROR(__xludf.DUMMYFUNCTION("""COMPUTED_VALUE"""),"#VALUE!")</f>
        <v>#VALUE!</v>
      </c>
      <c r="H376" s="51" t="str">
        <f>IFERROR(__xludf.DUMMYFUNCTION("""COMPUTED_VALUE"""),"")</f>
        <v/>
      </c>
      <c r="I376" s="51" t="str">
        <f>IFERROR(__xludf.DUMMYFUNCTION("""COMPUTED_VALUE"""),"#VALUE!")</f>
        <v>#VALUE!</v>
      </c>
      <c r="J376" s="51" t="str">
        <f>IFERROR(__xludf.DUMMYFUNCTION("""COMPUTED_VALUE"""),"")</f>
        <v/>
      </c>
      <c r="K376" s="51"/>
      <c r="L376" s="51" t="s">
        <v>257</v>
      </c>
      <c r="M376" s="51"/>
      <c r="N376" s="51"/>
      <c r="O376" s="51"/>
      <c r="P376" s="51"/>
      <c r="Q376" s="51"/>
      <c r="R376" s="51"/>
      <c r="S376" s="51"/>
      <c r="T376" s="51"/>
    </row>
    <row r="377">
      <c r="A377" s="51"/>
      <c r="B377" s="51"/>
      <c r="C377" s="94"/>
      <c r="D377" s="51"/>
      <c r="E377" s="51"/>
      <c r="F377" s="51"/>
      <c r="G377" s="51" t="str">
        <f>IFERROR(__xludf.DUMMYFUNCTION("""COMPUTED_VALUE"""),"#VALUE!")</f>
        <v>#VALUE!</v>
      </c>
      <c r="H377" s="51" t="str">
        <f>IFERROR(__xludf.DUMMYFUNCTION("""COMPUTED_VALUE"""),"")</f>
        <v/>
      </c>
      <c r="I377" s="51" t="str">
        <f>IFERROR(__xludf.DUMMYFUNCTION("""COMPUTED_VALUE"""),"#VALUE!")</f>
        <v>#VALUE!</v>
      </c>
      <c r="J377" s="51" t="str">
        <f>IFERROR(__xludf.DUMMYFUNCTION("""COMPUTED_VALUE"""),"")</f>
        <v/>
      </c>
      <c r="K377" s="51"/>
      <c r="L377" s="51" t="s">
        <v>257</v>
      </c>
      <c r="M377" s="51"/>
      <c r="N377" s="51"/>
      <c r="O377" s="51"/>
      <c r="P377" s="51"/>
      <c r="Q377" s="51"/>
      <c r="R377" s="51"/>
      <c r="S377" s="51"/>
      <c r="T377" s="51"/>
    </row>
    <row r="378">
      <c r="A378" s="51"/>
      <c r="B378" s="51"/>
      <c r="C378" s="94"/>
      <c r="D378" s="51"/>
      <c r="E378" s="51"/>
      <c r="F378" s="51"/>
      <c r="G378" s="51" t="str">
        <f>IFERROR(__xludf.DUMMYFUNCTION("""COMPUTED_VALUE"""),"#VALUE!")</f>
        <v>#VALUE!</v>
      </c>
      <c r="H378" s="51" t="str">
        <f>IFERROR(__xludf.DUMMYFUNCTION("""COMPUTED_VALUE"""),"")</f>
        <v/>
      </c>
      <c r="I378" s="51" t="str">
        <f>IFERROR(__xludf.DUMMYFUNCTION("""COMPUTED_VALUE"""),"#VALUE!")</f>
        <v>#VALUE!</v>
      </c>
      <c r="J378" s="51" t="str">
        <f>IFERROR(__xludf.DUMMYFUNCTION("""COMPUTED_VALUE"""),"")</f>
        <v/>
      </c>
      <c r="K378" s="51"/>
      <c r="L378" s="51" t="s">
        <v>257</v>
      </c>
      <c r="M378" s="51"/>
      <c r="N378" s="51"/>
      <c r="O378" s="51"/>
      <c r="P378" s="51"/>
      <c r="Q378" s="51"/>
      <c r="R378" s="51"/>
      <c r="S378" s="51"/>
      <c r="T378" s="51"/>
    </row>
    <row r="379">
      <c r="A379" s="51"/>
      <c r="B379" s="51"/>
      <c r="C379" s="94"/>
      <c r="D379" s="51"/>
      <c r="E379" s="51"/>
      <c r="F379" s="51"/>
      <c r="G379" s="51" t="str">
        <f>IFERROR(__xludf.DUMMYFUNCTION("""COMPUTED_VALUE"""),"#VALUE!")</f>
        <v>#VALUE!</v>
      </c>
      <c r="H379" s="51" t="str">
        <f>IFERROR(__xludf.DUMMYFUNCTION("""COMPUTED_VALUE"""),"")</f>
        <v/>
      </c>
      <c r="I379" s="51" t="str">
        <f>IFERROR(__xludf.DUMMYFUNCTION("""COMPUTED_VALUE"""),"#VALUE!")</f>
        <v>#VALUE!</v>
      </c>
      <c r="J379" s="51" t="str">
        <f>IFERROR(__xludf.DUMMYFUNCTION("""COMPUTED_VALUE"""),"")</f>
        <v/>
      </c>
      <c r="K379" s="51"/>
      <c r="L379" s="51" t="s">
        <v>257</v>
      </c>
      <c r="M379" s="51"/>
      <c r="N379" s="51"/>
      <c r="O379" s="51"/>
      <c r="P379" s="51"/>
      <c r="Q379" s="51"/>
      <c r="R379" s="51"/>
      <c r="S379" s="51"/>
      <c r="T379" s="51"/>
    </row>
    <row r="380">
      <c r="A380" s="51"/>
      <c r="B380" s="51"/>
      <c r="C380" s="94"/>
      <c r="D380" s="51"/>
      <c r="E380" s="51"/>
      <c r="F380" s="51"/>
      <c r="G380" s="51" t="str">
        <f>IFERROR(__xludf.DUMMYFUNCTION("""COMPUTED_VALUE"""),"#VALUE!")</f>
        <v>#VALUE!</v>
      </c>
      <c r="H380" s="51" t="str">
        <f>IFERROR(__xludf.DUMMYFUNCTION("""COMPUTED_VALUE"""),"")</f>
        <v/>
      </c>
      <c r="I380" s="51" t="str">
        <f>IFERROR(__xludf.DUMMYFUNCTION("""COMPUTED_VALUE"""),"#VALUE!")</f>
        <v>#VALUE!</v>
      </c>
      <c r="J380" s="51" t="str">
        <f>IFERROR(__xludf.DUMMYFUNCTION("""COMPUTED_VALUE"""),"")</f>
        <v/>
      </c>
      <c r="K380" s="51"/>
      <c r="L380" s="51" t="s">
        <v>257</v>
      </c>
      <c r="M380" s="51"/>
      <c r="N380" s="51"/>
      <c r="O380" s="51"/>
      <c r="P380" s="51"/>
      <c r="Q380" s="51"/>
      <c r="R380" s="51"/>
      <c r="S380" s="51"/>
      <c r="T380" s="51"/>
    </row>
    <row r="381">
      <c r="A381" s="51"/>
      <c r="B381" s="51"/>
      <c r="C381" s="94"/>
      <c r="D381" s="51"/>
      <c r="E381" s="51"/>
      <c r="F381" s="51"/>
      <c r="G381" s="51" t="str">
        <f>IFERROR(__xludf.DUMMYFUNCTION("""COMPUTED_VALUE"""),"#VALUE!")</f>
        <v>#VALUE!</v>
      </c>
      <c r="H381" s="51" t="str">
        <f>IFERROR(__xludf.DUMMYFUNCTION("""COMPUTED_VALUE"""),"")</f>
        <v/>
      </c>
      <c r="I381" s="51" t="str">
        <f>IFERROR(__xludf.DUMMYFUNCTION("""COMPUTED_VALUE"""),"#VALUE!")</f>
        <v>#VALUE!</v>
      </c>
      <c r="J381" s="51" t="str">
        <f>IFERROR(__xludf.DUMMYFUNCTION("""COMPUTED_VALUE"""),"")</f>
        <v/>
      </c>
      <c r="K381" s="51"/>
      <c r="L381" s="51" t="s">
        <v>257</v>
      </c>
      <c r="M381" s="51"/>
      <c r="N381" s="51"/>
      <c r="O381" s="51"/>
      <c r="P381" s="51"/>
      <c r="Q381" s="51"/>
      <c r="R381" s="51"/>
      <c r="S381" s="51"/>
      <c r="T381" s="51"/>
    </row>
    <row r="382">
      <c r="A382" s="51"/>
      <c r="B382" s="51"/>
      <c r="C382" s="94"/>
      <c r="D382" s="51"/>
      <c r="E382" s="51"/>
      <c r="F382" s="51"/>
      <c r="G382" s="51" t="str">
        <f>IFERROR(__xludf.DUMMYFUNCTION("""COMPUTED_VALUE"""),"#VALUE!")</f>
        <v>#VALUE!</v>
      </c>
      <c r="H382" s="51" t="str">
        <f>IFERROR(__xludf.DUMMYFUNCTION("""COMPUTED_VALUE"""),"")</f>
        <v/>
      </c>
      <c r="I382" s="51" t="str">
        <f>IFERROR(__xludf.DUMMYFUNCTION("""COMPUTED_VALUE"""),"#VALUE!")</f>
        <v>#VALUE!</v>
      </c>
      <c r="J382" s="51" t="str">
        <f>IFERROR(__xludf.DUMMYFUNCTION("""COMPUTED_VALUE"""),"")</f>
        <v/>
      </c>
      <c r="K382" s="51"/>
      <c r="L382" s="51" t="s">
        <v>257</v>
      </c>
      <c r="M382" s="51"/>
      <c r="N382" s="51"/>
      <c r="O382" s="51"/>
      <c r="P382" s="51"/>
      <c r="Q382" s="51"/>
      <c r="R382" s="51"/>
      <c r="S382" s="51"/>
      <c r="T382" s="51"/>
    </row>
    <row r="383">
      <c r="A383" s="51"/>
      <c r="B383" s="51"/>
      <c r="C383" s="94"/>
      <c r="D383" s="51"/>
      <c r="E383" s="51"/>
      <c r="F383" s="51"/>
      <c r="G383" s="51" t="str">
        <f>IFERROR(__xludf.DUMMYFUNCTION("""COMPUTED_VALUE"""),"#VALUE!")</f>
        <v>#VALUE!</v>
      </c>
      <c r="H383" s="51" t="str">
        <f>IFERROR(__xludf.DUMMYFUNCTION("""COMPUTED_VALUE"""),"")</f>
        <v/>
      </c>
      <c r="I383" s="51" t="str">
        <f>IFERROR(__xludf.DUMMYFUNCTION("""COMPUTED_VALUE"""),"#VALUE!")</f>
        <v>#VALUE!</v>
      </c>
      <c r="J383" s="51" t="str">
        <f>IFERROR(__xludf.DUMMYFUNCTION("""COMPUTED_VALUE"""),"")</f>
        <v/>
      </c>
      <c r="K383" s="51"/>
      <c r="L383" s="51" t="s">
        <v>257</v>
      </c>
      <c r="M383" s="51"/>
      <c r="N383" s="51"/>
      <c r="O383" s="51"/>
      <c r="P383" s="51"/>
      <c r="Q383" s="51"/>
      <c r="R383" s="51"/>
      <c r="S383" s="51"/>
      <c r="T383" s="51"/>
    </row>
    <row r="384">
      <c r="A384" s="51"/>
      <c r="B384" s="51"/>
      <c r="C384" s="94"/>
      <c r="D384" s="51"/>
      <c r="E384" s="51"/>
      <c r="F384" s="51"/>
      <c r="G384" s="51" t="str">
        <f>IFERROR(__xludf.DUMMYFUNCTION("""COMPUTED_VALUE"""),"#VALUE!")</f>
        <v>#VALUE!</v>
      </c>
      <c r="H384" s="51" t="str">
        <f>IFERROR(__xludf.DUMMYFUNCTION("""COMPUTED_VALUE"""),"")</f>
        <v/>
      </c>
      <c r="I384" s="51" t="str">
        <f>IFERROR(__xludf.DUMMYFUNCTION("""COMPUTED_VALUE"""),"#VALUE!")</f>
        <v>#VALUE!</v>
      </c>
      <c r="J384" s="51" t="str">
        <f>IFERROR(__xludf.DUMMYFUNCTION("""COMPUTED_VALUE"""),"")</f>
        <v/>
      </c>
      <c r="K384" s="51"/>
      <c r="L384" s="51" t="s">
        <v>257</v>
      </c>
      <c r="M384" s="51"/>
      <c r="N384" s="51"/>
      <c r="O384" s="51"/>
      <c r="P384" s="51"/>
      <c r="Q384" s="51"/>
      <c r="R384" s="51"/>
      <c r="S384" s="51"/>
      <c r="T384" s="51"/>
    </row>
    <row r="385">
      <c r="A385" s="51"/>
      <c r="B385" s="51"/>
      <c r="C385" s="94"/>
      <c r="D385" s="51"/>
      <c r="E385" s="51"/>
      <c r="F385" s="51"/>
      <c r="G385" s="51" t="str">
        <f>IFERROR(__xludf.DUMMYFUNCTION("""COMPUTED_VALUE"""),"#VALUE!")</f>
        <v>#VALUE!</v>
      </c>
      <c r="H385" s="51" t="str">
        <f>IFERROR(__xludf.DUMMYFUNCTION("""COMPUTED_VALUE"""),"")</f>
        <v/>
      </c>
      <c r="I385" s="51" t="str">
        <f>IFERROR(__xludf.DUMMYFUNCTION("""COMPUTED_VALUE"""),"#VALUE!")</f>
        <v>#VALUE!</v>
      </c>
      <c r="J385" s="51" t="str">
        <f>IFERROR(__xludf.DUMMYFUNCTION("""COMPUTED_VALUE"""),"")</f>
        <v/>
      </c>
      <c r="K385" s="51"/>
      <c r="L385" s="51" t="s">
        <v>257</v>
      </c>
      <c r="M385" s="51"/>
      <c r="N385" s="51"/>
      <c r="O385" s="51"/>
      <c r="P385" s="51"/>
      <c r="Q385" s="51"/>
      <c r="R385" s="51"/>
      <c r="S385" s="51"/>
      <c r="T385" s="51"/>
    </row>
    <row r="386">
      <c r="A386" s="51"/>
      <c r="B386" s="51"/>
      <c r="C386" s="94"/>
      <c r="D386" s="51"/>
      <c r="E386" s="51"/>
      <c r="F386" s="51"/>
      <c r="G386" s="51" t="str">
        <f>IFERROR(__xludf.DUMMYFUNCTION("""COMPUTED_VALUE"""),"#VALUE!")</f>
        <v>#VALUE!</v>
      </c>
      <c r="H386" s="51" t="str">
        <f>IFERROR(__xludf.DUMMYFUNCTION("""COMPUTED_VALUE"""),"")</f>
        <v/>
      </c>
      <c r="I386" s="51" t="str">
        <f>IFERROR(__xludf.DUMMYFUNCTION("""COMPUTED_VALUE"""),"#VALUE!")</f>
        <v>#VALUE!</v>
      </c>
      <c r="J386" s="51" t="str">
        <f>IFERROR(__xludf.DUMMYFUNCTION("""COMPUTED_VALUE"""),"")</f>
        <v/>
      </c>
      <c r="K386" s="51"/>
      <c r="L386" s="51" t="s">
        <v>257</v>
      </c>
      <c r="M386" s="51"/>
      <c r="N386" s="51"/>
      <c r="O386" s="51"/>
      <c r="P386" s="51"/>
      <c r="Q386" s="51"/>
      <c r="R386" s="51"/>
      <c r="S386" s="51"/>
      <c r="T386" s="51"/>
    </row>
    <row r="387">
      <c r="A387" s="51"/>
      <c r="B387" s="51"/>
      <c r="C387" s="94"/>
      <c r="D387" s="51"/>
      <c r="E387" s="51"/>
      <c r="F387" s="51"/>
      <c r="G387" s="51" t="str">
        <f>IFERROR(__xludf.DUMMYFUNCTION("""COMPUTED_VALUE"""),"#VALUE!")</f>
        <v>#VALUE!</v>
      </c>
      <c r="H387" s="51" t="str">
        <f>IFERROR(__xludf.DUMMYFUNCTION("""COMPUTED_VALUE"""),"")</f>
        <v/>
      </c>
      <c r="I387" s="51" t="str">
        <f>IFERROR(__xludf.DUMMYFUNCTION("""COMPUTED_VALUE"""),"#VALUE!")</f>
        <v>#VALUE!</v>
      </c>
      <c r="J387" s="51" t="str">
        <f>IFERROR(__xludf.DUMMYFUNCTION("""COMPUTED_VALUE"""),"")</f>
        <v/>
      </c>
      <c r="K387" s="51"/>
      <c r="L387" s="51" t="s">
        <v>257</v>
      </c>
      <c r="M387" s="51"/>
      <c r="N387" s="51"/>
      <c r="O387" s="51"/>
      <c r="P387" s="51"/>
      <c r="Q387" s="51"/>
      <c r="R387" s="51"/>
      <c r="S387" s="51"/>
      <c r="T387" s="51"/>
    </row>
    <row r="388">
      <c r="A388" s="51"/>
      <c r="B388" s="51"/>
      <c r="C388" s="94"/>
      <c r="D388" s="51"/>
      <c r="E388" s="51"/>
      <c r="F388" s="51"/>
      <c r="G388" s="51" t="str">
        <f>IFERROR(__xludf.DUMMYFUNCTION("""COMPUTED_VALUE"""),"#VALUE!")</f>
        <v>#VALUE!</v>
      </c>
      <c r="H388" s="51" t="str">
        <f>IFERROR(__xludf.DUMMYFUNCTION("""COMPUTED_VALUE"""),"")</f>
        <v/>
      </c>
      <c r="I388" s="51" t="str">
        <f>IFERROR(__xludf.DUMMYFUNCTION("""COMPUTED_VALUE"""),"#VALUE!")</f>
        <v>#VALUE!</v>
      </c>
      <c r="J388" s="51" t="str">
        <f>IFERROR(__xludf.DUMMYFUNCTION("""COMPUTED_VALUE"""),"")</f>
        <v/>
      </c>
      <c r="K388" s="51"/>
      <c r="L388" s="51" t="s">
        <v>257</v>
      </c>
      <c r="M388" s="51"/>
      <c r="N388" s="51"/>
      <c r="O388" s="51"/>
      <c r="P388" s="51"/>
      <c r="Q388" s="51"/>
      <c r="R388" s="51"/>
      <c r="S388" s="51"/>
      <c r="T388" s="51"/>
    </row>
    <row r="389">
      <c r="A389" s="51"/>
      <c r="B389" s="51"/>
      <c r="C389" s="94"/>
      <c r="D389" s="51"/>
      <c r="E389" s="51"/>
      <c r="F389" s="51"/>
      <c r="G389" s="51" t="str">
        <f>IFERROR(__xludf.DUMMYFUNCTION("""COMPUTED_VALUE"""),"#VALUE!")</f>
        <v>#VALUE!</v>
      </c>
      <c r="H389" s="51" t="str">
        <f>IFERROR(__xludf.DUMMYFUNCTION("""COMPUTED_VALUE"""),"")</f>
        <v/>
      </c>
      <c r="I389" s="51" t="str">
        <f>IFERROR(__xludf.DUMMYFUNCTION("""COMPUTED_VALUE"""),"#VALUE!")</f>
        <v>#VALUE!</v>
      </c>
      <c r="J389" s="51" t="str">
        <f>IFERROR(__xludf.DUMMYFUNCTION("""COMPUTED_VALUE"""),"")</f>
        <v/>
      </c>
      <c r="K389" s="51"/>
      <c r="L389" s="51" t="s">
        <v>257</v>
      </c>
      <c r="M389" s="51"/>
      <c r="N389" s="51"/>
      <c r="O389" s="51"/>
      <c r="P389" s="51"/>
      <c r="Q389" s="51"/>
      <c r="R389" s="51"/>
      <c r="S389" s="51"/>
      <c r="T389" s="51"/>
    </row>
    <row r="390">
      <c r="A390" s="51"/>
      <c r="B390" s="51"/>
      <c r="C390" s="94"/>
      <c r="D390" s="51"/>
      <c r="E390" s="51"/>
      <c r="F390" s="51"/>
      <c r="G390" s="51" t="str">
        <f>IFERROR(__xludf.DUMMYFUNCTION("""COMPUTED_VALUE"""),"#VALUE!")</f>
        <v>#VALUE!</v>
      </c>
      <c r="H390" s="51" t="str">
        <f>IFERROR(__xludf.DUMMYFUNCTION("""COMPUTED_VALUE"""),"")</f>
        <v/>
      </c>
      <c r="I390" s="51" t="str">
        <f>IFERROR(__xludf.DUMMYFUNCTION("""COMPUTED_VALUE"""),"#VALUE!")</f>
        <v>#VALUE!</v>
      </c>
      <c r="J390" s="51" t="str">
        <f>IFERROR(__xludf.DUMMYFUNCTION("""COMPUTED_VALUE"""),"")</f>
        <v/>
      </c>
      <c r="K390" s="51"/>
      <c r="L390" s="51" t="s">
        <v>257</v>
      </c>
      <c r="M390" s="51"/>
      <c r="N390" s="51"/>
      <c r="O390" s="51"/>
      <c r="P390" s="51"/>
      <c r="Q390" s="51"/>
      <c r="R390" s="51"/>
      <c r="S390" s="51"/>
      <c r="T390" s="51"/>
    </row>
    <row r="391">
      <c r="A391" s="51"/>
      <c r="B391" s="51"/>
      <c r="C391" s="94"/>
      <c r="D391" s="51"/>
      <c r="E391" s="51"/>
      <c r="F391" s="51"/>
      <c r="G391" s="51" t="str">
        <f>IFERROR(__xludf.DUMMYFUNCTION("""COMPUTED_VALUE"""),"#VALUE!")</f>
        <v>#VALUE!</v>
      </c>
      <c r="H391" s="51" t="str">
        <f>IFERROR(__xludf.DUMMYFUNCTION("""COMPUTED_VALUE"""),"")</f>
        <v/>
      </c>
      <c r="I391" s="51" t="str">
        <f>IFERROR(__xludf.DUMMYFUNCTION("""COMPUTED_VALUE"""),"#VALUE!")</f>
        <v>#VALUE!</v>
      </c>
      <c r="J391" s="51" t="str">
        <f>IFERROR(__xludf.DUMMYFUNCTION("""COMPUTED_VALUE"""),"")</f>
        <v/>
      </c>
      <c r="K391" s="51"/>
      <c r="L391" s="51" t="s">
        <v>257</v>
      </c>
      <c r="M391" s="51"/>
      <c r="N391" s="51"/>
      <c r="O391" s="51"/>
      <c r="P391" s="51"/>
      <c r="Q391" s="51"/>
      <c r="R391" s="51"/>
      <c r="S391" s="51"/>
      <c r="T391" s="51"/>
    </row>
    <row r="392">
      <c r="A392" s="51"/>
      <c r="B392" s="51"/>
      <c r="C392" s="94"/>
      <c r="D392" s="51"/>
      <c r="E392" s="51"/>
      <c r="F392" s="51"/>
      <c r="G392" s="51" t="str">
        <f>IFERROR(__xludf.DUMMYFUNCTION("""COMPUTED_VALUE"""),"#VALUE!")</f>
        <v>#VALUE!</v>
      </c>
      <c r="H392" s="51" t="str">
        <f>IFERROR(__xludf.DUMMYFUNCTION("""COMPUTED_VALUE"""),"")</f>
        <v/>
      </c>
      <c r="I392" s="51" t="str">
        <f>IFERROR(__xludf.DUMMYFUNCTION("""COMPUTED_VALUE"""),"#VALUE!")</f>
        <v>#VALUE!</v>
      </c>
      <c r="J392" s="51" t="str">
        <f>IFERROR(__xludf.DUMMYFUNCTION("""COMPUTED_VALUE"""),"")</f>
        <v/>
      </c>
      <c r="K392" s="51"/>
      <c r="L392" s="51" t="s">
        <v>257</v>
      </c>
      <c r="M392" s="51"/>
      <c r="N392" s="51"/>
      <c r="O392" s="51"/>
      <c r="P392" s="51"/>
      <c r="Q392" s="51"/>
      <c r="R392" s="51"/>
      <c r="S392" s="51"/>
      <c r="T392" s="51"/>
    </row>
    <row r="393">
      <c r="A393" s="51"/>
      <c r="B393" s="51"/>
      <c r="C393" s="94"/>
      <c r="D393" s="51"/>
      <c r="E393" s="51"/>
      <c r="F393" s="51"/>
      <c r="G393" s="51" t="str">
        <f>IFERROR(__xludf.DUMMYFUNCTION("""COMPUTED_VALUE"""),"#VALUE!")</f>
        <v>#VALUE!</v>
      </c>
      <c r="H393" s="51" t="str">
        <f>IFERROR(__xludf.DUMMYFUNCTION("""COMPUTED_VALUE"""),"")</f>
        <v/>
      </c>
      <c r="I393" s="51" t="str">
        <f>IFERROR(__xludf.DUMMYFUNCTION("""COMPUTED_VALUE"""),"#VALUE!")</f>
        <v>#VALUE!</v>
      </c>
      <c r="J393" s="51" t="str">
        <f>IFERROR(__xludf.DUMMYFUNCTION("""COMPUTED_VALUE"""),"")</f>
        <v/>
      </c>
      <c r="K393" s="51"/>
      <c r="L393" s="51" t="s">
        <v>257</v>
      </c>
      <c r="M393" s="51"/>
      <c r="N393" s="51"/>
      <c r="O393" s="51"/>
      <c r="P393" s="51"/>
      <c r="Q393" s="51"/>
      <c r="R393" s="51"/>
      <c r="S393" s="51"/>
      <c r="T393" s="51"/>
    </row>
    <row r="394">
      <c r="A394" s="51"/>
      <c r="B394" s="51"/>
      <c r="C394" s="94"/>
      <c r="D394" s="51"/>
      <c r="E394" s="51"/>
      <c r="F394" s="51"/>
      <c r="G394" s="51" t="str">
        <f>IFERROR(__xludf.DUMMYFUNCTION("""COMPUTED_VALUE"""),"#VALUE!")</f>
        <v>#VALUE!</v>
      </c>
      <c r="H394" s="51" t="str">
        <f>IFERROR(__xludf.DUMMYFUNCTION("""COMPUTED_VALUE"""),"")</f>
        <v/>
      </c>
      <c r="I394" s="51" t="str">
        <f>IFERROR(__xludf.DUMMYFUNCTION("""COMPUTED_VALUE"""),"#VALUE!")</f>
        <v>#VALUE!</v>
      </c>
      <c r="J394" s="51" t="str">
        <f>IFERROR(__xludf.DUMMYFUNCTION("""COMPUTED_VALUE"""),"")</f>
        <v/>
      </c>
      <c r="K394" s="51"/>
      <c r="L394" s="51" t="s">
        <v>257</v>
      </c>
      <c r="M394" s="51"/>
      <c r="N394" s="51"/>
      <c r="O394" s="51"/>
      <c r="P394" s="51"/>
      <c r="Q394" s="51"/>
      <c r="R394" s="51"/>
      <c r="S394" s="51"/>
      <c r="T394" s="51"/>
    </row>
    <row r="395">
      <c r="A395" s="51"/>
      <c r="B395" s="51"/>
      <c r="C395" s="94"/>
      <c r="D395" s="51"/>
      <c r="E395" s="51"/>
      <c r="F395" s="51"/>
      <c r="G395" s="51" t="str">
        <f>IFERROR(__xludf.DUMMYFUNCTION("""COMPUTED_VALUE"""),"#VALUE!")</f>
        <v>#VALUE!</v>
      </c>
      <c r="H395" s="51" t="str">
        <f>IFERROR(__xludf.DUMMYFUNCTION("""COMPUTED_VALUE"""),"")</f>
        <v/>
      </c>
      <c r="I395" s="51" t="str">
        <f>IFERROR(__xludf.DUMMYFUNCTION("""COMPUTED_VALUE"""),"#VALUE!")</f>
        <v>#VALUE!</v>
      </c>
      <c r="J395" s="51" t="str">
        <f>IFERROR(__xludf.DUMMYFUNCTION("""COMPUTED_VALUE"""),"")</f>
        <v/>
      </c>
      <c r="K395" s="51"/>
      <c r="L395" s="51" t="s">
        <v>257</v>
      </c>
      <c r="M395" s="51"/>
      <c r="N395" s="51"/>
      <c r="O395" s="51"/>
      <c r="P395" s="51"/>
      <c r="Q395" s="51"/>
      <c r="R395" s="51"/>
      <c r="S395" s="51"/>
      <c r="T395" s="51"/>
    </row>
    <row r="396">
      <c r="A396" s="51"/>
      <c r="B396" s="51"/>
      <c r="C396" s="94"/>
      <c r="D396" s="51"/>
      <c r="E396" s="51"/>
      <c r="F396" s="51"/>
      <c r="G396" s="51" t="str">
        <f>IFERROR(__xludf.DUMMYFUNCTION("""COMPUTED_VALUE"""),"#VALUE!")</f>
        <v>#VALUE!</v>
      </c>
      <c r="H396" s="51" t="str">
        <f>IFERROR(__xludf.DUMMYFUNCTION("""COMPUTED_VALUE"""),"")</f>
        <v/>
      </c>
      <c r="I396" s="51" t="str">
        <f>IFERROR(__xludf.DUMMYFUNCTION("""COMPUTED_VALUE"""),"#VALUE!")</f>
        <v>#VALUE!</v>
      </c>
      <c r="J396" s="51" t="str">
        <f>IFERROR(__xludf.DUMMYFUNCTION("""COMPUTED_VALUE"""),"")</f>
        <v/>
      </c>
      <c r="K396" s="51"/>
      <c r="L396" s="51" t="s">
        <v>257</v>
      </c>
      <c r="M396" s="51"/>
      <c r="N396" s="51"/>
      <c r="O396" s="51"/>
      <c r="P396" s="51"/>
      <c r="Q396" s="51"/>
      <c r="R396" s="51"/>
      <c r="S396" s="51"/>
      <c r="T396" s="51"/>
    </row>
    <row r="397">
      <c r="A397" s="51"/>
      <c r="B397" s="51"/>
      <c r="C397" s="94"/>
      <c r="D397" s="51"/>
      <c r="E397" s="51"/>
      <c r="F397" s="51"/>
      <c r="G397" s="51" t="str">
        <f>IFERROR(__xludf.DUMMYFUNCTION("""COMPUTED_VALUE"""),"#VALUE!")</f>
        <v>#VALUE!</v>
      </c>
      <c r="H397" s="51" t="str">
        <f>IFERROR(__xludf.DUMMYFUNCTION("""COMPUTED_VALUE"""),"")</f>
        <v/>
      </c>
      <c r="I397" s="51" t="str">
        <f>IFERROR(__xludf.DUMMYFUNCTION("""COMPUTED_VALUE"""),"#VALUE!")</f>
        <v>#VALUE!</v>
      </c>
      <c r="J397" s="51" t="str">
        <f>IFERROR(__xludf.DUMMYFUNCTION("""COMPUTED_VALUE"""),"")</f>
        <v/>
      </c>
      <c r="K397" s="51"/>
      <c r="L397" s="51" t="s">
        <v>257</v>
      </c>
      <c r="M397" s="51"/>
      <c r="N397" s="51"/>
      <c r="O397" s="51"/>
      <c r="P397" s="51"/>
      <c r="Q397" s="51"/>
      <c r="R397" s="51"/>
      <c r="S397" s="51"/>
      <c r="T397" s="51"/>
    </row>
    <row r="398">
      <c r="A398" s="51"/>
      <c r="B398" s="51"/>
      <c r="C398" s="94"/>
      <c r="D398" s="51"/>
      <c r="E398" s="51"/>
      <c r="F398" s="51"/>
      <c r="G398" s="51" t="str">
        <f>IFERROR(__xludf.DUMMYFUNCTION("""COMPUTED_VALUE"""),"#VALUE!")</f>
        <v>#VALUE!</v>
      </c>
      <c r="H398" s="51" t="str">
        <f>IFERROR(__xludf.DUMMYFUNCTION("""COMPUTED_VALUE"""),"")</f>
        <v/>
      </c>
      <c r="I398" s="51" t="str">
        <f>IFERROR(__xludf.DUMMYFUNCTION("""COMPUTED_VALUE"""),"#VALUE!")</f>
        <v>#VALUE!</v>
      </c>
      <c r="J398" s="51" t="str">
        <f>IFERROR(__xludf.DUMMYFUNCTION("""COMPUTED_VALUE"""),"")</f>
        <v/>
      </c>
      <c r="K398" s="51"/>
      <c r="L398" s="51" t="s">
        <v>257</v>
      </c>
      <c r="M398" s="51"/>
      <c r="N398" s="51"/>
      <c r="O398" s="51"/>
      <c r="P398" s="51"/>
      <c r="Q398" s="51"/>
      <c r="R398" s="51"/>
      <c r="S398" s="51"/>
      <c r="T398" s="51"/>
    </row>
    <row r="399">
      <c r="A399" s="51"/>
      <c r="B399" s="51"/>
      <c r="C399" s="94"/>
      <c r="D399" s="51"/>
      <c r="E399" s="51"/>
      <c r="F399" s="51"/>
      <c r="G399" s="51" t="str">
        <f>IFERROR(__xludf.DUMMYFUNCTION("""COMPUTED_VALUE"""),"#VALUE!")</f>
        <v>#VALUE!</v>
      </c>
      <c r="H399" s="51" t="str">
        <f>IFERROR(__xludf.DUMMYFUNCTION("""COMPUTED_VALUE"""),"")</f>
        <v/>
      </c>
      <c r="I399" s="51" t="str">
        <f>IFERROR(__xludf.DUMMYFUNCTION("""COMPUTED_VALUE"""),"#VALUE!")</f>
        <v>#VALUE!</v>
      </c>
      <c r="J399" s="51" t="str">
        <f>IFERROR(__xludf.DUMMYFUNCTION("""COMPUTED_VALUE"""),"")</f>
        <v/>
      </c>
      <c r="K399" s="51"/>
      <c r="L399" s="51" t="s">
        <v>257</v>
      </c>
      <c r="M399" s="51"/>
      <c r="N399" s="51"/>
      <c r="O399" s="51"/>
      <c r="P399" s="51"/>
      <c r="Q399" s="51"/>
      <c r="R399" s="51"/>
      <c r="S399" s="51"/>
      <c r="T399" s="51"/>
    </row>
    <row r="400">
      <c r="A400" s="51"/>
      <c r="B400" s="51"/>
      <c r="C400" s="94"/>
      <c r="D400" s="51"/>
      <c r="E400" s="51"/>
      <c r="F400" s="51"/>
      <c r="G400" s="51" t="str">
        <f>IFERROR(__xludf.DUMMYFUNCTION("""COMPUTED_VALUE"""),"#VALUE!")</f>
        <v>#VALUE!</v>
      </c>
      <c r="H400" s="51" t="str">
        <f>IFERROR(__xludf.DUMMYFUNCTION("""COMPUTED_VALUE"""),"")</f>
        <v/>
      </c>
      <c r="I400" s="51" t="str">
        <f>IFERROR(__xludf.DUMMYFUNCTION("""COMPUTED_VALUE"""),"#VALUE!")</f>
        <v>#VALUE!</v>
      </c>
      <c r="J400" s="51" t="str">
        <f>IFERROR(__xludf.DUMMYFUNCTION("""COMPUTED_VALUE"""),"")</f>
        <v/>
      </c>
      <c r="K400" s="51"/>
      <c r="L400" s="51" t="s">
        <v>257</v>
      </c>
      <c r="M400" s="51"/>
      <c r="N400" s="51"/>
      <c r="O400" s="51"/>
      <c r="P400" s="51"/>
      <c r="Q400" s="51"/>
      <c r="R400" s="51"/>
      <c r="S400" s="51"/>
      <c r="T400" s="51"/>
    </row>
    <row r="401">
      <c r="A401" s="51"/>
      <c r="B401" s="51"/>
      <c r="C401" s="94"/>
      <c r="D401" s="51"/>
      <c r="E401" s="51"/>
      <c r="F401" s="51"/>
      <c r="G401" s="51" t="str">
        <f>IFERROR(__xludf.DUMMYFUNCTION("""COMPUTED_VALUE"""),"#VALUE!")</f>
        <v>#VALUE!</v>
      </c>
      <c r="H401" s="51" t="str">
        <f>IFERROR(__xludf.DUMMYFUNCTION("""COMPUTED_VALUE"""),"")</f>
        <v/>
      </c>
      <c r="I401" s="51" t="str">
        <f>IFERROR(__xludf.DUMMYFUNCTION("""COMPUTED_VALUE"""),"#VALUE!")</f>
        <v>#VALUE!</v>
      </c>
      <c r="J401" s="51" t="str">
        <f>IFERROR(__xludf.DUMMYFUNCTION("""COMPUTED_VALUE"""),"")</f>
        <v/>
      </c>
      <c r="K401" s="51"/>
      <c r="L401" s="51" t="s">
        <v>257</v>
      </c>
      <c r="M401" s="51"/>
      <c r="N401" s="51"/>
      <c r="O401" s="51"/>
      <c r="P401" s="51"/>
      <c r="Q401" s="51"/>
      <c r="R401" s="51"/>
      <c r="S401" s="51"/>
      <c r="T401" s="51"/>
    </row>
    <row r="402">
      <c r="A402" s="51"/>
      <c r="B402" s="51"/>
      <c r="C402" s="94"/>
      <c r="D402" s="51"/>
      <c r="E402" s="51"/>
      <c r="F402" s="51"/>
      <c r="G402" s="51" t="str">
        <f>IFERROR(__xludf.DUMMYFUNCTION("""COMPUTED_VALUE"""),"#VALUE!")</f>
        <v>#VALUE!</v>
      </c>
      <c r="H402" s="51" t="str">
        <f>IFERROR(__xludf.DUMMYFUNCTION("""COMPUTED_VALUE"""),"")</f>
        <v/>
      </c>
      <c r="I402" s="51" t="str">
        <f>IFERROR(__xludf.DUMMYFUNCTION("""COMPUTED_VALUE"""),"#VALUE!")</f>
        <v>#VALUE!</v>
      </c>
      <c r="J402" s="51" t="str">
        <f>IFERROR(__xludf.DUMMYFUNCTION("""COMPUTED_VALUE"""),"")</f>
        <v/>
      </c>
      <c r="K402" s="51"/>
      <c r="L402" s="51" t="s">
        <v>257</v>
      </c>
      <c r="M402" s="51"/>
      <c r="N402" s="51"/>
      <c r="O402" s="51"/>
      <c r="P402" s="51"/>
      <c r="Q402" s="51"/>
      <c r="R402" s="51"/>
      <c r="S402" s="51"/>
      <c r="T402" s="51"/>
    </row>
    <row r="403">
      <c r="A403" s="51"/>
      <c r="B403" s="51"/>
      <c r="C403" s="94"/>
      <c r="D403" s="51"/>
      <c r="E403" s="51"/>
      <c r="F403" s="51"/>
      <c r="G403" s="51" t="str">
        <f>IFERROR(__xludf.DUMMYFUNCTION("""COMPUTED_VALUE"""),"#VALUE!")</f>
        <v>#VALUE!</v>
      </c>
      <c r="H403" s="51" t="str">
        <f>IFERROR(__xludf.DUMMYFUNCTION("""COMPUTED_VALUE"""),"")</f>
        <v/>
      </c>
      <c r="I403" s="51" t="str">
        <f>IFERROR(__xludf.DUMMYFUNCTION("""COMPUTED_VALUE"""),"#VALUE!")</f>
        <v>#VALUE!</v>
      </c>
      <c r="J403" s="51" t="str">
        <f>IFERROR(__xludf.DUMMYFUNCTION("""COMPUTED_VALUE"""),"")</f>
        <v/>
      </c>
      <c r="K403" s="51"/>
      <c r="L403" s="51" t="s">
        <v>257</v>
      </c>
      <c r="M403" s="51"/>
      <c r="N403" s="51"/>
      <c r="O403" s="51"/>
      <c r="P403" s="51"/>
      <c r="Q403" s="51"/>
      <c r="R403" s="51"/>
      <c r="S403" s="51"/>
      <c r="T403" s="51"/>
    </row>
    <row r="404">
      <c r="A404" s="51"/>
      <c r="B404" s="51"/>
      <c r="C404" s="94"/>
      <c r="D404" s="51"/>
      <c r="E404" s="51"/>
      <c r="F404" s="51"/>
      <c r="G404" s="51" t="str">
        <f>IFERROR(__xludf.DUMMYFUNCTION("""COMPUTED_VALUE"""),"#VALUE!")</f>
        <v>#VALUE!</v>
      </c>
      <c r="H404" s="51" t="str">
        <f>IFERROR(__xludf.DUMMYFUNCTION("""COMPUTED_VALUE"""),"")</f>
        <v/>
      </c>
      <c r="I404" s="51" t="str">
        <f>IFERROR(__xludf.DUMMYFUNCTION("""COMPUTED_VALUE"""),"#VALUE!")</f>
        <v>#VALUE!</v>
      </c>
      <c r="J404" s="51" t="str">
        <f>IFERROR(__xludf.DUMMYFUNCTION("""COMPUTED_VALUE"""),"")</f>
        <v/>
      </c>
      <c r="K404" s="51"/>
      <c r="L404" s="51" t="s">
        <v>257</v>
      </c>
      <c r="M404" s="51"/>
      <c r="N404" s="51"/>
      <c r="O404" s="51"/>
      <c r="P404" s="51"/>
      <c r="Q404" s="51"/>
      <c r="R404" s="51"/>
      <c r="S404" s="51"/>
      <c r="T404" s="51"/>
    </row>
    <row r="405">
      <c r="A405" s="51"/>
      <c r="B405" s="51"/>
      <c r="C405" s="94"/>
      <c r="D405" s="51"/>
      <c r="E405" s="51"/>
      <c r="F405" s="51"/>
      <c r="G405" s="51" t="str">
        <f>IFERROR(__xludf.DUMMYFUNCTION("""COMPUTED_VALUE"""),"#VALUE!")</f>
        <v>#VALUE!</v>
      </c>
      <c r="H405" s="51" t="str">
        <f>IFERROR(__xludf.DUMMYFUNCTION("""COMPUTED_VALUE"""),"")</f>
        <v/>
      </c>
      <c r="I405" s="51" t="str">
        <f>IFERROR(__xludf.DUMMYFUNCTION("""COMPUTED_VALUE"""),"#VALUE!")</f>
        <v>#VALUE!</v>
      </c>
      <c r="J405" s="51" t="str">
        <f>IFERROR(__xludf.DUMMYFUNCTION("""COMPUTED_VALUE"""),"")</f>
        <v/>
      </c>
      <c r="K405" s="51"/>
      <c r="L405" s="51" t="s">
        <v>257</v>
      </c>
      <c r="M405" s="51"/>
      <c r="N405" s="51"/>
      <c r="O405" s="51"/>
      <c r="P405" s="51"/>
      <c r="Q405" s="51"/>
      <c r="R405" s="51"/>
      <c r="S405" s="51"/>
      <c r="T405" s="51"/>
    </row>
    <row r="406">
      <c r="A406" s="51"/>
      <c r="B406" s="51"/>
      <c r="C406" s="94"/>
      <c r="D406" s="51"/>
      <c r="E406" s="51"/>
      <c r="F406" s="51"/>
      <c r="G406" s="51" t="str">
        <f>IFERROR(__xludf.DUMMYFUNCTION("""COMPUTED_VALUE"""),"#VALUE!")</f>
        <v>#VALUE!</v>
      </c>
      <c r="H406" s="51" t="str">
        <f>IFERROR(__xludf.DUMMYFUNCTION("""COMPUTED_VALUE"""),"")</f>
        <v/>
      </c>
      <c r="I406" s="51" t="str">
        <f>IFERROR(__xludf.DUMMYFUNCTION("""COMPUTED_VALUE"""),"#VALUE!")</f>
        <v>#VALUE!</v>
      </c>
      <c r="J406" s="51" t="str">
        <f>IFERROR(__xludf.DUMMYFUNCTION("""COMPUTED_VALUE"""),"")</f>
        <v/>
      </c>
      <c r="K406" s="51"/>
      <c r="L406" s="51" t="s">
        <v>257</v>
      </c>
      <c r="M406" s="51"/>
      <c r="N406" s="51"/>
      <c r="O406" s="51"/>
      <c r="P406" s="51"/>
      <c r="Q406" s="51"/>
      <c r="R406" s="51"/>
      <c r="S406" s="51"/>
      <c r="T406" s="51"/>
    </row>
    <row r="407">
      <c r="A407" s="51"/>
      <c r="B407" s="51"/>
      <c r="C407" s="94"/>
      <c r="D407" s="51"/>
      <c r="E407" s="51"/>
      <c r="F407" s="51"/>
      <c r="G407" s="51" t="str">
        <f>IFERROR(__xludf.DUMMYFUNCTION("""COMPUTED_VALUE"""),"#VALUE!")</f>
        <v>#VALUE!</v>
      </c>
      <c r="H407" s="51" t="str">
        <f>IFERROR(__xludf.DUMMYFUNCTION("""COMPUTED_VALUE"""),"")</f>
        <v/>
      </c>
      <c r="I407" s="51" t="str">
        <f>IFERROR(__xludf.DUMMYFUNCTION("""COMPUTED_VALUE"""),"#VALUE!")</f>
        <v>#VALUE!</v>
      </c>
      <c r="J407" s="51" t="str">
        <f>IFERROR(__xludf.DUMMYFUNCTION("""COMPUTED_VALUE"""),"")</f>
        <v/>
      </c>
      <c r="K407" s="51"/>
      <c r="L407" s="51" t="s">
        <v>257</v>
      </c>
      <c r="M407" s="51"/>
      <c r="N407" s="51"/>
      <c r="O407" s="51"/>
      <c r="P407" s="51"/>
      <c r="Q407" s="51"/>
      <c r="R407" s="51"/>
      <c r="S407" s="51"/>
      <c r="T407" s="51"/>
    </row>
    <row r="408">
      <c r="A408" s="51"/>
      <c r="B408" s="51"/>
      <c r="C408" s="94"/>
      <c r="D408" s="51"/>
      <c r="E408" s="51"/>
      <c r="F408" s="51"/>
      <c r="G408" s="51" t="str">
        <f>IFERROR(__xludf.DUMMYFUNCTION("""COMPUTED_VALUE"""),"#VALUE!")</f>
        <v>#VALUE!</v>
      </c>
      <c r="H408" s="51" t="str">
        <f>IFERROR(__xludf.DUMMYFUNCTION("""COMPUTED_VALUE"""),"")</f>
        <v/>
      </c>
      <c r="I408" s="51" t="str">
        <f>IFERROR(__xludf.DUMMYFUNCTION("""COMPUTED_VALUE"""),"#VALUE!")</f>
        <v>#VALUE!</v>
      </c>
      <c r="J408" s="51" t="str">
        <f>IFERROR(__xludf.DUMMYFUNCTION("""COMPUTED_VALUE"""),"")</f>
        <v/>
      </c>
      <c r="K408" s="51"/>
      <c r="L408" s="51" t="s">
        <v>257</v>
      </c>
      <c r="M408" s="51"/>
      <c r="N408" s="51"/>
      <c r="O408" s="51"/>
      <c r="P408" s="51"/>
      <c r="Q408" s="51"/>
      <c r="R408" s="51"/>
      <c r="S408" s="51"/>
      <c r="T408" s="51"/>
    </row>
    <row r="409">
      <c r="A409" s="51"/>
      <c r="B409" s="51"/>
      <c r="C409" s="94"/>
      <c r="D409" s="51"/>
      <c r="E409" s="51"/>
      <c r="F409" s="51"/>
      <c r="G409" s="51" t="str">
        <f>IFERROR(__xludf.DUMMYFUNCTION("""COMPUTED_VALUE"""),"#VALUE!")</f>
        <v>#VALUE!</v>
      </c>
      <c r="H409" s="51" t="str">
        <f>IFERROR(__xludf.DUMMYFUNCTION("""COMPUTED_VALUE"""),"")</f>
        <v/>
      </c>
      <c r="I409" s="51" t="str">
        <f>IFERROR(__xludf.DUMMYFUNCTION("""COMPUTED_VALUE"""),"#VALUE!")</f>
        <v>#VALUE!</v>
      </c>
      <c r="J409" s="51" t="str">
        <f>IFERROR(__xludf.DUMMYFUNCTION("""COMPUTED_VALUE"""),"")</f>
        <v/>
      </c>
      <c r="K409" s="51"/>
      <c r="L409" s="51" t="s">
        <v>257</v>
      </c>
      <c r="M409" s="51"/>
      <c r="N409" s="51"/>
      <c r="O409" s="51"/>
      <c r="P409" s="51"/>
      <c r="Q409" s="51"/>
      <c r="R409" s="51"/>
      <c r="S409" s="51"/>
      <c r="T409" s="51"/>
    </row>
    <row r="410">
      <c r="A410" s="51"/>
      <c r="B410" s="51"/>
      <c r="C410" s="94"/>
      <c r="D410" s="51"/>
      <c r="E410" s="51"/>
      <c r="F410" s="51"/>
      <c r="G410" s="51" t="str">
        <f>IFERROR(__xludf.DUMMYFUNCTION("""COMPUTED_VALUE"""),"#VALUE!")</f>
        <v>#VALUE!</v>
      </c>
      <c r="H410" s="51" t="str">
        <f>IFERROR(__xludf.DUMMYFUNCTION("""COMPUTED_VALUE"""),"")</f>
        <v/>
      </c>
      <c r="I410" s="51" t="str">
        <f>IFERROR(__xludf.DUMMYFUNCTION("""COMPUTED_VALUE"""),"#VALUE!")</f>
        <v>#VALUE!</v>
      </c>
      <c r="J410" s="51" t="str">
        <f>IFERROR(__xludf.DUMMYFUNCTION("""COMPUTED_VALUE"""),"")</f>
        <v/>
      </c>
      <c r="K410" s="51"/>
      <c r="L410" s="51" t="s">
        <v>257</v>
      </c>
      <c r="M410" s="51"/>
      <c r="N410" s="51"/>
      <c r="O410" s="51"/>
      <c r="P410" s="51"/>
      <c r="Q410" s="51"/>
      <c r="R410" s="51"/>
      <c r="S410" s="51"/>
      <c r="T410" s="51"/>
    </row>
    <row r="411">
      <c r="A411" s="51"/>
      <c r="B411" s="51"/>
      <c r="C411" s="94"/>
      <c r="D411" s="51"/>
      <c r="E411" s="51"/>
      <c r="F411" s="51"/>
      <c r="G411" s="51" t="str">
        <f>IFERROR(__xludf.DUMMYFUNCTION("""COMPUTED_VALUE"""),"#VALUE!")</f>
        <v>#VALUE!</v>
      </c>
      <c r="H411" s="51" t="str">
        <f>IFERROR(__xludf.DUMMYFUNCTION("""COMPUTED_VALUE"""),"")</f>
        <v/>
      </c>
      <c r="I411" s="51" t="str">
        <f>IFERROR(__xludf.DUMMYFUNCTION("""COMPUTED_VALUE"""),"#VALUE!")</f>
        <v>#VALUE!</v>
      </c>
      <c r="J411" s="51" t="str">
        <f>IFERROR(__xludf.DUMMYFUNCTION("""COMPUTED_VALUE"""),"")</f>
        <v/>
      </c>
      <c r="K411" s="51"/>
      <c r="L411" s="51" t="s">
        <v>257</v>
      </c>
      <c r="M411" s="51"/>
      <c r="N411" s="51"/>
      <c r="O411" s="51"/>
      <c r="P411" s="51"/>
      <c r="Q411" s="51"/>
      <c r="R411" s="51"/>
      <c r="S411" s="51"/>
      <c r="T411" s="51"/>
    </row>
    <row r="412">
      <c r="A412" s="51"/>
      <c r="B412" s="51"/>
      <c r="C412" s="94"/>
      <c r="D412" s="51"/>
      <c r="E412" s="51"/>
      <c r="F412" s="51"/>
      <c r="G412" s="51" t="str">
        <f>IFERROR(__xludf.DUMMYFUNCTION("""COMPUTED_VALUE"""),"#VALUE!")</f>
        <v>#VALUE!</v>
      </c>
      <c r="H412" s="51" t="str">
        <f>IFERROR(__xludf.DUMMYFUNCTION("""COMPUTED_VALUE"""),"")</f>
        <v/>
      </c>
      <c r="I412" s="51" t="str">
        <f>IFERROR(__xludf.DUMMYFUNCTION("""COMPUTED_VALUE"""),"#VALUE!")</f>
        <v>#VALUE!</v>
      </c>
      <c r="J412" s="51" t="str">
        <f>IFERROR(__xludf.DUMMYFUNCTION("""COMPUTED_VALUE"""),"")</f>
        <v/>
      </c>
      <c r="K412" s="51"/>
      <c r="L412" s="51" t="s">
        <v>257</v>
      </c>
      <c r="M412" s="51"/>
      <c r="N412" s="51"/>
      <c r="O412" s="51"/>
      <c r="P412" s="51"/>
      <c r="Q412" s="51"/>
      <c r="R412" s="51"/>
      <c r="S412" s="51"/>
      <c r="T412" s="51"/>
    </row>
    <row r="413">
      <c r="A413" s="51"/>
      <c r="B413" s="51"/>
      <c r="C413" s="94"/>
      <c r="D413" s="51"/>
      <c r="E413" s="51"/>
      <c r="F413" s="51"/>
      <c r="G413" s="51" t="str">
        <f>IFERROR(__xludf.DUMMYFUNCTION("""COMPUTED_VALUE"""),"#VALUE!")</f>
        <v>#VALUE!</v>
      </c>
      <c r="H413" s="51" t="str">
        <f>IFERROR(__xludf.DUMMYFUNCTION("""COMPUTED_VALUE"""),"")</f>
        <v/>
      </c>
      <c r="I413" s="51" t="str">
        <f>IFERROR(__xludf.DUMMYFUNCTION("""COMPUTED_VALUE"""),"#VALUE!")</f>
        <v>#VALUE!</v>
      </c>
      <c r="J413" s="51" t="str">
        <f>IFERROR(__xludf.DUMMYFUNCTION("""COMPUTED_VALUE"""),"")</f>
        <v/>
      </c>
      <c r="K413" s="51"/>
      <c r="L413" s="51" t="s">
        <v>257</v>
      </c>
      <c r="M413" s="51"/>
      <c r="N413" s="51"/>
      <c r="O413" s="51"/>
      <c r="P413" s="51"/>
      <c r="Q413" s="51"/>
      <c r="R413" s="51"/>
      <c r="S413" s="51"/>
      <c r="T413" s="51"/>
    </row>
    <row r="414">
      <c r="A414" s="51"/>
      <c r="B414" s="51"/>
      <c r="C414" s="94"/>
      <c r="D414" s="51"/>
      <c r="E414" s="51"/>
      <c r="F414" s="51"/>
      <c r="G414" s="51" t="str">
        <f>IFERROR(__xludf.DUMMYFUNCTION("""COMPUTED_VALUE"""),"#VALUE!")</f>
        <v>#VALUE!</v>
      </c>
      <c r="H414" s="51" t="str">
        <f>IFERROR(__xludf.DUMMYFUNCTION("""COMPUTED_VALUE"""),"")</f>
        <v/>
      </c>
      <c r="I414" s="51" t="str">
        <f>IFERROR(__xludf.DUMMYFUNCTION("""COMPUTED_VALUE"""),"#VALUE!")</f>
        <v>#VALUE!</v>
      </c>
      <c r="J414" s="51" t="str">
        <f>IFERROR(__xludf.DUMMYFUNCTION("""COMPUTED_VALUE"""),"")</f>
        <v/>
      </c>
      <c r="K414" s="51"/>
      <c r="L414" s="51" t="s">
        <v>257</v>
      </c>
      <c r="M414" s="51"/>
      <c r="N414" s="51"/>
      <c r="O414" s="51"/>
      <c r="P414" s="51"/>
      <c r="Q414" s="51"/>
      <c r="R414" s="51"/>
      <c r="S414" s="51"/>
      <c r="T414" s="51"/>
    </row>
    <row r="415">
      <c r="A415" s="51"/>
      <c r="B415" s="51"/>
      <c r="C415" s="94"/>
      <c r="D415" s="51"/>
      <c r="E415" s="51"/>
      <c r="F415" s="51"/>
      <c r="G415" s="51" t="str">
        <f>IFERROR(__xludf.DUMMYFUNCTION("""COMPUTED_VALUE"""),"#VALUE!")</f>
        <v>#VALUE!</v>
      </c>
      <c r="H415" s="51" t="str">
        <f>IFERROR(__xludf.DUMMYFUNCTION("""COMPUTED_VALUE"""),"")</f>
        <v/>
      </c>
      <c r="I415" s="51" t="str">
        <f>IFERROR(__xludf.DUMMYFUNCTION("""COMPUTED_VALUE"""),"#VALUE!")</f>
        <v>#VALUE!</v>
      </c>
      <c r="J415" s="51" t="str">
        <f>IFERROR(__xludf.DUMMYFUNCTION("""COMPUTED_VALUE"""),"")</f>
        <v/>
      </c>
      <c r="K415" s="51"/>
      <c r="L415" s="51" t="s">
        <v>257</v>
      </c>
      <c r="M415" s="51"/>
      <c r="N415" s="51"/>
      <c r="O415" s="51"/>
      <c r="P415" s="51"/>
      <c r="Q415" s="51"/>
      <c r="R415" s="51"/>
      <c r="S415" s="51"/>
      <c r="T415" s="51"/>
    </row>
    <row r="416">
      <c r="A416" s="51"/>
      <c r="B416" s="51"/>
      <c r="C416" s="94"/>
      <c r="D416" s="51"/>
      <c r="E416" s="51"/>
      <c r="F416" s="51"/>
      <c r="G416" s="51" t="str">
        <f>IFERROR(__xludf.DUMMYFUNCTION("""COMPUTED_VALUE"""),"#VALUE!")</f>
        <v>#VALUE!</v>
      </c>
      <c r="H416" s="51" t="str">
        <f>IFERROR(__xludf.DUMMYFUNCTION("""COMPUTED_VALUE"""),"")</f>
        <v/>
      </c>
      <c r="I416" s="51" t="str">
        <f>IFERROR(__xludf.DUMMYFUNCTION("""COMPUTED_VALUE"""),"#VALUE!")</f>
        <v>#VALUE!</v>
      </c>
      <c r="J416" s="51" t="str">
        <f>IFERROR(__xludf.DUMMYFUNCTION("""COMPUTED_VALUE"""),"")</f>
        <v/>
      </c>
      <c r="K416" s="51"/>
      <c r="L416" s="51" t="s">
        <v>257</v>
      </c>
      <c r="M416" s="51"/>
      <c r="N416" s="51"/>
      <c r="O416" s="51"/>
      <c r="P416" s="51"/>
      <c r="Q416" s="51"/>
      <c r="R416" s="51"/>
      <c r="S416" s="51"/>
      <c r="T416" s="51"/>
    </row>
    <row r="417">
      <c r="A417" s="51"/>
      <c r="B417" s="51"/>
      <c r="C417" s="94"/>
      <c r="D417" s="51"/>
      <c r="E417" s="51"/>
      <c r="F417" s="51"/>
      <c r="G417" s="51" t="str">
        <f>IFERROR(__xludf.DUMMYFUNCTION("""COMPUTED_VALUE"""),"#VALUE!")</f>
        <v>#VALUE!</v>
      </c>
      <c r="H417" s="51" t="str">
        <f>IFERROR(__xludf.DUMMYFUNCTION("""COMPUTED_VALUE"""),"")</f>
        <v/>
      </c>
      <c r="I417" s="51" t="str">
        <f>IFERROR(__xludf.DUMMYFUNCTION("""COMPUTED_VALUE"""),"#VALUE!")</f>
        <v>#VALUE!</v>
      </c>
      <c r="J417" s="51" t="str">
        <f>IFERROR(__xludf.DUMMYFUNCTION("""COMPUTED_VALUE"""),"")</f>
        <v/>
      </c>
      <c r="K417" s="51"/>
      <c r="L417" s="51" t="s">
        <v>257</v>
      </c>
      <c r="M417" s="51"/>
      <c r="N417" s="51"/>
      <c r="O417" s="51"/>
      <c r="P417" s="51"/>
      <c r="Q417" s="51"/>
      <c r="R417" s="51"/>
      <c r="S417" s="51"/>
      <c r="T417" s="51"/>
    </row>
    <row r="418">
      <c r="A418" s="51"/>
      <c r="B418" s="51"/>
      <c r="C418" s="94"/>
      <c r="D418" s="51"/>
      <c r="E418" s="51"/>
      <c r="F418" s="51"/>
      <c r="G418" s="51" t="str">
        <f>IFERROR(__xludf.DUMMYFUNCTION("""COMPUTED_VALUE"""),"#VALUE!")</f>
        <v>#VALUE!</v>
      </c>
      <c r="H418" s="51" t="str">
        <f>IFERROR(__xludf.DUMMYFUNCTION("""COMPUTED_VALUE"""),"")</f>
        <v/>
      </c>
      <c r="I418" s="51" t="str">
        <f>IFERROR(__xludf.DUMMYFUNCTION("""COMPUTED_VALUE"""),"#VALUE!")</f>
        <v>#VALUE!</v>
      </c>
      <c r="J418" s="51" t="str">
        <f>IFERROR(__xludf.DUMMYFUNCTION("""COMPUTED_VALUE"""),"")</f>
        <v/>
      </c>
      <c r="K418" s="51"/>
      <c r="L418" s="51" t="s">
        <v>257</v>
      </c>
      <c r="M418" s="51"/>
      <c r="N418" s="51"/>
      <c r="O418" s="51"/>
      <c r="P418" s="51"/>
      <c r="Q418" s="51"/>
      <c r="R418" s="51"/>
      <c r="S418" s="51"/>
      <c r="T418" s="51"/>
    </row>
    <row r="419">
      <c r="A419" s="51"/>
      <c r="B419" s="51"/>
      <c r="C419" s="94"/>
      <c r="D419" s="51"/>
      <c r="E419" s="51"/>
      <c r="F419" s="51"/>
      <c r="G419" s="51" t="str">
        <f>IFERROR(__xludf.DUMMYFUNCTION("""COMPUTED_VALUE"""),"#VALUE!")</f>
        <v>#VALUE!</v>
      </c>
      <c r="H419" s="51" t="str">
        <f>IFERROR(__xludf.DUMMYFUNCTION("""COMPUTED_VALUE"""),"")</f>
        <v/>
      </c>
      <c r="I419" s="51" t="str">
        <f>IFERROR(__xludf.DUMMYFUNCTION("""COMPUTED_VALUE"""),"#VALUE!")</f>
        <v>#VALUE!</v>
      </c>
      <c r="J419" s="51" t="str">
        <f>IFERROR(__xludf.DUMMYFUNCTION("""COMPUTED_VALUE"""),"")</f>
        <v/>
      </c>
      <c r="K419" s="51"/>
      <c r="L419" s="51" t="s">
        <v>257</v>
      </c>
      <c r="M419" s="51"/>
      <c r="N419" s="51"/>
      <c r="O419" s="51"/>
      <c r="P419" s="51"/>
      <c r="Q419" s="51"/>
      <c r="R419" s="51"/>
      <c r="S419" s="51"/>
      <c r="T419" s="51"/>
    </row>
    <row r="420">
      <c r="A420" s="51"/>
      <c r="B420" s="51"/>
      <c r="C420" s="94"/>
      <c r="D420" s="51"/>
      <c r="E420" s="51"/>
      <c r="F420" s="51"/>
      <c r="G420" s="51" t="str">
        <f>IFERROR(__xludf.DUMMYFUNCTION("""COMPUTED_VALUE"""),"#VALUE!")</f>
        <v>#VALUE!</v>
      </c>
      <c r="H420" s="51" t="str">
        <f>IFERROR(__xludf.DUMMYFUNCTION("""COMPUTED_VALUE"""),"")</f>
        <v/>
      </c>
      <c r="I420" s="51" t="str">
        <f>IFERROR(__xludf.DUMMYFUNCTION("""COMPUTED_VALUE"""),"#VALUE!")</f>
        <v>#VALUE!</v>
      </c>
      <c r="J420" s="51" t="str">
        <f>IFERROR(__xludf.DUMMYFUNCTION("""COMPUTED_VALUE"""),"")</f>
        <v/>
      </c>
      <c r="K420" s="51"/>
      <c r="L420" s="51" t="s">
        <v>257</v>
      </c>
      <c r="M420" s="51"/>
      <c r="N420" s="51"/>
      <c r="O420" s="51"/>
      <c r="P420" s="51"/>
      <c r="Q420" s="51"/>
      <c r="R420" s="51"/>
      <c r="S420" s="51"/>
      <c r="T420" s="51"/>
    </row>
    <row r="421">
      <c r="A421" s="51"/>
      <c r="B421" s="51"/>
      <c r="C421" s="94"/>
      <c r="D421" s="51"/>
      <c r="E421" s="51"/>
      <c r="F421" s="51"/>
      <c r="G421" s="51" t="str">
        <f>IFERROR(__xludf.DUMMYFUNCTION("""COMPUTED_VALUE"""),"#VALUE!")</f>
        <v>#VALUE!</v>
      </c>
      <c r="H421" s="51" t="str">
        <f>IFERROR(__xludf.DUMMYFUNCTION("""COMPUTED_VALUE"""),"")</f>
        <v/>
      </c>
      <c r="I421" s="51" t="str">
        <f>IFERROR(__xludf.DUMMYFUNCTION("""COMPUTED_VALUE"""),"#VALUE!")</f>
        <v>#VALUE!</v>
      </c>
      <c r="J421" s="51" t="str">
        <f>IFERROR(__xludf.DUMMYFUNCTION("""COMPUTED_VALUE"""),"")</f>
        <v/>
      </c>
      <c r="K421" s="51"/>
      <c r="L421" s="51" t="s">
        <v>257</v>
      </c>
      <c r="M421" s="51"/>
      <c r="N421" s="51"/>
      <c r="O421" s="51"/>
      <c r="P421" s="51"/>
      <c r="Q421" s="51"/>
      <c r="R421" s="51"/>
      <c r="S421" s="51"/>
      <c r="T421" s="51"/>
    </row>
    <row r="422">
      <c r="A422" s="51"/>
      <c r="B422" s="51"/>
      <c r="C422" s="94"/>
      <c r="D422" s="51"/>
      <c r="E422" s="51"/>
      <c r="F422" s="51"/>
      <c r="G422" s="51" t="str">
        <f>IFERROR(__xludf.DUMMYFUNCTION("""COMPUTED_VALUE"""),"#VALUE!")</f>
        <v>#VALUE!</v>
      </c>
      <c r="H422" s="51" t="str">
        <f>IFERROR(__xludf.DUMMYFUNCTION("""COMPUTED_VALUE"""),"")</f>
        <v/>
      </c>
      <c r="I422" s="51" t="str">
        <f>IFERROR(__xludf.DUMMYFUNCTION("""COMPUTED_VALUE"""),"#VALUE!")</f>
        <v>#VALUE!</v>
      </c>
      <c r="J422" s="51" t="str">
        <f>IFERROR(__xludf.DUMMYFUNCTION("""COMPUTED_VALUE"""),"")</f>
        <v/>
      </c>
      <c r="K422" s="51"/>
      <c r="L422" s="51" t="s">
        <v>257</v>
      </c>
      <c r="M422" s="51"/>
      <c r="N422" s="51"/>
      <c r="O422" s="51"/>
      <c r="P422" s="51"/>
      <c r="Q422" s="51"/>
      <c r="R422" s="51"/>
      <c r="S422" s="51"/>
      <c r="T422" s="51"/>
    </row>
    <row r="423">
      <c r="A423" s="51"/>
      <c r="B423" s="51"/>
      <c r="C423" s="94"/>
      <c r="D423" s="51"/>
      <c r="E423" s="51"/>
      <c r="F423" s="51"/>
      <c r="G423" s="51" t="str">
        <f>IFERROR(__xludf.DUMMYFUNCTION("""COMPUTED_VALUE"""),"#VALUE!")</f>
        <v>#VALUE!</v>
      </c>
      <c r="H423" s="51" t="str">
        <f>IFERROR(__xludf.DUMMYFUNCTION("""COMPUTED_VALUE"""),"")</f>
        <v/>
      </c>
      <c r="I423" s="51" t="str">
        <f>IFERROR(__xludf.DUMMYFUNCTION("""COMPUTED_VALUE"""),"#VALUE!")</f>
        <v>#VALUE!</v>
      </c>
      <c r="J423" s="51" t="str">
        <f>IFERROR(__xludf.DUMMYFUNCTION("""COMPUTED_VALUE"""),"")</f>
        <v/>
      </c>
      <c r="K423" s="51"/>
      <c r="L423" s="51" t="s">
        <v>257</v>
      </c>
      <c r="M423" s="51"/>
      <c r="N423" s="51"/>
      <c r="O423" s="51"/>
      <c r="P423" s="51"/>
      <c r="Q423" s="51"/>
      <c r="R423" s="51"/>
      <c r="S423" s="51"/>
      <c r="T423" s="51"/>
    </row>
    <row r="424">
      <c r="A424" s="51"/>
      <c r="B424" s="51"/>
      <c r="C424" s="94"/>
      <c r="D424" s="51"/>
      <c r="E424" s="51"/>
      <c r="F424" s="51"/>
      <c r="G424" s="51" t="str">
        <f>IFERROR(__xludf.DUMMYFUNCTION("""COMPUTED_VALUE"""),"#VALUE!")</f>
        <v>#VALUE!</v>
      </c>
      <c r="H424" s="51" t="str">
        <f>IFERROR(__xludf.DUMMYFUNCTION("""COMPUTED_VALUE"""),"")</f>
        <v/>
      </c>
      <c r="I424" s="51" t="str">
        <f>IFERROR(__xludf.DUMMYFUNCTION("""COMPUTED_VALUE"""),"#VALUE!")</f>
        <v>#VALUE!</v>
      </c>
      <c r="J424" s="51" t="str">
        <f>IFERROR(__xludf.DUMMYFUNCTION("""COMPUTED_VALUE"""),"")</f>
        <v/>
      </c>
      <c r="K424" s="51"/>
      <c r="L424" s="51" t="s">
        <v>257</v>
      </c>
      <c r="M424" s="51"/>
      <c r="N424" s="51"/>
      <c r="O424" s="51"/>
      <c r="P424" s="51"/>
      <c r="Q424" s="51"/>
      <c r="R424" s="51"/>
      <c r="S424" s="51"/>
      <c r="T424" s="51"/>
    </row>
    <row r="425">
      <c r="A425" s="51"/>
      <c r="B425" s="51"/>
      <c r="C425" s="94"/>
      <c r="D425" s="51"/>
      <c r="E425" s="51"/>
      <c r="F425" s="51"/>
      <c r="G425" s="51" t="str">
        <f>IFERROR(__xludf.DUMMYFUNCTION("""COMPUTED_VALUE"""),"#VALUE!")</f>
        <v>#VALUE!</v>
      </c>
      <c r="H425" s="51" t="str">
        <f>IFERROR(__xludf.DUMMYFUNCTION("""COMPUTED_VALUE"""),"")</f>
        <v/>
      </c>
      <c r="I425" s="51" t="str">
        <f>IFERROR(__xludf.DUMMYFUNCTION("""COMPUTED_VALUE"""),"#VALUE!")</f>
        <v>#VALUE!</v>
      </c>
      <c r="J425" s="51" t="str">
        <f>IFERROR(__xludf.DUMMYFUNCTION("""COMPUTED_VALUE"""),"")</f>
        <v/>
      </c>
      <c r="K425" s="51"/>
      <c r="L425" s="51" t="s">
        <v>257</v>
      </c>
      <c r="M425" s="51"/>
      <c r="N425" s="51"/>
      <c r="O425" s="51"/>
      <c r="P425" s="51"/>
      <c r="Q425" s="51"/>
      <c r="R425" s="51"/>
      <c r="S425" s="51"/>
      <c r="T425" s="51"/>
    </row>
    <row r="426">
      <c r="A426" s="51"/>
      <c r="B426" s="51"/>
      <c r="C426" s="94"/>
      <c r="D426" s="51"/>
      <c r="E426" s="51"/>
      <c r="F426" s="51"/>
      <c r="G426" s="51" t="str">
        <f>IFERROR(__xludf.DUMMYFUNCTION("""COMPUTED_VALUE"""),"#VALUE!")</f>
        <v>#VALUE!</v>
      </c>
      <c r="H426" s="51" t="str">
        <f>IFERROR(__xludf.DUMMYFUNCTION("""COMPUTED_VALUE"""),"")</f>
        <v/>
      </c>
      <c r="I426" s="51" t="str">
        <f>IFERROR(__xludf.DUMMYFUNCTION("""COMPUTED_VALUE"""),"#VALUE!")</f>
        <v>#VALUE!</v>
      </c>
      <c r="J426" s="51" t="str">
        <f>IFERROR(__xludf.DUMMYFUNCTION("""COMPUTED_VALUE"""),"")</f>
        <v/>
      </c>
      <c r="K426" s="51"/>
      <c r="L426" s="51" t="s">
        <v>257</v>
      </c>
      <c r="M426" s="51"/>
      <c r="N426" s="51"/>
      <c r="O426" s="51"/>
      <c r="P426" s="51"/>
      <c r="Q426" s="51"/>
      <c r="R426" s="51"/>
      <c r="S426" s="51"/>
      <c r="T426" s="51"/>
    </row>
    <row r="427">
      <c r="A427" s="51"/>
      <c r="B427" s="51"/>
      <c r="C427" s="94"/>
      <c r="D427" s="51"/>
      <c r="E427" s="51"/>
      <c r="F427" s="51"/>
      <c r="G427" s="51" t="str">
        <f>IFERROR(__xludf.DUMMYFUNCTION("""COMPUTED_VALUE"""),"#VALUE!")</f>
        <v>#VALUE!</v>
      </c>
      <c r="H427" s="51" t="str">
        <f>IFERROR(__xludf.DUMMYFUNCTION("""COMPUTED_VALUE"""),"")</f>
        <v/>
      </c>
      <c r="I427" s="51" t="str">
        <f>IFERROR(__xludf.DUMMYFUNCTION("""COMPUTED_VALUE"""),"#VALUE!")</f>
        <v>#VALUE!</v>
      </c>
      <c r="J427" s="51" t="str">
        <f>IFERROR(__xludf.DUMMYFUNCTION("""COMPUTED_VALUE"""),"")</f>
        <v/>
      </c>
      <c r="K427" s="51"/>
      <c r="L427" s="51" t="s">
        <v>257</v>
      </c>
      <c r="M427" s="51"/>
      <c r="N427" s="51"/>
      <c r="O427" s="51"/>
      <c r="P427" s="51"/>
      <c r="Q427" s="51"/>
      <c r="R427" s="51"/>
      <c r="S427" s="51"/>
      <c r="T427" s="51"/>
    </row>
    <row r="428">
      <c r="A428" s="51"/>
      <c r="B428" s="51"/>
      <c r="C428" s="94"/>
      <c r="D428" s="51"/>
      <c r="E428" s="51"/>
      <c r="F428" s="51"/>
      <c r="G428" s="51" t="str">
        <f>IFERROR(__xludf.DUMMYFUNCTION("""COMPUTED_VALUE"""),"#VALUE!")</f>
        <v>#VALUE!</v>
      </c>
      <c r="H428" s="51" t="str">
        <f>IFERROR(__xludf.DUMMYFUNCTION("""COMPUTED_VALUE"""),"")</f>
        <v/>
      </c>
      <c r="I428" s="51" t="str">
        <f>IFERROR(__xludf.DUMMYFUNCTION("""COMPUTED_VALUE"""),"#VALUE!")</f>
        <v>#VALUE!</v>
      </c>
      <c r="J428" s="51" t="str">
        <f>IFERROR(__xludf.DUMMYFUNCTION("""COMPUTED_VALUE"""),"")</f>
        <v/>
      </c>
      <c r="K428" s="51"/>
      <c r="L428" s="51" t="s">
        <v>257</v>
      </c>
      <c r="M428" s="51"/>
      <c r="N428" s="51"/>
      <c r="O428" s="51"/>
      <c r="P428" s="51"/>
      <c r="Q428" s="51"/>
      <c r="R428" s="51"/>
      <c r="S428" s="51"/>
      <c r="T428" s="51"/>
    </row>
    <row r="429">
      <c r="A429" s="51"/>
      <c r="B429" s="51"/>
      <c r="C429" s="94"/>
      <c r="D429" s="51"/>
      <c r="E429" s="51"/>
      <c r="F429" s="51"/>
      <c r="G429" s="51" t="str">
        <f>IFERROR(__xludf.DUMMYFUNCTION("""COMPUTED_VALUE"""),"#VALUE!")</f>
        <v>#VALUE!</v>
      </c>
      <c r="H429" s="51" t="str">
        <f>IFERROR(__xludf.DUMMYFUNCTION("""COMPUTED_VALUE"""),"")</f>
        <v/>
      </c>
      <c r="I429" s="51" t="str">
        <f>IFERROR(__xludf.DUMMYFUNCTION("""COMPUTED_VALUE"""),"#VALUE!")</f>
        <v>#VALUE!</v>
      </c>
      <c r="J429" s="51" t="str">
        <f>IFERROR(__xludf.DUMMYFUNCTION("""COMPUTED_VALUE"""),"")</f>
        <v/>
      </c>
      <c r="K429" s="51"/>
      <c r="L429" s="51" t="s">
        <v>257</v>
      </c>
      <c r="M429" s="51"/>
      <c r="N429" s="51"/>
      <c r="O429" s="51"/>
      <c r="P429" s="51"/>
      <c r="Q429" s="51"/>
      <c r="R429" s="51"/>
      <c r="S429" s="51"/>
      <c r="T429" s="51"/>
    </row>
    <row r="430">
      <c r="A430" s="51"/>
      <c r="B430" s="51"/>
      <c r="C430" s="94"/>
      <c r="D430" s="51"/>
      <c r="E430" s="51"/>
      <c r="F430" s="51"/>
      <c r="G430" s="51" t="str">
        <f>IFERROR(__xludf.DUMMYFUNCTION("""COMPUTED_VALUE"""),"#VALUE!")</f>
        <v>#VALUE!</v>
      </c>
      <c r="H430" s="51" t="str">
        <f>IFERROR(__xludf.DUMMYFUNCTION("""COMPUTED_VALUE"""),"")</f>
        <v/>
      </c>
      <c r="I430" s="51" t="str">
        <f>IFERROR(__xludf.DUMMYFUNCTION("""COMPUTED_VALUE"""),"#VALUE!")</f>
        <v>#VALUE!</v>
      </c>
      <c r="J430" s="51" t="str">
        <f>IFERROR(__xludf.DUMMYFUNCTION("""COMPUTED_VALUE"""),"")</f>
        <v/>
      </c>
      <c r="K430" s="51"/>
      <c r="L430" s="51" t="s">
        <v>257</v>
      </c>
      <c r="M430" s="51"/>
      <c r="N430" s="51"/>
      <c r="O430" s="51"/>
      <c r="P430" s="51"/>
      <c r="Q430" s="51"/>
      <c r="R430" s="51"/>
      <c r="S430" s="51"/>
      <c r="T430" s="51"/>
    </row>
    <row r="431">
      <c r="A431" s="51"/>
      <c r="B431" s="51"/>
      <c r="C431" s="94"/>
      <c r="D431" s="51"/>
      <c r="E431" s="51"/>
      <c r="F431" s="51"/>
      <c r="G431" s="51" t="str">
        <f>IFERROR(__xludf.DUMMYFUNCTION("""COMPUTED_VALUE"""),"#VALUE!")</f>
        <v>#VALUE!</v>
      </c>
      <c r="H431" s="51" t="str">
        <f>IFERROR(__xludf.DUMMYFUNCTION("""COMPUTED_VALUE"""),"")</f>
        <v/>
      </c>
      <c r="I431" s="51" t="str">
        <f>IFERROR(__xludf.DUMMYFUNCTION("""COMPUTED_VALUE"""),"#VALUE!")</f>
        <v>#VALUE!</v>
      </c>
      <c r="J431" s="51" t="str">
        <f>IFERROR(__xludf.DUMMYFUNCTION("""COMPUTED_VALUE"""),"")</f>
        <v/>
      </c>
      <c r="K431" s="51"/>
      <c r="L431" s="51" t="s">
        <v>257</v>
      </c>
      <c r="M431" s="51"/>
      <c r="N431" s="51"/>
      <c r="O431" s="51"/>
      <c r="P431" s="51"/>
      <c r="Q431" s="51"/>
      <c r="R431" s="51"/>
      <c r="S431" s="51"/>
      <c r="T431" s="51"/>
    </row>
    <row r="432">
      <c r="A432" s="51"/>
      <c r="B432" s="51"/>
      <c r="C432" s="94"/>
      <c r="D432" s="51"/>
      <c r="E432" s="51"/>
      <c r="F432" s="51"/>
      <c r="G432" s="51" t="str">
        <f>IFERROR(__xludf.DUMMYFUNCTION("""COMPUTED_VALUE"""),"#VALUE!")</f>
        <v>#VALUE!</v>
      </c>
      <c r="H432" s="51" t="str">
        <f>IFERROR(__xludf.DUMMYFUNCTION("""COMPUTED_VALUE"""),"")</f>
        <v/>
      </c>
      <c r="I432" s="51" t="str">
        <f>IFERROR(__xludf.DUMMYFUNCTION("""COMPUTED_VALUE"""),"#VALUE!")</f>
        <v>#VALUE!</v>
      </c>
      <c r="J432" s="51" t="str">
        <f>IFERROR(__xludf.DUMMYFUNCTION("""COMPUTED_VALUE"""),"")</f>
        <v/>
      </c>
      <c r="K432" s="51"/>
      <c r="L432" s="51" t="s">
        <v>257</v>
      </c>
      <c r="M432" s="51"/>
      <c r="N432" s="51"/>
      <c r="O432" s="51"/>
      <c r="P432" s="51"/>
      <c r="Q432" s="51"/>
      <c r="R432" s="51"/>
      <c r="S432" s="51"/>
      <c r="T432" s="51"/>
    </row>
    <row r="433">
      <c r="A433" s="51"/>
      <c r="B433" s="51"/>
      <c r="C433" s="94"/>
      <c r="D433" s="51"/>
      <c r="E433" s="51"/>
      <c r="F433" s="51"/>
      <c r="G433" s="51" t="str">
        <f>IFERROR(__xludf.DUMMYFUNCTION("""COMPUTED_VALUE"""),"#VALUE!")</f>
        <v>#VALUE!</v>
      </c>
      <c r="H433" s="51" t="str">
        <f>IFERROR(__xludf.DUMMYFUNCTION("""COMPUTED_VALUE"""),"")</f>
        <v/>
      </c>
      <c r="I433" s="51" t="str">
        <f>IFERROR(__xludf.DUMMYFUNCTION("""COMPUTED_VALUE"""),"#VALUE!")</f>
        <v>#VALUE!</v>
      </c>
      <c r="J433" s="51" t="str">
        <f>IFERROR(__xludf.DUMMYFUNCTION("""COMPUTED_VALUE"""),"")</f>
        <v/>
      </c>
      <c r="K433" s="51"/>
      <c r="L433" s="51" t="s">
        <v>257</v>
      </c>
      <c r="M433" s="51"/>
      <c r="N433" s="51"/>
      <c r="O433" s="51"/>
      <c r="P433" s="51"/>
      <c r="Q433" s="51"/>
      <c r="R433" s="51"/>
      <c r="S433" s="51"/>
      <c r="T433" s="51"/>
    </row>
    <row r="434">
      <c r="A434" s="51"/>
      <c r="B434" s="51"/>
      <c r="C434" s="94"/>
      <c r="D434" s="51"/>
      <c r="E434" s="51"/>
      <c r="F434" s="51"/>
      <c r="G434" s="51" t="str">
        <f>IFERROR(__xludf.DUMMYFUNCTION("""COMPUTED_VALUE"""),"#VALUE!")</f>
        <v>#VALUE!</v>
      </c>
      <c r="H434" s="51" t="str">
        <f>IFERROR(__xludf.DUMMYFUNCTION("""COMPUTED_VALUE"""),"")</f>
        <v/>
      </c>
      <c r="I434" s="51" t="str">
        <f>IFERROR(__xludf.DUMMYFUNCTION("""COMPUTED_VALUE"""),"#VALUE!")</f>
        <v>#VALUE!</v>
      </c>
      <c r="J434" s="51" t="str">
        <f>IFERROR(__xludf.DUMMYFUNCTION("""COMPUTED_VALUE"""),"")</f>
        <v/>
      </c>
      <c r="K434" s="51"/>
      <c r="L434" s="51" t="s">
        <v>257</v>
      </c>
      <c r="M434" s="51"/>
      <c r="N434" s="51"/>
      <c r="O434" s="51"/>
      <c r="P434" s="51"/>
      <c r="Q434" s="51"/>
      <c r="R434" s="51"/>
      <c r="S434" s="51"/>
      <c r="T434" s="51"/>
    </row>
    <row r="435">
      <c r="A435" s="51"/>
      <c r="B435" s="51"/>
      <c r="C435" s="94"/>
      <c r="D435" s="51"/>
      <c r="E435" s="51"/>
      <c r="F435" s="51"/>
      <c r="G435" s="51" t="str">
        <f>IFERROR(__xludf.DUMMYFUNCTION("""COMPUTED_VALUE"""),"#VALUE!")</f>
        <v>#VALUE!</v>
      </c>
      <c r="H435" s="51" t="str">
        <f>IFERROR(__xludf.DUMMYFUNCTION("""COMPUTED_VALUE"""),"")</f>
        <v/>
      </c>
      <c r="I435" s="51" t="str">
        <f>IFERROR(__xludf.DUMMYFUNCTION("""COMPUTED_VALUE"""),"#VALUE!")</f>
        <v>#VALUE!</v>
      </c>
      <c r="J435" s="51" t="str">
        <f>IFERROR(__xludf.DUMMYFUNCTION("""COMPUTED_VALUE"""),"")</f>
        <v/>
      </c>
      <c r="K435" s="51"/>
      <c r="L435" s="51" t="s">
        <v>257</v>
      </c>
      <c r="M435" s="51"/>
      <c r="N435" s="51"/>
      <c r="O435" s="51"/>
      <c r="P435" s="51"/>
      <c r="Q435" s="51"/>
      <c r="R435" s="51"/>
      <c r="S435" s="51"/>
      <c r="T435" s="51"/>
    </row>
    <row r="436">
      <c r="A436" s="51"/>
      <c r="B436" s="51"/>
      <c r="C436" s="94"/>
      <c r="D436" s="51"/>
      <c r="E436" s="51"/>
      <c r="F436" s="51"/>
      <c r="G436" s="51" t="str">
        <f>IFERROR(__xludf.DUMMYFUNCTION("""COMPUTED_VALUE"""),"#VALUE!")</f>
        <v>#VALUE!</v>
      </c>
      <c r="H436" s="51" t="str">
        <f>IFERROR(__xludf.DUMMYFUNCTION("""COMPUTED_VALUE"""),"")</f>
        <v/>
      </c>
      <c r="I436" s="51" t="str">
        <f>IFERROR(__xludf.DUMMYFUNCTION("""COMPUTED_VALUE"""),"#VALUE!")</f>
        <v>#VALUE!</v>
      </c>
      <c r="J436" s="51" t="str">
        <f>IFERROR(__xludf.DUMMYFUNCTION("""COMPUTED_VALUE"""),"")</f>
        <v/>
      </c>
      <c r="K436" s="51"/>
      <c r="L436" s="51" t="s">
        <v>257</v>
      </c>
      <c r="M436" s="51"/>
      <c r="N436" s="51"/>
      <c r="O436" s="51"/>
      <c r="P436" s="51"/>
      <c r="Q436" s="51"/>
      <c r="R436" s="51"/>
      <c r="S436" s="51"/>
      <c r="T436" s="51"/>
    </row>
    <row r="437">
      <c r="A437" s="51"/>
      <c r="B437" s="51"/>
      <c r="C437" s="94"/>
      <c r="D437" s="51"/>
      <c r="E437" s="51"/>
      <c r="F437" s="51"/>
      <c r="G437" s="51" t="str">
        <f>IFERROR(__xludf.DUMMYFUNCTION("""COMPUTED_VALUE"""),"#VALUE!")</f>
        <v>#VALUE!</v>
      </c>
      <c r="H437" s="51" t="str">
        <f>IFERROR(__xludf.DUMMYFUNCTION("""COMPUTED_VALUE"""),"")</f>
        <v/>
      </c>
      <c r="I437" s="51" t="str">
        <f>IFERROR(__xludf.DUMMYFUNCTION("""COMPUTED_VALUE"""),"#VALUE!")</f>
        <v>#VALUE!</v>
      </c>
      <c r="J437" s="51" t="str">
        <f>IFERROR(__xludf.DUMMYFUNCTION("""COMPUTED_VALUE"""),"")</f>
        <v/>
      </c>
      <c r="K437" s="51"/>
      <c r="L437" s="51" t="s">
        <v>257</v>
      </c>
      <c r="M437" s="51"/>
      <c r="N437" s="51"/>
      <c r="O437" s="51"/>
      <c r="P437" s="51"/>
      <c r="Q437" s="51"/>
      <c r="R437" s="51"/>
      <c r="S437" s="51"/>
      <c r="T437" s="51"/>
    </row>
    <row r="438">
      <c r="A438" s="51"/>
      <c r="B438" s="51"/>
      <c r="C438" s="94"/>
      <c r="D438" s="51"/>
      <c r="E438" s="51"/>
      <c r="F438" s="51"/>
      <c r="G438" s="51" t="str">
        <f>IFERROR(__xludf.DUMMYFUNCTION("""COMPUTED_VALUE"""),"#VALUE!")</f>
        <v>#VALUE!</v>
      </c>
      <c r="H438" s="51" t="str">
        <f>IFERROR(__xludf.DUMMYFUNCTION("""COMPUTED_VALUE"""),"")</f>
        <v/>
      </c>
      <c r="I438" s="51" t="str">
        <f>IFERROR(__xludf.DUMMYFUNCTION("""COMPUTED_VALUE"""),"#VALUE!")</f>
        <v>#VALUE!</v>
      </c>
      <c r="J438" s="51" t="str">
        <f>IFERROR(__xludf.DUMMYFUNCTION("""COMPUTED_VALUE"""),"")</f>
        <v/>
      </c>
      <c r="K438" s="51"/>
      <c r="L438" s="51" t="s">
        <v>257</v>
      </c>
      <c r="M438" s="51"/>
      <c r="N438" s="51"/>
      <c r="O438" s="51"/>
      <c r="P438" s="51"/>
      <c r="Q438" s="51"/>
      <c r="R438" s="51"/>
      <c r="S438" s="51"/>
      <c r="T438" s="51"/>
    </row>
    <row r="439">
      <c r="A439" s="51"/>
      <c r="B439" s="51"/>
      <c r="C439" s="94"/>
      <c r="D439" s="51"/>
      <c r="E439" s="51"/>
      <c r="F439" s="51"/>
      <c r="G439" s="51" t="str">
        <f>IFERROR(__xludf.DUMMYFUNCTION("""COMPUTED_VALUE"""),"#VALUE!")</f>
        <v>#VALUE!</v>
      </c>
      <c r="H439" s="51" t="str">
        <f>IFERROR(__xludf.DUMMYFUNCTION("""COMPUTED_VALUE"""),"")</f>
        <v/>
      </c>
      <c r="I439" s="51" t="str">
        <f>IFERROR(__xludf.DUMMYFUNCTION("""COMPUTED_VALUE"""),"#VALUE!")</f>
        <v>#VALUE!</v>
      </c>
      <c r="J439" s="51" t="str">
        <f>IFERROR(__xludf.DUMMYFUNCTION("""COMPUTED_VALUE"""),"")</f>
        <v/>
      </c>
      <c r="K439" s="51"/>
      <c r="L439" s="51" t="s">
        <v>257</v>
      </c>
      <c r="M439" s="51"/>
      <c r="N439" s="51"/>
      <c r="O439" s="51"/>
      <c r="P439" s="51"/>
      <c r="Q439" s="51"/>
      <c r="R439" s="51"/>
      <c r="S439" s="51"/>
      <c r="T439" s="51"/>
    </row>
    <row r="440">
      <c r="A440" s="51"/>
      <c r="B440" s="51"/>
      <c r="C440" s="94"/>
      <c r="D440" s="51"/>
      <c r="E440" s="51"/>
      <c r="F440" s="51"/>
      <c r="G440" s="51" t="str">
        <f>IFERROR(__xludf.DUMMYFUNCTION("""COMPUTED_VALUE"""),"#VALUE!")</f>
        <v>#VALUE!</v>
      </c>
      <c r="H440" s="51" t="str">
        <f>IFERROR(__xludf.DUMMYFUNCTION("""COMPUTED_VALUE"""),"")</f>
        <v/>
      </c>
      <c r="I440" s="51" t="str">
        <f>IFERROR(__xludf.DUMMYFUNCTION("""COMPUTED_VALUE"""),"#VALUE!")</f>
        <v>#VALUE!</v>
      </c>
      <c r="J440" s="51" t="str">
        <f>IFERROR(__xludf.DUMMYFUNCTION("""COMPUTED_VALUE"""),"")</f>
        <v/>
      </c>
      <c r="K440" s="51"/>
      <c r="L440" s="51" t="s">
        <v>257</v>
      </c>
      <c r="M440" s="51"/>
      <c r="N440" s="51"/>
      <c r="O440" s="51"/>
      <c r="P440" s="51"/>
      <c r="Q440" s="51"/>
      <c r="R440" s="51"/>
      <c r="S440" s="51"/>
      <c r="T440" s="51"/>
    </row>
    <row r="441">
      <c r="A441" s="51"/>
      <c r="B441" s="51"/>
      <c r="C441" s="94"/>
      <c r="D441" s="51"/>
      <c r="E441" s="51"/>
      <c r="F441" s="51"/>
      <c r="G441" s="51" t="str">
        <f>IFERROR(__xludf.DUMMYFUNCTION("""COMPUTED_VALUE"""),"#VALUE!")</f>
        <v>#VALUE!</v>
      </c>
      <c r="H441" s="51" t="str">
        <f>IFERROR(__xludf.DUMMYFUNCTION("""COMPUTED_VALUE"""),"")</f>
        <v/>
      </c>
      <c r="I441" s="51" t="str">
        <f>IFERROR(__xludf.DUMMYFUNCTION("""COMPUTED_VALUE"""),"#VALUE!")</f>
        <v>#VALUE!</v>
      </c>
      <c r="J441" s="51" t="str">
        <f>IFERROR(__xludf.DUMMYFUNCTION("""COMPUTED_VALUE"""),"")</f>
        <v/>
      </c>
      <c r="K441" s="51"/>
      <c r="L441" s="51" t="s">
        <v>257</v>
      </c>
      <c r="M441" s="51"/>
      <c r="N441" s="51"/>
      <c r="O441" s="51"/>
      <c r="P441" s="51"/>
      <c r="Q441" s="51"/>
      <c r="R441" s="51"/>
      <c r="S441" s="51"/>
      <c r="T441" s="51"/>
    </row>
    <row r="442">
      <c r="A442" s="51"/>
      <c r="B442" s="51"/>
      <c r="C442" s="94"/>
      <c r="D442" s="51"/>
      <c r="E442" s="51"/>
      <c r="F442" s="51"/>
      <c r="G442" s="51" t="str">
        <f>IFERROR(__xludf.DUMMYFUNCTION("""COMPUTED_VALUE"""),"#VALUE!")</f>
        <v>#VALUE!</v>
      </c>
      <c r="H442" s="51" t="str">
        <f>IFERROR(__xludf.DUMMYFUNCTION("""COMPUTED_VALUE"""),"")</f>
        <v/>
      </c>
      <c r="I442" s="51" t="str">
        <f>IFERROR(__xludf.DUMMYFUNCTION("""COMPUTED_VALUE"""),"#VALUE!")</f>
        <v>#VALUE!</v>
      </c>
      <c r="J442" s="51" t="str">
        <f>IFERROR(__xludf.DUMMYFUNCTION("""COMPUTED_VALUE"""),"")</f>
        <v/>
      </c>
      <c r="K442" s="51"/>
      <c r="L442" s="51" t="s">
        <v>257</v>
      </c>
      <c r="M442" s="51"/>
      <c r="N442" s="51"/>
      <c r="O442" s="51"/>
      <c r="P442" s="51"/>
      <c r="Q442" s="51"/>
      <c r="R442" s="51"/>
      <c r="S442" s="51"/>
      <c r="T442" s="51"/>
    </row>
    <row r="443">
      <c r="A443" s="51"/>
      <c r="B443" s="51"/>
      <c r="C443" s="94"/>
      <c r="D443" s="51"/>
      <c r="E443" s="51"/>
      <c r="F443" s="51"/>
      <c r="G443" s="51" t="str">
        <f>IFERROR(__xludf.DUMMYFUNCTION("""COMPUTED_VALUE"""),"#VALUE!")</f>
        <v>#VALUE!</v>
      </c>
      <c r="H443" s="51" t="str">
        <f>IFERROR(__xludf.DUMMYFUNCTION("""COMPUTED_VALUE"""),"")</f>
        <v/>
      </c>
      <c r="I443" s="51" t="str">
        <f>IFERROR(__xludf.DUMMYFUNCTION("""COMPUTED_VALUE"""),"#VALUE!")</f>
        <v>#VALUE!</v>
      </c>
      <c r="J443" s="51" t="str">
        <f>IFERROR(__xludf.DUMMYFUNCTION("""COMPUTED_VALUE"""),"")</f>
        <v/>
      </c>
      <c r="K443" s="51"/>
      <c r="L443" s="51" t="s">
        <v>257</v>
      </c>
      <c r="M443" s="51"/>
      <c r="N443" s="51"/>
      <c r="O443" s="51"/>
      <c r="P443" s="51"/>
      <c r="Q443" s="51"/>
      <c r="R443" s="51"/>
      <c r="S443" s="51"/>
      <c r="T443" s="51"/>
    </row>
    <row r="444">
      <c r="A444" s="51"/>
      <c r="B444" s="51"/>
      <c r="C444" s="94"/>
      <c r="D444" s="51"/>
      <c r="E444" s="51"/>
      <c r="F444" s="51"/>
      <c r="G444" s="51" t="str">
        <f>IFERROR(__xludf.DUMMYFUNCTION("""COMPUTED_VALUE"""),"#VALUE!")</f>
        <v>#VALUE!</v>
      </c>
      <c r="H444" s="51" t="str">
        <f>IFERROR(__xludf.DUMMYFUNCTION("""COMPUTED_VALUE"""),"")</f>
        <v/>
      </c>
      <c r="I444" s="51" t="str">
        <f>IFERROR(__xludf.DUMMYFUNCTION("""COMPUTED_VALUE"""),"#VALUE!")</f>
        <v>#VALUE!</v>
      </c>
      <c r="J444" s="51" t="str">
        <f>IFERROR(__xludf.DUMMYFUNCTION("""COMPUTED_VALUE"""),"")</f>
        <v/>
      </c>
      <c r="K444" s="51"/>
      <c r="L444" s="51" t="s">
        <v>257</v>
      </c>
      <c r="M444" s="51"/>
      <c r="N444" s="51"/>
      <c r="O444" s="51"/>
      <c r="P444" s="51"/>
      <c r="Q444" s="51"/>
      <c r="R444" s="51"/>
      <c r="S444" s="51"/>
      <c r="T444" s="51"/>
    </row>
    <row r="445">
      <c r="A445" s="51"/>
      <c r="B445" s="51"/>
      <c r="C445" s="94"/>
      <c r="D445" s="51"/>
      <c r="E445" s="51"/>
      <c r="F445" s="51"/>
      <c r="G445" s="51" t="str">
        <f>IFERROR(__xludf.DUMMYFUNCTION("""COMPUTED_VALUE"""),"#VALUE!")</f>
        <v>#VALUE!</v>
      </c>
      <c r="H445" s="51" t="str">
        <f>IFERROR(__xludf.DUMMYFUNCTION("""COMPUTED_VALUE"""),"")</f>
        <v/>
      </c>
      <c r="I445" s="51" t="str">
        <f>IFERROR(__xludf.DUMMYFUNCTION("""COMPUTED_VALUE"""),"#VALUE!")</f>
        <v>#VALUE!</v>
      </c>
      <c r="J445" s="51" t="str">
        <f>IFERROR(__xludf.DUMMYFUNCTION("""COMPUTED_VALUE"""),"")</f>
        <v/>
      </c>
      <c r="K445" s="51"/>
      <c r="L445" s="51" t="s">
        <v>257</v>
      </c>
      <c r="M445" s="51"/>
      <c r="N445" s="51"/>
      <c r="O445" s="51"/>
      <c r="P445" s="51"/>
      <c r="Q445" s="51"/>
      <c r="R445" s="51"/>
      <c r="S445" s="51"/>
      <c r="T445" s="51"/>
    </row>
    <row r="446">
      <c r="A446" s="51"/>
      <c r="B446" s="51"/>
      <c r="C446" s="94"/>
      <c r="D446" s="51"/>
      <c r="E446" s="51"/>
      <c r="F446" s="51"/>
      <c r="G446" s="51" t="str">
        <f>IFERROR(__xludf.DUMMYFUNCTION("""COMPUTED_VALUE"""),"#VALUE!")</f>
        <v>#VALUE!</v>
      </c>
      <c r="H446" s="51" t="str">
        <f>IFERROR(__xludf.DUMMYFUNCTION("""COMPUTED_VALUE"""),"")</f>
        <v/>
      </c>
      <c r="I446" s="51" t="str">
        <f>IFERROR(__xludf.DUMMYFUNCTION("""COMPUTED_VALUE"""),"#VALUE!")</f>
        <v>#VALUE!</v>
      </c>
      <c r="J446" s="51" t="str">
        <f>IFERROR(__xludf.DUMMYFUNCTION("""COMPUTED_VALUE"""),"")</f>
        <v/>
      </c>
      <c r="K446" s="51"/>
      <c r="L446" s="51" t="s">
        <v>257</v>
      </c>
      <c r="M446" s="51"/>
      <c r="N446" s="51"/>
      <c r="O446" s="51"/>
      <c r="P446" s="51"/>
      <c r="Q446" s="51"/>
      <c r="R446" s="51"/>
      <c r="S446" s="51"/>
      <c r="T446" s="51"/>
    </row>
    <row r="447">
      <c r="A447" s="51"/>
      <c r="B447" s="51"/>
      <c r="C447" s="94"/>
      <c r="D447" s="51"/>
      <c r="E447" s="51"/>
      <c r="F447" s="51"/>
      <c r="G447" s="51" t="str">
        <f>IFERROR(__xludf.DUMMYFUNCTION("""COMPUTED_VALUE"""),"#VALUE!")</f>
        <v>#VALUE!</v>
      </c>
      <c r="H447" s="51" t="str">
        <f>IFERROR(__xludf.DUMMYFUNCTION("""COMPUTED_VALUE"""),"")</f>
        <v/>
      </c>
      <c r="I447" s="51" t="str">
        <f>IFERROR(__xludf.DUMMYFUNCTION("""COMPUTED_VALUE"""),"#VALUE!")</f>
        <v>#VALUE!</v>
      </c>
      <c r="J447" s="51" t="str">
        <f>IFERROR(__xludf.DUMMYFUNCTION("""COMPUTED_VALUE"""),"")</f>
        <v/>
      </c>
      <c r="K447" s="51"/>
      <c r="L447" s="51" t="s">
        <v>257</v>
      </c>
      <c r="M447" s="51"/>
      <c r="N447" s="51"/>
      <c r="O447" s="51"/>
      <c r="P447" s="51"/>
      <c r="Q447" s="51"/>
      <c r="R447" s="51"/>
      <c r="S447" s="51"/>
      <c r="T447" s="51"/>
    </row>
    <row r="448">
      <c r="A448" s="51"/>
      <c r="B448" s="51"/>
      <c r="C448" s="94"/>
      <c r="D448" s="51"/>
      <c r="E448" s="51"/>
      <c r="F448" s="51"/>
      <c r="G448" s="51" t="str">
        <f>IFERROR(__xludf.DUMMYFUNCTION("""COMPUTED_VALUE"""),"#VALUE!")</f>
        <v>#VALUE!</v>
      </c>
      <c r="H448" s="51" t="str">
        <f>IFERROR(__xludf.DUMMYFUNCTION("""COMPUTED_VALUE"""),"")</f>
        <v/>
      </c>
      <c r="I448" s="51" t="str">
        <f>IFERROR(__xludf.DUMMYFUNCTION("""COMPUTED_VALUE"""),"#VALUE!")</f>
        <v>#VALUE!</v>
      </c>
      <c r="J448" s="51" t="str">
        <f>IFERROR(__xludf.DUMMYFUNCTION("""COMPUTED_VALUE"""),"")</f>
        <v/>
      </c>
      <c r="K448" s="51"/>
      <c r="L448" s="51" t="s">
        <v>257</v>
      </c>
      <c r="M448" s="51"/>
      <c r="N448" s="51"/>
      <c r="O448" s="51"/>
      <c r="P448" s="51"/>
      <c r="Q448" s="51"/>
      <c r="R448" s="51"/>
      <c r="S448" s="51"/>
      <c r="T448" s="51"/>
    </row>
    <row r="449">
      <c r="A449" s="51"/>
      <c r="B449" s="51"/>
      <c r="C449" s="94"/>
      <c r="D449" s="51"/>
      <c r="E449" s="51"/>
      <c r="F449" s="51"/>
      <c r="G449" s="51" t="str">
        <f>IFERROR(__xludf.DUMMYFUNCTION("""COMPUTED_VALUE"""),"#VALUE!")</f>
        <v>#VALUE!</v>
      </c>
      <c r="H449" s="51" t="str">
        <f>IFERROR(__xludf.DUMMYFUNCTION("""COMPUTED_VALUE"""),"")</f>
        <v/>
      </c>
      <c r="I449" s="51" t="str">
        <f>IFERROR(__xludf.DUMMYFUNCTION("""COMPUTED_VALUE"""),"#VALUE!")</f>
        <v>#VALUE!</v>
      </c>
      <c r="J449" s="51" t="str">
        <f>IFERROR(__xludf.DUMMYFUNCTION("""COMPUTED_VALUE"""),"")</f>
        <v/>
      </c>
      <c r="K449" s="51"/>
      <c r="L449" s="51" t="s">
        <v>257</v>
      </c>
      <c r="M449" s="51"/>
      <c r="N449" s="51"/>
      <c r="O449" s="51"/>
      <c r="P449" s="51"/>
      <c r="Q449" s="51"/>
      <c r="R449" s="51"/>
      <c r="S449" s="51"/>
      <c r="T449" s="51"/>
    </row>
    <row r="450">
      <c r="A450" s="51"/>
      <c r="B450" s="51"/>
      <c r="C450" s="94"/>
      <c r="D450" s="51"/>
      <c r="E450" s="51"/>
      <c r="F450" s="51"/>
      <c r="G450" s="51" t="str">
        <f>IFERROR(__xludf.DUMMYFUNCTION("""COMPUTED_VALUE"""),"#VALUE!")</f>
        <v>#VALUE!</v>
      </c>
      <c r="H450" s="51" t="str">
        <f>IFERROR(__xludf.DUMMYFUNCTION("""COMPUTED_VALUE"""),"")</f>
        <v/>
      </c>
      <c r="I450" s="51" t="str">
        <f>IFERROR(__xludf.DUMMYFUNCTION("""COMPUTED_VALUE"""),"#VALUE!")</f>
        <v>#VALUE!</v>
      </c>
      <c r="J450" s="51" t="str">
        <f>IFERROR(__xludf.DUMMYFUNCTION("""COMPUTED_VALUE"""),"")</f>
        <v/>
      </c>
      <c r="K450" s="51"/>
      <c r="L450" s="51" t="s">
        <v>257</v>
      </c>
      <c r="M450" s="51"/>
      <c r="N450" s="51"/>
      <c r="O450" s="51"/>
      <c r="P450" s="51"/>
      <c r="Q450" s="51"/>
      <c r="R450" s="51"/>
      <c r="S450" s="51"/>
      <c r="T450" s="51"/>
    </row>
    <row r="451">
      <c r="A451" s="51"/>
      <c r="B451" s="51"/>
      <c r="C451" s="94"/>
      <c r="D451" s="51"/>
      <c r="E451" s="51"/>
      <c r="F451" s="51"/>
      <c r="G451" s="51" t="str">
        <f>IFERROR(__xludf.DUMMYFUNCTION("""COMPUTED_VALUE"""),"#VALUE!")</f>
        <v>#VALUE!</v>
      </c>
      <c r="H451" s="51" t="str">
        <f>IFERROR(__xludf.DUMMYFUNCTION("""COMPUTED_VALUE"""),"")</f>
        <v/>
      </c>
      <c r="I451" s="51" t="str">
        <f>IFERROR(__xludf.DUMMYFUNCTION("""COMPUTED_VALUE"""),"#VALUE!")</f>
        <v>#VALUE!</v>
      </c>
      <c r="J451" s="51" t="str">
        <f>IFERROR(__xludf.DUMMYFUNCTION("""COMPUTED_VALUE"""),"")</f>
        <v/>
      </c>
      <c r="K451" s="51"/>
      <c r="L451" s="51" t="s">
        <v>257</v>
      </c>
      <c r="M451" s="51"/>
      <c r="N451" s="51"/>
      <c r="O451" s="51"/>
      <c r="P451" s="51"/>
      <c r="Q451" s="51"/>
      <c r="R451" s="51"/>
      <c r="S451" s="51"/>
      <c r="T451" s="51"/>
    </row>
    <row r="452">
      <c r="A452" s="51"/>
      <c r="B452" s="51"/>
      <c r="C452" s="94"/>
      <c r="D452" s="51"/>
      <c r="E452" s="51"/>
      <c r="F452" s="51"/>
      <c r="G452" s="51" t="str">
        <f>IFERROR(__xludf.DUMMYFUNCTION("""COMPUTED_VALUE"""),"#VALUE!")</f>
        <v>#VALUE!</v>
      </c>
      <c r="H452" s="51" t="str">
        <f>IFERROR(__xludf.DUMMYFUNCTION("""COMPUTED_VALUE"""),"")</f>
        <v/>
      </c>
      <c r="I452" s="51" t="str">
        <f>IFERROR(__xludf.DUMMYFUNCTION("""COMPUTED_VALUE"""),"#VALUE!")</f>
        <v>#VALUE!</v>
      </c>
      <c r="J452" s="51" t="str">
        <f>IFERROR(__xludf.DUMMYFUNCTION("""COMPUTED_VALUE"""),"")</f>
        <v/>
      </c>
      <c r="K452" s="51"/>
      <c r="L452" s="51" t="s">
        <v>257</v>
      </c>
      <c r="M452" s="51"/>
      <c r="N452" s="51"/>
      <c r="O452" s="51"/>
      <c r="P452" s="51"/>
      <c r="Q452" s="51"/>
      <c r="R452" s="51"/>
      <c r="S452" s="51"/>
      <c r="T452" s="51"/>
    </row>
    <row r="453">
      <c r="A453" s="51"/>
      <c r="B453" s="51"/>
      <c r="C453" s="94"/>
      <c r="D453" s="51"/>
      <c r="E453" s="51"/>
      <c r="F453" s="51"/>
      <c r="G453" s="51" t="str">
        <f>IFERROR(__xludf.DUMMYFUNCTION("""COMPUTED_VALUE"""),"#VALUE!")</f>
        <v>#VALUE!</v>
      </c>
      <c r="H453" s="51" t="str">
        <f>IFERROR(__xludf.DUMMYFUNCTION("""COMPUTED_VALUE"""),"")</f>
        <v/>
      </c>
      <c r="I453" s="51" t="str">
        <f>IFERROR(__xludf.DUMMYFUNCTION("""COMPUTED_VALUE"""),"#VALUE!")</f>
        <v>#VALUE!</v>
      </c>
      <c r="J453" s="51" t="str">
        <f>IFERROR(__xludf.DUMMYFUNCTION("""COMPUTED_VALUE"""),"")</f>
        <v/>
      </c>
      <c r="K453" s="51"/>
      <c r="L453" s="51" t="s">
        <v>257</v>
      </c>
      <c r="M453" s="51"/>
      <c r="N453" s="51"/>
      <c r="O453" s="51"/>
      <c r="P453" s="51"/>
      <c r="Q453" s="51"/>
      <c r="R453" s="51"/>
      <c r="S453" s="51"/>
      <c r="T453" s="51"/>
    </row>
    <row r="454">
      <c r="A454" s="51"/>
      <c r="B454" s="51"/>
      <c r="C454" s="94"/>
      <c r="D454" s="51"/>
      <c r="E454" s="51"/>
      <c r="F454" s="51"/>
      <c r="G454" s="51" t="str">
        <f>IFERROR(__xludf.DUMMYFUNCTION("""COMPUTED_VALUE"""),"#VALUE!")</f>
        <v>#VALUE!</v>
      </c>
      <c r="H454" s="51" t="str">
        <f>IFERROR(__xludf.DUMMYFUNCTION("""COMPUTED_VALUE"""),"")</f>
        <v/>
      </c>
      <c r="I454" s="51" t="str">
        <f>IFERROR(__xludf.DUMMYFUNCTION("""COMPUTED_VALUE"""),"#VALUE!")</f>
        <v>#VALUE!</v>
      </c>
      <c r="J454" s="51" t="str">
        <f>IFERROR(__xludf.DUMMYFUNCTION("""COMPUTED_VALUE"""),"")</f>
        <v/>
      </c>
      <c r="K454" s="51"/>
      <c r="L454" s="51" t="s">
        <v>257</v>
      </c>
      <c r="M454" s="51"/>
      <c r="N454" s="51"/>
      <c r="O454" s="51"/>
      <c r="P454" s="51"/>
      <c r="Q454" s="51"/>
      <c r="R454" s="51"/>
      <c r="S454" s="51"/>
      <c r="T454" s="51"/>
    </row>
    <row r="455">
      <c r="A455" s="51"/>
      <c r="B455" s="51"/>
      <c r="C455" s="94"/>
      <c r="D455" s="51"/>
      <c r="E455" s="51"/>
      <c r="F455" s="51"/>
      <c r="G455" s="51" t="str">
        <f>IFERROR(__xludf.DUMMYFUNCTION("""COMPUTED_VALUE"""),"#VALUE!")</f>
        <v>#VALUE!</v>
      </c>
      <c r="H455" s="51" t="str">
        <f>IFERROR(__xludf.DUMMYFUNCTION("""COMPUTED_VALUE"""),"")</f>
        <v/>
      </c>
      <c r="I455" s="51" t="str">
        <f>IFERROR(__xludf.DUMMYFUNCTION("""COMPUTED_VALUE"""),"#VALUE!")</f>
        <v>#VALUE!</v>
      </c>
      <c r="J455" s="51" t="str">
        <f>IFERROR(__xludf.DUMMYFUNCTION("""COMPUTED_VALUE"""),"")</f>
        <v/>
      </c>
      <c r="K455" s="51"/>
      <c r="L455" s="51" t="s">
        <v>257</v>
      </c>
      <c r="M455" s="51"/>
      <c r="N455" s="51"/>
      <c r="O455" s="51"/>
      <c r="P455" s="51"/>
      <c r="Q455" s="51"/>
      <c r="R455" s="51"/>
      <c r="S455" s="51"/>
      <c r="T455" s="51"/>
    </row>
    <row r="456">
      <c r="A456" s="51"/>
      <c r="B456" s="51"/>
      <c r="C456" s="94"/>
      <c r="D456" s="51"/>
      <c r="E456" s="51"/>
      <c r="F456" s="51"/>
      <c r="G456" s="51" t="str">
        <f>IFERROR(__xludf.DUMMYFUNCTION("""COMPUTED_VALUE"""),"#VALUE!")</f>
        <v>#VALUE!</v>
      </c>
      <c r="H456" s="51" t="str">
        <f>IFERROR(__xludf.DUMMYFUNCTION("""COMPUTED_VALUE"""),"")</f>
        <v/>
      </c>
      <c r="I456" s="51" t="str">
        <f>IFERROR(__xludf.DUMMYFUNCTION("""COMPUTED_VALUE"""),"#VALUE!")</f>
        <v>#VALUE!</v>
      </c>
      <c r="J456" s="51" t="str">
        <f>IFERROR(__xludf.DUMMYFUNCTION("""COMPUTED_VALUE"""),"")</f>
        <v/>
      </c>
      <c r="K456" s="51"/>
      <c r="L456" s="51" t="s">
        <v>257</v>
      </c>
      <c r="M456" s="51"/>
      <c r="N456" s="51"/>
      <c r="O456" s="51"/>
      <c r="P456" s="51"/>
      <c r="Q456" s="51"/>
      <c r="R456" s="51"/>
      <c r="S456" s="51"/>
      <c r="T456" s="51"/>
    </row>
    <row r="457">
      <c r="A457" s="51"/>
      <c r="B457" s="51"/>
      <c r="C457" s="94"/>
      <c r="D457" s="51"/>
      <c r="E457" s="51"/>
      <c r="F457" s="51"/>
      <c r="G457" s="51" t="str">
        <f>IFERROR(__xludf.DUMMYFUNCTION("""COMPUTED_VALUE"""),"#VALUE!")</f>
        <v>#VALUE!</v>
      </c>
      <c r="H457" s="51" t="str">
        <f>IFERROR(__xludf.DUMMYFUNCTION("""COMPUTED_VALUE"""),"")</f>
        <v/>
      </c>
      <c r="I457" s="51" t="str">
        <f>IFERROR(__xludf.DUMMYFUNCTION("""COMPUTED_VALUE"""),"#VALUE!")</f>
        <v>#VALUE!</v>
      </c>
      <c r="J457" s="51" t="str">
        <f>IFERROR(__xludf.DUMMYFUNCTION("""COMPUTED_VALUE"""),"")</f>
        <v/>
      </c>
      <c r="K457" s="51"/>
      <c r="L457" s="51" t="s">
        <v>257</v>
      </c>
      <c r="M457" s="51"/>
      <c r="N457" s="51"/>
      <c r="O457" s="51"/>
      <c r="P457" s="51"/>
      <c r="Q457" s="51"/>
      <c r="R457" s="51"/>
      <c r="S457" s="51"/>
      <c r="T457" s="51"/>
    </row>
    <row r="458">
      <c r="A458" s="51"/>
      <c r="B458" s="51"/>
      <c r="C458" s="94"/>
      <c r="D458" s="51"/>
      <c r="E458" s="51"/>
      <c r="F458" s="51"/>
      <c r="G458" s="51" t="str">
        <f>IFERROR(__xludf.DUMMYFUNCTION("""COMPUTED_VALUE"""),"#VALUE!")</f>
        <v>#VALUE!</v>
      </c>
      <c r="H458" s="51" t="str">
        <f>IFERROR(__xludf.DUMMYFUNCTION("""COMPUTED_VALUE"""),"")</f>
        <v/>
      </c>
      <c r="I458" s="51" t="str">
        <f>IFERROR(__xludf.DUMMYFUNCTION("""COMPUTED_VALUE"""),"#VALUE!")</f>
        <v>#VALUE!</v>
      </c>
      <c r="J458" s="51" t="str">
        <f>IFERROR(__xludf.DUMMYFUNCTION("""COMPUTED_VALUE"""),"")</f>
        <v/>
      </c>
      <c r="K458" s="51"/>
      <c r="L458" s="51" t="s">
        <v>257</v>
      </c>
      <c r="M458" s="51"/>
      <c r="N458" s="51"/>
      <c r="O458" s="51"/>
      <c r="P458" s="51"/>
      <c r="Q458" s="51"/>
      <c r="R458" s="51"/>
      <c r="S458" s="51"/>
      <c r="T458" s="51"/>
    </row>
    <row r="459">
      <c r="A459" s="51"/>
      <c r="B459" s="51"/>
      <c r="C459" s="94"/>
      <c r="D459" s="51"/>
      <c r="E459" s="51"/>
      <c r="F459" s="51"/>
      <c r="G459" s="51" t="str">
        <f>IFERROR(__xludf.DUMMYFUNCTION("""COMPUTED_VALUE"""),"#VALUE!")</f>
        <v>#VALUE!</v>
      </c>
      <c r="H459" s="51" t="str">
        <f>IFERROR(__xludf.DUMMYFUNCTION("""COMPUTED_VALUE"""),"")</f>
        <v/>
      </c>
      <c r="I459" s="51" t="str">
        <f>IFERROR(__xludf.DUMMYFUNCTION("""COMPUTED_VALUE"""),"#VALUE!")</f>
        <v>#VALUE!</v>
      </c>
      <c r="J459" s="51" t="str">
        <f>IFERROR(__xludf.DUMMYFUNCTION("""COMPUTED_VALUE"""),"")</f>
        <v/>
      </c>
      <c r="K459" s="51"/>
      <c r="L459" s="51" t="s">
        <v>257</v>
      </c>
      <c r="M459" s="51"/>
      <c r="N459" s="51"/>
      <c r="O459" s="51"/>
      <c r="P459" s="51"/>
      <c r="Q459" s="51"/>
      <c r="R459" s="51"/>
      <c r="S459" s="51"/>
      <c r="T459" s="51"/>
    </row>
    <row r="460">
      <c r="A460" s="51"/>
      <c r="B460" s="51"/>
      <c r="C460" s="94"/>
      <c r="D460" s="51"/>
      <c r="E460" s="51"/>
      <c r="F460" s="51"/>
      <c r="G460" s="51" t="str">
        <f>IFERROR(__xludf.DUMMYFUNCTION("""COMPUTED_VALUE"""),"#VALUE!")</f>
        <v>#VALUE!</v>
      </c>
      <c r="H460" s="51" t="str">
        <f>IFERROR(__xludf.DUMMYFUNCTION("""COMPUTED_VALUE"""),"")</f>
        <v/>
      </c>
      <c r="I460" s="51" t="str">
        <f>IFERROR(__xludf.DUMMYFUNCTION("""COMPUTED_VALUE"""),"#VALUE!")</f>
        <v>#VALUE!</v>
      </c>
      <c r="J460" s="51" t="str">
        <f>IFERROR(__xludf.DUMMYFUNCTION("""COMPUTED_VALUE"""),"")</f>
        <v/>
      </c>
      <c r="K460" s="51"/>
      <c r="L460" s="51" t="s">
        <v>257</v>
      </c>
      <c r="M460" s="51"/>
      <c r="N460" s="51"/>
      <c r="O460" s="51"/>
      <c r="P460" s="51"/>
      <c r="Q460" s="51"/>
      <c r="R460" s="51"/>
      <c r="S460" s="51"/>
      <c r="T460" s="51"/>
    </row>
    <row r="461">
      <c r="A461" s="51"/>
      <c r="B461" s="51"/>
      <c r="C461" s="94"/>
      <c r="D461" s="51"/>
      <c r="E461" s="51"/>
      <c r="F461" s="51"/>
      <c r="G461" s="51" t="str">
        <f>IFERROR(__xludf.DUMMYFUNCTION("""COMPUTED_VALUE"""),"#VALUE!")</f>
        <v>#VALUE!</v>
      </c>
      <c r="H461" s="51" t="str">
        <f>IFERROR(__xludf.DUMMYFUNCTION("""COMPUTED_VALUE"""),"")</f>
        <v/>
      </c>
      <c r="I461" s="51" t="str">
        <f>IFERROR(__xludf.DUMMYFUNCTION("""COMPUTED_VALUE"""),"#VALUE!")</f>
        <v>#VALUE!</v>
      </c>
      <c r="J461" s="51" t="str">
        <f>IFERROR(__xludf.DUMMYFUNCTION("""COMPUTED_VALUE"""),"")</f>
        <v/>
      </c>
      <c r="K461" s="51"/>
      <c r="L461" s="51" t="s">
        <v>257</v>
      </c>
      <c r="M461" s="51"/>
      <c r="N461" s="51"/>
      <c r="O461" s="51"/>
      <c r="P461" s="51"/>
      <c r="Q461" s="51"/>
      <c r="R461" s="51"/>
      <c r="S461" s="51"/>
      <c r="T461" s="51"/>
    </row>
    <row r="462">
      <c r="A462" s="51"/>
      <c r="B462" s="51"/>
      <c r="C462" s="94"/>
      <c r="D462" s="51"/>
      <c r="E462" s="51"/>
      <c r="F462" s="51"/>
      <c r="G462" s="51" t="str">
        <f>IFERROR(__xludf.DUMMYFUNCTION("""COMPUTED_VALUE"""),"#VALUE!")</f>
        <v>#VALUE!</v>
      </c>
      <c r="H462" s="51" t="str">
        <f>IFERROR(__xludf.DUMMYFUNCTION("""COMPUTED_VALUE"""),"")</f>
        <v/>
      </c>
      <c r="I462" s="51" t="str">
        <f>IFERROR(__xludf.DUMMYFUNCTION("""COMPUTED_VALUE"""),"#VALUE!")</f>
        <v>#VALUE!</v>
      </c>
      <c r="J462" s="51" t="str">
        <f>IFERROR(__xludf.DUMMYFUNCTION("""COMPUTED_VALUE"""),"")</f>
        <v/>
      </c>
      <c r="K462" s="51"/>
      <c r="L462" s="51" t="s">
        <v>257</v>
      </c>
      <c r="M462" s="51"/>
      <c r="N462" s="51"/>
      <c r="O462" s="51"/>
      <c r="P462" s="51"/>
      <c r="Q462" s="51"/>
      <c r="R462" s="51"/>
      <c r="S462" s="51"/>
      <c r="T462" s="51"/>
    </row>
    <row r="463">
      <c r="A463" s="51"/>
      <c r="B463" s="51"/>
      <c r="C463" s="94"/>
      <c r="D463" s="51"/>
      <c r="E463" s="51"/>
      <c r="F463" s="51"/>
      <c r="G463" s="51" t="str">
        <f>IFERROR(__xludf.DUMMYFUNCTION("""COMPUTED_VALUE"""),"#VALUE!")</f>
        <v>#VALUE!</v>
      </c>
      <c r="H463" s="51" t="str">
        <f>IFERROR(__xludf.DUMMYFUNCTION("""COMPUTED_VALUE"""),"")</f>
        <v/>
      </c>
      <c r="I463" s="51" t="str">
        <f>IFERROR(__xludf.DUMMYFUNCTION("""COMPUTED_VALUE"""),"#VALUE!")</f>
        <v>#VALUE!</v>
      </c>
      <c r="J463" s="51" t="str">
        <f>IFERROR(__xludf.DUMMYFUNCTION("""COMPUTED_VALUE"""),"")</f>
        <v/>
      </c>
      <c r="K463" s="51"/>
      <c r="L463" s="51" t="s">
        <v>257</v>
      </c>
      <c r="M463" s="51"/>
      <c r="N463" s="51"/>
      <c r="O463" s="51"/>
      <c r="P463" s="51"/>
      <c r="Q463" s="51"/>
      <c r="R463" s="51"/>
      <c r="S463" s="51"/>
      <c r="T463" s="51"/>
    </row>
    <row r="464">
      <c r="A464" s="51"/>
      <c r="B464" s="51"/>
      <c r="C464" s="94"/>
      <c r="D464" s="51"/>
      <c r="E464" s="51"/>
      <c r="F464" s="51"/>
      <c r="G464" s="51" t="str">
        <f>IFERROR(__xludf.DUMMYFUNCTION("""COMPUTED_VALUE"""),"#VALUE!")</f>
        <v>#VALUE!</v>
      </c>
      <c r="H464" s="51" t="str">
        <f>IFERROR(__xludf.DUMMYFUNCTION("""COMPUTED_VALUE"""),"")</f>
        <v/>
      </c>
      <c r="I464" s="51" t="str">
        <f>IFERROR(__xludf.DUMMYFUNCTION("""COMPUTED_VALUE"""),"#VALUE!")</f>
        <v>#VALUE!</v>
      </c>
      <c r="J464" s="51" t="str">
        <f>IFERROR(__xludf.DUMMYFUNCTION("""COMPUTED_VALUE"""),"")</f>
        <v/>
      </c>
      <c r="K464" s="51"/>
      <c r="L464" s="51" t="s">
        <v>257</v>
      </c>
      <c r="M464" s="51"/>
      <c r="N464" s="51"/>
      <c r="O464" s="51"/>
      <c r="P464" s="51"/>
      <c r="Q464" s="51"/>
      <c r="R464" s="51"/>
      <c r="S464" s="51"/>
      <c r="T464" s="51"/>
    </row>
    <row r="465">
      <c r="A465" s="51"/>
      <c r="B465" s="51"/>
      <c r="C465" s="94"/>
      <c r="D465" s="51"/>
      <c r="E465" s="51"/>
      <c r="F465" s="51"/>
      <c r="G465" s="51" t="str">
        <f>IFERROR(__xludf.DUMMYFUNCTION("""COMPUTED_VALUE"""),"#VALUE!")</f>
        <v>#VALUE!</v>
      </c>
      <c r="H465" s="51" t="str">
        <f>IFERROR(__xludf.DUMMYFUNCTION("""COMPUTED_VALUE"""),"")</f>
        <v/>
      </c>
      <c r="I465" s="51" t="str">
        <f>IFERROR(__xludf.DUMMYFUNCTION("""COMPUTED_VALUE"""),"#VALUE!")</f>
        <v>#VALUE!</v>
      </c>
      <c r="J465" s="51" t="str">
        <f>IFERROR(__xludf.DUMMYFUNCTION("""COMPUTED_VALUE"""),"")</f>
        <v/>
      </c>
      <c r="K465" s="51"/>
      <c r="L465" s="51" t="s">
        <v>257</v>
      </c>
      <c r="M465" s="51"/>
      <c r="N465" s="51"/>
      <c r="O465" s="51"/>
      <c r="P465" s="51"/>
      <c r="Q465" s="51"/>
      <c r="R465" s="51"/>
      <c r="S465" s="51"/>
      <c r="T465" s="51"/>
    </row>
    <row r="466">
      <c r="A466" s="51"/>
      <c r="B466" s="51"/>
      <c r="C466" s="94"/>
      <c r="D466" s="51"/>
      <c r="E466" s="51"/>
      <c r="F466" s="51"/>
      <c r="G466" s="51" t="str">
        <f>IFERROR(__xludf.DUMMYFUNCTION("""COMPUTED_VALUE"""),"#VALUE!")</f>
        <v>#VALUE!</v>
      </c>
      <c r="H466" s="51" t="str">
        <f>IFERROR(__xludf.DUMMYFUNCTION("""COMPUTED_VALUE"""),"")</f>
        <v/>
      </c>
      <c r="I466" s="51" t="str">
        <f>IFERROR(__xludf.DUMMYFUNCTION("""COMPUTED_VALUE"""),"#VALUE!")</f>
        <v>#VALUE!</v>
      </c>
      <c r="J466" s="51" t="str">
        <f>IFERROR(__xludf.DUMMYFUNCTION("""COMPUTED_VALUE"""),"")</f>
        <v/>
      </c>
      <c r="K466" s="51"/>
      <c r="L466" s="51" t="s">
        <v>257</v>
      </c>
      <c r="M466" s="51"/>
      <c r="N466" s="51"/>
      <c r="O466" s="51"/>
      <c r="P466" s="51"/>
      <c r="Q466" s="51"/>
      <c r="R466" s="51"/>
      <c r="S466" s="51"/>
      <c r="T466" s="51"/>
    </row>
    <row r="467">
      <c r="A467" s="51"/>
      <c r="B467" s="51"/>
      <c r="C467" s="94"/>
      <c r="D467" s="51"/>
      <c r="E467" s="51"/>
      <c r="F467" s="51"/>
      <c r="G467" s="51" t="str">
        <f>IFERROR(__xludf.DUMMYFUNCTION("""COMPUTED_VALUE"""),"#VALUE!")</f>
        <v>#VALUE!</v>
      </c>
      <c r="H467" s="51" t="str">
        <f>IFERROR(__xludf.DUMMYFUNCTION("""COMPUTED_VALUE"""),"")</f>
        <v/>
      </c>
      <c r="I467" s="51" t="str">
        <f>IFERROR(__xludf.DUMMYFUNCTION("""COMPUTED_VALUE"""),"#VALUE!")</f>
        <v>#VALUE!</v>
      </c>
      <c r="J467" s="51" t="str">
        <f>IFERROR(__xludf.DUMMYFUNCTION("""COMPUTED_VALUE"""),"")</f>
        <v/>
      </c>
      <c r="K467" s="51"/>
      <c r="L467" s="51" t="s">
        <v>257</v>
      </c>
      <c r="M467" s="51"/>
      <c r="N467" s="51"/>
      <c r="O467" s="51"/>
      <c r="P467" s="51"/>
      <c r="Q467" s="51"/>
      <c r="R467" s="51"/>
      <c r="S467" s="51"/>
      <c r="T467" s="51"/>
    </row>
    <row r="468">
      <c r="A468" s="51"/>
      <c r="B468" s="51"/>
      <c r="C468" s="94"/>
      <c r="D468" s="51"/>
      <c r="E468" s="51"/>
      <c r="F468" s="51"/>
      <c r="G468" s="51" t="str">
        <f>IFERROR(__xludf.DUMMYFUNCTION("""COMPUTED_VALUE"""),"#VALUE!")</f>
        <v>#VALUE!</v>
      </c>
      <c r="H468" s="51" t="str">
        <f>IFERROR(__xludf.DUMMYFUNCTION("""COMPUTED_VALUE"""),"")</f>
        <v/>
      </c>
      <c r="I468" s="51" t="str">
        <f>IFERROR(__xludf.DUMMYFUNCTION("""COMPUTED_VALUE"""),"#VALUE!")</f>
        <v>#VALUE!</v>
      </c>
      <c r="J468" s="51" t="str">
        <f>IFERROR(__xludf.DUMMYFUNCTION("""COMPUTED_VALUE"""),"")</f>
        <v/>
      </c>
      <c r="K468" s="51"/>
      <c r="L468" s="51" t="s">
        <v>257</v>
      </c>
      <c r="M468" s="51"/>
      <c r="N468" s="51"/>
      <c r="O468" s="51"/>
      <c r="P468" s="51"/>
      <c r="Q468" s="51"/>
      <c r="R468" s="51"/>
      <c r="S468" s="51"/>
      <c r="T468" s="51"/>
    </row>
    <row r="469">
      <c r="A469" s="51"/>
      <c r="B469" s="51"/>
      <c r="C469" s="94"/>
      <c r="D469" s="51"/>
      <c r="E469" s="51"/>
      <c r="F469" s="51"/>
      <c r="G469" s="51" t="str">
        <f>IFERROR(__xludf.DUMMYFUNCTION("""COMPUTED_VALUE"""),"#VALUE!")</f>
        <v>#VALUE!</v>
      </c>
      <c r="H469" s="51" t="str">
        <f>IFERROR(__xludf.DUMMYFUNCTION("""COMPUTED_VALUE"""),"")</f>
        <v/>
      </c>
      <c r="I469" s="51" t="str">
        <f>IFERROR(__xludf.DUMMYFUNCTION("""COMPUTED_VALUE"""),"#VALUE!")</f>
        <v>#VALUE!</v>
      </c>
      <c r="J469" s="51" t="str">
        <f>IFERROR(__xludf.DUMMYFUNCTION("""COMPUTED_VALUE"""),"")</f>
        <v/>
      </c>
      <c r="K469" s="51"/>
      <c r="L469" s="51" t="s">
        <v>257</v>
      </c>
      <c r="M469" s="51"/>
      <c r="N469" s="51"/>
      <c r="O469" s="51"/>
      <c r="P469" s="51"/>
      <c r="Q469" s="51"/>
      <c r="R469" s="51"/>
      <c r="S469" s="51"/>
      <c r="T469" s="51"/>
    </row>
    <row r="470">
      <c r="A470" s="51"/>
      <c r="B470" s="51"/>
      <c r="C470" s="94"/>
      <c r="D470" s="51"/>
      <c r="E470" s="51"/>
      <c r="F470" s="51"/>
      <c r="G470" s="51" t="str">
        <f>IFERROR(__xludf.DUMMYFUNCTION("""COMPUTED_VALUE"""),"#VALUE!")</f>
        <v>#VALUE!</v>
      </c>
      <c r="H470" s="51" t="str">
        <f>IFERROR(__xludf.DUMMYFUNCTION("""COMPUTED_VALUE"""),"")</f>
        <v/>
      </c>
      <c r="I470" s="51" t="str">
        <f>IFERROR(__xludf.DUMMYFUNCTION("""COMPUTED_VALUE"""),"#VALUE!")</f>
        <v>#VALUE!</v>
      </c>
      <c r="J470" s="51" t="str">
        <f>IFERROR(__xludf.DUMMYFUNCTION("""COMPUTED_VALUE"""),"")</f>
        <v/>
      </c>
      <c r="K470" s="51"/>
      <c r="L470" s="51" t="s">
        <v>257</v>
      </c>
      <c r="M470" s="51"/>
      <c r="N470" s="51"/>
      <c r="O470" s="51"/>
      <c r="P470" s="51"/>
      <c r="Q470" s="51"/>
      <c r="R470" s="51"/>
      <c r="S470" s="51"/>
      <c r="T470" s="51"/>
    </row>
    <row r="471">
      <c r="A471" s="51"/>
      <c r="B471" s="51"/>
      <c r="C471" s="94"/>
      <c r="D471" s="51"/>
      <c r="E471" s="51"/>
      <c r="F471" s="51"/>
      <c r="G471" s="51" t="str">
        <f>IFERROR(__xludf.DUMMYFUNCTION("""COMPUTED_VALUE"""),"#VALUE!")</f>
        <v>#VALUE!</v>
      </c>
      <c r="H471" s="51" t="str">
        <f>IFERROR(__xludf.DUMMYFUNCTION("""COMPUTED_VALUE"""),"")</f>
        <v/>
      </c>
      <c r="I471" s="51" t="str">
        <f>IFERROR(__xludf.DUMMYFUNCTION("""COMPUTED_VALUE"""),"#VALUE!")</f>
        <v>#VALUE!</v>
      </c>
      <c r="J471" s="51" t="str">
        <f>IFERROR(__xludf.DUMMYFUNCTION("""COMPUTED_VALUE"""),"")</f>
        <v/>
      </c>
      <c r="K471" s="51"/>
      <c r="L471" s="51" t="s">
        <v>257</v>
      </c>
      <c r="M471" s="51"/>
      <c r="N471" s="51"/>
      <c r="O471" s="51"/>
      <c r="P471" s="51"/>
      <c r="Q471" s="51"/>
      <c r="R471" s="51"/>
      <c r="S471" s="51"/>
      <c r="T471" s="51"/>
    </row>
    <row r="472">
      <c r="A472" s="51"/>
      <c r="B472" s="51"/>
      <c r="C472" s="94"/>
      <c r="D472" s="51"/>
      <c r="E472" s="51"/>
      <c r="F472" s="51"/>
      <c r="G472" s="51" t="str">
        <f>IFERROR(__xludf.DUMMYFUNCTION("""COMPUTED_VALUE"""),"#VALUE!")</f>
        <v>#VALUE!</v>
      </c>
      <c r="H472" s="51" t="str">
        <f>IFERROR(__xludf.DUMMYFUNCTION("""COMPUTED_VALUE"""),"")</f>
        <v/>
      </c>
      <c r="I472" s="51" t="str">
        <f>IFERROR(__xludf.DUMMYFUNCTION("""COMPUTED_VALUE"""),"#VALUE!")</f>
        <v>#VALUE!</v>
      </c>
      <c r="J472" s="51" t="str">
        <f>IFERROR(__xludf.DUMMYFUNCTION("""COMPUTED_VALUE"""),"")</f>
        <v/>
      </c>
      <c r="K472" s="51"/>
      <c r="L472" s="51" t="s">
        <v>257</v>
      </c>
      <c r="M472" s="51"/>
      <c r="N472" s="51"/>
      <c r="O472" s="51"/>
      <c r="P472" s="51"/>
      <c r="Q472" s="51"/>
      <c r="R472" s="51"/>
      <c r="S472" s="51"/>
      <c r="T472" s="51"/>
    </row>
    <row r="473">
      <c r="A473" s="51"/>
      <c r="B473" s="51"/>
      <c r="C473" s="94"/>
      <c r="D473" s="51"/>
      <c r="E473" s="51"/>
      <c r="F473" s="51"/>
      <c r="G473" s="51" t="str">
        <f>IFERROR(__xludf.DUMMYFUNCTION("""COMPUTED_VALUE"""),"#VALUE!")</f>
        <v>#VALUE!</v>
      </c>
      <c r="H473" s="51" t="str">
        <f>IFERROR(__xludf.DUMMYFUNCTION("""COMPUTED_VALUE"""),"")</f>
        <v/>
      </c>
      <c r="I473" s="51" t="str">
        <f>IFERROR(__xludf.DUMMYFUNCTION("""COMPUTED_VALUE"""),"#VALUE!")</f>
        <v>#VALUE!</v>
      </c>
      <c r="J473" s="51" t="str">
        <f>IFERROR(__xludf.DUMMYFUNCTION("""COMPUTED_VALUE"""),"")</f>
        <v/>
      </c>
      <c r="K473" s="51"/>
      <c r="L473" s="51" t="s">
        <v>257</v>
      </c>
      <c r="M473" s="51"/>
      <c r="N473" s="51"/>
      <c r="O473" s="51"/>
      <c r="P473" s="51"/>
      <c r="Q473" s="51"/>
      <c r="R473" s="51"/>
      <c r="S473" s="51"/>
      <c r="T473" s="51"/>
    </row>
    <row r="474">
      <c r="A474" s="51"/>
      <c r="B474" s="51"/>
      <c r="C474" s="94"/>
      <c r="D474" s="51"/>
      <c r="E474" s="51"/>
      <c r="F474" s="51"/>
      <c r="G474" s="51" t="str">
        <f>IFERROR(__xludf.DUMMYFUNCTION("""COMPUTED_VALUE"""),"#VALUE!")</f>
        <v>#VALUE!</v>
      </c>
      <c r="H474" s="51" t="str">
        <f>IFERROR(__xludf.DUMMYFUNCTION("""COMPUTED_VALUE"""),"")</f>
        <v/>
      </c>
      <c r="I474" s="51" t="str">
        <f>IFERROR(__xludf.DUMMYFUNCTION("""COMPUTED_VALUE"""),"#VALUE!")</f>
        <v>#VALUE!</v>
      </c>
      <c r="J474" s="51" t="str">
        <f>IFERROR(__xludf.DUMMYFUNCTION("""COMPUTED_VALUE"""),"")</f>
        <v/>
      </c>
      <c r="K474" s="51"/>
      <c r="L474" s="51" t="s">
        <v>257</v>
      </c>
      <c r="M474" s="51"/>
      <c r="N474" s="51"/>
      <c r="O474" s="51"/>
      <c r="P474" s="51"/>
      <c r="Q474" s="51"/>
      <c r="R474" s="51"/>
      <c r="S474" s="51"/>
      <c r="T474" s="51"/>
    </row>
    <row r="475">
      <c r="A475" s="51"/>
      <c r="B475" s="51"/>
      <c r="C475" s="94"/>
      <c r="D475" s="51"/>
      <c r="E475" s="51"/>
      <c r="F475" s="51"/>
      <c r="G475" s="51" t="str">
        <f>IFERROR(__xludf.DUMMYFUNCTION("""COMPUTED_VALUE"""),"#VALUE!")</f>
        <v>#VALUE!</v>
      </c>
      <c r="H475" s="51" t="str">
        <f>IFERROR(__xludf.DUMMYFUNCTION("""COMPUTED_VALUE"""),"")</f>
        <v/>
      </c>
      <c r="I475" s="51" t="str">
        <f>IFERROR(__xludf.DUMMYFUNCTION("""COMPUTED_VALUE"""),"#VALUE!")</f>
        <v>#VALUE!</v>
      </c>
      <c r="J475" s="51" t="str">
        <f>IFERROR(__xludf.DUMMYFUNCTION("""COMPUTED_VALUE"""),"")</f>
        <v/>
      </c>
      <c r="K475" s="51"/>
      <c r="L475" s="51" t="s">
        <v>257</v>
      </c>
      <c r="M475" s="51"/>
      <c r="N475" s="51"/>
      <c r="O475" s="51"/>
      <c r="P475" s="51"/>
      <c r="Q475" s="51"/>
      <c r="R475" s="51"/>
      <c r="S475" s="51"/>
      <c r="T475" s="51"/>
    </row>
    <row r="476">
      <c r="A476" s="51"/>
      <c r="B476" s="51"/>
      <c r="C476" s="94"/>
      <c r="D476" s="51"/>
      <c r="E476" s="51"/>
      <c r="F476" s="51"/>
      <c r="G476" s="51" t="str">
        <f>IFERROR(__xludf.DUMMYFUNCTION("""COMPUTED_VALUE"""),"#VALUE!")</f>
        <v>#VALUE!</v>
      </c>
      <c r="H476" s="51" t="str">
        <f>IFERROR(__xludf.DUMMYFUNCTION("""COMPUTED_VALUE"""),"")</f>
        <v/>
      </c>
      <c r="I476" s="51" t="str">
        <f>IFERROR(__xludf.DUMMYFUNCTION("""COMPUTED_VALUE"""),"#VALUE!")</f>
        <v>#VALUE!</v>
      </c>
      <c r="J476" s="51" t="str">
        <f>IFERROR(__xludf.DUMMYFUNCTION("""COMPUTED_VALUE"""),"")</f>
        <v/>
      </c>
      <c r="K476" s="51"/>
      <c r="L476" s="51" t="s">
        <v>257</v>
      </c>
      <c r="M476" s="51"/>
      <c r="N476" s="51"/>
      <c r="O476" s="51"/>
      <c r="P476" s="51"/>
      <c r="Q476" s="51"/>
      <c r="R476" s="51"/>
      <c r="S476" s="51"/>
      <c r="T476" s="51"/>
    </row>
    <row r="477">
      <c r="A477" s="51"/>
      <c r="B477" s="51"/>
      <c r="C477" s="94"/>
      <c r="D477" s="51"/>
      <c r="E477" s="51"/>
      <c r="F477" s="51"/>
      <c r="G477" s="51" t="str">
        <f>IFERROR(__xludf.DUMMYFUNCTION("""COMPUTED_VALUE"""),"#VALUE!")</f>
        <v>#VALUE!</v>
      </c>
      <c r="H477" s="51" t="str">
        <f>IFERROR(__xludf.DUMMYFUNCTION("""COMPUTED_VALUE"""),"")</f>
        <v/>
      </c>
      <c r="I477" s="51" t="str">
        <f>IFERROR(__xludf.DUMMYFUNCTION("""COMPUTED_VALUE"""),"#VALUE!")</f>
        <v>#VALUE!</v>
      </c>
      <c r="J477" s="51" t="str">
        <f>IFERROR(__xludf.DUMMYFUNCTION("""COMPUTED_VALUE"""),"")</f>
        <v/>
      </c>
      <c r="K477" s="51"/>
      <c r="L477" s="51" t="s">
        <v>257</v>
      </c>
      <c r="M477" s="51"/>
      <c r="N477" s="51"/>
      <c r="O477" s="51"/>
      <c r="P477" s="51"/>
      <c r="Q477" s="51"/>
      <c r="R477" s="51"/>
      <c r="S477" s="51"/>
      <c r="T477" s="51"/>
    </row>
    <row r="478">
      <c r="A478" s="51"/>
      <c r="B478" s="51"/>
      <c r="C478" s="94"/>
      <c r="D478" s="51"/>
      <c r="E478" s="51"/>
      <c r="F478" s="51"/>
      <c r="G478" s="51" t="str">
        <f>IFERROR(__xludf.DUMMYFUNCTION("""COMPUTED_VALUE"""),"#VALUE!")</f>
        <v>#VALUE!</v>
      </c>
      <c r="H478" s="51" t="str">
        <f>IFERROR(__xludf.DUMMYFUNCTION("""COMPUTED_VALUE"""),"")</f>
        <v/>
      </c>
      <c r="I478" s="51" t="str">
        <f>IFERROR(__xludf.DUMMYFUNCTION("""COMPUTED_VALUE"""),"#VALUE!")</f>
        <v>#VALUE!</v>
      </c>
      <c r="J478" s="51" t="str">
        <f>IFERROR(__xludf.DUMMYFUNCTION("""COMPUTED_VALUE"""),"")</f>
        <v/>
      </c>
      <c r="K478" s="51"/>
      <c r="L478" s="51" t="s">
        <v>257</v>
      </c>
      <c r="M478" s="51"/>
      <c r="N478" s="51"/>
      <c r="O478" s="51"/>
      <c r="P478" s="51"/>
      <c r="Q478" s="51"/>
      <c r="R478" s="51"/>
      <c r="S478" s="51"/>
      <c r="T478" s="51"/>
    </row>
    <row r="479">
      <c r="A479" s="51"/>
      <c r="B479" s="51"/>
      <c r="C479" s="94"/>
      <c r="D479" s="51"/>
      <c r="E479" s="51"/>
      <c r="F479" s="51"/>
      <c r="G479" s="51" t="str">
        <f>IFERROR(__xludf.DUMMYFUNCTION("""COMPUTED_VALUE"""),"#VALUE!")</f>
        <v>#VALUE!</v>
      </c>
      <c r="H479" s="51" t="str">
        <f>IFERROR(__xludf.DUMMYFUNCTION("""COMPUTED_VALUE"""),"")</f>
        <v/>
      </c>
      <c r="I479" s="51" t="str">
        <f>IFERROR(__xludf.DUMMYFUNCTION("""COMPUTED_VALUE"""),"#VALUE!")</f>
        <v>#VALUE!</v>
      </c>
      <c r="J479" s="51" t="str">
        <f>IFERROR(__xludf.DUMMYFUNCTION("""COMPUTED_VALUE"""),"")</f>
        <v/>
      </c>
      <c r="K479" s="51"/>
      <c r="L479" s="51" t="s">
        <v>257</v>
      </c>
      <c r="M479" s="51"/>
      <c r="N479" s="51"/>
      <c r="O479" s="51"/>
      <c r="P479" s="51"/>
      <c r="Q479" s="51"/>
      <c r="R479" s="51"/>
      <c r="S479" s="51"/>
      <c r="T479" s="51"/>
    </row>
    <row r="480">
      <c r="A480" s="51"/>
      <c r="B480" s="51"/>
      <c r="C480" s="94"/>
      <c r="D480" s="51"/>
      <c r="E480" s="51"/>
      <c r="F480" s="51"/>
      <c r="G480" s="51" t="str">
        <f>IFERROR(__xludf.DUMMYFUNCTION("""COMPUTED_VALUE"""),"#VALUE!")</f>
        <v>#VALUE!</v>
      </c>
      <c r="H480" s="51" t="str">
        <f>IFERROR(__xludf.DUMMYFUNCTION("""COMPUTED_VALUE"""),"")</f>
        <v/>
      </c>
      <c r="I480" s="51" t="str">
        <f>IFERROR(__xludf.DUMMYFUNCTION("""COMPUTED_VALUE"""),"#VALUE!")</f>
        <v>#VALUE!</v>
      </c>
      <c r="J480" s="51" t="str">
        <f>IFERROR(__xludf.DUMMYFUNCTION("""COMPUTED_VALUE"""),"")</f>
        <v/>
      </c>
      <c r="K480" s="51"/>
      <c r="L480" s="51" t="s">
        <v>257</v>
      </c>
      <c r="M480" s="51"/>
      <c r="N480" s="51"/>
      <c r="O480" s="51"/>
      <c r="P480" s="51"/>
      <c r="Q480" s="51"/>
      <c r="R480" s="51"/>
      <c r="S480" s="51"/>
      <c r="T480" s="51"/>
    </row>
    <row r="481">
      <c r="A481" s="51"/>
      <c r="B481" s="51"/>
      <c r="C481" s="94"/>
      <c r="D481" s="51"/>
      <c r="E481" s="51"/>
      <c r="F481" s="51"/>
      <c r="G481" s="51" t="str">
        <f>IFERROR(__xludf.DUMMYFUNCTION("""COMPUTED_VALUE"""),"#VALUE!")</f>
        <v>#VALUE!</v>
      </c>
      <c r="H481" s="51" t="str">
        <f>IFERROR(__xludf.DUMMYFUNCTION("""COMPUTED_VALUE"""),"")</f>
        <v/>
      </c>
      <c r="I481" s="51" t="str">
        <f>IFERROR(__xludf.DUMMYFUNCTION("""COMPUTED_VALUE"""),"#VALUE!")</f>
        <v>#VALUE!</v>
      </c>
      <c r="J481" s="51" t="str">
        <f>IFERROR(__xludf.DUMMYFUNCTION("""COMPUTED_VALUE"""),"")</f>
        <v/>
      </c>
      <c r="K481" s="51"/>
      <c r="L481" s="51" t="s">
        <v>257</v>
      </c>
      <c r="M481" s="51"/>
      <c r="N481" s="51"/>
      <c r="O481" s="51"/>
      <c r="P481" s="51"/>
      <c r="Q481" s="51"/>
      <c r="R481" s="51"/>
      <c r="S481" s="51"/>
      <c r="T481" s="51"/>
    </row>
    <row r="482">
      <c r="A482" s="51"/>
      <c r="B482" s="51"/>
      <c r="C482" s="94"/>
      <c r="D482" s="51"/>
      <c r="E482" s="51"/>
      <c r="F482" s="51"/>
      <c r="G482" s="51" t="str">
        <f>IFERROR(__xludf.DUMMYFUNCTION("""COMPUTED_VALUE"""),"#VALUE!")</f>
        <v>#VALUE!</v>
      </c>
      <c r="H482" s="51" t="str">
        <f>IFERROR(__xludf.DUMMYFUNCTION("""COMPUTED_VALUE"""),"")</f>
        <v/>
      </c>
      <c r="I482" s="51" t="str">
        <f>IFERROR(__xludf.DUMMYFUNCTION("""COMPUTED_VALUE"""),"#VALUE!")</f>
        <v>#VALUE!</v>
      </c>
      <c r="J482" s="51" t="str">
        <f>IFERROR(__xludf.DUMMYFUNCTION("""COMPUTED_VALUE"""),"")</f>
        <v/>
      </c>
      <c r="K482" s="51"/>
      <c r="L482" s="51" t="s">
        <v>257</v>
      </c>
      <c r="M482" s="51"/>
      <c r="N482" s="51"/>
      <c r="O482" s="51"/>
      <c r="P482" s="51"/>
      <c r="Q482" s="51"/>
      <c r="R482" s="51"/>
      <c r="S482" s="51"/>
      <c r="T482" s="51"/>
    </row>
    <row r="483">
      <c r="A483" s="51"/>
      <c r="B483" s="51"/>
      <c r="C483" s="94"/>
      <c r="D483" s="51"/>
      <c r="E483" s="51"/>
      <c r="F483" s="51"/>
      <c r="G483" s="51" t="str">
        <f>IFERROR(__xludf.DUMMYFUNCTION("""COMPUTED_VALUE"""),"#VALUE!")</f>
        <v>#VALUE!</v>
      </c>
      <c r="H483" s="51" t="str">
        <f>IFERROR(__xludf.DUMMYFUNCTION("""COMPUTED_VALUE"""),"")</f>
        <v/>
      </c>
      <c r="I483" s="51" t="str">
        <f>IFERROR(__xludf.DUMMYFUNCTION("""COMPUTED_VALUE"""),"#VALUE!")</f>
        <v>#VALUE!</v>
      </c>
      <c r="J483" s="51" t="str">
        <f>IFERROR(__xludf.DUMMYFUNCTION("""COMPUTED_VALUE"""),"")</f>
        <v/>
      </c>
      <c r="K483" s="51"/>
      <c r="L483" s="51" t="s">
        <v>257</v>
      </c>
      <c r="M483" s="51"/>
      <c r="N483" s="51"/>
      <c r="O483" s="51"/>
      <c r="P483" s="51"/>
      <c r="Q483" s="51"/>
      <c r="R483" s="51"/>
      <c r="S483" s="51"/>
      <c r="T483" s="51"/>
    </row>
    <row r="484">
      <c r="A484" s="51"/>
      <c r="B484" s="51"/>
      <c r="C484" s="94"/>
      <c r="D484" s="51"/>
      <c r="E484" s="51"/>
      <c r="F484" s="51"/>
      <c r="G484" s="51" t="str">
        <f>IFERROR(__xludf.DUMMYFUNCTION("""COMPUTED_VALUE"""),"#VALUE!")</f>
        <v>#VALUE!</v>
      </c>
      <c r="H484" s="51" t="str">
        <f>IFERROR(__xludf.DUMMYFUNCTION("""COMPUTED_VALUE"""),"")</f>
        <v/>
      </c>
      <c r="I484" s="51" t="str">
        <f>IFERROR(__xludf.DUMMYFUNCTION("""COMPUTED_VALUE"""),"#VALUE!")</f>
        <v>#VALUE!</v>
      </c>
      <c r="J484" s="51" t="str">
        <f>IFERROR(__xludf.DUMMYFUNCTION("""COMPUTED_VALUE"""),"")</f>
        <v/>
      </c>
      <c r="K484" s="51"/>
      <c r="L484" s="51" t="s">
        <v>257</v>
      </c>
      <c r="M484" s="51"/>
      <c r="N484" s="51"/>
      <c r="O484" s="51"/>
      <c r="P484" s="51"/>
      <c r="Q484" s="51"/>
      <c r="R484" s="51"/>
      <c r="S484" s="51"/>
      <c r="T484" s="51"/>
    </row>
    <row r="485">
      <c r="A485" s="51"/>
      <c r="B485" s="51"/>
      <c r="C485" s="94"/>
      <c r="D485" s="51"/>
      <c r="E485" s="51"/>
      <c r="F485" s="51"/>
      <c r="G485" s="51" t="str">
        <f>IFERROR(__xludf.DUMMYFUNCTION("""COMPUTED_VALUE"""),"#VALUE!")</f>
        <v>#VALUE!</v>
      </c>
      <c r="H485" s="51" t="str">
        <f>IFERROR(__xludf.DUMMYFUNCTION("""COMPUTED_VALUE"""),"")</f>
        <v/>
      </c>
      <c r="I485" s="51" t="str">
        <f>IFERROR(__xludf.DUMMYFUNCTION("""COMPUTED_VALUE"""),"#VALUE!")</f>
        <v>#VALUE!</v>
      </c>
      <c r="J485" s="51" t="str">
        <f>IFERROR(__xludf.DUMMYFUNCTION("""COMPUTED_VALUE"""),"")</f>
        <v/>
      </c>
      <c r="K485" s="51"/>
      <c r="L485" s="51" t="s">
        <v>257</v>
      </c>
      <c r="M485" s="51"/>
      <c r="N485" s="51"/>
      <c r="O485" s="51"/>
      <c r="P485" s="51"/>
      <c r="Q485" s="51"/>
      <c r="R485" s="51"/>
      <c r="S485" s="51"/>
      <c r="T485" s="51"/>
    </row>
    <row r="486">
      <c r="A486" s="51"/>
      <c r="B486" s="51"/>
      <c r="C486" s="94"/>
      <c r="D486" s="51"/>
      <c r="E486" s="51"/>
      <c r="F486" s="51"/>
      <c r="G486" s="51" t="str">
        <f>IFERROR(__xludf.DUMMYFUNCTION("""COMPUTED_VALUE"""),"#VALUE!")</f>
        <v>#VALUE!</v>
      </c>
      <c r="H486" s="51" t="str">
        <f>IFERROR(__xludf.DUMMYFUNCTION("""COMPUTED_VALUE"""),"")</f>
        <v/>
      </c>
      <c r="I486" s="51" t="str">
        <f>IFERROR(__xludf.DUMMYFUNCTION("""COMPUTED_VALUE"""),"#VALUE!")</f>
        <v>#VALUE!</v>
      </c>
      <c r="J486" s="51" t="str">
        <f>IFERROR(__xludf.DUMMYFUNCTION("""COMPUTED_VALUE"""),"")</f>
        <v/>
      </c>
      <c r="K486" s="51"/>
      <c r="L486" s="51" t="s">
        <v>257</v>
      </c>
      <c r="M486" s="51"/>
      <c r="N486" s="51"/>
      <c r="O486" s="51"/>
      <c r="P486" s="51"/>
      <c r="Q486" s="51"/>
      <c r="R486" s="51"/>
      <c r="S486" s="51"/>
      <c r="T486" s="51"/>
    </row>
    <row r="487">
      <c r="A487" s="51"/>
      <c r="B487" s="51"/>
      <c r="C487" s="94"/>
      <c r="D487" s="51"/>
      <c r="E487" s="51"/>
      <c r="F487" s="51"/>
      <c r="G487" s="51" t="str">
        <f>IFERROR(__xludf.DUMMYFUNCTION("""COMPUTED_VALUE"""),"#VALUE!")</f>
        <v>#VALUE!</v>
      </c>
      <c r="H487" s="51" t="str">
        <f>IFERROR(__xludf.DUMMYFUNCTION("""COMPUTED_VALUE"""),"")</f>
        <v/>
      </c>
      <c r="I487" s="51" t="str">
        <f>IFERROR(__xludf.DUMMYFUNCTION("""COMPUTED_VALUE"""),"#VALUE!")</f>
        <v>#VALUE!</v>
      </c>
      <c r="J487" s="51" t="str">
        <f>IFERROR(__xludf.DUMMYFUNCTION("""COMPUTED_VALUE"""),"")</f>
        <v/>
      </c>
      <c r="K487" s="51"/>
      <c r="L487" s="51" t="s">
        <v>257</v>
      </c>
      <c r="M487" s="51"/>
      <c r="N487" s="51"/>
      <c r="O487" s="51"/>
      <c r="P487" s="51"/>
      <c r="Q487" s="51"/>
      <c r="R487" s="51"/>
      <c r="S487" s="51"/>
      <c r="T487" s="51"/>
    </row>
    <row r="488">
      <c r="A488" s="51"/>
      <c r="B488" s="51"/>
      <c r="C488" s="94"/>
      <c r="D488" s="51"/>
      <c r="E488" s="51"/>
      <c r="F488" s="51"/>
      <c r="G488" s="51" t="str">
        <f>IFERROR(__xludf.DUMMYFUNCTION("""COMPUTED_VALUE"""),"#VALUE!")</f>
        <v>#VALUE!</v>
      </c>
      <c r="H488" s="51" t="str">
        <f>IFERROR(__xludf.DUMMYFUNCTION("""COMPUTED_VALUE"""),"")</f>
        <v/>
      </c>
      <c r="I488" s="51" t="str">
        <f>IFERROR(__xludf.DUMMYFUNCTION("""COMPUTED_VALUE"""),"#VALUE!")</f>
        <v>#VALUE!</v>
      </c>
      <c r="J488" s="51" t="str">
        <f>IFERROR(__xludf.DUMMYFUNCTION("""COMPUTED_VALUE"""),"")</f>
        <v/>
      </c>
      <c r="K488" s="51"/>
      <c r="L488" s="51" t="s">
        <v>257</v>
      </c>
      <c r="M488" s="51"/>
      <c r="N488" s="51"/>
      <c r="O488" s="51"/>
      <c r="P488" s="51"/>
      <c r="Q488" s="51"/>
      <c r="R488" s="51"/>
      <c r="S488" s="51"/>
      <c r="T488" s="51"/>
    </row>
    <row r="489">
      <c r="A489" s="51"/>
      <c r="B489" s="51"/>
      <c r="C489" s="94"/>
      <c r="D489" s="51"/>
      <c r="E489" s="51"/>
      <c r="F489" s="51"/>
      <c r="G489" s="51" t="str">
        <f>IFERROR(__xludf.DUMMYFUNCTION("""COMPUTED_VALUE"""),"#VALUE!")</f>
        <v>#VALUE!</v>
      </c>
      <c r="H489" s="51" t="str">
        <f>IFERROR(__xludf.DUMMYFUNCTION("""COMPUTED_VALUE"""),"")</f>
        <v/>
      </c>
      <c r="I489" s="51" t="str">
        <f>IFERROR(__xludf.DUMMYFUNCTION("""COMPUTED_VALUE"""),"#VALUE!")</f>
        <v>#VALUE!</v>
      </c>
      <c r="J489" s="51" t="str">
        <f>IFERROR(__xludf.DUMMYFUNCTION("""COMPUTED_VALUE"""),"")</f>
        <v/>
      </c>
      <c r="K489" s="51"/>
      <c r="L489" s="51" t="s">
        <v>257</v>
      </c>
      <c r="M489" s="51"/>
      <c r="N489" s="51"/>
      <c r="O489" s="51"/>
      <c r="P489" s="51"/>
      <c r="Q489" s="51"/>
      <c r="R489" s="51"/>
      <c r="S489" s="51"/>
      <c r="T489" s="51"/>
    </row>
    <row r="490">
      <c r="A490" s="51"/>
      <c r="B490" s="51"/>
      <c r="C490" s="94"/>
      <c r="D490" s="51"/>
      <c r="E490" s="51"/>
      <c r="F490" s="51"/>
      <c r="G490" s="51" t="str">
        <f>IFERROR(__xludf.DUMMYFUNCTION("""COMPUTED_VALUE"""),"#VALUE!")</f>
        <v>#VALUE!</v>
      </c>
      <c r="H490" s="51" t="str">
        <f>IFERROR(__xludf.DUMMYFUNCTION("""COMPUTED_VALUE"""),"")</f>
        <v/>
      </c>
      <c r="I490" s="51" t="str">
        <f>IFERROR(__xludf.DUMMYFUNCTION("""COMPUTED_VALUE"""),"#VALUE!")</f>
        <v>#VALUE!</v>
      </c>
      <c r="J490" s="51" t="str">
        <f>IFERROR(__xludf.DUMMYFUNCTION("""COMPUTED_VALUE"""),"")</f>
        <v/>
      </c>
      <c r="K490" s="51"/>
      <c r="L490" s="51" t="s">
        <v>257</v>
      </c>
      <c r="M490" s="51"/>
      <c r="N490" s="51"/>
      <c r="O490" s="51"/>
      <c r="P490" s="51"/>
      <c r="Q490" s="51"/>
      <c r="R490" s="51"/>
      <c r="S490" s="51"/>
      <c r="T490" s="51"/>
    </row>
    <row r="491">
      <c r="A491" s="51"/>
      <c r="B491" s="51"/>
      <c r="C491" s="94"/>
      <c r="D491" s="51"/>
      <c r="E491" s="51"/>
      <c r="F491" s="51"/>
      <c r="G491" s="51" t="str">
        <f>IFERROR(__xludf.DUMMYFUNCTION("""COMPUTED_VALUE"""),"#VALUE!")</f>
        <v>#VALUE!</v>
      </c>
      <c r="H491" s="51" t="str">
        <f>IFERROR(__xludf.DUMMYFUNCTION("""COMPUTED_VALUE"""),"")</f>
        <v/>
      </c>
      <c r="I491" s="51" t="str">
        <f>IFERROR(__xludf.DUMMYFUNCTION("""COMPUTED_VALUE"""),"#VALUE!")</f>
        <v>#VALUE!</v>
      </c>
      <c r="J491" s="51" t="str">
        <f>IFERROR(__xludf.DUMMYFUNCTION("""COMPUTED_VALUE"""),"")</f>
        <v/>
      </c>
      <c r="K491" s="51"/>
      <c r="L491" s="51" t="s">
        <v>257</v>
      </c>
      <c r="M491" s="51"/>
      <c r="N491" s="51"/>
      <c r="O491" s="51"/>
      <c r="P491" s="51"/>
      <c r="Q491" s="51"/>
      <c r="R491" s="51"/>
      <c r="S491" s="51"/>
      <c r="T491" s="51"/>
    </row>
    <row r="492">
      <c r="A492" s="51"/>
      <c r="B492" s="51"/>
      <c r="C492" s="94"/>
      <c r="D492" s="51"/>
      <c r="E492" s="51"/>
      <c r="F492" s="51"/>
      <c r="G492" s="51" t="str">
        <f>IFERROR(__xludf.DUMMYFUNCTION("""COMPUTED_VALUE"""),"#VALUE!")</f>
        <v>#VALUE!</v>
      </c>
      <c r="H492" s="51" t="str">
        <f>IFERROR(__xludf.DUMMYFUNCTION("""COMPUTED_VALUE"""),"")</f>
        <v/>
      </c>
      <c r="I492" s="51" t="str">
        <f>IFERROR(__xludf.DUMMYFUNCTION("""COMPUTED_VALUE"""),"#VALUE!")</f>
        <v>#VALUE!</v>
      </c>
      <c r="J492" s="51" t="str">
        <f>IFERROR(__xludf.DUMMYFUNCTION("""COMPUTED_VALUE"""),"")</f>
        <v/>
      </c>
      <c r="K492" s="51"/>
      <c r="L492" s="51" t="s">
        <v>257</v>
      </c>
      <c r="M492" s="51"/>
      <c r="N492" s="51"/>
      <c r="O492" s="51"/>
      <c r="P492" s="51"/>
      <c r="Q492" s="51"/>
      <c r="R492" s="51"/>
      <c r="S492" s="51"/>
      <c r="T492" s="51"/>
    </row>
    <row r="493">
      <c r="A493" s="51"/>
      <c r="B493" s="51"/>
      <c r="C493" s="94"/>
      <c r="D493" s="51"/>
      <c r="E493" s="51"/>
      <c r="F493" s="51"/>
      <c r="G493" s="51" t="str">
        <f>IFERROR(__xludf.DUMMYFUNCTION("""COMPUTED_VALUE"""),"#VALUE!")</f>
        <v>#VALUE!</v>
      </c>
      <c r="H493" s="51" t="str">
        <f>IFERROR(__xludf.DUMMYFUNCTION("""COMPUTED_VALUE"""),"")</f>
        <v/>
      </c>
      <c r="I493" s="51" t="str">
        <f>IFERROR(__xludf.DUMMYFUNCTION("""COMPUTED_VALUE"""),"#VALUE!")</f>
        <v>#VALUE!</v>
      </c>
      <c r="J493" s="51" t="str">
        <f>IFERROR(__xludf.DUMMYFUNCTION("""COMPUTED_VALUE"""),"")</f>
        <v/>
      </c>
      <c r="K493" s="51"/>
      <c r="L493" s="51" t="s">
        <v>257</v>
      </c>
      <c r="M493" s="51"/>
      <c r="N493" s="51"/>
      <c r="O493" s="51"/>
      <c r="P493" s="51"/>
      <c r="Q493" s="51"/>
      <c r="R493" s="51"/>
      <c r="S493" s="51"/>
      <c r="T493" s="51"/>
    </row>
    <row r="494">
      <c r="A494" s="51"/>
      <c r="B494" s="51"/>
      <c r="C494" s="94"/>
      <c r="D494" s="51"/>
      <c r="E494" s="51"/>
      <c r="F494" s="51"/>
      <c r="G494" s="51" t="str">
        <f>IFERROR(__xludf.DUMMYFUNCTION("""COMPUTED_VALUE"""),"#VALUE!")</f>
        <v>#VALUE!</v>
      </c>
      <c r="H494" s="51" t="str">
        <f>IFERROR(__xludf.DUMMYFUNCTION("""COMPUTED_VALUE"""),"")</f>
        <v/>
      </c>
      <c r="I494" s="51" t="str">
        <f>IFERROR(__xludf.DUMMYFUNCTION("""COMPUTED_VALUE"""),"#VALUE!")</f>
        <v>#VALUE!</v>
      </c>
      <c r="J494" s="51" t="str">
        <f>IFERROR(__xludf.DUMMYFUNCTION("""COMPUTED_VALUE"""),"")</f>
        <v/>
      </c>
      <c r="K494" s="51"/>
      <c r="L494" s="51" t="s">
        <v>257</v>
      </c>
      <c r="M494" s="51"/>
      <c r="N494" s="51"/>
      <c r="O494" s="51"/>
      <c r="P494" s="51"/>
      <c r="Q494" s="51"/>
      <c r="R494" s="51"/>
      <c r="S494" s="51"/>
      <c r="T494" s="51"/>
    </row>
    <row r="495">
      <c r="A495" s="51"/>
      <c r="B495" s="51"/>
      <c r="C495" s="94"/>
      <c r="D495" s="51"/>
      <c r="E495" s="51"/>
      <c r="F495" s="51"/>
      <c r="G495" s="51" t="str">
        <f>IFERROR(__xludf.DUMMYFUNCTION("""COMPUTED_VALUE"""),"#VALUE!")</f>
        <v>#VALUE!</v>
      </c>
      <c r="H495" s="51" t="str">
        <f>IFERROR(__xludf.DUMMYFUNCTION("""COMPUTED_VALUE"""),"")</f>
        <v/>
      </c>
      <c r="I495" s="51" t="str">
        <f>IFERROR(__xludf.DUMMYFUNCTION("""COMPUTED_VALUE"""),"#VALUE!")</f>
        <v>#VALUE!</v>
      </c>
      <c r="J495" s="51" t="str">
        <f>IFERROR(__xludf.DUMMYFUNCTION("""COMPUTED_VALUE"""),"")</f>
        <v/>
      </c>
      <c r="K495" s="51"/>
      <c r="L495" s="51" t="s">
        <v>257</v>
      </c>
      <c r="M495" s="51"/>
      <c r="N495" s="51"/>
      <c r="O495" s="51"/>
      <c r="P495" s="51"/>
      <c r="Q495" s="51"/>
      <c r="R495" s="51"/>
      <c r="S495" s="51"/>
      <c r="T495" s="51"/>
    </row>
    <row r="496">
      <c r="A496" s="51"/>
      <c r="B496" s="51"/>
      <c r="C496" s="94"/>
      <c r="D496" s="51"/>
      <c r="E496" s="51"/>
      <c r="F496" s="51"/>
      <c r="G496" s="51" t="str">
        <f>IFERROR(__xludf.DUMMYFUNCTION("""COMPUTED_VALUE"""),"#VALUE!")</f>
        <v>#VALUE!</v>
      </c>
      <c r="H496" s="51" t="str">
        <f>IFERROR(__xludf.DUMMYFUNCTION("""COMPUTED_VALUE"""),"")</f>
        <v/>
      </c>
      <c r="I496" s="51" t="str">
        <f>IFERROR(__xludf.DUMMYFUNCTION("""COMPUTED_VALUE"""),"#VALUE!")</f>
        <v>#VALUE!</v>
      </c>
      <c r="J496" s="51" t="str">
        <f>IFERROR(__xludf.DUMMYFUNCTION("""COMPUTED_VALUE"""),"")</f>
        <v/>
      </c>
      <c r="K496" s="51"/>
      <c r="L496" s="51" t="s">
        <v>257</v>
      </c>
      <c r="M496" s="51"/>
      <c r="N496" s="51"/>
      <c r="O496" s="51"/>
      <c r="P496" s="51"/>
      <c r="Q496" s="51"/>
      <c r="R496" s="51"/>
      <c r="S496" s="51"/>
      <c r="T496" s="51"/>
    </row>
    <row r="497">
      <c r="A497" s="51"/>
      <c r="B497" s="51"/>
      <c r="C497" s="94"/>
      <c r="D497" s="51"/>
      <c r="E497" s="51"/>
      <c r="F497" s="51"/>
      <c r="G497" s="51" t="str">
        <f>IFERROR(__xludf.DUMMYFUNCTION("""COMPUTED_VALUE"""),"#VALUE!")</f>
        <v>#VALUE!</v>
      </c>
      <c r="H497" s="51" t="str">
        <f>IFERROR(__xludf.DUMMYFUNCTION("""COMPUTED_VALUE"""),"")</f>
        <v/>
      </c>
      <c r="I497" s="51" t="str">
        <f>IFERROR(__xludf.DUMMYFUNCTION("""COMPUTED_VALUE"""),"#VALUE!")</f>
        <v>#VALUE!</v>
      </c>
      <c r="J497" s="51" t="str">
        <f>IFERROR(__xludf.DUMMYFUNCTION("""COMPUTED_VALUE"""),"")</f>
        <v/>
      </c>
      <c r="K497" s="51"/>
      <c r="L497" s="51" t="s">
        <v>257</v>
      </c>
      <c r="M497" s="51"/>
      <c r="N497" s="51"/>
      <c r="O497" s="51"/>
      <c r="P497" s="51"/>
      <c r="Q497" s="51"/>
      <c r="R497" s="51"/>
      <c r="S497" s="51"/>
      <c r="T497" s="51"/>
    </row>
    <row r="498">
      <c r="A498" s="51"/>
      <c r="B498" s="51"/>
      <c r="C498" s="94"/>
      <c r="D498" s="51"/>
      <c r="E498" s="51"/>
      <c r="F498" s="51"/>
      <c r="G498" s="51" t="str">
        <f>IFERROR(__xludf.DUMMYFUNCTION("""COMPUTED_VALUE"""),"#VALUE!")</f>
        <v>#VALUE!</v>
      </c>
      <c r="H498" s="51" t="str">
        <f>IFERROR(__xludf.DUMMYFUNCTION("""COMPUTED_VALUE"""),"")</f>
        <v/>
      </c>
      <c r="I498" s="51" t="str">
        <f>IFERROR(__xludf.DUMMYFUNCTION("""COMPUTED_VALUE"""),"#VALUE!")</f>
        <v>#VALUE!</v>
      </c>
      <c r="J498" s="51" t="str">
        <f>IFERROR(__xludf.DUMMYFUNCTION("""COMPUTED_VALUE"""),"")</f>
        <v/>
      </c>
      <c r="K498" s="51"/>
      <c r="L498" s="51" t="s">
        <v>257</v>
      </c>
      <c r="M498" s="51"/>
      <c r="N498" s="51"/>
      <c r="O498" s="51"/>
      <c r="P498" s="51"/>
      <c r="Q498" s="51"/>
      <c r="R498" s="51"/>
      <c r="S498" s="51"/>
      <c r="T498" s="51"/>
    </row>
    <row r="499">
      <c r="A499" s="51"/>
      <c r="B499" s="51"/>
      <c r="C499" s="94"/>
      <c r="D499" s="51"/>
      <c r="E499" s="51"/>
      <c r="F499" s="51"/>
      <c r="G499" s="51" t="str">
        <f>IFERROR(__xludf.DUMMYFUNCTION("""COMPUTED_VALUE"""),"#VALUE!")</f>
        <v>#VALUE!</v>
      </c>
      <c r="H499" s="51" t="str">
        <f>IFERROR(__xludf.DUMMYFUNCTION("""COMPUTED_VALUE"""),"")</f>
        <v/>
      </c>
      <c r="I499" s="51" t="str">
        <f>IFERROR(__xludf.DUMMYFUNCTION("""COMPUTED_VALUE"""),"#VALUE!")</f>
        <v>#VALUE!</v>
      </c>
      <c r="J499" s="51" t="str">
        <f>IFERROR(__xludf.DUMMYFUNCTION("""COMPUTED_VALUE"""),"")</f>
        <v/>
      </c>
      <c r="K499" s="51"/>
      <c r="L499" s="51" t="s">
        <v>257</v>
      </c>
      <c r="M499" s="51"/>
      <c r="N499" s="51"/>
      <c r="O499" s="51"/>
      <c r="P499" s="51"/>
      <c r="Q499" s="51"/>
      <c r="R499" s="51"/>
      <c r="S499" s="51"/>
      <c r="T499" s="51"/>
    </row>
    <row r="500">
      <c r="A500" s="51"/>
      <c r="B500" s="51"/>
      <c r="C500" s="94"/>
      <c r="D500" s="51"/>
      <c r="E500" s="51"/>
      <c r="F500" s="51"/>
      <c r="G500" s="51" t="str">
        <f>IFERROR(__xludf.DUMMYFUNCTION("""COMPUTED_VALUE"""),"#VALUE!")</f>
        <v>#VALUE!</v>
      </c>
      <c r="H500" s="51" t="str">
        <f>IFERROR(__xludf.DUMMYFUNCTION("""COMPUTED_VALUE"""),"")</f>
        <v/>
      </c>
      <c r="I500" s="51" t="str">
        <f>IFERROR(__xludf.DUMMYFUNCTION("""COMPUTED_VALUE"""),"#VALUE!")</f>
        <v>#VALUE!</v>
      </c>
      <c r="J500" s="51" t="str">
        <f>IFERROR(__xludf.DUMMYFUNCTION("""COMPUTED_VALUE"""),"")</f>
        <v/>
      </c>
      <c r="K500" s="51"/>
      <c r="L500" s="51" t="s">
        <v>257</v>
      </c>
      <c r="M500" s="51"/>
      <c r="N500" s="51"/>
      <c r="O500" s="51"/>
      <c r="P500" s="51"/>
      <c r="Q500" s="51"/>
      <c r="R500" s="51"/>
      <c r="S500" s="51"/>
      <c r="T500" s="51"/>
    </row>
    <row r="501">
      <c r="A501" s="51"/>
      <c r="B501" s="51"/>
      <c r="C501" s="94"/>
      <c r="D501" s="51"/>
      <c r="E501" s="51"/>
      <c r="F501" s="51"/>
      <c r="G501" s="51" t="str">
        <f>IFERROR(__xludf.DUMMYFUNCTION("""COMPUTED_VALUE"""),"#VALUE!")</f>
        <v>#VALUE!</v>
      </c>
      <c r="H501" s="51" t="str">
        <f>IFERROR(__xludf.DUMMYFUNCTION("""COMPUTED_VALUE"""),"")</f>
        <v/>
      </c>
      <c r="I501" s="51" t="str">
        <f>IFERROR(__xludf.DUMMYFUNCTION("""COMPUTED_VALUE"""),"#VALUE!")</f>
        <v>#VALUE!</v>
      </c>
      <c r="J501" s="51" t="str">
        <f>IFERROR(__xludf.DUMMYFUNCTION("""COMPUTED_VALUE"""),"")</f>
        <v/>
      </c>
      <c r="K501" s="51"/>
      <c r="L501" s="51" t="s">
        <v>257</v>
      </c>
      <c r="M501" s="51"/>
      <c r="N501" s="51"/>
      <c r="O501" s="51"/>
      <c r="P501" s="51"/>
      <c r="Q501" s="51"/>
      <c r="R501" s="51"/>
      <c r="S501" s="51"/>
      <c r="T501" s="51"/>
    </row>
    <row r="502">
      <c r="A502" s="51"/>
      <c r="B502" s="51"/>
      <c r="C502" s="94"/>
      <c r="D502" s="51"/>
      <c r="E502" s="51"/>
      <c r="F502" s="51"/>
      <c r="G502" s="51" t="str">
        <f>IFERROR(__xludf.DUMMYFUNCTION("""COMPUTED_VALUE"""),"#VALUE!")</f>
        <v>#VALUE!</v>
      </c>
      <c r="H502" s="51" t="str">
        <f>IFERROR(__xludf.DUMMYFUNCTION("""COMPUTED_VALUE"""),"")</f>
        <v/>
      </c>
      <c r="I502" s="51" t="str">
        <f>IFERROR(__xludf.DUMMYFUNCTION("""COMPUTED_VALUE"""),"#VALUE!")</f>
        <v>#VALUE!</v>
      </c>
      <c r="J502" s="51" t="str">
        <f>IFERROR(__xludf.DUMMYFUNCTION("""COMPUTED_VALUE"""),"")</f>
        <v/>
      </c>
      <c r="K502" s="51"/>
      <c r="L502" s="51" t="s">
        <v>257</v>
      </c>
      <c r="M502" s="51"/>
      <c r="N502" s="51"/>
      <c r="O502" s="51"/>
      <c r="P502" s="51"/>
      <c r="Q502" s="51"/>
      <c r="R502" s="51"/>
      <c r="S502" s="51"/>
      <c r="T502" s="51"/>
    </row>
    <row r="503">
      <c r="A503" s="51"/>
      <c r="B503" s="51"/>
      <c r="C503" s="94"/>
      <c r="D503" s="51"/>
      <c r="E503" s="51"/>
      <c r="F503" s="51"/>
      <c r="G503" s="51" t="str">
        <f>IFERROR(__xludf.DUMMYFUNCTION("""COMPUTED_VALUE"""),"#VALUE!")</f>
        <v>#VALUE!</v>
      </c>
      <c r="H503" s="51" t="str">
        <f>IFERROR(__xludf.DUMMYFUNCTION("""COMPUTED_VALUE"""),"")</f>
        <v/>
      </c>
      <c r="I503" s="51" t="str">
        <f>IFERROR(__xludf.DUMMYFUNCTION("""COMPUTED_VALUE"""),"#VALUE!")</f>
        <v>#VALUE!</v>
      </c>
      <c r="J503" s="51" t="str">
        <f>IFERROR(__xludf.DUMMYFUNCTION("""COMPUTED_VALUE"""),"")</f>
        <v/>
      </c>
      <c r="K503" s="51"/>
      <c r="L503" s="51" t="s">
        <v>257</v>
      </c>
      <c r="M503" s="51"/>
      <c r="N503" s="51"/>
      <c r="O503" s="51"/>
      <c r="P503" s="51"/>
      <c r="Q503" s="51"/>
      <c r="R503" s="51"/>
      <c r="S503" s="51"/>
      <c r="T503" s="51"/>
    </row>
    <row r="504">
      <c r="A504" s="51"/>
      <c r="B504" s="51"/>
      <c r="C504" s="94"/>
      <c r="D504" s="51"/>
      <c r="E504" s="51"/>
      <c r="F504" s="51"/>
      <c r="G504" s="51" t="str">
        <f>IFERROR(__xludf.DUMMYFUNCTION("""COMPUTED_VALUE"""),"#VALUE!")</f>
        <v>#VALUE!</v>
      </c>
      <c r="H504" s="51" t="str">
        <f>IFERROR(__xludf.DUMMYFUNCTION("""COMPUTED_VALUE"""),"")</f>
        <v/>
      </c>
      <c r="I504" s="51" t="str">
        <f>IFERROR(__xludf.DUMMYFUNCTION("""COMPUTED_VALUE"""),"#VALUE!")</f>
        <v>#VALUE!</v>
      </c>
      <c r="J504" s="51" t="str">
        <f>IFERROR(__xludf.DUMMYFUNCTION("""COMPUTED_VALUE"""),"")</f>
        <v/>
      </c>
      <c r="K504" s="51"/>
      <c r="L504" s="51" t="s">
        <v>257</v>
      </c>
      <c r="M504" s="51"/>
      <c r="N504" s="51"/>
      <c r="O504" s="51"/>
      <c r="P504" s="51"/>
      <c r="Q504" s="51"/>
      <c r="R504" s="51"/>
      <c r="S504" s="51"/>
      <c r="T504" s="51"/>
    </row>
    <row r="505">
      <c r="A505" s="51"/>
      <c r="B505" s="51"/>
      <c r="C505" s="94"/>
      <c r="D505" s="51"/>
      <c r="E505" s="51"/>
      <c r="F505" s="51"/>
      <c r="G505" s="51" t="str">
        <f>IFERROR(__xludf.DUMMYFUNCTION("""COMPUTED_VALUE"""),"#VALUE!")</f>
        <v>#VALUE!</v>
      </c>
      <c r="H505" s="51" t="str">
        <f>IFERROR(__xludf.DUMMYFUNCTION("""COMPUTED_VALUE"""),"")</f>
        <v/>
      </c>
      <c r="I505" s="51" t="str">
        <f>IFERROR(__xludf.DUMMYFUNCTION("""COMPUTED_VALUE"""),"#VALUE!")</f>
        <v>#VALUE!</v>
      </c>
      <c r="J505" s="51" t="str">
        <f>IFERROR(__xludf.DUMMYFUNCTION("""COMPUTED_VALUE"""),"")</f>
        <v/>
      </c>
      <c r="K505" s="51"/>
      <c r="L505" s="51" t="s">
        <v>257</v>
      </c>
      <c r="M505" s="51"/>
      <c r="N505" s="51"/>
      <c r="O505" s="51"/>
      <c r="P505" s="51"/>
      <c r="Q505" s="51"/>
      <c r="R505" s="51"/>
      <c r="S505" s="51"/>
      <c r="T505" s="51"/>
    </row>
    <row r="506">
      <c r="A506" s="51"/>
      <c r="B506" s="51"/>
      <c r="C506" s="94"/>
      <c r="D506" s="51"/>
      <c r="E506" s="51"/>
      <c r="F506" s="51"/>
      <c r="G506" s="51" t="str">
        <f>IFERROR(__xludf.DUMMYFUNCTION("""COMPUTED_VALUE"""),"#VALUE!")</f>
        <v>#VALUE!</v>
      </c>
      <c r="H506" s="51" t="str">
        <f>IFERROR(__xludf.DUMMYFUNCTION("""COMPUTED_VALUE"""),"")</f>
        <v/>
      </c>
      <c r="I506" s="51" t="str">
        <f>IFERROR(__xludf.DUMMYFUNCTION("""COMPUTED_VALUE"""),"#VALUE!")</f>
        <v>#VALUE!</v>
      </c>
      <c r="J506" s="51" t="str">
        <f>IFERROR(__xludf.DUMMYFUNCTION("""COMPUTED_VALUE"""),"")</f>
        <v/>
      </c>
      <c r="K506" s="51"/>
      <c r="L506" s="51" t="s">
        <v>257</v>
      </c>
      <c r="M506" s="51"/>
      <c r="N506" s="51"/>
      <c r="O506" s="51"/>
      <c r="P506" s="51"/>
      <c r="Q506" s="51"/>
      <c r="R506" s="51"/>
      <c r="S506" s="51"/>
      <c r="T506" s="51"/>
    </row>
    <row r="507">
      <c r="A507" s="51"/>
      <c r="B507" s="51"/>
      <c r="C507" s="94"/>
      <c r="D507" s="51"/>
      <c r="E507" s="51"/>
      <c r="F507" s="51"/>
      <c r="G507" s="51" t="str">
        <f>IFERROR(__xludf.DUMMYFUNCTION("""COMPUTED_VALUE"""),"#VALUE!")</f>
        <v>#VALUE!</v>
      </c>
      <c r="H507" s="51" t="str">
        <f>IFERROR(__xludf.DUMMYFUNCTION("""COMPUTED_VALUE"""),"")</f>
        <v/>
      </c>
      <c r="I507" s="51" t="str">
        <f>IFERROR(__xludf.DUMMYFUNCTION("""COMPUTED_VALUE"""),"#VALUE!")</f>
        <v>#VALUE!</v>
      </c>
      <c r="J507" s="51" t="str">
        <f>IFERROR(__xludf.DUMMYFUNCTION("""COMPUTED_VALUE"""),"")</f>
        <v/>
      </c>
      <c r="K507" s="51"/>
      <c r="L507" s="51" t="s">
        <v>257</v>
      </c>
      <c r="M507" s="51"/>
      <c r="N507" s="51"/>
      <c r="O507" s="51"/>
      <c r="P507" s="51"/>
      <c r="Q507" s="51"/>
      <c r="R507" s="51"/>
      <c r="S507" s="51"/>
      <c r="T507" s="51"/>
    </row>
    <row r="508">
      <c r="A508" s="51"/>
      <c r="B508" s="51"/>
      <c r="C508" s="94"/>
      <c r="D508" s="51"/>
      <c r="E508" s="51"/>
      <c r="F508" s="51"/>
      <c r="G508" s="51" t="str">
        <f>IFERROR(__xludf.DUMMYFUNCTION("""COMPUTED_VALUE"""),"#VALUE!")</f>
        <v>#VALUE!</v>
      </c>
      <c r="H508" s="51" t="str">
        <f>IFERROR(__xludf.DUMMYFUNCTION("""COMPUTED_VALUE"""),"")</f>
        <v/>
      </c>
      <c r="I508" s="51" t="str">
        <f>IFERROR(__xludf.DUMMYFUNCTION("""COMPUTED_VALUE"""),"#VALUE!")</f>
        <v>#VALUE!</v>
      </c>
      <c r="J508" s="51" t="str">
        <f>IFERROR(__xludf.DUMMYFUNCTION("""COMPUTED_VALUE"""),"")</f>
        <v/>
      </c>
      <c r="K508" s="51"/>
      <c r="L508" s="51" t="s">
        <v>257</v>
      </c>
      <c r="M508" s="51"/>
      <c r="N508" s="51"/>
      <c r="O508" s="51"/>
      <c r="P508" s="51"/>
      <c r="Q508" s="51"/>
      <c r="R508" s="51"/>
      <c r="S508" s="51"/>
      <c r="T508" s="51"/>
    </row>
    <row r="509">
      <c r="A509" s="51"/>
      <c r="B509" s="51"/>
      <c r="C509" s="94"/>
      <c r="D509" s="51"/>
      <c r="E509" s="51"/>
      <c r="F509" s="51"/>
      <c r="G509" s="51" t="str">
        <f>IFERROR(__xludf.DUMMYFUNCTION("""COMPUTED_VALUE"""),"#VALUE!")</f>
        <v>#VALUE!</v>
      </c>
      <c r="H509" s="51" t="str">
        <f>IFERROR(__xludf.DUMMYFUNCTION("""COMPUTED_VALUE"""),"")</f>
        <v/>
      </c>
      <c r="I509" s="51" t="str">
        <f>IFERROR(__xludf.DUMMYFUNCTION("""COMPUTED_VALUE"""),"#VALUE!")</f>
        <v>#VALUE!</v>
      </c>
      <c r="J509" s="51" t="str">
        <f>IFERROR(__xludf.DUMMYFUNCTION("""COMPUTED_VALUE"""),"")</f>
        <v/>
      </c>
      <c r="K509" s="51"/>
      <c r="L509" s="51" t="s">
        <v>257</v>
      </c>
      <c r="M509" s="51"/>
      <c r="N509" s="51"/>
      <c r="O509" s="51"/>
      <c r="P509" s="51"/>
      <c r="Q509" s="51"/>
      <c r="R509" s="51"/>
      <c r="S509" s="51"/>
      <c r="T509" s="51"/>
    </row>
    <row r="510">
      <c r="A510" s="51"/>
      <c r="B510" s="51"/>
      <c r="C510" s="94"/>
      <c r="D510" s="51"/>
      <c r="E510" s="51"/>
      <c r="F510" s="51"/>
      <c r="G510" s="51" t="str">
        <f>IFERROR(__xludf.DUMMYFUNCTION("""COMPUTED_VALUE"""),"#VALUE!")</f>
        <v>#VALUE!</v>
      </c>
      <c r="H510" s="51" t="str">
        <f>IFERROR(__xludf.DUMMYFUNCTION("""COMPUTED_VALUE"""),"")</f>
        <v/>
      </c>
      <c r="I510" s="51" t="str">
        <f>IFERROR(__xludf.DUMMYFUNCTION("""COMPUTED_VALUE"""),"#VALUE!")</f>
        <v>#VALUE!</v>
      </c>
      <c r="J510" s="51" t="str">
        <f>IFERROR(__xludf.DUMMYFUNCTION("""COMPUTED_VALUE"""),"")</f>
        <v/>
      </c>
      <c r="K510" s="51"/>
      <c r="L510" s="51" t="s">
        <v>257</v>
      </c>
      <c r="M510" s="51"/>
      <c r="N510" s="51"/>
      <c r="O510" s="51"/>
      <c r="P510" s="51"/>
      <c r="Q510" s="51"/>
      <c r="R510" s="51"/>
      <c r="S510" s="51"/>
      <c r="T510" s="51"/>
    </row>
    <row r="511">
      <c r="A511" s="51"/>
      <c r="B511" s="51"/>
      <c r="C511" s="94"/>
      <c r="D511" s="51"/>
      <c r="E511" s="51"/>
      <c r="F511" s="51"/>
      <c r="G511" s="51" t="str">
        <f>IFERROR(__xludf.DUMMYFUNCTION("""COMPUTED_VALUE"""),"#VALUE!")</f>
        <v>#VALUE!</v>
      </c>
      <c r="H511" s="51" t="str">
        <f>IFERROR(__xludf.DUMMYFUNCTION("""COMPUTED_VALUE"""),"")</f>
        <v/>
      </c>
      <c r="I511" s="51" t="str">
        <f>IFERROR(__xludf.DUMMYFUNCTION("""COMPUTED_VALUE"""),"#VALUE!")</f>
        <v>#VALUE!</v>
      </c>
      <c r="J511" s="51" t="str">
        <f>IFERROR(__xludf.DUMMYFUNCTION("""COMPUTED_VALUE"""),"")</f>
        <v/>
      </c>
      <c r="K511" s="51"/>
      <c r="L511" s="51" t="s">
        <v>257</v>
      </c>
      <c r="M511" s="51"/>
      <c r="N511" s="51"/>
      <c r="O511" s="51"/>
      <c r="P511" s="51"/>
      <c r="Q511" s="51"/>
      <c r="R511" s="51"/>
      <c r="S511" s="51"/>
      <c r="T511" s="51"/>
    </row>
    <row r="512">
      <c r="A512" s="51"/>
      <c r="B512" s="51"/>
      <c r="C512" s="94"/>
      <c r="D512" s="51"/>
      <c r="E512" s="51"/>
      <c r="F512" s="51"/>
      <c r="G512" s="51" t="str">
        <f>IFERROR(__xludf.DUMMYFUNCTION("""COMPUTED_VALUE"""),"#VALUE!")</f>
        <v>#VALUE!</v>
      </c>
      <c r="H512" s="51" t="str">
        <f>IFERROR(__xludf.DUMMYFUNCTION("""COMPUTED_VALUE"""),"")</f>
        <v/>
      </c>
      <c r="I512" s="51" t="str">
        <f>IFERROR(__xludf.DUMMYFUNCTION("""COMPUTED_VALUE"""),"#VALUE!")</f>
        <v>#VALUE!</v>
      </c>
      <c r="J512" s="51" t="str">
        <f>IFERROR(__xludf.DUMMYFUNCTION("""COMPUTED_VALUE"""),"")</f>
        <v/>
      </c>
      <c r="K512" s="51"/>
      <c r="L512" s="51" t="s">
        <v>257</v>
      </c>
      <c r="M512" s="51"/>
      <c r="N512" s="51"/>
      <c r="O512" s="51"/>
      <c r="P512" s="51"/>
      <c r="Q512" s="51"/>
      <c r="R512" s="51"/>
      <c r="S512" s="51"/>
      <c r="T512" s="51"/>
    </row>
    <row r="513">
      <c r="A513" s="51"/>
      <c r="B513" s="51"/>
      <c r="C513" s="94"/>
      <c r="D513" s="51"/>
      <c r="E513" s="51"/>
      <c r="F513" s="51"/>
      <c r="G513" s="51" t="str">
        <f>IFERROR(__xludf.DUMMYFUNCTION("""COMPUTED_VALUE"""),"#VALUE!")</f>
        <v>#VALUE!</v>
      </c>
      <c r="H513" s="51" t="str">
        <f>IFERROR(__xludf.DUMMYFUNCTION("""COMPUTED_VALUE"""),"")</f>
        <v/>
      </c>
      <c r="I513" s="51" t="str">
        <f>IFERROR(__xludf.DUMMYFUNCTION("""COMPUTED_VALUE"""),"#VALUE!")</f>
        <v>#VALUE!</v>
      </c>
      <c r="J513" s="51" t="str">
        <f>IFERROR(__xludf.DUMMYFUNCTION("""COMPUTED_VALUE"""),"")</f>
        <v/>
      </c>
      <c r="K513" s="51"/>
      <c r="L513" s="51" t="s">
        <v>257</v>
      </c>
      <c r="M513" s="51"/>
      <c r="N513" s="51"/>
      <c r="O513" s="51"/>
      <c r="P513" s="51"/>
      <c r="Q513" s="51"/>
      <c r="R513" s="51"/>
      <c r="S513" s="51"/>
      <c r="T513" s="51"/>
    </row>
    <row r="514">
      <c r="A514" s="51"/>
      <c r="B514" s="51"/>
      <c r="C514" s="94"/>
      <c r="D514" s="51"/>
      <c r="E514" s="51"/>
      <c r="F514" s="51"/>
      <c r="G514" s="51" t="str">
        <f>IFERROR(__xludf.DUMMYFUNCTION("""COMPUTED_VALUE"""),"#VALUE!")</f>
        <v>#VALUE!</v>
      </c>
      <c r="H514" s="51" t="str">
        <f>IFERROR(__xludf.DUMMYFUNCTION("""COMPUTED_VALUE"""),"")</f>
        <v/>
      </c>
      <c r="I514" s="51" t="str">
        <f>IFERROR(__xludf.DUMMYFUNCTION("""COMPUTED_VALUE"""),"#VALUE!")</f>
        <v>#VALUE!</v>
      </c>
      <c r="J514" s="51" t="str">
        <f>IFERROR(__xludf.DUMMYFUNCTION("""COMPUTED_VALUE"""),"")</f>
        <v/>
      </c>
      <c r="K514" s="51"/>
      <c r="L514" s="51" t="s">
        <v>257</v>
      </c>
      <c r="M514" s="51"/>
      <c r="N514" s="51"/>
      <c r="O514" s="51"/>
      <c r="P514" s="51"/>
      <c r="Q514" s="51"/>
      <c r="R514" s="51"/>
      <c r="S514" s="51"/>
      <c r="T514" s="51"/>
    </row>
    <row r="515">
      <c r="A515" s="51"/>
      <c r="B515" s="51"/>
      <c r="C515" s="94"/>
      <c r="D515" s="51"/>
      <c r="E515" s="51"/>
      <c r="F515" s="51"/>
      <c r="G515" s="51" t="str">
        <f>IFERROR(__xludf.DUMMYFUNCTION("""COMPUTED_VALUE"""),"#VALUE!")</f>
        <v>#VALUE!</v>
      </c>
      <c r="H515" s="51" t="str">
        <f>IFERROR(__xludf.DUMMYFUNCTION("""COMPUTED_VALUE"""),"")</f>
        <v/>
      </c>
      <c r="I515" s="51" t="str">
        <f>IFERROR(__xludf.DUMMYFUNCTION("""COMPUTED_VALUE"""),"#VALUE!")</f>
        <v>#VALUE!</v>
      </c>
      <c r="J515" s="51" t="str">
        <f>IFERROR(__xludf.DUMMYFUNCTION("""COMPUTED_VALUE"""),"")</f>
        <v/>
      </c>
      <c r="K515" s="51"/>
      <c r="L515" s="51" t="s">
        <v>257</v>
      </c>
      <c r="M515" s="51"/>
      <c r="N515" s="51"/>
      <c r="O515" s="51"/>
      <c r="P515" s="51"/>
      <c r="Q515" s="51"/>
      <c r="R515" s="51"/>
      <c r="S515" s="51"/>
      <c r="T515" s="51"/>
    </row>
    <row r="516">
      <c r="A516" s="51"/>
      <c r="B516" s="51"/>
      <c r="C516" s="94"/>
      <c r="D516" s="51"/>
      <c r="E516" s="51"/>
      <c r="F516" s="51"/>
      <c r="G516" s="51" t="str">
        <f>IFERROR(__xludf.DUMMYFUNCTION("""COMPUTED_VALUE"""),"#VALUE!")</f>
        <v>#VALUE!</v>
      </c>
      <c r="H516" s="51" t="str">
        <f>IFERROR(__xludf.DUMMYFUNCTION("""COMPUTED_VALUE"""),"")</f>
        <v/>
      </c>
      <c r="I516" s="51" t="str">
        <f>IFERROR(__xludf.DUMMYFUNCTION("""COMPUTED_VALUE"""),"#VALUE!")</f>
        <v>#VALUE!</v>
      </c>
      <c r="J516" s="51" t="str">
        <f>IFERROR(__xludf.DUMMYFUNCTION("""COMPUTED_VALUE"""),"")</f>
        <v/>
      </c>
      <c r="K516" s="51"/>
      <c r="L516" s="51" t="s">
        <v>257</v>
      </c>
      <c r="M516" s="51"/>
      <c r="N516" s="51"/>
      <c r="O516" s="51"/>
      <c r="P516" s="51"/>
      <c r="Q516" s="51"/>
      <c r="R516" s="51"/>
      <c r="S516" s="51"/>
      <c r="T516" s="51"/>
    </row>
    <row r="517">
      <c r="A517" s="51"/>
      <c r="B517" s="51"/>
      <c r="C517" s="94"/>
      <c r="D517" s="51"/>
      <c r="E517" s="51"/>
      <c r="F517" s="51"/>
      <c r="G517" s="51" t="str">
        <f>IFERROR(__xludf.DUMMYFUNCTION("""COMPUTED_VALUE"""),"#VALUE!")</f>
        <v>#VALUE!</v>
      </c>
      <c r="H517" s="51" t="str">
        <f>IFERROR(__xludf.DUMMYFUNCTION("""COMPUTED_VALUE"""),"")</f>
        <v/>
      </c>
      <c r="I517" s="51" t="str">
        <f>IFERROR(__xludf.DUMMYFUNCTION("""COMPUTED_VALUE"""),"#VALUE!")</f>
        <v>#VALUE!</v>
      </c>
      <c r="J517" s="51" t="str">
        <f>IFERROR(__xludf.DUMMYFUNCTION("""COMPUTED_VALUE"""),"")</f>
        <v/>
      </c>
      <c r="K517" s="51"/>
      <c r="L517" s="51" t="s">
        <v>257</v>
      </c>
      <c r="M517" s="51"/>
      <c r="N517" s="51"/>
      <c r="O517" s="51"/>
      <c r="P517" s="51"/>
      <c r="Q517" s="51"/>
      <c r="R517" s="51"/>
      <c r="S517" s="51"/>
      <c r="T517" s="51"/>
    </row>
    <row r="518">
      <c r="A518" s="51"/>
      <c r="B518" s="51"/>
      <c r="C518" s="94"/>
      <c r="D518" s="51"/>
      <c r="E518" s="51"/>
      <c r="F518" s="51"/>
      <c r="G518" s="51" t="str">
        <f>IFERROR(__xludf.DUMMYFUNCTION("""COMPUTED_VALUE"""),"#VALUE!")</f>
        <v>#VALUE!</v>
      </c>
      <c r="H518" s="51" t="str">
        <f>IFERROR(__xludf.DUMMYFUNCTION("""COMPUTED_VALUE"""),"")</f>
        <v/>
      </c>
      <c r="I518" s="51" t="str">
        <f>IFERROR(__xludf.DUMMYFUNCTION("""COMPUTED_VALUE"""),"#VALUE!")</f>
        <v>#VALUE!</v>
      </c>
      <c r="J518" s="51" t="str">
        <f>IFERROR(__xludf.DUMMYFUNCTION("""COMPUTED_VALUE"""),"")</f>
        <v/>
      </c>
      <c r="K518" s="51"/>
      <c r="L518" s="51" t="s">
        <v>257</v>
      </c>
      <c r="M518" s="51"/>
      <c r="N518" s="51"/>
      <c r="O518" s="51"/>
      <c r="P518" s="51"/>
      <c r="Q518" s="51"/>
      <c r="R518" s="51"/>
      <c r="S518" s="51"/>
      <c r="T518" s="51"/>
    </row>
    <row r="519">
      <c r="A519" s="51"/>
      <c r="B519" s="51"/>
      <c r="C519" s="94"/>
      <c r="D519" s="51"/>
      <c r="E519" s="51"/>
      <c r="F519" s="51"/>
      <c r="G519" s="51" t="str">
        <f>IFERROR(__xludf.DUMMYFUNCTION("""COMPUTED_VALUE"""),"#VALUE!")</f>
        <v>#VALUE!</v>
      </c>
      <c r="H519" s="51" t="str">
        <f>IFERROR(__xludf.DUMMYFUNCTION("""COMPUTED_VALUE"""),"")</f>
        <v/>
      </c>
      <c r="I519" s="51" t="str">
        <f>IFERROR(__xludf.DUMMYFUNCTION("""COMPUTED_VALUE"""),"#VALUE!")</f>
        <v>#VALUE!</v>
      </c>
      <c r="J519" s="51" t="str">
        <f>IFERROR(__xludf.DUMMYFUNCTION("""COMPUTED_VALUE"""),"")</f>
        <v/>
      </c>
      <c r="K519" s="51"/>
      <c r="L519" s="51" t="s">
        <v>257</v>
      </c>
      <c r="M519" s="51"/>
      <c r="N519" s="51"/>
      <c r="O519" s="51"/>
      <c r="P519" s="51"/>
      <c r="Q519" s="51"/>
      <c r="R519" s="51"/>
      <c r="S519" s="51"/>
      <c r="T519" s="51"/>
    </row>
    <row r="520">
      <c r="A520" s="51"/>
      <c r="B520" s="51"/>
      <c r="C520" s="94"/>
      <c r="D520" s="51"/>
      <c r="E520" s="51"/>
      <c r="F520" s="51"/>
      <c r="G520" s="51" t="str">
        <f>IFERROR(__xludf.DUMMYFUNCTION("""COMPUTED_VALUE"""),"#VALUE!")</f>
        <v>#VALUE!</v>
      </c>
      <c r="H520" s="51" t="str">
        <f>IFERROR(__xludf.DUMMYFUNCTION("""COMPUTED_VALUE"""),"")</f>
        <v/>
      </c>
      <c r="I520" s="51" t="str">
        <f>IFERROR(__xludf.DUMMYFUNCTION("""COMPUTED_VALUE"""),"#VALUE!")</f>
        <v>#VALUE!</v>
      </c>
      <c r="J520" s="51" t="str">
        <f>IFERROR(__xludf.DUMMYFUNCTION("""COMPUTED_VALUE"""),"")</f>
        <v/>
      </c>
      <c r="K520" s="51"/>
      <c r="L520" s="51" t="s">
        <v>257</v>
      </c>
      <c r="M520" s="51"/>
      <c r="N520" s="51"/>
      <c r="O520" s="51"/>
      <c r="P520" s="51"/>
      <c r="Q520" s="51"/>
      <c r="R520" s="51"/>
      <c r="S520" s="51"/>
      <c r="T520" s="51"/>
    </row>
    <row r="521">
      <c r="A521" s="51"/>
      <c r="B521" s="51"/>
      <c r="C521" s="94"/>
      <c r="D521" s="51"/>
      <c r="E521" s="51"/>
      <c r="F521" s="51"/>
      <c r="G521" s="51" t="str">
        <f>IFERROR(__xludf.DUMMYFUNCTION("""COMPUTED_VALUE"""),"#VALUE!")</f>
        <v>#VALUE!</v>
      </c>
      <c r="H521" s="51" t="str">
        <f>IFERROR(__xludf.DUMMYFUNCTION("""COMPUTED_VALUE"""),"")</f>
        <v/>
      </c>
      <c r="I521" s="51" t="str">
        <f>IFERROR(__xludf.DUMMYFUNCTION("""COMPUTED_VALUE"""),"#VALUE!")</f>
        <v>#VALUE!</v>
      </c>
      <c r="J521" s="51" t="str">
        <f>IFERROR(__xludf.DUMMYFUNCTION("""COMPUTED_VALUE"""),"")</f>
        <v/>
      </c>
      <c r="K521" s="51"/>
      <c r="L521" s="51" t="s">
        <v>257</v>
      </c>
      <c r="M521" s="51"/>
      <c r="N521" s="51"/>
      <c r="O521" s="51"/>
      <c r="P521" s="51"/>
      <c r="Q521" s="51"/>
      <c r="R521" s="51"/>
      <c r="S521" s="51"/>
      <c r="T521" s="51"/>
    </row>
    <row r="522">
      <c r="A522" s="51"/>
      <c r="B522" s="51"/>
      <c r="C522" s="94"/>
      <c r="D522" s="51"/>
      <c r="E522" s="51"/>
      <c r="F522" s="51"/>
      <c r="G522" s="51" t="str">
        <f>IFERROR(__xludf.DUMMYFUNCTION("""COMPUTED_VALUE"""),"#VALUE!")</f>
        <v>#VALUE!</v>
      </c>
      <c r="H522" s="51" t="str">
        <f>IFERROR(__xludf.DUMMYFUNCTION("""COMPUTED_VALUE"""),"")</f>
        <v/>
      </c>
      <c r="I522" s="51" t="str">
        <f>IFERROR(__xludf.DUMMYFUNCTION("""COMPUTED_VALUE"""),"#VALUE!")</f>
        <v>#VALUE!</v>
      </c>
      <c r="J522" s="51" t="str">
        <f>IFERROR(__xludf.DUMMYFUNCTION("""COMPUTED_VALUE"""),"")</f>
        <v/>
      </c>
      <c r="K522" s="51"/>
      <c r="L522" s="51" t="s">
        <v>257</v>
      </c>
      <c r="M522" s="51"/>
      <c r="N522" s="51"/>
      <c r="O522" s="51"/>
      <c r="P522" s="51"/>
      <c r="Q522" s="51"/>
      <c r="R522" s="51"/>
      <c r="S522" s="51"/>
      <c r="T522" s="51"/>
    </row>
    <row r="523">
      <c r="A523" s="51"/>
      <c r="B523" s="51"/>
      <c r="C523" s="94"/>
      <c r="D523" s="51"/>
      <c r="E523" s="51"/>
      <c r="F523" s="51"/>
      <c r="G523" s="51" t="str">
        <f>IFERROR(__xludf.DUMMYFUNCTION("""COMPUTED_VALUE"""),"#VALUE!")</f>
        <v>#VALUE!</v>
      </c>
      <c r="H523" s="51" t="str">
        <f>IFERROR(__xludf.DUMMYFUNCTION("""COMPUTED_VALUE"""),"")</f>
        <v/>
      </c>
      <c r="I523" s="51" t="str">
        <f>IFERROR(__xludf.DUMMYFUNCTION("""COMPUTED_VALUE"""),"#VALUE!")</f>
        <v>#VALUE!</v>
      </c>
      <c r="J523" s="51" t="str">
        <f>IFERROR(__xludf.DUMMYFUNCTION("""COMPUTED_VALUE"""),"")</f>
        <v/>
      </c>
      <c r="K523" s="51"/>
      <c r="L523" s="51" t="s">
        <v>257</v>
      </c>
      <c r="M523" s="51"/>
      <c r="N523" s="51"/>
      <c r="O523" s="51"/>
      <c r="P523" s="51"/>
      <c r="Q523" s="51"/>
      <c r="R523" s="51"/>
      <c r="S523" s="51"/>
      <c r="T523" s="51"/>
    </row>
    <row r="524">
      <c r="A524" s="51"/>
      <c r="B524" s="51"/>
      <c r="C524" s="94"/>
      <c r="D524" s="51"/>
      <c r="E524" s="51"/>
      <c r="F524" s="51"/>
      <c r="G524" s="51" t="str">
        <f>IFERROR(__xludf.DUMMYFUNCTION("""COMPUTED_VALUE"""),"#VALUE!")</f>
        <v>#VALUE!</v>
      </c>
      <c r="H524" s="51" t="str">
        <f>IFERROR(__xludf.DUMMYFUNCTION("""COMPUTED_VALUE"""),"")</f>
        <v/>
      </c>
      <c r="I524" s="51" t="str">
        <f>IFERROR(__xludf.DUMMYFUNCTION("""COMPUTED_VALUE"""),"#VALUE!")</f>
        <v>#VALUE!</v>
      </c>
      <c r="J524" s="51" t="str">
        <f>IFERROR(__xludf.DUMMYFUNCTION("""COMPUTED_VALUE"""),"")</f>
        <v/>
      </c>
      <c r="K524" s="51"/>
      <c r="L524" s="51" t="s">
        <v>257</v>
      </c>
      <c r="M524" s="51"/>
      <c r="N524" s="51"/>
      <c r="O524" s="51"/>
      <c r="P524" s="51"/>
      <c r="Q524" s="51"/>
      <c r="R524" s="51"/>
      <c r="S524" s="51"/>
      <c r="T524" s="51"/>
    </row>
    <row r="525">
      <c r="A525" s="51"/>
      <c r="B525" s="51"/>
      <c r="C525" s="94"/>
      <c r="D525" s="51"/>
      <c r="E525" s="51"/>
      <c r="F525" s="51"/>
      <c r="G525" s="51" t="str">
        <f>IFERROR(__xludf.DUMMYFUNCTION("""COMPUTED_VALUE"""),"#VALUE!")</f>
        <v>#VALUE!</v>
      </c>
      <c r="H525" s="51" t="str">
        <f>IFERROR(__xludf.DUMMYFUNCTION("""COMPUTED_VALUE"""),"")</f>
        <v/>
      </c>
      <c r="I525" s="51" t="str">
        <f>IFERROR(__xludf.DUMMYFUNCTION("""COMPUTED_VALUE"""),"#VALUE!")</f>
        <v>#VALUE!</v>
      </c>
      <c r="J525" s="51" t="str">
        <f>IFERROR(__xludf.DUMMYFUNCTION("""COMPUTED_VALUE"""),"")</f>
        <v/>
      </c>
      <c r="K525" s="51"/>
      <c r="L525" s="51" t="s">
        <v>257</v>
      </c>
      <c r="M525" s="51"/>
      <c r="N525" s="51"/>
      <c r="O525" s="51"/>
      <c r="P525" s="51"/>
      <c r="Q525" s="51"/>
      <c r="R525" s="51"/>
      <c r="S525" s="51"/>
      <c r="T525" s="51"/>
    </row>
    <row r="526">
      <c r="A526" s="51"/>
      <c r="B526" s="51"/>
      <c r="C526" s="94"/>
      <c r="D526" s="51"/>
      <c r="E526" s="51"/>
      <c r="F526" s="51"/>
      <c r="G526" s="51" t="str">
        <f>IFERROR(__xludf.DUMMYFUNCTION("""COMPUTED_VALUE"""),"#VALUE!")</f>
        <v>#VALUE!</v>
      </c>
      <c r="H526" s="51" t="str">
        <f>IFERROR(__xludf.DUMMYFUNCTION("""COMPUTED_VALUE"""),"")</f>
        <v/>
      </c>
      <c r="I526" s="51" t="str">
        <f>IFERROR(__xludf.DUMMYFUNCTION("""COMPUTED_VALUE"""),"#VALUE!")</f>
        <v>#VALUE!</v>
      </c>
      <c r="J526" s="51" t="str">
        <f>IFERROR(__xludf.DUMMYFUNCTION("""COMPUTED_VALUE"""),"")</f>
        <v/>
      </c>
      <c r="K526" s="51"/>
      <c r="L526" s="51" t="s">
        <v>257</v>
      </c>
      <c r="M526" s="51"/>
      <c r="N526" s="51"/>
      <c r="O526" s="51"/>
      <c r="P526" s="51"/>
      <c r="Q526" s="51"/>
      <c r="R526" s="51"/>
      <c r="S526" s="51"/>
      <c r="T526" s="51"/>
    </row>
    <row r="527">
      <c r="A527" s="51"/>
      <c r="B527" s="51"/>
      <c r="C527" s="94"/>
      <c r="D527" s="51"/>
      <c r="E527" s="51"/>
      <c r="F527" s="51"/>
      <c r="G527" s="51" t="str">
        <f>IFERROR(__xludf.DUMMYFUNCTION("""COMPUTED_VALUE"""),"#VALUE!")</f>
        <v>#VALUE!</v>
      </c>
      <c r="H527" s="51" t="str">
        <f>IFERROR(__xludf.DUMMYFUNCTION("""COMPUTED_VALUE"""),"")</f>
        <v/>
      </c>
      <c r="I527" s="51" t="str">
        <f>IFERROR(__xludf.DUMMYFUNCTION("""COMPUTED_VALUE"""),"#VALUE!")</f>
        <v>#VALUE!</v>
      </c>
      <c r="J527" s="51" t="str">
        <f>IFERROR(__xludf.DUMMYFUNCTION("""COMPUTED_VALUE"""),"")</f>
        <v/>
      </c>
      <c r="K527" s="51"/>
      <c r="L527" s="51" t="s">
        <v>257</v>
      </c>
      <c r="M527" s="51"/>
      <c r="N527" s="51"/>
      <c r="O527" s="51"/>
      <c r="P527" s="51"/>
      <c r="Q527" s="51"/>
      <c r="R527" s="51"/>
      <c r="S527" s="51"/>
      <c r="T527" s="51"/>
    </row>
    <row r="528">
      <c r="A528" s="51"/>
      <c r="B528" s="51"/>
      <c r="C528" s="94"/>
      <c r="D528" s="51"/>
      <c r="E528" s="51"/>
      <c r="F528" s="51"/>
      <c r="G528" s="51" t="str">
        <f>IFERROR(__xludf.DUMMYFUNCTION("""COMPUTED_VALUE"""),"#VALUE!")</f>
        <v>#VALUE!</v>
      </c>
      <c r="H528" s="51" t="str">
        <f>IFERROR(__xludf.DUMMYFUNCTION("""COMPUTED_VALUE"""),"")</f>
        <v/>
      </c>
      <c r="I528" s="51" t="str">
        <f>IFERROR(__xludf.DUMMYFUNCTION("""COMPUTED_VALUE"""),"#VALUE!")</f>
        <v>#VALUE!</v>
      </c>
      <c r="J528" s="51" t="str">
        <f>IFERROR(__xludf.DUMMYFUNCTION("""COMPUTED_VALUE"""),"")</f>
        <v/>
      </c>
      <c r="K528" s="51"/>
      <c r="L528" s="51" t="s">
        <v>257</v>
      </c>
      <c r="M528" s="51"/>
      <c r="N528" s="51"/>
      <c r="O528" s="51"/>
      <c r="P528" s="51"/>
      <c r="Q528" s="51"/>
      <c r="R528" s="51"/>
      <c r="S528" s="51"/>
      <c r="T528" s="51"/>
    </row>
    <row r="529">
      <c r="A529" s="51"/>
      <c r="B529" s="51"/>
      <c r="C529" s="94"/>
      <c r="D529" s="51"/>
      <c r="E529" s="51"/>
      <c r="F529" s="51"/>
      <c r="G529" s="51" t="str">
        <f>IFERROR(__xludf.DUMMYFUNCTION("""COMPUTED_VALUE"""),"#VALUE!")</f>
        <v>#VALUE!</v>
      </c>
      <c r="H529" s="51" t="str">
        <f>IFERROR(__xludf.DUMMYFUNCTION("""COMPUTED_VALUE"""),"")</f>
        <v/>
      </c>
      <c r="I529" s="51" t="str">
        <f>IFERROR(__xludf.DUMMYFUNCTION("""COMPUTED_VALUE"""),"#VALUE!")</f>
        <v>#VALUE!</v>
      </c>
      <c r="J529" s="51" t="str">
        <f>IFERROR(__xludf.DUMMYFUNCTION("""COMPUTED_VALUE"""),"")</f>
        <v/>
      </c>
      <c r="K529" s="51"/>
      <c r="L529" s="51" t="s">
        <v>257</v>
      </c>
      <c r="M529" s="51"/>
      <c r="N529" s="51"/>
      <c r="O529" s="51"/>
      <c r="P529" s="51"/>
      <c r="Q529" s="51"/>
      <c r="R529" s="51"/>
      <c r="S529" s="51"/>
      <c r="T529" s="51"/>
    </row>
    <row r="530">
      <c r="A530" s="51"/>
      <c r="B530" s="51"/>
      <c r="C530" s="94"/>
      <c r="D530" s="51"/>
      <c r="E530" s="51"/>
      <c r="F530" s="51"/>
      <c r="G530" s="51" t="str">
        <f>IFERROR(__xludf.DUMMYFUNCTION("""COMPUTED_VALUE"""),"#VALUE!")</f>
        <v>#VALUE!</v>
      </c>
      <c r="H530" s="51" t="str">
        <f>IFERROR(__xludf.DUMMYFUNCTION("""COMPUTED_VALUE"""),"")</f>
        <v/>
      </c>
      <c r="I530" s="51" t="str">
        <f>IFERROR(__xludf.DUMMYFUNCTION("""COMPUTED_VALUE"""),"#VALUE!")</f>
        <v>#VALUE!</v>
      </c>
      <c r="J530" s="51" t="str">
        <f>IFERROR(__xludf.DUMMYFUNCTION("""COMPUTED_VALUE"""),"")</f>
        <v/>
      </c>
      <c r="K530" s="51"/>
      <c r="L530" s="51" t="s">
        <v>257</v>
      </c>
      <c r="M530" s="51"/>
      <c r="N530" s="51"/>
      <c r="O530" s="51"/>
      <c r="P530" s="51"/>
      <c r="Q530" s="51"/>
      <c r="R530" s="51"/>
      <c r="S530" s="51"/>
      <c r="T530" s="51"/>
    </row>
    <row r="531">
      <c r="A531" s="51"/>
      <c r="B531" s="51"/>
      <c r="C531" s="94"/>
      <c r="D531" s="51"/>
      <c r="E531" s="51"/>
      <c r="F531" s="51"/>
      <c r="G531" s="51" t="str">
        <f>IFERROR(__xludf.DUMMYFUNCTION("""COMPUTED_VALUE"""),"#VALUE!")</f>
        <v>#VALUE!</v>
      </c>
      <c r="H531" s="51" t="str">
        <f>IFERROR(__xludf.DUMMYFUNCTION("""COMPUTED_VALUE"""),"")</f>
        <v/>
      </c>
      <c r="I531" s="51" t="str">
        <f>IFERROR(__xludf.DUMMYFUNCTION("""COMPUTED_VALUE"""),"#VALUE!")</f>
        <v>#VALUE!</v>
      </c>
      <c r="J531" s="51" t="str">
        <f>IFERROR(__xludf.DUMMYFUNCTION("""COMPUTED_VALUE"""),"")</f>
        <v/>
      </c>
      <c r="K531" s="51"/>
      <c r="L531" s="51" t="s">
        <v>257</v>
      </c>
      <c r="M531" s="51"/>
      <c r="N531" s="51"/>
      <c r="O531" s="51"/>
      <c r="P531" s="51"/>
      <c r="Q531" s="51"/>
      <c r="R531" s="51"/>
      <c r="S531" s="51"/>
      <c r="T531" s="51"/>
    </row>
    <row r="532">
      <c r="A532" s="51"/>
      <c r="B532" s="51"/>
      <c r="C532" s="94"/>
      <c r="D532" s="51"/>
      <c r="E532" s="51"/>
      <c r="F532" s="51"/>
      <c r="G532" s="51" t="str">
        <f>IFERROR(__xludf.DUMMYFUNCTION("""COMPUTED_VALUE"""),"#VALUE!")</f>
        <v>#VALUE!</v>
      </c>
      <c r="H532" s="51" t="str">
        <f>IFERROR(__xludf.DUMMYFUNCTION("""COMPUTED_VALUE"""),"")</f>
        <v/>
      </c>
      <c r="I532" s="51" t="str">
        <f>IFERROR(__xludf.DUMMYFUNCTION("""COMPUTED_VALUE"""),"#VALUE!")</f>
        <v>#VALUE!</v>
      </c>
      <c r="J532" s="51" t="str">
        <f>IFERROR(__xludf.DUMMYFUNCTION("""COMPUTED_VALUE"""),"")</f>
        <v/>
      </c>
      <c r="K532" s="51"/>
      <c r="L532" s="51" t="s">
        <v>257</v>
      </c>
      <c r="M532" s="51"/>
      <c r="N532" s="51"/>
      <c r="O532" s="51"/>
      <c r="P532" s="51"/>
      <c r="Q532" s="51"/>
      <c r="R532" s="51"/>
      <c r="S532" s="51"/>
      <c r="T532" s="51"/>
    </row>
    <row r="533">
      <c r="A533" s="51"/>
      <c r="B533" s="51"/>
      <c r="C533" s="94"/>
      <c r="D533" s="51"/>
      <c r="E533" s="51"/>
      <c r="F533" s="51"/>
      <c r="G533" s="51" t="str">
        <f>IFERROR(__xludf.DUMMYFUNCTION("""COMPUTED_VALUE"""),"#VALUE!")</f>
        <v>#VALUE!</v>
      </c>
      <c r="H533" s="51" t="str">
        <f>IFERROR(__xludf.DUMMYFUNCTION("""COMPUTED_VALUE"""),"")</f>
        <v/>
      </c>
      <c r="I533" s="51" t="str">
        <f>IFERROR(__xludf.DUMMYFUNCTION("""COMPUTED_VALUE"""),"#VALUE!")</f>
        <v>#VALUE!</v>
      </c>
      <c r="J533" s="51" t="str">
        <f>IFERROR(__xludf.DUMMYFUNCTION("""COMPUTED_VALUE"""),"")</f>
        <v/>
      </c>
      <c r="K533" s="51"/>
      <c r="L533" s="51" t="s">
        <v>257</v>
      </c>
      <c r="M533" s="51"/>
      <c r="N533" s="51"/>
      <c r="O533" s="51"/>
      <c r="P533" s="51"/>
      <c r="Q533" s="51"/>
      <c r="R533" s="51"/>
      <c r="S533" s="51"/>
      <c r="T533" s="51"/>
    </row>
    <row r="534">
      <c r="A534" s="51"/>
      <c r="B534" s="51"/>
      <c r="C534" s="94"/>
      <c r="D534" s="51"/>
      <c r="E534" s="51"/>
      <c r="F534" s="51"/>
      <c r="G534" s="51" t="str">
        <f>IFERROR(__xludf.DUMMYFUNCTION("""COMPUTED_VALUE"""),"#VALUE!")</f>
        <v>#VALUE!</v>
      </c>
      <c r="H534" s="51" t="str">
        <f>IFERROR(__xludf.DUMMYFUNCTION("""COMPUTED_VALUE"""),"")</f>
        <v/>
      </c>
      <c r="I534" s="51" t="str">
        <f>IFERROR(__xludf.DUMMYFUNCTION("""COMPUTED_VALUE"""),"#VALUE!")</f>
        <v>#VALUE!</v>
      </c>
      <c r="J534" s="51" t="str">
        <f>IFERROR(__xludf.DUMMYFUNCTION("""COMPUTED_VALUE"""),"")</f>
        <v/>
      </c>
      <c r="K534" s="51"/>
      <c r="L534" s="51" t="s">
        <v>257</v>
      </c>
      <c r="M534" s="51"/>
      <c r="N534" s="51"/>
      <c r="O534" s="51"/>
      <c r="P534" s="51"/>
      <c r="Q534" s="51"/>
      <c r="R534" s="51"/>
      <c r="S534" s="51"/>
      <c r="T534" s="51"/>
    </row>
    <row r="535">
      <c r="A535" s="51"/>
      <c r="B535" s="51"/>
      <c r="C535" s="94"/>
      <c r="D535" s="51"/>
      <c r="E535" s="51"/>
      <c r="F535" s="51"/>
      <c r="G535" s="51" t="str">
        <f>IFERROR(__xludf.DUMMYFUNCTION("""COMPUTED_VALUE"""),"#VALUE!")</f>
        <v>#VALUE!</v>
      </c>
      <c r="H535" s="51" t="str">
        <f>IFERROR(__xludf.DUMMYFUNCTION("""COMPUTED_VALUE"""),"")</f>
        <v/>
      </c>
      <c r="I535" s="51" t="str">
        <f>IFERROR(__xludf.DUMMYFUNCTION("""COMPUTED_VALUE"""),"#VALUE!")</f>
        <v>#VALUE!</v>
      </c>
      <c r="J535" s="51" t="str">
        <f>IFERROR(__xludf.DUMMYFUNCTION("""COMPUTED_VALUE"""),"")</f>
        <v/>
      </c>
      <c r="K535" s="51"/>
      <c r="L535" s="51" t="s">
        <v>257</v>
      </c>
      <c r="M535" s="51"/>
      <c r="N535" s="51"/>
      <c r="O535" s="51"/>
      <c r="P535" s="51"/>
      <c r="Q535" s="51"/>
      <c r="R535" s="51"/>
      <c r="S535" s="51"/>
      <c r="T535" s="51"/>
    </row>
    <row r="536">
      <c r="A536" s="51"/>
      <c r="B536" s="51"/>
      <c r="C536" s="94"/>
      <c r="D536" s="51"/>
      <c r="E536" s="51"/>
      <c r="F536" s="51"/>
      <c r="G536" s="51" t="str">
        <f>IFERROR(__xludf.DUMMYFUNCTION("""COMPUTED_VALUE"""),"#VALUE!")</f>
        <v>#VALUE!</v>
      </c>
      <c r="H536" s="51" t="str">
        <f>IFERROR(__xludf.DUMMYFUNCTION("""COMPUTED_VALUE"""),"")</f>
        <v/>
      </c>
      <c r="I536" s="51" t="str">
        <f>IFERROR(__xludf.DUMMYFUNCTION("""COMPUTED_VALUE"""),"#VALUE!")</f>
        <v>#VALUE!</v>
      </c>
      <c r="J536" s="51" t="str">
        <f>IFERROR(__xludf.DUMMYFUNCTION("""COMPUTED_VALUE"""),"")</f>
        <v/>
      </c>
      <c r="K536" s="51"/>
      <c r="L536" s="51" t="s">
        <v>257</v>
      </c>
      <c r="M536" s="51"/>
      <c r="N536" s="51"/>
      <c r="O536" s="51"/>
      <c r="P536" s="51"/>
      <c r="Q536" s="51"/>
      <c r="R536" s="51"/>
      <c r="S536" s="51"/>
      <c r="T536" s="51"/>
    </row>
    <row r="537">
      <c r="A537" s="51"/>
      <c r="B537" s="51"/>
      <c r="C537" s="94"/>
      <c r="D537" s="51"/>
      <c r="E537" s="51"/>
      <c r="F537" s="51"/>
      <c r="G537" s="51" t="str">
        <f>IFERROR(__xludf.DUMMYFUNCTION("""COMPUTED_VALUE"""),"#VALUE!")</f>
        <v>#VALUE!</v>
      </c>
      <c r="H537" s="51" t="str">
        <f>IFERROR(__xludf.DUMMYFUNCTION("""COMPUTED_VALUE"""),"")</f>
        <v/>
      </c>
      <c r="I537" s="51" t="str">
        <f>IFERROR(__xludf.DUMMYFUNCTION("""COMPUTED_VALUE"""),"#VALUE!")</f>
        <v>#VALUE!</v>
      </c>
      <c r="J537" s="51" t="str">
        <f>IFERROR(__xludf.DUMMYFUNCTION("""COMPUTED_VALUE"""),"")</f>
        <v/>
      </c>
      <c r="K537" s="51"/>
      <c r="L537" s="51" t="s">
        <v>257</v>
      </c>
      <c r="M537" s="51"/>
      <c r="N537" s="51"/>
      <c r="O537" s="51"/>
      <c r="P537" s="51"/>
      <c r="Q537" s="51"/>
      <c r="R537" s="51"/>
      <c r="S537" s="51"/>
      <c r="T537" s="51"/>
    </row>
    <row r="538">
      <c r="A538" s="51"/>
      <c r="B538" s="51"/>
      <c r="C538" s="94"/>
      <c r="D538" s="51"/>
      <c r="E538" s="51"/>
      <c r="F538" s="51"/>
      <c r="G538" s="51" t="str">
        <f>IFERROR(__xludf.DUMMYFUNCTION("""COMPUTED_VALUE"""),"#VALUE!")</f>
        <v>#VALUE!</v>
      </c>
      <c r="H538" s="51" t="str">
        <f>IFERROR(__xludf.DUMMYFUNCTION("""COMPUTED_VALUE"""),"")</f>
        <v/>
      </c>
      <c r="I538" s="51" t="str">
        <f>IFERROR(__xludf.DUMMYFUNCTION("""COMPUTED_VALUE"""),"#VALUE!")</f>
        <v>#VALUE!</v>
      </c>
      <c r="J538" s="51" t="str">
        <f>IFERROR(__xludf.DUMMYFUNCTION("""COMPUTED_VALUE"""),"")</f>
        <v/>
      </c>
      <c r="K538" s="51"/>
      <c r="L538" s="51" t="s">
        <v>257</v>
      </c>
      <c r="M538" s="51"/>
      <c r="N538" s="51"/>
      <c r="O538" s="51"/>
      <c r="P538" s="51"/>
      <c r="Q538" s="51"/>
      <c r="R538" s="51"/>
      <c r="S538" s="51"/>
      <c r="T538" s="51"/>
    </row>
    <row r="539">
      <c r="A539" s="51"/>
      <c r="B539" s="51"/>
      <c r="C539" s="94"/>
      <c r="D539" s="51"/>
      <c r="E539" s="51"/>
      <c r="F539" s="51"/>
      <c r="G539" s="51" t="str">
        <f>IFERROR(__xludf.DUMMYFUNCTION("""COMPUTED_VALUE"""),"#VALUE!")</f>
        <v>#VALUE!</v>
      </c>
      <c r="H539" s="51" t="str">
        <f>IFERROR(__xludf.DUMMYFUNCTION("""COMPUTED_VALUE"""),"")</f>
        <v/>
      </c>
      <c r="I539" s="51" t="str">
        <f>IFERROR(__xludf.DUMMYFUNCTION("""COMPUTED_VALUE"""),"#VALUE!")</f>
        <v>#VALUE!</v>
      </c>
      <c r="J539" s="51" t="str">
        <f>IFERROR(__xludf.DUMMYFUNCTION("""COMPUTED_VALUE"""),"")</f>
        <v/>
      </c>
      <c r="K539" s="51"/>
      <c r="L539" s="51" t="s">
        <v>257</v>
      </c>
      <c r="M539" s="51"/>
      <c r="N539" s="51"/>
      <c r="O539" s="51"/>
      <c r="P539" s="51"/>
      <c r="Q539" s="51"/>
      <c r="R539" s="51"/>
      <c r="S539" s="51"/>
      <c r="T539" s="51"/>
    </row>
    <row r="540">
      <c r="A540" s="51"/>
      <c r="B540" s="51"/>
      <c r="C540" s="94"/>
      <c r="D540" s="51"/>
      <c r="E540" s="51"/>
      <c r="F540" s="51"/>
      <c r="G540" s="51" t="str">
        <f>IFERROR(__xludf.DUMMYFUNCTION("""COMPUTED_VALUE"""),"#VALUE!")</f>
        <v>#VALUE!</v>
      </c>
      <c r="H540" s="51" t="str">
        <f>IFERROR(__xludf.DUMMYFUNCTION("""COMPUTED_VALUE"""),"")</f>
        <v/>
      </c>
      <c r="I540" s="51" t="str">
        <f>IFERROR(__xludf.DUMMYFUNCTION("""COMPUTED_VALUE"""),"#VALUE!")</f>
        <v>#VALUE!</v>
      </c>
      <c r="J540" s="51" t="str">
        <f>IFERROR(__xludf.DUMMYFUNCTION("""COMPUTED_VALUE"""),"")</f>
        <v/>
      </c>
      <c r="K540" s="51"/>
      <c r="L540" s="51" t="s">
        <v>257</v>
      </c>
      <c r="M540" s="51"/>
      <c r="N540" s="51"/>
      <c r="O540" s="51"/>
      <c r="P540" s="51"/>
      <c r="Q540" s="51"/>
      <c r="R540" s="51"/>
      <c r="S540" s="51"/>
      <c r="T540" s="51"/>
    </row>
    <row r="541">
      <c r="A541" s="51"/>
      <c r="B541" s="51"/>
      <c r="C541" s="94"/>
      <c r="D541" s="51"/>
      <c r="E541" s="51"/>
      <c r="F541" s="51"/>
      <c r="G541" s="51" t="str">
        <f>IFERROR(__xludf.DUMMYFUNCTION("""COMPUTED_VALUE"""),"#VALUE!")</f>
        <v>#VALUE!</v>
      </c>
      <c r="H541" s="51" t="str">
        <f>IFERROR(__xludf.DUMMYFUNCTION("""COMPUTED_VALUE"""),"")</f>
        <v/>
      </c>
      <c r="I541" s="51" t="str">
        <f>IFERROR(__xludf.DUMMYFUNCTION("""COMPUTED_VALUE"""),"#VALUE!")</f>
        <v>#VALUE!</v>
      </c>
      <c r="J541" s="51" t="str">
        <f>IFERROR(__xludf.DUMMYFUNCTION("""COMPUTED_VALUE"""),"")</f>
        <v/>
      </c>
      <c r="K541" s="51"/>
      <c r="L541" s="51" t="s">
        <v>257</v>
      </c>
      <c r="M541" s="51"/>
      <c r="N541" s="51"/>
      <c r="O541" s="51"/>
      <c r="P541" s="51"/>
      <c r="Q541" s="51"/>
      <c r="R541" s="51"/>
      <c r="S541" s="51"/>
      <c r="T541" s="51"/>
    </row>
    <row r="542">
      <c r="A542" s="51"/>
      <c r="B542" s="51"/>
      <c r="C542" s="94"/>
      <c r="D542" s="51"/>
      <c r="E542" s="51"/>
      <c r="F542" s="51"/>
      <c r="G542" s="51" t="str">
        <f>IFERROR(__xludf.DUMMYFUNCTION("""COMPUTED_VALUE"""),"#VALUE!")</f>
        <v>#VALUE!</v>
      </c>
      <c r="H542" s="51" t="str">
        <f>IFERROR(__xludf.DUMMYFUNCTION("""COMPUTED_VALUE"""),"")</f>
        <v/>
      </c>
      <c r="I542" s="51" t="str">
        <f>IFERROR(__xludf.DUMMYFUNCTION("""COMPUTED_VALUE"""),"#VALUE!")</f>
        <v>#VALUE!</v>
      </c>
      <c r="J542" s="51" t="str">
        <f>IFERROR(__xludf.DUMMYFUNCTION("""COMPUTED_VALUE"""),"")</f>
        <v/>
      </c>
      <c r="K542" s="51"/>
      <c r="L542" s="51" t="s">
        <v>257</v>
      </c>
      <c r="M542" s="51"/>
      <c r="N542" s="51"/>
      <c r="O542" s="51"/>
      <c r="P542" s="51"/>
      <c r="Q542" s="51"/>
      <c r="R542" s="51"/>
      <c r="S542" s="51"/>
      <c r="T542" s="51"/>
    </row>
    <row r="543">
      <c r="A543" s="51"/>
      <c r="B543" s="51"/>
      <c r="C543" s="94"/>
      <c r="D543" s="51"/>
      <c r="E543" s="51"/>
      <c r="F543" s="51"/>
      <c r="G543" s="51" t="str">
        <f>IFERROR(__xludf.DUMMYFUNCTION("""COMPUTED_VALUE"""),"#VALUE!")</f>
        <v>#VALUE!</v>
      </c>
      <c r="H543" s="51" t="str">
        <f>IFERROR(__xludf.DUMMYFUNCTION("""COMPUTED_VALUE"""),"")</f>
        <v/>
      </c>
      <c r="I543" s="51" t="str">
        <f>IFERROR(__xludf.DUMMYFUNCTION("""COMPUTED_VALUE"""),"#VALUE!")</f>
        <v>#VALUE!</v>
      </c>
      <c r="J543" s="51" t="str">
        <f>IFERROR(__xludf.DUMMYFUNCTION("""COMPUTED_VALUE"""),"")</f>
        <v/>
      </c>
      <c r="K543" s="51"/>
      <c r="L543" s="51" t="s">
        <v>257</v>
      </c>
      <c r="M543" s="51"/>
      <c r="N543" s="51"/>
      <c r="O543" s="51"/>
      <c r="P543" s="51"/>
      <c r="Q543" s="51"/>
      <c r="R543" s="51"/>
      <c r="S543" s="51"/>
      <c r="T543" s="51"/>
    </row>
    <row r="544">
      <c r="A544" s="51"/>
      <c r="B544" s="51"/>
      <c r="C544" s="94"/>
      <c r="D544" s="51"/>
      <c r="E544" s="51"/>
      <c r="F544" s="51"/>
      <c r="G544" s="51" t="str">
        <f>IFERROR(__xludf.DUMMYFUNCTION("""COMPUTED_VALUE"""),"#VALUE!")</f>
        <v>#VALUE!</v>
      </c>
      <c r="H544" s="51" t="str">
        <f>IFERROR(__xludf.DUMMYFUNCTION("""COMPUTED_VALUE"""),"")</f>
        <v/>
      </c>
      <c r="I544" s="51" t="str">
        <f>IFERROR(__xludf.DUMMYFUNCTION("""COMPUTED_VALUE"""),"#VALUE!")</f>
        <v>#VALUE!</v>
      </c>
      <c r="J544" s="51" t="str">
        <f>IFERROR(__xludf.DUMMYFUNCTION("""COMPUTED_VALUE"""),"")</f>
        <v/>
      </c>
      <c r="K544" s="51"/>
      <c r="L544" s="51" t="s">
        <v>257</v>
      </c>
      <c r="M544" s="51"/>
      <c r="N544" s="51"/>
      <c r="O544" s="51"/>
      <c r="P544" s="51"/>
      <c r="Q544" s="51"/>
      <c r="R544" s="51"/>
      <c r="S544" s="51"/>
      <c r="T544" s="51"/>
    </row>
    <row r="545">
      <c r="A545" s="51"/>
      <c r="B545" s="51"/>
      <c r="C545" s="94"/>
      <c r="D545" s="51"/>
      <c r="E545" s="51"/>
      <c r="F545" s="51"/>
      <c r="G545" s="51" t="str">
        <f>IFERROR(__xludf.DUMMYFUNCTION("""COMPUTED_VALUE"""),"#VALUE!")</f>
        <v>#VALUE!</v>
      </c>
      <c r="H545" s="51" t="str">
        <f>IFERROR(__xludf.DUMMYFUNCTION("""COMPUTED_VALUE"""),"")</f>
        <v/>
      </c>
      <c r="I545" s="51" t="str">
        <f>IFERROR(__xludf.DUMMYFUNCTION("""COMPUTED_VALUE"""),"#VALUE!")</f>
        <v>#VALUE!</v>
      </c>
      <c r="J545" s="51" t="str">
        <f>IFERROR(__xludf.DUMMYFUNCTION("""COMPUTED_VALUE"""),"")</f>
        <v/>
      </c>
      <c r="K545" s="51"/>
      <c r="L545" s="51" t="s">
        <v>257</v>
      </c>
      <c r="M545" s="51"/>
      <c r="N545" s="51"/>
      <c r="O545" s="51"/>
      <c r="P545" s="51"/>
      <c r="Q545" s="51"/>
      <c r="R545" s="51"/>
      <c r="S545" s="51"/>
      <c r="T545" s="51"/>
    </row>
    <row r="546">
      <c r="A546" s="51"/>
      <c r="B546" s="51"/>
      <c r="C546" s="94"/>
      <c r="D546" s="51"/>
      <c r="E546" s="51"/>
      <c r="F546" s="51"/>
      <c r="G546" s="51" t="str">
        <f>IFERROR(__xludf.DUMMYFUNCTION("""COMPUTED_VALUE"""),"#VALUE!")</f>
        <v>#VALUE!</v>
      </c>
      <c r="H546" s="51" t="str">
        <f>IFERROR(__xludf.DUMMYFUNCTION("""COMPUTED_VALUE"""),"")</f>
        <v/>
      </c>
      <c r="I546" s="51" t="str">
        <f>IFERROR(__xludf.DUMMYFUNCTION("""COMPUTED_VALUE"""),"#VALUE!")</f>
        <v>#VALUE!</v>
      </c>
      <c r="J546" s="51" t="str">
        <f>IFERROR(__xludf.DUMMYFUNCTION("""COMPUTED_VALUE"""),"")</f>
        <v/>
      </c>
      <c r="K546" s="51"/>
      <c r="L546" s="51" t="s">
        <v>257</v>
      </c>
      <c r="M546" s="51"/>
      <c r="N546" s="51"/>
      <c r="O546" s="51"/>
      <c r="P546" s="51"/>
      <c r="Q546" s="51"/>
      <c r="R546" s="51"/>
      <c r="S546" s="51"/>
      <c r="T546" s="51"/>
    </row>
    <row r="547">
      <c r="A547" s="51"/>
      <c r="B547" s="51"/>
      <c r="C547" s="94"/>
      <c r="D547" s="51"/>
      <c r="E547" s="51"/>
      <c r="F547" s="51"/>
      <c r="G547" s="51" t="str">
        <f>IFERROR(__xludf.DUMMYFUNCTION("""COMPUTED_VALUE"""),"#VALUE!")</f>
        <v>#VALUE!</v>
      </c>
      <c r="H547" s="51" t="str">
        <f>IFERROR(__xludf.DUMMYFUNCTION("""COMPUTED_VALUE"""),"")</f>
        <v/>
      </c>
      <c r="I547" s="51" t="str">
        <f>IFERROR(__xludf.DUMMYFUNCTION("""COMPUTED_VALUE"""),"#VALUE!")</f>
        <v>#VALUE!</v>
      </c>
      <c r="J547" s="51" t="str">
        <f>IFERROR(__xludf.DUMMYFUNCTION("""COMPUTED_VALUE"""),"")</f>
        <v/>
      </c>
      <c r="K547" s="51"/>
      <c r="L547" s="51" t="s">
        <v>257</v>
      </c>
      <c r="M547" s="51"/>
      <c r="N547" s="51"/>
      <c r="O547" s="51"/>
      <c r="P547" s="51"/>
      <c r="Q547" s="51"/>
      <c r="R547" s="51"/>
      <c r="S547" s="51"/>
      <c r="T547" s="51"/>
    </row>
    <row r="548">
      <c r="A548" s="51"/>
      <c r="B548" s="51"/>
      <c r="C548" s="94"/>
      <c r="D548" s="51"/>
      <c r="E548" s="51"/>
      <c r="F548" s="51"/>
      <c r="G548" s="51" t="str">
        <f>IFERROR(__xludf.DUMMYFUNCTION("""COMPUTED_VALUE"""),"#VALUE!")</f>
        <v>#VALUE!</v>
      </c>
      <c r="H548" s="51" t="str">
        <f>IFERROR(__xludf.DUMMYFUNCTION("""COMPUTED_VALUE"""),"")</f>
        <v/>
      </c>
      <c r="I548" s="51" t="str">
        <f>IFERROR(__xludf.DUMMYFUNCTION("""COMPUTED_VALUE"""),"#VALUE!")</f>
        <v>#VALUE!</v>
      </c>
      <c r="J548" s="51" t="str">
        <f>IFERROR(__xludf.DUMMYFUNCTION("""COMPUTED_VALUE"""),"")</f>
        <v/>
      </c>
      <c r="K548" s="51"/>
      <c r="L548" s="51" t="s">
        <v>257</v>
      </c>
      <c r="M548" s="51"/>
      <c r="N548" s="51"/>
      <c r="O548" s="51"/>
      <c r="P548" s="51"/>
      <c r="Q548" s="51"/>
      <c r="R548" s="51"/>
      <c r="S548" s="51"/>
      <c r="T548" s="51"/>
    </row>
    <row r="549">
      <c r="A549" s="51"/>
      <c r="B549" s="51"/>
      <c r="C549" s="94"/>
      <c r="D549" s="51"/>
      <c r="E549" s="51"/>
      <c r="F549" s="51"/>
      <c r="G549" s="51" t="str">
        <f>IFERROR(__xludf.DUMMYFUNCTION("""COMPUTED_VALUE"""),"#VALUE!")</f>
        <v>#VALUE!</v>
      </c>
      <c r="H549" s="51" t="str">
        <f>IFERROR(__xludf.DUMMYFUNCTION("""COMPUTED_VALUE"""),"")</f>
        <v/>
      </c>
      <c r="I549" s="51" t="str">
        <f>IFERROR(__xludf.DUMMYFUNCTION("""COMPUTED_VALUE"""),"#VALUE!")</f>
        <v>#VALUE!</v>
      </c>
      <c r="J549" s="51" t="str">
        <f>IFERROR(__xludf.DUMMYFUNCTION("""COMPUTED_VALUE"""),"")</f>
        <v/>
      </c>
      <c r="K549" s="51"/>
      <c r="L549" s="51" t="s">
        <v>257</v>
      </c>
      <c r="M549" s="51"/>
      <c r="N549" s="51"/>
      <c r="O549" s="51"/>
      <c r="P549" s="51"/>
      <c r="Q549" s="51"/>
      <c r="R549" s="51"/>
      <c r="S549" s="51"/>
      <c r="T549" s="51"/>
    </row>
    <row r="550">
      <c r="A550" s="51"/>
      <c r="B550" s="51"/>
      <c r="C550" s="94"/>
      <c r="D550" s="51"/>
      <c r="E550" s="51"/>
      <c r="F550" s="51"/>
      <c r="G550" s="51" t="str">
        <f>IFERROR(__xludf.DUMMYFUNCTION("""COMPUTED_VALUE"""),"#VALUE!")</f>
        <v>#VALUE!</v>
      </c>
      <c r="H550" s="51" t="str">
        <f>IFERROR(__xludf.DUMMYFUNCTION("""COMPUTED_VALUE"""),"")</f>
        <v/>
      </c>
      <c r="I550" s="51" t="str">
        <f>IFERROR(__xludf.DUMMYFUNCTION("""COMPUTED_VALUE"""),"#VALUE!")</f>
        <v>#VALUE!</v>
      </c>
      <c r="J550" s="51" t="str">
        <f>IFERROR(__xludf.DUMMYFUNCTION("""COMPUTED_VALUE"""),"")</f>
        <v/>
      </c>
      <c r="K550" s="51"/>
      <c r="L550" s="51" t="s">
        <v>257</v>
      </c>
      <c r="M550" s="51"/>
      <c r="N550" s="51"/>
      <c r="O550" s="51"/>
      <c r="P550" s="51"/>
      <c r="Q550" s="51"/>
      <c r="R550" s="51"/>
      <c r="S550" s="51"/>
      <c r="T550" s="51"/>
    </row>
    <row r="551">
      <c r="A551" s="51"/>
      <c r="B551" s="51"/>
      <c r="C551" s="94"/>
      <c r="D551" s="51"/>
      <c r="E551" s="51"/>
      <c r="F551" s="51"/>
      <c r="G551" s="51" t="str">
        <f>IFERROR(__xludf.DUMMYFUNCTION("""COMPUTED_VALUE"""),"#VALUE!")</f>
        <v>#VALUE!</v>
      </c>
      <c r="H551" s="51" t="str">
        <f>IFERROR(__xludf.DUMMYFUNCTION("""COMPUTED_VALUE"""),"")</f>
        <v/>
      </c>
      <c r="I551" s="51" t="str">
        <f>IFERROR(__xludf.DUMMYFUNCTION("""COMPUTED_VALUE"""),"#VALUE!")</f>
        <v>#VALUE!</v>
      </c>
      <c r="J551" s="51" t="str">
        <f>IFERROR(__xludf.DUMMYFUNCTION("""COMPUTED_VALUE"""),"")</f>
        <v/>
      </c>
      <c r="K551" s="51"/>
      <c r="L551" s="51" t="s">
        <v>257</v>
      </c>
      <c r="M551" s="51"/>
      <c r="N551" s="51"/>
      <c r="O551" s="51"/>
      <c r="P551" s="51"/>
      <c r="Q551" s="51"/>
      <c r="R551" s="51"/>
      <c r="S551" s="51"/>
      <c r="T551" s="51"/>
    </row>
    <row r="552">
      <c r="A552" s="51"/>
      <c r="B552" s="51"/>
      <c r="C552" s="94"/>
      <c r="D552" s="51"/>
      <c r="E552" s="51"/>
      <c r="F552" s="51"/>
      <c r="G552" s="51" t="str">
        <f>IFERROR(__xludf.DUMMYFUNCTION("""COMPUTED_VALUE"""),"#VALUE!")</f>
        <v>#VALUE!</v>
      </c>
      <c r="H552" s="51" t="str">
        <f>IFERROR(__xludf.DUMMYFUNCTION("""COMPUTED_VALUE"""),"")</f>
        <v/>
      </c>
      <c r="I552" s="51" t="str">
        <f>IFERROR(__xludf.DUMMYFUNCTION("""COMPUTED_VALUE"""),"#VALUE!")</f>
        <v>#VALUE!</v>
      </c>
      <c r="J552" s="51" t="str">
        <f>IFERROR(__xludf.DUMMYFUNCTION("""COMPUTED_VALUE"""),"")</f>
        <v/>
      </c>
      <c r="K552" s="51"/>
      <c r="L552" s="51" t="s">
        <v>257</v>
      </c>
      <c r="M552" s="51"/>
      <c r="N552" s="51"/>
      <c r="O552" s="51"/>
      <c r="P552" s="51"/>
      <c r="Q552" s="51"/>
      <c r="R552" s="51"/>
      <c r="S552" s="51"/>
      <c r="T552" s="51"/>
    </row>
    <row r="553">
      <c r="A553" s="51"/>
      <c r="B553" s="51"/>
      <c r="C553" s="94"/>
      <c r="D553" s="51"/>
      <c r="E553" s="51"/>
      <c r="F553" s="51"/>
      <c r="G553" s="51" t="str">
        <f>IFERROR(__xludf.DUMMYFUNCTION("""COMPUTED_VALUE"""),"#VALUE!")</f>
        <v>#VALUE!</v>
      </c>
      <c r="H553" s="51" t="str">
        <f>IFERROR(__xludf.DUMMYFUNCTION("""COMPUTED_VALUE"""),"")</f>
        <v/>
      </c>
      <c r="I553" s="51" t="str">
        <f>IFERROR(__xludf.DUMMYFUNCTION("""COMPUTED_VALUE"""),"#VALUE!")</f>
        <v>#VALUE!</v>
      </c>
      <c r="J553" s="51" t="str">
        <f>IFERROR(__xludf.DUMMYFUNCTION("""COMPUTED_VALUE"""),"")</f>
        <v/>
      </c>
      <c r="K553" s="51"/>
      <c r="L553" s="51" t="s">
        <v>257</v>
      </c>
      <c r="M553" s="51"/>
      <c r="N553" s="51"/>
      <c r="O553" s="51"/>
      <c r="P553" s="51"/>
      <c r="Q553" s="51"/>
      <c r="R553" s="51"/>
      <c r="S553" s="51"/>
      <c r="T553" s="51"/>
    </row>
    <row r="554">
      <c r="A554" s="51"/>
      <c r="B554" s="51"/>
      <c r="C554" s="94"/>
      <c r="D554" s="51"/>
      <c r="E554" s="51"/>
      <c r="F554" s="51"/>
      <c r="G554" s="51" t="str">
        <f>IFERROR(__xludf.DUMMYFUNCTION("""COMPUTED_VALUE"""),"#VALUE!")</f>
        <v>#VALUE!</v>
      </c>
      <c r="H554" s="51" t="str">
        <f>IFERROR(__xludf.DUMMYFUNCTION("""COMPUTED_VALUE"""),"")</f>
        <v/>
      </c>
      <c r="I554" s="51" t="str">
        <f>IFERROR(__xludf.DUMMYFUNCTION("""COMPUTED_VALUE"""),"#VALUE!")</f>
        <v>#VALUE!</v>
      </c>
      <c r="J554" s="51" t="str">
        <f>IFERROR(__xludf.DUMMYFUNCTION("""COMPUTED_VALUE"""),"")</f>
        <v/>
      </c>
      <c r="K554" s="51"/>
      <c r="L554" s="51" t="s">
        <v>257</v>
      </c>
      <c r="M554" s="51"/>
      <c r="N554" s="51"/>
      <c r="O554" s="51"/>
      <c r="P554" s="51"/>
      <c r="Q554" s="51"/>
      <c r="R554" s="51"/>
      <c r="S554" s="51"/>
      <c r="T554" s="51"/>
    </row>
    <row r="555">
      <c r="A555" s="51"/>
      <c r="B555" s="51"/>
      <c r="C555" s="94"/>
      <c r="D555" s="51"/>
      <c r="E555" s="51"/>
      <c r="F555" s="51"/>
      <c r="G555" s="51" t="str">
        <f>IFERROR(__xludf.DUMMYFUNCTION("""COMPUTED_VALUE"""),"#VALUE!")</f>
        <v>#VALUE!</v>
      </c>
      <c r="H555" s="51" t="str">
        <f>IFERROR(__xludf.DUMMYFUNCTION("""COMPUTED_VALUE"""),"")</f>
        <v/>
      </c>
      <c r="I555" s="51" t="str">
        <f>IFERROR(__xludf.DUMMYFUNCTION("""COMPUTED_VALUE"""),"#VALUE!")</f>
        <v>#VALUE!</v>
      </c>
      <c r="J555" s="51" t="str">
        <f>IFERROR(__xludf.DUMMYFUNCTION("""COMPUTED_VALUE"""),"")</f>
        <v/>
      </c>
      <c r="K555" s="51"/>
      <c r="L555" s="51" t="s">
        <v>257</v>
      </c>
      <c r="M555" s="51"/>
      <c r="N555" s="51"/>
      <c r="O555" s="51"/>
      <c r="P555" s="51"/>
      <c r="Q555" s="51"/>
      <c r="R555" s="51"/>
      <c r="S555" s="51"/>
      <c r="T555" s="51"/>
    </row>
    <row r="556">
      <c r="A556" s="51"/>
      <c r="B556" s="51"/>
      <c r="C556" s="94"/>
      <c r="D556" s="51"/>
      <c r="E556" s="51"/>
      <c r="F556" s="51"/>
      <c r="G556" s="51" t="str">
        <f>IFERROR(__xludf.DUMMYFUNCTION("""COMPUTED_VALUE"""),"#VALUE!")</f>
        <v>#VALUE!</v>
      </c>
      <c r="H556" s="51" t="str">
        <f>IFERROR(__xludf.DUMMYFUNCTION("""COMPUTED_VALUE"""),"")</f>
        <v/>
      </c>
      <c r="I556" s="51" t="str">
        <f>IFERROR(__xludf.DUMMYFUNCTION("""COMPUTED_VALUE"""),"#VALUE!")</f>
        <v>#VALUE!</v>
      </c>
      <c r="J556" s="51" t="str">
        <f>IFERROR(__xludf.DUMMYFUNCTION("""COMPUTED_VALUE"""),"")</f>
        <v/>
      </c>
      <c r="K556" s="51"/>
      <c r="L556" s="51" t="s">
        <v>257</v>
      </c>
      <c r="M556" s="51"/>
      <c r="N556" s="51"/>
      <c r="O556" s="51"/>
      <c r="P556" s="51"/>
      <c r="Q556" s="51"/>
      <c r="R556" s="51"/>
      <c r="S556" s="51"/>
      <c r="T556" s="51"/>
    </row>
    <row r="557">
      <c r="A557" s="51"/>
      <c r="B557" s="51"/>
      <c r="C557" s="94"/>
      <c r="D557" s="51"/>
      <c r="E557" s="51"/>
      <c r="F557" s="51"/>
      <c r="G557" s="51" t="str">
        <f>IFERROR(__xludf.DUMMYFUNCTION("""COMPUTED_VALUE"""),"#VALUE!")</f>
        <v>#VALUE!</v>
      </c>
      <c r="H557" s="51" t="str">
        <f>IFERROR(__xludf.DUMMYFUNCTION("""COMPUTED_VALUE"""),"")</f>
        <v/>
      </c>
      <c r="I557" s="51" t="str">
        <f>IFERROR(__xludf.DUMMYFUNCTION("""COMPUTED_VALUE"""),"#VALUE!")</f>
        <v>#VALUE!</v>
      </c>
      <c r="J557" s="51" t="str">
        <f>IFERROR(__xludf.DUMMYFUNCTION("""COMPUTED_VALUE"""),"")</f>
        <v/>
      </c>
      <c r="K557" s="51"/>
      <c r="L557" s="51" t="s">
        <v>257</v>
      </c>
      <c r="M557" s="51"/>
      <c r="N557" s="51"/>
      <c r="O557" s="51"/>
      <c r="P557" s="51"/>
      <c r="Q557" s="51"/>
      <c r="R557" s="51"/>
      <c r="S557" s="51"/>
      <c r="T557" s="51"/>
    </row>
    <row r="558">
      <c r="A558" s="51"/>
      <c r="B558" s="51"/>
      <c r="C558" s="94"/>
      <c r="D558" s="51"/>
      <c r="E558" s="51"/>
      <c r="F558" s="51"/>
      <c r="G558" s="51" t="str">
        <f>IFERROR(__xludf.DUMMYFUNCTION("""COMPUTED_VALUE"""),"#VALUE!")</f>
        <v>#VALUE!</v>
      </c>
      <c r="H558" s="51" t="str">
        <f>IFERROR(__xludf.DUMMYFUNCTION("""COMPUTED_VALUE"""),"")</f>
        <v/>
      </c>
      <c r="I558" s="51" t="str">
        <f>IFERROR(__xludf.DUMMYFUNCTION("""COMPUTED_VALUE"""),"#VALUE!")</f>
        <v>#VALUE!</v>
      </c>
      <c r="J558" s="51" t="str">
        <f>IFERROR(__xludf.DUMMYFUNCTION("""COMPUTED_VALUE"""),"")</f>
        <v/>
      </c>
      <c r="K558" s="51"/>
      <c r="L558" s="51" t="s">
        <v>257</v>
      </c>
      <c r="M558" s="51"/>
      <c r="N558" s="51"/>
      <c r="O558" s="51"/>
      <c r="P558" s="51"/>
      <c r="Q558" s="51"/>
      <c r="R558" s="51"/>
      <c r="S558" s="51"/>
      <c r="T558" s="51"/>
    </row>
    <row r="559">
      <c r="A559" s="51"/>
      <c r="B559" s="51"/>
      <c r="C559" s="94"/>
      <c r="D559" s="51"/>
      <c r="E559" s="51"/>
      <c r="F559" s="51"/>
      <c r="G559" s="51" t="str">
        <f>IFERROR(__xludf.DUMMYFUNCTION("""COMPUTED_VALUE"""),"#VALUE!")</f>
        <v>#VALUE!</v>
      </c>
      <c r="H559" s="51" t="str">
        <f>IFERROR(__xludf.DUMMYFUNCTION("""COMPUTED_VALUE"""),"")</f>
        <v/>
      </c>
      <c r="I559" s="51" t="str">
        <f>IFERROR(__xludf.DUMMYFUNCTION("""COMPUTED_VALUE"""),"#VALUE!")</f>
        <v>#VALUE!</v>
      </c>
      <c r="J559" s="51" t="str">
        <f>IFERROR(__xludf.DUMMYFUNCTION("""COMPUTED_VALUE"""),"")</f>
        <v/>
      </c>
      <c r="K559" s="51"/>
      <c r="L559" s="51" t="s">
        <v>257</v>
      </c>
      <c r="M559" s="51"/>
      <c r="N559" s="51"/>
      <c r="O559" s="51"/>
      <c r="P559" s="51"/>
      <c r="Q559" s="51"/>
      <c r="R559" s="51"/>
      <c r="S559" s="51"/>
      <c r="T559" s="51"/>
    </row>
    <row r="560">
      <c r="A560" s="51"/>
      <c r="B560" s="51"/>
      <c r="C560" s="94"/>
      <c r="D560" s="51"/>
      <c r="E560" s="51"/>
      <c r="F560" s="51"/>
      <c r="G560" s="51" t="str">
        <f>IFERROR(__xludf.DUMMYFUNCTION("""COMPUTED_VALUE"""),"#VALUE!")</f>
        <v>#VALUE!</v>
      </c>
      <c r="H560" s="51" t="str">
        <f>IFERROR(__xludf.DUMMYFUNCTION("""COMPUTED_VALUE"""),"")</f>
        <v/>
      </c>
      <c r="I560" s="51" t="str">
        <f>IFERROR(__xludf.DUMMYFUNCTION("""COMPUTED_VALUE"""),"#VALUE!")</f>
        <v>#VALUE!</v>
      </c>
      <c r="J560" s="51" t="str">
        <f>IFERROR(__xludf.DUMMYFUNCTION("""COMPUTED_VALUE"""),"")</f>
        <v/>
      </c>
      <c r="K560" s="51"/>
      <c r="L560" s="51" t="s">
        <v>257</v>
      </c>
      <c r="M560" s="51"/>
      <c r="N560" s="51"/>
      <c r="O560" s="51"/>
      <c r="P560" s="51"/>
      <c r="Q560" s="51"/>
      <c r="R560" s="51"/>
      <c r="S560" s="51"/>
      <c r="T560" s="51"/>
    </row>
    <row r="561">
      <c r="A561" s="51"/>
      <c r="B561" s="51"/>
      <c r="C561" s="94"/>
      <c r="D561" s="51"/>
      <c r="E561" s="51"/>
      <c r="F561" s="51"/>
      <c r="G561" s="51" t="str">
        <f>IFERROR(__xludf.DUMMYFUNCTION("""COMPUTED_VALUE"""),"#VALUE!")</f>
        <v>#VALUE!</v>
      </c>
      <c r="H561" s="51" t="str">
        <f>IFERROR(__xludf.DUMMYFUNCTION("""COMPUTED_VALUE"""),"")</f>
        <v/>
      </c>
      <c r="I561" s="51" t="str">
        <f>IFERROR(__xludf.DUMMYFUNCTION("""COMPUTED_VALUE"""),"#VALUE!")</f>
        <v>#VALUE!</v>
      </c>
      <c r="J561" s="51" t="str">
        <f>IFERROR(__xludf.DUMMYFUNCTION("""COMPUTED_VALUE"""),"")</f>
        <v/>
      </c>
      <c r="K561" s="51"/>
      <c r="L561" s="51" t="s">
        <v>257</v>
      </c>
      <c r="M561" s="51"/>
      <c r="N561" s="51"/>
      <c r="O561" s="51"/>
      <c r="P561" s="51"/>
      <c r="Q561" s="51"/>
      <c r="R561" s="51"/>
      <c r="S561" s="51"/>
      <c r="T561" s="51"/>
    </row>
    <row r="562">
      <c r="A562" s="51"/>
      <c r="B562" s="51"/>
      <c r="C562" s="94"/>
      <c r="D562" s="51"/>
      <c r="E562" s="51"/>
      <c r="F562" s="51"/>
      <c r="G562" s="51" t="str">
        <f>IFERROR(__xludf.DUMMYFUNCTION("""COMPUTED_VALUE"""),"#VALUE!")</f>
        <v>#VALUE!</v>
      </c>
      <c r="H562" s="51" t="str">
        <f>IFERROR(__xludf.DUMMYFUNCTION("""COMPUTED_VALUE"""),"")</f>
        <v/>
      </c>
      <c r="I562" s="51" t="str">
        <f>IFERROR(__xludf.DUMMYFUNCTION("""COMPUTED_VALUE"""),"#VALUE!")</f>
        <v>#VALUE!</v>
      </c>
      <c r="J562" s="51" t="str">
        <f>IFERROR(__xludf.DUMMYFUNCTION("""COMPUTED_VALUE"""),"")</f>
        <v/>
      </c>
      <c r="K562" s="51"/>
      <c r="L562" s="51" t="s">
        <v>257</v>
      </c>
      <c r="M562" s="51"/>
      <c r="N562" s="51"/>
      <c r="O562" s="51"/>
      <c r="P562" s="51"/>
      <c r="Q562" s="51"/>
      <c r="R562" s="51"/>
      <c r="S562" s="51"/>
      <c r="T562" s="51"/>
    </row>
    <row r="563">
      <c r="A563" s="51"/>
      <c r="B563" s="51"/>
      <c r="C563" s="94"/>
      <c r="D563" s="51"/>
      <c r="E563" s="51"/>
      <c r="F563" s="51"/>
      <c r="G563" s="51" t="str">
        <f>IFERROR(__xludf.DUMMYFUNCTION("""COMPUTED_VALUE"""),"#VALUE!")</f>
        <v>#VALUE!</v>
      </c>
      <c r="H563" s="51" t="str">
        <f>IFERROR(__xludf.DUMMYFUNCTION("""COMPUTED_VALUE"""),"")</f>
        <v/>
      </c>
      <c r="I563" s="51" t="str">
        <f>IFERROR(__xludf.DUMMYFUNCTION("""COMPUTED_VALUE"""),"#VALUE!")</f>
        <v>#VALUE!</v>
      </c>
      <c r="J563" s="51" t="str">
        <f>IFERROR(__xludf.DUMMYFUNCTION("""COMPUTED_VALUE"""),"")</f>
        <v/>
      </c>
      <c r="K563" s="51"/>
      <c r="L563" s="51" t="s">
        <v>257</v>
      </c>
      <c r="M563" s="51"/>
      <c r="N563" s="51"/>
      <c r="O563" s="51"/>
      <c r="P563" s="51"/>
      <c r="Q563" s="51"/>
      <c r="R563" s="51"/>
      <c r="S563" s="51"/>
      <c r="T563" s="51"/>
    </row>
    <row r="564">
      <c r="A564" s="51"/>
      <c r="B564" s="51"/>
      <c r="C564" s="94"/>
      <c r="D564" s="51"/>
      <c r="E564" s="51"/>
      <c r="F564" s="51"/>
      <c r="G564" s="51" t="str">
        <f>IFERROR(__xludf.DUMMYFUNCTION("""COMPUTED_VALUE"""),"#VALUE!")</f>
        <v>#VALUE!</v>
      </c>
      <c r="H564" s="51" t="str">
        <f>IFERROR(__xludf.DUMMYFUNCTION("""COMPUTED_VALUE"""),"")</f>
        <v/>
      </c>
      <c r="I564" s="51" t="str">
        <f>IFERROR(__xludf.DUMMYFUNCTION("""COMPUTED_VALUE"""),"#VALUE!")</f>
        <v>#VALUE!</v>
      </c>
      <c r="J564" s="51" t="str">
        <f>IFERROR(__xludf.DUMMYFUNCTION("""COMPUTED_VALUE"""),"")</f>
        <v/>
      </c>
      <c r="K564" s="51"/>
      <c r="L564" s="51" t="s">
        <v>257</v>
      </c>
      <c r="M564" s="51"/>
      <c r="N564" s="51"/>
      <c r="O564" s="51"/>
      <c r="P564" s="51"/>
      <c r="Q564" s="51"/>
      <c r="R564" s="51"/>
      <c r="S564" s="51"/>
      <c r="T564" s="51"/>
    </row>
    <row r="565">
      <c r="A565" s="51"/>
      <c r="B565" s="51"/>
      <c r="C565" s="94"/>
      <c r="D565" s="51"/>
      <c r="E565" s="51"/>
      <c r="F565" s="51"/>
      <c r="G565" s="51" t="str">
        <f>IFERROR(__xludf.DUMMYFUNCTION("""COMPUTED_VALUE"""),"#VALUE!")</f>
        <v>#VALUE!</v>
      </c>
      <c r="H565" s="51" t="str">
        <f>IFERROR(__xludf.DUMMYFUNCTION("""COMPUTED_VALUE"""),"")</f>
        <v/>
      </c>
      <c r="I565" s="51" t="str">
        <f>IFERROR(__xludf.DUMMYFUNCTION("""COMPUTED_VALUE"""),"#VALUE!")</f>
        <v>#VALUE!</v>
      </c>
      <c r="J565" s="51" t="str">
        <f>IFERROR(__xludf.DUMMYFUNCTION("""COMPUTED_VALUE"""),"")</f>
        <v/>
      </c>
      <c r="K565" s="51"/>
      <c r="L565" s="51" t="s">
        <v>257</v>
      </c>
      <c r="M565" s="51"/>
      <c r="N565" s="51"/>
      <c r="O565" s="51"/>
      <c r="P565" s="51"/>
      <c r="Q565" s="51"/>
      <c r="R565" s="51"/>
      <c r="S565" s="51"/>
      <c r="T565" s="51"/>
    </row>
    <row r="566">
      <c r="A566" s="51"/>
      <c r="B566" s="51"/>
      <c r="C566" s="94"/>
      <c r="D566" s="51"/>
      <c r="E566" s="51"/>
      <c r="F566" s="51"/>
      <c r="G566" s="51" t="str">
        <f>IFERROR(__xludf.DUMMYFUNCTION("""COMPUTED_VALUE"""),"#VALUE!")</f>
        <v>#VALUE!</v>
      </c>
      <c r="H566" s="51" t="str">
        <f>IFERROR(__xludf.DUMMYFUNCTION("""COMPUTED_VALUE"""),"")</f>
        <v/>
      </c>
      <c r="I566" s="51" t="str">
        <f>IFERROR(__xludf.DUMMYFUNCTION("""COMPUTED_VALUE"""),"#VALUE!")</f>
        <v>#VALUE!</v>
      </c>
      <c r="J566" s="51" t="str">
        <f>IFERROR(__xludf.DUMMYFUNCTION("""COMPUTED_VALUE"""),"")</f>
        <v/>
      </c>
      <c r="K566" s="51"/>
      <c r="L566" s="51" t="s">
        <v>257</v>
      </c>
      <c r="M566" s="51"/>
      <c r="N566" s="51"/>
      <c r="O566" s="51"/>
      <c r="P566" s="51"/>
      <c r="Q566" s="51"/>
      <c r="R566" s="51"/>
      <c r="S566" s="51"/>
      <c r="T566" s="51"/>
    </row>
    <row r="567">
      <c r="A567" s="51"/>
      <c r="B567" s="51"/>
      <c r="C567" s="94"/>
      <c r="D567" s="51"/>
      <c r="E567" s="51"/>
      <c r="F567" s="51"/>
      <c r="G567" s="51" t="str">
        <f>IFERROR(__xludf.DUMMYFUNCTION("""COMPUTED_VALUE"""),"#VALUE!")</f>
        <v>#VALUE!</v>
      </c>
      <c r="H567" s="51" t="str">
        <f>IFERROR(__xludf.DUMMYFUNCTION("""COMPUTED_VALUE"""),"")</f>
        <v/>
      </c>
      <c r="I567" s="51" t="str">
        <f>IFERROR(__xludf.DUMMYFUNCTION("""COMPUTED_VALUE"""),"#VALUE!")</f>
        <v>#VALUE!</v>
      </c>
      <c r="J567" s="51" t="str">
        <f>IFERROR(__xludf.DUMMYFUNCTION("""COMPUTED_VALUE"""),"")</f>
        <v/>
      </c>
      <c r="K567" s="51"/>
      <c r="L567" s="51" t="s">
        <v>257</v>
      </c>
      <c r="M567" s="51"/>
      <c r="N567" s="51"/>
      <c r="O567" s="51"/>
      <c r="P567" s="51"/>
      <c r="Q567" s="51"/>
      <c r="R567" s="51"/>
      <c r="S567" s="51"/>
      <c r="T567" s="51"/>
    </row>
    <row r="568">
      <c r="A568" s="51"/>
      <c r="B568" s="51"/>
      <c r="C568" s="94"/>
      <c r="D568" s="51"/>
      <c r="E568" s="51"/>
      <c r="F568" s="51"/>
      <c r="G568" s="51" t="str">
        <f>IFERROR(__xludf.DUMMYFUNCTION("""COMPUTED_VALUE"""),"#VALUE!")</f>
        <v>#VALUE!</v>
      </c>
      <c r="H568" s="51" t="str">
        <f>IFERROR(__xludf.DUMMYFUNCTION("""COMPUTED_VALUE"""),"")</f>
        <v/>
      </c>
      <c r="I568" s="51" t="str">
        <f>IFERROR(__xludf.DUMMYFUNCTION("""COMPUTED_VALUE"""),"#VALUE!")</f>
        <v>#VALUE!</v>
      </c>
      <c r="J568" s="51" t="str">
        <f>IFERROR(__xludf.DUMMYFUNCTION("""COMPUTED_VALUE"""),"")</f>
        <v/>
      </c>
      <c r="K568" s="51"/>
      <c r="L568" s="51" t="s">
        <v>257</v>
      </c>
      <c r="M568" s="51"/>
      <c r="N568" s="51"/>
      <c r="O568" s="51"/>
      <c r="P568" s="51"/>
      <c r="Q568" s="51"/>
      <c r="R568" s="51"/>
      <c r="S568" s="51"/>
      <c r="T568" s="51"/>
    </row>
  </sheetData>
  <conditionalFormatting sqref="O2:O53">
    <cfRule type="containsText" dxfId="4" priority="1" operator="containsText" text="YES">
      <formula>NOT(ISERROR(SEARCH(("YES"),(O2))))</formula>
    </cfRule>
  </conditionalFormatting>
  <conditionalFormatting sqref="O2:O53">
    <cfRule type="cellIs" dxfId="5" priority="2" operator="equal">
      <formula>"NO"</formula>
    </cfRule>
  </conditionalFormatting>
  <conditionalFormatting sqref="P2:P53">
    <cfRule type="cellIs" dxfId="4" priority="3" operator="equal">
      <formula>"AVAILABLE"</formula>
    </cfRule>
  </conditionalFormatting>
  <conditionalFormatting sqref="P2:P53">
    <cfRule type="cellIs" dxfId="5" priority="4" operator="equal">
      <formula>"NOT AVAILABLE"</formula>
    </cfRule>
  </conditionalFormatting>
  <conditionalFormatting sqref="Q2:Q53">
    <cfRule type="cellIs" dxfId="4" priority="5" operator="equal">
      <formula>"AVAILABLE"</formula>
    </cfRule>
  </conditionalFormatting>
  <conditionalFormatting sqref="Q2:Q53">
    <cfRule type="cellIs" dxfId="6" priority="6" operator="equal">
      <formula>"UPLOADING"</formula>
    </cfRule>
  </conditionalFormatting>
  <conditionalFormatting sqref="Q2:Q53">
    <cfRule type="cellIs" dxfId="5" priority="7" operator="equal">
      <formula>"NOT AVAILABLE"</formula>
    </cfRule>
  </conditionalFormatting>
  <dataValidations>
    <dataValidation type="list" allowBlank="1" sqref="O2:O53">
      <formula1>"YES,NO"</formula1>
    </dataValidation>
    <dataValidation type="list" allowBlank="1" sqref="P2:P53">
      <formula1>"AVAILABLE,NOT AVAILABLE"</formula1>
    </dataValidation>
    <dataValidation type="list" allowBlank="1" sqref="Q2:Q53">
      <formula1>"AVAILABLE,UPLOADING,NOT AVAILABLE"</formula1>
    </dataValidation>
  </dataValidations>
  <drawing r:id="rId1"/>
  <tableParts count="1">
    <tablePart r:id="rId3"/>
  </tableParts>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0.43"/>
    <col customWidth="1" min="3" max="3" width="26.71"/>
    <col hidden="1" min="4" max="5" width="14.43"/>
    <col customWidth="1" min="6" max="6" width="37.43"/>
    <col hidden="1" min="9" max="9" width="14.43"/>
  </cols>
  <sheetData>
    <row r="1">
      <c r="A1" s="46" t="s">
        <v>79</v>
      </c>
      <c r="B1" s="46" t="s">
        <v>80</v>
      </c>
      <c r="C1" s="48" t="s">
        <v>81</v>
      </c>
      <c r="D1" s="46" t="s">
        <v>82</v>
      </c>
      <c r="E1" s="46" t="s">
        <v>83</v>
      </c>
      <c r="F1" s="46" t="s">
        <v>84</v>
      </c>
      <c r="G1" s="46" t="s">
        <v>85</v>
      </c>
      <c r="H1" s="46" t="s">
        <v>86</v>
      </c>
      <c r="I1" s="46" t="s">
        <v>87</v>
      </c>
      <c r="J1" s="46" t="s">
        <v>88</v>
      </c>
      <c r="K1" s="46" t="s">
        <v>89</v>
      </c>
      <c r="L1" s="46" t="s">
        <v>90</v>
      </c>
      <c r="M1" s="46" t="s">
        <v>91</v>
      </c>
      <c r="N1" s="46" t="s">
        <v>92</v>
      </c>
      <c r="O1" s="50" t="s">
        <v>93</v>
      </c>
      <c r="P1" s="50" t="s">
        <v>94</v>
      </c>
      <c r="Q1" s="50" t="s">
        <v>95</v>
      </c>
      <c r="R1" s="51"/>
      <c r="S1" s="51"/>
      <c r="T1" s="51"/>
    </row>
    <row r="2">
      <c r="A2" s="54" t="str">
        <f>IFERROR(__xludf.DUMMYFUNCTION("QUERY(Master!A:H,""SELECT A,C,D,F,G,H where C = 'Venture stage' ORDER BY F"")"),"Opening remarks")</f>
        <v>Opening remarks</v>
      </c>
      <c r="B2" s="51" t="str">
        <f>IFERROR(__xludf.DUMMYFUNCTION("""COMPUTED_VALUE"""),"Venture stage")</f>
        <v>Venture stage</v>
      </c>
      <c r="C2" s="56" t="str">
        <f>IFERROR(__xludf.DUMMYFUNCTION("""COMPUTED_VALUE"""),"Connor Murphy")</f>
        <v>Connor Murphy</v>
      </c>
      <c r="D2" s="51" t="str">
        <f>IFERROR(__xludf.DUMMYFUNCTION("""COMPUTED_VALUE"""),"2019/11/05 10:15:00")</f>
        <v>2019/11/05 10:15:00</v>
      </c>
      <c r="E2" s="51" t="str">
        <f>IFERROR(__xludf.DUMMYFUNCTION("""COMPUTED_VALUE"""),"2019/11/05 10:30:00")</f>
        <v>2019/11/05 10:30:00</v>
      </c>
      <c r="F2" s="51" t="str">
        <f>IFERROR(__xludf.DUMMYFUNCTION("""COMPUTED_VALUE"""),"b376f113-d467-4247-9768-d31db92db587")</f>
        <v>b376f113-d467-4247-9768-d31db92db587</v>
      </c>
      <c r="G2" s="61">
        <f>IFERROR(__xludf.DUMMYFUNCTION("ARRAYFORMULA(SPLIT(D2:D564,"" ""))"),43774.0)</f>
        <v>43774</v>
      </c>
      <c r="H2" s="60">
        <f>IFERROR(__xludf.DUMMYFUNCTION("""COMPUTED_VALUE"""),0.4270833333333333)</f>
        <v>0.4270833333</v>
      </c>
      <c r="I2" s="61">
        <f>IFERROR(__xludf.DUMMYFUNCTION("ARRAYFORMULA(SPLIT(E2:E564,"" ""))"),43774.0)</f>
        <v>43774</v>
      </c>
      <c r="J2" s="60">
        <f>IFERROR(__xludf.DUMMYFUNCTION("""COMPUTED_VALUE"""),0.4375)</f>
        <v>0.4375</v>
      </c>
      <c r="K2" s="60">
        <f t="shared" ref="K2:K63" si="1">J2-H2</f>
        <v>0.01041666667</v>
      </c>
      <c r="L2" s="54" t="str">
        <f t="array" ref="L2:L564">TEXT(K2:K564,"hhmmss")</f>
        <v>001500</v>
      </c>
      <c r="M2" s="87" t="s">
        <v>769</v>
      </c>
      <c r="N2" s="62" t="str">
        <f t="shared" ref="N2:N46" si="2">CONCATENATE(M2,"_",F2,"_","000000_000000.mp4")</f>
        <v>VT_5_1_b376f113-d467-4247-9768-d31db92db587_000000_000000.mp4</v>
      </c>
      <c r="O2" s="50"/>
      <c r="P2" s="50"/>
      <c r="Q2" s="63"/>
      <c r="R2" s="51"/>
      <c r="S2" s="51"/>
      <c r="T2" s="51"/>
    </row>
    <row r="3">
      <c r="A3" s="51" t="str">
        <f>IFERROR(__xludf.DUMMYFUNCTION("""COMPUTED_VALUE"""),"What makes a SaaS star?")</f>
        <v>What makes a SaaS star?</v>
      </c>
      <c r="B3" s="51" t="str">
        <f>IFERROR(__xludf.DUMMYFUNCTION("""COMPUTED_VALUE"""),"Venture stage")</f>
        <v>Venture stage</v>
      </c>
      <c r="C3" s="56" t="str">
        <f>IFERROR(__xludf.DUMMYFUNCTION("""COMPUTED_VALUE"""),"Yoav Tzruya, Lyle Fong, Michael Schuster, Cristina Fonseca and Stewart Rogers")</f>
        <v>Yoav Tzruya, Lyle Fong, Michael Schuster, Cristina Fonseca and Stewart Rogers</v>
      </c>
      <c r="D3" s="51" t="str">
        <f>IFERROR(__xludf.DUMMYFUNCTION("""COMPUTED_VALUE"""),"2019/11/05 10:30:00")</f>
        <v>2019/11/05 10:30:00</v>
      </c>
      <c r="E3" s="51" t="str">
        <f>IFERROR(__xludf.DUMMYFUNCTION("""COMPUTED_VALUE"""),"2019/11/05 10:50:00")</f>
        <v>2019/11/05 10:50:00</v>
      </c>
      <c r="F3" s="51" t="str">
        <f>IFERROR(__xludf.DUMMYFUNCTION("""COMPUTED_VALUE"""),"1e92e735-d1a2-4e79-ab58-1f251026f86c")</f>
        <v>1e92e735-d1a2-4e79-ab58-1f251026f86c</v>
      </c>
      <c r="G3" s="58">
        <f>IFERROR(__xludf.DUMMYFUNCTION("""COMPUTED_VALUE"""),43774.0)</f>
        <v>43774</v>
      </c>
      <c r="H3" s="60">
        <f>IFERROR(__xludf.DUMMYFUNCTION("""COMPUTED_VALUE"""),0.4375)</f>
        <v>0.4375</v>
      </c>
      <c r="I3" s="58">
        <f>IFERROR(__xludf.DUMMYFUNCTION("""COMPUTED_VALUE"""),43774.0)</f>
        <v>43774</v>
      </c>
      <c r="J3" s="60">
        <f>IFERROR(__xludf.DUMMYFUNCTION("""COMPUTED_VALUE"""),0.4513888888888889)</f>
        <v>0.4513888889</v>
      </c>
      <c r="K3" s="60">
        <f t="shared" si="1"/>
        <v>0.01388888889</v>
      </c>
      <c r="L3" s="51" t="s">
        <v>111</v>
      </c>
      <c r="M3" s="87" t="s">
        <v>773</v>
      </c>
      <c r="N3" s="62" t="str">
        <f t="shared" si="2"/>
        <v>VT_5_2_1e92e735-d1a2-4e79-ab58-1f251026f86c_000000_000000.mp4</v>
      </c>
      <c r="O3" s="50"/>
      <c r="P3" s="50"/>
      <c r="Q3" s="63"/>
      <c r="R3" s="51"/>
      <c r="S3" s="51"/>
      <c r="T3" s="51"/>
    </row>
    <row r="4">
      <c r="A4" s="51" t="str">
        <f>IFERROR(__xludf.DUMMYFUNCTION("""COMPUTED_VALUE"""),"Retail therapy: Tech for fast consumption")</f>
        <v>Retail therapy: Tech for fast consumption</v>
      </c>
      <c r="B4" s="51" t="str">
        <f>IFERROR(__xludf.DUMMYFUNCTION("""COMPUTED_VALUE"""),"Venture stage")</f>
        <v>Venture stage</v>
      </c>
      <c r="C4" s="56" t="str">
        <f>IFERROR(__xludf.DUMMYFUNCTION("""COMPUTED_VALUE"""),"Carmen Alfonso Rico, Rainer Märkle, Nicola McClafferty and Natalia Drozdiak")</f>
        <v>Carmen Alfonso Rico, Rainer Märkle, Nicola McClafferty and Natalia Drozdiak</v>
      </c>
      <c r="D4" s="51" t="str">
        <f>IFERROR(__xludf.DUMMYFUNCTION("""COMPUTED_VALUE"""),"2019/11/05 10:50:00")</f>
        <v>2019/11/05 10:50:00</v>
      </c>
      <c r="E4" s="51" t="str">
        <f>IFERROR(__xludf.DUMMYFUNCTION("""COMPUTED_VALUE"""),"2019/11/05 11:10:00")</f>
        <v>2019/11/05 11:10:00</v>
      </c>
      <c r="F4" s="51" t="str">
        <f>IFERROR(__xludf.DUMMYFUNCTION("""COMPUTED_VALUE"""),"7921e49e-7c01-41ca-a2e2-33b1448f0ee9")</f>
        <v>7921e49e-7c01-41ca-a2e2-33b1448f0ee9</v>
      </c>
      <c r="G4" s="58">
        <f>IFERROR(__xludf.DUMMYFUNCTION("""COMPUTED_VALUE"""),43774.0)</f>
        <v>43774</v>
      </c>
      <c r="H4" s="60">
        <f>IFERROR(__xludf.DUMMYFUNCTION("""COMPUTED_VALUE"""),0.4513888888888889)</f>
        <v>0.4513888889</v>
      </c>
      <c r="I4" s="58">
        <f>IFERROR(__xludf.DUMMYFUNCTION("""COMPUTED_VALUE"""),43774.0)</f>
        <v>43774</v>
      </c>
      <c r="J4" s="60">
        <f>IFERROR(__xludf.DUMMYFUNCTION("""COMPUTED_VALUE"""),0.4652777777777778)</f>
        <v>0.4652777778</v>
      </c>
      <c r="K4" s="60">
        <f t="shared" si="1"/>
        <v>0.01388888889</v>
      </c>
      <c r="L4" s="51" t="s">
        <v>111</v>
      </c>
      <c r="M4" s="87" t="s">
        <v>776</v>
      </c>
      <c r="N4" s="62" t="str">
        <f t="shared" si="2"/>
        <v>VT_5_3_7921e49e-7c01-41ca-a2e2-33b1448f0ee9_000000_000000.mp4</v>
      </c>
      <c r="O4" s="50"/>
      <c r="P4" s="50"/>
      <c r="Q4" s="63"/>
      <c r="R4" s="51"/>
      <c r="S4" s="51"/>
      <c r="T4" s="51"/>
    </row>
    <row r="5">
      <c r="A5" s="51" t="str">
        <f>IFERROR(__xludf.DUMMYFUNCTION("""COMPUTED_VALUE"""),"GenZ consumers: What do they want?")</f>
        <v>GenZ consumers: What do they want?</v>
      </c>
      <c r="B5" s="51" t="str">
        <f>IFERROR(__xludf.DUMMYFUNCTION("""COMPUTED_VALUE"""),"Venture stage")</f>
        <v>Venture stage</v>
      </c>
      <c r="C5" s="56" t="str">
        <f>IFERROR(__xludf.DUMMYFUNCTION("""COMPUTED_VALUE"""),"Karen McCormick, Tara Reeves, Rob Lowe, Avi Eyal and Eva Baczynska")</f>
        <v>Karen McCormick, Tara Reeves, Rob Lowe, Avi Eyal and Eva Baczynska</v>
      </c>
      <c r="D5" s="51" t="str">
        <f>IFERROR(__xludf.DUMMYFUNCTION("""COMPUTED_VALUE"""),"2019/11/05 11:10:00")</f>
        <v>2019/11/05 11:10:00</v>
      </c>
      <c r="E5" s="51" t="str">
        <f>IFERROR(__xludf.DUMMYFUNCTION("""COMPUTED_VALUE"""),"2019/11/05 11:35:00")</f>
        <v>2019/11/05 11:35:00</v>
      </c>
      <c r="F5" s="51" t="str">
        <f>IFERROR(__xludf.DUMMYFUNCTION("""COMPUTED_VALUE"""),"b467dd67-e44c-46cd-9c69-dfca7ac8d677")</f>
        <v>b467dd67-e44c-46cd-9c69-dfca7ac8d677</v>
      </c>
      <c r="G5" s="58">
        <f>IFERROR(__xludf.DUMMYFUNCTION("""COMPUTED_VALUE"""),43774.0)</f>
        <v>43774</v>
      </c>
      <c r="H5" s="60">
        <f>IFERROR(__xludf.DUMMYFUNCTION("""COMPUTED_VALUE"""),0.4652777777777778)</f>
        <v>0.4652777778</v>
      </c>
      <c r="I5" s="58">
        <f>IFERROR(__xludf.DUMMYFUNCTION("""COMPUTED_VALUE"""),43774.0)</f>
        <v>43774</v>
      </c>
      <c r="J5" s="60">
        <f>IFERROR(__xludf.DUMMYFUNCTION("""COMPUTED_VALUE"""),0.4826388888888889)</f>
        <v>0.4826388889</v>
      </c>
      <c r="K5" s="60">
        <f t="shared" si="1"/>
        <v>0.01736111111</v>
      </c>
      <c r="L5" s="51" t="s">
        <v>107</v>
      </c>
      <c r="M5" s="87" t="s">
        <v>778</v>
      </c>
      <c r="N5" s="62" t="str">
        <f t="shared" si="2"/>
        <v>VT_5_4_b467dd67-e44c-46cd-9c69-dfca7ac8d677_000000_000000.mp4</v>
      </c>
      <c r="O5" s="50"/>
      <c r="P5" s="50"/>
      <c r="Q5" s="63"/>
      <c r="R5" s="51"/>
      <c r="S5" s="51"/>
      <c r="T5" s="51"/>
    </row>
    <row r="6">
      <c r="A6" s="51" t="str">
        <f>IFERROR(__xludf.DUMMYFUNCTION("""COMPUTED_VALUE"""),"Smart exits: How can we help?")</f>
        <v>Smart exits: How can we help?</v>
      </c>
      <c r="B6" s="51" t="str">
        <f>IFERROR(__xludf.DUMMYFUNCTION("""COMPUTED_VALUE"""),"Venture stage")</f>
        <v>Venture stage</v>
      </c>
      <c r="C6" s="56" t="str">
        <f>IFERROR(__xludf.DUMMYFUNCTION("""COMPUTED_VALUE"""),"Younghoon Park, Jean-Marc Patouillaud, Asaf Horesh and Mike Hollinger")</f>
        <v>Younghoon Park, Jean-Marc Patouillaud, Asaf Horesh and Mike Hollinger</v>
      </c>
      <c r="D6" s="51" t="str">
        <f>IFERROR(__xludf.DUMMYFUNCTION("""COMPUTED_VALUE"""),"2019/11/05 11:35:00")</f>
        <v>2019/11/05 11:35:00</v>
      </c>
      <c r="E6" s="51" t="str">
        <f>IFERROR(__xludf.DUMMYFUNCTION("""COMPUTED_VALUE"""),"2019/11/05 12:00:00")</f>
        <v>2019/11/05 12:00:00</v>
      </c>
      <c r="F6" s="51" t="str">
        <f>IFERROR(__xludf.DUMMYFUNCTION("""COMPUTED_VALUE"""),"a86f6d35-9ddf-4888-a2da-8c6f010e86fe")</f>
        <v>a86f6d35-9ddf-4888-a2da-8c6f010e86fe</v>
      </c>
      <c r="G6" s="58">
        <f>IFERROR(__xludf.DUMMYFUNCTION("""COMPUTED_VALUE"""),43774.0)</f>
        <v>43774</v>
      </c>
      <c r="H6" s="60">
        <f>IFERROR(__xludf.DUMMYFUNCTION("""COMPUTED_VALUE"""),0.4826388888888889)</f>
        <v>0.4826388889</v>
      </c>
      <c r="I6" s="58">
        <f>IFERROR(__xludf.DUMMYFUNCTION("""COMPUTED_VALUE"""),43774.0)</f>
        <v>43774</v>
      </c>
      <c r="J6" s="60">
        <f>IFERROR(__xludf.DUMMYFUNCTION("""COMPUTED_VALUE"""),0.5)</f>
        <v>0.5</v>
      </c>
      <c r="K6" s="60">
        <f t="shared" si="1"/>
        <v>0.01736111111</v>
      </c>
      <c r="L6" s="51" t="s">
        <v>107</v>
      </c>
      <c r="M6" s="87" t="s">
        <v>780</v>
      </c>
      <c r="N6" s="62" t="str">
        <f t="shared" si="2"/>
        <v>VT_5_5_a86f6d35-9ddf-4888-a2da-8c6f010e86fe_000000_000000.mp4</v>
      </c>
      <c r="O6" s="50"/>
      <c r="P6" s="50"/>
      <c r="Q6" s="63"/>
      <c r="R6" s="51"/>
      <c r="S6" s="51"/>
      <c r="T6" s="51"/>
    </row>
    <row r="7">
      <c r="A7" s="51" t="str">
        <f>IFERROR(__xludf.DUMMYFUNCTION("""COMPUTED_VALUE"""),"Winning the war for talent")</f>
        <v>Winning the war for talent</v>
      </c>
      <c r="B7" s="51" t="str">
        <f>IFERROR(__xludf.DUMMYFUNCTION("""COMPUTED_VALUE"""),"Venture stage")</f>
        <v>Venture stage</v>
      </c>
      <c r="C7" s="56" t="str">
        <f>IFERROR(__xludf.DUMMYFUNCTION("""COMPUTED_VALUE"""),"Diane Mulcahy and Denis Barrier")</f>
        <v>Diane Mulcahy and Denis Barrier</v>
      </c>
      <c r="D7" s="51" t="str">
        <f>IFERROR(__xludf.DUMMYFUNCTION("""COMPUTED_VALUE"""),"2019/11/05 12:00:00")</f>
        <v>2019/11/05 12:00:00</v>
      </c>
      <c r="E7" s="51" t="str">
        <f>IFERROR(__xludf.DUMMYFUNCTION("""COMPUTED_VALUE"""),"2019/11/05 12:20:00")</f>
        <v>2019/11/05 12:20:00</v>
      </c>
      <c r="F7" s="51" t="str">
        <f>IFERROR(__xludf.DUMMYFUNCTION("""COMPUTED_VALUE"""),"cebe1715-e136-4b99-902d-ffb337b720b6")</f>
        <v>cebe1715-e136-4b99-902d-ffb337b720b6</v>
      </c>
      <c r="G7" s="58">
        <f>IFERROR(__xludf.DUMMYFUNCTION("""COMPUTED_VALUE"""),43774.0)</f>
        <v>43774</v>
      </c>
      <c r="H7" s="60">
        <f>IFERROR(__xludf.DUMMYFUNCTION("""COMPUTED_VALUE"""),0.5)</f>
        <v>0.5</v>
      </c>
      <c r="I7" s="58">
        <f>IFERROR(__xludf.DUMMYFUNCTION("""COMPUTED_VALUE"""),43774.0)</f>
        <v>43774</v>
      </c>
      <c r="J7" s="60">
        <f>IFERROR(__xludf.DUMMYFUNCTION("""COMPUTED_VALUE"""),0.5138888888888888)</f>
        <v>0.5138888889</v>
      </c>
      <c r="K7" s="60">
        <f t="shared" si="1"/>
        <v>0.01388888889</v>
      </c>
      <c r="L7" s="51" t="s">
        <v>111</v>
      </c>
      <c r="M7" s="87" t="s">
        <v>782</v>
      </c>
      <c r="N7" s="62" t="str">
        <f t="shared" si="2"/>
        <v>VT_5_6_cebe1715-e136-4b99-902d-ffb337b720b6_000000_000000.mp4</v>
      </c>
      <c r="O7" s="50"/>
      <c r="P7" s="50"/>
      <c r="Q7" s="63"/>
      <c r="R7" s="51"/>
      <c r="S7" s="51"/>
      <c r="T7" s="51"/>
    </row>
    <row r="8">
      <c r="A8" s="51" t="str">
        <f>IFERROR(__xludf.DUMMYFUNCTION("""COMPUTED_VALUE"""),"What to do with your good idea")</f>
        <v>What to do with your good idea</v>
      </c>
      <c r="B8" s="51" t="str">
        <f>IFERROR(__xludf.DUMMYFUNCTION("""COMPUTED_VALUE"""),"Venture stage")</f>
        <v>Venture stage</v>
      </c>
      <c r="C8" s="56" t="str">
        <f>IFERROR(__xludf.DUMMYFUNCTION("""COMPUTED_VALUE"""),"Elizabeth Weil, Saalim Chowdhury, Cyril Ebersweiler, Chris Adelsbach and Jared Lindzon")</f>
        <v>Elizabeth Weil, Saalim Chowdhury, Cyril Ebersweiler, Chris Adelsbach and Jared Lindzon</v>
      </c>
      <c r="D8" s="51" t="str">
        <f>IFERROR(__xludf.DUMMYFUNCTION("""COMPUTED_VALUE"""),"2019/11/05 12:20:00")</f>
        <v>2019/11/05 12:20:00</v>
      </c>
      <c r="E8" s="51" t="str">
        <f>IFERROR(__xludf.DUMMYFUNCTION("""COMPUTED_VALUE"""),"2019/11/05 12:45:00")</f>
        <v>2019/11/05 12:45:00</v>
      </c>
      <c r="F8" s="51" t="str">
        <f>IFERROR(__xludf.DUMMYFUNCTION("""COMPUTED_VALUE"""),"c3314cfc-14bb-4f3c-9510-182be25f4f35")</f>
        <v>c3314cfc-14bb-4f3c-9510-182be25f4f35</v>
      </c>
      <c r="G8" s="58">
        <f>IFERROR(__xludf.DUMMYFUNCTION("""COMPUTED_VALUE"""),43774.0)</f>
        <v>43774</v>
      </c>
      <c r="H8" s="60">
        <f>IFERROR(__xludf.DUMMYFUNCTION("""COMPUTED_VALUE"""),0.5138888888888888)</f>
        <v>0.5138888889</v>
      </c>
      <c r="I8" s="58">
        <f>IFERROR(__xludf.DUMMYFUNCTION("""COMPUTED_VALUE"""),43774.0)</f>
        <v>43774</v>
      </c>
      <c r="J8" s="60">
        <f>IFERROR(__xludf.DUMMYFUNCTION("""COMPUTED_VALUE"""),0.53125)</f>
        <v>0.53125</v>
      </c>
      <c r="K8" s="60">
        <f t="shared" si="1"/>
        <v>0.01736111111</v>
      </c>
      <c r="L8" s="51" t="s">
        <v>107</v>
      </c>
      <c r="M8" s="87" t="s">
        <v>783</v>
      </c>
      <c r="N8" s="62" t="str">
        <f t="shared" si="2"/>
        <v>VT_5_7_c3314cfc-14bb-4f3c-9510-182be25f4f35_000000_000000.mp4</v>
      </c>
      <c r="O8" s="50"/>
      <c r="P8" s="50"/>
      <c r="Q8" s="63"/>
      <c r="R8" s="51"/>
      <c r="S8" s="51"/>
      <c r="T8" s="51"/>
    </row>
    <row r="9">
      <c r="A9" s="51" t="str">
        <f>IFERROR(__xludf.DUMMYFUNCTION("""COMPUTED_VALUE"""),"Lunch break")</f>
        <v>Lunch break</v>
      </c>
      <c r="B9" s="51" t="str">
        <f>IFERROR(__xludf.DUMMYFUNCTION("""COMPUTED_VALUE"""),"Venture stage")</f>
        <v>Venture stage</v>
      </c>
      <c r="C9" s="56" t="str">
        <f>IFERROR(__xludf.DUMMYFUNCTION("""COMPUTED_VALUE"""),"")</f>
        <v/>
      </c>
      <c r="D9" s="51" t="str">
        <f>IFERROR(__xludf.DUMMYFUNCTION("""COMPUTED_VALUE"""),"2019/11/05 12:45:00")</f>
        <v>2019/11/05 12:45:00</v>
      </c>
      <c r="E9" s="51" t="str">
        <f>IFERROR(__xludf.DUMMYFUNCTION("""COMPUTED_VALUE"""),"2019/11/05 13:30:00")</f>
        <v>2019/11/05 13:30:00</v>
      </c>
      <c r="F9" s="51" t="str">
        <f>IFERROR(__xludf.DUMMYFUNCTION("""COMPUTED_VALUE"""),"a8a30424-4365-4a89-89c7-95d1c9c7d96c")</f>
        <v>a8a30424-4365-4a89-89c7-95d1c9c7d96c</v>
      </c>
      <c r="G9" s="58">
        <f>IFERROR(__xludf.DUMMYFUNCTION("""COMPUTED_VALUE"""),43774.0)</f>
        <v>43774</v>
      </c>
      <c r="H9" s="60">
        <f>IFERROR(__xludf.DUMMYFUNCTION("""COMPUTED_VALUE"""),0.53125)</f>
        <v>0.53125</v>
      </c>
      <c r="I9" s="58">
        <f>IFERROR(__xludf.DUMMYFUNCTION("""COMPUTED_VALUE"""),43774.0)</f>
        <v>43774</v>
      </c>
      <c r="J9" s="60">
        <f>IFERROR(__xludf.DUMMYFUNCTION("""COMPUTED_VALUE"""),0.5625)</f>
        <v>0.5625</v>
      </c>
      <c r="K9" s="60">
        <f t="shared" si="1"/>
        <v>0.03125</v>
      </c>
      <c r="L9" s="51" t="s">
        <v>131</v>
      </c>
      <c r="M9" s="51"/>
      <c r="N9" s="62" t="str">
        <f t="shared" si="2"/>
        <v>_a8a30424-4365-4a89-89c7-95d1c9c7d96c_000000_000000.mp4</v>
      </c>
      <c r="O9" s="50"/>
      <c r="P9" s="50"/>
      <c r="Q9" s="63"/>
      <c r="R9" s="51"/>
      <c r="S9" s="51"/>
      <c r="T9" s="51"/>
    </row>
    <row r="10">
      <c r="A10" s="51" t="str">
        <f>IFERROR(__xludf.DUMMYFUNCTION("""COMPUTED_VALUE"""),"Opening remarks - Global Venture Overview")</f>
        <v>Opening remarks - Global Venture Overview</v>
      </c>
      <c r="B10" s="51" t="str">
        <f>IFERROR(__xludf.DUMMYFUNCTION("""COMPUTED_VALUE"""),"Venture stage")</f>
        <v>Venture stage</v>
      </c>
      <c r="C10" s="56" t="str">
        <f>IFERROR(__xludf.DUMMYFUNCTION("""COMPUTED_VALUE"""),"Nizar Tarhuni")</f>
        <v>Nizar Tarhuni</v>
      </c>
      <c r="D10" s="51" t="str">
        <f>IFERROR(__xludf.DUMMYFUNCTION("""COMPUTED_VALUE"""),"2019/11/05 13:30:00")</f>
        <v>2019/11/05 13:30:00</v>
      </c>
      <c r="E10" s="51" t="str">
        <f>IFERROR(__xludf.DUMMYFUNCTION("""COMPUTED_VALUE"""),"2019/11/05 13:45:00")</f>
        <v>2019/11/05 13:45:00</v>
      </c>
      <c r="F10" s="51" t="str">
        <f>IFERROR(__xludf.DUMMYFUNCTION("""COMPUTED_VALUE"""),"5183caf9-5006-4cf8-a723-9de2854337fd")</f>
        <v>5183caf9-5006-4cf8-a723-9de2854337fd</v>
      </c>
      <c r="G10" s="58">
        <f>IFERROR(__xludf.DUMMYFUNCTION("""COMPUTED_VALUE"""),43774.0)</f>
        <v>43774</v>
      </c>
      <c r="H10" s="60">
        <f>IFERROR(__xludf.DUMMYFUNCTION("""COMPUTED_VALUE"""),0.5625)</f>
        <v>0.5625</v>
      </c>
      <c r="I10" s="58">
        <f>IFERROR(__xludf.DUMMYFUNCTION("""COMPUTED_VALUE"""),43774.0)</f>
        <v>43774</v>
      </c>
      <c r="J10" s="60">
        <f>IFERROR(__xludf.DUMMYFUNCTION("""COMPUTED_VALUE"""),0.5729166666666666)</f>
        <v>0.5729166667</v>
      </c>
      <c r="K10" s="60">
        <f t="shared" si="1"/>
        <v>0.01041666667</v>
      </c>
      <c r="L10" s="51" t="s">
        <v>116</v>
      </c>
      <c r="M10" s="87" t="s">
        <v>786</v>
      </c>
      <c r="N10" s="62" t="str">
        <f t="shared" si="2"/>
        <v>VT_5_8_5183caf9-5006-4cf8-a723-9de2854337fd_000000_000000.mp4</v>
      </c>
      <c r="O10" s="50"/>
      <c r="P10" s="50"/>
      <c r="Q10" s="63"/>
      <c r="R10" s="51"/>
      <c r="S10" s="51"/>
      <c r="T10" s="51"/>
    </row>
    <row r="11">
      <c r="A11" s="51" t="str">
        <f>IFERROR(__xludf.DUMMYFUNCTION("""COMPUTED_VALUE"""),"The state of global seed")</f>
        <v>The state of global seed</v>
      </c>
      <c r="B11" s="51" t="str">
        <f>IFERROR(__xludf.DUMMYFUNCTION("""COMPUTED_VALUE"""),"Venture stage")</f>
        <v>Venture stage</v>
      </c>
      <c r="C11" s="56" t="str">
        <f>IFERROR(__xludf.DUMMYFUNCTION("""COMPUTED_VALUE"""),"Reshma Sohoni, Gillian Munson, Zach Coelius, Alexandre Barbosa and Nizar Tarhuni")</f>
        <v>Reshma Sohoni, Gillian Munson, Zach Coelius, Alexandre Barbosa and Nizar Tarhuni</v>
      </c>
      <c r="D11" s="51" t="str">
        <f>IFERROR(__xludf.DUMMYFUNCTION("""COMPUTED_VALUE"""),"2019/11/05 13:45:00")</f>
        <v>2019/11/05 13:45:00</v>
      </c>
      <c r="E11" s="51" t="str">
        <f>IFERROR(__xludf.DUMMYFUNCTION("""COMPUTED_VALUE"""),"2019/11/05 14:05:00")</f>
        <v>2019/11/05 14:05:00</v>
      </c>
      <c r="F11" s="51" t="str">
        <f>IFERROR(__xludf.DUMMYFUNCTION("""COMPUTED_VALUE"""),"75e89197-77fc-46c8-a26e-e6fddc2a1b3c")</f>
        <v>75e89197-77fc-46c8-a26e-e6fddc2a1b3c</v>
      </c>
      <c r="G11" s="58">
        <f>IFERROR(__xludf.DUMMYFUNCTION("""COMPUTED_VALUE"""),43774.0)</f>
        <v>43774</v>
      </c>
      <c r="H11" s="60">
        <f>IFERROR(__xludf.DUMMYFUNCTION("""COMPUTED_VALUE"""),0.5729166666666666)</f>
        <v>0.5729166667</v>
      </c>
      <c r="I11" s="58">
        <f>IFERROR(__xludf.DUMMYFUNCTION("""COMPUTED_VALUE"""),43774.0)</f>
        <v>43774</v>
      </c>
      <c r="J11" s="60">
        <f>IFERROR(__xludf.DUMMYFUNCTION("""COMPUTED_VALUE"""),0.5868055555555556)</f>
        <v>0.5868055556</v>
      </c>
      <c r="K11" s="60">
        <f t="shared" si="1"/>
        <v>0.01388888889</v>
      </c>
      <c r="L11" s="51" t="s">
        <v>111</v>
      </c>
      <c r="M11" s="87" t="s">
        <v>788</v>
      </c>
      <c r="N11" s="62" t="str">
        <f t="shared" si="2"/>
        <v>VT_5_9_75e89197-77fc-46c8-a26e-e6fddc2a1b3c_000000_000000.mp4</v>
      </c>
      <c r="O11" s="50"/>
      <c r="P11" s="50"/>
      <c r="Q11" s="63"/>
      <c r="R11" s="51"/>
      <c r="S11" s="51"/>
      <c r="T11" s="51"/>
    </row>
    <row r="12">
      <c r="A12" s="51" t="str">
        <f>IFERROR(__xludf.DUMMYFUNCTION("""COMPUTED_VALUE"""),"AI: Advantage investing?")</f>
        <v>AI: Advantage investing?</v>
      </c>
      <c r="B12" s="51" t="str">
        <f>IFERROR(__xludf.DUMMYFUNCTION("""COMPUTED_VALUE"""),"Venture stage")</f>
        <v>Venture stage</v>
      </c>
      <c r="C12" s="56" t="str">
        <f>IFERROR(__xludf.DUMMYFUNCTION("""COMPUTED_VALUE"""),"Jacob Mullins, Dale Chang and David Kelnar")</f>
        <v>Jacob Mullins, Dale Chang and David Kelnar</v>
      </c>
      <c r="D12" s="51" t="str">
        <f>IFERROR(__xludf.DUMMYFUNCTION("""COMPUTED_VALUE"""),"2019/11/05 14:05:00")</f>
        <v>2019/11/05 14:05:00</v>
      </c>
      <c r="E12" s="51" t="str">
        <f>IFERROR(__xludf.DUMMYFUNCTION("""COMPUTED_VALUE"""),"2019/11/05 14:25:00")</f>
        <v>2019/11/05 14:25:00</v>
      </c>
      <c r="F12" s="51" t="str">
        <f>IFERROR(__xludf.DUMMYFUNCTION("""COMPUTED_VALUE"""),"3c35f956-7430-41f3-8bc2-18d855f4042f")</f>
        <v>3c35f956-7430-41f3-8bc2-18d855f4042f</v>
      </c>
      <c r="G12" s="58">
        <f>IFERROR(__xludf.DUMMYFUNCTION("""COMPUTED_VALUE"""),43774.0)</f>
        <v>43774</v>
      </c>
      <c r="H12" s="60">
        <f>IFERROR(__xludf.DUMMYFUNCTION("""COMPUTED_VALUE"""),0.5868055555555556)</f>
        <v>0.5868055556</v>
      </c>
      <c r="I12" s="58">
        <f>IFERROR(__xludf.DUMMYFUNCTION("""COMPUTED_VALUE"""),43774.0)</f>
        <v>43774</v>
      </c>
      <c r="J12" s="60">
        <f>IFERROR(__xludf.DUMMYFUNCTION("""COMPUTED_VALUE"""),0.6006944444444444)</f>
        <v>0.6006944444</v>
      </c>
      <c r="K12" s="60">
        <f t="shared" si="1"/>
        <v>0.01388888889</v>
      </c>
      <c r="L12" s="51" t="s">
        <v>111</v>
      </c>
      <c r="M12" s="87" t="s">
        <v>790</v>
      </c>
      <c r="N12" s="62" t="str">
        <f t="shared" si="2"/>
        <v>VT_5_10_3c35f956-7430-41f3-8bc2-18d855f4042f_000000_000000.mp4</v>
      </c>
      <c r="O12" s="50"/>
      <c r="P12" s="50"/>
      <c r="Q12" s="63"/>
      <c r="R12" s="51"/>
      <c r="S12" s="51"/>
      <c r="T12" s="51"/>
    </row>
    <row r="13">
      <c r="A13" s="51" t="str">
        <f>IFERROR(__xludf.DUMMYFUNCTION("""COMPUTED_VALUE"""),"Why startups need corporate VC to thrive")</f>
        <v>Why startups need corporate VC to thrive</v>
      </c>
      <c r="B13" s="51" t="str">
        <f>IFERROR(__xludf.DUMMYFUNCTION("""COMPUTED_VALUE"""),"Venture stage")</f>
        <v>Venture stage</v>
      </c>
      <c r="C13" s="56" t="str">
        <f>IFERROR(__xludf.DUMMYFUNCTION("""COMPUTED_VALUE"""),"Gen Tsuchikawa, Deborah Magid, Colleen Cunniffe and Alex Irwin-Hunt")</f>
        <v>Gen Tsuchikawa, Deborah Magid, Colleen Cunniffe and Alex Irwin-Hunt</v>
      </c>
      <c r="D13" s="51" t="str">
        <f>IFERROR(__xludf.DUMMYFUNCTION("""COMPUTED_VALUE"""),"2019/11/05 14:25:00")</f>
        <v>2019/11/05 14:25:00</v>
      </c>
      <c r="E13" s="51" t="str">
        <f>IFERROR(__xludf.DUMMYFUNCTION("""COMPUTED_VALUE"""),"2019/11/05 14:45:00")</f>
        <v>2019/11/05 14:45:00</v>
      </c>
      <c r="F13" s="51" t="str">
        <f>IFERROR(__xludf.DUMMYFUNCTION("""COMPUTED_VALUE"""),"573fd2e9-29bc-4dc8-93f9-847fb54ce7a1")</f>
        <v>573fd2e9-29bc-4dc8-93f9-847fb54ce7a1</v>
      </c>
      <c r="G13" s="58">
        <f>IFERROR(__xludf.DUMMYFUNCTION("""COMPUTED_VALUE"""),43774.0)</f>
        <v>43774</v>
      </c>
      <c r="H13" s="60">
        <f>IFERROR(__xludf.DUMMYFUNCTION("""COMPUTED_VALUE"""),0.6006944444444444)</f>
        <v>0.6006944444</v>
      </c>
      <c r="I13" s="58">
        <f>IFERROR(__xludf.DUMMYFUNCTION("""COMPUTED_VALUE"""),43774.0)</f>
        <v>43774</v>
      </c>
      <c r="J13" s="60">
        <f>IFERROR(__xludf.DUMMYFUNCTION("""COMPUTED_VALUE"""),0.6145833333333334)</f>
        <v>0.6145833333</v>
      </c>
      <c r="K13" s="60">
        <f t="shared" si="1"/>
        <v>0.01388888889</v>
      </c>
      <c r="L13" s="51" t="s">
        <v>111</v>
      </c>
      <c r="M13" s="87" t="s">
        <v>791</v>
      </c>
      <c r="N13" s="62" t="str">
        <f t="shared" si="2"/>
        <v>VT_5_11_573fd2e9-29bc-4dc8-93f9-847fb54ce7a1_000000_000000.mp4</v>
      </c>
      <c r="O13" s="50"/>
      <c r="P13" s="50"/>
      <c r="Q13" s="63"/>
      <c r="R13" s="51"/>
      <c r="S13" s="51"/>
      <c r="T13" s="51"/>
    </row>
    <row r="14">
      <c r="A14" s="51" t="str">
        <f>IFERROR(__xludf.DUMMYFUNCTION("""COMPUTED_VALUE"""),"Supporting entrepreneurs in new markets")</f>
        <v>Supporting entrepreneurs in new markets</v>
      </c>
      <c r="B14" s="51" t="str">
        <f>IFERROR(__xludf.DUMMYFUNCTION("""COMPUTED_VALUE"""),"Venture stage")</f>
        <v>Venture stage</v>
      </c>
      <c r="C14" s="56" t="str">
        <f>IFERROR(__xludf.DUMMYFUNCTION("""COMPUTED_VALUE"""),"Maya Horgan Famodu, Michael Schlein, Pedro Santos Vieira and Alara Basul")</f>
        <v>Maya Horgan Famodu, Michael Schlein, Pedro Santos Vieira and Alara Basul</v>
      </c>
      <c r="D14" s="51" t="str">
        <f>IFERROR(__xludf.DUMMYFUNCTION("""COMPUTED_VALUE"""),"2019/11/05 14:45:00")</f>
        <v>2019/11/05 14:45:00</v>
      </c>
      <c r="E14" s="51" t="str">
        <f>IFERROR(__xludf.DUMMYFUNCTION("""COMPUTED_VALUE"""),"2019/11/05 15:05:00")</f>
        <v>2019/11/05 15:05:00</v>
      </c>
      <c r="F14" s="51" t="str">
        <f>IFERROR(__xludf.DUMMYFUNCTION("""COMPUTED_VALUE"""),"03db29c5-bb66-4c68-ba88-726280dd5d62")</f>
        <v>03db29c5-bb66-4c68-ba88-726280dd5d62</v>
      </c>
      <c r="G14" s="58">
        <f>IFERROR(__xludf.DUMMYFUNCTION("""COMPUTED_VALUE"""),43774.0)</f>
        <v>43774</v>
      </c>
      <c r="H14" s="60">
        <f>IFERROR(__xludf.DUMMYFUNCTION("""COMPUTED_VALUE"""),0.6145833333333334)</f>
        <v>0.6145833333</v>
      </c>
      <c r="I14" s="58">
        <f>IFERROR(__xludf.DUMMYFUNCTION("""COMPUTED_VALUE"""),43774.0)</f>
        <v>43774</v>
      </c>
      <c r="J14" s="60">
        <f>IFERROR(__xludf.DUMMYFUNCTION("""COMPUTED_VALUE"""),0.6284722222222222)</f>
        <v>0.6284722222</v>
      </c>
      <c r="K14" s="60">
        <f t="shared" si="1"/>
        <v>0.01388888889</v>
      </c>
      <c r="L14" s="51" t="s">
        <v>111</v>
      </c>
      <c r="M14" s="87" t="s">
        <v>793</v>
      </c>
      <c r="N14" s="62" t="str">
        <f t="shared" si="2"/>
        <v>VT_5_12_03db29c5-bb66-4c68-ba88-726280dd5d62_000000_000000.mp4</v>
      </c>
      <c r="O14" s="50"/>
      <c r="P14" s="50"/>
      <c r="Q14" s="63"/>
      <c r="R14" s="51"/>
      <c r="S14" s="51"/>
      <c r="T14" s="51"/>
    </row>
    <row r="15">
      <c r="A15" s="51" t="str">
        <f>IFERROR(__xludf.DUMMYFUNCTION("""COMPUTED_VALUE"""),"Making it better: Good disruptions")</f>
        <v>Making it better: Good disruptions</v>
      </c>
      <c r="B15" s="51" t="str">
        <f>IFERROR(__xludf.DUMMYFUNCTION("""COMPUTED_VALUE"""),"Venture stage")</f>
        <v>Venture stage</v>
      </c>
      <c r="C15" s="56" t="str">
        <f>IFERROR(__xludf.DUMMYFUNCTION("""COMPUTED_VALUE"""),"Saul Klein, Christian Nagel, Jalak Jobanputra, Marcelo de Andrade and Caleb Silver")</f>
        <v>Saul Klein, Christian Nagel, Jalak Jobanputra, Marcelo de Andrade and Caleb Silver</v>
      </c>
      <c r="D15" s="51" t="str">
        <f>IFERROR(__xludf.DUMMYFUNCTION("""COMPUTED_VALUE"""),"2019/11/05 15:05:00")</f>
        <v>2019/11/05 15:05:00</v>
      </c>
      <c r="E15" s="51" t="str">
        <f>IFERROR(__xludf.DUMMYFUNCTION("""COMPUTED_VALUE"""),"2019/11/05 15:30:00")</f>
        <v>2019/11/05 15:30:00</v>
      </c>
      <c r="F15" s="51" t="str">
        <f>IFERROR(__xludf.DUMMYFUNCTION("""COMPUTED_VALUE"""),"072c453e-222b-4754-bf9a-7acbfc6777da")</f>
        <v>072c453e-222b-4754-bf9a-7acbfc6777da</v>
      </c>
      <c r="G15" s="58">
        <f>IFERROR(__xludf.DUMMYFUNCTION("""COMPUTED_VALUE"""),43774.0)</f>
        <v>43774</v>
      </c>
      <c r="H15" s="60">
        <f>IFERROR(__xludf.DUMMYFUNCTION("""COMPUTED_VALUE"""),0.6284722222222222)</f>
        <v>0.6284722222</v>
      </c>
      <c r="I15" s="58">
        <f>IFERROR(__xludf.DUMMYFUNCTION("""COMPUTED_VALUE"""),43774.0)</f>
        <v>43774</v>
      </c>
      <c r="J15" s="60">
        <f>IFERROR(__xludf.DUMMYFUNCTION("""COMPUTED_VALUE"""),0.6458333333333334)</f>
        <v>0.6458333333</v>
      </c>
      <c r="K15" s="60">
        <f t="shared" si="1"/>
        <v>0.01736111111</v>
      </c>
      <c r="L15" s="51" t="s">
        <v>107</v>
      </c>
      <c r="M15" s="87" t="s">
        <v>794</v>
      </c>
      <c r="N15" s="62" t="str">
        <f t="shared" si="2"/>
        <v>VT_5_13_072c453e-222b-4754-bf9a-7acbfc6777da_000000_000000.mp4</v>
      </c>
      <c r="O15" s="50"/>
      <c r="P15" s="50"/>
      <c r="Q15" s="63"/>
      <c r="R15" s="51"/>
      <c r="S15" s="51"/>
      <c r="T15" s="51"/>
    </row>
    <row r="16">
      <c r="A16" s="51" t="str">
        <f>IFERROR(__xludf.DUMMYFUNCTION("""COMPUTED_VALUE"""),"Banking on it: Why fintech is more than a safe bet")</f>
        <v>Banking on it: Why fintech is more than a safe bet</v>
      </c>
      <c r="B16" s="51" t="str">
        <f>IFERROR(__xludf.DUMMYFUNCTION("""COMPUTED_VALUE"""),"Venture stage")</f>
        <v>Venture stage</v>
      </c>
      <c r="C16" s="56" t="str">
        <f>IFERROR(__xludf.DUMMYFUNCTION("""COMPUTED_VALUE"""),"Michael Schlein, Donatella Callegaris and Callum Burroughs")</f>
        <v>Michael Schlein, Donatella Callegaris and Callum Burroughs</v>
      </c>
      <c r="D16" s="51" t="str">
        <f>IFERROR(__xludf.DUMMYFUNCTION("""COMPUTED_VALUE"""),"2019/11/05 15:30:00")</f>
        <v>2019/11/05 15:30:00</v>
      </c>
      <c r="E16" s="51" t="str">
        <f>IFERROR(__xludf.DUMMYFUNCTION("""COMPUTED_VALUE"""),"2019/11/05 15:50:00")</f>
        <v>2019/11/05 15:50:00</v>
      </c>
      <c r="F16" s="51" t="str">
        <f>IFERROR(__xludf.DUMMYFUNCTION("""COMPUTED_VALUE"""),"5100d185-ad11-4412-b62f-f5e2bf55b693")</f>
        <v>5100d185-ad11-4412-b62f-f5e2bf55b693</v>
      </c>
      <c r="G16" s="58">
        <f>IFERROR(__xludf.DUMMYFUNCTION("""COMPUTED_VALUE"""),43774.0)</f>
        <v>43774</v>
      </c>
      <c r="H16" s="60">
        <f>IFERROR(__xludf.DUMMYFUNCTION("""COMPUTED_VALUE"""),0.6458333333333334)</f>
        <v>0.6458333333</v>
      </c>
      <c r="I16" s="58">
        <f>IFERROR(__xludf.DUMMYFUNCTION("""COMPUTED_VALUE"""),43774.0)</f>
        <v>43774</v>
      </c>
      <c r="J16" s="60">
        <f>IFERROR(__xludf.DUMMYFUNCTION("""COMPUTED_VALUE"""),0.6597222222222222)</f>
        <v>0.6597222222</v>
      </c>
      <c r="K16" s="60">
        <f t="shared" si="1"/>
        <v>0.01388888889</v>
      </c>
      <c r="L16" s="51" t="s">
        <v>111</v>
      </c>
      <c r="M16" s="87" t="s">
        <v>796</v>
      </c>
      <c r="N16" s="62" t="str">
        <f t="shared" si="2"/>
        <v>VT_5_14_5100d185-ad11-4412-b62f-f5e2bf55b693_000000_000000.mp4</v>
      </c>
      <c r="O16" s="50"/>
      <c r="P16" s="50"/>
      <c r="Q16" s="63"/>
      <c r="R16" s="51"/>
      <c r="S16" s="51"/>
      <c r="T16" s="51"/>
    </row>
    <row r="17">
      <c r="A17" s="51" t="str">
        <f>IFERROR(__xludf.DUMMYFUNCTION("""COMPUTED_VALUE"""),"The hidden truth about European VC performance")</f>
        <v>The hidden truth about European VC performance</v>
      </c>
      <c r="B17" s="51" t="str">
        <f>IFERROR(__xludf.DUMMYFUNCTION("""COMPUTED_VALUE"""),"Venture stage")</f>
        <v>Venture stage</v>
      </c>
      <c r="C17" s="56" t="str">
        <f>IFERROR(__xludf.DUMMYFUNCTION("""COMPUTED_VALUE"""),"Bjorn Tremmerie")</f>
        <v>Bjorn Tremmerie</v>
      </c>
      <c r="D17" s="51" t="str">
        <f>IFERROR(__xludf.DUMMYFUNCTION("""COMPUTED_VALUE"""),"2019/11/05 15:50:00")</f>
        <v>2019/11/05 15:50:00</v>
      </c>
      <c r="E17" s="51" t="str">
        <f>IFERROR(__xludf.DUMMYFUNCTION("""COMPUTED_VALUE"""),"2019/11/05 16:05:00")</f>
        <v>2019/11/05 16:05:00</v>
      </c>
      <c r="F17" s="51" t="str">
        <f>IFERROR(__xludf.DUMMYFUNCTION("""COMPUTED_VALUE"""),"a4da4df1-0ae0-42b5-acd2-1a8caf8da7a3")</f>
        <v>a4da4df1-0ae0-42b5-acd2-1a8caf8da7a3</v>
      </c>
      <c r="G17" s="58">
        <f>IFERROR(__xludf.DUMMYFUNCTION("""COMPUTED_VALUE"""),43774.0)</f>
        <v>43774</v>
      </c>
      <c r="H17" s="60">
        <f>IFERROR(__xludf.DUMMYFUNCTION("""COMPUTED_VALUE"""),0.6597222222222222)</f>
        <v>0.6597222222</v>
      </c>
      <c r="I17" s="58">
        <f>IFERROR(__xludf.DUMMYFUNCTION("""COMPUTED_VALUE"""),43774.0)</f>
        <v>43774</v>
      </c>
      <c r="J17" s="60">
        <f>IFERROR(__xludf.DUMMYFUNCTION("""COMPUTED_VALUE"""),0.6701388888888888)</f>
        <v>0.6701388889</v>
      </c>
      <c r="K17" s="60">
        <f t="shared" si="1"/>
        <v>0.01041666667</v>
      </c>
      <c r="L17" s="51" t="s">
        <v>116</v>
      </c>
      <c r="M17" s="87" t="s">
        <v>798</v>
      </c>
      <c r="N17" s="62" t="str">
        <f t="shared" si="2"/>
        <v>VT_5_15_a4da4df1-0ae0-42b5-acd2-1a8caf8da7a3_000000_000000.mp4</v>
      </c>
      <c r="O17" s="50"/>
      <c r="P17" s="50"/>
      <c r="Q17" s="63"/>
      <c r="R17" s="51"/>
      <c r="S17" s="51"/>
      <c r="T17" s="51"/>
    </row>
    <row r="18">
      <c r="A18" s="51" t="str">
        <f>IFERROR(__xludf.DUMMYFUNCTION("""COMPUTED_VALUE"""),"Opening remarks")</f>
        <v>Opening remarks</v>
      </c>
      <c r="B18" s="51" t="str">
        <f>IFERROR(__xludf.DUMMYFUNCTION("""COMPUTED_VALUE"""),"Venture stage")</f>
        <v>Venture stage</v>
      </c>
      <c r="C18" s="56" t="str">
        <f>IFERROR(__xludf.DUMMYFUNCTION("""COMPUTED_VALUE"""),"Hugo Augusto")</f>
        <v>Hugo Augusto</v>
      </c>
      <c r="D18" s="51" t="str">
        <f>IFERROR(__xludf.DUMMYFUNCTION("""COMPUTED_VALUE"""),"2019/11/06 10:30:00")</f>
        <v>2019/11/06 10:30:00</v>
      </c>
      <c r="E18" s="51" t="str">
        <f>IFERROR(__xludf.DUMMYFUNCTION("""COMPUTED_VALUE"""),"2019/11/06 10:45:00")</f>
        <v>2019/11/06 10:45:00</v>
      </c>
      <c r="F18" s="51" t="str">
        <f>IFERROR(__xludf.DUMMYFUNCTION("""COMPUTED_VALUE"""),"35e59c51-246e-4008-bbf5-1cffdb271cd0")</f>
        <v>35e59c51-246e-4008-bbf5-1cffdb271cd0</v>
      </c>
      <c r="G18" s="58">
        <f>IFERROR(__xludf.DUMMYFUNCTION("""COMPUTED_VALUE"""),43775.0)</f>
        <v>43775</v>
      </c>
      <c r="H18" s="60">
        <f>IFERROR(__xludf.DUMMYFUNCTION("""COMPUTED_VALUE"""),0.4375)</f>
        <v>0.4375</v>
      </c>
      <c r="I18" s="58">
        <f>IFERROR(__xludf.DUMMYFUNCTION("""COMPUTED_VALUE"""),43775.0)</f>
        <v>43775</v>
      </c>
      <c r="J18" s="60">
        <f>IFERROR(__xludf.DUMMYFUNCTION("""COMPUTED_VALUE"""),0.4479166666666667)</f>
        <v>0.4479166667</v>
      </c>
      <c r="K18" s="60">
        <f t="shared" si="1"/>
        <v>0.01041666667</v>
      </c>
      <c r="L18" s="51" t="s">
        <v>116</v>
      </c>
      <c r="M18" s="87" t="s">
        <v>800</v>
      </c>
      <c r="N18" s="62" t="str">
        <f t="shared" si="2"/>
        <v>VT_6_1_35e59c51-246e-4008-bbf5-1cffdb271cd0_000000_000000.mp4</v>
      </c>
      <c r="O18" s="50"/>
      <c r="P18" s="50"/>
      <c r="Q18" s="63"/>
      <c r="R18" s="51"/>
      <c r="S18" s="51"/>
      <c r="T18" s="51"/>
    </row>
    <row r="19">
      <c r="A19" s="51" t="str">
        <f>IFERROR(__xludf.DUMMYFUNCTION("""COMPUTED_VALUE"""),"Nail it before you scale it")</f>
        <v>Nail it before you scale it</v>
      </c>
      <c r="B19" s="51" t="str">
        <f>IFERROR(__xludf.DUMMYFUNCTION("""COMPUTED_VALUE"""),"Venture stage")</f>
        <v>Venture stage</v>
      </c>
      <c r="C19" s="56" t="str">
        <f>IFERROR(__xludf.DUMMYFUNCTION("""COMPUTED_VALUE"""),"George Henry, Anton Waitz, Ricardo Sequerra and Karen McCormick")</f>
        <v>George Henry, Anton Waitz, Ricardo Sequerra and Karen McCormick</v>
      </c>
      <c r="D19" s="51" t="str">
        <f>IFERROR(__xludf.DUMMYFUNCTION("""COMPUTED_VALUE"""),"2019/11/06 10:45:00")</f>
        <v>2019/11/06 10:45:00</v>
      </c>
      <c r="E19" s="51" t="str">
        <f>IFERROR(__xludf.DUMMYFUNCTION("""COMPUTED_VALUE"""),"2019/11/06 11:05:00")</f>
        <v>2019/11/06 11:05:00</v>
      </c>
      <c r="F19" s="51" t="str">
        <f>IFERROR(__xludf.DUMMYFUNCTION("""COMPUTED_VALUE"""),"d28a2173-86b5-4962-9040-6b00522abdf3")</f>
        <v>d28a2173-86b5-4962-9040-6b00522abdf3</v>
      </c>
      <c r="G19" s="58">
        <f>IFERROR(__xludf.DUMMYFUNCTION("""COMPUTED_VALUE"""),43775.0)</f>
        <v>43775</v>
      </c>
      <c r="H19" s="60">
        <f>IFERROR(__xludf.DUMMYFUNCTION("""COMPUTED_VALUE"""),0.4479166666666667)</f>
        <v>0.4479166667</v>
      </c>
      <c r="I19" s="58">
        <f>IFERROR(__xludf.DUMMYFUNCTION("""COMPUTED_VALUE"""),43775.0)</f>
        <v>43775</v>
      </c>
      <c r="J19" s="60">
        <f>IFERROR(__xludf.DUMMYFUNCTION("""COMPUTED_VALUE"""),0.4618055555555556)</f>
        <v>0.4618055556</v>
      </c>
      <c r="K19" s="60">
        <f t="shared" si="1"/>
        <v>0.01388888889</v>
      </c>
      <c r="L19" s="51" t="s">
        <v>111</v>
      </c>
      <c r="M19" s="87" t="s">
        <v>802</v>
      </c>
      <c r="N19" s="62" t="str">
        <f t="shared" si="2"/>
        <v>VT_6_2_d28a2173-86b5-4962-9040-6b00522abdf3_000000_000000.mp4</v>
      </c>
      <c r="O19" s="50"/>
      <c r="P19" s="50"/>
      <c r="Q19" s="63"/>
      <c r="R19" s="51"/>
      <c r="S19" s="51"/>
      <c r="T19" s="51"/>
    </row>
    <row r="20">
      <c r="A20" s="51" t="str">
        <f>IFERROR(__xludf.DUMMYFUNCTION("""COMPUTED_VALUE"""),"User friendly opportunities in enterprise technology")</f>
        <v>User friendly opportunities in enterprise technology</v>
      </c>
      <c r="B20" s="51" t="str">
        <f>IFERROR(__xludf.DUMMYFUNCTION("""COMPUTED_VALUE"""),"Venture stage")</f>
        <v>Venture stage</v>
      </c>
      <c r="C20" s="56" t="str">
        <f>IFERROR(__xludf.DUMMYFUNCTION("""COMPUTED_VALUE"""),"Alex Kayyal, Reza Malekzadeh, Jai Das and Alara Basul")</f>
        <v>Alex Kayyal, Reza Malekzadeh, Jai Das and Alara Basul</v>
      </c>
      <c r="D20" s="51" t="str">
        <f>IFERROR(__xludf.DUMMYFUNCTION("""COMPUTED_VALUE"""),"2019/11/06 11:05:00")</f>
        <v>2019/11/06 11:05:00</v>
      </c>
      <c r="E20" s="51" t="str">
        <f>IFERROR(__xludf.DUMMYFUNCTION("""COMPUTED_VALUE"""),"2019/11/06 11:25:00")</f>
        <v>2019/11/06 11:25:00</v>
      </c>
      <c r="F20" s="51" t="str">
        <f>IFERROR(__xludf.DUMMYFUNCTION("""COMPUTED_VALUE"""),"9f9840c1-3115-4c10-9cb0-f2e7ee15f39b")</f>
        <v>9f9840c1-3115-4c10-9cb0-f2e7ee15f39b</v>
      </c>
      <c r="G20" s="58">
        <f>IFERROR(__xludf.DUMMYFUNCTION("""COMPUTED_VALUE"""),43775.0)</f>
        <v>43775</v>
      </c>
      <c r="H20" s="60">
        <f>IFERROR(__xludf.DUMMYFUNCTION("""COMPUTED_VALUE"""),0.4618055555555556)</f>
        <v>0.4618055556</v>
      </c>
      <c r="I20" s="58">
        <f>IFERROR(__xludf.DUMMYFUNCTION("""COMPUTED_VALUE"""),43775.0)</f>
        <v>43775</v>
      </c>
      <c r="J20" s="60">
        <f>IFERROR(__xludf.DUMMYFUNCTION("""COMPUTED_VALUE"""),0.4756944444444444)</f>
        <v>0.4756944444</v>
      </c>
      <c r="K20" s="60">
        <f t="shared" si="1"/>
        <v>0.01388888889</v>
      </c>
      <c r="L20" s="51" t="s">
        <v>111</v>
      </c>
      <c r="M20" s="87" t="s">
        <v>804</v>
      </c>
      <c r="N20" s="62" t="str">
        <f t="shared" si="2"/>
        <v>VT_6_3_9f9840c1-3115-4c10-9cb0-f2e7ee15f39b_000000_000000.mp4</v>
      </c>
      <c r="O20" s="50"/>
      <c r="P20" s="50"/>
      <c r="Q20" s="63"/>
      <c r="R20" s="51"/>
      <c r="S20" s="51"/>
      <c r="T20" s="51"/>
    </row>
    <row r="21">
      <c r="A21" s="51" t="str">
        <f>IFERROR(__xludf.DUMMYFUNCTION("""COMPUTED_VALUE"""),"Building and funding your first idea")</f>
        <v>Building and funding your first idea</v>
      </c>
      <c r="B21" s="51" t="str">
        <f>IFERROR(__xludf.DUMMYFUNCTION("""COMPUTED_VALUE"""),"Venture stage")</f>
        <v>Venture stage</v>
      </c>
      <c r="C21" s="56" t="str">
        <f>IFERROR(__xludf.DUMMYFUNCTION("""COMPUTED_VALUE"""),"Hussein Kanji, Nic Brisbourne, Francesca Warner and Britta Muzyk-Tikovsky")</f>
        <v>Hussein Kanji, Nic Brisbourne, Francesca Warner and Britta Muzyk-Tikovsky</v>
      </c>
      <c r="D21" s="51" t="str">
        <f>IFERROR(__xludf.DUMMYFUNCTION("""COMPUTED_VALUE"""),"2019/11/06 11:25:00")</f>
        <v>2019/11/06 11:25:00</v>
      </c>
      <c r="E21" s="51" t="str">
        <f>IFERROR(__xludf.DUMMYFUNCTION("""COMPUTED_VALUE"""),"2019/11/06 11:45:00")</f>
        <v>2019/11/06 11:45:00</v>
      </c>
      <c r="F21" s="51" t="str">
        <f>IFERROR(__xludf.DUMMYFUNCTION("""COMPUTED_VALUE"""),"016337c4-5fff-43e8-97b4-b781e3bd9939")</f>
        <v>016337c4-5fff-43e8-97b4-b781e3bd9939</v>
      </c>
      <c r="G21" s="58">
        <f>IFERROR(__xludf.DUMMYFUNCTION("""COMPUTED_VALUE"""),43775.0)</f>
        <v>43775</v>
      </c>
      <c r="H21" s="60">
        <f>IFERROR(__xludf.DUMMYFUNCTION("""COMPUTED_VALUE"""),0.4756944444444444)</f>
        <v>0.4756944444</v>
      </c>
      <c r="I21" s="58">
        <f>IFERROR(__xludf.DUMMYFUNCTION("""COMPUTED_VALUE"""),43775.0)</f>
        <v>43775</v>
      </c>
      <c r="J21" s="60">
        <f>IFERROR(__xludf.DUMMYFUNCTION("""COMPUTED_VALUE"""),0.4895833333333333)</f>
        <v>0.4895833333</v>
      </c>
      <c r="K21" s="60">
        <f t="shared" si="1"/>
        <v>0.01388888889</v>
      </c>
      <c r="L21" s="51" t="s">
        <v>111</v>
      </c>
      <c r="M21" s="87" t="s">
        <v>806</v>
      </c>
      <c r="N21" s="62" t="str">
        <f t="shared" si="2"/>
        <v>VT_6_4_016337c4-5fff-43e8-97b4-b781e3bd9939_000000_000000.mp4</v>
      </c>
      <c r="O21" s="50"/>
      <c r="P21" s="50"/>
      <c r="Q21" s="63"/>
      <c r="R21" s="51"/>
      <c r="S21" s="51"/>
      <c r="T21" s="51"/>
    </row>
    <row r="22">
      <c r="A22" s="51" t="str">
        <f>IFERROR(__xludf.DUMMYFUNCTION("""COMPUTED_VALUE"""),"Growing pains: How to scale your team")</f>
        <v>Growing pains: How to scale your team</v>
      </c>
      <c r="B22" s="51" t="str">
        <f>IFERROR(__xludf.DUMMYFUNCTION("""COMPUTED_VALUE"""),"Venture stage")</f>
        <v>Venture stage</v>
      </c>
      <c r="C22" s="56" t="str">
        <f>IFERROR(__xludf.DUMMYFUNCTION("""COMPUTED_VALUE"""),"Jens Lapinski, Jon Soberg, Gerald Parloiu and Jordan French")</f>
        <v>Jens Lapinski, Jon Soberg, Gerald Parloiu and Jordan French</v>
      </c>
      <c r="D22" s="51" t="str">
        <f>IFERROR(__xludf.DUMMYFUNCTION("""COMPUTED_VALUE"""),"2019/11/06 11:45:00")</f>
        <v>2019/11/06 11:45:00</v>
      </c>
      <c r="E22" s="51" t="str">
        <f>IFERROR(__xludf.DUMMYFUNCTION("""COMPUTED_VALUE"""),"2019/11/06 12:10:00")</f>
        <v>2019/11/06 12:10:00</v>
      </c>
      <c r="F22" s="51" t="str">
        <f>IFERROR(__xludf.DUMMYFUNCTION("""COMPUTED_VALUE"""),"78db2eae-9679-4795-9105-0da38b83f2c6")</f>
        <v>78db2eae-9679-4795-9105-0da38b83f2c6</v>
      </c>
      <c r="G22" s="58">
        <f>IFERROR(__xludf.DUMMYFUNCTION("""COMPUTED_VALUE"""),43775.0)</f>
        <v>43775</v>
      </c>
      <c r="H22" s="60">
        <f>IFERROR(__xludf.DUMMYFUNCTION("""COMPUTED_VALUE"""),0.4895833333333333)</f>
        <v>0.4895833333</v>
      </c>
      <c r="I22" s="58">
        <f>IFERROR(__xludf.DUMMYFUNCTION("""COMPUTED_VALUE"""),43775.0)</f>
        <v>43775</v>
      </c>
      <c r="J22" s="60">
        <f>IFERROR(__xludf.DUMMYFUNCTION("""COMPUTED_VALUE"""),0.5069444444444444)</f>
        <v>0.5069444444</v>
      </c>
      <c r="K22" s="60">
        <f t="shared" si="1"/>
        <v>0.01736111111</v>
      </c>
      <c r="L22" s="51" t="s">
        <v>107</v>
      </c>
      <c r="M22" s="87" t="s">
        <v>808</v>
      </c>
      <c r="N22" s="62" t="str">
        <f t="shared" si="2"/>
        <v>VT_6_5_78db2eae-9679-4795-9105-0da38b83f2c6_000000_000000.mp4</v>
      </c>
      <c r="O22" s="50"/>
      <c r="P22" s="50"/>
      <c r="Q22" s="63"/>
      <c r="R22" s="51"/>
      <c r="S22" s="51"/>
      <c r="T22" s="51"/>
    </row>
    <row r="23">
      <c r="A23" s="51" t="str">
        <f>IFERROR(__xludf.DUMMYFUNCTION("""COMPUTED_VALUE"""),"Adventures in cannabusiness")</f>
        <v>Adventures in cannabusiness</v>
      </c>
      <c r="B23" s="51" t="str">
        <f>IFERROR(__xludf.DUMMYFUNCTION("""COMPUTED_VALUE"""),"Venture stage")</f>
        <v>Venture stage</v>
      </c>
      <c r="C23" s="56" t="str">
        <f>IFERROR(__xludf.DUMMYFUNCTION("""COMPUTED_VALUE"""),"Tahira Rehmatullah, Emily Paxhia and Anne Gaviola")</f>
        <v>Tahira Rehmatullah, Emily Paxhia and Anne Gaviola</v>
      </c>
      <c r="D23" s="51" t="str">
        <f>IFERROR(__xludf.DUMMYFUNCTION("""COMPUTED_VALUE"""),"2019/11/06 12:10:00")</f>
        <v>2019/11/06 12:10:00</v>
      </c>
      <c r="E23" s="51" t="str">
        <f>IFERROR(__xludf.DUMMYFUNCTION("""COMPUTED_VALUE"""),"2019/11/06 12:30:00")</f>
        <v>2019/11/06 12:30:00</v>
      </c>
      <c r="F23" s="51" t="str">
        <f>IFERROR(__xludf.DUMMYFUNCTION("""COMPUTED_VALUE"""),"827d821c-6e8c-472f-b249-c315432ad50e")</f>
        <v>827d821c-6e8c-472f-b249-c315432ad50e</v>
      </c>
      <c r="G23" s="58">
        <f>IFERROR(__xludf.DUMMYFUNCTION("""COMPUTED_VALUE"""),43775.0)</f>
        <v>43775</v>
      </c>
      <c r="H23" s="60">
        <f>IFERROR(__xludf.DUMMYFUNCTION("""COMPUTED_VALUE"""),0.5069444444444444)</f>
        <v>0.5069444444</v>
      </c>
      <c r="I23" s="58">
        <f>IFERROR(__xludf.DUMMYFUNCTION("""COMPUTED_VALUE"""),43775.0)</f>
        <v>43775</v>
      </c>
      <c r="J23" s="60">
        <f>IFERROR(__xludf.DUMMYFUNCTION("""COMPUTED_VALUE"""),0.5208333333333334)</f>
        <v>0.5208333333</v>
      </c>
      <c r="K23" s="60">
        <f t="shared" si="1"/>
        <v>0.01388888889</v>
      </c>
      <c r="L23" s="51" t="s">
        <v>111</v>
      </c>
      <c r="M23" s="87" t="s">
        <v>810</v>
      </c>
      <c r="N23" s="62" t="str">
        <f t="shared" si="2"/>
        <v>VT_6_6_827d821c-6e8c-472f-b249-c315432ad50e_000000_000000.mp4</v>
      </c>
      <c r="O23" s="50"/>
      <c r="P23" s="50"/>
      <c r="Q23" s="63"/>
      <c r="R23" s="51"/>
      <c r="S23" s="51"/>
      <c r="T23" s="51"/>
    </row>
    <row r="24">
      <c r="A24" s="51" t="str">
        <f>IFERROR(__xludf.DUMMYFUNCTION("""COMPUTED_VALUE"""),"The perks of getting in early")</f>
        <v>The perks of getting in early</v>
      </c>
      <c r="B24" s="51" t="str">
        <f>IFERROR(__xludf.DUMMYFUNCTION("""COMPUTED_VALUE"""),"Venture stage")</f>
        <v>Venture stage</v>
      </c>
      <c r="C24" s="56" t="str">
        <f>IFERROR(__xludf.DUMMYFUNCTION("""COMPUTED_VALUE"""),"Pär-Jörgen Pärson and Arnaud Bonzom")</f>
        <v>Pär-Jörgen Pärson and Arnaud Bonzom</v>
      </c>
      <c r="D24" s="51" t="str">
        <f>IFERROR(__xludf.DUMMYFUNCTION("""COMPUTED_VALUE"""),"2019/11/06 12:30:00")</f>
        <v>2019/11/06 12:30:00</v>
      </c>
      <c r="E24" s="51" t="str">
        <f>IFERROR(__xludf.DUMMYFUNCTION("""COMPUTED_VALUE"""),"2019/11/06 12:50:00")</f>
        <v>2019/11/06 12:50:00</v>
      </c>
      <c r="F24" s="51" t="str">
        <f>IFERROR(__xludf.DUMMYFUNCTION("""COMPUTED_VALUE"""),"af7641e2-1749-45fe-bb8b-1a3f6220dfc7")</f>
        <v>af7641e2-1749-45fe-bb8b-1a3f6220dfc7</v>
      </c>
      <c r="G24" s="58">
        <f>IFERROR(__xludf.DUMMYFUNCTION("""COMPUTED_VALUE"""),43775.0)</f>
        <v>43775</v>
      </c>
      <c r="H24" s="60">
        <f>IFERROR(__xludf.DUMMYFUNCTION("""COMPUTED_VALUE"""),0.5208333333333334)</f>
        <v>0.5208333333</v>
      </c>
      <c r="I24" s="58">
        <f>IFERROR(__xludf.DUMMYFUNCTION("""COMPUTED_VALUE"""),43775.0)</f>
        <v>43775</v>
      </c>
      <c r="J24" s="60">
        <f>IFERROR(__xludf.DUMMYFUNCTION("""COMPUTED_VALUE"""),0.5347222222222222)</f>
        <v>0.5347222222</v>
      </c>
      <c r="K24" s="60">
        <f t="shared" si="1"/>
        <v>0.01388888889</v>
      </c>
      <c r="L24" s="51" t="s">
        <v>111</v>
      </c>
      <c r="M24" s="87" t="s">
        <v>812</v>
      </c>
      <c r="N24" s="62" t="str">
        <f t="shared" si="2"/>
        <v>VT_6_7_af7641e2-1749-45fe-bb8b-1a3f6220dfc7_000000_000000.mp4</v>
      </c>
      <c r="O24" s="50"/>
      <c r="P24" s="50"/>
      <c r="Q24" s="63"/>
      <c r="R24" s="51"/>
      <c r="S24" s="51"/>
      <c r="T24" s="51"/>
    </row>
    <row r="25">
      <c r="A25" s="51" t="str">
        <f>IFERROR(__xludf.DUMMYFUNCTION("""COMPUTED_VALUE"""),"Lunch break")</f>
        <v>Lunch break</v>
      </c>
      <c r="B25" s="51" t="str">
        <f>IFERROR(__xludf.DUMMYFUNCTION("""COMPUTED_VALUE"""),"Venture stage")</f>
        <v>Venture stage</v>
      </c>
      <c r="C25" s="56" t="str">
        <f>IFERROR(__xludf.DUMMYFUNCTION("""COMPUTED_VALUE"""),"")</f>
        <v/>
      </c>
      <c r="D25" s="51" t="str">
        <f>IFERROR(__xludf.DUMMYFUNCTION("""COMPUTED_VALUE"""),"2019/11/06 12:50:00")</f>
        <v>2019/11/06 12:50:00</v>
      </c>
      <c r="E25" s="51" t="str">
        <f>IFERROR(__xludf.DUMMYFUNCTION("""COMPUTED_VALUE"""),"2019/11/06 13:35:00")</f>
        <v>2019/11/06 13:35:00</v>
      </c>
      <c r="F25" s="51" t="str">
        <f>IFERROR(__xludf.DUMMYFUNCTION("""COMPUTED_VALUE"""),"a730444c-ce1e-47d8-8335-ab2458f25d2e")</f>
        <v>a730444c-ce1e-47d8-8335-ab2458f25d2e</v>
      </c>
      <c r="G25" s="58">
        <f>IFERROR(__xludf.DUMMYFUNCTION("""COMPUTED_VALUE"""),43775.0)</f>
        <v>43775</v>
      </c>
      <c r="H25" s="60">
        <f>IFERROR(__xludf.DUMMYFUNCTION("""COMPUTED_VALUE"""),0.5347222222222222)</f>
        <v>0.5347222222</v>
      </c>
      <c r="I25" s="58">
        <f>IFERROR(__xludf.DUMMYFUNCTION("""COMPUTED_VALUE"""),43775.0)</f>
        <v>43775</v>
      </c>
      <c r="J25" s="60">
        <f>IFERROR(__xludf.DUMMYFUNCTION("""COMPUTED_VALUE"""),0.5659722222222222)</f>
        <v>0.5659722222</v>
      </c>
      <c r="K25" s="60">
        <f t="shared" si="1"/>
        <v>0.03125</v>
      </c>
      <c r="L25" s="51" t="s">
        <v>131</v>
      </c>
      <c r="M25" s="51"/>
      <c r="N25" s="62" t="str">
        <f t="shared" si="2"/>
        <v>_a730444c-ce1e-47d8-8335-ab2458f25d2e_000000_000000.mp4</v>
      </c>
      <c r="O25" s="50"/>
      <c r="P25" s="50"/>
      <c r="Q25" s="63"/>
      <c r="R25" s="51"/>
      <c r="S25" s="51"/>
      <c r="T25" s="51"/>
    </row>
    <row r="26">
      <c r="A26" s="51" t="str">
        <f>IFERROR(__xludf.DUMMYFUNCTION("""COMPUTED_VALUE"""),"Opening remarks")</f>
        <v>Opening remarks</v>
      </c>
      <c r="B26" s="51" t="str">
        <f>IFERROR(__xludf.DUMMYFUNCTION("""COMPUTED_VALUE"""),"Venture stage")</f>
        <v>Venture stage</v>
      </c>
      <c r="C26" s="56" t="str">
        <f>IFERROR(__xludf.DUMMYFUNCTION("""COMPUTED_VALUE"""),"Yamilette Cano")</f>
        <v>Yamilette Cano</v>
      </c>
      <c r="D26" s="51" t="str">
        <f>IFERROR(__xludf.DUMMYFUNCTION("""COMPUTED_VALUE"""),"2019/11/06 13:35:00")</f>
        <v>2019/11/06 13:35:00</v>
      </c>
      <c r="E26" s="51" t="str">
        <f>IFERROR(__xludf.DUMMYFUNCTION("""COMPUTED_VALUE"""),"2019/11/06 13:45:00")</f>
        <v>2019/11/06 13:45:00</v>
      </c>
      <c r="F26" s="51" t="str">
        <f>IFERROR(__xludf.DUMMYFUNCTION("""COMPUTED_VALUE"""),"52f8302a-b9fc-4eab-bc24-3bfcd49e430d")</f>
        <v>52f8302a-b9fc-4eab-bc24-3bfcd49e430d</v>
      </c>
      <c r="G26" s="58">
        <f>IFERROR(__xludf.DUMMYFUNCTION("""COMPUTED_VALUE"""),43775.0)</f>
        <v>43775</v>
      </c>
      <c r="H26" s="60">
        <f>IFERROR(__xludf.DUMMYFUNCTION("""COMPUTED_VALUE"""),0.5659722222222222)</f>
        <v>0.5659722222</v>
      </c>
      <c r="I26" s="58">
        <f>IFERROR(__xludf.DUMMYFUNCTION("""COMPUTED_VALUE"""),43775.0)</f>
        <v>43775</v>
      </c>
      <c r="J26" s="60">
        <f>IFERROR(__xludf.DUMMYFUNCTION("""COMPUTED_VALUE"""),0.5729166666666666)</f>
        <v>0.5729166667</v>
      </c>
      <c r="K26" s="60">
        <f t="shared" si="1"/>
        <v>0.006944444444</v>
      </c>
      <c r="L26" s="51" t="s">
        <v>124</v>
      </c>
      <c r="M26" s="87" t="s">
        <v>815</v>
      </c>
      <c r="N26" s="62" t="str">
        <f t="shared" si="2"/>
        <v>VT_6_8_52f8302a-b9fc-4eab-bc24-3bfcd49e430d_000000_000000.mp4</v>
      </c>
      <c r="O26" s="50"/>
      <c r="P26" s="50"/>
      <c r="Q26" s="63"/>
      <c r="R26" s="51"/>
      <c r="S26" s="51"/>
      <c r="T26" s="51"/>
    </row>
    <row r="27">
      <c r="A27" s="51" t="str">
        <f>IFERROR(__xludf.DUMMYFUNCTION("""COMPUTED_VALUE"""),"Which tech to back tomorrow")</f>
        <v>Which tech to back tomorrow</v>
      </c>
      <c r="B27" s="51" t="str">
        <f>IFERROR(__xludf.DUMMYFUNCTION("""COMPUTED_VALUE"""),"Venture stage")</f>
        <v>Venture stage</v>
      </c>
      <c r="C27" s="56" t="str">
        <f>IFERROR(__xludf.DUMMYFUNCTION("""COMPUTED_VALUE"""),"Eric Martineau Fortin, Jose Del Barrio, Merav Weinryb, Lars Jornow and Amy Thomson")</f>
        <v>Eric Martineau Fortin, Jose Del Barrio, Merav Weinryb, Lars Jornow and Amy Thomson</v>
      </c>
      <c r="D27" s="51" t="str">
        <f>IFERROR(__xludf.DUMMYFUNCTION("""COMPUTED_VALUE"""),"2019/11/06 13:45:00")</f>
        <v>2019/11/06 13:45:00</v>
      </c>
      <c r="E27" s="51" t="str">
        <f>IFERROR(__xludf.DUMMYFUNCTION("""COMPUTED_VALUE"""),"2019/11/06 14:05:00")</f>
        <v>2019/11/06 14:05:00</v>
      </c>
      <c r="F27" s="51" t="str">
        <f>IFERROR(__xludf.DUMMYFUNCTION("""COMPUTED_VALUE"""),"801ea847-c969-49d5-adfb-95d5a10595d7")</f>
        <v>801ea847-c969-49d5-adfb-95d5a10595d7</v>
      </c>
      <c r="G27" s="58">
        <f>IFERROR(__xludf.DUMMYFUNCTION("""COMPUTED_VALUE"""),43775.0)</f>
        <v>43775</v>
      </c>
      <c r="H27" s="60">
        <f>IFERROR(__xludf.DUMMYFUNCTION("""COMPUTED_VALUE"""),0.5729166666666666)</f>
        <v>0.5729166667</v>
      </c>
      <c r="I27" s="58">
        <f>IFERROR(__xludf.DUMMYFUNCTION("""COMPUTED_VALUE"""),43775.0)</f>
        <v>43775</v>
      </c>
      <c r="J27" s="60">
        <f>IFERROR(__xludf.DUMMYFUNCTION("""COMPUTED_VALUE"""),0.5868055555555556)</f>
        <v>0.5868055556</v>
      </c>
      <c r="K27" s="60">
        <f t="shared" si="1"/>
        <v>0.01388888889</v>
      </c>
      <c r="L27" s="51" t="s">
        <v>111</v>
      </c>
      <c r="M27" s="87" t="s">
        <v>816</v>
      </c>
      <c r="N27" s="62" t="str">
        <f t="shared" si="2"/>
        <v>VT_6_9_801ea847-c969-49d5-adfb-95d5a10595d7_000000_000000.mp4</v>
      </c>
      <c r="O27" s="50"/>
      <c r="P27" s="50"/>
      <c r="Q27" s="63"/>
      <c r="R27" s="51"/>
      <c r="S27" s="51"/>
      <c r="T27" s="51"/>
    </row>
    <row r="28">
      <c r="A28" s="51" t="str">
        <f>IFERROR(__xludf.DUMMYFUNCTION("""COMPUTED_VALUE"""),"Bradley Twohig of Lightspeed in conversation")</f>
        <v>Bradley Twohig of Lightspeed in conversation</v>
      </c>
      <c r="B28" s="51" t="str">
        <f>IFERROR(__xludf.DUMMYFUNCTION("""COMPUTED_VALUE"""),"Venture stage")</f>
        <v>Venture stage</v>
      </c>
      <c r="C28" s="56" t="str">
        <f>IFERROR(__xludf.DUMMYFUNCTION("""COMPUTED_VALUE"""),"Bradley Twohig and Frank Caufield")</f>
        <v>Bradley Twohig and Frank Caufield</v>
      </c>
      <c r="D28" s="51" t="str">
        <f>IFERROR(__xludf.DUMMYFUNCTION("""COMPUTED_VALUE"""),"2019/11/06 14:05:00")</f>
        <v>2019/11/06 14:05:00</v>
      </c>
      <c r="E28" s="51" t="str">
        <f>IFERROR(__xludf.DUMMYFUNCTION("""COMPUTED_VALUE"""),"2019/11/06 14:25:00")</f>
        <v>2019/11/06 14:25:00</v>
      </c>
      <c r="F28" s="51" t="str">
        <f>IFERROR(__xludf.DUMMYFUNCTION("""COMPUTED_VALUE"""),"0d7726a8-82d4-454b-91d9-bcdd50bc23f5")</f>
        <v>0d7726a8-82d4-454b-91d9-bcdd50bc23f5</v>
      </c>
      <c r="G28" s="58">
        <f>IFERROR(__xludf.DUMMYFUNCTION("""COMPUTED_VALUE"""),43775.0)</f>
        <v>43775</v>
      </c>
      <c r="H28" s="60">
        <f>IFERROR(__xludf.DUMMYFUNCTION("""COMPUTED_VALUE"""),0.5868055555555556)</f>
        <v>0.5868055556</v>
      </c>
      <c r="I28" s="58">
        <f>IFERROR(__xludf.DUMMYFUNCTION("""COMPUTED_VALUE"""),43775.0)</f>
        <v>43775</v>
      </c>
      <c r="J28" s="60">
        <f>IFERROR(__xludf.DUMMYFUNCTION("""COMPUTED_VALUE"""),0.6006944444444444)</f>
        <v>0.6006944444</v>
      </c>
      <c r="K28" s="60">
        <f t="shared" si="1"/>
        <v>0.01388888889</v>
      </c>
      <c r="L28" s="51" t="s">
        <v>111</v>
      </c>
      <c r="M28" s="87" t="s">
        <v>818</v>
      </c>
      <c r="N28" s="62" t="str">
        <f t="shared" si="2"/>
        <v>VT_6_10_0d7726a8-82d4-454b-91d9-bcdd50bc23f5_000000_000000.mp4</v>
      </c>
      <c r="O28" s="50"/>
      <c r="P28" s="50"/>
      <c r="Q28" s="63"/>
      <c r="R28" s="51"/>
      <c r="S28" s="51"/>
      <c r="T28" s="51"/>
    </row>
    <row r="29">
      <c r="A29" s="51" t="str">
        <f>IFERROR(__xludf.DUMMYFUNCTION("""COMPUTED_VALUE"""),"The new marketplaces?")</f>
        <v>The new marketplaces?</v>
      </c>
      <c r="B29" s="51" t="str">
        <f>IFERROR(__xludf.DUMMYFUNCTION("""COMPUTED_VALUE"""),"Venture stage")</f>
        <v>Venture stage</v>
      </c>
      <c r="C29" s="56" t="str">
        <f>IFERROR(__xludf.DUMMYFUNCTION("""COMPUTED_VALUE"""),"Marlon Nichols, Fabrice Grinda and Laurel Touby")</f>
        <v>Marlon Nichols, Fabrice Grinda and Laurel Touby</v>
      </c>
      <c r="D29" s="51" t="str">
        <f>IFERROR(__xludf.DUMMYFUNCTION("""COMPUTED_VALUE"""),"2019/11/06 14:25:00")</f>
        <v>2019/11/06 14:25:00</v>
      </c>
      <c r="E29" s="51" t="str">
        <f>IFERROR(__xludf.DUMMYFUNCTION("""COMPUTED_VALUE"""),"2019/11/06 14:45:00")</f>
        <v>2019/11/06 14:45:00</v>
      </c>
      <c r="F29" s="51" t="str">
        <f>IFERROR(__xludf.DUMMYFUNCTION("""COMPUTED_VALUE"""),"1bee5c68-1665-41fb-a423-9a0849920940")</f>
        <v>1bee5c68-1665-41fb-a423-9a0849920940</v>
      </c>
      <c r="G29" s="58">
        <f>IFERROR(__xludf.DUMMYFUNCTION("""COMPUTED_VALUE"""),43775.0)</f>
        <v>43775</v>
      </c>
      <c r="H29" s="60">
        <f>IFERROR(__xludf.DUMMYFUNCTION("""COMPUTED_VALUE"""),0.6006944444444444)</f>
        <v>0.6006944444</v>
      </c>
      <c r="I29" s="58">
        <f>IFERROR(__xludf.DUMMYFUNCTION("""COMPUTED_VALUE"""),43775.0)</f>
        <v>43775</v>
      </c>
      <c r="J29" s="60">
        <f>IFERROR(__xludf.DUMMYFUNCTION("""COMPUTED_VALUE"""),0.6145833333333334)</f>
        <v>0.6145833333</v>
      </c>
      <c r="K29" s="60">
        <f t="shared" si="1"/>
        <v>0.01388888889</v>
      </c>
      <c r="L29" s="51" t="s">
        <v>111</v>
      </c>
      <c r="M29" s="87" t="s">
        <v>820</v>
      </c>
      <c r="N29" s="62" t="str">
        <f t="shared" si="2"/>
        <v>VT_6_11_1bee5c68-1665-41fb-a423-9a0849920940_000000_000000.mp4</v>
      </c>
      <c r="O29" s="50"/>
      <c r="P29" s="50"/>
      <c r="Q29" s="63"/>
      <c r="R29" s="51"/>
      <c r="S29" s="51"/>
      <c r="T29" s="51"/>
    </row>
    <row r="30">
      <c r="A30" s="51" t="str">
        <f>IFERROR(__xludf.DUMMYFUNCTION("""COMPUTED_VALUE"""),"You reap what you sow: How to seed right")</f>
        <v>You reap what you sow: How to seed right</v>
      </c>
      <c r="B30" s="51" t="str">
        <f>IFERROR(__xludf.DUMMYFUNCTION("""COMPUTED_VALUE"""),"Venture stage")</f>
        <v>Venture stage</v>
      </c>
      <c r="C30" s="56" t="str">
        <f>IFERROR(__xludf.DUMMYFUNCTION("""COMPUTED_VALUE"""),"Jonathan Tower, Bedy Yang, Javier Torremocha, Peter Pham and Ertan Can")</f>
        <v>Jonathan Tower, Bedy Yang, Javier Torremocha, Peter Pham and Ertan Can</v>
      </c>
      <c r="D30" s="51" t="str">
        <f>IFERROR(__xludf.DUMMYFUNCTION("""COMPUTED_VALUE"""),"2019/11/06 14:45:00")</f>
        <v>2019/11/06 14:45:00</v>
      </c>
      <c r="E30" s="51" t="str">
        <f>IFERROR(__xludf.DUMMYFUNCTION("""COMPUTED_VALUE"""),"2019/11/06 15:10:00")</f>
        <v>2019/11/06 15:10:00</v>
      </c>
      <c r="F30" s="51" t="str">
        <f>IFERROR(__xludf.DUMMYFUNCTION("""COMPUTED_VALUE"""),"a7862e22-f059-4a49-8a18-dc514043f73b")</f>
        <v>a7862e22-f059-4a49-8a18-dc514043f73b</v>
      </c>
      <c r="G30" s="58">
        <f>IFERROR(__xludf.DUMMYFUNCTION("""COMPUTED_VALUE"""),43775.0)</f>
        <v>43775</v>
      </c>
      <c r="H30" s="60">
        <f>IFERROR(__xludf.DUMMYFUNCTION("""COMPUTED_VALUE"""),0.6145833333333334)</f>
        <v>0.6145833333</v>
      </c>
      <c r="I30" s="58">
        <f>IFERROR(__xludf.DUMMYFUNCTION("""COMPUTED_VALUE"""),43775.0)</f>
        <v>43775</v>
      </c>
      <c r="J30" s="60">
        <f>IFERROR(__xludf.DUMMYFUNCTION("""COMPUTED_VALUE"""),0.6319444444444444)</f>
        <v>0.6319444444</v>
      </c>
      <c r="K30" s="60">
        <f t="shared" si="1"/>
        <v>0.01736111111</v>
      </c>
      <c r="L30" s="51" t="s">
        <v>107</v>
      </c>
      <c r="M30" s="87" t="s">
        <v>822</v>
      </c>
      <c r="N30" s="62" t="str">
        <f t="shared" si="2"/>
        <v>VT_6_12_a7862e22-f059-4a49-8a18-dc514043f73b_000000_000000.mp4</v>
      </c>
      <c r="O30" s="50"/>
      <c r="P30" s="50"/>
      <c r="Q30" s="63"/>
      <c r="R30" s="51"/>
      <c r="S30" s="51"/>
      <c r="T30" s="51"/>
    </row>
    <row r="31">
      <c r="A31" s="51" t="str">
        <f>IFERROR(__xludf.DUMMYFUNCTION("""COMPUTED_VALUE"""),"Cyber-scaling safely")</f>
        <v>Cyber-scaling safely</v>
      </c>
      <c r="B31" s="51" t="str">
        <f>IFERROR(__xludf.DUMMYFUNCTION("""COMPUTED_VALUE"""),"Venture stage")</f>
        <v>Venture stage</v>
      </c>
      <c r="C31" s="56" t="str">
        <f>IFERROR(__xludf.DUMMYFUNCTION("""COMPUTED_VALUE"""),"Dennis Smith, Rocio Pillado, Rashmi Gopinath, Shardul Shah and Catherine Stupp")</f>
        <v>Dennis Smith, Rocio Pillado, Rashmi Gopinath, Shardul Shah and Catherine Stupp</v>
      </c>
      <c r="D31" s="51" t="str">
        <f>IFERROR(__xludf.DUMMYFUNCTION("""COMPUTED_VALUE"""),"2019/11/06 15:10:00")</f>
        <v>2019/11/06 15:10:00</v>
      </c>
      <c r="E31" s="51" t="str">
        <f>IFERROR(__xludf.DUMMYFUNCTION("""COMPUTED_VALUE"""),"2019/11/06 15:35:00")</f>
        <v>2019/11/06 15:35:00</v>
      </c>
      <c r="F31" s="51" t="str">
        <f>IFERROR(__xludf.DUMMYFUNCTION("""COMPUTED_VALUE"""),"37b4f55e-bf37-469f-a8fa-c4d711f1fc11")</f>
        <v>37b4f55e-bf37-469f-a8fa-c4d711f1fc11</v>
      </c>
      <c r="G31" s="58">
        <f>IFERROR(__xludf.DUMMYFUNCTION("""COMPUTED_VALUE"""),43775.0)</f>
        <v>43775</v>
      </c>
      <c r="H31" s="60">
        <f>IFERROR(__xludf.DUMMYFUNCTION("""COMPUTED_VALUE"""),0.6319444444444444)</f>
        <v>0.6319444444</v>
      </c>
      <c r="I31" s="58">
        <f>IFERROR(__xludf.DUMMYFUNCTION("""COMPUTED_VALUE"""),43775.0)</f>
        <v>43775</v>
      </c>
      <c r="J31" s="60">
        <f>IFERROR(__xludf.DUMMYFUNCTION("""COMPUTED_VALUE"""),0.6493055555555556)</f>
        <v>0.6493055556</v>
      </c>
      <c r="K31" s="60">
        <f t="shared" si="1"/>
        <v>0.01736111111</v>
      </c>
      <c r="L31" s="51" t="s">
        <v>107</v>
      </c>
      <c r="M31" s="87" t="s">
        <v>823</v>
      </c>
      <c r="N31" s="62" t="str">
        <f t="shared" si="2"/>
        <v>VT_6_13_37b4f55e-bf37-469f-a8fa-c4d711f1fc11_000000_000000.mp4</v>
      </c>
      <c r="O31" s="50"/>
      <c r="P31" s="50"/>
      <c r="Q31" s="63"/>
      <c r="R31" s="51"/>
      <c r="S31" s="51"/>
      <c r="T31" s="51"/>
    </row>
    <row r="32">
      <c r="A32" s="51" t="str">
        <f>IFERROR(__xludf.DUMMYFUNCTION("""COMPUTED_VALUE"""),"Investing in mobility. Are we over the hype? ")</f>
        <v>Investing in mobility. Are we over the hype? </v>
      </c>
      <c r="B32" s="51" t="str">
        <f>IFERROR(__xludf.DUMMYFUNCTION("""COMPUTED_VALUE"""),"Venture stage")</f>
        <v>Venture stage</v>
      </c>
      <c r="C32" s="56" t="str">
        <f>IFERROR(__xludf.DUMMYFUNCTION("""COMPUTED_VALUE"""),"Olaf Sakkers, Laly David, Philipp von Hagen and Alison Griswold")</f>
        <v>Olaf Sakkers, Laly David, Philipp von Hagen and Alison Griswold</v>
      </c>
      <c r="D32" s="51" t="str">
        <f>IFERROR(__xludf.DUMMYFUNCTION("""COMPUTED_VALUE"""),"2019/11/06 15:35:00")</f>
        <v>2019/11/06 15:35:00</v>
      </c>
      <c r="E32" s="51" t="str">
        <f>IFERROR(__xludf.DUMMYFUNCTION("""COMPUTED_VALUE"""),"2019/11/06 16:00:00")</f>
        <v>2019/11/06 16:00:00</v>
      </c>
      <c r="F32" s="51" t="str">
        <f>IFERROR(__xludf.DUMMYFUNCTION("""COMPUTED_VALUE"""),"06701bcf-f18e-43b0-a03a-d05f9d3c065f")</f>
        <v>06701bcf-f18e-43b0-a03a-d05f9d3c065f</v>
      </c>
      <c r="G32" s="58">
        <f>IFERROR(__xludf.DUMMYFUNCTION("""COMPUTED_VALUE"""),43775.0)</f>
        <v>43775</v>
      </c>
      <c r="H32" s="60">
        <f>IFERROR(__xludf.DUMMYFUNCTION("""COMPUTED_VALUE"""),0.6493055555555556)</f>
        <v>0.6493055556</v>
      </c>
      <c r="I32" s="58">
        <f>IFERROR(__xludf.DUMMYFUNCTION("""COMPUTED_VALUE"""),43775.0)</f>
        <v>43775</v>
      </c>
      <c r="J32" s="60">
        <f>IFERROR(__xludf.DUMMYFUNCTION("""COMPUTED_VALUE"""),0.6666666666666666)</f>
        <v>0.6666666667</v>
      </c>
      <c r="K32" s="60">
        <f t="shared" si="1"/>
        <v>0.01736111111</v>
      </c>
      <c r="L32" s="51" t="s">
        <v>107</v>
      </c>
      <c r="M32" s="87" t="s">
        <v>824</v>
      </c>
      <c r="N32" s="62" t="str">
        <f t="shared" si="2"/>
        <v>VT_6_14_06701bcf-f18e-43b0-a03a-d05f9d3c065f_000000_000000.mp4</v>
      </c>
      <c r="O32" s="50"/>
      <c r="P32" s="50"/>
      <c r="Q32" s="63"/>
      <c r="R32" s="51"/>
      <c r="S32" s="51"/>
      <c r="T32" s="51"/>
    </row>
    <row r="33">
      <c r="A33" s="51" t="str">
        <f>IFERROR(__xludf.DUMMYFUNCTION("""COMPUTED_VALUE"""),"Opening remarks")</f>
        <v>Opening remarks</v>
      </c>
      <c r="B33" s="51" t="str">
        <f>IFERROR(__xludf.DUMMYFUNCTION("""COMPUTED_VALUE"""),"Venture stage")</f>
        <v>Venture stage</v>
      </c>
      <c r="C33" s="56" t="str">
        <f>IFERROR(__xludf.DUMMYFUNCTION("""COMPUTED_VALUE"""),"David Kelnar")</f>
        <v>David Kelnar</v>
      </c>
      <c r="D33" s="51" t="str">
        <f>IFERROR(__xludf.DUMMYFUNCTION("""COMPUTED_VALUE"""),"2019/11/07 10:30:00")</f>
        <v>2019/11/07 10:30:00</v>
      </c>
      <c r="E33" s="51" t="str">
        <f>IFERROR(__xludf.DUMMYFUNCTION("""COMPUTED_VALUE"""),"2019/11/07 10:45:00")</f>
        <v>2019/11/07 10:45:00</v>
      </c>
      <c r="F33" s="51" t="str">
        <f>IFERROR(__xludf.DUMMYFUNCTION("""COMPUTED_VALUE"""),"a08b6371-e0da-4b86-aaa9-1ada21e477a3")</f>
        <v>a08b6371-e0da-4b86-aaa9-1ada21e477a3</v>
      </c>
      <c r="G33" s="58">
        <f>IFERROR(__xludf.DUMMYFUNCTION("""COMPUTED_VALUE"""),43776.0)</f>
        <v>43776</v>
      </c>
      <c r="H33" s="60">
        <f>IFERROR(__xludf.DUMMYFUNCTION("""COMPUTED_VALUE"""),0.4375)</f>
        <v>0.4375</v>
      </c>
      <c r="I33" s="58">
        <f>IFERROR(__xludf.DUMMYFUNCTION("""COMPUTED_VALUE"""),43776.0)</f>
        <v>43776</v>
      </c>
      <c r="J33" s="60">
        <f>IFERROR(__xludf.DUMMYFUNCTION("""COMPUTED_VALUE"""),0.4479166666666667)</f>
        <v>0.4479166667</v>
      </c>
      <c r="K33" s="60">
        <f t="shared" si="1"/>
        <v>0.01041666667</v>
      </c>
      <c r="L33" s="51" t="s">
        <v>116</v>
      </c>
      <c r="M33" s="87" t="s">
        <v>826</v>
      </c>
      <c r="N33" s="62" t="str">
        <f t="shared" si="2"/>
        <v>VT_7_1_a08b6371-e0da-4b86-aaa9-1ada21e477a3_000000_000000.mp4</v>
      </c>
      <c r="O33" s="50"/>
      <c r="P33" s="50"/>
      <c r="Q33" s="63"/>
      <c r="R33" s="51"/>
      <c r="S33" s="51"/>
      <c r="T33" s="51"/>
    </row>
    <row r="34">
      <c r="A34" s="51" t="str">
        <f>IFERROR(__xludf.DUMMYFUNCTION("""COMPUTED_VALUE"""),"Werner Hoyer of the European Investment Bank in conversation")</f>
        <v>Werner Hoyer of the European Investment Bank in conversation</v>
      </c>
      <c r="B34" s="51" t="str">
        <f>IFERROR(__xludf.DUMMYFUNCTION("""COMPUTED_VALUE"""),"Venture stage")</f>
        <v>Venture stage</v>
      </c>
      <c r="C34" s="56" t="str">
        <f>IFERROR(__xludf.DUMMYFUNCTION("""COMPUTED_VALUE"""),"Werner Hoyer and Felix Holtermann")</f>
        <v>Werner Hoyer and Felix Holtermann</v>
      </c>
      <c r="D34" s="51" t="str">
        <f>IFERROR(__xludf.DUMMYFUNCTION("""COMPUTED_VALUE"""),"2019/11/07 10:45:00")</f>
        <v>2019/11/07 10:45:00</v>
      </c>
      <c r="E34" s="51" t="str">
        <f>IFERROR(__xludf.DUMMYFUNCTION("""COMPUTED_VALUE"""),"2019/11/07 11:10:00")</f>
        <v>2019/11/07 11:10:00</v>
      </c>
      <c r="F34" s="51" t="str">
        <f>IFERROR(__xludf.DUMMYFUNCTION("""COMPUTED_VALUE"""),"c6f626fb-96e4-422c-b456-33d832a4c0f0")</f>
        <v>c6f626fb-96e4-422c-b456-33d832a4c0f0</v>
      </c>
      <c r="G34" s="58">
        <f>IFERROR(__xludf.DUMMYFUNCTION("""COMPUTED_VALUE"""),43776.0)</f>
        <v>43776</v>
      </c>
      <c r="H34" s="60">
        <f>IFERROR(__xludf.DUMMYFUNCTION("""COMPUTED_VALUE"""),0.4479166666666667)</f>
        <v>0.4479166667</v>
      </c>
      <c r="I34" s="58">
        <f>IFERROR(__xludf.DUMMYFUNCTION("""COMPUTED_VALUE"""),43776.0)</f>
        <v>43776</v>
      </c>
      <c r="J34" s="60">
        <f>IFERROR(__xludf.DUMMYFUNCTION("""COMPUTED_VALUE"""),0.4652777777777778)</f>
        <v>0.4652777778</v>
      </c>
      <c r="K34" s="60">
        <f t="shared" si="1"/>
        <v>0.01736111111</v>
      </c>
      <c r="L34" s="51" t="s">
        <v>107</v>
      </c>
      <c r="M34" s="87" t="s">
        <v>828</v>
      </c>
      <c r="N34" s="62" t="str">
        <f t="shared" si="2"/>
        <v>VT_7_2_c6f626fb-96e4-422c-b456-33d832a4c0f0_000000_000000.mp4</v>
      </c>
      <c r="O34" s="50"/>
      <c r="P34" s="50"/>
      <c r="Q34" s="63"/>
      <c r="R34" s="51"/>
      <c r="S34" s="51"/>
      <c r="T34" s="51"/>
    </row>
    <row r="35">
      <c r="A35" s="51" t="str">
        <f>IFERROR(__xludf.DUMMYFUNCTION("""COMPUTED_VALUE"""),"How much? Metrics for measuring success")</f>
        <v>How much? Metrics for measuring success</v>
      </c>
      <c r="B35" s="51" t="str">
        <f>IFERROR(__xludf.DUMMYFUNCTION("""COMPUTED_VALUE"""),"Venture stage")</f>
        <v>Venture stage</v>
      </c>
      <c r="C35" s="56" t="str">
        <f>IFERROR(__xludf.DUMMYFUNCTION("""COMPUTED_VALUE"""),"Lars Fjeldsoe-Nielsen, Tony Zappala and Arnaud Bonzom")</f>
        <v>Lars Fjeldsoe-Nielsen, Tony Zappala and Arnaud Bonzom</v>
      </c>
      <c r="D35" s="51" t="str">
        <f>IFERROR(__xludf.DUMMYFUNCTION("""COMPUTED_VALUE"""),"2019/11/07 11:10:00")</f>
        <v>2019/11/07 11:10:00</v>
      </c>
      <c r="E35" s="51" t="str">
        <f>IFERROR(__xludf.DUMMYFUNCTION("""COMPUTED_VALUE"""),"2019/11/07 11:35:00")</f>
        <v>2019/11/07 11:35:00</v>
      </c>
      <c r="F35" s="51" t="str">
        <f>IFERROR(__xludf.DUMMYFUNCTION("""COMPUTED_VALUE"""),"dca718fa-55c2-42d7-8fc6-19759d50558c")</f>
        <v>dca718fa-55c2-42d7-8fc6-19759d50558c</v>
      </c>
      <c r="G35" s="58">
        <f>IFERROR(__xludf.DUMMYFUNCTION("""COMPUTED_VALUE"""),43776.0)</f>
        <v>43776</v>
      </c>
      <c r="H35" s="60">
        <f>IFERROR(__xludf.DUMMYFUNCTION("""COMPUTED_VALUE"""),0.4652777777777778)</f>
        <v>0.4652777778</v>
      </c>
      <c r="I35" s="58">
        <f>IFERROR(__xludf.DUMMYFUNCTION("""COMPUTED_VALUE"""),43776.0)</f>
        <v>43776</v>
      </c>
      <c r="J35" s="60">
        <f>IFERROR(__xludf.DUMMYFUNCTION("""COMPUTED_VALUE"""),0.4826388888888889)</f>
        <v>0.4826388889</v>
      </c>
      <c r="K35" s="60">
        <f t="shared" si="1"/>
        <v>0.01736111111</v>
      </c>
      <c r="L35" s="51" t="s">
        <v>107</v>
      </c>
      <c r="M35" s="87" t="s">
        <v>829</v>
      </c>
      <c r="N35" s="62" t="str">
        <f t="shared" si="2"/>
        <v>VT_7_3_dca718fa-55c2-42d7-8fc6-19759d50558c_000000_000000.mp4</v>
      </c>
      <c r="O35" s="50"/>
      <c r="P35" s="50"/>
      <c r="Q35" s="63"/>
      <c r="R35" s="51"/>
      <c r="S35" s="51"/>
      <c r="T35" s="51"/>
    </row>
    <row r="36">
      <c r="A36" s="51" t="str">
        <f>IFERROR(__xludf.DUMMYFUNCTION("""COMPUTED_VALUE"""),"Europe's next tech titan")</f>
        <v>Europe's next tech titan</v>
      </c>
      <c r="B36" s="51" t="str">
        <f>IFERROR(__xludf.DUMMYFUNCTION("""COMPUTED_VALUE"""),"Venture stage")</f>
        <v>Venture stage</v>
      </c>
      <c r="C36" s="56" t="str">
        <f>IFERROR(__xludf.DUMMYFUNCTION("""COMPUTED_VALUE"""),"Manish Madhvani")</f>
        <v>Manish Madhvani</v>
      </c>
      <c r="D36" s="51" t="str">
        <f>IFERROR(__xludf.DUMMYFUNCTION("""COMPUTED_VALUE"""),"2019/11/07 11:35:00")</f>
        <v>2019/11/07 11:35:00</v>
      </c>
      <c r="E36" s="51" t="str">
        <f>IFERROR(__xludf.DUMMYFUNCTION("""COMPUTED_VALUE"""),"2019/11/07 11:55:00")</f>
        <v>2019/11/07 11:55:00</v>
      </c>
      <c r="F36" s="51" t="str">
        <f>IFERROR(__xludf.DUMMYFUNCTION("""COMPUTED_VALUE"""),"203e4603-9cbb-4f30-9291-0c3e5e63df4e")</f>
        <v>203e4603-9cbb-4f30-9291-0c3e5e63df4e</v>
      </c>
      <c r="G36" s="58">
        <f>IFERROR(__xludf.DUMMYFUNCTION("""COMPUTED_VALUE"""),43776.0)</f>
        <v>43776</v>
      </c>
      <c r="H36" s="60">
        <f>IFERROR(__xludf.DUMMYFUNCTION("""COMPUTED_VALUE"""),0.4826388888888889)</f>
        <v>0.4826388889</v>
      </c>
      <c r="I36" s="58">
        <f>IFERROR(__xludf.DUMMYFUNCTION("""COMPUTED_VALUE"""),43776.0)</f>
        <v>43776</v>
      </c>
      <c r="J36" s="60">
        <f>IFERROR(__xludf.DUMMYFUNCTION("""COMPUTED_VALUE"""),0.4965277777777778)</f>
        <v>0.4965277778</v>
      </c>
      <c r="K36" s="60">
        <f t="shared" si="1"/>
        <v>0.01388888889</v>
      </c>
      <c r="L36" s="51" t="s">
        <v>111</v>
      </c>
      <c r="M36" s="87" t="s">
        <v>831</v>
      </c>
      <c r="N36" s="62" t="str">
        <f t="shared" si="2"/>
        <v>VT_7_4_203e4603-9cbb-4f30-9291-0c3e5e63df4e_000000_000000.mp4</v>
      </c>
      <c r="O36" s="50"/>
      <c r="P36" s="50"/>
      <c r="Q36" s="63"/>
      <c r="R36" s="51"/>
      <c r="S36" s="51"/>
      <c r="T36" s="51"/>
    </row>
    <row r="37">
      <c r="A37" s="51" t="str">
        <f>IFERROR(__xludf.DUMMYFUNCTION("""COMPUTED_VALUE"""),"Healthtech and VC: The narrowing divide")</f>
        <v>Healthtech and VC: The narrowing divide</v>
      </c>
      <c r="B37" s="51" t="str">
        <f>IFERROR(__xludf.DUMMYFUNCTION("""COMPUTED_VALUE"""),"Venture stage")</f>
        <v>Venture stage</v>
      </c>
      <c r="C37" s="56" t="str">
        <f>IFERROR(__xludf.DUMMYFUNCTION("""COMPUTED_VALUE"""),"Dirk Kersten, Min Hu, John Zibert, Marc Rougier and Lu Zhang")</f>
        <v>Dirk Kersten, Min Hu, John Zibert, Marc Rougier and Lu Zhang</v>
      </c>
      <c r="D37" s="51" t="str">
        <f>IFERROR(__xludf.DUMMYFUNCTION("""COMPUTED_VALUE"""),"2019/11/07 11:55:00")</f>
        <v>2019/11/07 11:55:00</v>
      </c>
      <c r="E37" s="51" t="str">
        <f>IFERROR(__xludf.DUMMYFUNCTION("""COMPUTED_VALUE"""),"2019/11/07 12:20:00")</f>
        <v>2019/11/07 12:20:00</v>
      </c>
      <c r="F37" s="51" t="str">
        <f>IFERROR(__xludf.DUMMYFUNCTION("""COMPUTED_VALUE"""),"24f4b41a-c145-4ea8-ae61-2937b8b63771")</f>
        <v>24f4b41a-c145-4ea8-ae61-2937b8b63771</v>
      </c>
      <c r="G37" s="58">
        <f>IFERROR(__xludf.DUMMYFUNCTION("""COMPUTED_VALUE"""),43776.0)</f>
        <v>43776</v>
      </c>
      <c r="H37" s="60">
        <f>IFERROR(__xludf.DUMMYFUNCTION("""COMPUTED_VALUE"""),0.4965277777777778)</f>
        <v>0.4965277778</v>
      </c>
      <c r="I37" s="58">
        <f>IFERROR(__xludf.DUMMYFUNCTION("""COMPUTED_VALUE"""),43776.0)</f>
        <v>43776</v>
      </c>
      <c r="J37" s="60">
        <f>IFERROR(__xludf.DUMMYFUNCTION("""COMPUTED_VALUE"""),0.5138888888888888)</f>
        <v>0.5138888889</v>
      </c>
      <c r="K37" s="60">
        <f t="shared" si="1"/>
        <v>0.01736111111</v>
      </c>
      <c r="L37" s="51" t="s">
        <v>107</v>
      </c>
      <c r="M37" s="87" t="s">
        <v>832</v>
      </c>
      <c r="N37" s="62" t="str">
        <f t="shared" si="2"/>
        <v>VT_7_5_24f4b41a-c145-4ea8-ae61-2937b8b63771_000000_000000.mp4</v>
      </c>
      <c r="O37" s="50"/>
      <c r="P37" s="50"/>
      <c r="Q37" s="63"/>
      <c r="R37" s="51"/>
      <c r="S37" s="51"/>
      <c r="T37" s="51"/>
    </row>
    <row r="38">
      <c r="A38" s="51" t="str">
        <f>IFERROR(__xludf.DUMMYFUNCTION("""COMPUTED_VALUE"""),"Is IPO the ultimate sign of success?")</f>
        <v>Is IPO the ultimate sign of success?</v>
      </c>
      <c r="B38" s="51" t="str">
        <f>IFERROR(__xludf.DUMMYFUNCTION("""COMPUTED_VALUE"""),"Venture stage")</f>
        <v>Venture stage</v>
      </c>
      <c r="C38" s="56" t="str">
        <f>IFERROR(__xludf.DUMMYFUNCTION("""COMPUTED_VALUE"""),"Nizar Tarhuni, Ravi Viswanathan and Alex Irwin-Hunt")</f>
        <v>Nizar Tarhuni, Ravi Viswanathan and Alex Irwin-Hunt</v>
      </c>
      <c r="D38" s="51" t="str">
        <f>IFERROR(__xludf.DUMMYFUNCTION("""COMPUTED_VALUE"""),"2019/11/07 12:20:00")</f>
        <v>2019/11/07 12:20:00</v>
      </c>
      <c r="E38" s="51" t="str">
        <f>IFERROR(__xludf.DUMMYFUNCTION("""COMPUTED_VALUE"""),"2019/11/07 12:45:00")</f>
        <v>2019/11/07 12:45:00</v>
      </c>
      <c r="F38" s="51" t="str">
        <f>IFERROR(__xludf.DUMMYFUNCTION("""COMPUTED_VALUE"""),"6307bcaa-8a28-46cc-8ef4-6531d91e25d3")</f>
        <v>6307bcaa-8a28-46cc-8ef4-6531d91e25d3</v>
      </c>
      <c r="G38" s="58">
        <f>IFERROR(__xludf.DUMMYFUNCTION("""COMPUTED_VALUE"""),43776.0)</f>
        <v>43776</v>
      </c>
      <c r="H38" s="60">
        <f>IFERROR(__xludf.DUMMYFUNCTION("""COMPUTED_VALUE"""),0.5138888888888888)</f>
        <v>0.5138888889</v>
      </c>
      <c r="I38" s="58">
        <f>IFERROR(__xludf.DUMMYFUNCTION("""COMPUTED_VALUE"""),43776.0)</f>
        <v>43776</v>
      </c>
      <c r="J38" s="60">
        <f>IFERROR(__xludf.DUMMYFUNCTION("""COMPUTED_VALUE"""),0.53125)</f>
        <v>0.53125</v>
      </c>
      <c r="K38" s="60">
        <f t="shared" si="1"/>
        <v>0.01736111111</v>
      </c>
      <c r="L38" s="51" t="s">
        <v>107</v>
      </c>
      <c r="M38" s="87" t="s">
        <v>834</v>
      </c>
      <c r="N38" s="62" t="str">
        <f t="shared" si="2"/>
        <v>VT_7_6_6307bcaa-8a28-46cc-8ef4-6531d91e25d3_000000_000000.mp4</v>
      </c>
      <c r="O38" s="50"/>
      <c r="P38" s="50"/>
      <c r="Q38" s="63"/>
      <c r="R38" s="51"/>
      <c r="S38" s="51"/>
      <c r="T38" s="51"/>
    </row>
    <row r="39">
      <c r="A39" s="51" t="str">
        <f>IFERROR(__xludf.DUMMYFUNCTION("""COMPUTED_VALUE"""),"Lunch break")</f>
        <v>Lunch break</v>
      </c>
      <c r="B39" s="51" t="str">
        <f>IFERROR(__xludf.DUMMYFUNCTION("""COMPUTED_VALUE"""),"Venture stage")</f>
        <v>Venture stage</v>
      </c>
      <c r="C39" s="56" t="str">
        <f>IFERROR(__xludf.DUMMYFUNCTION("""COMPUTED_VALUE"""),"")</f>
        <v/>
      </c>
      <c r="D39" s="51" t="str">
        <f>IFERROR(__xludf.DUMMYFUNCTION("""COMPUTED_VALUE"""),"2019/11/07 12:45:00")</f>
        <v>2019/11/07 12:45:00</v>
      </c>
      <c r="E39" s="51" t="str">
        <f>IFERROR(__xludf.DUMMYFUNCTION("""COMPUTED_VALUE"""),"2019/11/07 13:30:00")</f>
        <v>2019/11/07 13:30:00</v>
      </c>
      <c r="F39" s="51" t="str">
        <f>IFERROR(__xludf.DUMMYFUNCTION("""COMPUTED_VALUE"""),"e215e264-7354-4c78-9036-b030db795297")</f>
        <v>e215e264-7354-4c78-9036-b030db795297</v>
      </c>
      <c r="G39" s="58">
        <f>IFERROR(__xludf.DUMMYFUNCTION("""COMPUTED_VALUE"""),43776.0)</f>
        <v>43776</v>
      </c>
      <c r="H39" s="60">
        <f>IFERROR(__xludf.DUMMYFUNCTION("""COMPUTED_VALUE"""),0.53125)</f>
        <v>0.53125</v>
      </c>
      <c r="I39" s="58">
        <f>IFERROR(__xludf.DUMMYFUNCTION("""COMPUTED_VALUE"""),43776.0)</f>
        <v>43776</v>
      </c>
      <c r="J39" s="60">
        <f>IFERROR(__xludf.DUMMYFUNCTION("""COMPUTED_VALUE"""),0.5625)</f>
        <v>0.5625</v>
      </c>
      <c r="K39" s="60">
        <f t="shared" si="1"/>
        <v>0.03125</v>
      </c>
      <c r="L39" s="51" t="s">
        <v>131</v>
      </c>
      <c r="M39" s="51"/>
      <c r="N39" s="62" t="str">
        <f t="shared" si="2"/>
        <v>_e215e264-7354-4c78-9036-b030db795297_000000_000000.mp4</v>
      </c>
      <c r="O39" s="50"/>
      <c r="P39" s="50"/>
      <c r="Q39" s="63"/>
      <c r="R39" s="51"/>
      <c r="S39" s="51"/>
      <c r="T39" s="51"/>
    </row>
    <row r="40">
      <c r="A40" s="51" t="str">
        <f>IFERROR(__xludf.DUMMYFUNCTION("""COMPUTED_VALUE"""),"Opening remarks ")</f>
        <v>Opening remarks </v>
      </c>
      <c r="B40" s="51" t="str">
        <f>IFERROR(__xludf.DUMMYFUNCTION("""COMPUTED_VALUE"""),"Venture stage")</f>
        <v>Venture stage</v>
      </c>
      <c r="C40" s="56" t="str">
        <f>IFERROR(__xludf.DUMMYFUNCTION("""COMPUTED_VALUE"""),"Natsuko Mitsugi")</f>
        <v>Natsuko Mitsugi</v>
      </c>
      <c r="D40" s="51" t="str">
        <f>IFERROR(__xludf.DUMMYFUNCTION("""COMPUTED_VALUE"""),"2019/11/07 13:30:00")</f>
        <v>2019/11/07 13:30:00</v>
      </c>
      <c r="E40" s="51" t="str">
        <f>IFERROR(__xludf.DUMMYFUNCTION("""COMPUTED_VALUE"""),"2019/11/07 13:45:00")</f>
        <v>2019/11/07 13:45:00</v>
      </c>
      <c r="F40" s="51" t="str">
        <f>IFERROR(__xludf.DUMMYFUNCTION("""COMPUTED_VALUE"""),"64093230-22f1-4f95-adc4-ccb2171d1ebe")</f>
        <v>64093230-22f1-4f95-adc4-ccb2171d1ebe</v>
      </c>
      <c r="G40" s="58">
        <f>IFERROR(__xludf.DUMMYFUNCTION("""COMPUTED_VALUE"""),43776.0)</f>
        <v>43776</v>
      </c>
      <c r="H40" s="60">
        <f>IFERROR(__xludf.DUMMYFUNCTION("""COMPUTED_VALUE"""),0.5625)</f>
        <v>0.5625</v>
      </c>
      <c r="I40" s="58">
        <f>IFERROR(__xludf.DUMMYFUNCTION("""COMPUTED_VALUE"""),43776.0)</f>
        <v>43776</v>
      </c>
      <c r="J40" s="60">
        <f>IFERROR(__xludf.DUMMYFUNCTION("""COMPUTED_VALUE"""),0.5729166666666666)</f>
        <v>0.5729166667</v>
      </c>
      <c r="K40" s="60">
        <f t="shared" si="1"/>
        <v>0.01041666667</v>
      </c>
      <c r="L40" s="51" t="s">
        <v>116</v>
      </c>
      <c r="M40" s="87" t="s">
        <v>836</v>
      </c>
      <c r="N40" s="62" t="str">
        <f t="shared" si="2"/>
        <v>VT_7_7_64093230-22f1-4f95-adc4-ccb2171d1ebe_000000_000000.mp4</v>
      </c>
      <c r="O40" s="50"/>
      <c r="P40" s="50"/>
      <c r="Q40" s="63"/>
      <c r="R40" s="51"/>
      <c r="S40" s="51"/>
      <c r="T40" s="51"/>
    </row>
    <row r="41">
      <c r="A41" s="51" t="str">
        <f>IFERROR(__xludf.DUMMYFUNCTION("""COMPUTED_VALUE"""),"Small world, big market")</f>
        <v>Small world, big market</v>
      </c>
      <c r="B41" s="51" t="str">
        <f>IFERROR(__xludf.DUMMYFUNCTION("""COMPUTED_VALUE"""),"Venture stage")</f>
        <v>Venture stage</v>
      </c>
      <c r="C41" s="56" t="str">
        <f>IFERROR(__xludf.DUMMYFUNCTION("""COMPUTED_VALUE"""),"Dr Marco Huesch, Angus Davis, George Henry and Alara Basul")</f>
        <v>Dr Marco Huesch, Angus Davis, George Henry and Alara Basul</v>
      </c>
      <c r="D41" s="51" t="str">
        <f>IFERROR(__xludf.DUMMYFUNCTION("""COMPUTED_VALUE"""),"2019/11/07 13:45:00")</f>
        <v>2019/11/07 13:45:00</v>
      </c>
      <c r="E41" s="51" t="str">
        <f>IFERROR(__xludf.DUMMYFUNCTION("""COMPUTED_VALUE"""),"2019/11/07 14:05:00")</f>
        <v>2019/11/07 14:05:00</v>
      </c>
      <c r="F41" s="51" t="str">
        <f>IFERROR(__xludf.DUMMYFUNCTION("""COMPUTED_VALUE"""),"6ee51dd9-a1ce-4f89-adbf-87909117725d")</f>
        <v>6ee51dd9-a1ce-4f89-adbf-87909117725d</v>
      </c>
      <c r="G41" s="58">
        <f>IFERROR(__xludf.DUMMYFUNCTION("""COMPUTED_VALUE"""),43776.0)</f>
        <v>43776</v>
      </c>
      <c r="H41" s="60">
        <f>IFERROR(__xludf.DUMMYFUNCTION("""COMPUTED_VALUE"""),0.5729166666666666)</f>
        <v>0.5729166667</v>
      </c>
      <c r="I41" s="58">
        <f>IFERROR(__xludf.DUMMYFUNCTION("""COMPUTED_VALUE"""),43776.0)</f>
        <v>43776</v>
      </c>
      <c r="J41" s="60">
        <f>IFERROR(__xludf.DUMMYFUNCTION("""COMPUTED_VALUE"""),0.5868055555555556)</f>
        <v>0.5868055556</v>
      </c>
      <c r="K41" s="60">
        <f t="shared" si="1"/>
        <v>0.01388888889</v>
      </c>
      <c r="L41" s="51" t="s">
        <v>111</v>
      </c>
      <c r="M41" s="87" t="s">
        <v>839</v>
      </c>
      <c r="N41" s="62" t="str">
        <f t="shared" si="2"/>
        <v>VT_7_8_6ee51dd9-a1ce-4f89-adbf-87909117725d_000000_000000.mp4</v>
      </c>
      <c r="O41" s="50"/>
      <c r="P41" s="50"/>
      <c r="Q41" s="63"/>
      <c r="R41" s="51"/>
      <c r="S41" s="51"/>
      <c r="T41" s="51"/>
    </row>
    <row r="42">
      <c r="A42" s="51" t="str">
        <f>IFERROR(__xludf.DUMMYFUNCTION("""COMPUTED_VALUE"""),"What's left to modernise?")</f>
        <v>What's left to modernise?</v>
      </c>
      <c r="B42" s="51" t="str">
        <f>IFERROR(__xludf.DUMMYFUNCTION("""COMPUTED_VALUE"""),"Venture stage")</f>
        <v>Venture stage</v>
      </c>
      <c r="C42" s="56" t="str">
        <f>IFERROR(__xludf.DUMMYFUNCTION("""COMPUTED_VALUE"""),"Omar El-Ayat, Malin Holmberg, Jean-Patrice Anciaux and Oisin Hanrahan")</f>
        <v>Omar El-Ayat, Malin Holmberg, Jean-Patrice Anciaux and Oisin Hanrahan</v>
      </c>
      <c r="D42" s="51" t="str">
        <f>IFERROR(__xludf.DUMMYFUNCTION("""COMPUTED_VALUE"""),"2019/11/07 14:05:00")</f>
        <v>2019/11/07 14:05:00</v>
      </c>
      <c r="E42" s="51" t="str">
        <f>IFERROR(__xludf.DUMMYFUNCTION("""COMPUTED_VALUE"""),"2019/11/07 14:25:00")</f>
        <v>2019/11/07 14:25:00</v>
      </c>
      <c r="F42" s="51" t="str">
        <f>IFERROR(__xludf.DUMMYFUNCTION("""COMPUTED_VALUE"""),"d7f1f39d-20c7-4f27-b93d-81361e7de613")</f>
        <v>d7f1f39d-20c7-4f27-b93d-81361e7de613</v>
      </c>
      <c r="G42" s="58">
        <f>IFERROR(__xludf.DUMMYFUNCTION("""COMPUTED_VALUE"""),43776.0)</f>
        <v>43776</v>
      </c>
      <c r="H42" s="60">
        <f>IFERROR(__xludf.DUMMYFUNCTION("""COMPUTED_VALUE"""),0.5868055555555556)</f>
        <v>0.5868055556</v>
      </c>
      <c r="I42" s="58">
        <f>IFERROR(__xludf.DUMMYFUNCTION("""COMPUTED_VALUE"""),43776.0)</f>
        <v>43776</v>
      </c>
      <c r="J42" s="60">
        <f>IFERROR(__xludf.DUMMYFUNCTION("""COMPUTED_VALUE"""),0.6006944444444444)</f>
        <v>0.6006944444</v>
      </c>
      <c r="K42" s="60">
        <f t="shared" si="1"/>
        <v>0.01388888889</v>
      </c>
      <c r="L42" s="51" t="s">
        <v>111</v>
      </c>
      <c r="M42" s="87" t="s">
        <v>840</v>
      </c>
      <c r="N42" s="62" t="str">
        <f t="shared" si="2"/>
        <v>VT_7_9_d7f1f39d-20c7-4f27-b93d-81361e7de613_000000_000000.mp4</v>
      </c>
      <c r="O42" s="50"/>
      <c r="P42" s="50"/>
      <c r="Q42" s="63"/>
      <c r="R42" s="51"/>
      <c r="S42" s="51"/>
      <c r="T42" s="51"/>
    </row>
    <row r="43">
      <c r="A43" s="51" t="str">
        <f>IFERROR(__xludf.DUMMYFUNCTION("""COMPUTED_VALUE"""),"Investing in change: How to navigate disruption")</f>
        <v>Investing in change: How to navigate disruption</v>
      </c>
      <c r="B43" s="51" t="str">
        <f>IFERROR(__xludf.DUMMYFUNCTION("""COMPUTED_VALUE"""),"Venture stage")</f>
        <v>Venture stage</v>
      </c>
      <c r="C43" s="56" t="str">
        <f>IFERROR(__xludf.DUMMYFUNCTION("""COMPUTED_VALUE"""),"Allister Furey, Niccolo Manzoni and Mariana Barbosa")</f>
        <v>Allister Furey, Niccolo Manzoni and Mariana Barbosa</v>
      </c>
      <c r="D43" s="51" t="str">
        <f>IFERROR(__xludf.DUMMYFUNCTION("""COMPUTED_VALUE"""),"2019/11/07 14:25:00")</f>
        <v>2019/11/07 14:25:00</v>
      </c>
      <c r="E43" s="51" t="str">
        <f>IFERROR(__xludf.DUMMYFUNCTION("""COMPUTED_VALUE"""),"2019/11/07 14:45:00")</f>
        <v>2019/11/07 14:45:00</v>
      </c>
      <c r="F43" s="51" t="str">
        <f>IFERROR(__xludf.DUMMYFUNCTION("""COMPUTED_VALUE"""),"46f8dd09-71a9-435d-b310-e1e8b669fd41")</f>
        <v>46f8dd09-71a9-435d-b310-e1e8b669fd41</v>
      </c>
      <c r="G43" s="58">
        <f>IFERROR(__xludf.DUMMYFUNCTION("""COMPUTED_VALUE"""),43776.0)</f>
        <v>43776</v>
      </c>
      <c r="H43" s="60">
        <f>IFERROR(__xludf.DUMMYFUNCTION("""COMPUTED_VALUE"""),0.6006944444444444)</f>
        <v>0.6006944444</v>
      </c>
      <c r="I43" s="58">
        <f>IFERROR(__xludf.DUMMYFUNCTION("""COMPUTED_VALUE"""),43776.0)</f>
        <v>43776</v>
      </c>
      <c r="J43" s="60">
        <f>IFERROR(__xludf.DUMMYFUNCTION("""COMPUTED_VALUE"""),0.6145833333333334)</f>
        <v>0.6145833333</v>
      </c>
      <c r="K43" s="60">
        <f t="shared" si="1"/>
        <v>0.01388888889</v>
      </c>
      <c r="L43" s="51" t="s">
        <v>111</v>
      </c>
      <c r="M43" s="87" t="s">
        <v>842</v>
      </c>
      <c r="N43" s="62" t="str">
        <f t="shared" si="2"/>
        <v>VT_7_10_46f8dd09-71a9-435d-b310-e1e8b669fd41_000000_000000.mp4</v>
      </c>
      <c r="O43" s="50"/>
      <c r="P43" s="50"/>
      <c r="Q43" s="63"/>
      <c r="R43" s="51"/>
      <c r="S43" s="51"/>
      <c r="T43" s="51"/>
    </row>
    <row r="44">
      <c r="A44" s="51" t="str">
        <f>IFERROR(__xludf.DUMMYFUNCTION("""COMPUTED_VALUE"""),"The State of AI 2019: Divergence")</f>
        <v>The State of AI 2019: Divergence</v>
      </c>
      <c r="B44" s="51" t="str">
        <f>IFERROR(__xludf.DUMMYFUNCTION("""COMPUTED_VALUE"""),"Venture stage")</f>
        <v>Venture stage</v>
      </c>
      <c r="C44" s="56" t="str">
        <f>IFERROR(__xludf.DUMMYFUNCTION("""COMPUTED_VALUE"""),"David Kelnar")</f>
        <v>David Kelnar</v>
      </c>
      <c r="D44" s="51" t="str">
        <f>IFERROR(__xludf.DUMMYFUNCTION("""COMPUTED_VALUE"""),"2019/11/07 14:45:00")</f>
        <v>2019/11/07 14:45:00</v>
      </c>
      <c r="E44" s="51" t="str">
        <f>IFERROR(__xludf.DUMMYFUNCTION("""COMPUTED_VALUE"""),"2019/11/07 15:00:00")</f>
        <v>2019/11/07 15:00:00</v>
      </c>
      <c r="F44" s="51" t="str">
        <f>IFERROR(__xludf.DUMMYFUNCTION("""COMPUTED_VALUE"""),"26aadd95-c7d6-40b3-be13-2715f2834038")</f>
        <v>26aadd95-c7d6-40b3-be13-2715f2834038</v>
      </c>
      <c r="G44" s="58">
        <f>IFERROR(__xludf.DUMMYFUNCTION("""COMPUTED_VALUE"""),43776.0)</f>
        <v>43776</v>
      </c>
      <c r="H44" s="60">
        <f>IFERROR(__xludf.DUMMYFUNCTION("""COMPUTED_VALUE"""),0.6145833333333334)</f>
        <v>0.6145833333</v>
      </c>
      <c r="I44" s="58">
        <f>IFERROR(__xludf.DUMMYFUNCTION("""COMPUTED_VALUE"""),43776.0)</f>
        <v>43776</v>
      </c>
      <c r="J44" s="60">
        <f>IFERROR(__xludf.DUMMYFUNCTION("""COMPUTED_VALUE"""),0.625)</f>
        <v>0.625</v>
      </c>
      <c r="K44" s="60">
        <f t="shared" si="1"/>
        <v>0.01041666667</v>
      </c>
      <c r="L44" s="51" t="s">
        <v>116</v>
      </c>
      <c r="M44" s="87" t="s">
        <v>844</v>
      </c>
      <c r="N44" s="62" t="str">
        <f t="shared" si="2"/>
        <v>VT_7_11_26aadd95-c7d6-40b3-be13-2715f2834038_000000_000000.mp4</v>
      </c>
      <c r="O44" s="50"/>
      <c r="P44" s="50"/>
      <c r="Q44" s="63"/>
      <c r="R44" s="51"/>
      <c r="S44" s="51"/>
      <c r="T44" s="51"/>
    </row>
    <row r="45">
      <c r="A45" s="51" t="str">
        <f>IFERROR(__xludf.DUMMYFUNCTION("""COMPUTED_VALUE"""),"Why do we need money?")</f>
        <v>Why do we need money?</v>
      </c>
      <c r="B45" s="51" t="str">
        <f>IFERROR(__xludf.DUMMYFUNCTION("""COMPUTED_VALUE"""),"Venture stage")</f>
        <v>Venture stage</v>
      </c>
      <c r="C45" s="56" t="str">
        <f>IFERROR(__xludf.DUMMYFUNCTION("""COMPUTED_VALUE"""),"Simon Schmincke, Tara Reeves, Tim Levene and Joon Ian Wong")</f>
        <v>Simon Schmincke, Tara Reeves, Tim Levene and Joon Ian Wong</v>
      </c>
      <c r="D45" s="51" t="str">
        <f>IFERROR(__xludf.DUMMYFUNCTION("""COMPUTED_VALUE"""),"2019/11/07 15:00:00")</f>
        <v>2019/11/07 15:00:00</v>
      </c>
      <c r="E45" s="51" t="str">
        <f>IFERROR(__xludf.DUMMYFUNCTION("""COMPUTED_VALUE"""),"2019/11/07 15:20:00")</f>
        <v>2019/11/07 15:20:00</v>
      </c>
      <c r="F45" s="51" t="str">
        <f>IFERROR(__xludf.DUMMYFUNCTION("""COMPUTED_VALUE"""),"65397b2d-34eb-419a-8b4f-bc5ad34ae362")</f>
        <v>65397b2d-34eb-419a-8b4f-bc5ad34ae362</v>
      </c>
      <c r="G45" s="58">
        <f>IFERROR(__xludf.DUMMYFUNCTION("""COMPUTED_VALUE"""),43776.0)</f>
        <v>43776</v>
      </c>
      <c r="H45" s="60">
        <f>IFERROR(__xludf.DUMMYFUNCTION("""COMPUTED_VALUE"""),0.625)</f>
        <v>0.625</v>
      </c>
      <c r="I45" s="58">
        <f>IFERROR(__xludf.DUMMYFUNCTION("""COMPUTED_VALUE"""),43776.0)</f>
        <v>43776</v>
      </c>
      <c r="J45" s="60">
        <f>IFERROR(__xludf.DUMMYFUNCTION("""COMPUTED_VALUE"""),0.6388888888888888)</f>
        <v>0.6388888889</v>
      </c>
      <c r="K45" s="60">
        <f t="shared" si="1"/>
        <v>0.01388888889</v>
      </c>
      <c r="L45" s="51" t="s">
        <v>111</v>
      </c>
      <c r="M45" s="87" t="s">
        <v>845</v>
      </c>
      <c r="N45" s="62" t="str">
        <f t="shared" si="2"/>
        <v>VT_7_12_65397b2d-34eb-419a-8b4f-bc5ad34ae362_000000_000000.mp4</v>
      </c>
      <c r="O45" s="50"/>
      <c r="P45" s="50"/>
      <c r="Q45" s="63"/>
      <c r="R45" s="51"/>
      <c r="S45" s="51"/>
      <c r="T45" s="51"/>
    </row>
    <row r="46">
      <c r="A46" s="51" t="str">
        <f>IFERROR(__xludf.DUMMYFUNCTION("""COMPUTED_VALUE"""),"How to spot that special something")</f>
        <v>How to spot that special something</v>
      </c>
      <c r="B46" s="51" t="str">
        <f>IFERROR(__xludf.DUMMYFUNCTION("""COMPUTED_VALUE"""),"Venture stage")</f>
        <v>Venture stage</v>
      </c>
      <c r="C46" s="56" t="str">
        <f>IFERROR(__xludf.DUMMYFUNCTION("""COMPUTED_VALUE"""),"Jackey Wang, Nick Coronges, Carlos Silva and Jeremy Goldman")</f>
        <v>Jackey Wang, Nick Coronges, Carlos Silva and Jeremy Goldman</v>
      </c>
      <c r="D46" s="51" t="str">
        <f>IFERROR(__xludf.DUMMYFUNCTION("""COMPUTED_VALUE"""),"2019/11/07 15:20:00")</f>
        <v>2019/11/07 15:20:00</v>
      </c>
      <c r="E46" s="51" t="str">
        <f>IFERROR(__xludf.DUMMYFUNCTION("""COMPUTED_VALUE"""),"2019/11/07 15:40:00")</f>
        <v>2019/11/07 15:40:00</v>
      </c>
      <c r="F46" s="51" t="str">
        <f>IFERROR(__xludf.DUMMYFUNCTION("""COMPUTED_VALUE"""),"46765f3b-4ab8-4f7f-b3b8-9a45ba14b21e")</f>
        <v>46765f3b-4ab8-4f7f-b3b8-9a45ba14b21e</v>
      </c>
      <c r="G46" s="58">
        <f>IFERROR(__xludf.DUMMYFUNCTION("""COMPUTED_VALUE"""),43776.0)</f>
        <v>43776</v>
      </c>
      <c r="H46" s="60">
        <f>IFERROR(__xludf.DUMMYFUNCTION("""COMPUTED_VALUE"""),0.6388888888888888)</f>
        <v>0.6388888889</v>
      </c>
      <c r="I46" s="58">
        <f>IFERROR(__xludf.DUMMYFUNCTION("""COMPUTED_VALUE"""),43776.0)</f>
        <v>43776</v>
      </c>
      <c r="J46" s="60">
        <f>IFERROR(__xludf.DUMMYFUNCTION("""COMPUTED_VALUE"""),0.6527777777777778)</f>
        <v>0.6527777778</v>
      </c>
      <c r="K46" s="60">
        <f t="shared" si="1"/>
        <v>0.01388888889</v>
      </c>
      <c r="L46" s="51" t="s">
        <v>111</v>
      </c>
      <c r="M46" s="87" t="s">
        <v>846</v>
      </c>
      <c r="N46" s="62" t="str">
        <f t="shared" si="2"/>
        <v>VT_7_13_46765f3b-4ab8-4f7f-b3b8-9a45ba14b21e_000000_000000.mp4</v>
      </c>
      <c r="O46" s="50"/>
      <c r="P46" s="50"/>
      <c r="Q46" s="63"/>
      <c r="R46" s="51"/>
      <c r="S46" s="51"/>
      <c r="T46" s="51"/>
    </row>
    <row r="47">
      <c r="A47" s="51"/>
      <c r="B47" s="51"/>
      <c r="C47" s="56"/>
      <c r="D47" s="51"/>
      <c r="E47" s="51"/>
      <c r="F47" s="51"/>
      <c r="G47" s="51" t="str">
        <f>IFERROR(__xludf.DUMMYFUNCTION("""COMPUTED_VALUE"""),"#VALUE!")</f>
        <v>#VALUE!</v>
      </c>
      <c r="H47" s="51" t="str">
        <f>IFERROR(__xludf.DUMMYFUNCTION("""COMPUTED_VALUE"""),"")</f>
        <v/>
      </c>
      <c r="I47" s="51" t="str">
        <f>IFERROR(__xludf.DUMMYFUNCTION("""COMPUTED_VALUE"""),"#VALUE!")</f>
        <v>#VALUE!</v>
      </c>
      <c r="J47" s="51" t="str">
        <f>IFERROR(__xludf.DUMMYFUNCTION("""COMPUTED_VALUE"""),"")</f>
        <v/>
      </c>
      <c r="K47" s="51">
        <f t="shared" si="1"/>
        <v>0</v>
      </c>
      <c r="L47" s="51" t="s">
        <v>257</v>
      </c>
      <c r="M47" s="51"/>
      <c r="N47" s="51"/>
      <c r="O47" s="51"/>
      <c r="P47" s="51"/>
      <c r="Q47" s="51"/>
      <c r="R47" s="51"/>
      <c r="S47" s="51"/>
      <c r="T47" s="51"/>
    </row>
    <row r="48">
      <c r="A48" s="51"/>
      <c r="B48" s="51"/>
      <c r="C48" s="56"/>
      <c r="D48" s="51"/>
      <c r="E48" s="51"/>
      <c r="F48" s="51"/>
      <c r="G48" s="51" t="str">
        <f>IFERROR(__xludf.DUMMYFUNCTION("""COMPUTED_VALUE"""),"#VALUE!")</f>
        <v>#VALUE!</v>
      </c>
      <c r="H48" s="51" t="str">
        <f>IFERROR(__xludf.DUMMYFUNCTION("""COMPUTED_VALUE"""),"")</f>
        <v/>
      </c>
      <c r="I48" s="51" t="str">
        <f>IFERROR(__xludf.DUMMYFUNCTION("""COMPUTED_VALUE"""),"#VALUE!")</f>
        <v>#VALUE!</v>
      </c>
      <c r="J48" s="51" t="str">
        <f>IFERROR(__xludf.DUMMYFUNCTION("""COMPUTED_VALUE"""),"")</f>
        <v/>
      </c>
      <c r="K48" s="51">
        <f t="shared" si="1"/>
        <v>0</v>
      </c>
      <c r="L48" s="51" t="s">
        <v>257</v>
      </c>
      <c r="M48" s="51"/>
      <c r="N48" s="51"/>
      <c r="O48" s="51"/>
      <c r="P48" s="51"/>
      <c r="Q48" s="51"/>
      <c r="R48" s="51"/>
      <c r="S48" s="51"/>
      <c r="T48" s="51"/>
    </row>
    <row r="49">
      <c r="A49" s="51"/>
      <c r="B49" s="51"/>
      <c r="C49" s="56"/>
      <c r="D49" s="51"/>
      <c r="E49" s="51"/>
      <c r="F49" s="51"/>
      <c r="G49" s="51" t="str">
        <f>IFERROR(__xludf.DUMMYFUNCTION("""COMPUTED_VALUE"""),"#VALUE!")</f>
        <v>#VALUE!</v>
      </c>
      <c r="H49" s="51" t="str">
        <f>IFERROR(__xludf.DUMMYFUNCTION("""COMPUTED_VALUE"""),"")</f>
        <v/>
      </c>
      <c r="I49" s="51" t="str">
        <f>IFERROR(__xludf.DUMMYFUNCTION("""COMPUTED_VALUE"""),"#VALUE!")</f>
        <v>#VALUE!</v>
      </c>
      <c r="J49" s="51" t="str">
        <f>IFERROR(__xludf.DUMMYFUNCTION("""COMPUTED_VALUE"""),"")</f>
        <v/>
      </c>
      <c r="K49" s="51">
        <f t="shared" si="1"/>
        <v>0</v>
      </c>
      <c r="L49" s="51" t="s">
        <v>257</v>
      </c>
      <c r="M49" s="51"/>
      <c r="N49" s="51"/>
      <c r="O49" s="51"/>
      <c r="P49" s="51"/>
      <c r="Q49" s="51"/>
      <c r="R49" s="51"/>
      <c r="S49" s="51"/>
      <c r="T49" s="51"/>
    </row>
    <row r="50">
      <c r="A50" s="51"/>
      <c r="B50" s="51"/>
      <c r="C50" s="56"/>
      <c r="D50" s="51"/>
      <c r="E50" s="51"/>
      <c r="F50" s="51"/>
      <c r="G50" s="51" t="str">
        <f>IFERROR(__xludf.DUMMYFUNCTION("""COMPUTED_VALUE"""),"#VALUE!")</f>
        <v>#VALUE!</v>
      </c>
      <c r="H50" s="51" t="str">
        <f>IFERROR(__xludf.DUMMYFUNCTION("""COMPUTED_VALUE"""),"")</f>
        <v/>
      </c>
      <c r="I50" s="51" t="str">
        <f>IFERROR(__xludf.DUMMYFUNCTION("""COMPUTED_VALUE"""),"#VALUE!")</f>
        <v>#VALUE!</v>
      </c>
      <c r="J50" s="51" t="str">
        <f>IFERROR(__xludf.DUMMYFUNCTION("""COMPUTED_VALUE"""),"")</f>
        <v/>
      </c>
      <c r="K50" s="51">
        <f t="shared" si="1"/>
        <v>0</v>
      </c>
      <c r="L50" s="51" t="s">
        <v>257</v>
      </c>
      <c r="M50" s="51"/>
      <c r="N50" s="51"/>
      <c r="O50" s="51"/>
      <c r="P50" s="51"/>
      <c r="Q50" s="51"/>
      <c r="R50" s="51"/>
      <c r="S50" s="51"/>
      <c r="T50" s="51"/>
    </row>
    <row r="51">
      <c r="A51" s="51"/>
      <c r="B51" s="51"/>
      <c r="C51" s="56"/>
      <c r="D51" s="51"/>
      <c r="E51" s="51"/>
      <c r="F51" s="51"/>
      <c r="G51" s="51" t="str">
        <f>IFERROR(__xludf.DUMMYFUNCTION("""COMPUTED_VALUE"""),"#VALUE!")</f>
        <v>#VALUE!</v>
      </c>
      <c r="H51" s="51" t="str">
        <f>IFERROR(__xludf.DUMMYFUNCTION("""COMPUTED_VALUE"""),"")</f>
        <v/>
      </c>
      <c r="I51" s="51" t="str">
        <f>IFERROR(__xludf.DUMMYFUNCTION("""COMPUTED_VALUE"""),"#VALUE!")</f>
        <v>#VALUE!</v>
      </c>
      <c r="J51" s="51" t="str">
        <f>IFERROR(__xludf.DUMMYFUNCTION("""COMPUTED_VALUE"""),"")</f>
        <v/>
      </c>
      <c r="K51" s="51">
        <f t="shared" si="1"/>
        <v>0</v>
      </c>
      <c r="L51" s="51" t="s">
        <v>257</v>
      </c>
      <c r="M51" s="51"/>
      <c r="N51" s="51"/>
      <c r="O51" s="51"/>
      <c r="P51" s="51"/>
      <c r="Q51" s="51"/>
      <c r="R51" s="51"/>
      <c r="S51" s="51"/>
      <c r="T51" s="51"/>
    </row>
    <row r="52">
      <c r="A52" s="51"/>
      <c r="B52" s="51"/>
      <c r="C52" s="56"/>
      <c r="D52" s="51"/>
      <c r="E52" s="51"/>
      <c r="F52" s="51"/>
      <c r="G52" s="51" t="str">
        <f>IFERROR(__xludf.DUMMYFUNCTION("""COMPUTED_VALUE"""),"#VALUE!")</f>
        <v>#VALUE!</v>
      </c>
      <c r="H52" s="51" t="str">
        <f>IFERROR(__xludf.DUMMYFUNCTION("""COMPUTED_VALUE"""),"")</f>
        <v/>
      </c>
      <c r="I52" s="51" t="str">
        <f>IFERROR(__xludf.DUMMYFUNCTION("""COMPUTED_VALUE"""),"#VALUE!")</f>
        <v>#VALUE!</v>
      </c>
      <c r="J52" s="51" t="str">
        <f>IFERROR(__xludf.DUMMYFUNCTION("""COMPUTED_VALUE"""),"")</f>
        <v/>
      </c>
      <c r="K52" s="51">
        <f t="shared" si="1"/>
        <v>0</v>
      </c>
      <c r="L52" s="51" t="s">
        <v>257</v>
      </c>
      <c r="M52" s="51"/>
      <c r="N52" s="51"/>
      <c r="O52" s="51"/>
      <c r="P52" s="51"/>
      <c r="Q52" s="51"/>
      <c r="R52" s="51"/>
      <c r="S52" s="51"/>
      <c r="T52" s="51"/>
    </row>
    <row r="53">
      <c r="A53" s="51"/>
      <c r="B53" s="51"/>
      <c r="C53" s="56"/>
      <c r="D53" s="51"/>
      <c r="E53" s="51"/>
      <c r="F53" s="51"/>
      <c r="G53" s="51" t="str">
        <f>IFERROR(__xludf.DUMMYFUNCTION("""COMPUTED_VALUE"""),"#VALUE!")</f>
        <v>#VALUE!</v>
      </c>
      <c r="H53" s="51" t="str">
        <f>IFERROR(__xludf.DUMMYFUNCTION("""COMPUTED_VALUE"""),"")</f>
        <v/>
      </c>
      <c r="I53" s="51" t="str">
        <f>IFERROR(__xludf.DUMMYFUNCTION("""COMPUTED_VALUE"""),"#VALUE!")</f>
        <v>#VALUE!</v>
      </c>
      <c r="J53" s="51" t="str">
        <f>IFERROR(__xludf.DUMMYFUNCTION("""COMPUTED_VALUE"""),"")</f>
        <v/>
      </c>
      <c r="K53" s="51">
        <f t="shared" si="1"/>
        <v>0</v>
      </c>
      <c r="L53" s="51" t="s">
        <v>257</v>
      </c>
      <c r="M53" s="51"/>
      <c r="N53" s="51"/>
      <c r="O53" s="51"/>
      <c r="P53" s="51"/>
      <c r="Q53" s="51"/>
      <c r="R53" s="51"/>
      <c r="S53" s="51"/>
      <c r="T53" s="51"/>
    </row>
    <row r="54">
      <c r="A54" s="51"/>
      <c r="B54" s="51"/>
      <c r="C54" s="56"/>
      <c r="D54" s="51"/>
      <c r="E54" s="51"/>
      <c r="F54" s="51"/>
      <c r="G54" s="51" t="str">
        <f>IFERROR(__xludf.DUMMYFUNCTION("""COMPUTED_VALUE"""),"#VALUE!")</f>
        <v>#VALUE!</v>
      </c>
      <c r="H54" s="51" t="str">
        <f>IFERROR(__xludf.DUMMYFUNCTION("""COMPUTED_VALUE"""),"")</f>
        <v/>
      </c>
      <c r="I54" s="51" t="str">
        <f>IFERROR(__xludf.DUMMYFUNCTION("""COMPUTED_VALUE"""),"#VALUE!")</f>
        <v>#VALUE!</v>
      </c>
      <c r="J54" s="51" t="str">
        <f>IFERROR(__xludf.DUMMYFUNCTION("""COMPUTED_VALUE"""),"")</f>
        <v/>
      </c>
      <c r="K54" s="51">
        <f t="shared" si="1"/>
        <v>0</v>
      </c>
      <c r="L54" s="51" t="s">
        <v>257</v>
      </c>
      <c r="M54" s="51"/>
      <c r="N54" s="51"/>
      <c r="O54" s="51"/>
      <c r="P54" s="51"/>
      <c r="Q54" s="51"/>
      <c r="R54" s="51"/>
      <c r="S54" s="51"/>
      <c r="T54" s="51"/>
    </row>
    <row r="55">
      <c r="A55" s="51"/>
      <c r="B55" s="51"/>
      <c r="C55" s="56"/>
      <c r="D55" s="51"/>
      <c r="E55" s="51"/>
      <c r="F55" s="51"/>
      <c r="G55" s="51" t="str">
        <f>IFERROR(__xludf.DUMMYFUNCTION("""COMPUTED_VALUE"""),"#VALUE!")</f>
        <v>#VALUE!</v>
      </c>
      <c r="H55" s="51" t="str">
        <f>IFERROR(__xludf.DUMMYFUNCTION("""COMPUTED_VALUE"""),"")</f>
        <v/>
      </c>
      <c r="I55" s="51" t="str">
        <f>IFERROR(__xludf.DUMMYFUNCTION("""COMPUTED_VALUE"""),"#VALUE!")</f>
        <v>#VALUE!</v>
      </c>
      <c r="J55" s="51" t="str">
        <f>IFERROR(__xludf.DUMMYFUNCTION("""COMPUTED_VALUE"""),"")</f>
        <v/>
      </c>
      <c r="K55" s="51">
        <f t="shared" si="1"/>
        <v>0</v>
      </c>
      <c r="L55" s="51" t="s">
        <v>257</v>
      </c>
      <c r="M55" s="51"/>
      <c r="N55" s="51"/>
      <c r="O55" s="51"/>
      <c r="P55" s="51"/>
      <c r="Q55" s="51"/>
      <c r="R55" s="51"/>
      <c r="S55" s="51"/>
      <c r="T55" s="51"/>
    </row>
    <row r="56">
      <c r="A56" s="51"/>
      <c r="B56" s="51"/>
      <c r="C56" s="56"/>
      <c r="D56" s="51"/>
      <c r="E56" s="51"/>
      <c r="F56" s="51"/>
      <c r="G56" s="51" t="str">
        <f>IFERROR(__xludf.DUMMYFUNCTION("""COMPUTED_VALUE"""),"#VALUE!")</f>
        <v>#VALUE!</v>
      </c>
      <c r="H56" s="51" t="str">
        <f>IFERROR(__xludf.DUMMYFUNCTION("""COMPUTED_VALUE"""),"")</f>
        <v/>
      </c>
      <c r="I56" s="51" t="str">
        <f>IFERROR(__xludf.DUMMYFUNCTION("""COMPUTED_VALUE"""),"#VALUE!")</f>
        <v>#VALUE!</v>
      </c>
      <c r="J56" s="51" t="str">
        <f>IFERROR(__xludf.DUMMYFUNCTION("""COMPUTED_VALUE"""),"")</f>
        <v/>
      </c>
      <c r="K56" s="51">
        <f t="shared" si="1"/>
        <v>0</v>
      </c>
      <c r="L56" s="51" t="s">
        <v>257</v>
      </c>
      <c r="M56" s="51"/>
      <c r="N56" s="51"/>
      <c r="O56" s="51"/>
      <c r="P56" s="51"/>
      <c r="Q56" s="51"/>
      <c r="R56" s="51"/>
      <c r="S56" s="51"/>
      <c r="T56" s="51"/>
    </row>
    <row r="57">
      <c r="A57" s="51"/>
      <c r="B57" s="51"/>
      <c r="C57" s="56"/>
      <c r="D57" s="51"/>
      <c r="E57" s="51"/>
      <c r="F57" s="51"/>
      <c r="G57" s="51" t="str">
        <f>IFERROR(__xludf.DUMMYFUNCTION("""COMPUTED_VALUE"""),"#VALUE!")</f>
        <v>#VALUE!</v>
      </c>
      <c r="H57" s="51" t="str">
        <f>IFERROR(__xludf.DUMMYFUNCTION("""COMPUTED_VALUE"""),"")</f>
        <v/>
      </c>
      <c r="I57" s="51" t="str">
        <f>IFERROR(__xludf.DUMMYFUNCTION("""COMPUTED_VALUE"""),"#VALUE!")</f>
        <v>#VALUE!</v>
      </c>
      <c r="J57" s="51" t="str">
        <f>IFERROR(__xludf.DUMMYFUNCTION("""COMPUTED_VALUE"""),"")</f>
        <v/>
      </c>
      <c r="K57" s="51">
        <f t="shared" si="1"/>
        <v>0</v>
      </c>
      <c r="L57" s="51" t="s">
        <v>257</v>
      </c>
      <c r="M57" s="51"/>
      <c r="N57" s="51"/>
      <c r="O57" s="51"/>
      <c r="P57" s="51"/>
      <c r="Q57" s="51"/>
      <c r="R57" s="51"/>
      <c r="S57" s="51"/>
      <c r="T57" s="51"/>
    </row>
    <row r="58">
      <c r="A58" s="51"/>
      <c r="B58" s="51"/>
      <c r="C58" s="56"/>
      <c r="D58" s="51"/>
      <c r="E58" s="51"/>
      <c r="F58" s="51"/>
      <c r="G58" s="51" t="str">
        <f>IFERROR(__xludf.DUMMYFUNCTION("""COMPUTED_VALUE"""),"#VALUE!")</f>
        <v>#VALUE!</v>
      </c>
      <c r="H58" s="51" t="str">
        <f>IFERROR(__xludf.DUMMYFUNCTION("""COMPUTED_VALUE"""),"")</f>
        <v/>
      </c>
      <c r="I58" s="51" t="str">
        <f>IFERROR(__xludf.DUMMYFUNCTION("""COMPUTED_VALUE"""),"#VALUE!")</f>
        <v>#VALUE!</v>
      </c>
      <c r="J58" s="51" t="str">
        <f>IFERROR(__xludf.DUMMYFUNCTION("""COMPUTED_VALUE"""),"")</f>
        <v/>
      </c>
      <c r="K58" s="51">
        <f t="shared" si="1"/>
        <v>0</v>
      </c>
      <c r="L58" s="51" t="s">
        <v>257</v>
      </c>
      <c r="M58" s="51"/>
      <c r="N58" s="51"/>
      <c r="O58" s="51"/>
      <c r="P58" s="51"/>
      <c r="Q58" s="51"/>
      <c r="R58" s="51"/>
      <c r="S58" s="51"/>
      <c r="T58" s="51"/>
    </row>
    <row r="59">
      <c r="A59" s="51"/>
      <c r="B59" s="51"/>
      <c r="C59" s="56"/>
      <c r="D59" s="51"/>
      <c r="E59" s="51"/>
      <c r="F59" s="51"/>
      <c r="G59" s="51" t="str">
        <f>IFERROR(__xludf.DUMMYFUNCTION("""COMPUTED_VALUE"""),"#VALUE!")</f>
        <v>#VALUE!</v>
      </c>
      <c r="H59" s="51" t="str">
        <f>IFERROR(__xludf.DUMMYFUNCTION("""COMPUTED_VALUE"""),"")</f>
        <v/>
      </c>
      <c r="I59" s="51" t="str">
        <f>IFERROR(__xludf.DUMMYFUNCTION("""COMPUTED_VALUE"""),"#VALUE!")</f>
        <v>#VALUE!</v>
      </c>
      <c r="J59" s="51" t="str">
        <f>IFERROR(__xludf.DUMMYFUNCTION("""COMPUTED_VALUE"""),"")</f>
        <v/>
      </c>
      <c r="K59" s="51">
        <f t="shared" si="1"/>
        <v>0</v>
      </c>
      <c r="L59" s="51" t="s">
        <v>257</v>
      </c>
      <c r="M59" s="51"/>
      <c r="N59" s="51"/>
      <c r="O59" s="51"/>
      <c r="P59" s="51"/>
      <c r="Q59" s="51"/>
      <c r="R59" s="51"/>
      <c r="S59" s="51"/>
      <c r="T59" s="51"/>
    </row>
    <row r="60">
      <c r="A60" s="51"/>
      <c r="B60" s="51"/>
      <c r="C60" s="56"/>
      <c r="D60" s="51"/>
      <c r="E60" s="51"/>
      <c r="F60" s="51"/>
      <c r="G60" s="51" t="str">
        <f>IFERROR(__xludf.DUMMYFUNCTION("""COMPUTED_VALUE"""),"#VALUE!")</f>
        <v>#VALUE!</v>
      </c>
      <c r="H60" s="51" t="str">
        <f>IFERROR(__xludf.DUMMYFUNCTION("""COMPUTED_VALUE"""),"")</f>
        <v/>
      </c>
      <c r="I60" s="51" t="str">
        <f>IFERROR(__xludf.DUMMYFUNCTION("""COMPUTED_VALUE"""),"#VALUE!")</f>
        <v>#VALUE!</v>
      </c>
      <c r="J60" s="51" t="str">
        <f>IFERROR(__xludf.DUMMYFUNCTION("""COMPUTED_VALUE"""),"")</f>
        <v/>
      </c>
      <c r="K60" s="51">
        <f t="shared" si="1"/>
        <v>0</v>
      </c>
      <c r="L60" s="51" t="s">
        <v>257</v>
      </c>
      <c r="M60" s="51"/>
      <c r="N60" s="51"/>
      <c r="O60" s="51"/>
      <c r="P60" s="51"/>
      <c r="Q60" s="51"/>
      <c r="R60" s="51"/>
      <c r="S60" s="51"/>
      <c r="T60" s="51"/>
    </row>
    <row r="61">
      <c r="A61" s="51"/>
      <c r="B61" s="51"/>
      <c r="C61" s="56"/>
      <c r="D61" s="51"/>
      <c r="E61" s="51"/>
      <c r="F61" s="51"/>
      <c r="G61" s="51" t="str">
        <f>IFERROR(__xludf.DUMMYFUNCTION("""COMPUTED_VALUE"""),"#VALUE!")</f>
        <v>#VALUE!</v>
      </c>
      <c r="H61" s="51" t="str">
        <f>IFERROR(__xludf.DUMMYFUNCTION("""COMPUTED_VALUE"""),"")</f>
        <v/>
      </c>
      <c r="I61" s="51" t="str">
        <f>IFERROR(__xludf.DUMMYFUNCTION("""COMPUTED_VALUE"""),"#VALUE!")</f>
        <v>#VALUE!</v>
      </c>
      <c r="J61" s="51" t="str">
        <f>IFERROR(__xludf.DUMMYFUNCTION("""COMPUTED_VALUE"""),"")</f>
        <v/>
      </c>
      <c r="K61" s="51">
        <f t="shared" si="1"/>
        <v>0</v>
      </c>
      <c r="L61" s="51" t="s">
        <v>257</v>
      </c>
      <c r="M61" s="51"/>
      <c r="N61" s="51"/>
      <c r="O61" s="51"/>
      <c r="P61" s="51"/>
      <c r="Q61" s="51"/>
      <c r="R61" s="51"/>
      <c r="S61" s="51"/>
      <c r="T61" s="51"/>
    </row>
    <row r="62">
      <c r="A62" s="51"/>
      <c r="B62" s="51"/>
      <c r="C62" s="56"/>
      <c r="D62" s="51"/>
      <c r="E62" s="51"/>
      <c r="F62" s="51"/>
      <c r="G62" s="51" t="str">
        <f>IFERROR(__xludf.DUMMYFUNCTION("""COMPUTED_VALUE"""),"#VALUE!")</f>
        <v>#VALUE!</v>
      </c>
      <c r="H62" s="51" t="str">
        <f>IFERROR(__xludf.DUMMYFUNCTION("""COMPUTED_VALUE"""),"")</f>
        <v/>
      </c>
      <c r="I62" s="51" t="str">
        <f>IFERROR(__xludf.DUMMYFUNCTION("""COMPUTED_VALUE"""),"#VALUE!")</f>
        <v>#VALUE!</v>
      </c>
      <c r="J62" s="51" t="str">
        <f>IFERROR(__xludf.DUMMYFUNCTION("""COMPUTED_VALUE"""),"")</f>
        <v/>
      </c>
      <c r="K62" s="51">
        <f t="shared" si="1"/>
        <v>0</v>
      </c>
      <c r="L62" s="51" t="s">
        <v>257</v>
      </c>
      <c r="M62" s="51"/>
      <c r="N62" s="51"/>
      <c r="O62" s="51"/>
      <c r="P62" s="51"/>
      <c r="Q62" s="51"/>
      <c r="R62" s="51"/>
      <c r="S62" s="51"/>
      <c r="T62" s="51"/>
    </row>
    <row r="63">
      <c r="A63" s="51"/>
      <c r="B63" s="51"/>
      <c r="C63" s="56"/>
      <c r="D63" s="51"/>
      <c r="E63" s="51"/>
      <c r="F63" s="51"/>
      <c r="G63" s="51" t="str">
        <f>IFERROR(__xludf.DUMMYFUNCTION("""COMPUTED_VALUE"""),"#VALUE!")</f>
        <v>#VALUE!</v>
      </c>
      <c r="H63" s="51" t="str">
        <f>IFERROR(__xludf.DUMMYFUNCTION("""COMPUTED_VALUE"""),"")</f>
        <v/>
      </c>
      <c r="I63" s="51" t="str">
        <f>IFERROR(__xludf.DUMMYFUNCTION("""COMPUTED_VALUE"""),"#VALUE!")</f>
        <v>#VALUE!</v>
      </c>
      <c r="J63" s="51" t="str">
        <f>IFERROR(__xludf.DUMMYFUNCTION("""COMPUTED_VALUE"""),"")</f>
        <v/>
      </c>
      <c r="K63" s="51">
        <f t="shared" si="1"/>
        <v>0</v>
      </c>
      <c r="L63" s="51" t="s">
        <v>257</v>
      </c>
      <c r="M63" s="51"/>
      <c r="N63" s="51"/>
      <c r="O63" s="51"/>
      <c r="P63" s="51"/>
      <c r="Q63" s="51"/>
      <c r="R63" s="51"/>
      <c r="S63" s="51"/>
      <c r="T63" s="51"/>
    </row>
    <row r="64">
      <c r="A64" s="51"/>
      <c r="B64" s="51"/>
      <c r="C64" s="56"/>
      <c r="D64" s="51"/>
      <c r="E64" s="51"/>
      <c r="F64" s="51"/>
      <c r="G64" s="51" t="str">
        <f>IFERROR(__xludf.DUMMYFUNCTION("""COMPUTED_VALUE"""),"#VALUE!")</f>
        <v>#VALUE!</v>
      </c>
      <c r="H64" s="51" t="str">
        <f>IFERROR(__xludf.DUMMYFUNCTION("""COMPUTED_VALUE"""),"")</f>
        <v/>
      </c>
      <c r="I64" s="51" t="str">
        <f>IFERROR(__xludf.DUMMYFUNCTION("""COMPUTED_VALUE"""),"#VALUE!")</f>
        <v>#VALUE!</v>
      </c>
      <c r="J64" s="51" t="str">
        <f>IFERROR(__xludf.DUMMYFUNCTION("""COMPUTED_VALUE"""),"")</f>
        <v/>
      </c>
      <c r="K64" s="51"/>
      <c r="L64" s="51" t="s">
        <v>257</v>
      </c>
      <c r="M64" s="51"/>
      <c r="N64" s="51"/>
      <c r="O64" s="51"/>
      <c r="P64" s="51"/>
      <c r="Q64" s="51"/>
      <c r="R64" s="51"/>
      <c r="S64" s="51"/>
      <c r="T64" s="51"/>
    </row>
    <row r="65">
      <c r="A65" s="51"/>
      <c r="B65" s="51"/>
      <c r="C65" s="56"/>
      <c r="D65" s="51"/>
      <c r="E65" s="51"/>
      <c r="F65" s="51"/>
      <c r="G65" s="51" t="str">
        <f>IFERROR(__xludf.DUMMYFUNCTION("""COMPUTED_VALUE"""),"#VALUE!")</f>
        <v>#VALUE!</v>
      </c>
      <c r="H65" s="51" t="str">
        <f>IFERROR(__xludf.DUMMYFUNCTION("""COMPUTED_VALUE"""),"")</f>
        <v/>
      </c>
      <c r="I65" s="51" t="str">
        <f>IFERROR(__xludf.DUMMYFUNCTION("""COMPUTED_VALUE"""),"#VALUE!")</f>
        <v>#VALUE!</v>
      </c>
      <c r="J65" s="51" t="str">
        <f>IFERROR(__xludf.DUMMYFUNCTION("""COMPUTED_VALUE"""),"")</f>
        <v/>
      </c>
      <c r="K65" s="51"/>
      <c r="L65" s="51" t="s">
        <v>257</v>
      </c>
      <c r="M65" s="51"/>
      <c r="N65" s="51"/>
      <c r="O65" s="51"/>
      <c r="P65" s="51"/>
      <c r="Q65" s="51"/>
      <c r="R65" s="51"/>
      <c r="S65" s="51"/>
      <c r="T65" s="51"/>
    </row>
    <row r="66">
      <c r="A66" s="51"/>
      <c r="B66" s="51"/>
      <c r="C66" s="56"/>
      <c r="D66" s="51"/>
      <c r="E66" s="51"/>
      <c r="F66" s="51"/>
      <c r="G66" s="51" t="str">
        <f>IFERROR(__xludf.DUMMYFUNCTION("""COMPUTED_VALUE"""),"#VALUE!")</f>
        <v>#VALUE!</v>
      </c>
      <c r="H66" s="51" t="str">
        <f>IFERROR(__xludf.DUMMYFUNCTION("""COMPUTED_VALUE"""),"")</f>
        <v/>
      </c>
      <c r="I66" s="51" t="str">
        <f>IFERROR(__xludf.DUMMYFUNCTION("""COMPUTED_VALUE"""),"#VALUE!")</f>
        <v>#VALUE!</v>
      </c>
      <c r="J66" s="51" t="str">
        <f>IFERROR(__xludf.DUMMYFUNCTION("""COMPUTED_VALUE"""),"")</f>
        <v/>
      </c>
      <c r="K66" s="51"/>
      <c r="L66" s="51" t="s">
        <v>257</v>
      </c>
      <c r="M66" s="51"/>
      <c r="N66" s="51"/>
      <c r="O66" s="51"/>
      <c r="P66" s="51"/>
      <c r="Q66" s="51"/>
      <c r="R66" s="51"/>
      <c r="S66" s="51"/>
      <c r="T66" s="51"/>
    </row>
    <row r="67">
      <c r="A67" s="51"/>
      <c r="B67" s="51"/>
      <c r="C67" s="56"/>
      <c r="D67" s="51"/>
      <c r="E67" s="51"/>
      <c r="F67" s="51"/>
      <c r="G67" s="51" t="str">
        <f>IFERROR(__xludf.DUMMYFUNCTION("""COMPUTED_VALUE"""),"#VALUE!")</f>
        <v>#VALUE!</v>
      </c>
      <c r="H67" s="51" t="str">
        <f>IFERROR(__xludf.DUMMYFUNCTION("""COMPUTED_VALUE"""),"")</f>
        <v/>
      </c>
      <c r="I67" s="51" t="str">
        <f>IFERROR(__xludf.DUMMYFUNCTION("""COMPUTED_VALUE"""),"#VALUE!")</f>
        <v>#VALUE!</v>
      </c>
      <c r="J67" s="51" t="str">
        <f>IFERROR(__xludf.DUMMYFUNCTION("""COMPUTED_VALUE"""),"")</f>
        <v/>
      </c>
      <c r="K67" s="51"/>
      <c r="L67" s="51" t="s">
        <v>257</v>
      </c>
      <c r="M67" s="51"/>
      <c r="N67" s="51"/>
      <c r="O67" s="51"/>
      <c r="P67" s="51"/>
      <c r="Q67" s="51"/>
      <c r="R67" s="51"/>
      <c r="S67" s="51"/>
      <c r="T67" s="51"/>
    </row>
    <row r="68">
      <c r="A68" s="51"/>
      <c r="B68" s="51"/>
      <c r="C68" s="56"/>
      <c r="D68" s="51"/>
      <c r="E68" s="51"/>
      <c r="F68" s="51"/>
      <c r="G68" s="51" t="str">
        <f>IFERROR(__xludf.DUMMYFUNCTION("""COMPUTED_VALUE"""),"#VALUE!")</f>
        <v>#VALUE!</v>
      </c>
      <c r="H68" s="51" t="str">
        <f>IFERROR(__xludf.DUMMYFUNCTION("""COMPUTED_VALUE"""),"")</f>
        <v/>
      </c>
      <c r="I68" s="51" t="str">
        <f>IFERROR(__xludf.DUMMYFUNCTION("""COMPUTED_VALUE"""),"#VALUE!")</f>
        <v>#VALUE!</v>
      </c>
      <c r="J68" s="51" t="str">
        <f>IFERROR(__xludf.DUMMYFUNCTION("""COMPUTED_VALUE"""),"")</f>
        <v/>
      </c>
      <c r="K68" s="51"/>
      <c r="L68" s="51" t="s">
        <v>257</v>
      </c>
      <c r="M68" s="51"/>
      <c r="N68" s="51"/>
      <c r="O68" s="51"/>
      <c r="P68" s="51"/>
      <c r="Q68" s="51"/>
      <c r="R68" s="51"/>
      <c r="S68" s="51"/>
      <c r="T68" s="51"/>
    </row>
    <row r="69">
      <c r="A69" s="51"/>
      <c r="B69" s="51"/>
      <c r="C69" s="56"/>
      <c r="D69" s="51"/>
      <c r="E69" s="51"/>
      <c r="F69" s="51"/>
      <c r="G69" s="51" t="str">
        <f>IFERROR(__xludf.DUMMYFUNCTION("""COMPUTED_VALUE"""),"#VALUE!")</f>
        <v>#VALUE!</v>
      </c>
      <c r="H69" s="51" t="str">
        <f>IFERROR(__xludf.DUMMYFUNCTION("""COMPUTED_VALUE"""),"")</f>
        <v/>
      </c>
      <c r="I69" s="51" t="str">
        <f>IFERROR(__xludf.DUMMYFUNCTION("""COMPUTED_VALUE"""),"#VALUE!")</f>
        <v>#VALUE!</v>
      </c>
      <c r="J69" s="51" t="str">
        <f>IFERROR(__xludf.DUMMYFUNCTION("""COMPUTED_VALUE"""),"")</f>
        <v/>
      </c>
      <c r="K69" s="51"/>
      <c r="L69" s="51" t="s">
        <v>257</v>
      </c>
      <c r="M69" s="51"/>
      <c r="N69" s="51"/>
      <c r="O69" s="51"/>
      <c r="P69" s="51"/>
      <c r="Q69" s="51"/>
      <c r="R69" s="51"/>
      <c r="S69" s="51"/>
      <c r="T69" s="51"/>
    </row>
    <row r="70">
      <c r="A70" s="51"/>
      <c r="B70" s="51"/>
      <c r="C70" s="56"/>
      <c r="D70" s="51"/>
      <c r="E70" s="51"/>
      <c r="F70" s="51"/>
      <c r="G70" s="51" t="str">
        <f>IFERROR(__xludf.DUMMYFUNCTION("""COMPUTED_VALUE"""),"#VALUE!")</f>
        <v>#VALUE!</v>
      </c>
      <c r="H70" s="51" t="str">
        <f>IFERROR(__xludf.DUMMYFUNCTION("""COMPUTED_VALUE"""),"")</f>
        <v/>
      </c>
      <c r="I70" s="51" t="str">
        <f>IFERROR(__xludf.DUMMYFUNCTION("""COMPUTED_VALUE"""),"#VALUE!")</f>
        <v>#VALUE!</v>
      </c>
      <c r="J70" s="51" t="str">
        <f>IFERROR(__xludf.DUMMYFUNCTION("""COMPUTED_VALUE"""),"")</f>
        <v/>
      </c>
      <c r="K70" s="51"/>
      <c r="L70" s="51" t="s">
        <v>257</v>
      </c>
      <c r="M70" s="51"/>
      <c r="N70" s="51"/>
      <c r="O70" s="51"/>
      <c r="P70" s="51"/>
      <c r="Q70" s="51"/>
      <c r="R70" s="51"/>
      <c r="S70" s="51"/>
      <c r="T70" s="51"/>
    </row>
    <row r="71">
      <c r="A71" s="51"/>
      <c r="B71" s="51"/>
      <c r="C71" s="56"/>
      <c r="D71" s="51"/>
      <c r="E71" s="51"/>
      <c r="F71" s="51"/>
      <c r="G71" s="51" t="str">
        <f>IFERROR(__xludf.DUMMYFUNCTION("""COMPUTED_VALUE"""),"#VALUE!")</f>
        <v>#VALUE!</v>
      </c>
      <c r="H71" s="51" t="str">
        <f>IFERROR(__xludf.DUMMYFUNCTION("""COMPUTED_VALUE"""),"")</f>
        <v/>
      </c>
      <c r="I71" s="51" t="str">
        <f>IFERROR(__xludf.DUMMYFUNCTION("""COMPUTED_VALUE"""),"#VALUE!")</f>
        <v>#VALUE!</v>
      </c>
      <c r="J71" s="51" t="str">
        <f>IFERROR(__xludf.DUMMYFUNCTION("""COMPUTED_VALUE"""),"")</f>
        <v/>
      </c>
      <c r="K71" s="51"/>
      <c r="L71" s="51" t="s">
        <v>257</v>
      </c>
      <c r="M71" s="51"/>
      <c r="N71" s="51"/>
      <c r="O71" s="51"/>
      <c r="P71" s="51"/>
      <c r="Q71" s="51"/>
      <c r="R71" s="51"/>
      <c r="S71" s="51"/>
      <c r="T71" s="51"/>
    </row>
    <row r="72">
      <c r="A72" s="51"/>
      <c r="B72" s="51"/>
      <c r="C72" s="56"/>
      <c r="D72" s="51"/>
      <c r="E72" s="51"/>
      <c r="F72" s="51"/>
      <c r="G72" s="51" t="str">
        <f>IFERROR(__xludf.DUMMYFUNCTION("""COMPUTED_VALUE"""),"#VALUE!")</f>
        <v>#VALUE!</v>
      </c>
      <c r="H72" s="51" t="str">
        <f>IFERROR(__xludf.DUMMYFUNCTION("""COMPUTED_VALUE"""),"")</f>
        <v/>
      </c>
      <c r="I72" s="51" t="str">
        <f>IFERROR(__xludf.DUMMYFUNCTION("""COMPUTED_VALUE"""),"#VALUE!")</f>
        <v>#VALUE!</v>
      </c>
      <c r="J72" s="51" t="str">
        <f>IFERROR(__xludf.DUMMYFUNCTION("""COMPUTED_VALUE"""),"")</f>
        <v/>
      </c>
      <c r="K72" s="51"/>
      <c r="L72" s="51" t="s">
        <v>257</v>
      </c>
      <c r="M72" s="51"/>
      <c r="N72" s="51"/>
      <c r="O72" s="51"/>
      <c r="P72" s="51"/>
      <c r="Q72" s="51"/>
      <c r="R72" s="51"/>
      <c r="S72" s="51"/>
      <c r="T72" s="51"/>
    </row>
    <row r="73">
      <c r="A73" s="51"/>
      <c r="B73" s="51"/>
      <c r="C73" s="56"/>
      <c r="D73" s="51"/>
      <c r="E73" s="51"/>
      <c r="F73" s="51"/>
      <c r="G73" s="51" t="str">
        <f>IFERROR(__xludf.DUMMYFUNCTION("""COMPUTED_VALUE"""),"#VALUE!")</f>
        <v>#VALUE!</v>
      </c>
      <c r="H73" s="51" t="str">
        <f>IFERROR(__xludf.DUMMYFUNCTION("""COMPUTED_VALUE"""),"")</f>
        <v/>
      </c>
      <c r="I73" s="51" t="str">
        <f>IFERROR(__xludf.DUMMYFUNCTION("""COMPUTED_VALUE"""),"#VALUE!")</f>
        <v>#VALUE!</v>
      </c>
      <c r="J73" s="51" t="str">
        <f>IFERROR(__xludf.DUMMYFUNCTION("""COMPUTED_VALUE"""),"")</f>
        <v/>
      </c>
      <c r="K73" s="51"/>
      <c r="L73" s="51" t="s">
        <v>257</v>
      </c>
      <c r="M73" s="51"/>
      <c r="N73" s="51"/>
      <c r="O73" s="51"/>
      <c r="P73" s="51"/>
      <c r="Q73" s="51"/>
      <c r="R73" s="51"/>
      <c r="S73" s="51"/>
      <c r="T73" s="51"/>
    </row>
    <row r="74">
      <c r="A74" s="51"/>
      <c r="B74" s="51"/>
      <c r="C74" s="56"/>
      <c r="D74" s="51"/>
      <c r="E74" s="51"/>
      <c r="F74" s="51"/>
      <c r="G74" s="51" t="str">
        <f>IFERROR(__xludf.DUMMYFUNCTION("""COMPUTED_VALUE"""),"#VALUE!")</f>
        <v>#VALUE!</v>
      </c>
      <c r="H74" s="51" t="str">
        <f>IFERROR(__xludf.DUMMYFUNCTION("""COMPUTED_VALUE"""),"")</f>
        <v/>
      </c>
      <c r="I74" s="51" t="str">
        <f>IFERROR(__xludf.DUMMYFUNCTION("""COMPUTED_VALUE"""),"#VALUE!")</f>
        <v>#VALUE!</v>
      </c>
      <c r="J74" s="51" t="str">
        <f>IFERROR(__xludf.DUMMYFUNCTION("""COMPUTED_VALUE"""),"")</f>
        <v/>
      </c>
      <c r="K74" s="51"/>
      <c r="L74" s="51" t="s">
        <v>257</v>
      </c>
      <c r="M74" s="51"/>
      <c r="N74" s="51"/>
      <c r="O74" s="51"/>
      <c r="P74" s="51"/>
      <c r="Q74" s="51"/>
      <c r="R74" s="51"/>
      <c r="S74" s="51"/>
      <c r="T74" s="51"/>
    </row>
    <row r="75">
      <c r="A75" s="51"/>
      <c r="B75" s="51"/>
      <c r="C75" s="56"/>
      <c r="D75" s="51"/>
      <c r="E75" s="51"/>
      <c r="F75" s="51"/>
      <c r="G75" s="51" t="str">
        <f>IFERROR(__xludf.DUMMYFUNCTION("""COMPUTED_VALUE"""),"#VALUE!")</f>
        <v>#VALUE!</v>
      </c>
      <c r="H75" s="51" t="str">
        <f>IFERROR(__xludf.DUMMYFUNCTION("""COMPUTED_VALUE"""),"")</f>
        <v/>
      </c>
      <c r="I75" s="51" t="str">
        <f>IFERROR(__xludf.DUMMYFUNCTION("""COMPUTED_VALUE"""),"#VALUE!")</f>
        <v>#VALUE!</v>
      </c>
      <c r="J75" s="51" t="str">
        <f>IFERROR(__xludf.DUMMYFUNCTION("""COMPUTED_VALUE"""),"")</f>
        <v/>
      </c>
      <c r="K75" s="51"/>
      <c r="L75" s="51" t="s">
        <v>257</v>
      </c>
      <c r="M75" s="51"/>
      <c r="N75" s="51"/>
      <c r="O75" s="51"/>
      <c r="P75" s="51"/>
      <c r="Q75" s="51"/>
      <c r="R75" s="51"/>
      <c r="S75" s="51"/>
      <c r="T75" s="51"/>
    </row>
    <row r="76">
      <c r="A76" s="51"/>
      <c r="B76" s="51"/>
      <c r="C76" s="56"/>
      <c r="D76" s="51"/>
      <c r="E76" s="51"/>
      <c r="F76" s="51"/>
      <c r="G76" s="51" t="str">
        <f>IFERROR(__xludf.DUMMYFUNCTION("""COMPUTED_VALUE"""),"#VALUE!")</f>
        <v>#VALUE!</v>
      </c>
      <c r="H76" s="51" t="str">
        <f>IFERROR(__xludf.DUMMYFUNCTION("""COMPUTED_VALUE"""),"")</f>
        <v/>
      </c>
      <c r="I76" s="51" t="str">
        <f>IFERROR(__xludf.DUMMYFUNCTION("""COMPUTED_VALUE"""),"#VALUE!")</f>
        <v>#VALUE!</v>
      </c>
      <c r="J76" s="51" t="str">
        <f>IFERROR(__xludf.DUMMYFUNCTION("""COMPUTED_VALUE"""),"")</f>
        <v/>
      </c>
      <c r="K76" s="51"/>
      <c r="L76" s="51" t="s">
        <v>257</v>
      </c>
      <c r="M76" s="51"/>
      <c r="N76" s="51"/>
      <c r="O76" s="51"/>
      <c r="P76" s="51"/>
      <c r="Q76" s="51"/>
      <c r="R76" s="51"/>
      <c r="S76" s="51"/>
      <c r="T76" s="51"/>
    </row>
    <row r="77">
      <c r="A77" s="51"/>
      <c r="B77" s="51"/>
      <c r="C77" s="56"/>
      <c r="D77" s="51"/>
      <c r="E77" s="51"/>
      <c r="F77" s="51"/>
      <c r="G77" s="51" t="str">
        <f>IFERROR(__xludf.DUMMYFUNCTION("""COMPUTED_VALUE"""),"#VALUE!")</f>
        <v>#VALUE!</v>
      </c>
      <c r="H77" s="51" t="str">
        <f>IFERROR(__xludf.DUMMYFUNCTION("""COMPUTED_VALUE"""),"")</f>
        <v/>
      </c>
      <c r="I77" s="51" t="str">
        <f>IFERROR(__xludf.DUMMYFUNCTION("""COMPUTED_VALUE"""),"#VALUE!")</f>
        <v>#VALUE!</v>
      </c>
      <c r="J77" s="51" t="str">
        <f>IFERROR(__xludf.DUMMYFUNCTION("""COMPUTED_VALUE"""),"")</f>
        <v/>
      </c>
      <c r="K77" s="51"/>
      <c r="L77" s="51" t="s">
        <v>257</v>
      </c>
      <c r="M77" s="51"/>
      <c r="N77" s="51"/>
      <c r="O77" s="51"/>
      <c r="P77" s="51"/>
      <c r="Q77" s="51"/>
      <c r="R77" s="51"/>
      <c r="S77" s="51"/>
      <c r="T77" s="51"/>
    </row>
    <row r="78">
      <c r="A78" s="51"/>
      <c r="B78" s="51"/>
      <c r="C78" s="56"/>
      <c r="D78" s="51"/>
      <c r="E78" s="51"/>
      <c r="F78" s="51"/>
      <c r="G78" s="51" t="str">
        <f>IFERROR(__xludf.DUMMYFUNCTION("""COMPUTED_VALUE"""),"#VALUE!")</f>
        <v>#VALUE!</v>
      </c>
      <c r="H78" s="51" t="str">
        <f>IFERROR(__xludf.DUMMYFUNCTION("""COMPUTED_VALUE"""),"")</f>
        <v/>
      </c>
      <c r="I78" s="51" t="str">
        <f>IFERROR(__xludf.DUMMYFUNCTION("""COMPUTED_VALUE"""),"#VALUE!")</f>
        <v>#VALUE!</v>
      </c>
      <c r="J78" s="51" t="str">
        <f>IFERROR(__xludf.DUMMYFUNCTION("""COMPUTED_VALUE"""),"")</f>
        <v/>
      </c>
      <c r="K78" s="51"/>
      <c r="L78" s="51" t="s">
        <v>257</v>
      </c>
      <c r="M78" s="51"/>
      <c r="N78" s="51"/>
      <c r="O78" s="51"/>
      <c r="P78" s="51"/>
      <c r="Q78" s="51"/>
      <c r="R78" s="51"/>
      <c r="S78" s="51"/>
      <c r="T78" s="51"/>
    </row>
    <row r="79">
      <c r="A79" s="51"/>
      <c r="B79" s="51"/>
      <c r="C79" s="56"/>
      <c r="D79" s="51"/>
      <c r="E79" s="51"/>
      <c r="F79" s="51"/>
      <c r="G79" s="51" t="str">
        <f>IFERROR(__xludf.DUMMYFUNCTION("""COMPUTED_VALUE"""),"#VALUE!")</f>
        <v>#VALUE!</v>
      </c>
      <c r="H79" s="51" t="str">
        <f>IFERROR(__xludf.DUMMYFUNCTION("""COMPUTED_VALUE"""),"")</f>
        <v/>
      </c>
      <c r="I79" s="51" t="str">
        <f>IFERROR(__xludf.DUMMYFUNCTION("""COMPUTED_VALUE"""),"#VALUE!")</f>
        <v>#VALUE!</v>
      </c>
      <c r="J79" s="51" t="str">
        <f>IFERROR(__xludf.DUMMYFUNCTION("""COMPUTED_VALUE"""),"")</f>
        <v/>
      </c>
      <c r="K79" s="51"/>
      <c r="L79" s="51" t="s">
        <v>257</v>
      </c>
      <c r="M79" s="51"/>
      <c r="N79" s="51"/>
      <c r="O79" s="51"/>
      <c r="P79" s="51"/>
      <c r="Q79" s="51"/>
      <c r="R79" s="51"/>
      <c r="S79" s="51"/>
      <c r="T79" s="51"/>
    </row>
    <row r="80">
      <c r="A80" s="51"/>
      <c r="B80" s="51"/>
      <c r="C80" s="56"/>
      <c r="D80" s="51"/>
      <c r="E80" s="51"/>
      <c r="F80" s="51"/>
      <c r="G80" s="51" t="str">
        <f>IFERROR(__xludf.DUMMYFUNCTION("""COMPUTED_VALUE"""),"#VALUE!")</f>
        <v>#VALUE!</v>
      </c>
      <c r="H80" s="51" t="str">
        <f>IFERROR(__xludf.DUMMYFUNCTION("""COMPUTED_VALUE"""),"")</f>
        <v/>
      </c>
      <c r="I80" s="51" t="str">
        <f>IFERROR(__xludf.DUMMYFUNCTION("""COMPUTED_VALUE"""),"#VALUE!")</f>
        <v>#VALUE!</v>
      </c>
      <c r="J80" s="51" t="str">
        <f>IFERROR(__xludf.DUMMYFUNCTION("""COMPUTED_VALUE"""),"")</f>
        <v/>
      </c>
      <c r="K80" s="51"/>
      <c r="L80" s="51" t="s">
        <v>257</v>
      </c>
      <c r="M80" s="51"/>
      <c r="N80" s="51"/>
      <c r="O80" s="51"/>
      <c r="P80" s="51"/>
      <c r="Q80" s="51"/>
      <c r="R80" s="51"/>
      <c r="S80" s="51"/>
      <c r="T80" s="51"/>
    </row>
    <row r="81">
      <c r="A81" s="51"/>
      <c r="B81" s="51"/>
      <c r="C81" s="56"/>
      <c r="D81" s="51"/>
      <c r="E81" s="51"/>
      <c r="F81" s="51"/>
      <c r="G81" s="51" t="str">
        <f>IFERROR(__xludf.DUMMYFUNCTION("""COMPUTED_VALUE"""),"#VALUE!")</f>
        <v>#VALUE!</v>
      </c>
      <c r="H81" s="51" t="str">
        <f>IFERROR(__xludf.DUMMYFUNCTION("""COMPUTED_VALUE"""),"")</f>
        <v/>
      </c>
      <c r="I81" s="51" t="str">
        <f>IFERROR(__xludf.DUMMYFUNCTION("""COMPUTED_VALUE"""),"#VALUE!")</f>
        <v>#VALUE!</v>
      </c>
      <c r="J81" s="51" t="str">
        <f>IFERROR(__xludf.DUMMYFUNCTION("""COMPUTED_VALUE"""),"")</f>
        <v/>
      </c>
      <c r="K81" s="51"/>
      <c r="L81" s="51" t="s">
        <v>257</v>
      </c>
      <c r="M81" s="51"/>
      <c r="N81" s="51"/>
      <c r="O81" s="51"/>
      <c r="P81" s="51"/>
      <c r="Q81" s="51"/>
      <c r="R81" s="51"/>
      <c r="S81" s="51"/>
      <c r="T81" s="51"/>
    </row>
    <row r="82">
      <c r="A82" s="51"/>
      <c r="B82" s="51"/>
      <c r="C82" s="56"/>
      <c r="D82" s="51"/>
      <c r="E82" s="51"/>
      <c r="F82" s="51"/>
      <c r="G82" s="51" t="str">
        <f>IFERROR(__xludf.DUMMYFUNCTION("""COMPUTED_VALUE"""),"#VALUE!")</f>
        <v>#VALUE!</v>
      </c>
      <c r="H82" s="51" t="str">
        <f>IFERROR(__xludf.DUMMYFUNCTION("""COMPUTED_VALUE"""),"")</f>
        <v/>
      </c>
      <c r="I82" s="51" t="str">
        <f>IFERROR(__xludf.DUMMYFUNCTION("""COMPUTED_VALUE"""),"#VALUE!")</f>
        <v>#VALUE!</v>
      </c>
      <c r="J82" s="51" t="str">
        <f>IFERROR(__xludf.DUMMYFUNCTION("""COMPUTED_VALUE"""),"")</f>
        <v/>
      </c>
      <c r="K82" s="51"/>
      <c r="L82" s="51" t="s">
        <v>257</v>
      </c>
      <c r="M82" s="51"/>
      <c r="N82" s="51"/>
      <c r="O82" s="51"/>
      <c r="P82" s="51"/>
      <c r="Q82" s="51"/>
      <c r="R82" s="51"/>
      <c r="S82" s="51"/>
      <c r="T82" s="51"/>
    </row>
    <row r="83">
      <c r="A83" s="51"/>
      <c r="B83" s="51"/>
      <c r="C83" s="56"/>
      <c r="D83" s="51"/>
      <c r="E83" s="51"/>
      <c r="F83" s="51"/>
      <c r="G83" s="51" t="str">
        <f>IFERROR(__xludf.DUMMYFUNCTION("""COMPUTED_VALUE"""),"#VALUE!")</f>
        <v>#VALUE!</v>
      </c>
      <c r="H83" s="51" t="str">
        <f>IFERROR(__xludf.DUMMYFUNCTION("""COMPUTED_VALUE"""),"")</f>
        <v/>
      </c>
      <c r="I83" s="51" t="str">
        <f>IFERROR(__xludf.DUMMYFUNCTION("""COMPUTED_VALUE"""),"#VALUE!")</f>
        <v>#VALUE!</v>
      </c>
      <c r="J83" s="51" t="str">
        <f>IFERROR(__xludf.DUMMYFUNCTION("""COMPUTED_VALUE"""),"")</f>
        <v/>
      </c>
      <c r="K83" s="51"/>
      <c r="L83" s="51" t="s">
        <v>257</v>
      </c>
      <c r="M83" s="51"/>
      <c r="N83" s="51"/>
      <c r="O83" s="51"/>
      <c r="P83" s="51"/>
      <c r="Q83" s="51"/>
      <c r="R83" s="51"/>
      <c r="S83" s="51"/>
      <c r="T83" s="51"/>
    </row>
    <row r="84">
      <c r="A84" s="51"/>
      <c r="B84" s="51"/>
      <c r="C84" s="56"/>
      <c r="D84" s="51"/>
      <c r="E84" s="51"/>
      <c r="F84" s="51"/>
      <c r="G84" s="51" t="str">
        <f>IFERROR(__xludf.DUMMYFUNCTION("""COMPUTED_VALUE"""),"#VALUE!")</f>
        <v>#VALUE!</v>
      </c>
      <c r="H84" s="51" t="str">
        <f>IFERROR(__xludf.DUMMYFUNCTION("""COMPUTED_VALUE"""),"")</f>
        <v/>
      </c>
      <c r="I84" s="51" t="str">
        <f>IFERROR(__xludf.DUMMYFUNCTION("""COMPUTED_VALUE"""),"#VALUE!")</f>
        <v>#VALUE!</v>
      </c>
      <c r="J84" s="51" t="str">
        <f>IFERROR(__xludf.DUMMYFUNCTION("""COMPUTED_VALUE"""),"")</f>
        <v/>
      </c>
      <c r="K84" s="51"/>
      <c r="L84" s="51" t="s">
        <v>257</v>
      </c>
      <c r="M84" s="51"/>
      <c r="N84" s="51"/>
      <c r="O84" s="51"/>
      <c r="P84" s="51"/>
      <c r="Q84" s="51"/>
      <c r="R84" s="51"/>
      <c r="S84" s="51"/>
      <c r="T84" s="51"/>
    </row>
    <row r="85">
      <c r="A85" s="51"/>
      <c r="B85" s="51"/>
      <c r="C85" s="56"/>
      <c r="D85" s="51"/>
      <c r="E85" s="51"/>
      <c r="F85" s="51"/>
      <c r="G85" s="51" t="str">
        <f>IFERROR(__xludf.DUMMYFUNCTION("""COMPUTED_VALUE"""),"#VALUE!")</f>
        <v>#VALUE!</v>
      </c>
      <c r="H85" s="51" t="str">
        <f>IFERROR(__xludf.DUMMYFUNCTION("""COMPUTED_VALUE"""),"")</f>
        <v/>
      </c>
      <c r="I85" s="51" t="str">
        <f>IFERROR(__xludf.DUMMYFUNCTION("""COMPUTED_VALUE"""),"#VALUE!")</f>
        <v>#VALUE!</v>
      </c>
      <c r="J85" s="51" t="str">
        <f>IFERROR(__xludf.DUMMYFUNCTION("""COMPUTED_VALUE"""),"")</f>
        <v/>
      </c>
      <c r="K85" s="51"/>
      <c r="L85" s="51" t="s">
        <v>257</v>
      </c>
      <c r="M85" s="51"/>
      <c r="N85" s="51"/>
      <c r="O85" s="51"/>
      <c r="P85" s="51"/>
      <c r="Q85" s="51"/>
      <c r="R85" s="51"/>
      <c r="S85" s="51"/>
      <c r="T85" s="51"/>
    </row>
    <row r="86">
      <c r="A86" s="51"/>
      <c r="B86" s="51"/>
      <c r="C86" s="56"/>
      <c r="D86" s="51"/>
      <c r="E86" s="51"/>
      <c r="F86" s="51"/>
      <c r="G86" s="51" t="str">
        <f>IFERROR(__xludf.DUMMYFUNCTION("""COMPUTED_VALUE"""),"#VALUE!")</f>
        <v>#VALUE!</v>
      </c>
      <c r="H86" s="51" t="str">
        <f>IFERROR(__xludf.DUMMYFUNCTION("""COMPUTED_VALUE"""),"")</f>
        <v/>
      </c>
      <c r="I86" s="51" t="str">
        <f>IFERROR(__xludf.DUMMYFUNCTION("""COMPUTED_VALUE"""),"#VALUE!")</f>
        <v>#VALUE!</v>
      </c>
      <c r="J86" s="51" t="str">
        <f>IFERROR(__xludf.DUMMYFUNCTION("""COMPUTED_VALUE"""),"")</f>
        <v/>
      </c>
      <c r="K86" s="51"/>
      <c r="L86" s="51" t="s">
        <v>257</v>
      </c>
      <c r="M86" s="51"/>
      <c r="N86" s="51"/>
      <c r="O86" s="51"/>
      <c r="P86" s="51"/>
      <c r="Q86" s="51"/>
      <c r="R86" s="51"/>
      <c r="S86" s="51"/>
      <c r="T86" s="51"/>
    </row>
    <row r="87">
      <c r="A87" s="51"/>
      <c r="B87" s="51"/>
      <c r="C87" s="56"/>
      <c r="D87" s="51"/>
      <c r="E87" s="51"/>
      <c r="F87" s="51"/>
      <c r="G87" s="51" t="str">
        <f>IFERROR(__xludf.DUMMYFUNCTION("""COMPUTED_VALUE"""),"#VALUE!")</f>
        <v>#VALUE!</v>
      </c>
      <c r="H87" s="51" t="str">
        <f>IFERROR(__xludf.DUMMYFUNCTION("""COMPUTED_VALUE"""),"")</f>
        <v/>
      </c>
      <c r="I87" s="51" t="str">
        <f>IFERROR(__xludf.DUMMYFUNCTION("""COMPUTED_VALUE"""),"#VALUE!")</f>
        <v>#VALUE!</v>
      </c>
      <c r="J87" s="51" t="str">
        <f>IFERROR(__xludf.DUMMYFUNCTION("""COMPUTED_VALUE"""),"")</f>
        <v/>
      </c>
      <c r="K87" s="51"/>
      <c r="L87" s="51" t="s">
        <v>257</v>
      </c>
      <c r="M87" s="51"/>
      <c r="N87" s="51"/>
      <c r="O87" s="51"/>
      <c r="P87" s="51"/>
      <c r="Q87" s="51"/>
      <c r="R87" s="51"/>
      <c r="S87" s="51"/>
      <c r="T87" s="51"/>
    </row>
    <row r="88">
      <c r="A88" s="51"/>
      <c r="B88" s="51"/>
      <c r="C88" s="56"/>
      <c r="D88" s="51"/>
      <c r="E88" s="51"/>
      <c r="F88" s="51"/>
      <c r="G88" s="51" t="str">
        <f>IFERROR(__xludf.DUMMYFUNCTION("""COMPUTED_VALUE"""),"#VALUE!")</f>
        <v>#VALUE!</v>
      </c>
      <c r="H88" s="51" t="str">
        <f>IFERROR(__xludf.DUMMYFUNCTION("""COMPUTED_VALUE"""),"")</f>
        <v/>
      </c>
      <c r="I88" s="51" t="str">
        <f>IFERROR(__xludf.DUMMYFUNCTION("""COMPUTED_VALUE"""),"#VALUE!")</f>
        <v>#VALUE!</v>
      </c>
      <c r="J88" s="51" t="str">
        <f>IFERROR(__xludf.DUMMYFUNCTION("""COMPUTED_VALUE"""),"")</f>
        <v/>
      </c>
      <c r="K88" s="51"/>
      <c r="L88" s="51" t="s">
        <v>257</v>
      </c>
      <c r="M88" s="51"/>
      <c r="N88" s="51"/>
      <c r="O88" s="51"/>
      <c r="P88" s="51"/>
      <c r="Q88" s="51"/>
      <c r="R88" s="51"/>
      <c r="S88" s="51"/>
      <c r="T88" s="51"/>
    </row>
    <row r="89">
      <c r="A89" s="51"/>
      <c r="B89" s="51"/>
      <c r="C89" s="56"/>
      <c r="D89" s="51"/>
      <c r="E89" s="51"/>
      <c r="F89" s="51"/>
      <c r="G89" s="51" t="str">
        <f>IFERROR(__xludf.DUMMYFUNCTION("""COMPUTED_VALUE"""),"#VALUE!")</f>
        <v>#VALUE!</v>
      </c>
      <c r="H89" s="51" t="str">
        <f>IFERROR(__xludf.DUMMYFUNCTION("""COMPUTED_VALUE"""),"")</f>
        <v/>
      </c>
      <c r="I89" s="51" t="str">
        <f>IFERROR(__xludf.DUMMYFUNCTION("""COMPUTED_VALUE"""),"#VALUE!")</f>
        <v>#VALUE!</v>
      </c>
      <c r="J89" s="51" t="str">
        <f>IFERROR(__xludf.DUMMYFUNCTION("""COMPUTED_VALUE"""),"")</f>
        <v/>
      </c>
      <c r="K89" s="51"/>
      <c r="L89" s="51" t="s">
        <v>257</v>
      </c>
      <c r="M89" s="51"/>
      <c r="N89" s="51"/>
      <c r="O89" s="51"/>
      <c r="P89" s="51"/>
      <c r="Q89" s="51"/>
      <c r="R89" s="51"/>
      <c r="S89" s="51"/>
      <c r="T89" s="51"/>
    </row>
    <row r="90">
      <c r="A90" s="51"/>
      <c r="B90" s="51"/>
      <c r="C90" s="56"/>
      <c r="D90" s="51"/>
      <c r="E90" s="51"/>
      <c r="F90" s="51"/>
      <c r="G90" s="51" t="str">
        <f>IFERROR(__xludf.DUMMYFUNCTION("""COMPUTED_VALUE"""),"#VALUE!")</f>
        <v>#VALUE!</v>
      </c>
      <c r="H90" s="51" t="str">
        <f>IFERROR(__xludf.DUMMYFUNCTION("""COMPUTED_VALUE"""),"")</f>
        <v/>
      </c>
      <c r="I90" s="51" t="str">
        <f>IFERROR(__xludf.DUMMYFUNCTION("""COMPUTED_VALUE"""),"#VALUE!")</f>
        <v>#VALUE!</v>
      </c>
      <c r="J90" s="51" t="str">
        <f>IFERROR(__xludf.DUMMYFUNCTION("""COMPUTED_VALUE"""),"")</f>
        <v/>
      </c>
      <c r="K90" s="51"/>
      <c r="L90" s="51" t="s">
        <v>257</v>
      </c>
      <c r="M90" s="51"/>
      <c r="N90" s="51"/>
      <c r="O90" s="51"/>
      <c r="P90" s="51"/>
      <c r="Q90" s="51"/>
      <c r="R90" s="51"/>
      <c r="S90" s="51"/>
      <c r="T90" s="51"/>
    </row>
    <row r="91">
      <c r="A91" s="51"/>
      <c r="B91" s="51"/>
      <c r="C91" s="56"/>
      <c r="D91" s="51"/>
      <c r="E91" s="51"/>
      <c r="F91" s="51"/>
      <c r="G91" s="51" t="str">
        <f>IFERROR(__xludf.DUMMYFUNCTION("""COMPUTED_VALUE"""),"#VALUE!")</f>
        <v>#VALUE!</v>
      </c>
      <c r="H91" s="51" t="str">
        <f>IFERROR(__xludf.DUMMYFUNCTION("""COMPUTED_VALUE"""),"")</f>
        <v/>
      </c>
      <c r="I91" s="51" t="str">
        <f>IFERROR(__xludf.DUMMYFUNCTION("""COMPUTED_VALUE"""),"#VALUE!")</f>
        <v>#VALUE!</v>
      </c>
      <c r="J91" s="51" t="str">
        <f>IFERROR(__xludf.DUMMYFUNCTION("""COMPUTED_VALUE"""),"")</f>
        <v/>
      </c>
      <c r="K91" s="51"/>
      <c r="L91" s="51" t="s">
        <v>257</v>
      </c>
      <c r="M91" s="51"/>
      <c r="N91" s="51"/>
      <c r="O91" s="51"/>
      <c r="P91" s="51"/>
      <c r="Q91" s="51"/>
      <c r="R91" s="51"/>
      <c r="S91" s="51"/>
      <c r="T91" s="51"/>
    </row>
    <row r="92">
      <c r="A92" s="51"/>
      <c r="B92" s="51"/>
      <c r="C92" s="56"/>
      <c r="D92" s="51"/>
      <c r="E92" s="51"/>
      <c r="F92" s="51"/>
      <c r="G92" s="51" t="str">
        <f>IFERROR(__xludf.DUMMYFUNCTION("""COMPUTED_VALUE"""),"#VALUE!")</f>
        <v>#VALUE!</v>
      </c>
      <c r="H92" s="51" t="str">
        <f>IFERROR(__xludf.DUMMYFUNCTION("""COMPUTED_VALUE"""),"")</f>
        <v/>
      </c>
      <c r="I92" s="51" t="str">
        <f>IFERROR(__xludf.DUMMYFUNCTION("""COMPUTED_VALUE"""),"#VALUE!")</f>
        <v>#VALUE!</v>
      </c>
      <c r="J92" s="51" t="str">
        <f>IFERROR(__xludf.DUMMYFUNCTION("""COMPUTED_VALUE"""),"")</f>
        <v/>
      </c>
      <c r="K92" s="51"/>
      <c r="L92" s="51" t="s">
        <v>257</v>
      </c>
      <c r="M92" s="51"/>
      <c r="N92" s="51"/>
      <c r="O92" s="51"/>
      <c r="P92" s="51"/>
      <c r="Q92" s="51"/>
      <c r="R92" s="51"/>
      <c r="S92" s="51"/>
      <c r="T92" s="51"/>
    </row>
    <row r="93">
      <c r="A93" s="51"/>
      <c r="B93" s="51"/>
      <c r="C93" s="56"/>
      <c r="D93" s="51"/>
      <c r="E93" s="51"/>
      <c r="F93" s="51"/>
      <c r="G93" s="51" t="str">
        <f>IFERROR(__xludf.DUMMYFUNCTION("""COMPUTED_VALUE"""),"#VALUE!")</f>
        <v>#VALUE!</v>
      </c>
      <c r="H93" s="51" t="str">
        <f>IFERROR(__xludf.DUMMYFUNCTION("""COMPUTED_VALUE"""),"")</f>
        <v/>
      </c>
      <c r="I93" s="51" t="str">
        <f>IFERROR(__xludf.DUMMYFUNCTION("""COMPUTED_VALUE"""),"#VALUE!")</f>
        <v>#VALUE!</v>
      </c>
      <c r="J93" s="51" t="str">
        <f>IFERROR(__xludf.DUMMYFUNCTION("""COMPUTED_VALUE"""),"")</f>
        <v/>
      </c>
      <c r="K93" s="51"/>
      <c r="L93" s="51" t="s">
        <v>257</v>
      </c>
      <c r="M93" s="51"/>
      <c r="N93" s="51"/>
      <c r="O93" s="51"/>
      <c r="P93" s="51"/>
      <c r="Q93" s="51"/>
      <c r="R93" s="51"/>
      <c r="S93" s="51"/>
      <c r="T93" s="51"/>
    </row>
    <row r="94">
      <c r="A94" s="51"/>
      <c r="B94" s="51"/>
      <c r="C94" s="56"/>
      <c r="D94" s="51"/>
      <c r="E94" s="51"/>
      <c r="F94" s="51"/>
      <c r="G94" s="51" t="str">
        <f>IFERROR(__xludf.DUMMYFUNCTION("""COMPUTED_VALUE"""),"#VALUE!")</f>
        <v>#VALUE!</v>
      </c>
      <c r="H94" s="51" t="str">
        <f>IFERROR(__xludf.DUMMYFUNCTION("""COMPUTED_VALUE"""),"")</f>
        <v/>
      </c>
      <c r="I94" s="51" t="str">
        <f>IFERROR(__xludf.DUMMYFUNCTION("""COMPUTED_VALUE"""),"#VALUE!")</f>
        <v>#VALUE!</v>
      </c>
      <c r="J94" s="51" t="str">
        <f>IFERROR(__xludf.DUMMYFUNCTION("""COMPUTED_VALUE"""),"")</f>
        <v/>
      </c>
      <c r="K94" s="51"/>
      <c r="L94" s="51" t="s">
        <v>257</v>
      </c>
      <c r="M94" s="51"/>
      <c r="N94" s="51"/>
      <c r="O94" s="51"/>
      <c r="P94" s="51"/>
      <c r="Q94" s="51"/>
      <c r="R94" s="51"/>
      <c r="S94" s="51"/>
      <c r="T94" s="51"/>
    </row>
    <row r="95">
      <c r="A95" s="51"/>
      <c r="B95" s="51"/>
      <c r="C95" s="56"/>
      <c r="D95" s="51"/>
      <c r="E95" s="51"/>
      <c r="F95" s="51"/>
      <c r="G95" s="51" t="str">
        <f>IFERROR(__xludf.DUMMYFUNCTION("""COMPUTED_VALUE"""),"#VALUE!")</f>
        <v>#VALUE!</v>
      </c>
      <c r="H95" s="51" t="str">
        <f>IFERROR(__xludf.DUMMYFUNCTION("""COMPUTED_VALUE"""),"")</f>
        <v/>
      </c>
      <c r="I95" s="51" t="str">
        <f>IFERROR(__xludf.DUMMYFUNCTION("""COMPUTED_VALUE"""),"#VALUE!")</f>
        <v>#VALUE!</v>
      </c>
      <c r="J95" s="51" t="str">
        <f>IFERROR(__xludf.DUMMYFUNCTION("""COMPUTED_VALUE"""),"")</f>
        <v/>
      </c>
      <c r="K95" s="51"/>
      <c r="L95" s="51" t="s">
        <v>257</v>
      </c>
      <c r="M95" s="51"/>
      <c r="N95" s="51"/>
      <c r="O95" s="51"/>
      <c r="P95" s="51"/>
      <c r="Q95" s="51"/>
      <c r="R95" s="51"/>
      <c r="S95" s="51"/>
      <c r="T95" s="51"/>
    </row>
    <row r="96">
      <c r="A96" s="51"/>
      <c r="B96" s="51"/>
      <c r="C96" s="56"/>
      <c r="D96" s="51"/>
      <c r="E96" s="51"/>
      <c r="F96" s="51"/>
      <c r="G96" s="51" t="str">
        <f>IFERROR(__xludf.DUMMYFUNCTION("""COMPUTED_VALUE"""),"#VALUE!")</f>
        <v>#VALUE!</v>
      </c>
      <c r="H96" s="51" t="str">
        <f>IFERROR(__xludf.DUMMYFUNCTION("""COMPUTED_VALUE"""),"")</f>
        <v/>
      </c>
      <c r="I96" s="51" t="str">
        <f>IFERROR(__xludf.DUMMYFUNCTION("""COMPUTED_VALUE"""),"#VALUE!")</f>
        <v>#VALUE!</v>
      </c>
      <c r="J96" s="51" t="str">
        <f>IFERROR(__xludf.DUMMYFUNCTION("""COMPUTED_VALUE"""),"")</f>
        <v/>
      </c>
      <c r="K96" s="51"/>
      <c r="L96" s="51" t="s">
        <v>257</v>
      </c>
      <c r="M96" s="51"/>
      <c r="N96" s="51"/>
      <c r="O96" s="51"/>
      <c r="P96" s="51"/>
      <c r="Q96" s="51"/>
      <c r="R96" s="51"/>
      <c r="S96" s="51"/>
      <c r="T96" s="51"/>
    </row>
    <row r="97">
      <c r="A97" s="51"/>
      <c r="B97" s="51"/>
      <c r="C97" s="56"/>
      <c r="D97" s="51"/>
      <c r="E97" s="51"/>
      <c r="F97" s="51"/>
      <c r="G97" s="51" t="str">
        <f>IFERROR(__xludf.DUMMYFUNCTION("""COMPUTED_VALUE"""),"#VALUE!")</f>
        <v>#VALUE!</v>
      </c>
      <c r="H97" s="51" t="str">
        <f>IFERROR(__xludf.DUMMYFUNCTION("""COMPUTED_VALUE"""),"")</f>
        <v/>
      </c>
      <c r="I97" s="51" t="str">
        <f>IFERROR(__xludf.DUMMYFUNCTION("""COMPUTED_VALUE"""),"#VALUE!")</f>
        <v>#VALUE!</v>
      </c>
      <c r="J97" s="51" t="str">
        <f>IFERROR(__xludf.DUMMYFUNCTION("""COMPUTED_VALUE"""),"")</f>
        <v/>
      </c>
      <c r="K97" s="51"/>
      <c r="L97" s="51" t="s">
        <v>257</v>
      </c>
      <c r="M97" s="51"/>
      <c r="N97" s="51"/>
      <c r="O97" s="51"/>
      <c r="P97" s="51"/>
      <c r="Q97" s="51"/>
      <c r="R97" s="51"/>
      <c r="S97" s="51"/>
      <c r="T97" s="51"/>
    </row>
    <row r="98">
      <c r="A98" s="51"/>
      <c r="B98" s="51"/>
      <c r="C98" s="56"/>
      <c r="D98" s="51"/>
      <c r="E98" s="51"/>
      <c r="F98" s="51"/>
      <c r="G98" s="51" t="str">
        <f>IFERROR(__xludf.DUMMYFUNCTION("""COMPUTED_VALUE"""),"#VALUE!")</f>
        <v>#VALUE!</v>
      </c>
      <c r="H98" s="51" t="str">
        <f>IFERROR(__xludf.DUMMYFUNCTION("""COMPUTED_VALUE"""),"")</f>
        <v/>
      </c>
      <c r="I98" s="51" t="str">
        <f>IFERROR(__xludf.DUMMYFUNCTION("""COMPUTED_VALUE"""),"#VALUE!")</f>
        <v>#VALUE!</v>
      </c>
      <c r="J98" s="51" t="str">
        <f>IFERROR(__xludf.DUMMYFUNCTION("""COMPUTED_VALUE"""),"")</f>
        <v/>
      </c>
      <c r="K98" s="51"/>
      <c r="L98" s="51" t="s">
        <v>257</v>
      </c>
      <c r="M98" s="51"/>
      <c r="N98" s="51"/>
      <c r="O98" s="51"/>
      <c r="P98" s="51"/>
      <c r="Q98" s="51"/>
      <c r="R98" s="51"/>
      <c r="S98" s="51"/>
      <c r="T98" s="51"/>
    </row>
    <row r="99">
      <c r="A99" s="51"/>
      <c r="B99" s="51"/>
      <c r="C99" s="56"/>
      <c r="D99" s="51"/>
      <c r="E99" s="51"/>
      <c r="F99" s="51"/>
      <c r="G99" s="51" t="str">
        <f>IFERROR(__xludf.DUMMYFUNCTION("""COMPUTED_VALUE"""),"#VALUE!")</f>
        <v>#VALUE!</v>
      </c>
      <c r="H99" s="51" t="str">
        <f>IFERROR(__xludf.DUMMYFUNCTION("""COMPUTED_VALUE"""),"")</f>
        <v/>
      </c>
      <c r="I99" s="51" t="str">
        <f>IFERROR(__xludf.DUMMYFUNCTION("""COMPUTED_VALUE"""),"#VALUE!")</f>
        <v>#VALUE!</v>
      </c>
      <c r="J99" s="51" t="str">
        <f>IFERROR(__xludf.DUMMYFUNCTION("""COMPUTED_VALUE"""),"")</f>
        <v/>
      </c>
      <c r="K99" s="51"/>
      <c r="L99" s="51" t="s">
        <v>257</v>
      </c>
      <c r="M99" s="51"/>
      <c r="N99" s="51"/>
      <c r="O99" s="51"/>
      <c r="P99" s="51"/>
      <c r="Q99" s="51"/>
      <c r="R99" s="51"/>
      <c r="S99" s="51"/>
      <c r="T99" s="51"/>
    </row>
    <row r="100">
      <c r="A100" s="51"/>
      <c r="B100" s="51"/>
      <c r="C100" s="56"/>
      <c r="D100" s="51"/>
      <c r="E100" s="51"/>
      <c r="F100" s="51"/>
      <c r="G100" s="51" t="str">
        <f>IFERROR(__xludf.DUMMYFUNCTION("""COMPUTED_VALUE"""),"#VALUE!")</f>
        <v>#VALUE!</v>
      </c>
      <c r="H100" s="51" t="str">
        <f>IFERROR(__xludf.DUMMYFUNCTION("""COMPUTED_VALUE"""),"")</f>
        <v/>
      </c>
      <c r="I100" s="51" t="str">
        <f>IFERROR(__xludf.DUMMYFUNCTION("""COMPUTED_VALUE"""),"#VALUE!")</f>
        <v>#VALUE!</v>
      </c>
      <c r="J100" s="51" t="str">
        <f>IFERROR(__xludf.DUMMYFUNCTION("""COMPUTED_VALUE"""),"")</f>
        <v/>
      </c>
      <c r="K100" s="51"/>
      <c r="L100" s="51" t="s">
        <v>257</v>
      </c>
      <c r="M100" s="51"/>
      <c r="N100" s="51"/>
      <c r="O100" s="51"/>
      <c r="P100" s="51"/>
      <c r="Q100" s="51"/>
      <c r="R100" s="51"/>
      <c r="S100" s="51"/>
      <c r="T100" s="51"/>
    </row>
    <row r="101">
      <c r="A101" s="51"/>
      <c r="B101" s="51"/>
      <c r="C101" s="56"/>
      <c r="D101" s="51"/>
      <c r="E101" s="51"/>
      <c r="F101" s="51"/>
      <c r="G101" s="51" t="str">
        <f>IFERROR(__xludf.DUMMYFUNCTION("""COMPUTED_VALUE"""),"#VALUE!")</f>
        <v>#VALUE!</v>
      </c>
      <c r="H101" s="51" t="str">
        <f>IFERROR(__xludf.DUMMYFUNCTION("""COMPUTED_VALUE"""),"")</f>
        <v/>
      </c>
      <c r="I101" s="51" t="str">
        <f>IFERROR(__xludf.DUMMYFUNCTION("""COMPUTED_VALUE"""),"#VALUE!")</f>
        <v>#VALUE!</v>
      </c>
      <c r="J101" s="51" t="str">
        <f>IFERROR(__xludf.DUMMYFUNCTION("""COMPUTED_VALUE"""),"")</f>
        <v/>
      </c>
      <c r="K101" s="51"/>
      <c r="L101" s="51" t="s">
        <v>257</v>
      </c>
      <c r="M101" s="51"/>
      <c r="N101" s="51"/>
      <c r="O101" s="51"/>
      <c r="P101" s="51"/>
      <c r="Q101" s="51"/>
      <c r="R101" s="51"/>
      <c r="S101" s="51"/>
      <c r="T101" s="51"/>
    </row>
    <row r="102">
      <c r="A102" s="51"/>
      <c r="B102" s="51"/>
      <c r="C102" s="56"/>
      <c r="D102" s="51"/>
      <c r="E102" s="51"/>
      <c r="F102" s="51"/>
      <c r="G102" s="51" t="str">
        <f>IFERROR(__xludf.DUMMYFUNCTION("""COMPUTED_VALUE"""),"#VALUE!")</f>
        <v>#VALUE!</v>
      </c>
      <c r="H102" s="51" t="str">
        <f>IFERROR(__xludf.DUMMYFUNCTION("""COMPUTED_VALUE"""),"")</f>
        <v/>
      </c>
      <c r="I102" s="51" t="str">
        <f>IFERROR(__xludf.DUMMYFUNCTION("""COMPUTED_VALUE"""),"#VALUE!")</f>
        <v>#VALUE!</v>
      </c>
      <c r="J102" s="51" t="str">
        <f>IFERROR(__xludf.DUMMYFUNCTION("""COMPUTED_VALUE"""),"")</f>
        <v/>
      </c>
      <c r="K102" s="51"/>
      <c r="L102" s="51" t="s">
        <v>257</v>
      </c>
      <c r="M102" s="51"/>
      <c r="N102" s="51"/>
      <c r="O102" s="51"/>
      <c r="P102" s="51"/>
      <c r="Q102" s="51"/>
      <c r="R102" s="51"/>
      <c r="S102" s="51"/>
      <c r="T102" s="51"/>
    </row>
    <row r="103">
      <c r="A103" s="51"/>
      <c r="B103" s="51"/>
      <c r="C103" s="56"/>
      <c r="D103" s="51"/>
      <c r="E103" s="51"/>
      <c r="F103" s="51"/>
      <c r="G103" s="51" t="str">
        <f>IFERROR(__xludf.DUMMYFUNCTION("""COMPUTED_VALUE"""),"#VALUE!")</f>
        <v>#VALUE!</v>
      </c>
      <c r="H103" s="51" t="str">
        <f>IFERROR(__xludf.DUMMYFUNCTION("""COMPUTED_VALUE"""),"")</f>
        <v/>
      </c>
      <c r="I103" s="51" t="str">
        <f>IFERROR(__xludf.DUMMYFUNCTION("""COMPUTED_VALUE"""),"#VALUE!")</f>
        <v>#VALUE!</v>
      </c>
      <c r="J103" s="51" t="str">
        <f>IFERROR(__xludf.DUMMYFUNCTION("""COMPUTED_VALUE"""),"")</f>
        <v/>
      </c>
      <c r="K103" s="51"/>
      <c r="L103" s="51" t="s">
        <v>257</v>
      </c>
      <c r="M103" s="51"/>
      <c r="N103" s="51"/>
      <c r="O103" s="51"/>
      <c r="P103" s="51"/>
      <c r="Q103" s="51"/>
      <c r="R103" s="51"/>
      <c r="S103" s="51"/>
      <c r="T103" s="51"/>
    </row>
    <row r="104">
      <c r="A104" s="51"/>
      <c r="B104" s="51"/>
      <c r="C104" s="56"/>
      <c r="D104" s="51"/>
      <c r="E104" s="51"/>
      <c r="F104" s="51"/>
      <c r="G104" s="51" t="str">
        <f>IFERROR(__xludf.DUMMYFUNCTION("""COMPUTED_VALUE"""),"#VALUE!")</f>
        <v>#VALUE!</v>
      </c>
      <c r="H104" s="51" t="str">
        <f>IFERROR(__xludf.DUMMYFUNCTION("""COMPUTED_VALUE"""),"")</f>
        <v/>
      </c>
      <c r="I104" s="51" t="str">
        <f>IFERROR(__xludf.DUMMYFUNCTION("""COMPUTED_VALUE"""),"#VALUE!")</f>
        <v>#VALUE!</v>
      </c>
      <c r="J104" s="51" t="str">
        <f>IFERROR(__xludf.DUMMYFUNCTION("""COMPUTED_VALUE"""),"")</f>
        <v/>
      </c>
      <c r="K104" s="51"/>
      <c r="L104" s="51" t="s">
        <v>257</v>
      </c>
      <c r="M104" s="51"/>
      <c r="N104" s="51"/>
      <c r="O104" s="51"/>
      <c r="P104" s="51"/>
      <c r="Q104" s="51"/>
      <c r="R104" s="51"/>
      <c r="S104" s="51"/>
      <c r="T104" s="51"/>
    </row>
    <row r="105">
      <c r="A105" s="51"/>
      <c r="B105" s="51"/>
      <c r="C105" s="56"/>
      <c r="D105" s="51"/>
      <c r="E105" s="51"/>
      <c r="F105" s="51"/>
      <c r="G105" s="51" t="str">
        <f>IFERROR(__xludf.DUMMYFUNCTION("""COMPUTED_VALUE"""),"#VALUE!")</f>
        <v>#VALUE!</v>
      </c>
      <c r="H105" s="51" t="str">
        <f>IFERROR(__xludf.DUMMYFUNCTION("""COMPUTED_VALUE"""),"")</f>
        <v/>
      </c>
      <c r="I105" s="51" t="str">
        <f>IFERROR(__xludf.DUMMYFUNCTION("""COMPUTED_VALUE"""),"#VALUE!")</f>
        <v>#VALUE!</v>
      </c>
      <c r="J105" s="51" t="str">
        <f>IFERROR(__xludf.DUMMYFUNCTION("""COMPUTED_VALUE"""),"")</f>
        <v/>
      </c>
      <c r="K105" s="51"/>
      <c r="L105" s="51" t="s">
        <v>257</v>
      </c>
      <c r="M105" s="51"/>
      <c r="N105" s="51"/>
      <c r="O105" s="51"/>
      <c r="P105" s="51"/>
      <c r="Q105" s="51"/>
      <c r="R105" s="51"/>
      <c r="S105" s="51"/>
      <c r="T105" s="51"/>
    </row>
    <row r="106">
      <c r="A106" s="51"/>
      <c r="B106" s="51"/>
      <c r="C106" s="56"/>
      <c r="D106" s="51"/>
      <c r="E106" s="51"/>
      <c r="F106" s="51"/>
      <c r="G106" s="51" t="str">
        <f>IFERROR(__xludf.DUMMYFUNCTION("""COMPUTED_VALUE"""),"#VALUE!")</f>
        <v>#VALUE!</v>
      </c>
      <c r="H106" s="51" t="str">
        <f>IFERROR(__xludf.DUMMYFUNCTION("""COMPUTED_VALUE"""),"")</f>
        <v/>
      </c>
      <c r="I106" s="51" t="str">
        <f>IFERROR(__xludf.DUMMYFUNCTION("""COMPUTED_VALUE"""),"#VALUE!")</f>
        <v>#VALUE!</v>
      </c>
      <c r="J106" s="51" t="str">
        <f>IFERROR(__xludf.DUMMYFUNCTION("""COMPUTED_VALUE"""),"")</f>
        <v/>
      </c>
      <c r="K106" s="51"/>
      <c r="L106" s="51" t="s">
        <v>257</v>
      </c>
      <c r="M106" s="51"/>
      <c r="N106" s="51"/>
      <c r="O106" s="51"/>
      <c r="P106" s="51"/>
      <c r="Q106" s="51"/>
      <c r="R106" s="51"/>
      <c r="S106" s="51"/>
      <c r="T106" s="51"/>
    </row>
    <row r="107">
      <c r="A107" s="51"/>
      <c r="B107" s="51"/>
      <c r="C107" s="56"/>
      <c r="D107" s="51"/>
      <c r="E107" s="51"/>
      <c r="F107" s="51"/>
      <c r="G107" s="51" t="str">
        <f>IFERROR(__xludf.DUMMYFUNCTION("""COMPUTED_VALUE"""),"#VALUE!")</f>
        <v>#VALUE!</v>
      </c>
      <c r="H107" s="51" t="str">
        <f>IFERROR(__xludf.DUMMYFUNCTION("""COMPUTED_VALUE"""),"")</f>
        <v/>
      </c>
      <c r="I107" s="51" t="str">
        <f>IFERROR(__xludf.DUMMYFUNCTION("""COMPUTED_VALUE"""),"#VALUE!")</f>
        <v>#VALUE!</v>
      </c>
      <c r="J107" s="51" t="str">
        <f>IFERROR(__xludf.DUMMYFUNCTION("""COMPUTED_VALUE"""),"")</f>
        <v/>
      </c>
      <c r="K107" s="51"/>
      <c r="L107" s="51" t="s">
        <v>257</v>
      </c>
      <c r="M107" s="51"/>
      <c r="N107" s="51"/>
      <c r="O107" s="51"/>
      <c r="P107" s="51"/>
      <c r="Q107" s="51"/>
      <c r="R107" s="51"/>
      <c r="S107" s="51"/>
      <c r="T107" s="51"/>
    </row>
    <row r="108">
      <c r="A108" s="51"/>
      <c r="B108" s="51"/>
      <c r="C108" s="56"/>
      <c r="D108" s="51"/>
      <c r="E108" s="51"/>
      <c r="F108" s="51"/>
      <c r="G108" s="51" t="str">
        <f>IFERROR(__xludf.DUMMYFUNCTION("""COMPUTED_VALUE"""),"#VALUE!")</f>
        <v>#VALUE!</v>
      </c>
      <c r="H108" s="51" t="str">
        <f>IFERROR(__xludf.DUMMYFUNCTION("""COMPUTED_VALUE"""),"")</f>
        <v/>
      </c>
      <c r="I108" s="51" t="str">
        <f>IFERROR(__xludf.DUMMYFUNCTION("""COMPUTED_VALUE"""),"#VALUE!")</f>
        <v>#VALUE!</v>
      </c>
      <c r="J108" s="51" t="str">
        <f>IFERROR(__xludf.DUMMYFUNCTION("""COMPUTED_VALUE"""),"")</f>
        <v/>
      </c>
      <c r="K108" s="51"/>
      <c r="L108" s="51" t="s">
        <v>257</v>
      </c>
      <c r="M108" s="51"/>
      <c r="N108" s="51"/>
      <c r="O108" s="51"/>
      <c r="P108" s="51"/>
      <c r="Q108" s="51"/>
      <c r="R108" s="51"/>
      <c r="S108" s="51"/>
      <c r="T108" s="51"/>
    </row>
    <row r="109">
      <c r="A109" s="51"/>
      <c r="B109" s="51"/>
      <c r="C109" s="56"/>
      <c r="D109" s="51"/>
      <c r="E109" s="51"/>
      <c r="F109" s="51"/>
      <c r="G109" s="51" t="str">
        <f>IFERROR(__xludf.DUMMYFUNCTION("""COMPUTED_VALUE"""),"#VALUE!")</f>
        <v>#VALUE!</v>
      </c>
      <c r="H109" s="51" t="str">
        <f>IFERROR(__xludf.DUMMYFUNCTION("""COMPUTED_VALUE"""),"")</f>
        <v/>
      </c>
      <c r="I109" s="51" t="str">
        <f>IFERROR(__xludf.DUMMYFUNCTION("""COMPUTED_VALUE"""),"#VALUE!")</f>
        <v>#VALUE!</v>
      </c>
      <c r="J109" s="51" t="str">
        <f>IFERROR(__xludf.DUMMYFUNCTION("""COMPUTED_VALUE"""),"")</f>
        <v/>
      </c>
      <c r="K109" s="51"/>
      <c r="L109" s="51" t="s">
        <v>257</v>
      </c>
      <c r="M109" s="51"/>
      <c r="N109" s="51"/>
      <c r="O109" s="51"/>
      <c r="P109" s="51"/>
      <c r="Q109" s="51"/>
      <c r="R109" s="51"/>
      <c r="S109" s="51"/>
      <c r="T109" s="51"/>
    </row>
    <row r="110">
      <c r="A110" s="51"/>
      <c r="B110" s="51"/>
      <c r="C110" s="56"/>
      <c r="D110" s="51"/>
      <c r="E110" s="51"/>
      <c r="F110" s="51"/>
      <c r="G110" s="51" t="str">
        <f>IFERROR(__xludf.DUMMYFUNCTION("""COMPUTED_VALUE"""),"#VALUE!")</f>
        <v>#VALUE!</v>
      </c>
      <c r="H110" s="51" t="str">
        <f>IFERROR(__xludf.DUMMYFUNCTION("""COMPUTED_VALUE"""),"")</f>
        <v/>
      </c>
      <c r="I110" s="51" t="str">
        <f>IFERROR(__xludf.DUMMYFUNCTION("""COMPUTED_VALUE"""),"#VALUE!")</f>
        <v>#VALUE!</v>
      </c>
      <c r="J110" s="51" t="str">
        <f>IFERROR(__xludf.DUMMYFUNCTION("""COMPUTED_VALUE"""),"")</f>
        <v/>
      </c>
      <c r="K110" s="51"/>
      <c r="L110" s="51" t="s">
        <v>257</v>
      </c>
      <c r="M110" s="51"/>
      <c r="N110" s="51"/>
      <c r="O110" s="51"/>
      <c r="P110" s="51"/>
      <c r="Q110" s="51"/>
      <c r="R110" s="51"/>
      <c r="S110" s="51"/>
      <c r="T110" s="51"/>
    </row>
    <row r="111">
      <c r="A111" s="51"/>
      <c r="B111" s="51"/>
      <c r="C111" s="56"/>
      <c r="D111" s="51"/>
      <c r="E111" s="51"/>
      <c r="F111" s="51"/>
      <c r="G111" s="51" t="str">
        <f>IFERROR(__xludf.DUMMYFUNCTION("""COMPUTED_VALUE"""),"#VALUE!")</f>
        <v>#VALUE!</v>
      </c>
      <c r="H111" s="51" t="str">
        <f>IFERROR(__xludf.DUMMYFUNCTION("""COMPUTED_VALUE"""),"")</f>
        <v/>
      </c>
      <c r="I111" s="51" t="str">
        <f>IFERROR(__xludf.DUMMYFUNCTION("""COMPUTED_VALUE"""),"#VALUE!")</f>
        <v>#VALUE!</v>
      </c>
      <c r="J111" s="51" t="str">
        <f>IFERROR(__xludf.DUMMYFUNCTION("""COMPUTED_VALUE"""),"")</f>
        <v/>
      </c>
      <c r="K111" s="51"/>
      <c r="L111" s="51" t="s">
        <v>257</v>
      </c>
      <c r="M111" s="51"/>
      <c r="N111" s="51"/>
      <c r="O111" s="51"/>
      <c r="P111" s="51"/>
      <c r="Q111" s="51"/>
      <c r="R111" s="51"/>
      <c r="S111" s="51"/>
      <c r="T111" s="51"/>
    </row>
    <row r="112">
      <c r="A112" s="51"/>
      <c r="B112" s="51"/>
      <c r="C112" s="56"/>
      <c r="D112" s="51"/>
      <c r="E112" s="51"/>
      <c r="F112" s="51"/>
      <c r="G112" s="51" t="str">
        <f>IFERROR(__xludf.DUMMYFUNCTION("""COMPUTED_VALUE"""),"#VALUE!")</f>
        <v>#VALUE!</v>
      </c>
      <c r="H112" s="51" t="str">
        <f>IFERROR(__xludf.DUMMYFUNCTION("""COMPUTED_VALUE"""),"")</f>
        <v/>
      </c>
      <c r="I112" s="51" t="str">
        <f>IFERROR(__xludf.DUMMYFUNCTION("""COMPUTED_VALUE"""),"#VALUE!")</f>
        <v>#VALUE!</v>
      </c>
      <c r="J112" s="51" t="str">
        <f>IFERROR(__xludf.DUMMYFUNCTION("""COMPUTED_VALUE"""),"")</f>
        <v/>
      </c>
      <c r="K112" s="51"/>
      <c r="L112" s="51" t="s">
        <v>257</v>
      </c>
      <c r="M112" s="51"/>
      <c r="N112" s="51"/>
      <c r="O112" s="51"/>
      <c r="P112" s="51"/>
      <c r="Q112" s="51"/>
      <c r="R112" s="51"/>
      <c r="S112" s="51"/>
      <c r="T112" s="51"/>
    </row>
    <row r="113">
      <c r="A113" s="51"/>
      <c r="B113" s="51"/>
      <c r="C113" s="56"/>
      <c r="D113" s="51"/>
      <c r="E113" s="51"/>
      <c r="F113" s="51"/>
      <c r="G113" s="51" t="str">
        <f>IFERROR(__xludf.DUMMYFUNCTION("""COMPUTED_VALUE"""),"#VALUE!")</f>
        <v>#VALUE!</v>
      </c>
      <c r="H113" s="51" t="str">
        <f>IFERROR(__xludf.DUMMYFUNCTION("""COMPUTED_VALUE"""),"")</f>
        <v/>
      </c>
      <c r="I113" s="51" t="str">
        <f>IFERROR(__xludf.DUMMYFUNCTION("""COMPUTED_VALUE"""),"#VALUE!")</f>
        <v>#VALUE!</v>
      </c>
      <c r="J113" s="51" t="str">
        <f>IFERROR(__xludf.DUMMYFUNCTION("""COMPUTED_VALUE"""),"")</f>
        <v/>
      </c>
      <c r="K113" s="51"/>
      <c r="L113" s="51" t="s">
        <v>257</v>
      </c>
      <c r="M113" s="51"/>
      <c r="N113" s="51"/>
      <c r="O113" s="51"/>
      <c r="P113" s="51"/>
      <c r="Q113" s="51"/>
      <c r="R113" s="51"/>
      <c r="S113" s="51"/>
      <c r="T113" s="51"/>
    </row>
    <row r="114">
      <c r="A114" s="51"/>
      <c r="B114" s="51"/>
      <c r="C114" s="56"/>
      <c r="D114" s="51"/>
      <c r="E114" s="51"/>
      <c r="F114" s="51"/>
      <c r="G114" s="51" t="str">
        <f>IFERROR(__xludf.DUMMYFUNCTION("""COMPUTED_VALUE"""),"#VALUE!")</f>
        <v>#VALUE!</v>
      </c>
      <c r="H114" s="51" t="str">
        <f>IFERROR(__xludf.DUMMYFUNCTION("""COMPUTED_VALUE"""),"")</f>
        <v/>
      </c>
      <c r="I114" s="51" t="str">
        <f>IFERROR(__xludf.DUMMYFUNCTION("""COMPUTED_VALUE"""),"#VALUE!")</f>
        <v>#VALUE!</v>
      </c>
      <c r="J114" s="51" t="str">
        <f>IFERROR(__xludf.DUMMYFUNCTION("""COMPUTED_VALUE"""),"")</f>
        <v/>
      </c>
      <c r="K114" s="51"/>
      <c r="L114" s="51" t="s">
        <v>257</v>
      </c>
      <c r="M114" s="51"/>
      <c r="N114" s="51"/>
      <c r="O114" s="51"/>
      <c r="P114" s="51"/>
      <c r="Q114" s="51"/>
      <c r="R114" s="51"/>
      <c r="S114" s="51"/>
      <c r="T114" s="51"/>
    </row>
    <row r="115">
      <c r="A115" s="51"/>
      <c r="B115" s="51"/>
      <c r="C115" s="56"/>
      <c r="D115" s="51"/>
      <c r="E115" s="51"/>
      <c r="F115" s="51"/>
      <c r="G115" s="51" t="str">
        <f>IFERROR(__xludf.DUMMYFUNCTION("""COMPUTED_VALUE"""),"#VALUE!")</f>
        <v>#VALUE!</v>
      </c>
      <c r="H115" s="51" t="str">
        <f>IFERROR(__xludf.DUMMYFUNCTION("""COMPUTED_VALUE"""),"")</f>
        <v/>
      </c>
      <c r="I115" s="51" t="str">
        <f>IFERROR(__xludf.DUMMYFUNCTION("""COMPUTED_VALUE"""),"#VALUE!")</f>
        <v>#VALUE!</v>
      </c>
      <c r="J115" s="51" t="str">
        <f>IFERROR(__xludf.DUMMYFUNCTION("""COMPUTED_VALUE"""),"")</f>
        <v/>
      </c>
      <c r="K115" s="51"/>
      <c r="L115" s="51" t="s">
        <v>257</v>
      </c>
      <c r="M115" s="51"/>
      <c r="N115" s="51"/>
      <c r="O115" s="51"/>
      <c r="P115" s="51"/>
      <c r="Q115" s="51"/>
      <c r="R115" s="51"/>
      <c r="S115" s="51"/>
      <c r="T115" s="51"/>
    </row>
    <row r="116">
      <c r="A116" s="51"/>
      <c r="B116" s="51"/>
      <c r="C116" s="56"/>
      <c r="D116" s="51"/>
      <c r="E116" s="51"/>
      <c r="F116" s="51"/>
      <c r="G116" s="51" t="str">
        <f>IFERROR(__xludf.DUMMYFUNCTION("""COMPUTED_VALUE"""),"#VALUE!")</f>
        <v>#VALUE!</v>
      </c>
      <c r="H116" s="51" t="str">
        <f>IFERROR(__xludf.DUMMYFUNCTION("""COMPUTED_VALUE"""),"")</f>
        <v/>
      </c>
      <c r="I116" s="51" t="str">
        <f>IFERROR(__xludf.DUMMYFUNCTION("""COMPUTED_VALUE"""),"#VALUE!")</f>
        <v>#VALUE!</v>
      </c>
      <c r="J116" s="51" t="str">
        <f>IFERROR(__xludf.DUMMYFUNCTION("""COMPUTED_VALUE"""),"")</f>
        <v/>
      </c>
      <c r="K116" s="51"/>
      <c r="L116" s="51" t="s">
        <v>257</v>
      </c>
      <c r="M116" s="51"/>
      <c r="N116" s="51"/>
      <c r="O116" s="51"/>
      <c r="P116" s="51"/>
      <c r="Q116" s="51"/>
      <c r="R116" s="51"/>
      <c r="S116" s="51"/>
      <c r="T116" s="51"/>
    </row>
    <row r="117">
      <c r="A117" s="51"/>
      <c r="B117" s="51"/>
      <c r="C117" s="56"/>
      <c r="D117" s="51"/>
      <c r="E117" s="51"/>
      <c r="F117" s="51"/>
      <c r="G117" s="51" t="str">
        <f>IFERROR(__xludf.DUMMYFUNCTION("""COMPUTED_VALUE"""),"#VALUE!")</f>
        <v>#VALUE!</v>
      </c>
      <c r="H117" s="51" t="str">
        <f>IFERROR(__xludf.DUMMYFUNCTION("""COMPUTED_VALUE"""),"")</f>
        <v/>
      </c>
      <c r="I117" s="51" t="str">
        <f>IFERROR(__xludf.DUMMYFUNCTION("""COMPUTED_VALUE"""),"#VALUE!")</f>
        <v>#VALUE!</v>
      </c>
      <c r="J117" s="51" t="str">
        <f>IFERROR(__xludf.DUMMYFUNCTION("""COMPUTED_VALUE"""),"")</f>
        <v/>
      </c>
      <c r="K117" s="51"/>
      <c r="L117" s="51" t="s">
        <v>257</v>
      </c>
      <c r="M117" s="51"/>
      <c r="N117" s="51"/>
      <c r="O117" s="51"/>
      <c r="P117" s="51"/>
      <c r="Q117" s="51"/>
      <c r="R117" s="51"/>
      <c r="S117" s="51"/>
      <c r="T117" s="51"/>
    </row>
    <row r="118">
      <c r="A118" s="51"/>
      <c r="B118" s="51"/>
      <c r="C118" s="56"/>
      <c r="D118" s="51"/>
      <c r="E118" s="51"/>
      <c r="F118" s="51"/>
      <c r="G118" s="51" t="str">
        <f>IFERROR(__xludf.DUMMYFUNCTION("""COMPUTED_VALUE"""),"#VALUE!")</f>
        <v>#VALUE!</v>
      </c>
      <c r="H118" s="51" t="str">
        <f>IFERROR(__xludf.DUMMYFUNCTION("""COMPUTED_VALUE"""),"")</f>
        <v/>
      </c>
      <c r="I118" s="51" t="str">
        <f>IFERROR(__xludf.DUMMYFUNCTION("""COMPUTED_VALUE"""),"#VALUE!")</f>
        <v>#VALUE!</v>
      </c>
      <c r="J118" s="51" t="str">
        <f>IFERROR(__xludf.DUMMYFUNCTION("""COMPUTED_VALUE"""),"")</f>
        <v/>
      </c>
      <c r="K118" s="51"/>
      <c r="L118" s="51" t="s">
        <v>257</v>
      </c>
      <c r="M118" s="51"/>
      <c r="N118" s="51"/>
      <c r="O118" s="51"/>
      <c r="P118" s="51"/>
      <c r="Q118" s="51"/>
      <c r="R118" s="51"/>
      <c r="S118" s="51"/>
      <c r="T118" s="51"/>
    </row>
    <row r="119">
      <c r="A119" s="51"/>
      <c r="B119" s="51"/>
      <c r="C119" s="56"/>
      <c r="D119" s="51"/>
      <c r="E119" s="51"/>
      <c r="F119" s="51"/>
      <c r="G119" s="51" t="str">
        <f>IFERROR(__xludf.DUMMYFUNCTION("""COMPUTED_VALUE"""),"#VALUE!")</f>
        <v>#VALUE!</v>
      </c>
      <c r="H119" s="51" t="str">
        <f>IFERROR(__xludf.DUMMYFUNCTION("""COMPUTED_VALUE"""),"")</f>
        <v/>
      </c>
      <c r="I119" s="51" t="str">
        <f>IFERROR(__xludf.DUMMYFUNCTION("""COMPUTED_VALUE"""),"#VALUE!")</f>
        <v>#VALUE!</v>
      </c>
      <c r="J119" s="51" t="str">
        <f>IFERROR(__xludf.DUMMYFUNCTION("""COMPUTED_VALUE"""),"")</f>
        <v/>
      </c>
      <c r="K119" s="51"/>
      <c r="L119" s="51" t="s">
        <v>257</v>
      </c>
      <c r="M119" s="51"/>
      <c r="N119" s="51"/>
      <c r="O119" s="51"/>
      <c r="P119" s="51"/>
      <c r="Q119" s="51"/>
      <c r="R119" s="51"/>
      <c r="S119" s="51"/>
      <c r="T119" s="51"/>
    </row>
    <row r="120">
      <c r="A120" s="51"/>
      <c r="B120" s="51"/>
      <c r="C120" s="56"/>
      <c r="D120" s="51"/>
      <c r="E120" s="51"/>
      <c r="F120" s="51"/>
      <c r="G120" s="51" t="str">
        <f>IFERROR(__xludf.DUMMYFUNCTION("""COMPUTED_VALUE"""),"#VALUE!")</f>
        <v>#VALUE!</v>
      </c>
      <c r="H120" s="51" t="str">
        <f>IFERROR(__xludf.DUMMYFUNCTION("""COMPUTED_VALUE"""),"")</f>
        <v/>
      </c>
      <c r="I120" s="51" t="str">
        <f>IFERROR(__xludf.DUMMYFUNCTION("""COMPUTED_VALUE"""),"#VALUE!")</f>
        <v>#VALUE!</v>
      </c>
      <c r="J120" s="51" t="str">
        <f>IFERROR(__xludf.DUMMYFUNCTION("""COMPUTED_VALUE"""),"")</f>
        <v/>
      </c>
      <c r="K120" s="51"/>
      <c r="L120" s="51" t="s">
        <v>257</v>
      </c>
      <c r="M120" s="51"/>
      <c r="N120" s="51"/>
      <c r="O120" s="51"/>
      <c r="P120" s="51"/>
      <c r="Q120" s="51"/>
      <c r="R120" s="51"/>
      <c r="S120" s="51"/>
      <c r="T120" s="51"/>
    </row>
    <row r="121">
      <c r="A121" s="51"/>
      <c r="B121" s="51"/>
      <c r="C121" s="56"/>
      <c r="D121" s="51"/>
      <c r="E121" s="51"/>
      <c r="F121" s="51"/>
      <c r="G121" s="51" t="str">
        <f>IFERROR(__xludf.DUMMYFUNCTION("""COMPUTED_VALUE"""),"#VALUE!")</f>
        <v>#VALUE!</v>
      </c>
      <c r="H121" s="51" t="str">
        <f>IFERROR(__xludf.DUMMYFUNCTION("""COMPUTED_VALUE"""),"")</f>
        <v/>
      </c>
      <c r="I121" s="51" t="str">
        <f>IFERROR(__xludf.DUMMYFUNCTION("""COMPUTED_VALUE"""),"#VALUE!")</f>
        <v>#VALUE!</v>
      </c>
      <c r="J121" s="51" t="str">
        <f>IFERROR(__xludf.DUMMYFUNCTION("""COMPUTED_VALUE"""),"")</f>
        <v/>
      </c>
      <c r="K121" s="51"/>
      <c r="L121" s="51" t="s">
        <v>257</v>
      </c>
      <c r="M121" s="51"/>
      <c r="N121" s="51"/>
      <c r="O121" s="51"/>
      <c r="P121" s="51"/>
      <c r="Q121" s="51"/>
      <c r="R121" s="51"/>
      <c r="S121" s="51"/>
      <c r="T121" s="51"/>
    </row>
    <row r="122">
      <c r="A122" s="51"/>
      <c r="B122" s="51"/>
      <c r="C122" s="56"/>
      <c r="D122" s="51"/>
      <c r="E122" s="51"/>
      <c r="F122" s="51"/>
      <c r="G122" s="51" t="str">
        <f>IFERROR(__xludf.DUMMYFUNCTION("""COMPUTED_VALUE"""),"#VALUE!")</f>
        <v>#VALUE!</v>
      </c>
      <c r="H122" s="51" t="str">
        <f>IFERROR(__xludf.DUMMYFUNCTION("""COMPUTED_VALUE"""),"")</f>
        <v/>
      </c>
      <c r="I122" s="51" t="str">
        <f>IFERROR(__xludf.DUMMYFUNCTION("""COMPUTED_VALUE"""),"#VALUE!")</f>
        <v>#VALUE!</v>
      </c>
      <c r="J122" s="51" t="str">
        <f>IFERROR(__xludf.DUMMYFUNCTION("""COMPUTED_VALUE"""),"")</f>
        <v/>
      </c>
      <c r="K122" s="51"/>
      <c r="L122" s="51" t="s">
        <v>257</v>
      </c>
      <c r="M122" s="51"/>
      <c r="N122" s="51"/>
      <c r="O122" s="51"/>
      <c r="P122" s="51"/>
      <c r="Q122" s="51"/>
      <c r="R122" s="51"/>
      <c r="S122" s="51"/>
      <c r="T122" s="51"/>
    </row>
    <row r="123">
      <c r="A123" s="51"/>
      <c r="B123" s="51"/>
      <c r="C123" s="56"/>
      <c r="D123" s="51"/>
      <c r="E123" s="51"/>
      <c r="F123" s="51"/>
      <c r="G123" s="51" t="str">
        <f>IFERROR(__xludf.DUMMYFUNCTION("""COMPUTED_VALUE"""),"#VALUE!")</f>
        <v>#VALUE!</v>
      </c>
      <c r="H123" s="51" t="str">
        <f>IFERROR(__xludf.DUMMYFUNCTION("""COMPUTED_VALUE"""),"")</f>
        <v/>
      </c>
      <c r="I123" s="51" t="str">
        <f>IFERROR(__xludf.DUMMYFUNCTION("""COMPUTED_VALUE"""),"#VALUE!")</f>
        <v>#VALUE!</v>
      </c>
      <c r="J123" s="51" t="str">
        <f>IFERROR(__xludf.DUMMYFUNCTION("""COMPUTED_VALUE"""),"")</f>
        <v/>
      </c>
      <c r="K123" s="51"/>
      <c r="L123" s="51" t="s">
        <v>257</v>
      </c>
      <c r="M123" s="51"/>
      <c r="N123" s="51"/>
      <c r="O123" s="51"/>
      <c r="P123" s="51"/>
      <c r="Q123" s="51"/>
      <c r="R123" s="51"/>
      <c r="S123" s="51"/>
      <c r="T123" s="51"/>
    </row>
    <row r="124">
      <c r="A124" s="51"/>
      <c r="B124" s="51"/>
      <c r="C124" s="56"/>
      <c r="D124" s="51"/>
      <c r="E124" s="51"/>
      <c r="F124" s="51"/>
      <c r="G124" s="51" t="str">
        <f>IFERROR(__xludf.DUMMYFUNCTION("""COMPUTED_VALUE"""),"#VALUE!")</f>
        <v>#VALUE!</v>
      </c>
      <c r="H124" s="51" t="str">
        <f>IFERROR(__xludf.DUMMYFUNCTION("""COMPUTED_VALUE"""),"")</f>
        <v/>
      </c>
      <c r="I124" s="51" t="str">
        <f>IFERROR(__xludf.DUMMYFUNCTION("""COMPUTED_VALUE"""),"#VALUE!")</f>
        <v>#VALUE!</v>
      </c>
      <c r="J124" s="51" t="str">
        <f>IFERROR(__xludf.DUMMYFUNCTION("""COMPUTED_VALUE"""),"")</f>
        <v/>
      </c>
      <c r="K124" s="51"/>
      <c r="L124" s="51" t="s">
        <v>257</v>
      </c>
      <c r="M124" s="51"/>
      <c r="N124" s="51"/>
      <c r="O124" s="51"/>
      <c r="P124" s="51"/>
      <c r="Q124" s="51"/>
      <c r="R124" s="51"/>
      <c r="S124" s="51"/>
      <c r="T124" s="51"/>
    </row>
    <row r="125">
      <c r="A125" s="51"/>
      <c r="B125" s="51"/>
      <c r="C125" s="56"/>
      <c r="D125" s="51"/>
      <c r="E125" s="51"/>
      <c r="F125" s="51"/>
      <c r="G125" s="51" t="str">
        <f>IFERROR(__xludf.DUMMYFUNCTION("""COMPUTED_VALUE"""),"#VALUE!")</f>
        <v>#VALUE!</v>
      </c>
      <c r="H125" s="51" t="str">
        <f>IFERROR(__xludf.DUMMYFUNCTION("""COMPUTED_VALUE"""),"")</f>
        <v/>
      </c>
      <c r="I125" s="51" t="str">
        <f>IFERROR(__xludf.DUMMYFUNCTION("""COMPUTED_VALUE"""),"#VALUE!")</f>
        <v>#VALUE!</v>
      </c>
      <c r="J125" s="51" t="str">
        <f>IFERROR(__xludf.DUMMYFUNCTION("""COMPUTED_VALUE"""),"")</f>
        <v/>
      </c>
      <c r="K125" s="51"/>
      <c r="L125" s="51" t="s">
        <v>257</v>
      </c>
      <c r="M125" s="51"/>
      <c r="N125" s="51"/>
      <c r="O125" s="51"/>
      <c r="P125" s="51"/>
      <c r="Q125" s="51"/>
      <c r="R125" s="51"/>
      <c r="S125" s="51"/>
      <c r="T125" s="51"/>
    </row>
    <row r="126">
      <c r="A126" s="51"/>
      <c r="B126" s="51"/>
      <c r="C126" s="56"/>
      <c r="D126" s="51"/>
      <c r="E126" s="51"/>
      <c r="F126" s="51"/>
      <c r="G126" s="51" t="str">
        <f>IFERROR(__xludf.DUMMYFUNCTION("""COMPUTED_VALUE"""),"#VALUE!")</f>
        <v>#VALUE!</v>
      </c>
      <c r="H126" s="51" t="str">
        <f>IFERROR(__xludf.DUMMYFUNCTION("""COMPUTED_VALUE"""),"")</f>
        <v/>
      </c>
      <c r="I126" s="51" t="str">
        <f>IFERROR(__xludf.DUMMYFUNCTION("""COMPUTED_VALUE"""),"#VALUE!")</f>
        <v>#VALUE!</v>
      </c>
      <c r="J126" s="51" t="str">
        <f>IFERROR(__xludf.DUMMYFUNCTION("""COMPUTED_VALUE"""),"")</f>
        <v/>
      </c>
      <c r="K126" s="51"/>
      <c r="L126" s="51" t="s">
        <v>257</v>
      </c>
      <c r="M126" s="51"/>
      <c r="N126" s="51"/>
      <c r="O126" s="51"/>
      <c r="P126" s="51"/>
      <c r="Q126" s="51"/>
      <c r="R126" s="51"/>
      <c r="S126" s="51"/>
      <c r="T126" s="51"/>
    </row>
    <row r="127">
      <c r="A127" s="51"/>
      <c r="B127" s="51"/>
      <c r="C127" s="56"/>
      <c r="D127" s="51"/>
      <c r="E127" s="51"/>
      <c r="F127" s="51"/>
      <c r="G127" s="51" t="str">
        <f>IFERROR(__xludf.DUMMYFUNCTION("""COMPUTED_VALUE"""),"#VALUE!")</f>
        <v>#VALUE!</v>
      </c>
      <c r="H127" s="51" t="str">
        <f>IFERROR(__xludf.DUMMYFUNCTION("""COMPUTED_VALUE"""),"")</f>
        <v/>
      </c>
      <c r="I127" s="51" t="str">
        <f>IFERROR(__xludf.DUMMYFUNCTION("""COMPUTED_VALUE"""),"#VALUE!")</f>
        <v>#VALUE!</v>
      </c>
      <c r="J127" s="51" t="str">
        <f>IFERROR(__xludf.DUMMYFUNCTION("""COMPUTED_VALUE"""),"")</f>
        <v/>
      </c>
      <c r="K127" s="51"/>
      <c r="L127" s="51" t="s">
        <v>257</v>
      </c>
      <c r="M127" s="51"/>
      <c r="N127" s="51"/>
      <c r="O127" s="51"/>
      <c r="P127" s="51"/>
      <c r="Q127" s="51"/>
      <c r="R127" s="51"/>
      <c r="S127" s="51"/>
      <c r="T127" s="51"/>
    </row>
    <row r="128">
      <c r="A128" s="51"/>
      <c r="B128" s="51"/>
      <c r="C128" s="56"/>
      <c r="D128" s="51"/>
      <c r="E128" s="51"/>
      <c r="F128" s="51"/>
      <c r="G128" s="51" t="str">
        <f>IFERROR(__xludf.DUMMYFUNCTION("""COMPUTED_VALUE"""),"#VALUE!")</f>
        <v>#VALUE!</v>
      </c>
      <c r="H128" s="51" t="str">
        <f>IFERROR(__xludf.DUMMYFUNCTION("""COMPUTED_VALUE"""),"")</f>
        <v/>
      </c>
      <c r="I128" s="51" t="str">
        <f>IFERROR(__xludf.DUMMYFUNCTION("""COMPUTED_VALUE"""),"#VALUE!")</f>
        <v>#VALUE!</v>
      </c>
      <c r="J128" s="51" t="str">
        <f>IFERROR(__xludf.DUMMYFUNCTION("""COMPUTED_VALUE"""),"")</f>
        <v/>
      </c>
      <c r="K128" s="51"/>
      <c r="L128" s="51" t="s">
        <v>257</v>
      </c>
      <c r="M128" s="51"/>
      <c r="N128" s="51"/>
      <c r="O128" s="51"/>
      <c r="P128" s="51"/>
      <c r="Q128" s="51"/>
      <c r="R128" s="51"/>
      <c r="S128" s="51"/>
      <c r="T128" s="51"/>
    </row>
    <row r="129">
      <c r="A129" s="51"/>
      <c r="B129" s="51"/>
      <c r="C129" s="56"/>
      <c r="D129" s="51"/>
      <c r="E129" s="51"/>
      <c r="F129" s="51"/>
      <c r="G129" s="51" t="str">
        <f>IFERROR(__xludf.DUMMYFUNCTION("""COMPUTED_VALUE"""),"#VALUE!")</f>
        <v>#VALUE!</v>
      </c>
      <c r="H129" s="51" t="str">
        <f>IFERROR(__xludf.DUMMYFUNCTION("""COMPUTED_VALUE"""),"")</f>
        <v/>
      </c>
      <c r="I129" s="51" t="str">
        <f>IFERROR(__xludf.DUMMYFUNCTION("""COMPUTED_VALUE"""),"#VALUE!")</f>
        <v>#VALUE!</v>
      </c>
      <c r="J129" s="51" t="str">
        <f>IFERROR(__xludf.DUMMYFUNCTION("""COMPUTED_VALUE"""),"")</f>
        <v/>
      </c>
      <c r="K129" s="51"/>
      <c r="L129" s="51" t="s">
        <v>257</v>
      </c>
      <c r="M129" s="51"/>
      <c r="N129" s="51"/>
      <c r="O129" s="51"/>
      <c r="P129" s="51"/>
      <c r="Q129" s="51"/>
      <c r="R129" s="51"/>
      <c r="S129" s="51"/>
      <c r="T129" s="51"/>
    </row>
    <row r="130">
      <c r="A130" s="51"/>
      <c r="B130" s="51"/>
      <c r="C130" s="56"/>
      <c r="D130" s="51"/>
      <c r="E130" s="51"/>
      <c r="F130" s="51"/>
      <c r="G130" s="51" t="str">
        <f>IFERROR(__xludf.DUMMYFUNCTION("""COMPUTED_VALUE"""),"#VALUE!")</f>
        <v>#VALUE!</v>
      </c>
      <c r="H130" s="51" t="str">
        <f>IFERROR(__xludf.DUMMYFUNCTION("""COMPUTED_VALUE"""),"")</f>
        <v/>
      </c>
      <c r="I130" s="51" t="str">
        <f>IFERROR(__xludf.DUMMYFUNCTION("""COMPUTED_VALUE"""),"#VALUE!")</f>
        <v>#VALUE!</v>
      </c>
      <c r="J130" s="51" t="str">
        <f>IFERROR(__xludf.DUMMYFUNCTION("""COMPUTED_VALUE"""),"")</f>
        <v/>
      </c>
      <c r="K130" s="51"/>
      <c r="L130" s="51" t="s">
        <v>257</v>
      </c>
      <c r="M130" s="51"/>
      <c r="N130" s="51"/>
      <c r="O130" s="51"/>
      <c r="P130" s="51"/>
      <c r="Q130" s="51"/>
      <c r="R130" s="51"/>
      <c r="S130" s="51"/>
      <c r="T130" s="51"/>
    </row>
    <row r="131">
      <c r="A131" s="51"/>
      <c r="B131" s="51"/>
      <c r="C131" s="56"/>
      <c r="D131" s="51"/>
      <c r="E131" s="51"/>
      <c r="F131" s="51"/>
      <c r="G131" s="51" t="str">
        <f>IFERROR(__xludf.DUMMYFUNCTION("""COMPUTED_VALUE"""),"#VALUE!")</f>
        <v>#VALUE!</v>
      </c>
      <c r="H131" s="51" t="str">
        <f>IFERROR(__xludf.DUMMYFUNCTION("""COMPUTED_VALUE"""),"")</f>
        <v/>
      </c>
      <c r="I131" s="51" t="str">
        <f>IFERROR(__xludf.DUMMYFUNCTION("""COMPUTED_VALUE"""),"#VALUE!")</f>
        <v>#VALUE!</v>
      </c>
      <c r="J131" s="51" t="str">
        <f>IFERROR(__xludf.DUMMYFUNCTION("""COMPUTED_VALUE"""),"")</f>
        <v/>
      </c>
      <c r="K131" s="51"/>
      <c r="L131" s="51" t="s">
        <v>257</v>
      </c>
      <c r="M131" s="51"/>
      <c r="N131" s="51"/>
      <c r="O131" s="51"/>
      <c r="P131" s="51"/>
      <c r="Q131" s="51"/>
      <c r="R131" s="51"/>
      <c r="S131" s="51"/>
      <c r="T131" s="51"/>
    </row>
    <row r="132">
      <c r="A132" s="51"/>
      <c r="B132" s="51"/>
      <c r="C132" s="56"/>
      <c r="D132" s="51"/>
      <c r="E132" s="51"/>
      <c r="F132" s="51"/>
      <c r="G132" s="51" t="str">
        <f>IFERROR(__xludf.DUMMYFUNCTION("""COMPUTED_VALUE"""),"#VALUE!")</f>
        <v>#VALUE!</v>
      </c>
      <c r="H132" s="51" t="str">
        <f>IFERROR(__xludf.DUMMYFUNCTION("""COMPUTED_VALUE"""),"")</f>
        <v/>
      </c>
      <c r="I132" s="51" t="str">
        <f>IFERROR(__xludf.DUMMYFUNCTION("""COMPUTED_VALUE"""),"#VALUE!")</f>
        <v>#VALUE!</v>
      </c>
      <c r="J132" s="51" t="str">
        <f>IFERROR(__xludf.DUMMYFUNCTION("""COMPUTED_VALUE"""),"")</f>
        <v/>
      </c>
      <c r="K132" s="51"/>
      <c r="L132" s="51" t="s">
        <v>257</v>
      </c>
      <c r="M132" s="51"/>
      <c r="N132" s="51"/>
      <c r="O132" s="51"/>
      <c r="P132" s="51"/>
      <c r="Q132" s="51"/>
      <c r="R132" s="51"/>
      <c r="S132" s="51"/>
      <c r="T132" s="51"/>
    </row>
    <row r="133">
      <c r="A133" s="51"/>
      <c r="B133" s="51"/>
      <c r="C133" s="56"/>
      <c r="D133" s="51"/>
      <c r="E133" s="51"/>
      <c r="F133" s="51"/>
      <c r="G133" s="51" t="str">
        <f>IFERROR(__xludf.DUMMYFUNCTION("""COMPUTED_VALUE"""),"#VALUE!")</f>
        <v>#VALUE!</v>
      </c>
      <c r="H133" s="51" t="str">
        <f>IFERROR(__xludf.DUMMYFUNCTION("""COMPUTED_VALUE"""),"")</f>
        <v/>
      </c>
      <c r="I133" s="51" t="str">
        <f>IFERROR(__xludf.DUMMYFUNCTION("""COMPUTED_VALUE"""),"#VALUE!")</f>
        <v>#VALUE!</v>
      </c>
      <c r="J133" s="51" t="str">
        <f>IFERROR(__xludf.DUMMYFUNCTION("""COMPUTED_VALUE"""),"")</f>
        <v/>
      </c>
      <c r="K133" s="51"/>
      <c r="L133" s="51" t="s">
        <v>257</v>
      </c>
      <c r="M133" s="51"/>
      <c r="N133" s="51"/>
      <c r="O133" s="51"/>
      <c r="P133" s="51"/>
      <c r="Q133" s="51"/>
      <c r="R133" s="51"/>
      <c r="S133" s="51"/>
      <c r="T133" s="51"/>
    </row>
    <row r="134">
      <c r="A134" s="51"/>
      <c r="B134" s="51"/>
      <c r="C134" s="56"/>
      <c r="D134" s="51"/>
      <c r="E134" s="51"/>
      <c r="F134" s="51"/>
      <c r="G134" s="51" t="str">
        <f>IFERROR(__xludf.DUMMYFUNCTION("""COMPUTED_VALUE"""),"#VALUE!")</f>
        <v>#VALUE!</v>
      </c>
      <c r="H134" s="51" t="str">
        <f>IFERROR(__xludf.DUMMYFUNCTION("""COMPUTED_VALUE"""),"")</f>
        <v/>
      </c>
      <c r="I134" s="51" t="str">
        <f>IFERROR(__xludf.DUMMYFUNCTION("""COMPUTED_VALUE"""),"#VALUE!")</f>
        <v>#VALUE!</v>
      </c>
      <c r="J134" s="51" t="str">
        <f>IFERROR(__xludf.DUMMYFUNCTION("""COMPUTED_VALUE"""),"")</f>
        <v/>
      </c>
      <c r="K134" s="51"/>
      <c r="L134" s="51" t="s">
        <v>257</v>
      </c>
      <c r="M134" s="51"/>
      <c r="N134" s="51"/>
      <c r="O134" s="51"/>
      <c r="P134" s="51"/>
      <c r="Q134" s="51"/>
      <c r="R134" s="51"/>
      <c r="S134" s="51"/>
      <c r="T134" s="51"/>
    </row>
    <row r="135">
      <c r="A135" s="51"/>
      <c r="B135" s="51"/>
      <c r="C135" s="56"/>
      <c r="D135" s="51"/>
      <c r="E135" s="51"/>
      <c r="F135" s="51"/>
      <c r="G135" s="51" t="str">
        <f>IFERROR(__xludf.DUMMYFUNCTION("""COMPUTED_VALUE"""),"#VALUE!")</f>
        <v>#VALUE!</v>
      </c>
      <c r="H135" s="51" t="str">
        <f>IFERROR(__xludf.DUMMYFUNCTION("""COMPUTED_VALUE"""),"")</f>
        <v/>
      </c>
      <c r="I135" s="51" t="str">
        <f>IFERROR(__xludf.DUMMYFUNCTION("""COMPUTED_VALUE"""),"#VALUE!")</f>
        <v>#VALUE!</v>
      </c>
      <c r="J135" s="51" t="str">
        <f>IFERROR(__xludf.DUMMYFUNCTION("""COMPUTED_VALUE"""),"")</f>
        <v/>
      </c>
      <c r="K135" s="51"/>
      <c r="L135" s="51" t="s">
        <v>257</v>
      </c>
      <c r="M135" s="51"/>
      <c r="N135" s="51"/>
      <c r="O135" s="51"/>
      <c r="P135" s="51"/>
      <c r="Q135" s="51"/>
      <c r="R135" s="51"/>
      <c r="S135" s="51"/>
      <c r="T135" s="51"/>
    </row>
    <row r="136">
      <c r="A136" s="51"/>
      <c r="B136" s="51"/>
      <c r="C136" s="56"/>
      <c r="D136" s="51"/>
      <c r="E136" s="51"/>
      <c r="F136" s="51"/>
      <c r="G136" s="51" t="str">
        <f>IFERROR(__xludf.DUMMYFUNCTION("""COMPUTED_VALUE"""),"#VALUE!")</f>
        <v>#VALUE!</v>
      </c>
      <c r="H136" s="51" t="str">
        <f>IFERROR(__xludf.DUMMYFUNCTION("""COMPUTED_VALUE"""),"")</f>
        <v/>
      </c>
      <c r="I136" s="51" t="str">
        <f>IFERROR(__xludf.DUMMYFUNCTION("""COMPUTED_VALUE"""),"#VALUE!")</f>
        <v>#VALUE!</v>
      </c>
      <c r="J136" s="51" t="str">
        <f>IFERROR(__xludf.DUMMYFUNCTION("""COMPUTED_VALUE"""),"")</f>
        <v/>
      </c>
      <c r="K136" s="51"/>
      <c r="L136" s="51" t="s">
        <v>257</v>
      </c>
      <c r="M136" s="51"/>
      <c r="N136" s="51"/>
      <c r="O136" s="51"/>
      <c r="P136" s="51"/>
      <c r="Q136" s="51"/>
      <c r="R136" s="51"/>
      <c r="S136" s="51"/>
      <c r="T136" s="51"/>
    </row>
    <row r="137">
      <c r="A137" s="51"/>
      <c r="B137" s="51"/>
      <c r="C137" s="56"/>
      <c r="D137" s="51"/>
      <c r="E137" s="51"/>
      <c r="F137" s="51"/>
      <c r="G137" s="51" t="str">
        <f>IFERROR(__xludf.DUMMYFUNCTION("""COMPUTED_VALUE"""),"#VALUE!")</f>
        <v>#VALUE!</v>
      </c>
      <c r="H137" s="51" t="str">
        <f>IFERROR(__xludf.DUMMYFUNCTION("""COMPUTED_VALUE"""),"")</f>
        <v/>
      </c>
      <c r="I137" s="51" t="str">
        <f>IFERROR(__xludf.DUMMYFUNCTION("""COMPUTED_VALUE"""),"#VALUE!")</f>
        <v>#VALUE!</v>
      </c>
      <c r="J137" s="51" t="str">
        <f>IFERROR(__xludf.DUMMYFUNCTION("""COMPUTED_VALUE"""),"")</f>
        <v/>
      </c>
      <c r="K137" s="51"/>
      <c r="L137" s="51" t="s">
        <v>257</v>
      </c>
      <c r="M137" s="51"/>
      <c r="N137" s="51"/>
      <c r="O137" s="51"/>
      <c r="P137" s="51"/>
      <c r="Q137" s="51"/>
      <c r="R137" s="51"/>
      <c r="S137" s="51"/>
      <c r="T137" s="51"/>
    </row>
    <row r="138">
      <c r="A138" s="51"/>
      <c r="B138" s="51"/>
      <c r="C138" s="56"/>
      <c r="D138" s="51"/>
      <c r="E138" s="51"/>
      <c r="F138" s="51"/>
      <c r="G138" s="51" t="str">
        <f>IFERROR(__xludf.DUMMYFUNCTION("""COMPUTED_VALUE"""),"#VALUE!")</f>
        <v>#VALUE!</v>
      </c>
      <c r="H138" s="51" t="str">
        <f>IFERROR(__xludf.DUMMYFUNCTION("""COMPUTED_VALUE"""),"")</f>
        <v/>
      </c>
      <c r="I138" s="51" t="str">
        <f>IFERROR(__xludf.DUMMYFUNCTION("""COMPUTED_VALUE"""),"#VALUE!")</f>
        <v>#VALUE!</v>
      </c>
      <c r="J138" s="51" t="str">
        <f>IFERROR(__xludf.DUMMYFUNCTION("""COMPUTED_VALUE"""),"")</f>
        <v/>
      </c>
      <c r="K138" s="51"/>
      <c r="L138" s="51" t="s">
        <v>257</v>
      </c>
      <c r="M138" s="51"/>
      <c r="N138" s="51"/>
      <c r="O138" s="51"/>
      <c r="P138" s="51"/>
      <c r="Q138" s="51"/>
      <c r="R138" s="51"/>
      <c r="S138" s="51"/>
      <c r="T138" s="51"/>
    </row>
    <row r="139">
      <c r="A139" s="51"/>
      <c r="B139" s="51"/>
      <c r="C139" s="56"/>
      <c r="D139" s="51"/>
      <c r="E139" s="51"/>
      <c r="F139" s="51"/>
      <c r="G139" s="51" t="str">
        <f>IFERROR(__xludf.DUMMYFUNCTION("""COMPUTED_VALUE"""),"#VALUE!")</f>
        <v>#VALUE!</v>
      </c>
      <c r="H139" s="51" t="str">
        <f>IFERROR(__xludf.DUMMYFUNCTION("""COMPUTED_VALUE"""),"")</f>
        <v/>
      </c>
      <c r="I139" s="51" t="str">
        <f>IFERROR(__xludf.DUMMYFUNCTION("""COMPUTED_VALUE"""),"#VALUE!")</f>
        <v>#VALUE!</v>
      </c>
      <c r="J139" s="51" t="str">
        <f>IFERROR(__xludf.DUMMYFUNCTION("""COMPUTED_VALUE"""),"")</f>
        <v/>
      </c>
      <c r="K139" s="51"/>
      <c r="L139" s="51" t="s">
        <v>257</v>
      </c>
      <c r="M139" s="51"/>
      <c r="N139" s="51"/>
      <c r="O139" s="51"/>
      <c r="P139" s="51"/>
      <c r="Q139" s="51"/>
      <c r="R139" s="51"/>
      <c r="S139" s="51"/>
      <c r="T139" s="51"/>
    </row>
    <row r="140">
      <c r="A140" s="51"/>
      <c r="B140" s="51"/>
      <c r="C140" s="56"/>
      <c r="D140" s="51"/>
      <c r="E140" s="51"/>
      <c r="F140" s="51"/>
      <c r="G140" s="51" t="str">
        <f>IFERROR(__xludf.DUMMYFUNCTION("""COMPUTED_VALUE"""),"#VALUE!")</f>
        <v>#VALUE!</v>
      </c>
      <c r="H140" s="51" t="str">
        <f>IFERROR(__xludf.DUMMYFUNCTION("""COMPUTED_VALUE"""),"")</f>
        <v/>
      </c>
      <c r="I140" s="51" t="str">
        <f>IFERROR(__xludf.DUMMYFUNCTION("""COMPUTED_VALUE"""),"#VALUE!")</f>
        <v>#VALUE!</v>
      </c>
      <c r="J140" s="51" t="str">
        <f>IFERROR(__xludf.DUMMYFUNCTION("""COMPUTED_VALUE"""),"")</f>
        <v/>
      </c>
      <c r="K140" s="51"/>
      <c r="L140" s="51" t="s">
        <v>257</v>
      </c>
      <c r="M140" s="51"/>
      <c r="N140" s="51"/>
      <c r="O140" s="51"/>
      <c r="P140" s="51"/>
      <c r="Q140" s="51"/>
      <c r="R140" s="51"/>
      <c r="S140" s="51"/>
      <c r="T140" s="51"/>
    </row>
    <row r="141">
      <c r="A141" s="51"/>
      <c r="B141" s="51"/>
      <c r="C141" s="56"/>
      <c r="D141" s="51"/>
      <c r="E141" s="51"/>
      <c r="F141" s="51"/>
      <c r="G141" s="51" t="str">
        <f>IFERROR(__xludf.DUMMYFUNCTION("""COMPUTED_VALUE"""),"#VALUE!")</f>
        <v>#VALUE!</v>
      </c>
      <c r="H141" s="51" t="str">
        <f>IFERROR(__xludf.DUMMYFUNCTION("""COMPUTED_VALUE"""),"")</f>
        <v/>
      </c>
      <c r="I141" s="51" t="str">
        <f>IFERROR(__xludf.DUMMYFUNCTION("""COMPUTED_VALUE"""),"#VALUE!")</f>
        <v>#VALUE!</v>
      </c>
      <c r="J141" s="51" t="str">
        <f>IFERROR(__xludf.DUMMYFUNCTION("""COMPUTED_VALUE"""),"")</f>
        <v/>
      </c>
      <c r="K141" s="51"/>
      <c r="L141" s="51" t="s">
        <v>257</v>
      </c>
      <c r="M141" s="51"/>
      <c r="N141" s="51"/>
      <c r="O141" s="51"/>
      <c r="P141" s="51"/>
      <c r="Q141" s="51"/>
      <c r="R141" s="51"/>
      <c r="S141" s="51"/>
      <c r="T141" s="51"/>
    </row>
    <row r="142">
      <c r="A142" s="51"/>
      <c r="B142" s="51"/>
      <c r="C142" s="56"/>
      <c r="D142" s="51"/>
      <c r="E142" s="51"/>
      <c r="F142" s="51"/>
      <c r="G142" s="51" t="str">
        <f>IFERROR(__xludf.DUMMYFUNCTION("""COMPUTED_VALUE"""),"#VALUE!")</f>
        <v>#VALUE!</v>
      </c>
      <c r="H142" s="51" t="str">
        <f>IFERROR(__xludf.DUMMYFUNCTION("""COMPUTED_VALUE"""),"")</f>
        <v/>
      </c>
      <c r="I142" s="51" t="str">
        <f>IFERROR(__xludf.DUMMYFUNCTION("""COMPUTED_VALUE"""),"#VALUE!")</f>
        <v>#VALUE!</v>
      </c>
      <c r="J142" s="51" t="str">
        <f>IFERROR(__xludf.DUMMYFUNCTION("""COMPUTED_VALUE"""),"")</f>
        <v/>
      </c>
      <c r="K142" s="51"/>
      <c r="L142" s="51" t="s">
        <v>257</v>
      </c>
      <c r="M142" s="51"/>
      <c r="N142" s="51"/>
      <c r="O142" s="51"/>
      <c r="P142" s="51"/>
      <c r="Q142" s="51"/>
      <c r="R142" s="51"/>
      <c r="S142" s="51"/>
      <c r="T142" s="51"/>
    </row>
    <row r="143">
      <c r="A143" s="51"/>
      <c r="B143" s="51"/>
      <c r="C143" s="56"/>
      <c r="D143" s="51"/>
      <c r="E143" s="51"/>
      <c r="F143" s="51"/>
      <c r="G143" s="51" t="str">
        <f>IFERROR(__xludf.DUMMYFUNCTION("""COMPUTED_VALUE"""),"#VALUE!")</f>
        <v>#VALUE!</v>
      </c>
      <c r="H143" s="51" t="str">
        <f>IFERROR(__xludf.DUMMYFUNCTION("""COMPUTED_VALUE"""),"")</f>
        <v/>
      </c>
      <c r="I143" s="51" t="str">
        <f>IFERROR(__xludf.DUMMYFUNCTION("""COMPUTED_VALUE"""),"#VALUE!")</f>
        <v>#VALUE!</v>
      </c>
      <c r="J143" s="51" t="str">
        <f>IFERROR(__xludf.DUMMYFUNCTION("""COMPUTED_VALUE"""),"")</f>
        <v/>
      </c>
      <c r="K143" s="51"/>
      <c r="L143" s="51" t="s">
        <v>257</v>
      </c>
      <c r="M143" s="51"/>
      <c r="N143" s="51"/>
      <c r="O143" s="51"/>
      <c r="P143" s="51"/>
      <c r="Q143" s="51"/>
      <c r="R143" s="51"/>
      <c r="S143" s="51"/>
      <c r="T143" s="51"/>
    </row>
    <row r="144">
      <c r="A144" s="51"/>
      <c r="B144" s="51"/>
      <c r="C144" s="56"/>
      <c r="D144" s="51"/>
      <c r="E144" s="51"/>
      <c r="F144" s="51"/>
      <c r="G144" s="51" t="str">
        <f>IFERROR(__xludf.DUMMYFUNCTION("""COMPUTED_VALUE"""),"#VALUE!")</f>
        <v>#VALUE!</v>
      </c>
      <c r="H144" s="51" t="str">
        <f>IFERROR(__xludf.DUMMYFUNCTION("""COMPUTED_VALUE"""),"")</f>
        <v/>
      </c>
      <c r="I144" s="51" t="str">
        <f>IFERROR(__xludf.DUMMYFUNCTION("""COMPUTED_VALUE"""),"#VALUE!")</f>
        <v>#VALUE!</v>
      </c>
      <c r="J144" s="51" t="str">
        <f>IFERROR(__xludf.DUMMYFUNCTION("""COMPUTED_VALUE"""),"")</f>
        <v/>
      </c>
      <c r="K144" s="51"/>
      <c r="L144" s="51" t="s">
        <v>257</v>
      </c>
      <c r="M144" s="51"/>
      <c r="N144" s="51"/>
      <c r="O144" s="51"/>
      <c r="P144" s="51"/>
      <c r="Q144" s="51"/>
      <c r="R144" s="51"/>
      <c r="S144" s="51"/>
      <c r="T144" s="51"/>
    </row>
    <row r="145">
      <c r="A145" s="51"/>
      <c r="B145" s="51"/>
      <c r="C145" s="56"/>
      <c r="D145" s="51"/>
      <c r="E145" s="51"/>
      <c r="F145" s="51"/>
      <c r="G145" s="51" t="str">
        <f>IFERROR(__xludf.DUMMYFUNCTION("""COMPUTED_VALUE"""),"#VALUE!")</f>
        <v>#VALUE!</v>
      </c>
      <c r="H145" s="51" t="str">
        <f>IFERROR(__xludf.DUMMYFUNCTION("""COMPUTED_VALUE"""),"")</f>
        <v/>
      </c>
      <c r="I145" s="51" t="str">
        <f>IFERROR(__xludf.DUMMYFUNCTION("""COMPUTED_VALUE"""),"#VALUE!")</f>
        <v>#VALUE!</v>
      </c>
      <c r="J145" s="51" t="str">
        <f>IFERROR(__xludf.DUMMYFUNCTION("""COMPUTED_VALUE"""),"")</f>
        <v/>
      </c>
      <c r="K145" s="51"/>
      <c r="L145" s="51" t="s">
        <v>257</v>
      </c>
      <c r="M145" s="51"/>
      <c r="N145" s="51"/>
      <c r="O145" s="51"/>
      <c r="P145" s="51"/>
      <c r="Q145" s="51"/>
      <c r="R145" s="51"/>
      <c r="S145" s="51"/>
      <c r="T145" s="51"/>
    </row>
    <row r="146">
      <c r="A146" s="51"/>
      <c r="B146" s="51"/>
      <c r="C146" s="56"/>
      <c r="D146" s="51"/>
      <c r="E146" s="51"/>
      <c r="F146" s="51"/>
      <c r="G146" s="51" t="str">
        <f>IFERROR(__xludf.DUMMYFUNCTION("""COMPUTED_VALUE"""),"#VALUE!")</f>
        <v>#VALUE!</v>
      </c>
      <c r="H146" s="51" t="str">
        <f>IFERROR(__xludf.DUMMYFUNCTION("""COMPUTED_VALUE"""),"")</f>
        <v/>
      </c>
      <c r="I146" s="51" t="str">
        <f>IFERROR(__xludf.DUMMYFUNCTION("""COMPUTED_VALUE"""),"#VALUE!")</f>
        <v>#VALUE!</v>
      </c>
      <c r="J146" s="51" t="str">
        <f>IFERROR(__xludf.DUMMYFUNCTION("""COMPUTED_VALUE"""),"")</f>
        <v/>
      </c>
      <c r="K146" s="51"/>
      <c r="L146" s="51" t="s">
        <v>257</v>
      </c>
      <c r="M146" s="51"/>
      <c r="N146" s="51"/>
      <c r="O146" s="51"/>
      <c r="P146" s="51"/>
      <c r="Q146" s="51"/>
      <c r="R146" s="51"/>
      <c r="S146" s="51"/>
      <c r="T146" s="51"/>
    </row>
    <row r="147">
      <c r="A147" s="51"/>
      <c r="B147" s="51"/>
      <c r="C147" s="56"/>
      <c r="D147" s="51"/>
      <c r="E147" s="51"/>
      <c r="F147" s="51"/>
      <c r="G147" s="51" t="str">
        <f>IFERROR(__xludf.DUMMYFUNCTION("""COMPUTED_VALUE"""),"#VALUE!")</f>
        <v>#VALUE!</v>
      </c>
      <c r="H147" s="51" t="str">
        <f>IFERROR(__xludf.DUMMYFUNCTION("""COMPUTED_VALUE"""),"")</f>
        <v/>
      </c>
      <c r="I147" s="51" t="str">
        <f>IFERROR(__xludf.DUMMYFUNCTION("""COMPUTED_VALUE"""),"#VALUE!")</f>
        <v>#VALUE!</v>
      </c>
      <c r="J147" s="51" t="str">
        <f>IFERROR(__xludf.DUMMYFUNCTION("""COMPUTED_VALUE"""),"")</f>
        <v/>
      </c>
      <c r="K147" s="51"/>
      <c r="L147" s="51" t="s">
        <v>257</v>
      </c>
      <c r="M147" s="51"/>
      <c r="N147" s="51"/>
      <c r="O147" s="51"/>
      <c r="P147" s="51"/>
      <c r="Q147" s="51"/>
      <c r="R147" s="51"/>
      <c r="S147" s="51"/>
      <c r="T147" s="51"/>
    </row>
    <row r="148">
      <c r="A148" s="51"/>
      <c r="B148" s="51"/>
      <c r="C148" s="56"/>
      <c r="D148" s="51"/>
      <c r="E148" s="51"/>
      <c r="F148" s="51"/>
      <c r="G148" s="51" t="str">
        <f>IFERROR(__xludf.DUMMYFUNCTION("""COMPUTED_VALUE"""),"#VALUE!")</f>
        <v>#VALUE!</v>
      </c>
      <c r="H148" s="51" t="str">
        <f>IFERROR(__xludf.DUMMYFUNCTION("""COMPUTED_VALUE"""),"")</f>
        <v/>
      </c>
      <c r="I148" s="51" t="str">
        <f>IFERROR(__xludf.DUMMYFUNCTION("""COMPUTED_VALUE"""),"#VALUE!")</f>
        <v>#VALUE!</v>
      </c>
      <c r="J148" s="51" t="str">
        <f>IFERROR(__xludf.DUMMYFUNCTION("""COMPUTED_VALUE"""),"")</f>
        <v/>
      </c>
      <c r="K148" s="51"/>
      <c r="L148" s="51" t="s">
        <v>257</v>
      </c>
      <c r="M148" s="51"/>
      <c r="N148" s="51"/>
      <c r="O148" s="51"/>
      <c r="P148" s="51"/>
      <c r="Q148" s="51"/>
      <c r="R148" s="51"/>
      <c r="S148" s="51"/>
      <c r="T148" s="51"/>
    </row>
    <row r="149">
      <c r="A149" s="51"/>
      <c r="B149" s="51"/>
      <c r="C149" s="56"/>
      <c r="D149" s="51"/>
      <c r="E149" s="51"/>
      <c r="F149" s="51"/>
      <c r="G149" s="51" t="str">
        <f>IFERROR(__xludf.DUMMYFUNCTION("""COMPUTED_VALUE"""),"#VALUE!")</f>
        <v>#VALUE!</v>
      </c>
      <c r="H149" s="51" t="str">
        <f>IFERROR(__xludf.DUMMYFUNCTION("""COMPUTED_VALUE"""),"")</f>
        <v/>
      </c>
      <c r="I149" s="51" t="str">
        <f>IFERROR(__xludf.DUMMYFUNCTION("""COMPUTED_VALUE"""),"#VALUE!")</f>
        <v>#VALUE!</v>
      </c>
      <c r="J149" s="51" t="str">
        <f>IFERROR(__xludf.DUMMYFUNCTION("""COMPUTED_VALUE"""),"")</f>
        <v/>
      </c>
      <c r="K149" s="51"/>
      <c r="L149" s="51" t="s">
        <v>257</v>
      </c>
      <c r="M149" s="51"/>
      <c r="N149" s="51"/>
      <c r="O149" s="51"/>
      <c r="P149" s="51"/>
      <c r="Q149" s="51"/>
      <c r="R149" s="51"/>
      <c r="S149" s="51"/>
      <c r="T149" s="51"/>
    </row>
    <row r="150">
      <c r="A150" s="51"/>
      <c r="B150" s="51"/>
      <c r="C150" s="56"/>
      <c r="D150" s="51"/>
      <c r="E150" s="51"/>
      <c r="F150" s="51"/>
      <c r="G150" s="51" t="str">
        <f>IFERROR(__xludf.DUMMYFUNCTION("""COMPUTED_VALUE"""),"#VALUE!")</f>
        <v>#VALUE!</v>
      </c>
      <c r="H150" s="51" t="str">
        <f>IFERROR(__xludf.DUMMYFUNCTION("""COMPUTED_VALUE"""),"")</f>
        <v/>
      </c>
      <c r="I150" s="51" t="str">
        <f>IFERROR(__xludf.DUMMYFUNCTION("""COMPUTED_VALUE"""),"#VALUE!")</f>
        <v>#VALUE!</v>
      </c>
      <c r="J150" s="51" t="str">
        <f>IFERROR(__xludf.DUMMYFUNCTION("""COMPUTED_VALUE"""),"")</f>
        <v/>
      </c>
      <c r="K150" s="51"/>
      <c r="L150" s="51" t="s">
        <v>257</v>
      </c>
      <c r="M150" s="51"/>
      <c r="N150" s="51"/>
      <c r="O150" s="51"/>
      <c r="P150" s="51"/>
      <c r="Q150" s="51"/>
      <c r="R150" s="51"/>
      <c r="S150" s="51"/>
      <c r="T150" s="51"/>
    </row>
    <row r="151">
      <c r="A151" s="51"/>
      <c r="B151" s="51"/>
      <c r="C151" s="56"/>
      <c r="D151" s="51"/>
      <c r="E151" s="51"/>
      <c r="F151" s="51"/>
      <c r="G151" s="51" t="str">
        <f>IFERROR(__xludf.DUMMYFUNCTION("""COMPUTED_VALUE"""),"#VALUE!")</f>
        <v>#VALUE!</v>
      </c>
      <c r="H151" s="51" t="str">
        <f>IFERROR(__xludf.DUMMYFUNCTION("""COMPUTED_VALUE"""),"")</f>
        <v/>
      </c>
      <c r="I151" s="51" t="str">
        <f>IFERROR(__xludf.DUMMYFUNCTION("""COMPUTED_VALUE"""),"#VALUE!")</f>
        <v>#VALUE!</v>
      </c>
      <c r="J151" s="51" t="str">
        <f>IFERROR(__xludf.DUMMYFUNCTION("""COMPUTED_VALUE"""),"")</f>
        <v/>
      </c>
      <c r="K151" s="51"/>
      <c r="L151" s="51" t="s">
        <v>257</v>
      </c>
      <c r="M151" s="51"/>
      <c r="N151" s="51"/>
      <c r="O151" s="51"/>
      <c r="P151" s="51"/>
      <c r="Q151" s="51"/>
      <c r="R151" s="51"/>
      <c r="S151" s="51"/>
      <c r="T151" s="51"/>
    </row>
    <row r="152">
      <c r="A152" s="51"/>
      <c r="B152" s="51"/>
      <c r="C152" s="56"/>
      <c r="D152" s="51"/>
      <c r="E152" s="51"/>
      <c r="F152" s="51"/>
      <c r="G152" s="51" t="str">
        <f>IFERROR(__xludf.DUMMYFUNCTION("""COMPUTED_VALUE"""),"#VALUE!")</f>
        <v>#VALUE!</v>
      </c>
      <c r="H152" s="51" t="str">
        <f>IFERROR(__xludf.DUMMYFUNCTION("""COMPUTED_VALUE"""),"")</f>
        <v/>
      </c>
      <c r="I152" s="51" t="str">
        <f>IFERROR(__xludf.DUMMYFUNCTION("""COMPUTED_VALUE"""),"#VALUE!")</f>
        <v>#VALUE!</v>
      </c>
      <c r="J152" s="51" t="str">
        <f>IFERROR(__xludf.DUMMYFUNCTION("""COMPUTED_VALUE"""),"")</f>
        <v/>
      </c>
      <c r="K152" s="51"/>
      <c r="L152" s="51" t="s">
        <v>257</v>
      </c>
      <c r="M152" s="51"/>
      <c r="N152" s="51"/>
      <c r="O152" s="51"/>
      <c r="P152" s="51"/>
      <c r="Q152" s="51"/>
      <c r="R152" s="51"/>
      <c r="S152" s="51"/>
      <c r="T152" s="51"/>
    </row>
    <row r="153">
      <c r="A153" s="51"/>
      <c r="B153" s="51"/>
      <c r="C153" s="56"/>
      <c r="D153" s="51"/>
      <c r="E153" s="51"/>
      <c r="F153" s="51"/>
      <c r="G153" s="51" t="str">
        <f>IFERROR(__xludf.DUMMYFUNCTION("""COMPUTED_VALUE"""),"#VALUE!")</f>
        <v>#VALUE!</v>
      </c>
      <c r="H153" s="51" t="str">
        <f>IFERROR(__xludf.DUMMYFUNCTION("""COMPUTED_VALUE"""),"")</f>
        <v/>
      </c>
      <c r="I153" s="51" t="str">
        <f>IFERROR(__xludf.DUMMYFUNCTION("""COMPUTED_VALUE"""),"#VALUE!")</f>
        <v>#VALUE!</v>
      </c>
      <c r="J153" s="51" t="str">
        <f>IFERROR(__xludf.DUMMYFUNCTION("""COMPUTED_VALUE"""),"")</f>
        <v/>
      </c>
      <c r="K153" s="51"/>
      <c r="L153" s="51" t="s">
        <v>257</v>
      </c>
      <c r="M153" s="51"/>
      <c r="N153" s="51"/>
      <c r="O153" s="51"/>
      <c r="P153" s="51"/>
      <c r="Q153" s="51"/>
      <c r="R153" s="51"/>
      <c r="S153" s="51"/>
      <c r="T153" s="51"/>
    </row>
    <row r="154">
      <c r="A154" s="51"/>
      <c r="B154" s="51"/>
      <c r="C154" s="56"/>
      <c r="D154" s="51"/>
      <c r="E154" s="51"/>
      <c r="F154" s="51"/>
      <c r="G154" s="51" t="str">
        <f>IFERROR(__xludf.DUMMYFUNCTION("""COMPUTED_VALUE"""),"#VALUE!")</f>
        <v>#VALUE!</v>
      </c>
      <c r="H154" s="51" t="str">
        <f>IFERROR(__xludf.DUMMYFUNCTION("""COMPUTED_VALUE"""),"")</f>
        <v/>
      </c>
      <c r="I154" s="51" t="str">
        <f>IFERROR(__xludf.DUMMYFUNCTION("""COMPUTED_VALUE"""),"#VALUE!")</f>
        <v>#VALUE!</v>
      </c>
      <c r="J154" s="51" t="str">
        <f>IFERROR(__xludf.DUMMYFUNCTION("""COMPUTED_VALUE"""),"")</f>
        <v/>
      </c>
      <c r="K154" s="51"/>
      <c r="L154" s="51" t="s">
        <v>257</v>
      </c>
      <c r="M154" s="51"/>
      <c r="N154" s="51"/>
      <c r="O154" s="51"/>
      <c r="P154" s="51"/>
      <c r="Q154" s="51"/>
      <c r="R154" s="51"/>
      <c r="S154" s="51"/>
      <c r="T154" s="51"/>
    </row>
    <row r="155">
      <c r="A155" s="51"/>
      <c r="B155" s="51"/>
      <c r="C155" s="56"/>
      <c r="D155" s="51"/>
      <c r="E155" s="51"/>
      <c r="F155" s="51"/>
      <c r="G155" s="51" t="str">
        <f>IFERROR(__xludf.DUMMYFUNCTION("""COMPUTED_VALUE"""),"#VALUE!")</f>
        <v>#VALUE!</v>
      </c>
      <c r="H155" s="51" t="str">
        <f>IFERROR(__xludf.DUMMYFUNCTION("""COMPUTED_VALUE"""),"")</f>
        <v/>
      </c>
      <c r="I155" s="51" t="str">
        <f>IFERROR(__xludf.DUMMYFUNCTION("""COMPUTED_VALUE"""),"#VALUE!")</f>
        <v>#VALUE!</v>
      </c>
      <c r="J155" s="51" t="str">
        <f>IFERROR(__xludf.DUMMYFUNCTION("""COMPUTED_VALUE"""),"")</f>
        <v/>
      </c>
      <c r="K155" s="51"/>
      <c r="L155" s="51" t="s">
        <v>257</v>
      </c>
      <c r="M155" s="51"/>
      <c r="N155" s="51"/>
      <c r="O155" s="51"/>
      <c r="P155" s="51"/>
      <c r="Q155" s="51"/>
      <c r="R155" s="51"/>
      <c r="S155" s="51"/>
      <c r="T155" s="51"/>
    </row>
    <row r="156">
      <c r="A156" s="51"/>
      <c r="B156" s="51"/>
      <c r="C156" s="56"/>
      <c r="D156" s="51"/>
      <c r="E156" s="51"/>
      <c r="F156" s="51"/>
      <c r="G156" s="51" t="str">
        <f>IFERROR(__xludf.DUMMYFUNCTION("""COMPUTED_VALUE"""),"#VALUE!")</f>
        <v>#VALUE!</v>
      </c>
      <c r="H156" s="51" t="str">
        <f>IFERROR(__xludf.DUMMYFUNCTION("""COMPUTED_VALUE"""),"")</f>
        <v/>
      </c>
      <c r="I156" s="51" t="str">
        <f>IFERROR(__xludf.DUMMYFUNCTION("""COMPUTED_VALUE"""),"#VALUE!")</f>
        <v>#VALUE!</v>
      </c>
      <c r="J156" s="51" t="str">
        <f>IFERROR(__xludf.DUMMYFUNCTION("""COMPUTED_VALUE"""),"")</f>
        <v/>
      </c>
      <c r="K156" s="51"/>
      <c r="L156" s="51" t="s">
        <v>257</v>
      </c>
      <c r="M156" s="51"/>
      <c r="N156" s="51"/>
      <c r="O156" s="51"/>
      <c r="P156" s="51"/>
      <c r="Q156" s="51"/>
      <c r="R156" s="51"/>
      <c r="S156" s="51"/>
      <c r="T156" s="51"/>
    </row>
    <row r="157">
      <c r="A157" s="51"/>
      <c r="B157" s="51"/>
      <c r="C157" s="56"/>
      <c r="D157" s="51"/>
      <c r="E157" s="51"/>
      <c r="F157" s="51"/>
      <c r="G157" s="51" t="str">
        <f>IFERROR(__xludf.DUMMYFUNCTION("""COMPUTED_VALUE"""),"#VALUE!")</f>
        <v>#VALUE!</v>
      </c>
      <c r="H157" s="51" t="str">
        <f>IFERROR(__xludf.DUMMYFUNCTION("""COMPUTED_VALUE"""),"")</f>
        <v/>
      </c>
      <c r="I157" s="51" t="str">
        <f>IFERROR(__xludf.DUMMYFUNCTION("""COMPUTED_VALUE"""),"#VALUE!")</f>
        <v>#VALUE!</v>
      </c>
      <c r="J157" s="51" t="str">
        <f>IFERROR(__xludf.DUMMYFUNCTION("""COMPUTED_VALUE"""),"")</f>
        <v/>
      </c>
      <c r="K157" s="51"/>
      <c r="L157" s="51" t="s">
        <v>257</v>
      </c>
      <c r="M157" s="51"/>
      <c r="N157" s="51"/>
      <c r="O157" s="51"/>
      <c r="P157" s="51"/>
      <c r="Q157" s="51"/>
      <c r="R157" s="51"/>
      <c r="S157" s="51"/>
      <c r="T157" s="51"/>
    </row>
    <row r="158">
      <c r="A158" s="51"/>
      <c r="B158" s="51"/>
      <c r="C158" s="56"/>
      <c r="D158" s="51"/>
      <c r="E158" s="51"/>
      <c r="F158" s="51"/>
      <c r="G158" s="51" t="str">
        <f>IFERROR(__xludf.DUMMYFUNCTION("""COMPUTED_VALUE"""),"#VALUE!")</f>
        <v>#VALUE!</v>
      </c>
      <c r="H158" s="51" t="str">
        <f>IFERROR(__xludf.DUMMYFUNCTION("""COMPUTED_VALUE"""),"")</f>
        <v/>
      </c>
      <c r="I158" s="51" t="str">
        <f>IFERROR(__xludf.DUMMYFUNCTION("""COMPUTED_VALUE"""),"#VALUE!")</f>
        <v>#VALUE!</v>
      </c>
      <c r="J158" s="51" t="str">
        <f>IFERROR(__xludf.DUMMYFUNCTION("""COMPUTED_VALUE"""),"")</f>
        <v/>
      </c>
      <c r="K158" s="51"/>
      <c r="L158" s="51" t="s">
        <v>257</v>
      </c>
      <c r="M158" s="51"/>
      <c r="N158" s="51"/>
      <c r="O158" s="51"/>
      <c r="P158" s="51"/>
      <c r="Q158" s="51"/>
      <c r="R158" s="51"/>
      <c r="S158" s="51"/>
      <c r="T158" s="51"/>
    </row>
    <row r="159">
      <c r="A159" s="51"/>
      <c r="B159" s="51"/>
      <c r="C159" s="56"/>
      <c r="D159" s="51"/>
      <c r="E159" s="51"/>
      <c r="F159" s="51"/>
      <c r="G159" s="51" t="str">
        <f>IFERROR(__xludf.DUMMYFUNCTION("""COMPUTED_VALUE"""),"#VALUE!")</f>
        <v>#VALUE!</v>
      </c>
      <c r="H159" s="51" t="str">
        <f>IFERROR(__xludf.DUMMYFUNCTION("""COMPUTED_VALUE"""),"")</f>
        <v/>
      </c>
      <c r="I159" s="51" t="str">
        <f>IFERROR(__xludf.DUMMYFUNCTION("""COMPUTED_VALUE"""),"#VALUE!")</f>
        <v>#VALUE!</v>
      </c>
      <c r="J159" s="51" t="str">
        <f>IFERROR(__xludf.DUMMYFUNCTION("""COMPUTED_VALUE"""),"")</f>
        <v/>
      </c>
      <c r="K159" s="51"/>
      <c r="L159" s="51" t="s">
        <v>257</v>
      </c>
      <c r="M159" s="51"/>
      <c r="N159" s="51"/>
      <c r="O159" s="51"/>
      <c r="P159" s="51"/>
      <c r="Q159" s="51"/>
      <c r="R159" s="51"/>
      <c r="S159" s="51"/>
      <c r="T159" s="51"/>
    </row>
    <row r="160">
      <c r="A160" s="51"/>
      <c r="B160" s="51"/>
      <c r="C160" s="56"/>
      <c r="D160" s="51"/>
      <c r="E160" s="51"/>
      <c r="F160" s="51"/>
      <c r="G160" s="51" t="str">
        <f>IFERROR(__xludf.DUMMYFUNCTION("""COMPUTED_VALUE"""),"#VALUE!")</f>
        <v>#VALUE!</v>
      </c>
      <c r="H160" s="51" t="str">
        <f>IFERROR(__xludf.DUMMYFUNCTION("""COMPUTED_VALUE"""),"")</f>
        <v/>
      </c>
      <c r="I160" s="51" t="str">
        <f>IFERROR(__xludf.DUMMYFUNCTION("""COMPUTED_VALUE"""),"#VALUE!")</f>
        <v>#VALUE!</v>
      </c>
      <c r="J160" s="51" t="str">
        <f>IFERROR(__xludf.DUMMYFUNCTION("""COMPUTED_VALUE"""),"")</f>
        <v/>
      </c>
      <c r="K160" s="51"/>
      <c r="L160" s="51" t="s">
        <v>257</v>
      </c>
      <c r="M160" s="51"/>
      <c r="N160" s="51"/>
      <c r="O160" s="51"/>
      <c r="P160" s="51"/>
      <c r="Q160" s="51"/>
      <c r="R160" s="51"/>
      <c r="S160" s="51"/>
      <c r="T160" s="51"/>
    </row>
    <row r="161">
      <c r="A161" s="51"/>
      <c r="B161" s="51"/>
      <c r="C161" s="56"/>
      <c r="D161" s="51"/>
      <c r="E161" s="51"/>
      <c r="F161" s="51"/>
      <c r="G161" s="51" t="str">
        <f>IFERROR(__xludf.DUMMYFUNCTION("""COMPUTED_VALUE"""),"#VALUE!")</f>
        <v>#VALUE!</v>
      </c>
      <c r="H161" s="51" t="str">
        <f>IFERROR(__xludf.DUMMYFUNCTION("""COMPUTED_VALUE"""),"")</f>
        <v/>
      </c>
      <c r="I161" s="51" t="str">
        <f>IFERROR(__xludf.DUMMYFUNCTION("""COMPUTED_VALUE"""),"#VALUE!")</f>
        <v>#VALUE!</v>
      </c>
      <c r="J161" s="51" t="str">
        <f>IFERROR(__xludf.DUMMYFUNCTION("""COMPUTED_VALUE"""),"")</f>
        <v/>
      </c>
      <c r="K161" s="51"/>
      <c r="L161" s="51" t="s">
        <v>257</v>
      </c>
      <c r="M161" s="51"/>
      <c r="N161" s="51"/>
      <c r="O161" s="51"/>
      <c r="P161" s="51"/>
      <c r="Q161" s="51"/>
      <c r="R161" s="51"/>
      <c r="S161" s="51"/>
      <c r="T161" s="51"/>
    </row>
    <row r="162">
      <c r="A162" s="51"/>
      <c r="B162" s="51"/>
      <c r="C162" s="56"/>
      <c r="D162" s="51"/>
      <c r="E162" s="51"/>
      <c r="F162" s="51"/>
      <c r="G162" s="51" t="str">
        <f>IFERROR(__xludf.DUMMYFUNCTION("""COMPUTED_VALUE"""),"#VALUE!")</f>
        <v>#VALUE!</v>
      </c>
      <c r="H162" s="51" t="str">
        <f>IFERROR(__xludf.DUMMYFUNCTION("""COMPUTED_VALUE"""),"")</f>
        <v/>
      </c>
      <c r="I162" s="51" t="str">
        <f>IFERROR(__xludf.DUMMYFUNCTION("""COMPUTED_VALUE"""),"#VALUE!")</f>
        <v>#VALUE!</v>
      </c>
      <c r="J162" s="51" t="str">
        <f>IFERROR(__xludf.DUMMYFUNCTION("""COMPUTED_VALUE"""),"")</f>
        <v/>
      </c>
      <c r="K162" s="51"/>
      <c r="L162" s="51" t="s">
        <v>257</v>
      </c>
      <c r="M162" s="51"/>
      <c r="N162" s="51"/>
      <c r="O162" s="51"/>
      <c r="P162" s="51"/>
      <c r="Q162" s="51"/>
      <c r="R162" s="51"/>
      <c r="S162" s="51"/>
      <c r="T162" s="51"/>
    </row>
    <row r="163">
      <c r="A163" s="51"/>
      <c r="B163" s="51"/>
      <c r="C163" s="56"/>
      <c r="D163" s="51"/>
      <c r="E163" s="51"/>
      <c r="F163" s="51"/>
      <c r="G163" s="51" t="str">
        <f>IFERROR(__xludf.DUMMYFUNCTION("""COMPUTED_VALUE"""),"#VALUE!")</f>
        <v>#VALUE!</v>
      </c>
      <c r="H163" s="51" t="str">
        <f>IFERROR(__xludf.DUMMYFUNCTION("""COMPUTED_VALUE"""),"")</f>
        <v/>
      </c>
      <c r="I163" s="51" t="str">
        <f>IFERROR(__xludf.DUMMYFUNCTION("""COMPUTED_VALUE"""),"#VALUE!")</f>
        <v>#VALUE!</v>
      </c>
      <c r="J163" s="51" t="str">
        <f>IFERROR(__xludf.DUMMYFUNCTION("""COMPUTED_VALUE"""),"")</f>
        <v/>
      </c>
      <c r="K163" s="51"/>
      <c r="L163" s="51" t="s">
        <v>257</v>
      </c>
      <c r="M163" s="51"/>
      <c r="N163" s="51"/>
      <c r="O163" s="51"/>
      <c r="P163" s="51"/>
      <c r="Q163" s="51"/>
      <c r="R163" s="51"/>
      <c r="S163" s="51"/>
      <c r="T163" s="51"/>
    </row>
    <row r="164">
      <c r="A164" s="51"/>
      <c r="B164" s="51"/>
      <c r="C164" s="56"/>
      <c r="D164" s="51"/>
      <c r="E164" s="51"/>
      <c r="F164" s="51"/>
      <c r="G164" s="51" t="str">
        <f>IFERROR(__xludf.DUMMYFUNCTION("""COMPUTED_VALUE"""),"#VALUE!")</f>
        <v>#VALUE!</v>
      </c>
      <c r="H164" s="51" t="str">
        <f>IFERROR(__xludf.DUMMYFUNCTION("""COMPUTED_VALUE"""),"")</f>
        <v/>
      </c>
      <c r="I164" s="51" t="str">
        <f>IFERROR(__xludf.DUMMYFUNCTION("""COMPUTED_VALUE"""),"#VALUE!")</f>
        <v>#VALUE!</v>
      </c>
      <c r="J164" s="51" t="str">
        <f>IFERROR(__xludf.DUMMYFUNCTION("""COMPUTED_VALUE"""),"")</f>
        <v/>
      </c>
      <c r="K164" s="51"/>
      <c r="L164" s="51" t="s">
        <v>257</v>
      </c>
      <c r="M164" s="51"/>
      <c r="N164" s="51"/>
      <c r="O164" s="51"/>
      <c r="P164" s="51"/>
      <c r="Q164" s="51"/>
      <c r="R164" s="51"/>
      <c r="S164" s="51"/>
      <c r="T164" s="51"/>
    </row>
    <row r="165">
      <c r="A165" s="51"/>
      <c r="B165" s="51"/>
      <c r="C165" s="56"/>
      <c r="D165" s="51"/>
      <c r="E165" s="51"/>
      <c r="F165" s="51"/>
      <c r="G165" s="51" t="str">
        <f>IFERROR(__xludf.DUMMYFUNCTION("""COMPUTED_VALUE"""),"#VALUE!")</f>
        <v>#VALUE!</v>
      </c>
      <c r="H165" s="51" t="str">
        <f>IFERROR(__xludf.DUMMYFUNCTION("""COMPUTED_VALUE"""),"")</f>
        <v/>
      </c>
      <c r="I165" s="51" t="str">
        <f>IFERROR(__xludf.DUMMYFUNCTION("""COMPUTED_VALUE"""),"#VALUE!")</f>
        <v>#VALUE!</v>
      </c>
      <c r="J165" s="51" t="str">
        <f>IFERROR(__xludf.DUMMYFUNCTION("""COMPUTED_VALUE"""),"")</f>
        <v/>
      </c>
      <c r="K165" s="51"/>
      <c r="L165" s="51" t="s">
        <v>257</v>
      </c>
      <c r="M165" s="51"/>
      <c r="N165" s="51"/>
      <c r="O165" s="51"/>
      <c r="P165" s="51"/>
      <c r="Q165" s="51"/>
      <c r="R165" s="51"/>
      <c r="S165" s="51"/>
      <c r="T165" s="51"/>
    </row>
    <row r="166">
      <c r="A166" s="51"/>
      <c r="B166" s="51"/>
      <c r="C166" s="56"/>
      <c r="D166" s="51"/>
      <c r="E166" s="51"/>
      <c r="F166" s="51"/>
      <c r="G166" s="51" t="str">
        <f>IFERROR(__xludf.DUMMYFUNCTION("""COMPUTED_VALUE"""),"#VALUE!")</f>
        <v>#VALUE!</v>
      </c>
      <c r="H166" s="51" t="str">
        <f>IFERROR(__xludf.DUMMYFUNCTION("""COMPUTED_VALUE"""),"")</f>
        <v/>
      </c>
      <c r="I166" s="51" t="str">
        <f>IFERROR(__xludf.DUMMYFUNCTION("""COMPUTED_VALUE"""),"#VALUE!")</f>
        <v>#VALUE!</v>
      </c>
      <c r="J166" s="51" t="str">
        <f>IFERROR(__xludf.DUMMYFUNCTION("""COMPUTED_VALUE"""),"")</f>
        <v/>
      </c>
      <c r="K166" s="51"/>
      <c r="L166" s="51" t="s">
        <v>257</v>
      </c>
      <c r="M166" s="51"/>
      <c r="N166" s="51"/>
      <c r="O166" s="51"/>
      <c r="P166" s="51"/>
      <c r="Q166" s="51"/>
      <c r="R166" s="51"/>
      <c r="S166" s="51"/>
      <c r="T166" s="51"/>
    </row>
    <row r="167">
      <c r="A167" s="51"/>
      <c r="B167" s="51"/>
      <c r="C167" s="56"/>
      <c r="D167" s="51"/>
      <c r="E167" s="51"/>
      <c r="F167" s="51"/>
      <c r="G167" s="51" t="str">
        <f>IFERROR(__xludf.DUMMYFUNCTION("""COMPUTED_VALUE"""),"#VALUE!")</f>
        <v>#VALUE!</v>
      </c>
      <c r="H167" s="51" t="str">
        <f>IFERROR(__xludf.DUMMYFUNCTION("""COMPUTED_VALUE"""),"")</f>
        <v/>
      </c>
      <c r="I167" s="51" t="str">
        <f>IFERROR(__xludf.DUMMYFUNCTION("""COMPUTED_VALUE"""),"#VALUE!")</f>
        <v>#VALUE!</v>
      </c>
      <c r="J167" s="51" t="str">
        <f>IFERROR(__xludf.DUMMYFUNCTION("""COMPUTED_VALUE"""),"")</f>
        <v/>
      </c>
      <c r="K167" s="51"/>
      <c r="L167" s="51" t="s">
        <v>257</v>
      </c>
      <c r="M167" s="51"/>
      <c r="N167" s="51"/>
      <c r="O167" s="51"/>
      <c r="P167" s="51"/>
      <c r="Q167" s="51"/>
      <c r="R167" s="51"/>
      <c r="S167" s="51"/>
      <c r="T167" s="51"/>
    </row>
    <row r="168">
      <c r="A168" s="51"/>
      <c r="B168" s="51"/>
      <c r="C168" s="56"/>
      <c r="D168" s="51"/>
      <c r="E168" s="51"/>
      <c r="F168" s="51"/>
      <c r="G168" s="51" t="str">
        <f>IFERROR(__xludf.DUMMYFUNCTION("""COMPUTED_VALUE"""),"#VALUE!")</f>
        <v>#VALUE!</v>
      </c>
      <c r="H168" s="51" t="str">
        <f>IFERROR(__xludf.DUMMYFUNCTION("""COMPUTED_VALUE"""),"")</f>
        <v/>
      </c>
      <c r="I168" s="51" t="str">
        <f>IFERROR(__xludf.DUMMYFUNCTION("""COMPUTED_VALUE"""),"#VALUE!")</f>
        <v>#VALUE!</v>
      </c>
      <c r="J168" s="51" t="str">
        <f>IFERROR(__xludf.DUMMYFUNCTION("""COMPUTED_VALUE"""),"")</f>
        <v/>
      </c>
      <c r="K168" s="51"/>
      <c r="L168" s="51" t="s">
        <v>257</v>
      </c>
      <c r="M168" s="51"/>
      <c r="N168" s="51"/>
      <c r="O168" s="51"/>
      <c r="P168" s="51"/>
      <c r="Q168" s="51"/>
      <c r="R168" s="51"/>
      <c r="S168" s="51"/>
      <c r="T168" s="51"/>
    </row>
    <row r="169">
      <c r="A169" s="51"/>
      <c r="B169" s="51"/>
      <c r="C169" s="56"/>
      <c r="D169" s="51"/>
      <c r="E169" s="51"/>
      <c r="F169" s="51"/>
      <c r="G169" s="51" t="str">
        <f>IFERROR(__xludf.DUMMYFUNCTION("""COMPUTED_VALUE"""),"#VALUE!")</f>
        <v>#VALUE!</v>
      </c>
      <c r="H169" s="51" t="str">
        <f>IFERROR(__xludf.DUMMYFUNCTION("""COMPUTED_VALUE"""),"")</f>
        <v/>
      </c>
      <c r="I169" s="51" t="str">
        <f>IFERROR(__xludf.DUMMYFUNCTION("""COMPUTED_VALUE"""),"#VALUE!")</f>
        <v>#VALUE!</v>
      </c>
      <c r="J169" s="51" t="str">
        <f>IFERROR(__xludf.DUMMYFUNCTION("""COMPUTED_VALUE"""),"")</f>
        <v/>
      </c>
      <c r="K169" s="51"/>
      <c r="L169" s="51" t="s">
        <v>257</v>
      </c>
      <c r="M169" s="51"/>
      <c r="N169" s="51"/>
      <c r="O169" s="51"/>
      <c r="P169" s="51"/>
      <c r="Q169" s="51"/>
      <c r="R169" s="51"/>
      <c r="S169" s="51"/>
      <c r="T169" s="51"/>
    </row>
    <row r="170">
      <c r="A170" s="51"/>
      <c r="B170" s="51"/>
      <c r="C170" s="56"/>
      <c r="D170" s="51"/>
      <c r="E170" s="51"/>
      <c r="F170" s="51"/>
      <c r="G170" s="51" t="str">
        <f>IFERROR(__xludf.DUMMYFUNCTION("""COMPUTED_VALUE"""),"#VALUE!")</f>
        <v>#VALUE!</v>
      </c>
      <c r="H170" s="51" t="str">
        <f>IFERROR(__xludf.DUMMYFUNCTION("""COMPUTED_VALUE"""),"")</f>
        <v/>
      </c>
      <c r="I170" s="51" t="str">
        <f>IFERROR(__xludf.DUMMYFUNCTION("""COMPUTED_VALUE"""),"#VALUE!")</f>
        <v>#VALUE!</v>
      </c>
      <c r="J170" s="51" t="str">
        <f>IFERROR(__xludf.DUMMYFUNCTION("""COMPUTED_VALUE"""),"")</f>
        <v/>
      </c>
      <c r="K170" s="51"/>
      <c r="L170" s="51" t="s">
        <v>257</v>
      </c>
      <c r="M170" s="51"/>
      <c r="N170" s="51"/>
      <c r="O170" s="51"/>
      <c r="P170" s="51"/>
      <c r="Q170" s="51"/>
      <c r="R170" s="51"/>
      <c r="S170" s="51"/>
      <c r="T170" s="51"/>
    </row>
    <row r="171">
      <c r="A171" s="51"/>
      <c r="B171" s="51"/>
      <c r="C171" s="56"/>
      <c r="D171" s="51"/>
      <c r="E171" s="51"/>
      <c r="F171" s="51"/>
      <c r="G171" s="51" t="str">
        <f>IFERROR(__xludf.DUMMYFUNCTION("""COMPUTED_VALUE"""),"#VALUE!")</f>
        <v>#VALUE!</v>
      </c>
      <c r="H171" s="51" t="str">
        <f>IFERROR(__xludf.DUMMYFUNCTION("""COMPUTED_VALUE"""),"")</f>
        <v/>
      </c>
      <c r="I171" s="51" t="str">
        <f>IFERROR(__xludf.DUMMYFUNCTION("""COMPUTED_VALUE"""),"#VALUE!")</f>
        <v>#VALUE!</v>
      </c>
      <c r="J171" s="51" t="str">
        <f>IFERROR(__xludf.DUMMYFUNCTION("""COMPUTED_VALUE"""),"")</f>
        <v/>
      </c>
      <c r="K171" s="51"/>
      <c r="L171" s="51" t="s">
        <v>257</v>
      </c>
      <c r="M171" s="51"/>
      <c r="N171" s="51"/>
      <c r="O171" s="51"/>
      <c r="P171" s="51"/>
      <c r="Q171" s="51"/>
      <c r="R171" s="51"/>
      <c r="S171" s="51"/>
      <c r="T171" s="51"/>
    </row>
    <row r="172">
      <c r="A172" s="51"/>
      <c r="B172" s="51"/>
      <c r="C172" s="56"/>
      <c r="D172" s="51"/>
      <c r="E172" s="51"/>
      <c r="F172" s="51"/>
      <c r="G172" s="51" t="str">
        <f>IFERROR(__xludf.DUMMYFUNCTION("""COMPUTED_VALUE"""),"#VALUE!")</f>
        <v>#VALUE!</v>
      </c>
      <c r="H172" s="51" t="str">
        <f>IFERROR(__xludf.DUMMYFUNCTION("""COMPUTED_VALUE"""),"")</f>
        <v/>
      </c>
      <c r="I172" s="51" t="str">
        <f>IFERROR(__xludf.DUMMYFUNCTION("""COMPUTED_VALUE"""),"#VALUE!")</f>
        <v>#VALUE!</v>
      </c>
      <c r="J172" s="51" t="str">
        <f>IFERROR(__xludf.DUMMYFUNCTION("""COMPUTED_VALUE"""),"")</f>
        <v/>
      </c>
      <c r="K172" s="51"/>
      <c r="L172" s="51" t="s">
        <v>257</v>
      </c>
      <c r="M172" s="51"/>
      <c r="N172" s="51"/>
      <c r="O172" s="51"/>
      <c r="P172" s="51"/>
      <c r="Q172" s="51"/>
      <c r="R172" s="51"/>
      <c r="S172" s="51"/>
      <c r="T172" s="51"/>
    </row>
    <row r="173">
      <c r="A173" s="51"/>
      <c r="B173" s="51"/>
      <c r="C173" s="56"/>
      <c r="D173" s="51"/>
      <c r="E173" s="51"/>
      <c r="F173" s="51"/>
      <c r="G173" s="51" t="str">
        <f>IFERROR(__xludf.DUMMYFUNCTION("""COMPUTED_VALUE"""),"#VALUE!")</f>
        <v>#VALUE!</v>
      </c>
      <c r="H173" s="51" t="str">
        <f>IFERROR(__xludf.DUMMYFUNCTION("""COMPUTED_VALUE"""),"")</f>
        <v/>
      </c>
      <c r="I173" s="51" t="str">
        <f>IFERROR(__xludf.DUMMYFUNCTION("""COMPUTED_VALUE"""),"#VALUE!")</f>
        <v>#VALUE!</v>
      </c>
      <c r="J173" s="51" t="str">
        <f>IFERROR(__xludf.DUMMYFUNCTION("""COMPUTED_VALUE"""),"")</f>
        <v/>
      </c>
      <c r="K173" s="51"/>
      <c r="L173" s="51" t="s">
        <v>257</v>
      </c>
      <c r="M173" s="51"/>
      <c r="N173" s="51"/>
      <c r="O173" s="51"/>
      <c r="P173" s="51"/>
      <c r="Q173" s="51"/>
      <c r="R173" s="51"/>
      <c r="S173" s="51"/>
      <c r="T173" s="51"/>
    </row>
    <row r="174">
      <c r="A174" s="51"/>
      <c r="B174" s="51"/>
      <c r="C174" s="56"/>
      <c r="D174" s="51"/>
      <c r="E174" s="51"/>
      <c r="F174" s="51"/>
      <c r="G174" s="51" t="str">
        <f>IFERROR(__xludf.DUMMYFUNCTION("""COMPUTED_VALUE"""),"#VALUE!")</f>
        <v>#VALUE!</v>
      </c>
      <c r="H174" s="51" t="str">
        <f>IFERROR(__xludf.DUMMYFUNCTION("""COMPUTED_VALUE"""),"")</f>
        <v/>
      </c>
      <c r="I174" s="51" t="str">
        <f>IFERROR(__xludf.DUMMYFUNCTION("""COMPUTED_VALUE"""),"#VALUE!")</f>
        <v>#VALUE!</v>
      </c>
      <c r="J174" s="51" t="str">
        <f>IFERROR(__xludf.DUMMYFUNCTION("""COMPUTED_VALUE"""),"")</f>
        <v/>
      </c>
      <c r="K174" s="51"/>
      <c r="L174" s="51" t="s">
        <v>257</v>
      </c>
      <c r="M174" s="51"/>
      <c r="N174" s="51"/>
      <c r="O174" s="51"/>
      <c r="P174" s="51"/>
      <c r="Q174" s="51"/>
      <c r="R174" s="51"/>
      <c r="S174" s="51"/>
      <c r="T174" s="51"/>
    </row>
    <row r="175">
      <c r="A175" s="51"/>
      <c r="B175" s="51"/>
      <c r="C175" s="56"/>
      <c r="D175" s="51"/>
      <c r="E175" s="51"/>
      <c r="F175" s="51"/>
      <c r="G175" s="51" t="str">
        <f>IFERROR(__xludf.DUMMYFUNCTION("""COMPUTED_VALUE"""),"#VALUE!")</f>
        <v>#VALUE!</v>
      </c>
      <c r="H175" s="51" t="str">
        <f>IFERROR(__xludf.DUMMYFUNCTION("""COMPUTED_VALUE"""),"")</f>
        <v/>
      </c>
      <c r="I175" s="51" t="str">
        <f>IFERROR(__xludf.DUMMYFUNCTION("""COMPUTED_VALUE"""),"#VALUE!")</f>
        <v>#VALUE!</v>
      </c>
      <c r="J175" s="51" t="str">
        <f>IFERROR(__xludf.DUMMYFUNCTION("""COMPUTED_VALUE"""),"")</f>
        <v/>
      </c>
      <c r="K175" s="51"/>
      <c r="L175" s="51" t="s">
        <v>257</v>
      </c>
      <c r="M175" s="51"/>
      <c r="N175" s="51"/>
      <c r="O175" s="51"/>
      <c r="P175" s="51"/>
      <c r="Q175" s="51"/>
      <c r="R175" s="51"/>
      <c r="S175" s="51"/>
      <c r="T175" s="51"/>
    </row>
    <row r="176">
      <c r="A176" s="51"/>
      <c r="B176" s="51"/>
      <c r="C176" s="56"/>
      <c r="D176" s="51"/>
      <c r="E176" s="51"/>
      <c r="F176" s="51"/>
      <c r="G176" s="51" t="str">
        <f>IFERROR(__xludf.DUMMYFUNCTION("""COMPUTED_VALUE"""),"#VALUE!")</f>
        <v>#VALUE!</v>
      </c>
      <c r="H176" s="51" t="str">
        <f>IFERROR(__xludf.DUMMYFUNCTION("""COMPUTED_VALUE"""),"")</f>
        <v/>
      </c>
      <c r="I176" s="51" t="str">
        <f>IFERROR(__xludf.DUMMYFUNCTION("""COMPUTED_VALUE"""),"#VALUE!")</f>
        <v>#VALUE!</v>
      </c>
      <c r="J176" s="51" t="str">
        <f>IFERROR(__xludf.DUMMYFUNCTION("""COMPUTED_VALUE"""),"")</f>
        <v/>
      </c>
      <c r="K176" s="51"/>
      <c r="L176" s="51" t="s">
        <v>257</v>
      </c>
      <c r="M176" s="51"/>
      <c r="N176" s="51"/>
      <c r="O176" s="51"/>
      <c r="P176" s="51"/>
      <c r="Q176" s="51"/>
      <c r="R176" s="51"/>
      <c r="S176" s="51"/>
      <c r="T176" s="51"/>
    </row>
    <row r="177">
      <c r="A177" s="51"/>
      <c r="B177" s="51"/>
      <c r="C177" s="56"/>
      <c r="D177" s="51"/>
      <c r="E177" s="51"/>
      <c r="F177" s="51"/>
      <c r="G177" s="51" t="str">
        <f>IFERROR(__xludf.DUMMYFUNCTION("""COMPUTED_VALUE"""),"#VALUE!")</f>
        <v>#VALUE!</v>
      </c>
      <c r="H177" s="51" t="str">
        <f>IFERROR(__xludf.DUMMYFUNCTION("""COMPUTED_VALUE"""),"")</f>
        <v/>
      </c>
      <c r="I177" s="51" t="str">
        <f>IFERROR(__xludf.DUMMYFUNCTION("""COMPUTED_VALUE"""),"#VALUE!")</f>
        <v>#VALUE!</v>
      </c>
      <c r="J177" s="51" t="str">
        <f>IFERROR(__xludf.DUMMYFUNCTION("""COMPUTED_VALUE"""),"")</f>
        <v/>
      </c>
      <c r="K177" s="51"/>
      <c r="L177" s="51" t="s">
        <v>257</v>
      </c>
      <c r="M177" s="51"/>
      <c r="N177" s="51"/>
      <c r="O177" s="51"/>
      <c r="P177" s="51"/>
      <c r="Q177" s="51"/>
      <c r="R177" s="51"/>
      <c r="S177" s="51"/>
      <c r="T177" s="51"/>
    </row>
    <row r="178">
      <c r="A178" s="51"/>
      <c r="B178" s="51"/>
      <c r="C178" s="56"/>
      <c r="D178" s="51"/>
      <c r="E178" s="51"/>
      <c r="F178" s="51"/>
      <c r="G178" s="51" t="str">
        <f>IFERROR(__xludf.DUMMYFUNCTION("""COMPUTED_VALUE"""),"#VALUE!")</f>
        <v>#VALUE!</v>
      </c>
      <c r="H178" s="51" t="str">
        <f>IFERROR(__xludf.DUMMYFUNCTION("""COMPUTED_VALUE"""),"")</f>
        <v/>
      </c>
      <c r="I178" s="51" t="str">
        <f>IFERROR(__xludf.DUMMYFUNCTION("""COMPUTED_VALUE"""),"#VALUE!")</f>
        <v>#VALUE!</v>
      </c>
      <c r="J178" s="51" t="str">
        <f>IFERROR(__xludf.DUMMYFUNCTION("""COMPUTED_VALUE"""),"")</f>
        <v/>
      </c>
      <c r="K178" s="51"/>
      <c r="L178" s="51" t="s">
        <v>257</v>
      </c>
      <c r="M178" s="51"/>
      <c r="N178" s="51"/>
      <c r="O178" s="51"/>
      <c r="P178" s="51"/>
      <c r="Q178" s="51"/>
      <c r="R178" s="51"/>
      <c r="S178" s="51"/>
      <c r="T178" s="51"/>
    </row>
    <row r="179">
      <c r="A179" s="51"/>
      <c r="B179" s="51"/>
      <c r="C179" s="56"/>
      <c r="D179" s="51"/>
      <c r="E179" s="51"/>
      <c r="F179" s="51"/>
      <c r="G179" s="51" t="str">
        <f>IFERROR(__xludf.DUMMYFUNCTION("""COMPUTED_VALUE"""),"#VALUE!")</f>
        <v>#VALUE!</v>
      </c>
      <c r="H179" s="51" t="str">
        <f>IFERROR(__xludf.DUMMYFUNCTION("""COMPUTED_VALUE"""),"")</f>
        <v/>
      </c>
      <c r="I179" s="51" t="str">
        <f>IFERROR(__xludf.DUMMYFUNCTION("""COMPUTED_VALUE"""),"#VALUE!")</f>
        <v>#VALUE!</v>
      </c>
      <c r="J179" s="51" t="str">
        <f>IFERROR(__xludf.DUMMYFUNCTION("""COMPUTED_VALUE"""),"")</f>
        <v/>
      </c>
      <c r="K179" s="51"/>
      <c r="L179" s="51" t="s">
        <v>257</v>
      </c>
      <c r="M179" s="51"/>
      <c r="N179" s="51"/>
      <c r="O179" s="51"/>
      <c r="P179" s="51"/>
      <c r="Q179" s="51"/>
      <c r="R179" s="51"/>
      <c r="S179" s="51"/>
      <c r="T179" s="51"/>
    </row>
    <row r="180">
      <c r="A180" s="51"/>
      <c r="B180" s="51"/>
      <c r="C180" s="56"/>
      <c r="D180" s="51"/>
      <c r="E180" s="51"/>
      <c r="F180" s="51"/>
      <c r="G180" s="51" t="str">
        <f>IFERROR(__xludf.DUMMYFUNCTION("""COMPUTED_VALUE"""),"#VALUE!")</f>
        <v>#VALUE!</v>
      </c>
      <c r="H180" s="51" t="str">
        <f>IFERROR(__xludf.DUMMYFUNCTION("""COMPUTED_VALUE"""),"")</f>
        <v/>
      </c>
      <c r="I180" s="51" t="str">
        <f>IFERROR(__xludf.DUMMYFUNCTION("""COMPUTED_VALUE"""),"#VALUE!")</f>
        <v>#VALUE!</v>
      </c>
      <c r="J180" s="51" t="str">
        <f>IFERROR(__xludf.DUMMYFUNCTION("""COMPUTED_VALUE"""),"")</f>
        <v/>
      </c>
      <c r="K180" s="51"/>
      <c r="L180" s="51" t="s">
        <v>257</v>
      </c>
      <c r="M180" s="51"/>
      <c r="N180" s="51"/>
      <c r="O180" s="51"/>
      <c r="P180" s="51"/>
      <c r="Q180" s="51"/>
      <c r="R180" s="51"/>
      <c r="S180" s="51"/>
      <c r="T180" s="51"/>
    </row>
    <row r="181">
      <c r="A181" s="51"/>
      <c r="B181" s="51"/>
      <c r="C181" s="56"/>
      <c r="D181" s="51"/>
      <c r="E181" s="51"/>
      <c r="F181" s="51"/>
      <c r="G181" s="51" t="str">
        <f>IFERROR(__xludf.DUMMYFUNCTION("""COMPUTED_VALUE"""),"#VALUE!")</f>
        <v>#VALUE!</v>
      </c>
      <c r="H181" s="51" t="str">
        <f>IFERROR(__xludf.DUMMYFUNCTION("""COMPUTED_VALUE"""),"")</f>
        <v/>
      </c>
      <c r="I181" s="51" t="str">
        <f>IFERROR(__xludf.DUMMYFUNCTION("""COMPUTED_VALUE"""),"#VALUE!")</f>
        <v>#VALUE!</v>
      </c>
      <c r="J181" s="51" t="str">
        <f>IFERROR(__xludf.DUMMYFUNCTION("""COMPUTED_VALUE"""),"")</f>
        <v/>
      </c>
      <c r="K181" s="51"/>
      <c r="L181" s="51" t="s">
        <v>257</v>
      </c>
      <c r="M181" s="51"/>
      <c r="N181" s="51"/>
      <c r="O181" s="51"/>
      <c r="P181" s="51"/>
      <c r="Q181" s="51"/>
      <c r="R181" s="51"/>
      <c r="S181" s="51"/>
      <c r="T181" s="51"/>
    </row>
    <row r="182">
      <c r="A182" s="51"/>
      <c r="B182" s="51"/>
      <c r="C182" s="56"/>
      <c r="D182" s="51"/>
      <c r="E182" s="51"/>
      <c r="F182" s="51"/>
      <c r="G182" s="51" t="str">
        <f>IFERROR(__xludf.DUMMYFUNCTION("""COMPUTED_VALUE"""),"#VALUE!")</f>
        <v>#VALUE!</v>
      </c>
      <c r="H182" s="51" t="str">
        <f>IFERROR(__xludf.DUMMYFUNCTION("""COMPUTED_VALUE"""),"")</f>
        <v/>
      </c>
      <c r="I182" s="51" t="str">
        <f>IFERROR(__xludf.DUMMYFUNCTION("""COMPUTED_VALUE"""),"#VALUE!")</f>
        <v>#VALUE!</v>
      </c>
      <c r="J182" s="51" t="str">
        <f>IFERROR(__xludf.DUMMYFUNCTION("""COMPUTED_VALUE"""),"")</f>
        <v/>
      </c>
      <c r="K182" s="51"/>
      <c r="L182" s="51" t="s">
        <v>257</v>
      </c>
      <c r="M182" s="51"/>
      <c r="N182" s="51"/>
      <c r="O182" s="51"/>
      <c r="P182" s="51"/>
      <c r="Q182" s="51"/>
      <c r="R182" s="51"/>
      <c r="S182" s="51"/>
      <c r="T182" s="51"/>
    </row>
    <row r="183">
      <c r="A183" s="51"/>
      <c r="B183" s="51"/>
      <c r="C183" s="56"/>
      <c r="D183" s="51"/>
      <c r="E183" s="51"/>
      <c r="F183" s="51"/>
      <c r="G183" s="51" t="str">
        <f>IFERROR(__xludf.DUMMYFUNCTION("""COMPUTED_VALUE"""),"#VALUE!")</f>
        <v>#VALUE!</v>
      </c>
      <c r="H183" s="51" t="str">
        <f>IFERROR(__xludf.DUMMYFUNCTION("""COMPUTED_VALUE"""),"")</f>
        <v/>
      </c>
      <c r="I183" s="51" t="str">
        <f>IFERROR(__xludf.DUMMYFUNCTION("""COMPUTED_VALUE"""),"#VALUE!")</f>
        <v>#VALUE!</v>
      </c>
      <c r="J183" s="51" t="str">
        <f>IFERROR(__xludf.DUMMYFUNCTION("""COMPUTED_VALUE"""),"")</f>
        <v/>
      </c>
      <c r="K183" s="51"/>
      <c r="L183" s="51" t="s">
        <v>257</v>
      </c>
      <c r="M183" s="51"/>
      <c r="N183" s="51"/>
      <c r="O183" s="51"/>
      <c r="P183" s="51"/>
      <c r="Q183" s="51"/>
      <c r="R183" s="51"/>
      <c r="S183" s="51"/>
      <c r="T183" s="51"/>
    </row>
    <row r="184">
      <c r="A184" s="51"/>
      <c r="B184" s="51"/>
      <c r="C184" s="56"/>
      <c r="D184" s="51"/>
      <c r="E184" s="51"/>
      <c r="F184" s="51"/>
      <c r="G184" s="51" t="str">
        <f>IFERROR(__xludf.DUMMYFUNCTION("""COMPUTED_VALUE"""),"#VALUE!")</f>
        <v>#VALUE!</v>
      </c>
      <c r="H184" s="51" t="str">
        <f>IFERROR(__xludf.DUMMYFUNCTION("""COMPUTED_VALUE"""),"")</f>
        <v/>
      </c>
      <c r="I184" s="51" t="str">
        <f>IFERROR(__xludf.DUMMYFUNCTION("""COMPUTED_VALUE"""),"#VALUE!")</f>
        <v>#VALUE!</v>
      </c>
      <c r="J184" s="51" t="str">
        <f>IFERROR(__xludf.DUMMYFUNCTION("""COMPUTED_VALUE"""),"")</f>
        <v/>
      </c>
      <c r="K184" s="51"/>
      <c r="L184" s="51" t="s">
        <v>257</v>
      </c>
      <c r="M184" s="51"/>
      <c r="N184" s="51"/>
      <c r="O184" s="51"/>
      <c r="P184" s="51"/>
      <c r="Q184" s="51"/>
      <c r="R184" s="51"/>
      <c r="S184" s="51"/>
      <c r="T184" s="51"/>
    </row>
    <row r="185">
      <c r="A185" s="51"/>
      <c r="B185" s="51"/>
      <c r="C185" s="56"/>
      <c r="D185" s="51"/>
      <c r="E185" s="51"/>
      <c r="F185" s="51"/>
      <c r="G185" s="51" t="str">
        <f>IFERROR(__xludf.DUMMYFUNCTION("""COMPUTED_VALUE"""),"#VALUE!")</f>
        <v>#VALUE!</v>
      </c>
      <c r="H185" s="51" t="str">
        <f>IFERROR(__xludf.DUMMYFUNCTION("""COMPUTED_VALUE"""),"")</f>
        <v/>
      </c>
      <c r="I185" s="51" t="str">
        <f>IFERROR(__xludf.DUMMYFUNCTION("""COMPUTED_VALUE"""),"#VALUE!")</f>
        <v>#VALUE!</v>
      </c>
      <c r="J185" s="51" t="str">
        <f>IFERROR(__xludf.DUMMYFUNCTION("""COMPUTED_VALUE"""),"")</f>
        <v/>
      </c>
      <c r="K185" s="51"/>
      <c r="L185" s="51" t="s">
        <v>257</v>
      </c>
      <c r="M185" s="51"/>
      <c r="N185" s="51"/>
      <c r="O185" s="51"/>
      <c r="P185" s="51"/>
      <c r="Q185" s="51"/>
      <c r="R185" s="51"/>
      <c r="S185" s="51"/>
      <c r="T185" s="51"/>
    </row>
    <row r="186">
      <c r="A186" s="51"/>
      <c r="B186" s="51"/>
      <c r="C186" s="56"/>
      <c r="D186" s="51"/>
      <c r="E186" s="51"/>
      <c r="F186" s="51"/>
      <c r="G186" s="51" t="str">
        <f>IFERROR(__xludf.DUMMYFUNCTION("""COMPUTED_VALUE"""),"#VALUE!")</f>
        <v>#VALUE!</v>
      </c>
      <c r="H186" s="51" t="str">
        <f>IFERROR(__xludf.DUMMYFUNCTION("""COMPUTED_VALUE"""),"")</f>
        <v/>
      </c>
      <c r="I186" s="51" t="str">
        <f>IFERROR(__xludf.DUMMYFUNCTION("""COMPUTED_VALUE"""),"#VALUE!")</f>
        <v>#VALUE!</v>
      </c>
      <c r="J186" s="51" t="str">
        <f>IFERROR(__xludf.DUMMYFUNCTION("""COMPUTED_VALUE"""),"")</f>
        <v/>
      </c>
      <c r="K186" s="51"/>
      <c r="L186" s="51" t="s">
        <v>257</v>
      </c>
      <c r="M186" s="51"/>
      <c r="N186" s="51"/>
      <c r="O186" s="51"/>
      <c r="P186" s="51"/>
      <c r="Q186" s="51"/>
      <c r="R186" s="51"/>
      <c r="S186" s="51"/>
      <c r="T186" s="51"/>
    </row>
    <row r="187">
      <c r="A187" s="51"/>
      <c r="B187" s="51"/>
      <c r="C187" s="56"/>
      <c r="D187" s="51"/>
      <c r="E187" s="51"/>
      <c r="F187" s="51"/>
      <c r="G187" s="51" t="str">
        <f>IFERROR(__xludf.DUMMYFUNCTION("""COMPUTED_VALUE"""),"#VALUE!")</f>
        <v>#VALUE!</v>
      </c>
      <c r="H187" s="51" t="str">
        <f>IFERROR(__xludf.DUMMYFUNCTION("""COMPUTED_VALUE"""),"")</f>
        <v/>
      </c>
      <c r="I187" s="51" t="str">
        <f>IFERROR(__xludf.DUMMYFUNCTION("""COMPUTED_VALUE"""),"#VALUE!")</f>
        <v>#VALUE!</v>
      </c>
      <c r="J187" s="51" t="str">
        <f>IFERROR(__xludf.DUMMYFUNCTION("""COMPUTED_VALUE"""),"")</f>
        <v/>
      </c>
      <c r="K187" s="51"/>
      <c r="L187" s="51" t="s">
        <v>257</v>
      </c>
      <c r="M187" s="51"/>
      <c r="N187" s="51"/>
      <c r="O187" s="51"/>
      <c r="P187" s="51"/>
      <c r="Q187" s="51"/>
      <c r="R187" s="51"/>
      <c r="S187" s="51"/>
      <c r="T187" s="51"/>
    </row>
    <row r="188">
      <c r="A188" s="51"/>
      <c r="B188" s="51"/>
      <c r="C188" s="56"/>
      <c r="D188" s="51"/>
      <c r="E188" s="51"/>
      <c r="F188" s="51"/>
      <c r="G188" s="51" t="str">
        <f>IFERROR(__xludf.DUMMYFUNCTION("""COMPUTED_VALUE"""),"#VALUE!")</f>
        <v>#VALUE!</v>
      </c>
      <c r="H188" s="51" t="str">
        <f>IFERROR(__xludf.DUMMYFUNCTION("""COMPUTED_VALUE"""),"")</f>
        <v/>
      </c>
      <c r="I188" s="51" t="str">
        <f>IFERROR(__xludf.DUMMYFUNCTION("""COMPUTED_VALUE"""),"#VALUE!")</f>
        <v>#VALUE!</v>
      </c>
      <c r="J188" s="51" t="str">
        <f>IFERROR(__xludf.DUMMYFUNCTION("""COMPUTED_VALUE"""),"")</f>
        <v/>
      </c>
      <c r="K188" s="51"/>
      <c r="L188" s="51" t="s">
        <v>257</v>
      </c>
      <c r="M188" s="51"/>
      <c r="N188" s="51"/>
      <c r="O188" s="51"/>
      <c r="P188" s="51"/>
      <c r="Q188" s="51"/>
      <c r="R188" s="51"/>
      <c r="S188" s="51"/>
      <c r="T188" s="51"/>
    </row>
    <row r="189">
      <c r="A189" s="51"/>
      <c r="B189" s="51"/>
      <c r="C189" s="56"/>
      <c r="D189" s="51"/>
      <c r="E189" s="51"/>
      <c r="F189" s="51"/>
      <c r="G189" s="51" t="str">
        <f>IFERROR(__xludf.DUMMYFUNCTION("""COMPUTED_VALUE"""),"#VALUE!")</f>
        <v>#VALUE!</v>
      </c>
      <c r="H189" s="51" t="str">
        <f>IFERROR(__xludf.DUMMYFUNCTION("""COMPUTED_VALUE"""),"")</f>
        <v/>
      </c>
      <c r="I189" s="51" t="str">
        <f>IFERROR(__xludf.DUMMYFUNCTION("""COMPUTED_VALUE"""),"#VALUE!")</f>
        <v>#VALUE!</v>
      </c>
      <c r="J189" s="51" t="str">
        <f>IFERROR(__xludf.DUMMYFUNCTION("""COMPUTED_VALUE"""),"")</f>
        <v/>
      </c>
      <c r="K189" s="51"/>
      <c r="L189" s="51" t="s">
        <v>257</v>
      </c>
      <c r="M189" s="51"/>
      <c r="N189" s="51"/>
      <c r="O189" s="51"/>
      <c r="P189" s="51"/>
      <c r="Q189" s="51"/>
      <c r="R189" s="51"/>
      <c r="S189" s="51"/>
      <c r="T189" s="51"/>
    </row>
    <row r="190">
      <c r="A190" s="51"/>
      <c r="B190" s="51"/>
      <c r="C190" s="56"/>
      <c r="D190" s="51"/>
      <c r="E190" s="51"/>
      <c r="F190" s="51"/>
      <c r="G190" s="51" t="str">
        <f>IFERROR(__xludf.DUMMYFUNCTION("""COMPUTED_VALUE"""),"#VALUE!")</f>
        <v>#VALUE!</v>
      </c>
      <c r="H190" s="51" t="str">
        <f>IFERROR(__xludf.DUMMYFUNCTION("""COMPUTED_VALUE"""),"")</f>
        <v/>
      </c>
      <c r="I190" s="51" t="str">
        <f>IFERROR(__xludf.DUMMYFUNCTION("""COMPUTED_VALUE"""),"#VALUE!")</f>
        <v>#VALUE!</v>
      </c>
      <c r="J190" s="51" t="str">
        <f>IFERROR(__xludf.DUMMYFUNCTION("""COMPUTED_VALUE"""),"")</f>
        <v/>
      </c>
      <c r="K190" s="51"/>
      <c r="L190" s="51" t="s">
        <v>257</v>
      </c>
      <c r="M190" s="51"/>
      <c r="N190" s="51"/>
      <c r="O190" s="51"/>
      <c r="P190" s="51"/>
      <c r="Q190" s="51"/>
      <c r="R190" s="51"/>
      <c r="S190" s="51"/>
      <c r="T190" s="51"/>
    </row>
    <row r="191">
      <c r="A191" s="51"/>
      <c r="B191" s="51"/>
      <c r="C191" s="56"/>
      <c r="D191" s="51"/>
      <c r="E191" s="51"/>
      <c r="F191" s="51"/>
      <c r="G191" s="51" t="str">
        <f>IFERROR(__xludf.DUMMYFUNCTION("""COMPUTED_VALUE"""),"#VALUE!")</f>
        <v>#VALUE!</v>
      </c>
      <c r="H191" s="51" t="str">
        <f>IFERROR(__xludf.DUMMYFUNCTION("""COMPUTED_VALUE"""),"")</f>
        <v/>
      </c>
      <c r="I191" s="51" t="str">
        <f>IFERROR(__xludf.DUMMYFUNCTION("""COMPUTED_VALUE"""),"#VALUE!")</f>
        <v>#VALUE!</v>
      </c>
      <c r="J191" s="51" t="str">
        <f>IFERROR(__xludf.DUMMYFUNCTION("""COMPUTED_VALUE"""),"")</f>
        <v/>
      </c>
      <c r="K191" s="51"/>
      <c r="L191" s="51" t="s">
        <v>257</v>
      </c>
      <c r="M191" s="51"/>
      <c r="N191" s="51"/>
      <c r="O191" s="51"/>
      <c r="P191" s="51"/>
      <c r="Q191" s="51"/>
      <c r="R191" s="51"/>
      <c r="S191" s="51"/>
      <c r="T191" s="51"/>
    </row>
    <row r="192">
      <c r="A192" s="51"/>
      <c r="B192" s="51"/>
      <c r="C192" s="56"/>
      <c r="D192" s="51"/>
      <c r="E192" s="51"/>
      <c r="F192" s="51"/>
      <c r="G192" s="51" t="str">
        <f>IFERROR(__xludf.DUMMYFUNCTION("""COMPUTED_VALUE"""),"#VALUE!")</f>
        <v>#VALUE!</v>
      </c>
      <c r="H192" s="51" t="str">
        <f>IFERROR(__xludf.DUMMYFUNCTION("""COMPUTED_VALUE"""),"")</f>
        <v/>
      </c>
      <c r="I192" s="51" t="str">
        <f>IFERROR(__xludf.DUMMYFUNCTION("""COMPUTED_VALUE"""),"#VALUE!")</f>
        <v>#VALUE!</v>
      </c>
      <c r="J192" s="51" t="str">
        <f>IFERROR(__xludf.DUMMYFUNCTION("""COMPUTED_VALUE"""),"")</f>
        <v/>
      </c>
      <c r="K192" s="51"/>
      <c r="L192" s="51" t="s">
        <v>257</v>
      </c>
      <c r="M192" s="51"/>
      <c r="N192" s="51"/>
      <c r="O192" s="51"/>
      <c r="P192" s="51"/>
      <c r="Q192" s="51"/>
      <c r="R192" s="51"/>
      <c r="S192" s="51"/>
      <c r="T192" s="51"/>
    </row>
    <row r="193">
      <c r="A193" s="51"/>
      <c r="B193" s="51"/>
      <c r="C193" s="56"/>
      <c r="D193" s="51"/>
      <c r="E193" s="51"/>
      <c r="F193" s="51"/>
      <c r="G193" s="51" t="str">
        <f>IFERROR(__xludf.DUMMYFUNCTION("""COMPUTED_VALUE"""),"#VALUE!")</f>
        <v>#VALUE!</v>
      </c>
      <c r="H193" s="51" t="str">
        <f>IFERROR(__xludf.DUMMYFUNCTION("""COMPUTED_VALUE"""),"")</f>
        <v/>
      </c>
      <c r="I193" s="51" t="str">
        <f>IFERROR(__xludf.DUMMYFUNCTION("""COMPUTED_VALUE"""),"#VALUE!")</f>
        <v>#VALUE!</v>
      </c>
      <c r="J193" s="51" t="str">
        <f>IFERROR(__xludf.DUMMYFUNCTION("""COMPUTED_VALUE"""),"")</f>
        <v/>
      </c>
      <c r="K193" s="51"/>
      <c r="L193" s="51" t="s">
        <v>257</v>
      </c>
      <c r="M193" s="51"/>
      <c r="N193" s="51"/>
      <c r="O193" s="51"/>
      <c r="P193" s="51"/>
      <c r="Q193" s="51"/>
      <c r="R193" s="51"/>
      <c r="S193" s="51"/>
      <c r="T193" s="51"/>
    </row>
    <row r="194">
      <c r="A194" s="51"/>
      <c r="B194" s="51"/>
      <c r="C194" s="56"/>
      <c r="D194" s="51"/>
      <c r="E194" s="51"/>
      <c r="F194" s="51"/>
      <c r="G194" s="51" t="str">
        <f>IFERROR(__xludf.DUMMYFUNCTION("""COMPUTED_VALUE"""),"#VALUE!")</f>
        <v>#VALUE!</v>
      </c>
      <c r="H194" s="51" t="str">
        <f>IFERROR(__xludf.DUMMYFUNCTION("""COMPUTED_VALUE"""),"")</f>
        <v/>
      </c>
      <c r="I194" s="51" t="str">
        <f>IFERROR(__xludf.DUMMYFUNCTION("""COMPUTED_VALUE"""),"#VALUE!")</f>
        <v>#VALUE!</v>
      </c>
      <c r="J194" s="51" t="str">
        <f>IFERROR(__xludf.DUMMYFUNCTION("""COMPUTED_VALUE"""),"")</f>
        <v/>
      </c>
      <c r="K194" s="51"/>
      <c r="L194" s="51" t="s">
        <v>257</v>
      </c>
      <c r="M194" s="51"/>
      <c r="N194" s="51"/>
      <c r="O194" s="51"/>
      <c r="P194" s="51"/>
      <c r="Q194" s="51"/>
      <c r="R194" s="51"/>
      <c r="S194" s="51"/>
      <c r="T194" s="51"/>
    </row>
    <row r="195">
      <c r="A195" s="51"/>
      <c r="B195" s="51"/>
      <c r="C195" s="56"/>
      <c r="D195" s="51"/>
      <c r="E195" s="51"/>
      <c r="F195" s="51"/>
      <c r="G195" s="51" t="str">
        <f>IFERROR(__xludf.DUMMYFUNCTION("""COMPUTED_VALUE"""),"#VALUE!")</f>
        <v>#VALUE!</v>
      </c>
      <c r="H195" s="51" t="str">
        <f>IFERROR(__xludf.DUMMYFUNCTION("""COMPUTED_VALUE"""),"")</f>
        <v/>
      </c>
      <c r="I195" s="51" t="str">
        <f>IFERROR(__xludf.DUMMYFUNCTION("""COMPUTED_VALUE"""),"#VALUE!")</f>
        <v>#VALUE!</v>
      </c>
      <c r="J195" s="51" t="str">
        <f>IFERROR(__xludf.DUMMYFUNCTION("""COMPUTED_VALUE"""),"")</f>
        <v/>
      </c>
      <c r="K195" s="51"/>
      <c r="L195" s="51" t="s">
        <v>257</v>
      </c>
      <c r="M195" s="51"/>
      <c r="N195" s="51"/>
      <c r="O195" s="51"/>
      <c r="P195" s="51"/>
      <c r="Q195" s="51"/>
      <c r="R195" s="51"/>
      <c r="S195" s="51"/>
      <c r="T195" s="51"/>
    </row>
    <row r="196">
      <c r="A196" s="51"/>
      <c r="B196" s="51"/>
      <c r="C196" s="56"/>
      <c r="D196" s="51"/>
      <c r="E196" s="51"/>
      <c r="F196" s="51"/>
      <c r="G196" s="51" t="str">
        <f>IFERROR(__xludf.DUMMYFUNCTION("""COMPUTED_VALUE"""),"#VALUE!")</f>
        <v>#VALUE!</v>
      </c>
      <c r="H196" s="51" t="str">
        <f>IFERROR(__xludf.DUMMYFUNCTION("""COMPUTED_VALUE"""),"")</f>
        <v/>
      </c>
      <c r="I196" s="51" t="str">
        <f>IFERROR(__xludf.DUMMYFUNCTION("""COMPUTED_VALUE"""),"#VALUE!")</f>
        <v>#VALUE!</v>
      </c>
      <c r="J196" s="51" t="str">
        <f>IFERROR(__xludf.DUMMYFUNCTION("""COMPUTED_VALUE"""),"")</f>
        <v/>
      </c>
      <c r="K196" s="51"/>
      <c r="L196" s="51" t="s">
        <v>257</v>
      </c>
      <c r="M196" s="51"/>
      <c r="N196" s="51"/>
      <c r="O196" s="51"/>
      <c r="P196" s="51"/>
      <c r="Q196" s="51"/>
      <c r="R196" s="51"/>
      <c r="S196" s="51"/>
      <c r="T196" s="51"/>
    </row>
    <row r="197">
      <c r="A197" s="51"/>
      <c r="B197" s="51"/>
      <c r="C197" s="56"/>
      <c r="D197" s="51"/>
      <c r="E197" s="51"/>
      <c r="F197" s="51"/>
      <c r="G197" s="51" t="str">
        <f>IFERROR(__xludf.DUMMYFUNCTION("""COMPUTED_VALUE"""),"#VALUE!")</f>
        <v>#VALUE!</v>
      </c>
      <c r="H197" s="51" t="str">
        <f>IFERROR(__xludf.DUMMYFUNCTION("""COMPUTED_VALUE"""),"")</f>
        <v/>
      </c>
      <c r="I197" s="51" t="str">
        <f>IFERROR(__xludf.DUMMYFUNCTION("""COMPUTED_VALUE"""),"#VALUE!")</f>
        <v>#VALUE!</v>
      </c>
      <c r="J197" s="51" t="str">
        <f>IFERROR(__xludf.DUMMYFUNCTION("""COMPUTED_VALUE"""),"")</f>
        <v/>
      </c>
      <c r="K197" s="51"/>
      <c r="L197" s="51" t="s">
        <v>257</v>
      </c>
      <c r="M197" s="51"/>
      <c r="N197" s="51"/>
      <c r="O197" s="51"/>
      <c r="P197" s="51"/>
      <c r="Q197" s="51"/>
      <c r="R197" s="51"/>
      <c r="S197" s="51"/>
      <c r="T197" s="51"/>
    </row>
    <row r="198">
      <c r="A198" s="51"/>
      <c r="B198" s="51"/>
      <c r="C198" s="56"/>
      <c r="D198" s="51"/>
      <c r="E198" s="51"/>
      <c r="F198" s="51"/>
      <c r="G198" s="51" t="str">
        <f>IFERROR(__xludf.DUMMYFUNCTION("""COMPUTED_VALUE"""),"#VALUE!")</f>
        <v>#VALUE!</v>
      </c>
      <c r="H198" s="51" t="str">
        <f>IFERROR(__xludf.DUMMYFUNCTION("""COMPUTED_VALUE"""),"")</f>
        <v/>
      </c>
      <c r="I198" s="51" t="str">
        <f>IFERROR(__xludf.DUMMYFUNCTION("""COMPUTED_VALUE"""),"#VALUE!")</f>
        <v>#VALUE!</v>
      </c>
      <c r="J198" s="51" t="str">
        <f>IFERROR(__xludf.DUMMYFUNCTION("""COMPUTED_VALUE"""),"")</f>
        <v/>
      </c>
      <c r="K198" s="51"/>
      <c r="L198" s="51" t="s">
        <v>257</v>
      </c>
      <c r="M198" s="51"/>
      <c r="N198" s="51"/>
      <c r="O198" s="51"/>
      <c r="P198" s="51"/>
      <c r="Q198" s="51"/>
      <c r="R198" s="51"/>
      <c r="S198" s="51"/>
      <c r="T198" s="51"/>
    </row>
    <row r="199">
      <c r="A199" s="51"/>
      <c r="B199" s="51"/>
      <c r="C199" s="56"/>
      <c r="D199" s="51"/>
      <c r="E199" s="51"/>
      <c r="F199" s="51"/>
      <c r="G199" s="51" t="str">
        <f>IFERROR(__xludf.DUMMYFUNCTION("""COMPUTED_VALUE"""),"#VALUE!")</f>
        <v>#VALUE!</v>
      </c>
      <c r="H199" s="51" t="str">
        <f>IFERROR(__xludf.DUMMYFUNCTION("""COMPUTED_VALUE"""),"")</f>
        <v/>
      </c>
      <c r="I199" s="51" t="str">
        <f>IFERROR(__xludf.DUMMYFUNCTION("""COMPUTED_VALUE"""),"#VALUE!")</f>
        <v>#VALUE!</v>
      </c>
      <c r="J199" s="51" t="str">
        <f>IFERROR(__xludf.DUMMYFUNCTION("""COMPUTED_VALUE"""),"")</f>
        <v/>
      </c>
      <c r="K199" s="51"/>
      <c r="L199" s="51" t="s">
        <v>257</v>
      </c>
      <c r="M199" s="51"/>
      <c r="N199" s="51"/>
      <c r="O199" s="51"/>
      <c r="P199" s="51"/>
      <c r="Q199" s="51"/>
      <c r="R199" s="51"/>
      <c r="S199" s="51"/>
      <c r="T199" s="51"/>
    </row>
    <row r="200">
      <c r="A200" s="51"/>
      <c r="B200" s="51"/>
      <c r="C200" s="56"/>
      <c r="D200" s="51"/>
      <c r="E200" s="51"/>
      <c r="F200" s="51"/>
      <c r="G200" s="51" t="str">
        <f>IFERROR(__xludf.DUMMYFUNCTION("""COMPUTED_VALUE"""),"#VALUE!")</f>
        <v>#VALUE!</v>
      </c>
      <c r="H200" s="51" t="str">
        <f>IFERROR(__xludf.DUMMYFUNCTION("""COMPUTED_VALUE"""),"")</f>
        <v/>
      </c>
      <c r="I200" s="51" t="str">
        <f>IFERROR(__xludf.DUMMYFUNCTION("""COMPUTED_VALUE"""),"#VALUE!")</f>
        <v>#VALUE!</v>
      </c>
      <c r="J200" s="51" t="str">
        <f>IFERROR(__xludf.DUMMYFUNCTION("""COMPUTED_VALUE"""),"")</f>
        <v/>
      </c>
      <c r="K200" s="51"/>
      <c r="L200" s="51" t="s">
        <v>257</v>
      </c>
      <c r="M200" s="51"/>
      <c r="N200" s="51"/>
      <c r="O200" s="51"/>
      <c r="P200" s="51"/>
      <c r="Q200" s="51"/>
      <c r="R200" s="51"/>
      <c r="S200" s="51"/>
      <c r="T200" s="51"/>
    </row>
    <row r="201">
      <c r="A201" s="51"/>
      <c r="B201" s="51"/>
      <c r="C201" s="56"/>
      <c r="D201" s="51"/>
      <c r="E201" s="51"/>
      <c r="F201" s="51"/>
      <c r="G201" s="51" t="str">
        <f>IFERROR(__xludf.DUMMYFUNCTION("""COMPUTED_VALUE"""),"#VALUE!")</f>
        <v>#VALUE!</v>
      </c>
      <c r="H201" s="51" t="str">
        <f>IFERROR(__xludf.DUMMYFUNCTION("""COMPUTED_VALUE"""),"")</f>
        <v/>
      </c>
      <c r="I201" s="51" t="str">
        <f>IFERROR(__xludf.DUMMYFUNCTION("""COMPUTED_VALUE"""),"#VALUE!")</f>
        <v>#VALUE!</v>
      </c>
      <c r="J201" s="51" t="str">
        <f>IFERROR(__xludf.DUMMYFUNCTION("""COMPUTED_VALUE"""),"")</f>
        <v/>
      </c>
      <c r="K201" s="51"/>
      <c r="L201" s="51" t="s">
        <v>257</v>
      </c>
      <c r="M201" s="51"/>
      <c r="N201" s="51"/>
      <c r="O201" s="51"/>
      <c r="P201" s="51"/>
      <c r="Q201" s="51"/>
      <c r="R201" s="51"/>
      <c r="S201" s="51"/>
      <c r="T201" s="51"/>
    </row>
    <row r="202">
      <c r="A202" s="51"/>
      <c r="B202" s="51"/>
      <c r="C202" s="56"/>
      <c r="D202" s="51"/>
      <c r="E202" s="51"/>
      <c r="F202" s="51"/>
      <c r="G202" s="51" t="str">
        <f>IFERROR(__xludf.DUMMYFUNCTION("""COMPUTED_VALUE"""),"#VALUE!")</f>
        <v>#VALUE!</v>
      </c>
      <c r="H202" s="51" t="str">
        <f>IFERROR(__xludf.DUMMYFUNCTION("""COMPUTED_VALUE"""),"")</f>
        <v/>
      </c>
      <c r="I202" s="51" t="str">
        <f>IFERROR(__xludf.DUMMYFUNCTION("""COMPUTED_VALUE"""),"#VALUE!")</f>
        <v>#VALUE!</v>
      </c>
      <c r="J202" s="51" t="str">
        <f>IFERROR(__xludf.DUMMYFUNCTION("""COMPUTED_VALUE"""),"")</f>
        <v/>
      </c>
      <c r="K202" s="51"/>
      <c r="L202" s="51" t="s">
        <v>257</v>
      </c>
      <c r="M202" s="51"/>
      <c r="N202" s="51"/>
      <c r="O202" s="51"/>
      <c r="P202" s="51"/>
      <c r="Q202" s="51"/>
      <c r="R202" s="51"/>
      <c r="S202" s="51"/>
      <c r="T202" s="51"/>
    </row>
    <row r="203">
      <c r="A203" s="51"/>
      <c r="B203" s="51"/>
      <c r="C203" s="56"/>
      <c r="D203" s="51"/>
      <c r="E203" s="51"/>
      <c r="F203" s="51"/>
      <c r="G203" s="51" t="str">
        <f>IFERROR(__xludf.DUMMYFUNCTION("""COMPUTED_VALUE"""),"#VALUE!")</f>
        <v>#VALUE!</v>
      </c>
      <c r="H203" s="51" t="str">
        <f>IFERROR(__xludf.DUMMYFUNCTION("""COMPUTED_VALUE"""),"")</f>
        <v/>
      </c>
      <c r="I203" s="51" t="str">
        <f>IFERROR(__xludf.DUMMYFUNCTION("""COMPUTED_VALUE"""),"#VALUE!")</f>
        <v>#VALUE!</v>
      </c>
      <c r="J203" s="51" t="str">
        <f>IFERROR(__xludf.DUMMYFUNCTION("""COMPUTED_VALUE"""),"")</f>
        <v/>
      </c>
      <c r="K203" s="51"/>
      <c r="L203" s="51" t="s">
        <v>257</v>
      </c>
      <c r="M203" s="51"/>
      <c r="N203" s="51"/>
      <c r="O203" s="51"/>
      <c r="P203" s="51"/>
      <c r="Q203" s="51"/>
      <c r="R203" s="51"/>
      <c r="S203" s="51"/>
      <c r="T203" s="51"/>
    </row>
    <row r="204">
      <c r="A204" s="51"/>
      <c r="B204" s="51"/>
      <c r="C204" s="56"/>
      <c r="D204" s="51"/>
      <c r="E204" s="51"/>
      <c r="F204" s="51"/>
      <c r="G204" s="51" t="str">
        <f>IFERROR(__xludf.DUMMYFUNCTION("""COMPUTED_VALUE"""),"#VALUE!")</f>
        <v>#VALUE!</v>
      </c>
      <c r="H204" s="51" t="str">
        <f>IFERROR(__xludf.DUMMYFUNCTION("""COMPUTED_VALUE"""),"")</f>
        <v/>
      </c>
      <c r="I204" s="51" t="str">
        <f>IFERROR(__xludf.DUMMYFUNCTION("""COMPUTED_VALUE"""),"#VALUE!")</f>
        <v>#VALUE!</v>
      </c>
      <c r="J204" s="51" t="str">
        <f>IFERROR(__xludf.DUMMYFUNCTION("""COMPUTED_VALUE"""),"")</f>
        <v/>
      </c>
      <c r="K204" s="51"/>
      <c r="L204" s="51" t="s">
        <v>257</v>
      </c>
      <c r="M204" s="51"/>
      <c r="N204" s="51"/>
      <c r="O204" s="51"/>
      <c r="P204" s="51"/>
      <c r="Q204" s="51"/>
      <c r="R204" s="51"/>
      <c r="S204" s="51"/>
      <c r="T204" s="51"/>
    </row>
    <row r="205">
      <c r="A205" s="51"/>
      <c r="B205" s="51"/>
      <c r="C205" s="56"/>
      <c r="D205" s="51"/>
      <c r="E205" s="51"/>
      <c r="F205" s="51"/>
      <c r="G205" s="51" t="str">
        <f>IFERROR(__xludf.DUMMYFUNCTION("""COMPUTED_VALUE"""),"#VALUE!")</f>
        <v>#VALUE!</v>
      </c>
      <c r="H205" s="51" t="str">
        <f>IFERROR(__xludf.DUMMYFUNCTION("""COMPUTED_VALUE"""),"")</f>
        <v/>
      </c>
      <c r="I205" s="51" t="str">
        <f>IFERROR(__xludf.DUMMYFUNCTION("""COMPUTED_VALUE"""),"#VALUE!")</f>
        <v>#VALUE!</v>
      </c>
      <c r="J205" s="51" t="str">
        <f>IFERROR(__xludf.DUMMYFUNCTION("""COMPUTED_VALUE"""),"")</f>
        <v/>
      </c>
      <c r="K205" s="51"/>
      <c r="L205" s="51" t="s">
        <v>257</v>
      </c>
      <c r="M205" s="51"/>
      <c r="N205" s="51"/>
      <c r="O205" s="51"/>
      <c r="P205" s="51"/>
      <c r="Q205" s="51"/>
      <c r="R205" s="51"/>
      <c r="S205" s="51"/>
      <c r="T205" s="51"/>
    </row>
    <row r="206">
      <c r="A206" s="51"/>
      <c r="B206" s="51"/>
      <c r="C206" s="56"/>
      <c r="D206" s="51"/>
      <c r="E206" s="51"/>
      <c r="F206" s="51"/>
      <c r="G206" s="51" t="str">
        <f>IFERROR(__xludf.DUMMYFUNCTION("""COMPUTED_VALUE"""),"#VALUE!")</f>
        <v>#VALUE!</v>
      </c>
      <c r="H206" s="51" t="str">
        <f>IFERROR(__xludf.DUMMYFUNCTION("""COMPUTED_VALUE"""),"")</f>
        <v/>
      </c>
      <c r="I206" s="51" t="str">
        <f>IFERROR(__xludf.DUMMYFUNCTION("""COMPUTED_VALUE"""),"#VALUE!")</f>
        <v>#VALUE!</v>
      </c>
      <c r="J206" s="51" t="str">
        <f>IFERROR(__xludf.DUMMYFUNCTION("""COMPUTED_VALUE"""),"")</f>
        <v/>
      </c>
      <c r="K206" s="51"/>
      <c r="L206" s="51" t="s">
        <v>257</v>
      </c>
      <c r="M206" s="51"/>
      <c r="N206" s="51"/>
      <c r="O206" s="51"/>
      <c r="P206" s="51"/>
      <c r="Q206" s="51"/>
      <c r="R206" s="51"/>
      <c r="S206" s="51"/>
      <c r="T206" s="51"/>
    </row>
    <row r="207">
      <c r="A207" s="51"/>
      <c r="B207" s="51"/>
      <c r="C207" s="56"/>
      <c r="D207" s="51"/>
      <c r="E207" s="51"/>
      <c r="F207" s="51"/>
      <c r="G207" s="51" t="str">
        <f>IFERROR(__xludf.DUMMYFUNCTION("""COMPUTED_VALUE"""),"#VALUE!")</f>
        <v>#VALUE!</v>
      </c>
      <c r="H207" s="51" t="str">
        <f>IFERROR(__xludf.DUMMYFUNCTION("""COMPUTED_VALUE"""),"")</f>
        <v/>
      </c>
      <c r="I207" s="51" t="str">
        <f>IFERROR(__xludf.DUMMYFUNCTION("""COMPUTED_VALUE"""),"#VALUE!")</f>
        <v>#VALUE!</v>
      </c>
      <c r="J207" s="51" t="str">
        <f>IFERROR(__xludf.DUMMYFUNCTION("""COMPUTED_VALUE"""),"")</f>
        <v/>
      </c>
      <c r="K207" s="51"/>
      <c r="L207" s="51" t="s">
        <v>257</v>
      </c>
      <c r="M207" s="51"/>
      <c r="N207" s="51"/>
      <c r="O207" s="51"/>
      <c r="P207" s="51"/>
      <c r="Q207" s="51"/>
      <c r="R207" s="51"/>
      <c r="S207" s="51"/>
      <c r="T207" s="51"/>
    </row>
    <row r="208">
      <c r="A208" s="51"/>
      <c r="B208" s="51"/>
      <c r="C208" s="56"/>
      <c r="D208" s="51"/>
      <c r="E208" s="51"/>
      <c r="F208" s="51"/>
      <c r="G208" s="51" t="str">
        <f>IFERROR(__xludf.DUMMYFUNCTION("""COMPUTED_VALUE"""),"#VALUE!")</f>
        <v>#VALUE!</v>
      </c>
      <c r="H208" s="51" t="str">
        <f>IFERROR(__xludf.DUMMYFUNCTION("""COMPUTED_VALUE"""),"")</f>
        <v/>
      </c>
      <c r="I208" s="51" t="str">
        <f>IFERROR(__xludf.DUMMYFUNCTION("""COMPUTED_VALUE"""),"#VALUE!")</f>
        <v>#VALUE!</v>
      </c>
      <c r="J208" s="51" t="str">
        <f>IFERROR(__xludf.DUMMYFUNCTION("""COMPUTED_VALUE"""),"")</f>
        <v/>
      </c>
      <c r="K208" s="51"/>
      <c r="L208" s="51" t="s">
        <v>257</v>
      </c>
      <c r="M208" s="51"/>
      <c r="N208" s="51"/>
      <c r="O208" s="51"/>
      <c r="P208" s="51"/>
      <c r="Q208" s="51"/>
      <c r="R208" s="51"/>
      <c r="S208" s="51"/>
      <c r="T208" s="51"/>
    </row>
    <row r="209">
      <c r="A209" s="51"/>
      <c r="B209" s="51"/>
      <c r="C209" s="56"/>
      <c r="D209" s="51"/>
      <c r="E209" s="51"/>
      <c r="F209" s="51"/>
      <c r="G209" s="51" t="str">
        <f>IFERROR(__xludf.DUMMYFUNCTION("""COMPUTED_VALUE"""),"#VALUE!")</f>
        <v>#VALUE!</v>
      </c>
      <c r="H209" s="51" t="str">
        <f>IFERROR(__xludf.DUMMYFUNCTION("""COMPUTED_VALUE"""),"")</f>
        <v/>
      </c>
      <c r="I209" s="51" t="str">
        <f>IFERROR(__xludf.DUMMYFUNCTION("""COMPUTED_VALUE"""),"#VALUE!")</f>
        <v>#VALUE!</v>
      </c>
      <c r="J209" s="51" t="str">
        <f>IFERROR(__xludf.DUMMYFUNCTION("""COMPUTED_VALUE"""),"")</f>
        <v/>
      </c>
      <c r="K209" s="51"/>
      <c r="L209" s="51" t="s">
        <v>257</v>
      </c>
      <c r="M209" s="51"/>
      <c r="N209" s="51"/>
      <c r="O209" s="51"/>
      <c r="P209" s="51"/>
      <c r="Q209" s="51"/>
      <c r="R209" s="51"/>
      <c r="S209" s="51"/>
      <c r="T209" s="51"/>
    </row>
    <row r="210">
      <c r="A210" s="51"/>
      <c r="B210" s="51"/>
      <c r="C210" s="56"/>
      <c r="D210" s="51"/>
      <c r="E210" s="51"/>
      <c r="F210" s="51"/>
      <c r="G210" s="51" t="str">
        <f>IFERROR(__xludf.DUMMYFUNCTION("""COMPUTED_VALUE"""),"#VALUE!")</f>
        <v>#VALUE!</v>
      </c>
      <c r="H210" s="51" t="str">
        <f>IFERROR(__xludf.DUMMYFUNCTION("""COMPUTED_VALUE"""),"")</f>
        <v/>
      </c>
      <c r="I210" s="51" t="str">
        <f>IFERROR(__xludf.DUMMYFUNCTION("""COMPUTED_VALUE"""),"#VALUE!")</f>
        <v>#VALUE!</v>
      </c>
      <c r="J210" s="51" t="str">
        <f>IFERROR(__xludf.DUMMYFUNCTION("""COMPUTED_VALUE"""),"")</f>
        <v/>
      </c>
      <c r="K210" s="51"/>
      <c r="L210" s="51" t="s">
        <v>257</v>
      </c>
      <c r="M210" s="51"/>
      <c r="N210" s="51"/>
      <c r="O210" s="51"/>
      <c r="P210" s="51"/>
      <c r="Q210" s="51"/>
      <c r="R210" s="51"/>
      <c r="S210" s="51"/>
      <c r="T210" s="51"/>
    </row>
    <row r="211">
      <c r="A211" s="51"/>
      <c r="B211" s="51"/>
      <c r="C211" s="56"/>
      <c r="D211" s="51"/>
      <c r="E211" s="51"/>
      <c r="F211" s="51"/>
      <c r="G211" s="51" t="str">
        <f>IFERROR(__xludf.DUMMYFUNCTION("""COMPUTED_VALUE"""),"#VALUE!")</f>
        <v>#VALUE!</v>
      </c>
      <c r="H211" s="51" t="str">
        <f>IFERROR(__xludf.DUMMYFUNCTION("""COMPUTED_VALUE"""),"")</f>
        <v/>
      </c>
      <c r="I211" s="51" t="str">
        <f>IFERROR(__xludf.DUMMYFUNCTION("""COMPUTED_VALUE"""),"#VALUE!")</f>
        <v>#VALUE!</v>
      </c>
      <c r="J211" s="51" t="str">
        <f>IFERROR(__xludf.DUMMYFUNCTION("""COMPUTED_VALUE"""),"")</f>
        <v/>
      </c>
      <c r="K211" s="51"/>
      <c r="L211" s="51" t="s">
        <v>257</v>
      </c>
      <c r="M211" s="51"/>
      <c r="N211" s="51"/>
      <c r="O211" s="51"/>
      <c r="P211" s="51"/>
      <c r="Q211" s="51"/>
      <c r="R211" s="51"/>
      <c r="S211" s="51"/>
      <c r="T211" s="51"/>
    </row>
    <row r="212">
      <c r="A212" s="51"/>
      <c r="B212" s="51"/>
      <c r="C212" s="56"/>
      <c r="D212" s="51"/>
      <c r="E212" s="51"/>
      <c r="F212" s="51"/>
      <c r="G212" s="51" t="str">
        <f>IFERROR(__xludf.DUMMYFUNCTION("""COMPUTED_VALUE"""),"#VALUE!")</f>
        <v>#VALUE!</v>
      </c>
      <c r="H212" s="51" t="str">
        <f>IFERROR(__xludf.DUMMYFUNCTION("""COMPUTED_VALUE"""),"")</f>
        <v/>
      </c>
      <c r="I212" s="51" t="str">
        <f>IFERROR(__xludf.DUMMYFUNCTION("""COMPUTED_VALUE"""),"#VALUE!")</f>
        <v>#VALUE!</v>
      </c>
      <c r="J212" s="51" t="str">
        <f>IFERROR(__xludf.DUMMYFUNCTION("""COMPUTED_VALUE"""),"")</f>
        <v/>
      </c>
      <c r="K212" s="51"/>
      <c r="L212" s="51" t="s">
        <v>257</v>
      </c>
      <c r="M212" s="51"/>
      <c r="N212" s="51"/>
      <c r="O212" s="51"/>
      <c r="P212" s="51"/>
      <c r="Q212" s="51"/>
      <c r="R212" s="51"/>
      <c r="S212" s="51"/>
      <c r="T212" s="51"/>
    </row>
    <row r="213">
      <c r="A213" s="51"/>
      <c r="B213" s="51"/>
      <c r="C213" s="56"/>
      <c r="D213" s="51"/>
      <c r="E213" s="51"/>
      <c r="F213" s="51"/>
      <c r="G213" s="51" t="str">
        <f>IFERROR(__xludf.DUMMYFUNCTION("""COMPUTED_VALUE"""),"#VALUE!")</f>
        <v>#VALUE!</v>
      </c>
      <c r="H213" s="51" t="str">
        <f>IFERROR(__xludf.DUMMYFUNCTION("""COMPUTED_VALUE"""),"")</f>
        <v/>
      </c>
      <c r="I213" s="51" t="str">
        <f>IFERROR(__xludf.DUMMYFUNCTION("""COMPUTED_VALUE"""),"#VALUE!")</f>
        <v>#VALUE!</v>
      </c>
      <c r="J213" s="51" t="str">
        <f>IFERROR(__xludf.DUMMYFUNCTION("""COMPUTED_VALUE"""),"")</f>
        <v/>
      </c>
      <c r="K213" s="51"/>
      <c r="L213" s="51" t="s">
        <v>257</v>
      </c>
      <c r="M213" s="51"/>
      <c r="N213" s="51"/>
      <c r="O213" s="51"/>
      <c r="P213" s="51"/>
      <c r="Q213" s="51"/>
      <c r="R213" s="51"/>
      <c r="S213" s="51"/>
      <c r="T213" s="51"/>
    </row>
    <row r="214">
      <c r="A214" s="51"/>
      <c r="B214" s="51"/>
      <c r="C214" s="56"/>
      <c r="D214" s="51"/>
      <c r="E214" s="51"/>
      <c r="F214" s="51"/>
      <c r="G214" s="51" t="str">
        <f>IFERROR(__xludf.DUMMYFUNCTION("""COMPUTED_VALUE"""),"#VALUE!")</f>
        <v>#VALUE!</v>
      </c>
      <c r="H214" s="51" t="str">
        <f>IFERROR(__xludf.DUMMYFUNCTION("""COMPUTED_VALUE"""),"")</f>
        <v/>
      </c>
      <c r="I214" s="51" t="str">
        <f>IFERROR(__xludf.DUMMYFUNCTION("""COMPUTED_VALUE"""),"#VALUE!")</f>
        <v>#VALUE!</v>
      </c>
      <c r="J214" s="51" t="str">
        <f>IFERROR(__xludf.DUMMYFUNCTION("""COMPUTED_VALUE"""),"")</f>
        <v/>
      </c>
      <c r="K214" s="51"/>
      <c r="L214" s="51" t="s">
        <v>257</v>
      </c>
      <c r="M214" s="51"/>
      <c r="N214" s="51"/>
      <c r="O214" s="51"/>
      <c r="P214" s="51"/>
      <c r="Q214" s="51"/>
      <c r="R214" s="51"/>
      <c r="S214" s="51"/>
      <c r="T214" s="51"/>
    </row>
    <row r="215">
      <c r="A215" s="51"/>
      <c r="B215" s="51"/>
      <c r="C215" s="56"/>
      <c r="D215" s="51"/>
      <c r="E215" s="51"/>
      <c r="F215" s="51"/>
      <c r="G215" s="51" t="str">
        <f>IFERROR(__xludf.DUMMYFUNCTION("""COMPUTED_VALUE"""),"#VALUE!")</f>
        <v>#VALUE!</v>
      </c>
      <c r="H215" s="51" t="str">
        <f>IFERROR(__xludf.DUMMYFUNCTION("""COMPUTED_VALUE"""),"")</f>
        <v/>
      </c>
      <c r="I215" s="51" t="str">
        <f>IFERROR(__xludf.DUMMYFUNCTION("""COMPUTED_VALUE"""),"#VALUE!")</f>
        <v>#VALUE!</v>
      </c>
      <c r="J215" s="51" t="str">
        <f>IFERROR(__xludf.DUMMYFUNCTION("""COMPUTED_VALUE"""),"")</f>
        <v/>
      </c>
      <c r="K215" s="51"/>
      <c r="L215" s="51" t="s">
        <v>257</v>
      </c>
      <c r="M215" s="51"/>
      <c r="N215" s="51"/>
      <c r="O215" s="51"/>
      <c r="P215" s="51"/>
      <c r="Q215" s="51"/>
      <c r="R215" s="51"/>
      <c r="S215" s="51"/>
      <c r="T215" s="51"/>
    </row>
    <row r="216">
      <c r="A216" s="51"/>
      <c r="B216" s="51"/>
      <c r="C216" s="56"/>
      <c r="D216" s="51"/>
      <c r="E216" s="51"/>
      <c r="F216" s="51"/>
      <c r="G216" s="51" t="str">
        <f>IFERROR(__xludf.DUMMYFUNCTION("""COMPUTED_VALUE"""),"#VALUE!")</f>
        <v>#VALUE!</v>
      </c>
      <c r="H216" s="51" t="str">
        <f>IFERROR(__xludf.DUMMYFUNCTION("""COMPUTED_VALUE"""),"")</f>
        <v/>
      </c>
      <c r="I216" s="51" t="str">
        <f>IFERROR(__xludf.DUMMYFUNCTION("""COMPUTED_VALUE"""),"#VALUE!")</f>
        <v>#VALUE!</v>
      </c>
      <c r="J216" s="51" t="str">
        <f>IFERROR(__xludf.DUMMYFUNCTION("""COMPUTED_VALUE"""),"")</f>
        <v/>
      </c>
      <c r="K216" s="51"/>
      <c r="L216" s="51" t="s">
        <v>257</v>
      </c>
      <c r="M216" s="51"/>
      <c r="N216" s="51"/>
      <c r="O216" s="51"/>
      <c r="P216" s="51"/>
      <c r="Q216" s="51"/>
      <c r="R216" s="51"/>
      <c r="S216" s="51"/>
      <c r="T216" s="51"/>
    </row>
    <row r="217">
      <c r="A217" s="51"/>
      <c r="B217" s="51"/>
      <c r="C217" s="56"/>
      <c r="D217" s="51"/>
      <c r="E217" s="51"/>
      <c r="F217" s="51"/>
      <c r="G217" s="51" t="str">
        <f>IFERROR(__xludf.DUMMYFUNCTION("""COMPUTED_VALUE"""),"#VALUE!")</f>
        <v>#VALUE!</v>
      </c>
      <c r="H217" s="51" t="str">
        <f>IFERROR(__xludf.DUMMYFUNCTION("""COMPUTED_VALUE"""),"")</f>
        <v/>
      </c>
      <c r="I217" s="51" t="str">
        <f>IFERROR(__xludf.DUMMYFUNCTION("""COMPUTED_VALUE"""),"#VALUE!")</f>
        <v>#VALUE!</v>
      </c>
      <c r="J217" s="51" t="str">
        <f>IFERROR(__xludf.DUMMYFUNCTION("""COMPUTED_VALUE"""),"")</f>
        <v/>
      </c>
      <c r="K217" s="51"/>
      <c r="L217" s="51" t="s">
        <v>257</v>
      </c>
      <c r="M217" s="51"/>
      <c r="N217" s="51"/>
      <c r="O217" s="51"/>
      <c r="P217" s="51"/>
      <c r="Q217" s="51"/>
      <c r="R217" s="51"/>
      <c r="S217" s="51"/>
      <c r="T217" s="51"/>
    </row>
    <row r="218">
      <c r="A218" s="51"/>
      <c r="B218" s="51"/>
      <c r="C218" s="56"/>
      <c r="D218" s="51"/>
      <c r="E218" s="51"/>
      <c r="F218" s="51"/>
      <c r="G218" s="51" t="str">
        <f>IFERROR(__xludf.DUMMYFUNCTION("""COMPUTED_VALUE"""),"#VALUE!")</f>
        <v>#VALUE!</v>
      </c>
      <c r="H218" s="51" t="str">
        <f>IFERROR(__xludf.DUMMYFUNCTION("""COMPUTED_VALUE"""),"")</f>
        <v/>
      </c>
      <c r="I218" s="51" t="str">
        <f>IFERROR(__xludf.DUMMYFUNCTION("""COMPUTED_VALUE"""),"#VALUE!")</f>
        <v>#VALUE!</v>
      </c>
      <c r="J218" s="51" t="str">
        <f>IFERROR(__xludf.DUMMYFUNCTION("""COMPUTED_VALUE"""),"")</f>
        <v/>
      </c>
      <c r="K218" s="51"/>
      <c r="L218" s="51" t="s">
        <v>257</v>
      </c>
      <c r="M218" s="51"/>
      <c r="N218" s="51"/>
      <c r="O218" s="51"/>
      <c r="P218" s="51"/>
      <c r="Q218" s="51"/>
      <c r="R218" s="51"/>
      <c r="S218" s="51"/>
      <c r="T218" s="51"/>
    </row>
    <row r="219">
      <c r="A219" s="51"/>
      <c r="B219" s="51"/>
      <c r="C219" s="56"/>
      <c r="D219" s="51"/>
      <c r="E219" s="51"/>
      <c r="F219" s="51"/>
      <c r="G219" s="51" t="str">
        <f>IFERROR(__xludf.DUMMYFUNCTION("""COMPUTED_VALUE"""),"#VALUE!")</f>
        <v>#VALUE!</v>
      </c>
      <c r="H219" s="51" t="str">
        <f>IFERROR(__xludf.DUMMYFUNCTION("""COMPUTED_VALUE"""),"")</f>
        <v/>
      </c>
      <c r="I219" s="51" t="str">
        <f>IFERROR(__xludf.DUMMYFUNCTION("""COMPUTED_VALUE"""),"#VALUE!")</f>
        <v>#VALUE!</v>
      </c>
      <c r="J219" s="51" t="str">
        <f>IFERROR(__xludf.DUMMYFUNCTION("""COMPUTED_VALUE"""),"")</f>
        <v/>
      </c>
      <c r="K219" s="51"/>
      <c r="L219" s="51" t="s">
        <v>257</v>
      </c>
      <c r="M219" s="51"/>
      <c r="N219" s="51"/>
      <c r="O219" s="51"/>
      <c r="P219" s="51"/>
      <c r="Q219" s="51"/>
      <c r="R219" s="51"/>
      <c r="S219" s="51"/>
      <c r="T219" s="51"/>
    </row>
    <row r="220">
      <c r="A220" s="51"/>
      <c r="B220" s="51"/>
      <c r="C220" s="56"/>
      <c r="D220" s="51"/>
      <c r="E220" s="51"/>
      <c r="F220" s="51"/>
      <c r="G220" s="51" t="str">
        <f>IFERROR(__xludf.DUMMYFUNCTION("""COMPUTED_VALUE"""),"#VALUE!")</f>
        <v>#VALUE!</v>
      </c>
      <c r="H220" s="51" t="str">
        <f>IFERROR(__xludf.DUMMYFUNCTION("""COMPUTED_VALUE"""),"")</f>
        <v/>
      </c>
      <c r="I220" s="51" t="str">
        <f>IFERROR(__xludf.DUMMYFUNCTION("""COMPUTED_VALUE"""),"#VALUE!")</f>
        <v>#VALUE!</v>
      </c>
      <c r="J220" s="51" t="str">
        <f>IFERROR(__xludf.DUMMYFUNCTION("""COMPUTED_VALUE"""),"")</f>
        <v/>
      </c>
      <c r="K220" s="51"/>
      <c r="L220" s="51" t="s">
        <v>257</v>
      </c>
      <c r="M220" s="51"/>
      <c r="N220" s="51"/>
      <c r="O220" s="51"/>
      <c r="P220" s="51"/>
      <c r="Q220" s="51"/>
      <c r="R220" s="51"/>
      <c r="S220" s="51"/>
      <c r="T220" s="51"/>
    </row>
    <row r="221">
      <c r="A221" s="51"/>
      <c r="B221" s="51"/>
      <c r="C221" s="56"/>
      <c r="D221" s="51"/>
      <c r="E221" s="51"/>
      <c r="F221" s="51"/>
      <c r="G221" s="51" t="str">
        <f>IFERROR(__xludf.DUMMYFUNCTION("""COMPUTED_VALUE"""),"#VALUE!")</f>
        <v>#VALUE!</v>
      </c>
      <c r="H221" s="51" t="str">
        <f>IFERROR(__xludf.DUMMYFUNCTION("""COMPUTED_VALUE"""),"")</f>
        <v/>
      </c>
      <c r="I221" s="51" t="str">
        <f>IFERROR(__xludf.DUMMYFUNCTION("""COMPUTED_VALUE"""),"#VALUE!")</f>
        <v>#VALUE!</v>
      </c>
      <c r="J221" s="51" t="str">
        <f>IFERROR(__xludf.DUMMYFUNCTION("""COMPUTED_VALUE"""),"")</f>
        <v/>
      </c>
      <c r="K221" s="51"/>
      <c r="L221" s="51" t="s">
        <v>257</v>
      </c>
      <c r="M221" s="51"/>
      <c r="N221" s="51"/>
      <c r="O221" s="51"/>
      <c r="P221" s="51"/>
      <c r="Q221" s="51"/>
      <c r="R221" s="51"/>
      <c r="S221" s="51"/>
      <c r="T221" s="51"/>
    </row>
    <row r="222">
      <c r="A222" s="51"/>
      <c r="B222" s="51"/>
      <c r="C222" s="56"/>
      <c r="D222" s="51"/>
      <c r="E222" s="51"/>
      <c r="F222" s="51"/>
      <c r="G222" s="51" t="str">
        <f>IFERROR(__xludf.DUMMYFUNCTION("""COMPUTED_VALUE"""),"#VALUE!")</f>
        <v>#VALUE!</v>
      </c>
      <c r="H222" s="51" t="str">
        <f>IFERROR(__xludf.DUMMYFUNCTION("""COMPUTED_VALUE"""),"")</f>
        <v/>
      </c>
      <c r="I222" s="51" t="str">
        <f>IFERROR(__xludf.DUMMYFUNCTION("""COMPUTED_VALUE"""),"#VALUE!")</f>
        <v>#VALUE!</v>
      </c>
      <c r="J222" s="51" t="str">
        <f>IFERROR(__xludf.DUMMYFUNCTION("""COMPUTED_VALUE"""),"")</f>
        <v/>
      </c>
      <c r="K222" s="51"/>
      <c r="L222" s="51" t="s">
        <v>257</v>
      </c>
      <c r="M222" s="51"/>
      <c r="N222" s="51"/>
      <c r="O222" s="51"/>
      <c r="P222" s="51"/>
      <c r="Q222" s="51"/>
      <c r="R222" s="51"/>
      <c r="S222" s="51"/>
      <c r="T222" s="51"/>
    </row>
    <row r="223">
      <c r="A223" s="51"/>
      <c r="B223" s="51"/>
      <c r="C223" s="56"/>
      <c r="D223" s="51"/>
      <c r="E223" s="51"/>
      <c r="F223" s="51"/>
      <c r="G223" s="51" t="str">
        <f>IFERROR(__xludf.DUMMYFUNCTION("""COMPUTED_VALUE"""),"#VALUE!")</f>
        <v>#VALUE!</v>
      </c>
      <c r="H223" s="51" t="str">
        <f>IFERROR(__xludf.DUMMYFUNCTION("""COMPUTED_VALUE"""),"")</f>
        <v/>
      </c>
      <c r="I223" s="51" t="str">
        <f>IFERROR(__xludf.DUMMYFUNCTION("""COMPUTED_VALUE"""),"#VALUE!")</f>
        <v>#VALUE!</v>
      </c>
      <c r="J223" s="51" t="str">
        <f>IFERROR(__xludf.DUMMYFUNCTION("""COMPUTED_VALUE"""),"")</f>
        <v/>
      </c>
      <c r="K223" s="51"/>
      <c r="L223" s="51" t="s">
        <v>257</v>
      </c>
      <c r="M223" s="51"/>
      <c r="N223" s="51"/>
      <c r="O223" s="51"/>
      <c r="P223" s="51"/>
      <c r="Q223" s="51"/>
      <c r="R223" s="51"/>
      <c r="S223" s="51"/>
      <c r="T223" s="51"/>
    </row>
    <row r="224">
      <c r="A224" s="51"/>
      <c r="B224" s="51"/>
      <c r="C224" s="56"/>
      <c r="D224" s="51"/>
      <c r="E224" s="51"/>
      <c r="F224" s="51"/>
      <c r="G224" s="51" t="str">
        <f>IFERROR(__xludf.DUMMYFUNCTION("""COMPUTED_VALUE"""),"#VALUE!")</f>
        <v>#VALUE!</v>
      </c>
      <c r="H224" s="51" t="str">
        <f>IFERROR(__xludf.DUMMYFUNCTION("""COMPUTED_VALUE"""),"")</f>
        <v/>
      </c>
      <c r="I224" s="51" t="str">
        <f>IFERROR(__xludf.DUMMYFUNCTION("""COMPUTED_VALUE"""),"#VALUE!")</f>
        <v>#VALUE!</v>
      </c>
      <c r="J224" s="51" t="str">
        <f>IFERROR(__xludf.DUMMYFUNCTION("""COMPUTED_VALUE"""),"")</f>
        <v/>
      </c>
      <c r="K224" s="51"/>
      <c r="L224" s="51" t="s">
        <v>257</v>
      </c>
      <c r="M224" s="51"/>
      <c r="N224" s="51"/>
      <c r="O224" s="51"/>
      <c r="P224" s="51"/>
      <c r="Q224" s="51"/>
      <c r="R224" s="51"/>
      <c r="S224" s="51"/>
      <c r="T224" s="51"/>
    </row>
    <row r="225">
      <c r="A225" s="51"/>
      <c r="B225" s="51"/>
      <c r="C225" s="56"/>
      <c r="D225" s="51"/>
      <c r="E225" s="51"/>
      <c r="F225" s="51"/>
      <c r="G225" s="51" t="str">
        <f>IFERROR(__xludf.DUMMYFUNCTION("""COMPUTED_VALUE"""),"#VALUE!")</f>
        <v>#VALUE!</v>
      </c>
      <c r="H225" s="51" t="str">
        <f>IFERROR(__xludf.DUMMYFUNCTION("""COMPUTED_VALUE"""),"")</f>
        <v/>
      </c>
      <c r="I225" s="51" t="str">
        <f>IFERROR(__xludf.DUMMYFUNCTION("""COMPUTED_VALUE"""),"#VALUE!")</f>
        <v>#VALUE!</v>
      </c>
      <c r="J225" s="51" t="str">
        <f>IFERROR(__xludf.DUMMYFUNCTION("""COMPUTED_VALUE"""),"")</f>
        <v/>
      </c>
      <c r="K225" s="51"/>
      <c r="L225" s="51" t="s">
        <v>257</v>
      </c>
      <c r="M225" s="51"/>
      <c r="N225" s="51"/>
      <c r="O225" s="51"/>
      <c r="P225" s="51"/>
      <c r="Q225" s="51"/>
      <c r="R225" s="51"/>
      <c r="S225" s="51"/>
      <c r="T225" s="51"/>
    </row>
    <row r="226">
      <c r="A226" s="51"/>
      <c r="B226" s="51"/>
      <c r="C226" s="56"/>
      <c r="D226" s="51"/>
      <c r="E226" s="51"/>
      <c r="F226" s="51"/>
      <c r="G226" s="51" t="str">
        <f>IFERROR(__xludf.DUMMYFUNCTION("""COMPUTED_VALUE"""),"#VALUE!")</f>
        <v>#VALUE!</v>
      </c>
      <c r="H226" s="51" t="str">
        <f>IFERROR(__xludf.DUMMYFUNCTION("""COMPUTED_VALUE"""),"")</f>
        <v/>
      </c>
      <c r="I226" s="51" t="str">
        <f>IFERROR(__xludf.DUMMYFUNCTION("""COMPUTED_VALUE"""),"#VALUE!")</f>
        <v>#VALUE!</v>
      </c>
      <c r="J226" s="51" t="str">
        <f>IFERROR(__xludf.DUMMYFUNCTION("""COMPUTED_VALUE"""),"")</f>
        <v/>
      </c>
      <c r="K226" s="51"/>
      <c r="L226" s="51" t="s">
        <v>257</v>
      </c>
      <c r="M226" s="51"/>
      <c r="N226" s="51"/>
      <c r="O226" s="51"/>
      <c r="P226" s="51"/>
      <c r="Q226" s="51"/>
      <c r="R226" s="51"/>
      <c r="S226" s="51"/>
      <c r="T226" s="51"/>
    </row>
    <row r="227">
      <c r="A227" s="51"/>
      <c r="B227" s="51"/>
      <c r="C227" s="56"/>
      <c r="D227" s="51"/>
      <c r="E227" s="51"/>
      <c r="F227" s="51"/>
      <c r="G227" s="51" t="str">
        <f>IFERROR(__xludf.DUMMYFUNCTION("""COMPUTED_VALUE"""),"#VALUE!")</f>
        <v>#VALUE!</v>
      </c>
      <c r="H227" s="51" t="str">
        <f>IFERROR(__xludf.DUMMYFUNCTION("""COMPUTED_VALUE"""),"")</f>
        <v/>
      </c>
      <c r="I227" s="51" t="str">
        <f>IFERROR(__xludf.DUMMYFUNCTION("""COMPUTED_VALUE"""),"#VALUE!")</f>
        <v>#VALUE!</v>
      </c>
      <c r="J227" s="51" t="str">
        <f>IFERROR(__xludf.DUMMYFUNCTION("""COMPUTED_VALUE"""),"")</f>
        <v/>
      </c>
      <c r="K227" s="51"/>
      <c r="L227" s="51" t="s">
        <v>257</v>
      </c>
      <c r="M227" s="51"/>
      <c r="N227" s="51"/>
      <c r="O227" s="51"/>
      <c r="P227" s="51"/>
      <c r="Q227" s="51"/>
      <c r="R227" s="51"/>
      <c r="S227" s="51"/>
      <c r="T227" s="51"/>
    </row>
    <row r="228">
      <c r="A228" s="51"/>
      <c r="B228" s="51"/>
      <c r="C228" s="56"/>
      <c r="D228" s="51"/>
      <c r="E228" s="51"/>
      <c r="F228" s="51"/>
      <c r="G228" s="51" t="str">
        <f>IFERROR(__xludf.DUMMYFUNCTION("""COMPUTED_VALUE"""),"#VALUE!")</f>
        <v>#VALUE!</v>
      </c>
      <c r="H228" s="51" t="str">
        <f>IFERROR(__xludf.DUMMYFUNCTION("""COMPUTED_VALUE"""),"")</f>
        <v/>
      </c>
      <c r="I228" s="51" t="str">
        <f>IFERROR(__xludf.DUMMYFUNCTION("""COMPUTED_VALUE"""),"#VALUE!")</f>
        <v>#VALUE!</v>
      </c>
      <c r="J228" s="51" t="str">
        <f>IFERROR(__xludf.DUMMYFUNCTION("""COMPUTED_VALUE"""),"")</f>
        <v/>
      </c>
      <c r="K228" s="51"/>
      <c r="L228" s="51" t="s">
        <v>257</v>
      </c>
      <c r="M228" s="51"/>
      <c r="N228" s="51"/>
      <c r="O228" s="51"/>
      <c r="P228" s="51"/>
      <c r="Q228" s="51"/>
      <c r="R228" s="51"/>
      <c r="S228" s="51"/>
      <c r="T228" s="51"/>
    </row>
    <row r="229">
      <c r="A229" s="51"/>
      <c r="B229" s="51"/>
      <c r="C229" s="56"/>
      <c r="D229" s="51"/>
      <c r="E229" s="51"/>
      <c r="F229" s="51"/>
      <c r="G229" s="51" t="str">
        <f>IFERROR(__xludf.DUMMYFUNCTION("""COMPUTED_VALUE"""),"#VALUE!")</f>
        <v>#VALUE!</v>
      </c>
      <c r="H229" s="51" t="str">
        <f>IFERROR(__xludf.DUMMYFUNCTION("""COMPUTED_VALUE"""),"")</f>
        <v/>
      </c>
      <c r="I229" s="51" t="str">
        <f>IFERROR(__xludf.DUMMYFUNCTION("""COMPUTED_VALUE"""),"#VALUE!")</f>
        <v>#VALUE!</v>
      </c>
      <c r="J229" s="51" t="str">
        <f>IFERROR(__xludf.DUMMYFUNCTION("""COMPUTED_VALUE"""),"")</f>
        <v/>
      </c>
      <c r="K229" s="51"/>
      <c r="L229" s="51" t="s">
        <v>257</v>
      </c>
      <c r="M229" s="51"/>
      <c r="N229" s="51"/>
      <c r="O229" s="51"/>
      <c r="P229" s="51"/>
      <c r="Q229" s="51"/>
      <c r="R229" s="51"/>
      <c r="S229" s="51"/>
      <c r="T229" s="51"/>
    </row>
    <row r="230">
      <c r="A230" s="51"/>
      <c r="B230" s="51"/>
      <c r="C230" s="56"/>
      <c r="D230" s="51"/>
      <c r="E230" s="51"/>
      <c r="F230" s="51"/>
      <c r="G230" s="51" t="str">
        <f>IFERROR(__xludf.DUMMYFUNCTION("""COMPUTED_VALUE"""),"#VALUE!")</f>
        <v>#VALUE!</v>
      </c>
      <c r="H230" s="51" t="str">
        <f>IFERROR(__xludf.DUMMYFUNCTION("""COMPUTED_VALUE"""),"")</f>
        <v/>
      </c>
      <c r="I230" s="51" t="str">
        <f>IFERROR(__xludf.DUMMYFUNCTION("""COMPUTED_VALUE"""),"#VALUE!")</f>
        <v>#VALUE!</v>
      </c>
      <c r="J230" s="51" t="str">
        <f>IFERROR(__xludf.DUMMYFUNCTION("""COMPUTED_VALUE"""),"")</f>
        <v/>
      </c>
      <c r="K230" s="51"/>
      <c r="L230" s="51" t="s">
        <v>257</v>
      </c>
      <c r="M230" s="51"/>
      <c r="N230" s="51"/>
      <c r="O230" s="51"/>
      <c r="P230" s="51"/>
      <c r="Q230" s="51"/>
      <c r="R230" s="51"/>
      <c r="S230" s="51"/>
      <c r="T230" s="51"/>
    </row>
    <row r="231">
      <c r="A231" s="51"/>
      <c r="B231" s="51"/>
      <c r="C231" s="56"/>
      <c r="D231" s="51"/>
      <c r="E231" s="51"/>
      <c r="F231" s="51"/>
      <c r="G231" s="51" t="str">
        <f>IFERROR(__xludf.DUMMYFUNCTION("""COMPUTED_VALUE"""),"#VALUE!")</f>
        <v>#VALUE!</v>
      </c>
      <c r="H231" s="51" t="str">
        <f>IFERROR(__xludf.DUMMYFUNCTION("""COMPUTED_VALUE"""),"")</f>
        <v/>
      </c>
      <c r="I231" s="51" t="str">
        <f>IFERROR(__xludf.DUMMYFUNCTION("""COMPUTED_VALUE"""),"#VALUE!")</f>
        <v>#VALUE!</v>
      </c>
      <c r="J231" s="51" t="str">
        <f>IFERROR(__xludf.DUMMYFUNCTION("""COMPUTED_VALUE"""),"")</f>
        <v/>
      </c>
      <c r="K231" s="51"/>
      <c r="L231" s="51" t="s">
        <v>257</v>
      </c>
      <c r="M231" s="51"/>
      <c r="N231" s="51"/>
      <c r="O231" s="51"/>
      <c r="P231" s="51"/>
      <c r="Q231" s="51"/>
      <c r="R231" s="51"/>
      <c r="S231" s="51"/>
      <c r="T231" s="51"/>
    </row>
    <row r="232">
      <c r="A232" s="51"/>
      <c r="B232" s="51"/>
      <c r="C232" s="56"/>
      <c r="D232" s="51"/>
      <c r="E232" s="51"/>
      <c r="F232" s="51"/>
      <c r="G232" s="51" t="str">
        <f>IFERROR(__xludf.DUMMYFUNCTION("""COMPUTED_VALUE"""),"#VALUE!")</f>
        <v>#VALUE!</v>
      </c>
      <c r="H232" s="51" t="str">
        <f>IFERROR(__xludf.DUMMYFUNCTION("""COMPUTED_VALUE"""),"")</f>
        <v/>
      </c>
      <c r="I232" s="51" t="str">
        <f>IFERROR(__xludf.DUMMYFUNCTION("""COMPUTED_VALUE"""),"#VALUE!")</f>
        <v>#VALUE!</v>
      </c>
      <c r="J232" s="51" t="str">
        <f>IFERROR(__xludf.DUMMYFUNCTION("""COMPUTED_VALUE"""),"")</f>
        <v/>
      </c>
      <c r="K232" s="51"/>
      <c r="L232" s="51" t="s">
        <v>257</v>
      </c>
      <c r="M232" s="51"/>
      <c r="N232" s="51"/>
      <c r="O232" s="51"/>
      <c r="P232" s="51"/>
      <c r="Q232" s="51"/>
      <c r="R232" s="51"/>
      <c r="S232" s="51"/>
      <c r="T232" s="51"/>
    </row>
    <row r="233">
      <c r="A233" s="51"/>
      <c r="B233" s="51"/>
      <c r="C233" s="56"/>
      <c r="D233" s="51"/>
      <c r="E233" s="51"/>
      <c r="F233" s="51"/>
      <c r="G233" s="51" t="str">
        <f>IFERROR(__xludf.DUMMYFUNCTION("""COMPUTED_VALUE"""),"#VALUE!")</f>
        <v>#VALUE!</v>
      </c>
      <c r="H233" s="51" t="str">
        <f>IFERROR(__xludf.DUMMYFUNCTION("""COMPUTED_VALUE"""),"")</f>
        <v/>
      </c>
      <c r="I233" s="51" t="str">
        <f>IFERROR(__xludf.DUMMYFUNCTION("""COMPUTED_VALUE"""),"#VALUE!")</f>
        <v>#VALUE!</v>
      </c>
      <c r="J233" s="51" t="str">
        <f>IFERROR(__xludf.DUMMYFUNCTION("""COMPUTED_VALUE"""),"")</f>
        <v/>
      </c>
      <c r="K233" s="51"/>
      <c r="L233" s="51" t="s">
        <v>257</v>
      </c>
      <c r="M233" s="51"/>
      <c r="N233" s="51"/>
      <c r="O233" s="51"/>
      <c r="P233" s="51"/>
      <c r="Q233" s="51"/>
      <c r="R233" s="51"/>
      <c r="S233" s="51"/>
      <c r="T233" s="51"/>
    </row>
    <row r="234">
      <c r="A234" s="51"/>
      <c r="B234" s="51"/>
      <c r="C234" s="56"/>
      <c r="D234" s="51"/>
      <c r="E234" s="51"/>
      <c r="F234" s="51"/>
      <c r="G234" s="51" t="str">
        <f>IFERROR(__xludf.DUMMYFUNCTION("""COMPUTED_VALUE"""),"#VALUE!")</f>
        <v>#VALUE!</v>
      </c>
      <c r="H234" s="51" t="str">
        <f>IFERROR(__xludf.DUMMYFUNCTION("""COMPUTED_VALUE"""),"")</f>
        <v/>
      </c>
      <c r="I234" s="51" t="str">
        <f>IFERROR(__xludf.DUMMYFUNCTION("""COMPUTED_VALUE"""),"#VALUE!")</f>
        <v>#VALUE!</v>
      </c>
      <c r="J234" s="51" t="str">
        <f>IFERROR(__xludf.DUMMYFUNCTION("""COMPUTED_VALUE"""),"")</f>
        <v/>
      </c>
      <c r="K234" s="51"/>
      <c r="L234" s="51" t="s">
        <v>257</v>
      </c>
      <c r="M234" s="51"/>
      <c r="N234" s="51"/>
      <c r="O234" s="51"/>
      <c r="P234" s="51"/>
      <c r="Q234" s="51"/>
      <c r="R234" s="51"/>
      <c r="S234" s="51"/>
      <c r="T234" s="51"/>
    </row>
    <row r="235">
      <c r="A235" s="51"/>
      <c r="B235" s="51"/>
      <c r="C235" s="56"/>
      <c r="D235" s="51"/>
      <c r="E235" s="51"/>
      <c r="F235" s="51"/>
      <c r="G235" s="51" t="str">
        <f>IFERROR(__xludf.DUMMYFUNCTION("""COMPUTED_VALUE"""),"#VALUE!")</f>
        <v>#VALUE!</v>
      </c>
      <c r="H235" s="51" t="str">
        <f>IFERROR(__xludf.DUMMYFUNCTION("""COMPUTED_VALUE"""),"")</f>
        <v/>
      </c>
      <c r="I235" s="51" t="str">
        <f>IFERROR(__xludf.DUMMYFUNCTION("""COMPUTED_VALUE"""),"#VALUE!")</f>
        <v>#VALUE!</v>
      </c>
      <c r="J235" s="51" t="str">
        <f>IFERROR(__xludf.DUMMYFUNCTION("""COMPUTED_VALUE"""),"")</f>
        <v/>
      </c>
      <c r="K235" s="51"/>
      <c r="L235" s="51" t="s">
        <v>257</v>
      </c>
      <c r="M235" s="51"/>
      <c r="N235" s="51"/>
      <c r="O235" s="51"/>
      <c r="P235" s="51"/>
      <c r="Q235" s="51"/>
      <c r="R235" s="51"/>
      <c r="S235" s="51"/>
      <c r="T235" s="51"/>
    </row>
    <row r="236">
      <c r="A236" s="51"/>
      <c r="B236" s="51"/>
      <c r="C236" s="56"/>
      <c r="D236" s="51"/>
      <c r="E236" s="51"/>
      <c r="F236" s="51"/>
      <c r="G236" s="51" t="str">
        <f>IFERROR(__xludf.DUMMYFUNCTION("""COMPUTED_VALUE"""),"#VALUE!")</f>
        <v>#VALUE!</v>
      </c>
      <c r="H236" s="51" t="str">
        <f>IFERROR(__xludf.DUMMYFUNCTION("""COMPUTED_VALUE"""),"")</f>
        <v/>
      </c>
      <c r="I236" s="51" t="str">
        <f>IFERROR(__xludf.DUMMYFUNCTION("""COMPUTED_VALUE"""),"#VALUE!")</f>
        <v>#VALUE!</v>
      </c>
      <c r="J236" s="51" t="str">
        <f>IFERROR(__xludf.DUMMYFUNCTION("""COMPUTED_VALUE"""),"")</f>
        <v/>
      </c>
      <c r="K236" s="51"/>
      <c r="L236" s="51" t="s">
        <v>257</v>
      </c>
      <c r="M236" s="51"/>
      <c r="N236" s="51"/>
      <c r="O236" s="51"/>
      <c r="P236" s="51"/>
      <c r="Q236" s="51"/>
      <c r="R236" s="51"/>
      <c r="S236" s="51"/>
      <c r="T236" s="51"/>
    </row>
    <row r="237">
      <c r="A237" s="51"/>
      <c r="B237" s="51"/>
      <c r="C237" s="56"/>
      <c r="D237" s="51"/>
      <c r="E237" s="51"/>
      <c r="F237" s="51"/>
      <c r="G237" s="51" t="str">
        <f>IFERROR(__xludf.DUMMYFUNCTION("""COMPUTED_VALUE"""),"#VALUE!")</f>
        <v>#VALUE!</v>
      </c>
      <c r="H237" s="51" t="str">
        <f>IFERROR(__xludf.DUMMYFUNCTION("""COMPUTED_VALUE"""),"")</f>
        <v/>
      </c>
      <c r="I237" s="51" t="str">
        <f>IFERROR(__xludf.DUMMYFUNCTION("""COMPUTED_VALUE"""),"#VALUE!")</f>
        <v>#VALUE!</v>
      </c>
      <c r="J237" s="51" t="str">
        <f>IFERROR(__xludf.DUMMYFUNCTION("""COMPUTED_VALUE"""),"")</f>
        <v/>
      </c>
      <c r="K237" s="51"/>
      <c r="L237" s="51" t="s">
        <v>257</v>
      </c>
      <c r="M237" s="51"/>
      <c r="N237" s="51"/>
      <c r="O237" s="51"/>
      <c r="P237" s="51"/>
      <c r="Q237" s="51"/>
      <c r="R237" s="51"/>
      <c r="S237" s="51"/>
      <c r="T237" s="51"/>
    </row>
    <row r="238">
      <c r="A238" s="51"/>
      <c r="B238" s="51"/>
      <c r="C238" s="56"/>
      <c r="D238" s="51"/>
      <c r="E238" s="51"/>
      <c r="F238" s="51"/>
      <c r="G238" s="51" t="str">
        <f>IFERROR(__xludf.DUMMYFUNCTION("""COMPUTED_VALUE"""),"#VALUE!")</f>
        <v>#VALUE!</v>
      </c>
      <c r="H238" s="51" t="str">
        <f>IFERROR(__xludf.DUMMYFUNCTION("""COMPUTED_VALUE"""),"")</f>
        <v/>
      </c>
      <c r="I238" s="51" t="str">
        <f>IFERROR(__xludf.DUMMYFUNCTION("""COMPUTED_VALUE"""),"#VALUE!")</f>
        <v>#VALUE!</v>
      </c>
      <c r="J238" s="51" t="str">
        <f>IFERROR(__xludf.DUMMYFUNCTION("""COMPUTED_VALUE"""),"")</f>
        <v/>
      </c>
      <c r="K238" s="51"/>
      <c r="L238" s="51" t="s">
        <v>257</v>
      </c>
      <c r="M238" s="51"/>
      <c r="N238" s="51"/>
      <c r="O238" s="51"/>
      <c r="P238" s="51"/>
      <c r="Q238" s="51"/>
      <c r="R238" s="51"/>
      <c r="S238" s="51"/>
      <c r="T238" s="51"/>
    </row>
    <row r="239">
      <c r="A239" s="51"/>
      <c r="B239" s="51"/>
      <c r="C239" s="56"/>
      <c r="D239" s="51"/>
      <c r="E239" s="51"/>
      <c r="F239" s="51"/>
      <c r="G239" s="51" t="str">
        <f>IFERROR(__xludf.DUMMYFUNCTION("""COMPUTED_VALUE"""),"#VALUE!")</f>
        <v>#VALUE!</v>
      </c>
      <c r="H239" s="51" t="str">
        <f>IFERROR(__xludf.DUMMYFUNCTION("""COMPUTED_VALUE"""),"")</f>
        <v/>
      </c>
      <c r="I239" s="51" t="str">
        <f>IFERROR(__xludf.DUMMYFUNCTION("""COMPUTED_VALUE"""),"#VALUE!")</f>
        <v>#VALUE!</v>
      </c>
      <c r="J239" s="51" t="str">
        <f>IFERROR(__xludf.DUMMYFUNCTION("""COMPUTED_VALUE"""),"")</f>
        <v/>
      </c>
      <c r="K239" s="51"/>
      <c r="L239" s="51" t="s">
        <v>257</v>
      </c>
      <c r="M239" s="51"/>
      <c r="N239" s="51"/>
      <c r="O239" s="51"/>
      <c r="P239" s="51"/>
      <c r="Q239" s="51"/>
      <c r="R239" s="51"/>
      <c r="S239" s="51"/>
      <c r="T239" s="51"/>
    </row>
    <row r="240">
      <c r="A240" s="51"/>
      <c r="B240" s="51"/>
      <c r="C240" s="56"/>
      <c r="D240" s="51"/>
      <c r="E240" s="51"/>
      <c r="F240" s="51"/>
      <c r="G240" s="51" t="str">
        <f>IFERROR(__xludf.DUMMYFUNCTION("""COMPUTED_VALUE"""),"#VALUE!")</f>
        <v>#VALUE!</v>
      </c>
      <c r="H240" s="51" t="str">
        <f>IFERROR(__xludf.DUMMYFUNCTION("""COMPUTED_VALUE"""),"")</f>
        <v/>
      </c>
      <c r="I240" s="51" t="str">
        <f>IFERROR(__xludf.DUMMYFUNCTION("""COMPUTED_VALUE"""),"#VALUE!")</f>
        <v>#VALUE!</v>
      </c>
      <c r="J240" s="51" t="str">
        <f>IFERROR(__xludf.DUMMYFUNCTION("""COMPUTED_VALUE"""),"")</f>
        <v/>
      </c>
      <c r="K240" s="51"/>
      <c r="L240" s="51" t="s">
        <v>257</v>
      </c>
      <c r="M240" s="51"/>
      <c r="N240" s="51"/>
      <c r="O240" s="51"/>
      <c r="P240" s="51"/>
      <c r="Q240" s="51"/>
      <c r="R240" s="51"/>
      <c r="S240" s="51"/>
      <c r="T240" s="51"/>
    </row>
    <row r="241">
      <c r="A241" s="51"/>
      <c r="B241" s="51"/>
      <c r="C241" s="56"/>
      <c r="D241" s="51"/>
      <c r="E241" s="51"/>
      <c r="F241" s="51"/>
      <c r="G241" s="51" t="str">
        <f>IFERROR(__xludf.DUMMYFUNCTION("""COMPUTED_VALUE"""),"#VALUE!")</f>
        <v>#VALUE!</v>
      </c>
      <c r="H241" s="51" t="str">
        <f>IFERROR(__xludf.DUMMYFUNCTION("""COMPUTED_VALUE"""),"")</f>
        <v/>
      </c>
      <c r="I241" s="51" t="str">
        <f>IFERROR(__xludf.DUMMYFUNCTION("""COMPUTED_VALUE"""),"#VALUE!")</f>
        <v>#VALUE!</v>
      </c>
      <c r="J241" s="51" t="str">
        <f>IFERROR(__xludf.DUMMYFUNCTION("""COMPUTED_VALUE"""),"")</f>
        <v/>
      </c>
      <c r="K241" s="51"/>
      <c r="L241" s="51" t="s">
        <v>257</v>
      </c>
      <c r="M241" s="51"/>
      <c r="N241" s="51"/>
      <c r="O241" s="51"/>
      <c r="P241" s="51"/>
      <c r="Q241" s="51"/>
      <c r="R241" s="51"/>
      <c r="S241" s="51"/>
      <c r="T241" s="51"/>
    </row>
    <row r="242">
      <c r="A242" s="51"/>
      <c r="B242" s="51"/>
      <c r="C242" s="56"/>
      <c r="D242" s="51"/>
      <c r="E242" s="51"/>
      <c r="F242" s="51"/>
      <c r="G242" s="51" t="str">
        <f>IFERROR(__xludf.DUMMYFUNCTION("""COMPUTED_VALUE"""),"#VALUE!")</f>
        <v>#VALUE!</v>
      </c>
      <c r="H242" s="51" t="str">
        <f>IFERROR(__xludf.DUMMYFUNCTION("""COMPUTED_VALUE"""),"")</f>
        <v/>
      </c>
      <c r="I242" s="51" t="str">
        <f>IFERROR(__xludf.DUMMYFUNCTION("""COMPUTED_VALUE"""),"#VALUE!")</f>
        <v>#VALUE!</v>
      </c>
      <c r="J242" s="51" t="str">
        <f>IFERROR(__xludf.DUMMYFUNCTION("""COMPUTED_VALUE"""),"")</f>
        <v/>
      </c>
      <c r="K242" s="51"/>
      <c r="L242" s="51" t="s">
        <v>257</v>
      </c>
      <c r="M242" s="51"/>
      <c r="N242" s="51"/>
      <c r="O242" s="51"/>
      <c r="P242" s="51"/>
      <c r="Q242" s="51"/>
      <c r="R242" s="51"/>
      <c r="S242" s="51"/>
      <c r="T242" s="51"/>
    </row>
    <row r="243">
      <c r="A243" s="51"/>
      <c r="B243" s="51"/>
      <c r="C243" s="56"/>
      <c r="D243" s="51"/>
      <c r="E243" s="51"/>
      <c r="F243" s="51"/>
      <c r="G243" s="51" t="str">
        <f>IFERROR(__xludf.DUMMYFUNCTION("""COMPUTED_VALUE"""),"#VALUE!")</f>
        <v>#VALUE!</v>
      </c>
      <c r="H243" s="51" t="str">
        <f>IFERROR(__xludf.DUMMYFUNCTION("""COMPUTED_VALUE"""),"")</f>
        <v/>
      </c>
      <c r="I243" s="51" t="str">
        <f>IFERROR(__xludf.DUMMYFUNCTION("""COMPUTED_VALUE"""),"#VALUE!")</f>
        <v>#VALUE!</v>
      </c>
      <c r="J243" s="51" t="str">
        <f>IFERROR(__xludf.DUMMYFUNCTION("""COMPUTED_VALUE"""),"")</f>
        <v/>
      </c>
      <c r="K243" s="51"/>
      <c r="L243" s="51" t="s">
        <v>257</v>
      </c>
      <c r="M243" s="51"/>
      <c r="N243" s="51"/>
      <c r="O243" s="51"/>
      <c r="P243" s="51"/>
      <c r="Q243" s="51"/>
      <c r="R243" s="51"/>
      <c r="S243" s="51"/>
      <c r="T243" s="51"/>
    </row>
    <row r="244">
      <c r="A244" s="51"/>
      <c r="B244" s="51"/>
      <c r="C244" s="56"/>
      <c r="D244" s="51"/>
      <c r="E244" s="51"/>
      <c r="F244" s="51"/>
      <c r="G244" s="51" t="str">
        <f>IFERROR(__xludf.DUMMYFUNCTION("""COMPUTED_VALUE"""),"#VALUE!")</f>
        <v>#VALUE!</v>
      </c>
      <c r="H244" s="51" t="str">
        <f>IFERROR(__xludf.DUMMYFUNCTION("""COMPUTED_VALUE"""),"")</f>
        <v/>
      </c>
      <c r="I244" s="51" t="str">
        <f>IFERROR(__xludf.DUMMYFUNCTION("""COMPUTED_VALUE"""),"#VALUE!")</f>
        <v>#VALUE!</v>
      </c>
      <c r="J244" s="51" t="str">
        <f>IFERROR(__xludf.DUMMYFUNCTION("""COMPUTED_VALUE"""),"")</f>
        <v/>
      </c>
      <c r="K244" s="51"/>
      <c r="L244" s="51" t="s">
        <v>257</v>
      </c>
      <c r="M244" s="51"/>
      <c r="N244" s="51"/>
      <c r="O244" s="51"/>
      <c r="P244" s="51"/>
      <c r="Q244" s="51"/>
      <c r="R244" s="51"/>
      <c r="S244" s="51"/>
      <c r="T244" s="51"/>
    </row>
    <row r="245">
      <c r="A245" s="51"/>
      <c r="B245" s="51"/>
      <c r="C245" s="56"/>
      <c r="D245" s="51"/>
      <c r="E245" s="51"/>
      <c r="F245" s="51"/>
      <c r="G245" s="51" t="str">
        <f>IFERROR(__xludf.DUMMYFUNCTION("""COMPUTED_VALUE"""),"#VALUE!")</f>
        <v>#VALUE!</v>
      </c>
      <c r="H245" s="51" t="str">
        <f>IFERROR(__xludf.DUMMYFUNCTION("""COMPUTED_VALUE"""),"")</f>
        <v/>
      </c>
      <c r="I245" s="51" t="str">
        <f>IFERROR(__xludf.DUMMYFUNCTION("""COMPUTED_VALUE"""),"#VALUE!")</f>
        <v>#VALUE!</v>
      </c>
      <c r="J245" s="51" t="str">
        <f>IFERROR(__xludf.DUMMYFUNCTION("""COMPUTED_VALUE"""),"")</f>
        <v/>
      </c>
      <c r="K245" s="51"/>
      <c r="L245" s="51" t="s">
        <v>257</v>
      </c>
      <c r="M245" s="51"/>
      <c r="N245" s="51"/>
      <c r="O245" s="51"/>
      <c r="P245" s="51"/>
      <c r="Q245" s="51"/>
      <c r="R245" s="51"/>
      <c r="S245" s="51"/>
      <c r="T245" s="51"/>
    </row>
    <row r="246">
      <c r="A246" s="51"/>
      <c r="B246" s="51"/>
      <c r="C246" s="56"/>
      <c r="D246" s="51"/>
      <c r="E246" s="51"/>
      <c r="F246" s="51"/>
      <c r="G246" s="51" t="str">
        <f>IFERROR(__xludf.DUMMYFUNCTION("""COMPUTED_VALUE"""),"#VALUE!")</f>
        <v>#VALUE!</v>
      </c>
      <c r="H246" s="51" t="str">
        <f>IFERROR(__xludf.DUMMYFUNCTION("""COMPUTED_VALUE"""),"")</f>
        <v/>
      </c>
      <c r="I246" s="51" t="str">
        <f>IFERROR(__xludf.DUMMYFUNCTION("""COMPUTED_VALUE"""),"#VALUE!")</f>
        <v>#VALUE!</v>
      </c>
      <c r="J246" s="51" t="str">
        <f>IFERROR(__xludf.DUMMYFUNCTION("""COMPUTED_VALUE"""),"")</f>
        <v/>
      </c>
      <c r="K246" s="51"/>
      <c r="L246" s="51" t="s">
        <v>257</v>
      </c>
      <c r="M246" s="51"/>
      <c r="N246" s="51"/>
      <c r="O246" s="51"/>
      <c r="P246" s="51"/>
      <c r="Q246" s="51"/>
      <c r="R246" s="51"/>
      <c r="S246" s="51"/>
      <c r="T246" s="51"/>
    </row>
    <row r="247">
      <c r="A247" s="51"/>
      <c r="B247" s="51"/>
      <c r="C247" s="56"/>
      <c r="D247" s="51"/>
      <c r="E247" s="51"/>
      <c r="F247" s="51"/>
      <c r="G247" s="51" t="str">
        <f>IFERROR(__xludf.DUMMYFUNCTION("""COMPUTED_VALUE"""),"#VALUE!")</f>
        <v>#VALUE!</v>
      </c>
      <c r="H247" s="51" t="str">
        <f>IFERROR(__xludf.DUMMYFUNCTION("""COMPUTED_VALUE"""),"")</f>
        <v/>
      </c>
      <c r="I247" s="51" t="str">
        <f>IFERROR(__xludf.DUMMYFUNCTION("""COMPUTED_VALUE"""),"#VALUE!")</f>
        <v>#VALUE!</v>
      </c>
      <c r="J247" s="51" t="str">
        <f>IFERROR(__xludf.DUMMYFUNCTION("""COMPUTED_VALUE"""),"")</f>
        <v/>
      </c>
      <c r="K247" s="51"/>
      <c r="L247" s="51" t="s">
        <v>257</v>
      </c>
      <c r="M247" s="51"/>
      <c r="N247" s="51"/>
      <c r="O247" s="51"/>
      <c r="P247" s="51"/>
      <c r="Q247" s="51"/>
      <c r="R247" s="51"/>
      <c r="S247" s="51"/>
      <c r="T247" s="51"/>
    </row>
    <row r="248">
      <c r="A248" s="51"/>
      <c r="B248" s="51"/>
      <c r="C248" s="56"/>
      <c r="D248" s="51"/>
      <c r="E248" s="51"/>
      <c r="F248" s="51"/>
      <c r="G248" s="51" t="str">
        <f>IFERROR(__xludf.DUMMYFUNCTION("""COMPUTED_VALUE"""),"#VALUE!")</f>
        <v>#VALUE!</v>
      </c>
      <c r="H248" s="51" t="str">
        <f>IFERROR(__xludf.DUMMYFUNCTION("""COMPUTED_VALUE"""),"")</f>
        <v/>
      </c>
      <c r="I248" s="51" t="str">
        <f>IFERROR(__xludf.DUMMYFUNCTION("""COMPUTED_VALUE"""),"#VALUE!")</f>
        <v>#VALUE!</v>
      </c>
      <c r="J248" s="51" t="str">
        <f>IFERROR(__xludf.DUMMYFUNCTION("""COMPUTED_VALUE"""),"")</f>
        <v/>
      </c>
      <c r="K248" s="51"/>
      <c r="L248" s="51" t="s">
        <v>257</v>
      </c>
      <c r="M248" s="51"/>
      <c r="N248" s="51"/>
      <c r="O248" s="51"/>
      <c r="P248" s="51"/>
      <c r="Q248" s="51"/>
      <c r="R248" s="51"/>
      <c r="S248" s="51"/>
      <c r="T248" s="51"/>
    </row>
    <row r="249">
      <c r="A249" s="51"/>
      <c r="B249" s="51"/>
      <c r="C249" s="56"/>
      <c r="D249" s="51"/>
      <c r="E249" s="51"/>
      <c r="F249" s="51"/>
      <c r="G249" s="51" t="str">
        <f>IFERROR(__xludf.DUMMYFUNCTION("""COMPUTED_VALUE"""),"#VALUE!")</f>
        <v>#VALUE!</v>
      </c>
      <c r="H249" s="51" t="str">
        <f>IFERROR(__xludf.DUMMYFUNCTION("""COMPUTED_VALUE"""),"")</f>
        <v/>
      </c>
      <c r="I249" s="51" t="str">
        <f>IFERROR(__xludf.DUMMYFUNCTION("""COMPUTED_VALUE"""),"#VALUE!")</f>
        <v>#VALUE!</v>
      </c>
      <c r="J249" s="51" t="str">
        <f>IFERROR(__xludf.DUMMYFUNCTION("""COMPUTED_VALUE"""),"")</f>
        <v/>
      </c>
      <c r="K249" s="51"/>
      <c r="L249" s="51" t="s">
        <v>257</v>
      </c>
      <c r="M249" s="51"/>
      <c r="N249" s="51"/>
      <c r="O249" s="51"/>
      <c r="P249" s="51"/>
      <c r="Q249" s="51"/>
      <c r="R249" s="51"/>
      <c r="S249" s="51"/>
      <c r="T249" s="51"/>
    </row>
    <row r="250">
      <c r="A250" s="51"/>
      <c r="B250" s="51"/>
      <c r="C250" s="56"/>
      <c r="D250" s="51"/>
      <c r="E250" s="51"/>
      <c r="F250" s="51"/>
      <c r="G250" s="51" t="str">
        <f>IFERROR(__xludf.DUMMYFUNCTION("""COMPUTED_VALUE"""),"#VALUE!")</f>
        <v>#VALUE!</v>
      </c>
      <c r="H250" s="51" t="str">
        <f>IFERROR(__xludf.DUMMYFUNCTION("""COMPUTED_VALUE"""),"")</f>
        <v/>
      </c>
      <c r="I250" s="51" t="str">
        <f>IFERROR(__xludf.DUMMYFUNCTION("""COMPUTED_VALUE"""),"#VALUE!")</f>
        <v>#VALUE!</v>
      </c>
      <c r="J250" s="51" t="str">
        <f>IFERROR(__xludf.DUMMYFUNCTION("""COMPUTED_VALUE"""),"")</f>
        <v/>
      </c>
      <c r="K250" s="51"/>
      <c r="L250" s="51" t="s">
        <v>257</v>
      </c>
      <c r="M250" s="51"/>
      <c r="N250" s="51"/>
      <c r="O250" s="51"/>
      <c r="P250" s="51"/>
      <c r="Q250" s="51"/>
      <c r="R250" s="51"/>
      <c r="S250" s="51"/>
      <c r="T250" s="51"/>
    </row>
    <row r="251">
      <c r="A251" s="51"/>
      <c r="B251" s="51"/>
      <c r="C251" s="56"/>
      <c r="D251" s="51"/>
      <c r="E251" s="51"/>
      <c r="F251" s="51"/>
      <c r="G251" s="51" t="str">
        <f>IFERROR(__xludf.DUMMYFUNCTION("""COMPUTED_VALUE"""),"#VALUE!")</f>
        <v>#VALUE!</v>
      </c>
      <c r="H251" s="51" t="str">
        <f>IFERROR(__xludf.DUMMYFUNCTION("""COMPUTED_VALUE"""),"")</f>
        <v/>
      </c>
      <c r="I251" s="51" t="str">
        <f>IFERROR(__xludf.DUMMYFUNCTION("""COMPUTED_VALUE"""),"#VALUE!")</f>
        <v>#VALUE!</v>
      </c>
      <c r="J251" s="51" t="str">
        <f>IFERROR(__xludf.DUMMYFUNCTION("""COMPUTED_VALUE"""),"")</f>
        <v/>
      </c>
      <c r="K251" s="51"/>
      <c r="L251" s="51" t="s">
        <v>257</v>
      </c>
      <c r="M251" s="51"/>
      <c r="N251" s="51"/>
      <c r="O251" s="51"/>
      <c r="P251" s="51"/>
      <c r="Q251" s="51"/>
      <c r="R251" s="51"/>
      <c r="S251" s="51"/>
      <c r="T251" s="51"/>
    </row>
    <row r="252">
      <c r="A252" s="51"/>
      <c r="B252" s="51"/>
      <c r="C252" s="56"/>
      <c r="D252" s="51"/>
      <c r="E252" s="51"/>
      <c r="F252" s="51"/>
      <c r="G252" s="51" t="str">
        <f>IFERROR(__xludf.DUMMYFUNCTION("""COMPUTED_VALUE"""),"#VALUE!")</f>
        <v>#VALUE!</v>
      </c>
      <c r="H252" s="51" t="str">
        <f>IFERROR(__xludf.DUMMYFUNCTION("""COMPUTED_VALUE"""),"")</f>
        <v/>
      </c>
      <c r="I252" s="51" t="str">
        <f>IFERROR(__xludf.DUMMYFUNCTION("""COMPUTED_VALUE"""),"#VALUE!")</f>
        <v>#VALUE!</v>
      </c>
      <c r="J252" s="51" t="str">
        <f>IFERROR(__xludf.DUMMYFUNCTION("""COMPUTED_VALUE"""),"")</f>
        <v/>
      </c>
      <c r="K252" s="51"/>
      <c r="L252" s="51" t="s">
        <v>257</v>
      </c>
      <c r="M252" s="51"/>
      <c r="N252" s="51"/>
      <c r="O252" s="51"/>
      <c r="P252" s="51"/>
      <c r="Q252" s="51"/>
      <c r="R252" s="51"/>
      <c r="S252" s="51"/>
      <c r="T252" s="51"/>
    </row>
    <row r="253">
      <c r="A253" s="51"/>
      <c r="B253" s="51"/>
      <c r="C253" s="56"/>
      <c r="D253" s="51"/>
      <c r="E253" s="51"/>
      <c r="F253" s="51"/>
      <c r="G253" s="51" t="str">
        <f>IFERROR(__xludf.DUMMYFUNCTION("""COMPUTED_VALUE"""),"#VALUE!")</f>
        <v>#VALUE!</v>
      </c>
      <c r="H253" s="51" t="str">
        <f>IFERROR(__xludf.DUMMYFUNCTION("""COMPUTED_VALUE"""),"")</f>
        <v/>
      </c>
      <c r="I253" s="51" t="str">
        <f>IFERROR(__xludf.DUMMYFUNCTION("""COMPUTED_VALUE"""),"#VALUE!")</f>
        <v>#VALUE!</v>
      </c>
      <c r="J253" s="51" t="str">
        <f>IFERROR(__xludf.DUMMYFUNCTION("""COMPUTED_VALUE"""),"")</f>
        <v/>
      </c>
      <c r="K253" s="51"/>
      <c r="L253" s="51" t="s">
        <v>257</v>
      </c>
      <c r="M253" s="51"/>
      <c r="N253" s="51"/>
      <c r="O253" s="51"/>
      <c r="P253" s="51"/>
      <c r="Q253" s="51"/>
      <c r="R253" s="51"/>
      <c r="S253" s="51"/>
      <c r="T253" s="51"/>
    </row>
    <row r="254">
      <c r="A254" s="51"/>
      <c r="B254" s="51"/>
      <c r="C254" s="56"/>
      <c r="D254" s="51"/>
      <c r="E254" s="51"/>
      <c r="F254" s="51"/>
      <c r="G254" s="51" t="str">
        <f>IFERROR(__xludf.DUMMYFUNCTION("""COMPUTED_VALUE"""),"#VALUE!")</f>
        <v>#VALUE!</v>
      </c>
      <c r="H254" s="51" t="str">
        <f>IFERROR(__xludf.DUMMYFUNCTION("""COMPUTED_VALUE"""),"")</f>
        <v/>
      </c>
      <c r="I254" s="51" t="str">
        <f>IFERROR(__xludf.DUMMYFUNCTION("""COMPUTED_VALUE"""),"#VALUE!")</f>
        <v>#VALUE!</v>
      </c>
      <c r="J254" s="51" t="str">
        <f>IFERROR(__xludf.DUMMYFUNCTION("""COMPUTED_VALUE"""),"")</f>
        <v/>
      </c>
      <c r="K254" s="51"/>
      <c r="L254" s="51" t="s">
        <v>257</v>
      </c>
      <c r="M254" s="51"/>
      <c r="N254" s="51"/>
      <c r="O254" s="51"/>
      <c r="P254" s="51"/>
      <c r="Q254" s="51"/>
      <c r="R254" s="51"/>
      <c r="S254" s="51"/>
      <c r="T254" s="51"/>
    </row>
    <row r="255">
      <c r="A255" s="51"/>
      <c r="B255" s="51"/>
      <c r="C255" s="56"/>
      <c r="D255" s="51"/>
      <c r="E255" s="51"/>
      <c r="F255" s="51"/>
      <c r="G255" s="51" t="str">
        <f>IFERROR(__xludf.DUMMYFUNCTION("""COMPUTED_VALUE"""),"#VALUE!")</f>
        <v>#VALUE!</v>
      </c>
      <c r="H255" s="51" t="str">
        <f>IFERROR(__xludf.DUMMYFUNCTION("""COMPUTED_VALUE"""),"")</f>
        <v/>
      </c>
      <c r="I255" s="51" t="str">
        <f>IFERROR(__xludf.DUMMYFUNCTION("""COMPUTED_VALUE"""),"#VALUE!")</f>
        <v>#VALUE!</v>
      </c>
      <c r="J255" s="51" t="str">
        <f>IFERROR(__xludf.DUMMYFUNCTION("""COMPUTED_VALUE"""),"")</f>
        <v/>
      </c>
      <c r="K255" s="51"/>
      <c r="L255" s="51" t="s">
        <v>257</v>
      </c>
      <c r="M255" s="51"/>
      <c r="N255" s="51"/>
      <c r="O255" s="51"/>
      <c r="P255" s="51"/>
      <c r="Q255" s="51"/>
      <c r="R255" s="51"/>
      <c r="S255" s="51"/>
      <c r="T255" s="51"/>
    </row>
    <row r="256">
      <c r="A256" s="51"/>
      <c r="B256" s="51"/>
      <c r="C256" s="56"/>
      <c r="D256" s="51"/>
      <c r="E256" s="51"/>
      <c r="F256" s="51"/>
      <c r="G256" s="51" t="str">
        <f>IFERROR(__xludf.DUMMYFUNCTION("""COMPUTED_VALUE"""),"#VALUE!")</f>
        <v>#VALUE!</v>
      </c>
      <c r="H256" s="51" t="str">
        <f>IFERROR(__xludf.DUMMYFUNCTION("""COMPUTED_VALUE"""),"")</f>
        <v/>
      </c>
      <c r="I256" s="51" t="str">
        <f>IFERROR(__xludf.DUMMYFUNCTION("""COMPUTED_VALUE"""),"#VALUE!")</f>
        <v>#VALUE!</v>
      </c>
      <c r="J256" s="51" t="str">
        <f>IFERROR(__xludf.DUMMYFUNCTION("""COMPUTED_VALUE"""),"")</f>
        <v/>
      </c>
      <c r="K256" s="51"/>
      <c r="L256" s="51" t="s">
        <v>257</v>
      </c>
      <c r="M256" s="51"/>
      <c r="N256" s="51"/>
      <c r="O256" s="51"/>
      <c r="P256" s="51"/>
      <c r="Q256" s="51"/>
      <c r="R256" s="51"/>
      <c r="S256" s="51"/>
      <c r="T256" s="51"/>
    </row>
    <row r="257">
      <c r="A257" s="51"/>
      <c r="B257" s="51"/>
      <c r="C257" s="56"/>
      <c r="D257" s="51"/>
      <c r="E257" s="51"/>
      <c r="F257" s="51"/>
      <c r="G257" s="51" t="str">
        <f>IFERROR(__xludf.DUMMYFUNCTION("""COMPUTED_VALUE"""),"#VALUE!")</f>
        <v>#VALUE!</v>
      </c>
      <c r="H257" s="51" t="str">
        <f>IFERROR(__xludf.DUMMYFUNCTION("""COMPUTED_VALUE"""),"")</f>
        <v/>
      </c>
      <c r="I257" s="51" t="str">
        <f>IFERROR(__xludf.DUMMYFUNCTION("""COMPUTED_VALUE"""),"#VALUE!")</f>
        <v>#VALUE!</v>
      </c>
      <c r="J257" s="51" t="str">
        <f>IFERROR(__xludf.DUMMYFUNCTION("""COMPUTED_VALUE"""),"")</f>
        <v/>
      </c>
      <c r="K257" s="51"/>
      <c r="L257" s="51" t="s">
        <v>257</v>
      </c>
      <c r="M257" s="51"/>
      <c r="N257" s="51"/>
      <c r="O257" s="51"/>
      <c r="P257" s="51"/>
      <c r="Q257" s="51"/>
      <c r="R257" s="51"/>
      <c r="S257" s="51"/>
      <c r="T257" s="51"/>
    </row>
    <row r="258">
      <c r="A258" s="51"/>
      <c r="B258" s="51"/>
      <c r="C258" s="56"/>
      <c r="D258" s="51"/>
      <c r="E258" s="51"/>
      <c r="F258" s="51"/>
      <c r="G258" s="51" t="str">
        <f>IFERROR(__xludf.DUMMYFUNCTION("""COMPUTED_VALUE"""),"#VALUE!")</f>
        <v>#VALUE!</v>
      </c>
      <c r="H258" s="51" t="str">
        <f>IFERROR(__xludf.DUMMYFUNCTION("""COMPUTED_VALUE"""),"")</f>
        <v/>
      </c>
      <c r="I258" s="51" t="str">
        <f>IFERROR(__xludf.DUMMYFUNCTION("""COMPUTED_VALUE"""),"#VALUE!")</f>
        <v>#VALUE!</v>
      </c>
      <c r="J258" s="51" t="str">
        <f>IFERROR(__xludf.DUMMYFUNCTION("""COMPUTED_VALUE"""),"")</f>
        <v/>
      </c>
      <c r="K258" s="51"/>
      <c r="L258" s="51" t="s">
        <v>257</v>
      </c>
      <c r="M258" s="51"/>
      <c r="N258" s="51"/>
      <c r="O258" s="51"/>
      <c r="P258" s="51"/>
      <c r="Q258" s="51"/>
      <c r="R258" s="51"/>
      <c r="S258" s="51"/>
      <c r="T258" s="51"/>
    </row>
    <row r="259">
      <c r="A259" s="51"/>
      <c r="B259" s="51"/>
      <c r="C259" s="56"/>
      <c r="D259" s="51"/>
      <c r="E259" s="51"/>
      <c r="F259" s="51"/>
      <c r="G259" s="51" t="str">
        <f>IFERROR(__xludf.DUMMYFUNCTION("""COMPUTED_VALUE"""),"#VALUE!")</f>
        <v>#VALUE!</v>
      </c>
      <c r="H259" s="51" t="str">
        <f>IFERROR(__xludf.DUMMYFUNCTION("""COMPUTED_VALUE"""),"")</f>
        <v/>
      </c>
      <c r="I259" s="51" t="str">
        <f>IFERROR(__xludf.DUMMYFUNCTION("""COMPUTED_VALUE"""),"#VALUE!")</f>
        <v>#VALUE!</v>
      </c>
      <c r="J259" s="51" t="str">
        <f>IFERROR(__xludf.DUMMYFUNCTION("""COMPUTED_VALUE"""),"")</f>
        <v/>
      </c>
      <c r="K259" s="51"/>
      <c r="L259" s="51" t="s">
        <v>257</v>
      </c>
      <c r="M259" s="51"/>
      <c r="N259" s="51"/>
      <c r="O259" s="51"/>
      <c r="P259" s="51"/>
      <c r="Q259" s="51"/>
      <c r="R259" s="51"/>
      <c r="S259" s="51"/>
      <c r="T259" s="51"/>
    </row>
    <row r="260">
      <c r="A260" s="51"/>
      <c r="B260" s="51"/>
      <c r="C260" s="56"/>
      <c r="D260" s="51"/>
      <c r="E260" s="51"/>
      <c r="F260" s="51"/>
      <c r="G260" s="51" t="str">
        <f>IFERROR(__xludf.DUMMYFUNCTION("""COMPUTED_VALUE"""),"#VALUE!")</f>
        <v>#VALUE!</v>
      </c>
      <c r="H260" s="51" t="str">
        <f>IFERROR(__xludf.DUMMYFUNCTION("""COMPUTED_VALUE"""),"")</f>
        <v/>
      </c>
      <c r="I260" s="51" t="str">
        <f>IFERROR(__xludf.DUMMYFUNCTION("""COMPUTED_VALUE"""),"#VALUE!")</f>
        <v>#VALUE!</v>
      </c>
      <c r="J260" s="51" t="str">
        <f>IFERROR(__xludf.DUMMYFUNCTION("""COMPUTED_VALUE"""),"")</f>
        <v/>
      </c>
      <c r="K260" s="51"/>
      <c r="L260" s="51" t="s">
        <v>257</v>
      </c>
      <c r="M260" s="51"/>
      <c r="N260" s="51"/>
      <c r="O260" s="51"/>
      <c r="P260" s="51"/>
      <c r="Q260" s="51"/>
      <c r="R260" s="51"/>
      <c r="S260" s="51"/>
      <c r="T260" s="51"/>
    </row>
    <row r="261">
      <c r="A261" s="51"/>
      <c r="B261" s="51"/>
      <c r="C261" s="56"/>
      <c r="D261" s="51"/>
      <c r="E261" s="51"/>
      <c r="F261" s="51"/>
      <c r="G261" s="51" t="str">
        <f>IFERROR(__xludf.DUMMYFUNCTION("""COMPUTED_VALUE"""),"#VALUE!")</f>
        <v>#VALUE!</v>
      </c>
      <c r="H261" s="51" t="str">
        <f>IFERROR(__xludf.DUMMYFUNCTION("""COMPUTED_VALUE"""),"")</f>
        <v/>
      </c>
      <c r="I261" s="51" t="str">
        <f>IFERROR(__xludf.DUMMYFUNCTION("""COMPUTED_VALUE"""),"#VALUE!")</f>
        <v>#VALUE!</v>
      </c>
      <c r="J261" s="51" t="str">
        <f>IFERROR(__xludf.DUMMYFUNCTION("""COMPUTED_VALUE"""),"")</f>
        <v/>
      </c>
      <c r="K261" s="51"/>
      <c r="L261" s="51" t="s">
        <v>257</v>
      </c>
      <c r="M261" s="51"/>
      <c r="N261" s="51"/>
      <c r="O261" s="51"/>
      <c r="P261" s="51"/>
      <c r="Q261" s="51"/>
      <c r="R261" s="51"/>
      <c r="S261" s="51"/>
      <c r="T261" s="51"/>
    </row>
    <row r="262">
      <c r="A262" s="51"/>
      <c r="B262" s="51"/>
      <c r="C262" s="56"/>
      <c r="D262" s="51"/>
      <c r="E262" s="51"/>
      <c r="F262" s="51"/>
      <c r="G262" s="51" t="str">
        <f>IFERROR(__xludf.DUMMYFUNCTION("""COMPUTED_VALUE"""),"#VALUE!")</f>
        <v>#VALUE!</v>
      </c>
      <c r="H262" s="51" t="str">
        <f>IFERROR(__xludf.DUMMYFUNCTION("""COMPUTED_VALUE"""),"")</f>
        <v/>
      </c>
      <c r="I262" s="51" t="str">
        <f>IFERROR(__xludf.DUMMYFUNCTION("""COMPUTED_VALUE"""),"#VALUE!")</f>
        <v>#VALUE!</v>
      </c>
      <c r="J262" s="51" t="str">
        <f>IFERROR(__xludf.DUMMYFUNCTION("""COMPUTED_VALUE"""),"")</f>
        <v/>
      </c>
      <c r="K262" s="51"/>
      <c r="L262" s="51" t="s">
        <v>257</v>
      </c>
      <c r="M262" s="51"/>
      <c r="N262" s="51"/>
      <c r="O262" s="51"/>
      <c r="P262" s="51"/>
      <c r="Q262" s="51"/>
      <c r="R262" s="51"/>
      <c r="S262" s="51"/>
      <c r="T262" s="51"/>
    </row>
    <row r="263">
      <c r="A263" s="51"/>
      <c r="B263" s="51"/>
      <c r="C263" s="56"/>
      <c r="D263" s="51"/>
      <c r="E263" s="51"/>
      <c r="F263" s="51"/>
      <c r="G263" s="51" t="str">
        <f>IFERROR(__xludf.DUMMYFUNCTION("""COMPUTED_VALUE"""),"#VALUE!")</f>
        <v>#VALUE!</v>
      </c>
      <c r="H263" s="51" t="str">
        <f>IFERROR(__xludf.DUMMYFUNCTION("""COMPUTED_VALUE"""),"")</f>
        <v/>
      </c>
      <c r="I263" s="51" t="str">
        <f>IFERROR(__xludf.DUMMYFUNCTION("""COMPUTED_VALUE"""),"#VALUE!")</f>
        <v>#VALUE!</v>
      </c>
      <c r="J263" s="51" t="str">
        <f>IFERROR(__xludf.DUMMYFUNCTION("""COMPUTED_VALUE"""),"")</f>
        <v/>
      </c>
      <c r="K263" s="51"/>
      <c r="L263" s="51" t="s">
        <v>257</v>
      </c>
      <c r="M263" s="51"/>
      <c r="N263" s="51"/>
      <c r="O263" s="51"/>
      <c r="P263" s="51"/>
      <c r="Q263" s="51"/>
      <c r="R263" s="51"/>
      <c r="S263" s="51"/>
      <c r="T263" s="51"/>
    </row>
    <row r="264">
      <c r="A264" s="51"/>
      <c r="B264" s="51"/>
      <c r="C264" s="56"/>
      <c r="D264" s="51"/>
      <c r="E264" s="51"/>
      <c r="F264" s="51"/>
      <c r="G264" s="51" t="str">
        <f>IFERROR(__xludf.DUMMYFUNCTION("""COMPUTED_VALUE"""),"#VALUE!")</f>
        <v>#VALUE!</v>
      </c>
      <c r="H264" s="51" t="str">
        <f>IFERROR(__xludf.DUMMYFUNCTION("""COMPUTED_VALUE"""),"")</f>
        <v/>
      </c>
      <c r="I264" s="51" t="str">
        <f>IFERROR(__xludf.DUMMYFUNCTION("""COMPUTED_VALUE"""),"#VALUE!")</f>
        <v>#VALUE!</v>
      </c>
      <c r="J264" s="51" t="str">
        <f>IFERROR(__xludf.DUMMYFUNCTION("""COMPUTED_VALUE"""),"")</f>
        <v/>
      </c>
      <c r="K264" s="51"/>
      <c r="L264" s="51" t="s">
        <v>257</v>
      </c>
      <c r="M264" s="51"/>
      <c r="N264" s="51"/>
      <c r="O264" s="51"/>
      <c r="P264" s="51"/>
      <c r="Q264" s="51"/>
      <c r="R264" s="51"/>
      <c r="S264" s="51"/>
      <c r="T264" s="51"/>
    </row>
    <row r="265">
      <c r="A265" s="51"/>
      <c r="B265" s="51"/>
      <c r="C265" s="56"/>
      <c r="D265" s="51"/>
      <c r="E265" s="51"/>
      <c r="F265" s="51"/>
      <c r="G265" s="51" t="str">
        <f>IFERROR(__xludf.DUMMYFUNCTION("""COMPUTED_VALUE"""),"#VALUE!")</f>
        <v>#VALUE!</v>
      </c>
      <c r="H265" s="51" t="str">
        <f>IFERROR(__xludf.DUMMYFUNCTION("""COMPUTED_VALUE"""),"")</f>
        <v/>
      </c>
      <c r="I265" s="51" t="str">
        <f>IFERROR(__xludf.DUMMYFUNCTION("""COMPUTED_VALUE"""),"#VALUE!")</f>
        <v>#VALUE!</v>
      </c>
      <c r="J265" s="51" t="str">
        <f>IFERROR(__xludf.DUMMYFUNCTION("""COMPUTED_VALUE"""),"")</f>
        <v/>
      </c>
      <c r="K265" s="51"/>
      <c r="L265" s="51" t="s">
        <v>257</v>
      </c>
      <c r="M265" s="51"/>
      <c r="N265" s="51"/>
      <c r="O265" s="51"/>
      <c r="P265" s="51"/>
      <c r="Q265" s="51"/>
      <c r="R265" s="51"/>
      <c r="S265" s="51"/>
      <c r="T265" s="51"/>
    </row>
    <row r="266">
      <c r="A266" s="51"/>
      <c r="B266" s="51"/>
      <c r="C266" s="56"/>
      <c r="D266" s="51"/>
      <c r="E266" s="51"/>
      <c r="F266" s="51"/>
      <c r="G266" s="51" t="str">
        <f>IFERROR(__xludf.DUMMYFUNCTION("""COMPUTED_VALUE"""),"#VALUE!")</f>
        <v>#VALUE!</v>
      </c>
      <c r="H266" s="51" t="str">
        <f>IFERROR(__xludf.DUMMYFUNCTION("""COMPUTED_VALUE"""),"")</f>
        <v/>
      </c>
      <c r="I266" s="51" t="str">
        <f>IFERROR(__xludf.DUMMYFUNCTION("""COMPUTED_VALUE"""),"#VALUE!")</f>
        <v>#VALUE!</v>
      </c>
      <c r="J266" s="51" t="str">
        <f>IFERROR(__xludf.DUMMYFUNCTION("""COMPUTED_VALUE"""),"")</f>
        <v/>
      </c>
      <c r="K266" s="51"/>
      <c r="L266" s="51" t="s">
        <v>257</v>
      </c>
      <c r="M266" s="51"/>
      <c r="N266" s="51"/>
      <c r="O266" s="51"/>
      <c r="P266" s="51"/>
      <c r="Q266" s="51"/>
      <c r="R266" s="51"/>
      <c r="S266" s="51"/>
      <c r="T266" s="51"/>
    </row>
    <row r="267">
      <c r="A267" s="51"/>
      <c r="B267" s="51"/>
      <c r="C267" s="56"/>
      <c r="D267" s="51"/>
      <c r="E267" s="51"/>
      <c r="F267" s="51"/>
      <c r="G267" s="51" t="str">
        <f>IFERROR(__xludf.DUMMYFUNCTION("""COMPUTED_VALUE"""),"#VALUE!")</f>
        <v>#VALUE!</v>
      </c>
      <c r="H267" s="51" t="str">
        <f>IFERROR(__xludf.DUMMYFUNCTION("""COMPUTED_VALUE"""),"")</f>
        <v/>
      </c>
      <c r="I267" s="51" t="str">
        <f>IFERROR(__xludf.DUMMYFUNCTION("""COMPUTED_VALUE"""),"#VALUE!")</f>
        <v>#VALUE!</v>
      </c>
      <c r="J267" s="51" t="str">
        <f>IFERROR(__xludf.DUMMYFUNCTION("""COMPUTED_VALUE"""),"")</f>
        <v/>
      </c>
      <c r="K267" s="51"/>
      <c r="L267" s="51" t="s">
        <v>257</v>
      </c>
      <c r="M267" s="51"/>
      <c r="N267" s="51"/>
      <c r="O267" s="51"/>
      <c r="P267" s="51"/>
      <c r="Q267" s="51"/>
      <c r="R267" s="51"/>
      <c r="S267" s="51"/>
      <c r="T267" s="51"/>
    </row>
    <row r="268">
      <c r="A268" s="51"/>
      <c r="B268" s="51"/>
      <c r="C268" s="56"/>
      <c r="D268" s="51"/>
      <c r="E268" s="51"/>
      <c r="F268" s="51"/>
      <c r="G268" s="51" t="str">
        <f>IFERROR(__xludf.DUMMYFUNCTION("""COMPUTED_VALUE"""),"#VALUE!")</f>
        <v>#VALUE!</v>
      </c>
      <c r="H268" s="51" t="str">
        <f>IFERROR(__xludf.DUMMYFUNCTION("""COMPUTED_VALUE"""),"")</f>
        <v/>
      </c>
      <c r="I268" s="51" t="str">
        <f>IFERROR(__xludf.DUMMYFUNCTION("""COMPUTED_VALUE"""),"#VALUE!")</f>
        <v>#VALUE!</v>
      </c>
      <c r="J268" s="51" t="str">
        <f>IFERROR(__xludf.DUMMYFUNCTION("""COMPUTED_VALUE"""),"")</f>
        <v/>
      </c>
      <c r="K268" s="51"/>
      <c r="L268" s="51" t="s">
        <v>257</v>
      </c>
      <c r="M268" s="51"/>
      <c r="N268" s="51"/>
      <c r="O268" s="51"/>
      <c r="P268" s="51"/>
      <c r="Q268" s="51"/>
      <c r="R268" s="51"/>
      <c r="S268" s="51"/>
      <c r="T268" s="51"/>
    </row>
    <row r="269">
      <c r="A269" s="51"/>
      <c r="B269" s="51"/>
      <c r="C269" s="56"/>
      <c r="D269" s="51"/>
      <c r="E269" s="51"/>
      <c r="F269" s="51"/>
      <c r="G269" s="51" t="str">
        <f>IFERROR(__xludf.DUMMYFUNCTION("""COMPUTED_VALUE"""),"#VALUE!")</f>
        <v>#VALUE!</v>
      </c>
      <c r="H269" s="51" t="str">
        <f>IFERROR(__xludf.DUMMYFUNCTION("""COMPUTED_VALUE"""),"")</f>
        <v/>
      </c>
      <c r="I269" s="51" t="str">
        <f>IFERROR(__xludf.DUMMYFUNCTION("""COMPUTED_VALUE"""),"#VALUE!")</f>
        <v>#VALUE!</v>
      </c>
      <c r="J269" s="51" t="str">
        <f>IFERROR(__xludf.DUMMYFUNCTION("""COMPUTED_VALUE"""),"")</f>
        <v/>
      </c>
      <c r="K269" s="51"/>
      <c r="L269" s="51" t="s">
        <v>257</v>
      </c>
      <c r="M269" s="51"/>
      <c r="N269" s="51"/>
      <c r="O269" s="51"/>
      <c r="P269" s="51"/>
      <c r="Q269" s="51"/>
      <c r="R269" s="51"/>
      <c r="S269" s="51"/>
      <c r="T269" s="51"/>
    </row>
    <row r="270">
      <c r="A270" s="51"/>
      <c r="B270" s="51"/>
      <c r="C270" s="56"/>
      <c r="D270" s="51"/>
      <c r="E270" s="51"/>
      <c r="F270" s="51"/>
      <c r="G270" s="51" t="str">
        <f>IFERROR(__xludf.DUMMYFUNCTION("""COMPUTED_VALUE"""),"#VALUE!")</f>
        <v>#VALUE!</v>
      </c>
      <c r="H270" s="51" t="str">
        <f>IFERROR(__xludf.DUMMYFUNCTION("""COMPUTED_VALUE"""),"")</f>
        <v/>
      </c>
      <c r="I270" s="51" t="str">
        <f>IFERROR(__xludf.DUMMYFUNCTION("""COMPUTED_VALUE"""),"#VALUE!")</f>
        <v>#VALUE!</v>
      </c>
      <c r="J270" s="51" t="str">
        <f>IFERROR(__xludf.DUMMYFUNCTION("""COMPUTED_VALUE"""),"")</f>
        <v/>
      </c>
      <c r="K270" s="51"/>
      <c r="L270" s="51" t="s">
        <v>257</v>
      </c>
      <c r="M270" s="51"/>
      <c r="N270" s="51"/>
      <c r="O270" s="51"/>
      <c r="P270" s="51"/>
      <c r="Q270" s="51"/>
      <c r="R270" s="51"/>
      <c r="S270" s="51"/>
      <c r="T270" s="51"/>
    </row>
    <row r="271">
      <c r="A271" s="51"/>
      <c r="B271" s="51"/>
      <c r="C271" s="56"/>
      <c r="D271" s="51"/>
      <c r="E271" s="51"/>
      <c r="F271" s="51"/>
      <c r="G271" s="51" t="str">
        <f>IFERROR(__xludf.DUMMYFUNCTION("""COMPUTED_VALUE"""),"#VALUE!")</f>
        <v>#VALUE!</v>
      </c>
      <c r="H271" s="51" t="str">
        <f>IFERROR(__xludf.DUMMYFUNCTION("""COMPUTED_VALUE"""),"")</f>
        <v/>
      </c>
      <c r="I271" s="51" t="str">
        <f>IFERROR(__xludf.DUMMYFUNCTION("""COMPUTED_VALUE"""),"#VALUE!")</f>
        <v>#VALUE!</v>
      </c>
      <c r="J271" s="51" t="str">
        <f>IFERROR(__xludf.DUMMYFUNCTION("""COMPUTED_VALUE"""),"")</f>
        <v/>
      </c>
      <c r="K271" s="51"/>
      <c r="L271" s="51" t="s">
        <v>257</v>
      </c>
      <c r="M271" s="51"/>
      <c r="N271" s="51"/>
      <c r="O271" s="51"/>
      <c r="P271" s="51"/>
      <c r="Q271" s="51"/>
      <c r="R271" s="51"/>
      <c r="S271" s="51"/>
      <c r="T271" s="51"/>
    </row>
    <row r="272">
      <c r="A272" s="51"/>
      <c r="B272" s="51"/>
      <c r="C272" s="56"/>
      <c r="D272" s="51"/>
      <c r="E272" s="51"/>
      <c r="F272" s="51"/>
      <c r="G272" s="51" t="str">
        <f>IFERROR(__xludf.DUMMYFUNCTION("""COMPUTED_VALUE"""),"#VALUE!")</f>
        <v>#VALUE!</v>
      </c>
      <c r="H272" s="51" t="str">
        <f>IFERROR(__xludf.DUMMYFUNCTION("""COMPUTED_VALUE"""),"")</f>
        <v/>
      </c>
      <c r="I272" s="51" t="str">
        <f>IFERROR(__xludf.DUMMYFUNCTION("""COMPUTED_VALUE"""),"#VALUE!")</f>
        <v>#VALUE!</v>
      </c>
      <c r="J272" s="51" t="str">
        <f>IFERROR(__xludf.DUMMYFUNCTION("""COMPUTED_VALUE"""),"")</f>
        <v/>
      </c>
      <c r="K272" s="51"/>
      <c r="L272" s="51" t="s">
        <v>257</v>
      </c>
      <c r="M272" s="51"/>
      <c r="N272" s="51"/>
      <c r="O272" s="51"/>
      <c r="P272" s="51"/>
      <c r="Q272" s="51"/>
      <c r="R272" s="51"/>
      <c r="S272" s="51"/>
      <c r="T272" s="51"/>
    </row>
    <row r="273">
      <c r="A273" s="51"/>
      <c r="B273" s="51"/>
      <c r="C273" s="56"/>
      <c r="D273" s="51"/>
      <c r="E273" s="51"/>
      <c r="F273" s="51"/>
      <c r="G273" s="51" t="str">
        <f>IFERROR(__xludf.DUMMYFUNCTION("""COMPUTED_VALUE"""),"#VALUE!")</f>
        <v>#VALUE!</v>
      </c>
      <c r="H273" s="51" t="str">
        <f>IFERROR(__xludf.DUMMYFUNCTION("""COMPUTED_VALUE"""),"")</f>
        <v/>
      </c>
      <c r="I273" s="51" t="str">
        <f>IFERROR(__xludf.DUMMYFUNCTION("""COMPUTED_VALUE"""),"#VALUE!")</f>
        <v>#VALUE!</v>
      </c>
      <c r="J273" s="51" t="str">
        <f>IFERROR(__xludf.DUMMYFUNCTION("""COMPUTED_VALUE"""),"")</f>
        <v/>
      </c>
      <c r="K273" s="51"/>
      <c r="L273" s="51" t="s">
        <v>257</v>
      </c>
      <c r="M273" s="51"/>
      <c r="N273" s="51"/>
      <c r="O273" s="51"/>
      <c r="P273" s="51"/>
      <c r="Q273" s="51"/>
      <c r="R273" s="51"/>
      <c r="S273" s="51"/>
      <c r="T273" s="51"/>
    </row>
    <row r="274">
      <c r="A274" s="51"/>
      <c r="B274" s="51"/>
      <c r="C274" s="56"/>
      <c r="D274" s="51"/>
      <c r="E274" s="51"/>
      <c r="F274" s="51"/>
      <c r="G274" s="51" t="str">
        <f>IFERROR(__xludf.DUMMYFUNCTION("""COMPUTED_VALUE"""),"#VALUE!")</f>
        <v>#VALUE!</v>
      </c>
      <c r="H274" s="51" t="str">
        <f>IFERROR(__xludf.DUMMYFUNCTION("""COMPUTED_VALUE"""),"")</f>
        <v/>
      </c>
      <c r="I274" s="51" t="str">
        <f>IFERROR(__xludf.DUMMYFUNCTION("""COMPUTED_VALUE"""),"#VALUE!")</f>
        <v>#VALUE!</v>
      </c>
      <c r="J274" s="51" t="str">
        <f>IFERROR(__xludf.DUMMYFUNCTION("""COMPUTED_VALUE"""),"")</f>
        <v/>
      </c>
      <c r="K274" s="51"/>
      <c r="L274" s="51" t="s">
        <v>257</v>
      </c>
      <c r="M274" s="51"/>
      <c r="N274" s="51"/>
      <c r="O274" s="51"/>
      <c r="P274" s="51"/>
      <c r="Q274" s="51"/>
      <c r="R274" s="51"/>
      <c r="S274" s="51"/>
      <c r="T274" s="51"/>
    </row>
    <row r="275">
      <c r="A275" s="51"/>
      <c r="B275" s="51"/>
      <c r="C275" s="56"/>
      <c r="D275" s="51"/>
      <c r="E275" s="51"/>
      <c r="F275" s="51"/>
      <c r="G275" s="51" t="str">
        <f>IFERROR(__xludf.DUMMYFUNCTION("""COMPUTED_VALUE"""),"#VALUE!")</f>
        <v>#VALUE!</v>
      </c>
      <c r="H275" s="51" t="str">
        <f>IFERROR(__xludf.DUMMYFUNCTION("""COMPUTED_VALUE"""),"")</f>
        <v/>
      </c>
      <c r="I275" s="51" t="str">
        <f>IFERROR(__xludf.DUMMYFUNCTION("""COMPUTED_VALUE"""),"#VALUE!")</f>
        <v>#VALUE!</v>
      </c>
      <c r="J275" s="51" t="str">
        <f>IFERROR(__xludf.DUMMYFUNCTION("""COMPUTED_VALUE"""),"")</f>
        <v/>
      </c>
      <c r="K275" s="51"/>
      <c r="L275" s="51" t="s">
        <v>257</v>
      </c>
      <c r="M275" s="51"/>
      <c r="N275" s="51"/>
      <c r="O275" s="51"/>
      <c r="P275" s="51"/>
      <c r="Q275" s="51"/>
      <c r="R275" s="51"/>
      <c r="S275" s="51"/>
      <c r="T275" s="51"/>
    </row>
    <row r="276">
      <c r="A276" s="51"/>
      <c r="B276" s="51"/>
      <c r="C276" s="56"/>
      <c r="D276" s="51"/>
      <c r="E276" s="51"/>
      <c r="F276" s="51"/>
      <c r="G276" s="51" t="str">
        <f>IFERROR(__xludf.DUMMYFUNCTION("""COMPUTED_VALUE"""),"#VALUE!")</f>
        <v>#VALUE!</v>
      </c>
      <c r="H276" s="51" t="str">
        <f>IFERROR(__xludf.DUMMYFUNCTION("""COMPUTED_VALUE"""),"")</f>
        <v/>
      </c>
      <c r="I276" s="51" t="str">
        <f>IFERROR(__xludf.DUMMYFUNCTION("""COMPUTED_VALUE"""),"#VALUE!")</f>
        <v>#VALUE!</v>
      </c>
      <c r="J276" s="51" t="str">
        <f>IFERROR(__xludf.DUMMYFUNCTION("""COMPUTED_VALUE"""),"")</f>
        <v/>
      </c>
      <c r="K276" s="51"/>
      <c r="L276" s="51" t="s">
        <v>257</v>
      </c>
      <c r="M276" s="51"/>
      <c r="N276" s="51"/>
      <c r="O276" s="51"/>
      <c r="P276" s="51"/>
      <c r="Q276" s="51"/>
      <c r="R276" s="51"/>
      <c r="S276" s="51"/>
      <c r="T276" s="51"/>
    </row>
    <row r="277">
      <c r="A277" s="51"/>
      <c r="B277" s="51"/>
      <c r="C277" s="56"/>
      <c r="D277" s="51"/>
      <c r="E277" s="51"/>
      <c r="F277" s="51"/>
      <c r="G277" s="51" t="str">
        <f>IFERROR(__xludf.DUMMYFUNCTION("""COMPUTED_VALUE"""),"#VALUE!")</f>
        <v>#VALUE!</v>
      </c>
      <c r="H277" s="51" t="str">
        <f>IFERROR(__xludf.DUMMYFUNCTION("""COMPUTED_VALUE"""),"")</f>
        <v/>
      </c>
      <c r="I277" s="51" t="str">
        <f>IFERROR(__xludf.DUMMYFUNCTION("""COMPUTED_VALUE"""),"#VALUE!")</f>
        <v>#VALUE!</v>
      </c>
      <c r="J277" s="51" t="str">
        <f>IFERROR(__xludf.DUMMYFUNCTION("""COMPUTED_VALUE"""),"")</f>
        <v/>
      </c>
      <c r="K277" s="51"/>
      <c r="L277" s="51" t="s">
        <v>257</v>
      </c>
      <c r="M277" s="51"/>
      <c r="N277" s="51"/>
      <c r="O277" s="51"/>
      <c r="P277" s="51"/>
      <c r="Q277" s="51"/>
      <c r="R277" s="51"/>
      <c r="S277" s="51"/>
      <c r="T277" s="51"/>
    </row>
    <row r="278">
      <c r="A278" s="51"/>
      <c r="B278" s="51"/>
      <c r="C278" s="56"/>
      <c r="D278" s="51"/>
      <c r="E278" s="51"/>
      <c r="F278" s="51"/>
      <c r="G278" s="51" t="str">
        <f>IFERROR(__xludf.DUMMYFUNCTION("""COMPUTED_VALUE"""),"#VALUE!")</f>
        <v>#VALUE!</v>
      </c>
      <c r="H278" s="51" t="str">
        <f>IFERROR(__xludf.DUMMYFUNCTION("""COMPUTED_VALUE"""),"")</f>
        <v/>
      </c>
      <c r="I278" s="51" t="str">
        <f>IFERROR(__xludf.DUMMYFUNCTION("""COMPUTED_VALUE"""),"#VALUE!")</f>
        <v>#VALUE!</v>
      </c>
      <c r="J278" s="51" t="str">
        <f>IFERROR(__xludf.DUMMYFUNCTION("""COMPUTED_VALUE"""),"")</f>
        <v/>
      </c>
      <c r="K278" s="51"/>
      <c r="L278" s="51" t="s">
        <v>257</v>
      </c>
      <c r="M278" s="51"/>
      <c r="N278" s="51"/>
      <c r="O278" s="51"/>
      <c r="P278" s="51"/>
      <c r="Q278" s="51"/>
      <c r="R278" s="51"/>
      <c r="S278" s="51"/>
      <c r="T278" s="51"/>
    </row>
    <row r="279">
      <c r="A279" s="51"/>
      <c r="B279" s="51"/>
      <c r="C279" s="56"/>
      <c r="D279" s="51"/>
      <c r="E279" s="51"/>
      <c r="F279" s="51"/>
      <c r="G279" s="51" t="str">
        <f>IFERROR(__xludf.DUMMYFUNCTION("""COMPUTED_VALUE"""),"#VALUE!")</f>
        <v>#VALUE!</v>
      </c>
      <c r="H279" s="51" t="str">
        <f>IFERROR(__xludf.DUMMYFUNCTION("""COMPUTED_VALUE"""),"")</f>
        <v/>
      </c>
      <c r="I279" s="51" t="str">
        <f>IFERROR(__xludf.DUMMYFUNCTION("""COMPUTED_VALUE"""),"#VALUE!")</f>
        <v>#VALUE!</v>
      </c>
      <c r="J279" s="51" t="str">
        <f>IFERROR(__xludf.DUMMYFUNCTION("""COMPUTED_VALUE"""),"")</f>
        <v/>
      </c>
      <c r="K279" s="51"/>
      <c r="L279" s="51" t="s">
        <v>257</v>
      </c>
      <c r="M279" s="51"/>
      <c r="N279" s="51"/>
      <c r="O279" s="51"/>
      <c r="P279" s="51"/>
      <c r="Q279" s="51"/>
      <c r="R279" s="51"/>
      <c r="S279" s="51"/>
      <c r="T279" s="51"/>
    </row>
    <row r="280">
      <c r="A280" s="51"/>
      <c r="B280" s="51"/>
      <c r="C280" s="56"/>
      <c r="D280" s="51"/>
      <c r="E280" s="51"/>
      <c r="F280" s="51"/>
      <c r="G280" s="51" t="str">
        <f>IFERROR(__xludf.DUMMYFUNCTION("""COMPUTED_VALUE"""),"#VALUE!")</f>
        <v>#VALUE!</v>
      </c>
      <c r="H280" s="51" t="str">
        <f>IFERROR(__xludf.DUMMYFUNCTION("""COMPUTED_VALUE"""),"")</f>
        <v/>
      </c>
      <c r="I280" s="51" t="str">
        <f>IFERROR(__xludf.DUMMYFUNCTION("""COMPUTED_VALUE"""),"#VALUE!")</f>
        <v>#VALUE!</v>
      </c>
      <c r="J280" s="51" t="str">
        <f>IFERROR(__xludf.DUMMYFUNCTION("""COMPUTED_VALUE"""),"")</f>
        <v/>
      </c>
      <c r="K280" s="51"/>
      <c r="L280" s="51" t="s">
        <v>257</v>
      </c>
      <c r="M280" s="51"/>
      <c r="N280" s="51"/>
      <c r="O280" s="51"/>
      <c r="P280" s="51"/>
      <c r="Q280" s="51"/>
      <c r="R280" s="51"/>
      <c r="S280" s="51"/>
      <c r="T280" s="51"/>
    </row>
    <row r="281">
      <c r="A281" s="51"/>
      <c r="B281" s="51"/>
      <c r="C281" s="56"/>
      <c r="D281" s="51"/>
      <c r="E281" s="51"/>
      <c r="F281" s="51"/>
      <c r="G281" s="51" t="str">
        <f>IFERROR(__xludf.DUMMYFUNCTION("""COMPUTED_VALUE"""),"#VALUE!")</f>
        <v>#VALUE!</v>
      </c>
      <c r="H281" s="51" t="str">
        <f>IFERROR(__xludf.DUMMYFUNCTION("""COMPUTED_VALUE"""),"")</f>
        <v/>
      </c>
      <c r="I281" s="51" t="str">
        <f>IFERROR(__xludf.DUMMYFUNCTION("""COMPUTED_VALUE"""),"#VALUE!")</f>
        <v>#VALUE!</v>
      </c>
      <c r="J281" s="51" t="str">
        <f>IFERROR(__xludf.DUMMYFUNCTION("""COMPUTED_VALUE"""),"")</f>
        <v/>
      </c>
      <c r="K281" s="51"/>
      <c r="L281" s="51" t="s">
        <v>257</v>
      </c>
      <c r="M281" s="51"/>
      <c r="N281" s="51"/>
      <c r="O281" s="51"/>
      <c r="P281" s="51"/>
      <c r="Q281" s="51"/>
      <c r="R281" s="51"/>
      <c r="S281" s="51"/>
      <c r="T281" s="51"/>
    </row>
    <row r="282">
      <c r="A282" s="51"/>
      <c r="B282" s="51"/>
      <c r="C282" s="56"/>
      <c r="D282" s="51"/>
      <c r="E282" s="51"/>
      <c r="F282" s="51"/>
      <c r="G282" s="51" t="str">
        <f>IFERROR(__xludf.DUMMYFUNCTION("""COMPUTED_VALUE"""),"#VALUE!")</f>
        <v>#VALUE!</v>
      </c>
      <c r="H282" s="51" t="str">
        <f>IFERROR(__xludf.DUMMYFUNCTION("""COMPUTED_VALUE"""),"")</f>
        <v/>
      </c>
      <c r="I282" s="51" t="str">
        <f>IFERROR(__xludf.DUMMYFUNCTION("""COMPUTED_VALUE"""),"#VALUE!")</f>
        <v>#VALUE!</v>
      </c>
      <c r="J282" s="51" t="str">
        <f>IFERROR(__xludf.DUMMYFUNCTION("""COMPUTED_VALUE"""),"")</f>
        <v/>
      </c>
      <c r="K282" s="51"/>
      <c r="L282" s="51" t="s">
        <v>257</v>
      </c>
      <c r="M282" s="51"/>
      <c r="N282" s="51"/>
      <c r="O282" s="51"/>
      <c r="P282" s="51"/>
      <c r="Q282" s="51"/>
      <c r="R282" s="51"/>
      <c r="S282" s="51"/>
      <c r="T282" s="51"/>
    </row>
    <row r="283">
      <c r="A283" s="51"/>
      <c r="B283" s="51"/>
      <c r="C283" s="56"/>
      <c r="D283" s="51"/>
      <c r="E283" s="51"/>
      <c r="F283" s="51"/>
      <c r="G283" s="51" t="str">
        <f>IFERROR(__xludf.DUMMYFUNCTION("""COMPUTED_VALUE"""),"#VALUE!")</f>
        <v>#VALUE!</v>
      </c>
      <c r="H283" s="51" t="str">
        <f>IFERROR(__xludf.DUMMYFUNCTION("""COMPUTED_VALUE"""),"")</f>
        <v/>
      </c>
      <c r="I283" s="51" t="str">
        <f>IFERROR(__xludf.DUMMYFUNCTION("""COMPUTED_VALUE"""),"#VALUE!")</f>
        <v>#VALUE!</v>
      </c>
      <c r="J283" s="51" t="str">
        <f>IFERROR(__xludf.DUMMYFUNCTION("""COMPUTED_VALUE"""),"")</f>
        <v/>
      </c>
      <c r="K283" s="51"/>
      <c r="L283" s="51" t="s">
        <v>257</v>
      </c>
      <c r="M283" s="51"/>
      <c r="N283" s="51"/>
      <c r="O283" s="51"/>
      <c r="P283" s="51"/>
      <c r="Q283" s="51"/>
      <c r="R283" s="51"/>
      <c r="S283" s="51"/>
      <c r="T283" s="51"/>
    </row>
    <row r="284">
      <c r="A284" s="51"/>
      <c r="B284" s="51"/>
      <c r="C284" s="56"/>
      <c r="D284" s="51"/>
      <c r="E284" s="51"/>
      <c r="F284" s="51"/>
      <c r="G284" s="51" t="str">
        <f>IFERROR(__xludf.DUMMYFUNCTION("""COMPUTED_VALUE"""),"#VALUE!")</f>
        <v>#VALUE!</v>
      </c>
      <c r="H284" s="51" t="str">
        <f>IFERROR(__xludf.DUMMYFUNCTION("""COMPUTED_VALUE"""),"")</f>
        <v/>
      </c>
      <c r="I284" s="51" t="str">
        <f>IFERROR(__xludf.DUMMYFUNCTION("""COMPUTED_VALUE"""),"#VALUE!")</f>
        <v>#VALUE!</v>
      </c>
      <c r="J284" s="51" t="str">
        <f>IFERROR(__xludf.DUMMYFUNCTION("""COMPUTED_VALUE"""),"")</f>
        <v/>
      </c>
      <c r="K284" s="51"/>
      <c r="L284" s="51" t="s">
        <v>257</v>
      </c>
      <c r="M284" s="51"/>
      <c r="N284" s="51"/>
      <c r="O284" s="51"/>
      <c r="P284" s="51"/>
      <c r="Q284" s="51"/>
      <c r="R284" s="51"/>
      <c r="S284" s="51"/>
      <c r="T284" s="51"/>
    </row>
    <row r="285">
      <c r="A285" s="51"/>
      <c r="B285" s="51"/>
      <c r="C285" s="56"/>
      <c r="D285" s="51"/>
      <c r="E285" s="51"/>
      <c r="F285" s="51"/>
      <c r="G285" s="51" t="str">
        <f>IFERROR(__xludf.DUMMYFUNCTION("""COMPUTED_VALUE"""),"#VALUE!")</f>
        <v>#VALUE!</v>
      </c>
      <c r="H285" s="51" t="str">
        <f>IFERROR(__xludf.DUMMYFUNCTION("""COMPUTED_VALUE"""),"")</f>
        <v/>
      </c>
      <c r="I285" s="51" t="str">
        <f>IFERROR(__xludf.DUMMYFUNCTION("""COMPUTED_VALUE"""),"#VALUE!")</f>
        <v>#VALUE!</v>
      </c>
      <c r="J285" s="51" t="str">
        <f>IFERROR(__xludf.DUMMYFUNCTION("""COMPUTED_VALUE"""),"")</f>
        <v/>
      </c>
      <c r="K285" s="51"/>
      <c r="L285" s="51" t="s">
        <v>257</v>
      </c>
      <c r="M285" s="51"/>
      <c r="N285" s="51"/>
      <c r="O285" s="51"/>
      <c r="P285" s="51"/>
      <c r="Q285" s="51"/>
      <c r="R285" s="51"/>
      <c r="S285" s="51"/>
      <c r="T285" s="51"/>
    </row>
    <row r="286">
      <c r="A286" s="51"/>
      <c r="B286" s="51"/>
      <c r="C286" s="56"/>
      <c r="D286" s="51"/>
      <c r="E286" s="51"/>
      <c r="F286" s="51"/>
      <c r="G286" s="51" t="str">
        <f>IFERROR(__xludf.DUMMYFUNCTION("""COMPUTED_VALUE"""),"#VALUE!")</f>
        <v>#VALUE!</v>
      </c>
      <c r="H286" s="51" t="str">
        <f>IFERROR(__xludf.DUMMYFUNCTION("""COMPUTED_VALUE"""),"")</f>
        <v/>
      </c>
      <c r="I286" s="51" t="str">
        <f>IFERROR(__xludf.DUMMYFUNCTION("""COMPUTED_VALUE"""),"#VALUE!")</f>
        <v>#VALUE!</v>
      </c>
      <c r="J286" s="51" t="str">
        <f>IFERROR(__xludf.DUMMYFUNCTION("""COMPUTED_VALUE"""),"")</f>
        <v/>
      </c>
      <c r="K286" s="51"/>
      <c r="L286" s="51" t="s">
        <v>257</v>
      </c>
      <c r="M286" s="51"/>
      <c r="N286" s="51"/>
      <c r="O286" s="51"/>
      <c r="P286" s="51"/>
      <c r="Q286" s="51"/>
      <c r="R286" s="51"/>
      <c r="S286" s="51"/>
      <c r="T286" s="51"/>
    </row>
    <row r="287">
      <c r="A287" s="51"/>
      <c r="B287" s="51"/>
      <c r="C287" s="56"/>
      <c r="D287" s="51"/>
      <c r="E287" s="51"/>
      <c r="F287" s="51"/>
      <c r="G287" s="51" t="str">
        <f>IFERROR(__xludf.DUMMYFUNCTION("""COMPUTED_VALUE"""),"#VALUE!")</f>
        <v>#VALUE!</v>
      </c>
      <c r="H287" s="51" t="str">
        <f>IFERROR(__xludf.DUMMYFUNCTION("""COMPUTED_VALUE"""),"")</f>
        <v/>
      </c>
      <c r="I287" s="51" t="str">
        <f>IFERROR(__xludf.DUMMYFUNCTION("""COMPUTED_VALUE"""),"#VALUE!")</f>
        <v>#VALUE!</v>
      </c>
      <c r="J287" s="51" t="str">
        <f>IFERROR(__xludf.DUMMYFUNCTION("""COMPUTED_VALUE"""),"")</f>
        <v/>
      </c>
      <c r="K287" s="51"/>
      <c r="L287" s="51" t="s">
        <v>257</v>
      </c>
      <c r="M287" s="51"/>
      <c r="N287" s="51"/>
      <c r="O287" s="51"/>
      <c r="P287" s="51"/>
      <c r="Q287" s="51"/>
      <c r="R287" s="51"/>
      <c r="S287" s="51"/>
      <c r="T287" s="51"/>
    </row>
    <row r="288">
      <c r="A288" s="51"/>
      <c r="B288" s="51"/>
      <c r="C288" s="56"/>
      <c r="D288" s="51"/>
      <c r="E288" s="51"/>
      <c r="F288" s="51"/>
      <c r="G288" s="51" t="str">
        <f>IFERROR(__xludf.DUMMYFUNCTION("""COMPUTED_VALUE"""),"#VALUE!")</f>
        <v>#VALUE!</v>
      </c>
      <c r="H288" s="51" t="str">
        <f>IFERROR(__xludf.DUMMYFUNCTION("""COMPUTED_VALUE"""),"")</f>
        <v/>
      </c>
      <c r="I288" s="51" t="str">
        <f>IFERROR(__xludf.DUMMYFUNCTION("""COMPUTED_VALUE"""),"#VALUE!")</f>
        <v>#VALUE!</v>
      </c>
      <c r="J288" s="51" t="str">
        <f>IFERROR(__xludf.DUMMYFUNCTION("""COMPUTED_VALUE"""),"")</f>
        <v/>
      </c>
      <c r="K288" s="51"/>
      <c r="L288" s="51" t="s">
        <v>257</v>
      </c>
      <c r="M288" s="51"/>
      <c r="N288" s="51"/>
      <c r="O288" s="51"/>
      <c r="P288" s="51"/>
      <c r="Q288" s="51"/>
      <c r="R288" s="51"/>
      <c r="S288" s="51"/>
      <c r="T288" s="51"/>
    </row>
    <row r="289">
      <c r="A289" s="51"/>
      <c r="B289" s="51"/>
      <c r="C289" s="56"/>
      <c r="D289" s="51"/>
      <c r="E289" s="51"/>
      <c r="F289" s="51"/>
      <c r="G289" s="51" t="str">
        <f>IFERROR(__xludf.DUMMYFUNCTION("""COMPUTED_VALUE"""),"#VALUE!")</f>
        <v>#VALUE!</v>
      </c>
      <c r="H289" s="51" t="str">
        <f>IFERROR(__xludf.DUMMYFUNCTION("""COMPUTED_VALUE"""),"")</f>
        <v/>
      </c>
      <c r="I289" s="51" t="str">
        <f>IFERROR(__xludf.DUMMYFUNCTION("""COMPUTED_VALUE"""),"#VALUE!")</f>
        <v>#VALUE!</v>
      </c>
      <c r="J289" s="51" t="str">
        <f>IFERROR(__xludf.DUMMYFUNCTION("""COMPUTED_VALUE"""),"")</f>
        <v/>
      </c>
      <c r="K289" s="51"/>
      <c r="L289" s="51" t="s">
        <v>257</v>
      </c>
      <c r="M289" s="51"/>
      <c r="N289" s="51"/>
      <c r="O289" s="51"/>
      <c r="P289" s="51"/>
      <c r="Q289" s="51"/>
      <c r="R289" s="51"/>
      <c r="S289" s="51"/>
      <c r="T289" s="51"/>
    </row>
    <row r="290">
      <c r="A290" s="51"/>
      <c r="B290" s="51"/>
      <c r="C290" s="56"/>
      <c r="D290" s="51"/>
      <c r="E290" s="51"/>
      <c r="F290" s="51"/>
      <c r="G290" s="51" t="str">
        <f>IFERROR(__xludf.DUMMYFUNCTION("""COMPUTED_VALUE"""),"#VALUE!")</f>
        <v>#VALUE!</v>
      </c>
      <c r="H290" s="51" t="str">
        <f>IFERROR(__xludf.DUMMYFUNCTION("""COMPUTED_VALUE"""),"")</f>
        <v/>
      </c>
      <c r="I290" s="51" t="str">
        <f>IFERROR(__xludf.DUMMYFUNCTION("""COMPUTED_VALUE"""),"#VALUE!")</f>
        <v>#VALUE!</v>
      </c>
      <c r="J290" s="51" t="str">
        <f>IFERROR(__xludf.DUMMYFUNCTION("""COMPUTED_VALUE"""),"")</f>
        <v/>
      </c>
      <c r="K290" s="51"/>
      <c r="L290" s="51" t="s">
        <v>257</v>
      </c>
      <c r="M290" s="51"/>
      <c r="N290" s="51"/>
      <c r="O290" s="51"/>
      <c r="P290" s="51"/>
      <c r="Q290" s="51"/>
      <c r="R290" s="51"/>
      <c r="S290" s="51"/>
      <c r="T290" s="51"/>
    </row>
    <row r="291">
      <c r="A291" s="51"/>
      <c r="B291" s="51"/>
      <c r="C291" s="56"/>
      <c r="D291" s="51"/>
      <c r="E291" s="51"/>
      <c r="F291" s="51"/>
      <c r="G291" s="51" t="str">
        <f>IFERROR(__xludf.DUMMYFUNCTION("""COMPUTED_VALUE"""),"#VALUE!")</f>
        <v>#VALUE!</v>
      </c>
      <c r="H291" s="51" t="str">
        <f>IFERROR(__xludf.DUMMYFUNCTION("""COMPUTED_VALUE"""),"")</f>
        <v/>
      </c>
      <c r="I291" s="51" t="str">
        <f>IFERROR(__xludf.DUMMYFUNCTION("""COMPUTED_VALUE"""),"#VALUE!")</f>
        <v>#VALUE!</v>
      </c>
      <c r="J291" s="51" t="str">
        <f>IFERROR(__xludf.DUMMYFUNCTION("""COMPUTED_VALUE"""),"")</f>
        <v/>
      </c>
      <c r="K291" s="51"/>
      <c r="L291" s="51" t="s">
        <v>257</v>
      </c>
      <c r="M291" s="51"/>
      <c r="N291" s="51"/>
      <c r="O291" s="51"/>
      <c r="P291" s="51"/>
      <c r="Q291" s="51"/>
      <c r="R291" s="51"/>
      <c r="S291" s="51"/>
      <c r="T291" s="51"/>
    </row>
    <row r="292">
      <c r="A292" s="51"/>
      <c r="B292" s="51"/>
      <c r="C292" s="56"/>
      <c r="D292" s="51"/>
      <c r="E292" s="51"/>
      <c r="F292" s="51"/>
      <c r="G292" s="51" t="str">
        <f>IFERROR(__xludf.DUMMYFUNCTION("""COMPUTED_VALUE"""),"#VALUE!")</f>
        <v>#VALUE!</v>
      </c>
      <c r="H292" s="51" t="str">
        <f>IFERROR(__xludf.DUMMYFUNCTION("""COMPUTED_VALUE"""),"")</f>
        <v/>
      </c>
      <c r="I292" s="51" t="str">
        <f>IFERROR(__xludf.DUMMYFUNCTION("""COMPUTED_VALUE"""),"#VALUE!")</f>
        <v>#VALUE!</v>
      </c>
      <c r="J292" s="51" t="str">
        <f>IFERROR(__xludf.DUMMYFUNCTION("""COMPUTED_VALUE"""),"")</f>
        <v/>
      </c>
      <c r="K292" s="51"/>
      <c r="L292" s="51" t="s">
        <v>257</v>
      </c>
      <c r="M292" s="51"/>
      <c r="N292" s="51"/>
      <c r="O292" s="51"/>
      <c r="P292" s="51"/>
      <c r="Q292" s="51"/>
      <c r="R292" s="51"/>
      <c r="S292" s="51"/>
      <c r="T292" s="51"/>
    </row>
    <row r="293">
      <c r="A293" s="51"/>
      <c r="B293" s="51"/>
      <c r="C293" s="56"/>
      <c r="D293" s="51"/>
      <c r="E293" s="51"/>
      <c r="F293" s="51"/>
      <c r="G293" s="51" t="str">
        <f>IFERROR(__xludf.DUMMYFUNCTION("""COMPUTED_VALUE"""),"#VALUE!")</f>
        <v>#VALUE!</v>
      </c>
      <c r="H293" s="51" t="str">
        <f>IFERROR(__xludf.DUMMYFUNCTION("""COMPUTED_VALUE"""),"")</f>
        <v/>
      </c>
      <c r="I293" s="51" t="str">
        <f>IFERROR(__xludf.DUMMYFUNCTION("""COMPUTED_VALUE"""),"#VALUE!")</f>
        <v>#VALUE!</v>
      </c>
      <c r="J293" s="51" t="str">
        <f>IFERROR(__xludf.DUMMYFUNCTION("""COMPUTED_VALUE"""),"")</f>
        <v/>
      </c>
      <c r="K293" s="51"/>
      <c r="L293" s="51" t="s">
        <v>257</v>
      </c>
      <c r="M293" s="51"/>
      <c r="N293" s="51"/>
      <c r="O293" s="51"/>
      <c r="P293" s="51"/>
      <c r="Q293" s="51"/>
      <c r="R293" s="51"/>
      <c r="S293" s="51"/>
      <c r="T293" s="51"/>
    </row>
    <row r="294">
      <c r="A294" s="51"/>
      <c r="B294" s="51"/>
      <c r="C294" s="56"/>
      <c r="D294" s="51"/>
      <c r="E294" s="51"/>
      <c r="F294" s="51"/>
      <c r="G294" s="51" t="str">
        <f>IFERROR(__xludf.DUMMYFUNCTION("""COMPUTED_VALUE"""),"#VALUE!")</f>
        <v>#VALUE!</v>
      </c>
      <c r="H294" s="51" t="str">
        <f>IFERROR(__xludf.DUMMYFUNCTION("""COMPUTED_VALUE"""),"")</f>
        <v/>
      </c>
      <c r="I294" s="51" t="str">
        <f>IFERROR(__xludf.DUMMYFUNCTION("""COMPUTED_VALUE"""),"#VALUE!")</f>
        <v>#VALUE!</v>
      </c>
      <c r="J294" s="51" t="str">
        <f>IFERROR(__xludf.DUMMYFUNCTION("""COMPUTED_VALUE"""),"")</f>
        <v/>
      </c>
      <c r="K294" s="51"/>
      <c r="L294" s="51" t="s">
        <v>257</v>
      </c>
      <c r="M294" s="51"/>
      <c r="N294" s="51"/>
      <c r="O294" s="51"/>
      <c r="P294" s="51"/>
      <c r="Q294" s="51"/>
      <c r="R294" s="51"/>
      <c r="S294" s="51"/>
      <c r="T294" s="51"/>
    </row>
    <row r="295">
      <c r="A295" s="51"/>
      <c r="B295" s="51"/>
      <c r="C295" s="56"/>
      <c r="D295" s="51"/>
      <c r="E295" s="51"/>
      <c r="F295" s="51"/>
      <c r="G295" s="51" t="str">
        <f>IFERROR(__xludf.DUMMYFUNCTION("""COMPUTED_VALUE"""),"#VALUE!")</f>
        <v>#VALUE!</v>
      </c>
      <c r="H295" s="51" t="str">
        <f>IFERROR(__xludf.DUMMYFUNCTION("""COMPUTED_VALUE"""),"")</f>
        <v/>
      </c>
      <c r="I295" s="51" t="str">
        <f>IFERROR(__xludf.DUMMYFUNCTION("""COMPUTED_VALUE"""),"#VALUE!")</f>
        <v>#VALUE!</v>
      </c>
      <c r="J295" s="51" t="str">
        <f>IFERROR(__xludf.DUMMYFUNCTION("""COMPUTED_VALUE"""),"")</f>
        <v/>
      </c>
      <c r="K295" s="51"/>
      <c r="L295" s="51" t="s">
        <v>257</v>
      </c>
      <c r="M295" s="51"/>
      <c r="N295" s="51"/>
      <c r="O295" s="51"/>
      <c r="P295" s="51"/>
      <c r="Q295" s="51"/>
      <c r="R295" s="51"/>
      <c r="S295" s="51"/>
      <c r="T295" s="51"/>
    </row>
    <row r="296">
      <c r="A296" s="51"/>
      <c r="B296" s="51"/>
      <c r="C296" s="56"/>
      <c r="D296" s="51"/>
      <c r="E296" s="51"/>
      <c r="F296" s="51"/>
      <c r="G296" s="51" t="str">
        <f>IFERROR(__xludf.DUMMYFUNCTION("""COMPUTED_VALUE"""),"#VALUE!")</f>
        <v>#VALUE!</v>
      </c>
      <c r="H296" s="51" t="str">
        <f>IFERROR(__xludf.DUMMYFUNCTION("""COMPUTED_VALUE"""),"")</f>
        <v/>
      </c>
      <c r="I296" s="51" t="str">
        <f>IFERROR(__xludf.DUMMYFUNCTION("""COMPUTED_VALUE"""),"#VALUE!")</f>
        <v>#VALUE!</v>
      </c>
      <c r="J296" s="51" t="str">
        <f>IFERROR(__xludf.DUMMYFUNCTION("""COMPUTED_VALUE"""),"")</f>
        <v/>
      </c>
      <c r="K296" s="51"/>
      <c r="L296" s="51" t="s">
        <v>257</v>
      </c>
      <c r="M296" s="51"/>
      <c r="N296" s="51"/>
      <c r="O296" s="51"/>
      <c r="P296" s="51"/>
      <c r="Q296" s="51"/>
      <c r="R296" s="51"/>
      <c r="S296" s="51"/>
      <c r="T296" s="51"/>
    </row>
    <row r="297">
      <c r="A297" s="51"/>
      <c r="B297" s="51"/>
      <c r="C297" s="56"/>
      <c r="D297" s="51"/>
      <c r="E297" s="51"/>
      <c r="F297" s="51"/>
      <c r="G297" s="51" t="str">
        <f>IFERROR(__xludf.DUMMYFUNCTION("""COMPUTED_VALUE"""),"#VALUE!")</f>
        <v>#VALUE!</v>
      </c>
      <c r="H297" s="51" t="str">
        <f>IFERROR(__xludf.DUMMYFUNCTION("""COMPUTED_VALUE"""),"")</f>
        <v/>
      </c>
      <c r="I297" s="51" t="str">
        <f>IFERROR(__xludf.DUMMYFUNCTION("""COMPUTED_VALUE"""),"#VALUE!")</f>
        <v>#VALUE!</v>
      </c>
      <c r="J297" s="51" t="str">
        <f>IFERROR(__xludf.DUMMYFUNCTION("""COMPUTED_VALUE"""),"")</f>
        <v/>
      </c>
      <c r="K297" s="51"/>
      <c r="L297" s="51" t="s">
        <v>257</v>
      </c>
      <c r="M297" s="51"/>
      <c r="N297" s="51"/>
      <c r="O297" s="51"/>
      <c r="P297" s="51"/>
      <c r="Q297" s="51"/>
      <c r="R297" s="51"/>
      <c r="S297" s="51"/>
      <c r="T297" s="51"/>
    </row>
    <row r="298">
      <c r="A298" s="51"/>
      <c r="B298" s="51"/>
      <c r="C298" s="56"/>
      <c r="D298" s="51"/>
      <c r="E298" s="51"/>
      <c r="F298" s="51"/>
      <c r="G298" s="51" t="str">
        <f>IFERROR(__xludf.DUMMYFUNCTION("""COMPUTED_VALUE"""),"#VALUE!")</f>
        <v>#VALUE!</v>
      </c>
      <c r="H298" s="51" t="str">
        <f>IFERROR(__xludf.DUMMYFUNCTION("""COMPUTED_VALUE"""),"")</f>
        <v/>
      </c>
      <c r="I298" s="51" t="str">
        <f>IFERROR(__xludf.DUMMYFUNCTION("""COMPUTED_VALUE"""),"#VALUE!")</f>
        <v>#VALUE!</v>
      </c>
      <c r="J298" s="51" t="str">
        <f>IFERROR(__xludf.DUMMYFUNCTION("""COMPUTED_VALUE"""),"")</f>
        <v/>
      </c>
      <c r="K298" s="51"/>
      <c r="L298" s="51" t="s">
        <v>257</v>
      </c>
      <c r="M298" s="51"/>
      <c r="N298" s="51"/>
      <c r="O298" s="51"/>
      <c r="P298" s="51"/>
      <c r="Q298" s="51"/>
      <c r="R298" s="51"/>
      <c r="S298" s="51"/>
      <c r="T298" s="51"/>
    </row>
    <row r="299">
      <c r="A299" s="51"/>
      <c r="B299" s="51"/>
      <c r="C299" s="56"/>
      <c r="D299" s="51"/>
      <c r="E299" s="51"/>
      <c r="F299" s="51"/>
      <c r="G299" s="51" t="str">
        <f>IFERROR(__xludf.DUMMYFUNCTION("""COMPUTED_VALUE"""),"#VALUE!")</f>
        <v>#VALUE!</v>
      </c>
      <c r="H299" s="51" t="str">
        <f>IFERROR(__xludf.DUMMYFUNCTION("""COMPUTED_VALUE"""),"")</f>
        <v/>
      </c>
      <c r="I299" s="51" t="str">
        <f>IFERROR(__xludf.DUMMYFUNCTION("""COMPUTED_VALUE"""),"#VALUE!")</f>
        <v>#VALUE!</v>
      </c>
      <c r="J299" s="51" t="str">
        <f>IFERROR(__xludf.DUMMYFUNCTION("""COMPUTED_VALUE"""),"")</f>
        <v/>
      </c>
      <c r="K299" s="51"/>
      <c r="L299" s="51" t="s">
        <v>257</v>
      </c>
      <c r="M299" s="51"/>
      <c r="N299" s="51"/>
      <c r="O299" s="51"/>
      <c r="P299" s="51"/>
      <c r="Q299" s="51"/>
      <c r="R299" s="51"/>
      <c r="S299" s="51"/>
      <c r="T299" s="51"/>
    </row>
    <row r="300">
      <c r="A300" s="51"/>
      <c r="B300" s="51"/>
      <c r="C300" s="56"/>
      <c r="D300" s="51"/>
      <c r="E300" s="51"/>
      <c r="F300" s="51"/>
      <c r="G300" s="51" t="str">
        <f>IFERROR(__xludf.DUMMYFUNCTION("""COMPUTED_VALUE"""),"#VALUE!")</f>
        <v>#VALUE!</v>
      </c>
      <c r="H300" s="51" t="str">
        <f>IFERROR(__xludf.DUMMYFUNCTION("""COMPUTED_VALUE"""),"")</f>
        <v/>
      </c>
      <c r="I300" s="51" t="str">
        <f>IFERROR(__xludf.DUMMYFUNCTION("""COMPUTED_VALUE"""),"#VALUE!")</f>
        <v>#VALUE!</v>
      </c>
      <c r="J300" s="51" t="str">
        <f>IFERROR(__xludf.DUMMYFUNCTION("""COMPUTED_VALUE"""),"")</f>
        <v/>
      </c>
      <c r="K300" s="51"/>
      <c r="L300" s="51" t="s">
        <v>257</v>
      </c>
      <c r="M300" s="51"/>
      <c r="N300" s="51"/>
      <c r="O300" s="51"/>
      <c r="P300" s="51"/>
      <c r="Q300" s="51"/>
      <c r="R300" s="51"/>
      <c r="S300" s="51"/>
      <c r="T300" s="51"/>
    </row>
    <row r="301">
      <c r="A301" s="51"/>
      <c r="B301" s="51"/>
      <c r="C301" s="56"/>
      <c r="D301" s="51"/>
      <c r="E301" s="51"/>
      <c r="F301" s="51"/>
      <c r="G301" s="51" t="str">
        <f>IFERROR(__xludf.DUMMYFUNCTION("""COMPUTED_VALUE"""),"#VALUE!")</f>
        <v>#VALUE!</v>
      </c>
      <c r="H301" s="51" t="str">
        <f>IFERROR(__xludf.DUMMYFUNCTION("""COMPUTED_VALUE"""),"")</f>
        <v/>
      </c>
      <c r="I301" s="51" t="str">
        <f>IFERROR(__xludf.DUMMYFUNCTION("""COMPUTED_VALUE"""),"#VALUE!")</f>
        <v>#VALUE!</v>
      </c>
      <c r="J301" s="51" t="str">
        <f>IFERROR(__xludf.DUMMYFUNCTION("""COMPUTED_VALUE"""),"")</f>
        <v/>
      </c>
      <c r="K301" s="51"/>
      <c r="L301" s="51" t="s">
        <v>257</v>
      </c>
      <c r="M301" s="51"/>
      <c r="N301" s="51"/>
      <c r="O301" s="51"/>
      <c r="P301" s="51"/>
      <c r="Q301" s="51"/>
      <c r="R301" s="51"/>
      <c r="S301" s="51"/>
      <c r="T301" s="51"/>
    </row>
    <row r="302">
      <c r="A302" s="51"/>
      <c r="B302" s="51"/>
      <c r="C302" s="56"/>
      <c r="D302" s="51"/>
      <c r="E302" s="51"/>
      <c r="F302" s="51"/>
      <c r="G302" s="51" t="str">
        <f>IFERROR(__xludf.DUMMYFUNCTION("""COMPUTED_VALUE"""),"#VALUE!")</f>
        <v>#VALUE!</v>
      </c>
      <c r="H302" s="51" t="str">
        <f>IFERROR(__xludf.DUMMYFUNCTION("""COMPUTED_VALUE"""),"")</f>
        <v/>
      </c>
      <c r="I302" s="51" t="str">
        <f>IFERROR(__xludf.DUMMYFUNCTION("""COMPUTED_VALUE"""),"#VALUE!")</f>
        <v>#VALUE!</v>
      </c>
      <c r="J302" s="51" t="str">
        <f>IFERROR(__xludf.DUMMYFUNCTION("""COMPUTED_VALUE"""),"")</f>
        <v/>
      </c>
      <c r="K302" s="51"/>
      <c r="L302" s="51" t="s">
        <v>257</v>
      </c>
      <c r="M302" s="51"/>
      <c r="N302" s="51"/>
      <c r="O302" s="51"/>
      <c r="P302" s="51"/>
      <c r="Q302" s="51"/>
      <c r="R302" s="51"/>
      <c r="S302" s="51"/>
      <c r="T302" s="51"/>
    </row>
    <row r="303">
      <c r="A303" s="51"/>
      <c r="B303" s="51"/>
      <c r="C303" s="56"/>
      <c r="D303" s="51"/>
      <c r="E303" s="51"/>
      <c r="F303" s="51"/>
      <c r="G303" s="51" t="str">
        <f>IFERROR(__xludf.DUMMYFUNCTION("""COMPUTED_VALUE"""),"#VALUE!")</f>
        <v>#VALUE!</v>
      </c>
      <c r="H303" s="51" t="str">
        <f>IFERROR(__xludf.DUMMYFUNCTION("""COMPUTED_VALUE"""),"")</f>
        <v/>
      </c>
      <c r="I303" s="51" t="str">
        <f>IFERROR(__xludf.DUMMYFUNCTION("""COMPUTED_VALUE"""),"#VALUE!")</f>
        <v>#VALUE!</v>
      </c>
      <c r="J303" s="51" t="str">
        <f>IFERROR(__xludf.DUMMYFUNCTION("""COMPUTED_VALUE"""),"")</f>
        <v/>
      </c>
      <c r="K303" s="51"/>
      <c r="L303" s="51" t="s">
        <v>257</v>
      </c>
      <c r="M303" s="51"/>
      <c r="N303" s="51"/>
      <c r="O303" s="51"/>
      <c r="P303" s="51"/>
      <c r="Q303" s="51"/>
      <c r="R303" s="51"/>
      <c r="S303" s="51"/>
      <c r="T303" s="51"/>
    </row>
    <row r="304">
      <c r="A304" s="51"/>
      <c r="B304" s="51"/>
      <c r="C304" s="56"/>
      <c r="D304" s="51"/>
      <c r="E304" s="51"/>
      <c r="F304" s="51"/>
      <c r="G304" s="51" t="str">
        <f>IFERROR(__xludf.DUMMYFUNCTION("""COMPUTED_VALUE"""),"#VALUE!")</f>
        <v>#VALUE!</v>
      </c>
      <c r="H304" s="51" t="str">
        <f>IFERROR(__xludf.DUMMYFUNCTION("""COMPUTED_VALUE"""),"")</f>
        <v/>
      </c>
      <c r="I304" s="51" t="str">
        <f>IFERROR(__xludf.DUMMYFUNCTION("""COMPUTED_VALUE"""),"#VALUE!")</f>
        <v>#VALUE!</v>
      </c>
      <c r="J304" s="51" t="str">
        <f>IFERROR(__xludf.DUMMYFUNCTION("""COMPUTED_VALUE"""),"")</f>
        <v/>
      </c>
      <c r="K304" s="51"/>
      <c r="L304" s="51" t="s">
        <v>257</v>
      </c>
      <c r="M304" s="51"/>
      <c r="N304" s="51"/>
      <c r="O304" s="51"/>
      <c r="P304" s="51"/>
      <c r="Q304" s="51"/>
      <c r="R304" s="51"/>
      <c r="S304" s="51"/>
      <c r="T304" s="51"/>
    </row>
    <row r="305">
      <c r="A305" s="51"/>
      <c r="B305" s="51"/>
      <c r="C305" s="56"/>
      <c r="D305" s="51"/>
      <c r="E305" s="51"/>
      <c r="F305" s="51"/>
      <c r="G305" s="51" t="str">
        <f>IFERROR(__xludf.DUMMYFUNCTION("""COMPUTED_VALUE"""),"#VALUE!")</f>
        <v>#VALUE!</v>
      </c>
      <c r="H305" s="51" t="str">
        <f>IFERROR(__xludf.DUMMYFUNCTION("""COMPUTED_VALUE"""),"")</f>
        <v/>
      </c>
      <c r="I305" s="51" t="str">
        <f>IFERROR(__xludf.DUMMYFUNCTION("""COMPUTED_VALUE"""),"#VALUE!")</f>
        <v>#VALUE!</v>
      </c>
      <c r="J305" s="51" t="str">
        <f>IFERROR(__xludf.DUMMYFUNCTION("""COMPUTED_VALUE"""),"")</f>
        <v/>
      </c>
      <c r="K305" s="51"/>
      <c r="L305" s="51" t="s">
        <v>257</v>
      </c>
      <c r="M305" s="51"/>
      <c r="N305" s="51"/>
      <c r="O305" s="51"/>
      <c r="P305" s="51"/>
      <c r="Q305" s="51"/>
      <c r="R305" s="51"/>
      <c r="S305" s="51"/>
      <c r="T305" s="51"/>
    </row>
    <row r="306">
      <c r="A306" s="51"/>
      <c r="B306" s="51"/>
      <c r="C306" s="56"/>
      <c r="D306" s="51"/>
      <c r="E306" s="51"/>
      <c r="F306" s="51"/>
      <c r="G306" s="51" t="str">
        <f>IFERROR(__xludf.DUMMYFUNCTION("""COMPUTED_VALUE"""),"#VALUE!")</f>
        <v>#VALUE!</v>
      </c>
      <c r="H306" s="51" t="str">
        <f>IFERROR(__xludf.DUMMYFUNCTION("""COMPUTED_VALUE"""),"")</f>
        <v/>
      </c>
      <c r="I306" s="51" t="str">
        <f>IFERROR(__xludf.DUMMYFUNCTION("""COMPUTED_VALUE"""),"#VALUE!")</f>
        <v>#VALUE!</v>
      </c>
      <c r="J306" s="51" t="str">
        <f>IFERROR(__xludf.DUMMYFUNCTION("""COMPUTED_VALUE"""),"")</f>
        <v/>
      </c>
      <c r="K306" s="51"/>
      <c r="L306" s="51" t="s">
        <v>257</v>
      </c>
      <c r="M306" s="51"/>
      <c r="N306" s="51"/>
      <c r="O306" s="51"/>
      <c r="P306" s="51"/>
      <c r="Q306" s="51"/>
      <c r="R306" s="51"/>
      <c r="S306" s="51"/>
      <c r="T306" s="51"/>
    </row>
    <row r="307">
      <c r="A307" s="51"/>
      <c r="B307" s="51"/>
      <c r="C307" s="56"/>
      <c r="D307" s="51"/>
      <c r="E307" s="51"/>
      <c r="F307" s="51"/>
      <c r="G307" s="51" t="str">
        <f>IFERROR(__xludf.DUMMYFUNCTION("""COMPUTED_VALUE"""),"#VALUE!")</f>
        <v>#VALUE!</v>
      </c>
      <c r="H307" s="51" t="str">
        <f>IFERROR(__xludf.DUMMYFUNCTION("""COMPUTED_VALUE"""),"")</f>
        <v/>
      </c>
      <c r="I307" s="51" t="str">
        <f>IFERROR(__xludf.DUMMYFUNCTION("""COMPUTED_VALUE"""),"#VALUE!")</f>
        <v>#VALUE!</v>
      </c>
      <c r="J307" s="51" t="str">
        <f>IFERROR(__xludf.DUMMYFUNCTION("""COMPUTED_VALUE"""),"")</f>
        <v/>
      </c>
      <c r="K307" s="51"/>
      <c r="L307" s="51" t="s">
        <v>257</v>
      </c>
      <c r="M307" s="51"/>
      <c r="N307" s="51"/>
      <c r="O307" s="51"/>
      <c r="P307" s="51"/>
      <c r="Q307" s="51"/>
      <c r="R307" s="51"/>
      <c r="S307" s="51"/>
      <c r="T307" s="51"/>
    </row>
    <row r="308">
      <c r="A308" s="51"/>
      <c r="B308" s="51"/>
      <c r="C308" s="56"/>
      <c r="D308" s="51"/>
      <c r="E308" s="51"/>
      <c r="F308" s="51"/>
      <c r="G308" s="51" t="str">
        <f>IFERROR(__xludf.DUMMYFUNCTION("""COMPUTED_VALUE"""),"#VALUE!")</f>
        <v>#VALUE!</v>
      </c>
      <c r="H308" s="51" t="str">
        <f>IFERROR(__xludf.DUMMYFUNCTION("""COMPUTED_VALUE"""),"")</f>
        <v/>
      </c>
      <c r="I308" s="51" t="str">
        <f>IFERROR(__xludf.DUMMYFUNCTION("""COMPUTED_VALUE"""),"#VALUE!")</f>
        <v>#VALUE!</v>
      </c>
      <c r="J308" s="51" t="str">
        <f>IFERROR(__xludf.DUMMYFUNCTION("""COMPUTED_VALUE"""),"")</f>
        <v/>
      </c>
      <c r="K308" s="51"/>
      <c r="L308" s="51" t="s">
        <v>257</v>
      </c>
      <c r="M308" s="51"/>
      <c r="N308" s="51"/>
      <c r="O308" s="51"/>
      <c r="P308" s="51"/>
      <c r="Q308" s="51"/>
      <c r="R308" s="51"/>
      <c r="S308" s="51"/>
      <c r="T308" s="51"/>
    </row>
    <row r="309">
      <c r="A309" s="51"/>
      <c r="B309" s="51"/>
      <c r="C309" s="56"/>
      <c r="D309" s="51"/>
      <c r="E309" s="51"/>
      <c r="F309" s="51"/>
      <c r="G309" s="51" t="str">
        <f>IFERROR(__xludf.DUMMYFUNCTION("""COMPUTED_VALUE"""),"#VALUE!")</f>
        <v>#VALUE!</v>
      </c>
      <c r="H309" s="51" t="str">
        <f>IFERROR(__xludf.DUMMYFUNCTION("""COMPUTED_VALUE"""),"")</f>
        <v/>
      </c>
      <c r="I309" s="51" t="str">
        <f>IFERROR(__xludf.DUMMYFUNCTION("""COMPUTED_VALUE"""),"#VALUE!")</f>
        <v>#VALUE!</v>
      </c>
      <c r="J309" s="51" t="str">
        <f>IFERROR(__xludf.DUMMYFUNCTION("""COMPUTED_VALUE"""),"")</f>
        <v/>
      </c>
      <c r="K309" s="51"/>
      <c r="L309" s="51" t="s">
        <v>257</v>
      </c>
      <c r="M309" s="51"/>
      <c r="N309" s="51"/>
      <c r="O309" s="51"/>
      <c r="P309" s="51"/>
      <c r="Q309" s="51"/>
      <c r="R309" s="51"/>
      <c r="S309" s="51"/>
      <c r="T309" s="51"/>
    </row>
    <row r="310">
      <c r="A310" s="51"/>
      <c r="B310" s="51"/>
      <c r="C310" s="56"/>
      <c r="D310" s="51"/>
      <c r="E310" s="51"/>
      <c r="F310" s="51"/>
      <c r="G310" s="51" t="str">
        <f>IFERROR(__xludf.DUMMYFUNCTION("""COMPUTED_VALUE"""),"#VALUE!")</f>
        <v>#VALUE!</v>
      </c>
      <c r="H310" s="51" t="str">
        <f>IFERROR(__xludf.DUMMYFUNCTION("""COMPUTED_VALUE"""),"")</f>
        <v/>
      </c>
      <c r="I310" s="51" t="str">
        <f>IFERROR(__xludf.DUMMYFUNCTION("""COMPUTED_VALUE"""),"#VALUE!")</f>
        <v>#VALUE!</v>
      </c>
      <c r="J310" s="51" t="str">
        <f>IFERROR(__xludf.DUMMYFUNCTION("""COMPUTED_VALUE"""),"")</f>
        <v/>
      </c>
      <c r="K310" s="51"/>
      <c r="L310" s="51" t="s">
        <v>257</v>
      </c>
      <c r="M310" s="51"/>
      <c r="N310" s="51"/>
      <c r="O310" s="51"/>
      <c r="P310" s="51"/>
      <c r="Q310" s="51"/>
      <c r="R310" s="51"/>
      <c r="S310" s="51"/>
      <c r="T310" s="51"/>
    </row>
    <row r="311">
      <c r="A311" s="51"/>
      <c r="B311" s="51"/>
      <c r="C311" s="56"/>
      <c r="D311" s="51"/>
      <c r="E311" s="51"/>
      <c r="F311" s="51"/>
      <c r="G311" s="51" t="str">
        <f>IFERROR(__xludf.DUMMYFUNCTION("""COMPUTED_VALUE"""),"#VALUE!")</f>
        <v>#VALUE!</v>
      </c>
      <c r="H311" s="51" t="str">
        <f>IFERROR(__xludf.DUMMYFUNCTION("""COMPUTED_VALUE"""),"")</f>
        <v/>
      </c>
      <c r="I311" s="51" t="str">
        <f>IFERROR(__xludf.DUMMYFUNCTION("""COMPUTED_VALUE"""),"#VALUE!")</f>
        <v>#VALUE!</v>
      </c>
      <c r="J311" s="51" t="str">
        <f>IFERROR(__xludf.DUMMYFUNCTION("""COMPUTED_VALUE"""),"")</f>
        <v/>
      </c>
      <c r="K311" s="51"/>
      <c r="L311" s="51" t="s">
        <v>257</v>
      </c>
      <c r="M311" s="51"/>
      <c r="N311" s="51"/>
      <c r="O311" s="51"/>
      <c r="P311" s="51"/>
      <c r="Q311" s="51"/>
      <c r="R311" s="51"/>
      <c r="S311" s="51"/>
      <c r="T311" s="51"/>
    </row>
    <row r="312">
      <c r="A312" s="51"/>
      <c r="B312" s="51"/>
      <c r="C312" s="56"/>
      <c r="D312" s="51"/>
      <c r="E312" s="51"/>
      <c r="F312" s="51"/>
      <c r="G312" s="51" t="str">
        <f>IFERROR(__xludf.DUMMYFUNCTION("""COMPUTED_VALUE"""),"#VALUE!")</f>
        <v>#VALUE!</v>
      </c>
      <c r="H312" s="51" t="str">
        <f>IFERROR(__xludf.DUMMYFUNCTION("""COMPUTED_VALUE"""),"")</f>
        <v/>
      </c>
      <c r="I312" s="51" t="str">
        <f>IFERROR(__xludf.DUMMYFUNCTION("""COMPUTED_VALUE"""),"#VALUE!")</f>
        <v>#VALUE!</v>
      </c>
      <c r="J312" s="51" t="str">
        <f>IFERROR(__xludf.DUMMYFUNCTION("""COMPUTED_VALUE"""),"")</f>
        <v/>
      </c>
      <c r="K312" s="51"/>
      <c r="L312" s="51" t="s">
        <v>257</v>
      </c>
      <c r="M312" s="51"/>
      <c r="N312" s="51"/>
      <c r="O312" s="51"/>
      <c r="P312" s="51"/>
      <c r="Q312" s="51"/>
      <c r="R312" s="51"/>
      <c r="S312" s="51"/>
      <c r="T312" s="51"/>
    </row>
    <row r="313">
      <c r="A313" s="51"/>
      <c r="B313" s="51"/>
      <c r="C313" s="56"/>
      <c r="D313" s="51"/>
      <c r="E313" s="51"/>
      <c r="F313" s="51"/>
      <c r="G313" s="51" t="str">
        <f>IFERROR(__xludf.DUMMYFUNCTION("""COMPUTED_VALUE"""),"#VALUE!")</f>
        <v>#VALUE!</v>
      </c>
      <c r="H313" s="51" t="str">
        <f>IFERROR(__xludf.DUMMYFUNCTION("""COMPUTED_VALUE"""),"")</f>
        <v/>
      </c>
      <c r="I313" s="51" t="str">
        <f>IFERROR(__xludf.DUMMYFUNCTION("""COMPUTED_VALUE"""),"#VALUE!")</f>
        <v>#VALUE!</v>
      </c>
      <c r="J313" s="51" t="str">
        <f>IFERROR(__xludf.DUMMYFUNCTION("""COMPUTED_VALUE"""),"")</f>
        <v/>
      </c>
      <c r="K313" s="51"/>
      <c r="L313" s="51" t="s">
        <v>257</v>
      </c>
      <c r="M313" s="51"/>
      <c r="N313" s="51"/>
      <c r="O313" s="51"/>
      <c r="P313" s="51"/>
      <c r="Q313" s="51"/>
      <c r="R313" s="51"/>
      <c r="S313" s="51"/>
      <c r="T313" s="51"/>
    </row>
    <row r="314">
      <c r="A314" s="51"/>
      <c r="B314" s="51"/>
      <c r="C314" s="56"/>
      <c r="D314" s="51"/>
      <c r="E314" s="51"/>
      <c r="F314" s="51"/>
      <c r="G314" s="51" t="str">
        <f>IFERROR(__xludf.DUMMYFUNCTION("""COMPUTED_VALUE"""),"#VALUE!")</f>
        <v>#VALUE!</v>
      </c>
      <c r="H314" s="51" t="str">
        <f>IFERROR(__xludf.DUMMYFUNCTION("""COMPUTED_VALUE"""),"")</f>
        <v/>
      </c>
      <c r="I314" s="51" t="str">
        <f>IFERROR(__xludf.DUMMYFUNCTION("""COMPUTED_VALUE"""),"#VALUE!")</f>
        <v>#VALUE!</v>
      </c>
      <c r="J314" s="51" t="str">
        <f>IFERROR(__xludf.DUMMYFUNCTION("""COMPUTED_VALUE"""),"")</f>
        <v/>
      </c>
      <c r="K314" s="51"/>
      <c r="L314" s="51" t="s">
        <v>257</v>
      </c>
      <c r="M314" s="51"/>
      <c r="N314" s="51"/>
      <c r="O314" s="51"/>
      <c r="P314" s="51"/>
      <c r="Q314" s="51"/>
      <c r="R314" s="51"/>
      <c r="S314" s="51"/>
      <c r="T314" s="51"/>
    </row>
    <row r="315">
      <c r="A315" s="51"/>
      <c r="B315" s="51"/>
      <c r="C315" s="56"/>
      <c r="D315" s="51"/>
      <c r="E315" s="51"/>
      <c r="F315" s="51"/>
      <c r="G315" s="51" t="str">
        <f>IFERROR(__xludf.DUMMYFUNCTION("""COMPUTED_VALUE"""),"#VALUE!")</f>
        <v>#VALUE!</v>
      </c>
      <c r="H315" s="51" t="str">
        <f>IFERROR(__xludf.DUMMYFUNCTION("""COMPUTED_VALUE"""),"")</f>
        <v/>
      </c>
      <c r="I315" s="51" t="str">
        <f>IFERROR(__xludf.DUMMYFUNCTION("""COMPUTED_VALUE"""),"#VALUE!")</f>
        <v>#VALUE!</v>
      </c>
      <c r="J315" s="51" t="str">
        <f>IFERROR(__xludf.DUMMYFUNCTION("""COMPUTED_VALUE"""),"")</f>
        <v/>
      </c>
      <c r="K315" s="51"/>
      <c r="L315" s="51" t="s">
        <v>257</v>
      </c>
      <c r="M315" s="51"/>
      <c r="N315" s="51"/>
      <c r="O315" s="51"/>
      <c r="P315" s="51"/>
      <c r="Q315" s="51"/>
      <c r="R315" s="51"/>
      <c r="S315" s="51"/>
      <c r="T315" s="51"/>
    </row>
    <row r="316">
      <c r="A316" s="51"/>
      <c r="B316" s="51"/>
      <c r="C316" s="56"/>
      <c r="D316" s="51"/>
      <c r="E316" s="51"/>
      <c r="F316" s="51"/>
      <c r="G316" s="51" t="str">
        <f>IFERROR(__xludf.DUMMYFUNCTION("""COMPUTED_VALUE"""),"#VALUE!")</f>
        <v>#VALUE!</v>
      </c>
      <c r="H316" s="51" t="str">
        <f>IFERROR(__xludf.DUMMYFUNCTION("""COMPUTED_VALUE"""),"")</f>
        <v/>
      </c>
      <c r="I316" s="51" t="str">
        <f>IFERROR(__xludf.DUMMYFUNCTION("""COMPUTED_VALUE"""),"#VALUE!")</f>
        <v>#VALUE!</v>
      </c>
      <c r="J316" s="51" t="str">
        <f>IFERROR(__xludf.DUMMYFUNCTION("""COMPUTED_VALUE"""),"")</f>
        <v/>
      </c>
      <c r="K316" s="51"/>
      <c r="L316" s="51" t="s">
        <v>257</v>
      </c>
      <c r="M316" s="51"/>
      <c r="N316" s="51"/>
      <c r="O316" s="51"/>
      <c r="P316" s="51"/>
      <c r="Q316" s="51"/>
      <c r="R316" s="51"/>
      <c r="S316" s="51"/>
      <c r="T316" s="51"/>
    </row>
    <row r="317">
      <c r="A317" s="51"/>
      <c r="B317" s="51"/>
      <c r="C317" s="56"/>
      <c r="D317" s="51"/>
      <c r="E317" s="51"/>
      <c r="F317" s="51"/>
      <c r="G317" s="51" t="str">
        <f>IFERROR(__xludf.DUMMYFUNCTION("""COMPUTED_VALUE"""),"#VALUE!")</f>
        <v>#VALUE!</v>
      </c>
      <c r="H317" s="51" t="str">
        <f>IFERROR(__xludf.DUMMYFUNCTION("""COMPUTED_VALUE"""),"")</f>
        <v/>
      </c>
      <c r="I317" s="51" t="str">
        <f>IFERROR(__xludf.DUMMYFUNCTION("""COMPUTED_VALUE"""),"#VALUE!")</f>
        <v>#VALUE!</v>
      </c>
      <c r="J317" s="51" t="str">
        <f>IFERROR(__xludf.DUMMYFUNCTION("""COMPUTED_VALUE"""),"")</f>
        <v/>
      </c>
      <c r="K317" s="51"/>
      <c r="L317" s="51" t="s">
        <v>257</v>
      </c>
      <c r="M317" s="51"/>
      <c r="N317" s="51"/>
      <c r="O317" s="51"/>
      <c r="P317" s="51"/>
      <c r="Q317" s="51"/>
      <c r="R317" s="51"/>
      <c r="S317" s="51"/>
      <c r="T317" s="51"/>
    </row>
    <row r="318">
      <c r="A318" s="51"/>
      <c r="B318" s="51"/>
      <c r="C318" s="56"/>
      <c r="D318" s="51"/>
      <c r="E318" s="51"/>
      <c r="F318" s="51"/>
      <c r="G318" s="51" t="str">
        <f>IFERROR(__xludf.DUMMYFUNCTION("""COMPUTED_VALUE"""),"#VALUE!")</f>
        <v>#VALUE!</v>
      </c>
      <c r="H318" s="51" t="str">
        <f>IFERROR(__xludf.DUMMYFUNCTION("""COMPUTED_VALUE"""),"")</f>
        <v/>
      </c>
      <c r="I318" s="51" t="str">
        <f>IFERROR(__xludf.DUMMYFUNCTION("""COMPUTED_VALUE"""),"#VALUE!")</f>
        <v>#VALUE!</v>
      </c>
      <c r="J318" s="51" t="str">
        <f>IFERROR(__xludf.DUMMYFUNCTION("""COMPUTED_VALUE"""),"")</f>
        <v/>
      </c>
      <c r="K318" s="51"/>
      <c r="L318" s="51" t="s">
        <v>257</v>
      </c>
      <c r="M318" s="51"/>
      <c r="N318" s="51"/>
      <c r="O318" s="51"/>
      <c r="P318" s="51"/>
      <c r="Q318" s="51"/>
      <c r="R318" s="51"/>
      <c r="S318" s="51"/>
      <c r="T318" s="51"/>
    </row>
    <row r="319">
      <c r="A319" s="51"/>
      <c r="B319" s="51"/>
      <c r="C319" s="56"/>
      <c r="D319" s="51"/>
      <c r="E319" s="51"/>
      <c r="F319" s="51"/>
      <c r="G319" s="51" t="str">
        <f>IFERROR(__xludf.DUMMYFUNCTION("""COMPUTED_VALUE"""),"#VALUE!")</f>
        <v>#VALUE!</v>
      </c>
      <c r="H319" s="51" t="str">
        <f>IFERROR(__xludf.DUMMYFUNCTION("""COMPUTED_VALUE"""),"")</f>
        <v/>
      </c>
      <c r="I319" s="51" t="str">
        <f>IFERROR(__xludf.DUMMYFUNCTION("""COMPUTED_VALUE"""),"#VALUE!")</f>
        <v>#VALUE!</v>
      </c>
      <c r="J319" s="51" t="str">
        <f>IFERROR(__xludf.DUMMYFUNCTION("""COMPUTED_VALUE"""),"")</f>
        <v/>
      </c>
      <c r="K319" s="51"/>
      <c r="L319" s="51" t="s">
        <v>257</v>
      </c>
      <c r="M319" s="51"/>
      <c r="N319" s="51"/>
      <c r="O319" s="51"/>
      <c r="P319" s="51"/>
      <c r="Q319" s="51"/>
      <c r="R319" s="51"/>
      <c r="S319" s="51"/>
      <c r="T319" s="51"/>
    </row>
    <row r="320">
      <c r="A320" s="51"/>
      <c r="B320" s="51"/>
      <c r="C320" s="56"/>
      <c r="D320" s="51"/>
      <c r="E320" s="51"/>
      <c r="F320" s="51"/>
      <c r="G320" s="51" t="str">
        <f>IFERROR(__xludf.DUMMYFUNCTION("""COMPUTED_VALUE"""),"#VALUE!")</f>
        <v>#VALUE!</v>
      </c>
      <c r="H320" s="51" t="str">
        <f>IFERROR(__xludf.DUMMYFUNCTION("""COMPUTED_VALUE"""),"")</f>
        <v/>
      </c>
      <c r="I320" s="51" t="str">
        <f>IFERROR(__xludf.DUMMYFUNCTION("""COMPUTED_VALUE"""),"#VALUE!")</f>
        <v>#VALUE!</v>
      </c>
      <c r="J320" s="51" t="str">
        <f>IFERROR(__xludf.DUMMYFUNCTION("""COMPUTED_VALUE"""),"")</f>
        <v/>
      </c>
      <c r="K320" s="51"/>
      <c r="L320" s="51" t="s">
        <v>257</v>
      </c>
      <c r="M320" s="51"/>
      <c r="N320" s="51"/>
      <c r="O320" s="51"/>
      <c r="P320" s="51"/>
      <c r="Q320" s="51"/>
      <c r="R320" s="51"/>
      <c r="S320" s="51"/>
      <c r="T320" s="51"/>
    </row>
    <row r="321">
      <c r="A321" s="51"/>
      <c r="B321" s="51"/>
      <c r="C321" s="56"/>
      <c r="D321" s="51"/>
      <c r="E321" s="51"/>
      <c r="F321" s="51"/>
      <c r="G321" s="51" t="str">
        <f>IFERROR(__xludf.DUMMYFUNCTION("""COMPUTED_VALUE"""),"#VALUE!")</f>
        <v>#VALUE!</v>
      </c>
      <c r="H321" s="51" t="str">
        <f>IFERROR(__xludf.DUMMYFUNCTION("""COMPUTED_VALUE"""),"")</f>
        <v/>
      </c>
      <c r="I321" s="51" t="str">
        <f>IFERROR(__xludf.DUMMYFUNCTION("""COMPUTED_VALUE"""),"#VALUE!")</f>
        <v>#VALUE!</v>
      </c>
      <c r="J321" s="51" t="str">
        <f>IFERROR(__xludf.DUMMYFUNCTION("""COMPUTED_VALUE"""),"")</f>
        <v/>
      </c>
      <c r="K321" s="51"/>
      <c r="L321" s="51" t="s">
        <v>257</v>
      </c>
      <c r="M321" s="51"/>
      <c r="N321" s="51"/>
      <c r="O321" s="51"/>
      <c r="P321" s="51"/>
      <c r="Q321" s="51"/>
      <c r="R321" s="51"/>
      <c r="S321" s="51"/>
      <c r="T321" s="51"/>
    </row>
    <row r="322">
      <c r="A322" s="51"/>
      <c r="B322" s="51"/>
      <c r="C322" s="56"/>
      <c r="D322" s="51"/>
      <c r="E322" s="51"/>
      <c r="F322" s="51"/>
      <c r="G322" s="51" t="str">
        <f>IFERROR(__xludf.DUMMYFUNCTION("""COMPUTED_VALUE"""),"#VALUE!")</f>
        <v>#VALUE!</v>
      </c>
      <c r="H322" s="51" t="str">
        <f>IFERROR(__xludf.DUMMYFUNCTION("""COMPUTED_VALUE"""),"")</f>
        <v/>
      </c>
      <c r="I322" s="51" t="str">
        <f>IFERROR(__xludf.DUMMYFUNCTION("""COMPUTED_VALUE"""),"#VALUE!")</f>
        <v>#VALUE!</v>
      </c>
      <c r="J322" s="51" t="str">
        <f>IFERROR(__xludf.DUMMYFUNCTION("""COMPUTED_VALUE"""),"")</f>
        <v/>
      </c>
      <c r="K322" s="51"/>
      <c r="L322" s="51" t="s">
        <v>257</v>
      </c>
      <c r="M322" s="51"/>
      <c r="N322" s="51"/>
      <c r="O322" s="51"/>
      <c r="P322" s="51"/>
      <c r="Q322" s="51"/>
      <c r="R322" s="51"/>
      <c r="S322" s="51"/>
      <c r="T322" s="51"/>
    </row>
    <row r="323">
      <c r="A323" s="51"/>
      <c r="B323" s="51"/>
      <c r="C323" s="56"/>
      <c r="D323" s="51"/>
      <c r="E323" s="51"/>
      <c r="F323" s="51"/>
      <c r="G323" s="51" t="str">
        <f>IFERROR(__xludf.DUMMYFUNCTION("""COMPUTED_VALUE"""),"#VALUE!")</f>
        <v>#VALUE!</v>
      </c>
      <c r="H323" s="51" t="str">
        <f>IFERROR(__xludf.DUMMYFUNCTION("""COMPUTED_VALUE"""),"")</f>
        <v/>
      </c>
      <c r="I323" s="51" t="str">
        <f>IFERROR(__xludf.DUMMYFUNCTION("""COMPUTED_VALUE"""),"#VALUE!")</f>
        <v>#VALUE!</v>
      </c>
      <c r="J323" s="51" t="str">
        <f>IFERROR(__xludf.DUMMYFUNCTION("""COMPUTED_VALUE"""),"")</f>
        <v/>
      </c>
      <c r="K323" s="51"/>
      <c r="L323" s="51" t="s">
        <v>257</v>
      </c>
      <c r="M323" s="51"/>
      <c r="N323" s="51"/>
      <c r="O323" s="51"/>
      <c r="P323" s="51"/>
      <c r="Q323" s="51"/>
      <c r="R323" s="51"/>
      <c r="S323" s="51"/>
      <c r="T323" s="51"/>
    </row>
    <row r="324">
      <c r="A324" s="51"/>
      <c r="B324" s="51"/>
      <c r="C324" s="56"/>
      <c r="D324" s="51"/>
      <c r="E324" s="51"/>
      <c r="F324" s="51"/>
      <c r="G324" s="51" t="str">
        <f>IFERROR(__xludf.DUMMYFUNCTION("""COMPUTED_VALUE"""),"#VALUE!")</f>
        <v>#VALUE!</v>
      </c>
      <c r="H324" s="51" t="str">
        <f>IFERROR(__xludf.DUMMYFUNCTION("""COMPUTED_VALUE"""),"")</f>
        <v/>
      </c>
      <c r="I324" s="51" t="str">
        <f>IFERROR(__xludf.DUMMYFUNCTION("""COMPUTED_VALUE"""),"#VALUE!")</f>
        <v>#VALUE!</v>
      </c>
      <c r="J324" s="51" t="str">
        <f>IFERROR(__xludf.DUMMYFUNCTION("""COMPUTED_VALUE"""),"")</f>
        <v/>
      </c>
      <c r="K324" s="51"/>
      <c r="L324" s="51" t="s">
        <v>257</v>
      </c>
      <c r="M324" s="51"/>
      <c r="N324" s="51"/>
      <c r="O324" s="51"/>
      <c r="P324" s="51"/>
      <c r="Q324" s="51"/>
      <c r="R324" s="51"/>
      <c r="S324" s="51"/>
      <c r="T324" s="51"/>
    </row>
    <row r="325">
      <c r="A325" s="51"/>
      <c r="B325" s="51"/>
      <c r="C325" s="56"/>
      <c r="D325" s="51"/>
      <c r="E325" s="51"/>
      <c r="F325" s="51"/>
      <c r="G325" s="51" t="str">
        <f>IFERROR(__xludf.DUMMYFUNCTION("""COMPUTED_VALUE"""),"#VALUE!")</f>
        <v>#VALUE!</v>
      </c>
      <c r="H325" s="51" t="str">
        <f>IFERROR(__xludf.DUMMYFUNCTION("""COMPUTED_VALUE"""),"")</f>
        <v/>
      </c>
      <c r="I325" s="51" t="str">
        <f>IFERROR(__xludf.DUMMYFUNCTION("""COMPUTED_VALUE"""),"#VALUE!")</f>
        <v>#VALUE!</v>
      </c>
      <c r="J325" s="51" t="str">
        <f>IFERROR(__xludf.DUMMYFUNCTION("""COMPUTED_VALUE"""),"")</f>
        <v/>
      </c>
      <c r="K325" s="51"/>
      <c r="L325" s="51" t="s">
        <v>257</v>
      </c>
      <c r="M325" s="51"/>
      <c r="N325" s="51"/>
      <c r="O325" s="51"/>
      <c r="P325" s="51"/>
      <c r="Q325" s="51"/>
      <c r="R325" s="51"/>
      <c r="S325" s="51"/>
      <c r="T325" s="51"/>
    </row>
    <row r="326">
      <c r="A326" s="51"/>
      <c r="B326" s="51"/>
      <c r="C326" s="56"/>
      <c r="D326" s="51"/>
      <c r="E326" s="51"/>
      <c r="F326" s="51"/>
      <c r="G326" s="51" t="str">
        <f>IFERROR(__xludf.DUMMYFUNCTION("""COMPUTED_VALUE"""),"#VALUE!")</f>
        <v>#VALUE!</v>
      </c>
      <c r="H326" s="51" t="str">
        <f>IFERROR(__xludf.DUMMYFUNCTION("""COMPUTED_VALUE"""),"")</f>
        <v/>
      </c>
      <c r="I326" s="51" t="str">
        <f>IFERROR(__xludf.DUMMYFUNCTION("""COMPUTED_VALUE"""),"#VALUE!")</f>
        <v>#VALUE!</v>
      </c>
      <c r="J326" s="51" t="str">
        <f>IFERROR(__xludf.DUMMYFUNCTION("""COMPUTED_VALUE"""),"")</f>
        <v/>
      </c>
      <c r="K326" s="51"/>
      <c r="L326" s="51" t="s">
        <v>257</v>
      </c>
      <c r="M326" s="51"/>
      <c r="N326" s="51"/>
      <c r="O326" s="51"/>
      <c r="P326" s="51"/>
      <c r="Q326" s="51"/>
      <c r="R326" s="51"/>
      <c r="S326" s="51"/>
      <c r="T326" s="51"/>
    </row>
    <row r="327">
      <c r="A327" s="51"/>
      <c r="B327" s="51"/>
      <c r="C327" s="56"/>
      <c r="D327" s="51"/>
      <c r="E327" s="51"/>
      <c r="F327" s="51"/>
      <c r="G327" s="51" t="str">
        <f>IFERROR(__xludf.DUMMYFUNCTION("""COMPUTED_VALUE"""),"#VALUE!")</f>
        <v>#VALUE!</v>
      </c>
      <c r="H327" s="51" t="str">
        <f>IFERROR(__xludf.DUMMYFUNCTION("""COMPUTED_VALUE"""),"")</f>
        <v/>
      </c>
      <c r="I327" s="51" t="str">
        <f>IFERROR(__xludf.DUMMYFUNCTION("""COMPUTED_VALUE"""),"#VALUE!")</f>
        <v>#VALUE!</v>
      </c>
      <c r="J327" s="51" t="str">
        <f>IFERROR(__xludf.DUMMYFUNCTION("""COMPUTED_VALUE"""),"")</f>
        <v/>
      </c>
      <c r="K327" s="51"/>
      <c r="L327" s="51" t="s">
        <v>257</v>
      </c>
      <c r="M327" s="51"/>
      <c r="N327" s="51"/>
      <c r="O327" s="51"/>
      <c r="P327" s="51"/>
      <c r="Q327" s="51"/>
      <c r="R327" s="51"/>
      <c r="S327" s="51"/>
      <c r="T327" s="51"/>
    </row>
    <row r="328">
      <c r="A328" s="51"/>
      <c r="B328" s="51"/>
      <c r="C328" s="56"/>
      <c r="D328" s="51"/>
      <c r="E328" s="51"/>
      <c r="F328" s="51"/>
      <c r="G328" s="51" t="str">
        <f>IFERROR(__xludf.DUMMYFUNCTION("""COMPUTED_VALUE"""),"#VALUE!")</f>
        <v>#VALUE!</v>
      </c>
      <c r="H328" s="51" t="str">
        <f>IFERROR(__xludf.DUMMYFUNCTION("""COMPUTED_VALUE"""),"")</f>
        <v/>
      </c>
      <c r="I328" s="51" t="str">
        <f>IFERROR(__xludf.DUMMYFUNCTION("""COMPUTED_VALUE"""),"#VALUE!")</f>
        <v>#VALUE!</v>
      </c>
      <c r="J328" s="51" t="str">
        <f>IFERROR(__xludf.DUMMYFUNCTION("""COMPUTED_VALUE"""),"")</f>
        <v/>
      </c>
      <c r="K328" s="51"/>
      <c r="L328" s="51" t="s">
        <v>257</v>
      </c>
      <c r="M328" s="51"/>
      <c r="N328" s="51"/>
      <c r="O328" s="51"/>
      <c r="P328" s="51"/>
      <c r="Q328" s="51"/>
      <c r="R328" s="51"/>
      <c r="S328" s="51"/>
      <c r="T328" s="51"/>
    </row>
    <row r="329">
      <c r="A329" s="51"/>
      <c r="B329" s="51"/>
      <c r="C329" s="56"/>
      <c r="D329" s="51"/>
      <c r="E329" s="51"/>
      <c r="F329" s="51"/>
      <c r="G329" s="51" t="str">
        <f>IFERROR(__xludf.DUMMYFUNCTION("""COMPUTED_VALUE"""),"#VALUE!")</f>
        <v>#VALUE!</v>
      </c>
      <c r="H329" s="51" t="str">
        <f>IFERROR(__xludf.DUMMYFUNCTION("""COMPUTED_VALUE"""),"")</f>
        <v/>
      </c>
      <c r="I329" s="51" t="str">
        <f>IFERROR(__xludf.DUMMYFUNCTION("""COMPUTED_VALUE"""),"#VALUE!")</f>
        <v>#VALUE!</v>
      </c>
      <c r="J329" s="51" t="str">
        <f>IFERROR(__xludf.DUMMYFUNCTION("""COMPUTED_VALUE"""),"")</f>
        <v/>
      </c>
      <c r="K329" s="51"/>
      <c r="L329" s="51" t="s">
        <v>257</v>
      </c>
      <c r="M329" s="51"/>
      <c r="N329" s="51"/>
      <c r="O329" s="51"/>
      <c r="P329" s="51"/>
      <c r="Q329" s="51"/>
      <c r="R329" s="51"/>
      <c r="S329" s="51"/>
      <c r="T329" s="51"/>
    </row>
    <row r="330">
      <c r="A330" s="51"/>
      <c r="B330" s="51"/>
      <c r="C330" s="56"/>
      <c r="D330" s="51"/>
      <c r="E330" s="51"/>
      <c r="F330" s="51"/>
      <c r="G330" s="51" t="str">
        <f>IFERROR(__xludf.DUMMYFUNCTION("""COMPUTED_VALUE"""),"#VALUE!")</f>
        <v>#VALUE!</v>
      </c>
      <c r="H330" s="51" t="str">
        <f>IFERROR(__xludf.DUMMYFUNCTION("""COMPUTED_VALUE"""),"")</f>
        <v/>
      </c>
      <c r="I330" s="51" t="str">
        <f>IFERROR(__xludf.DUMMYFUNCTION("""COMPUTED_VALUE"""),"#VALUE!")</f>
        <v>#VALUE!</v>
      </c>
      <c r="J330" s="51" t="str">
        <f>IFERROR(__xludf.DUMMYFUNCTION("""COMPUTED_VALUE"""),"")</f>
        <v/>
      </c>
      <c r="K330" s="51"/>
      <c r="L330" s="51" t="s">
        <v>257</v>
      </c>
      <c r="M330" s="51"/>
      <c r="N330" s="51"/>
      <c r="O330" s="51"/>
      <c r="P330" s="51"/>
      <c r="Q330" s="51"/>
      <c r="R330" s="51"/>
      <c r="S330" s="51"/>
      <c r="T330" s="51"/>
    </row>
    <row r="331">
      <c r="A331" s="51"/>
      <c r="B331" s="51"/>
      <c r="C331" s="56"/>
      <c r="D331" s="51"/>
      <c r="E331" s="51"/>
      <c r="F331" s="51"/>
      <c r="G331" s="51" t="str">
        <f>IFERROR(__xludf.DUMMYFUNCTION("""COMPUTED_VALUE"""),"#VALUE!")</f>
        <v>#VALUE!</v>
      </c>
      <c r="H331" s="51" t="str">
        <f>IFERROR(__xludf.DUMMYFUNCTION("""COMPUTED_VALUE"""),"")</f>
        <v/>
      </c>
      <c r="I331" s="51" t="str">
        <f>IFERROR(__xludf.DUMMYFUNCTION("""COMPUTED_VALUE"""),"#VALUE!")</f>
        <v>#VALUE!</v>
      </c>
      <c r="J331" s="51" t="str">
        <f>IFERROR(__xludf.DUMMYFUNCTION("""COMPUTED_VALUE"""),"")</f>
        <v/>
      </c>
      <c r="K331" s="51"/>
      <c r="L331" s="51" t="s">
        <v>257</v>
      </c>
      <c r="M331" s="51"/>
      <c r="N331" s="51"/>
      <c r="O331" s="51"/>
      <c r="P331" s="51"/>
      <c r="Q331" s="51"/>
      <c r="R331" s="51"/>
      <c r="S331" s="51"/>
      <c r="T331" s="51"/>
    </row>
    <row r="332">
      <c r="A332" s="51"/>
      <c r="B332" s="51"/>
      <c r="C332" s="56"/>
      <c r="D332" s="51"/>
      <c r="E332" s="51"/>
      <c r="F332" s="51"/>
      <c r="G332" s="51" t="str">
        <f>IFERROR(__xludf.DUMMYFUNCTION("""COMPUTED_VALUE"""),"#VALUE!")</f>
        <v>#VALUE!</v>
      </c>
      <c r="H332" s="51" t="str">
        <f>IFERROR(__xludf.DUMMYFUNCTION("""COMPUTED_VALUE"""),"")</f>
        <v/>
      </c>
      <c r="I332" s="51" t="str">
        <f>IFERROR(__xludf.DUMMYFUNCTION("""COMPUTED_VALUE"""),"#VALUE!")</f>
        <v>#VALUE!</v>
      </c>
      <c r="J332" s="51" t="str">
        <f>IFERROR(__xludf.DUMMYFUNCTION("""COMPUTED_VALUE"""),"")</f>
        <v/>
      </c>
      <c r="K332" s="51"/>
      <c r="L332" s="51" t="s">
        <v>257</v>
      </c>
      <c r="M332" s="51"/>
      <c r="N332" s="51"/>
      <c r="O332" s="51"/>
      <c r="P332" s="51"/>
      <c r="Q332" s="51"/>
      <c r="R332" s="51"/>
      <c r="S332" s="51"/>
      <c r="T332" s="51"/>
    </row>
    <row r="333">
      <c r="A333" s="51"/>
      <c r="B333" s="51"/>
      <c r="C333" s="56"/>
      <c r="D333" s="51"/>
      <c r="E333" s="51"/>
      <c r="F333" s="51"/>
      <c r="G333" s="51" t="str">
        <f>IFERROR(__xludf.DUMMYFUNCTION("""COMPUTED_VALUE"""),"#VALUE!")</f>
        <v>#VALUE!</v>
      </c>
      <c r="H333" s="51" t="str">
        <f>IFERROR(__xludf.DUMMYFUNCTION("""COMPUTED_VALUE"""),"")</f>
        <v/>
      </c>
      <c r="I333" s="51" t="str">
        <f>IFERROR(__xludf.DUMMYFUNCTION("""COMPUTED_VALUE"""),"#VALUE!")</f>
        <v>#VALUE!</v>
      </c>
      <c r="J333" s="51" t="str">
        <f>IFERROR(__xludf.DUMMYFUNCTION("""COMPUTED_VALUE"""),"")</f>
        <v/>
      </c>
      <c r="K333" s="51"/>
      <c r="L333" s="51" t="s">
        <v>257</v>
      </c>
      <c r="M333" s="51"/>
      <c r="N333" s="51"/>
      <c r="O333" s="51"/>
      <c r="P333" s="51"/>
      <c r="Q333" s="51"/>
      <c r="R333" s="51"/>
      <c r="S333" s="51"/>
      <c r="T333" s="51"/>
    </row>
    <row r="334">
      <c r="A334" s="51"/>
      <c r="B334" s="51"/>
      <c r="C334" s="56"/>
      <c r="D334" s="51"/>
      <c r="E334" s="51"/>
      <c r="F334" s="51"/>
      <c r="G334" s="51" t="str">
        <f>IFERROR(__xludf.DUMMYFUNCTION("""COMPUTED_VALUE"""),"#VALUE!")</f>
        <v>#VALUE!</v>
      </c>
      <c r="H334" s="51" t="str">
        <f>IFERROR(__xludf.DUMMYFUNCTION("""COMPUTED_VALUE"""),"")</f>
        <v/>
      </c>
      <c r="I334" s="51" t="str">
        <f>IFERROR(__xludf.DUMMYFUNCTION("""COMPUTED_VALUE"""),"#VALUE!")</f>
        <v>#VALUE!</v>
      </c>
      <c r="J334" s="51" t="str">
        <f>IFERROR(__xludf.DUMMYFUNCTION("""COMPUTED_VALUE"""),"")</f>
        <v/>
      </c>
      <c r="K334" s="51"/>
      <c r="L334" s="51" t="s">
        <v>257</v>
      </c>
      <c r="M334" s="51"/>
      <c r="N334" s="51"/>
      <c r="O334" s="51"/>
      <c r="P334" s="51"/>
      <c r="Q334" s="51"/>
      <c r="R334" s="51"/>
      <c r="S334" s="51"/>
      <c r="T334" s="51"/>
    </row>
    <row r="335">
      <c r="A335" s="51"/>
      <c r="B335" s="51"/>
      <c r="C335" s="56"/>
      <c r="D335" s="51"/>
      <c r="E335" s="51"/>
      <c r="F335" s="51"/>
      <c r="G335" s="51" t="str">
        <f>IFERROR(__xludf.DUMMYFUNCTION("""COMPUTED_VALUE"""),"#VALUE!")</f>
        <v>#VALUE!</v>
      </c>
      <c r="H335" s="51" t="str">
        <f>IFERROR(__xludf.DUMMYFUNCTION("""COMPUTED_VALUE"""),"")</f>
        <v/>
      </c>
      <c r="I335" s="51" t="str">
        <f>IFERROR(__xludf.DUMMYFUNCTION("""COMPUTED_VALUE"""),"#VALUE!")</f>
        <v>#VALUE!</v>
      </c>
      <c r="J335" s="51" t="str">
        <f>IFERROR(__xludf.DUMMYFUNCTION("""COMPUTED_VALUE"""),"")</f>
        <v/>
      </c>
      <c r="K335" s="51"/>
      <c r="L335" s="51" t="s">
        <v>257</v>
      </c>
      <c r="M335" s="51"/>
      <c r="N335" s="51"/>
      <c r="O335" s="51"/>
      <c r="P335" s="51"/>
      <c r="Q335" s="51"/>
      <c r="R335" s="51"/>
      <c r="S335" s="51"/>
      <c r="T335" s="51"/>
    </row>
    <row r="336">
      <c r="A336" s="51"/>
      <c r="B336" s="51"/>
      <c r="C336" s="56"/>
      <c r="D336" s="51"/>
      <c r="E336" s="51"/>
      <c r="F336" s="51"/>
      <c r="G336" s="51" t="str">
        <f>IFERROR(__xludf.DUMMYFUNCTION("""COMPUTED_VALUE"""),"#VALUE!")</f>
        <v>#VALUE!</v>
      </c>
      <c r="H336" s="51" t="str">
        <f>IFERROR(__xludf.DUMMYFUNCTION("""COMPUTED_VALUE"""),"")</f>
        <v/>
      </c>
      <c r="I336" s="51" t="str">
        <f>IFERROR(__xludf.DUMMYFUNCTION("""COMPUTED_VALUE"""),"#VALUE!")</f>
        <v>#VALUE!</v>
      </c>
      <c r="J336" s="51" t="str">
        <f>IFERROR(__xludf.DUMMYFUNCTION("""COMPUTED_VALUE"""),"")</f>
        <v/>
      </c>
      <c r="K336" s="51"/>
      <c r="L336" s="51" t="s">
        <v>257</v>
      </c>
      <c r="M336" s="51"/>
      <c r="N336" s="51"/>
      <c r="O336" s="51"/>
      <c r="P336" s="51"/>
      <c r="Q336" s="51"/>
      <c r="R336" s="51"/>
      <c r="S336" s="51"/>
      <c r="T336" s="51"/>
    </row>
    <row r="337">
      <c r="A337" s="51"/>
      <c r="B337" s="51"/>
      <c r="C337" s="56"/>
      <c r="D337" s="51"/>
      <c r="E337" s="51"/>
      <c r="F337" s="51"/>
      <c r="G337" s="51" t="str">
        <f>IFERROR(__xludf.DUMMYFUNCTION("""COMPUTED_VALUE"""),"#VALUE!")</f>
        <v>#VALUE!</v>
      </c>
      <c r="H337" s="51" t="str">
        <f>IFERROR(__xludf.DUMMYFUNCTION("""COMPUTED_VALUE"""),"")</f>
        <v/>
      </c>
      <c r="I337" s="51" t="str">
        <f>IFERROR(__xludf.DUMMYFUNCTION("""COMPUTED_VALUE"""),"#VALUE!")</f>
        <v>#VALUE!</v>
      </c>
      <c r="J337" s="51" t="str">
        <f>IFERROR(__xludf.DUMMYFUNCTION("""COMPUTED_VALUE"""),"")</f>
        <v/>
      </c>
      <c r="K337" s="51"/>
      <c r="L337" s="51" t="s">
        <v>257</v>
      </c>
      <c r="M337" s="51"/>
      <c r="N337" s="51"/>
      <c r="O337" s="51"/>
      <c r="P337" s="51"/>
      <c r="Q337" s="51"/>
      <c r="R337" s="51"/>
      <c r="S337" s="51"/>
      <c r="T337" s="51"/>
    </row>
    <row r="338">
      <c r="A338" s="51"/>
      <c r="B338" s="51"/>
      <c r="C338" s="56"/>
      <c r="D338" s="51"/>
      <c r="E338" s="51"/>
      <c r="F338" s="51"/>
      <c r="G338" s="51" t="str">
        <f>IFERROR(__xludf.DUMMYFUNCTION("""COMPUTED_VALUE"""),"#VALUE!")</f>
        <v>#VALUE!</v>
      </c>
      <c r="H338" s="51" t="str">
        <f>IFERROR(__xludf.DUMMYFUNCTION("""COMPUTED_VALUE"""),"")</f>
        <v/>
      </c>
      <c r="I338" s="51" t="str">
        <f>IFERROR(__xludf.DUMMYFUNCTION("""COMPUTED_VALUE"""),"#VALUE!")</f>
        <v>#VALUE!</v>
      </c>
      <c r="J338" s="51" t="str">
        <f>IFERROR(__xludf.DUMMYFUNCTION("""COMPUTED_VALUE"""),"")</f>
        <v/>
      </c>
      <c r="K338" s="51"/>
      <c r="L338" s="51" t="s">
        <v>257</v>
      </c>
      <c r="M338" s="51"/>
      <c r="N338" s="51"/>
      <c r="O338" s="51"/>
      <c r="P338" s="51"/>
      <c r="Q338" s="51"/>
      <c r="R338" s="51"/>
      <c r="S338" s="51"/>
      <c r="T338" s="51"/>
    </row>
    <row r="339">
      <c r="A339" s="51"/>
      <c r="B339" s="51"/>
      <c r="C339" s="56"/>
      <c r="D339" s="51"/>
      <c r="E339" s="51"/>
      <c r="F339" s="51"/>
      <c r="G339" s="51" t="str">
        <f>IFERROR(__xludf.DUMMYFUNCTION("""COMPUTED_VALUE"""),"#VALUE!")</f>
        <v>#VALUE!</v>
      </c>
      <c r="H339" s="51" t="str">
        <f>IFERROR(__xludf.DUMMYFUNCTION("""COMPUTED_VALUE"""),"")</f>
        <v/>
      </c>
      <c r="I339" s="51" t="str">
        <f>IFERROR(__xludf.DUMMYFUNCTION("""COMPUTED_VALUE"""),"#VALUE!")</f>
        <v>#VALUE!</v>
      </c>
      <c r="J339" s="51" t="str">
        <f>IFERROR(__xludf.DUMMYFUNCTION("""COMPUTED_VALUE"""),"")</f>
        <v/>
      </c>
      <c r="K339" s="51"/>
      <c r="L339" s="51" t="s">
        <v>257</v>
      </c>
      <c r="M339" s="51"/>
      <c r="N339" s="51"/>
      <c r="O339" s="51"/>
      <c r="P339" s="51"/>
      <c r="Q339" s="51"/>
      <c r="R339" s="51"/>
      <c r="S339" s="51"/>
      <c r="T339" s="51"/>
    </row>
    <row r="340">
      <c r="A340" s="51"/>
      <c r="B340" s="51"/>
      <c r="C340" s="56"/>
      <c r="D340" s="51"/>
      <c r="E340" s="51"/>
      <c r="F340" s="51"/>
      <c r="G340" s="51" t="str">
        <f>IFERROR(__xludf.DUMMYFUNCTION("""COMPUTED_VALUE"""),"#VALUE!")</f>
        <v>#VALUE!</v>
      </c>
      <c r="H340" s="51" t="str">
        <f>IFERROR(__xludf.DUMMYFUNCTION("""COMPUTED_VALUE"""),"")</f>
        <v/>
      </c>
      <c r="I340" s="51" t="str">
        <f>IFERROR(__xludf.DUMMYFUNCTION("""COMPUTED_VALUE"""),"#VALUE!")</f>
        <v>#VALUE!</v>
      </c>
      <c r="J340" s="51" t="str">
        <f>IFERROR(__xludf.DUMMYFUNCTION("""COMPUTED_VALUE"""),"")</f>
        <v/>
      </c>
      <c r="K340" s="51"/>
      <c r="L340" s="51" t="s">
        <v>257</v>
      </c>
      <c r="M340" s="51"/>
      <c r="N340" s="51"/>
      <c r="O340" s="51"/>
      <c r="P340" s="51"/>
      <c r="Q340" s="51"/>
      <c r="R340" s="51"/>
      <c r="S340" s="51"/>
      <c r="T340" s="51"/>
    </row>
    <row r="341">
      <c r="A341" s="51"/>
      <c r="B341" s="51"/>
      <c r="C341" s="56"/>
      <c r="D341" s="51"/>
      <c r="E341" s="51"/>
      <c r="F341" s="51"/>
      <c r="G341" s="51" t="str">
        <f>IFERROR(__xludf.DUMMYFUNCTION("""COMPUTED_VALUE"""),"#VALUE!")</f>
        <v>#VALUE!</v>
      </c>
      <c r="H341" s="51" t="str">
        <f>IFERROR(__xludf.DUMMYFUNCTION("""COMPUTED_VALUE"""),"")</f>
        <v/>
      </c>
      <c r="I341" s="51" t="str">
        <f>IFERROR(__xludf.DUMMYFUNCTION("""COMPUTED_VALUE"""),"#VALUE!")</f>
        <v>#VALUE!</v>
      </c>
      <c r="J341" s="51" t="str">
        <f>IFERROR(__xludf.DUMMYFUNCTION("""COMPUTED_VALUE"""),"")</f>
        <v/>
      </c>
      <c r="K341" s="51"/>
      <c r="L341" s="51" t="s">
        <v>257</v>
      </c>
      <c r="M341" s="51"/>
      <c r="N341" s="51"/>
      <c r="O341" s="51"/>
      <c r="P341" s="51"/>
      <c r="Q341" s="51"/>
      <c r="R341" s="51"/>
      <c r="S341" s="51"/>
      <c r="T341" s="51"/>
    </row>
    <row r="342">
      <c r="A342" s="51"/>
      <c r="B342" s="51"/>
      <c r="C342" s="56"/>
      <c r="D342" s="51"/>
      <c r="E342" s="51"/>
      <c r="F342" s="51"/>
      <c r="G342" s="51" t="str">
        <f>IFERROR(__xludf.DUMMYFUNCTION("""COMPUTED_VALUE"""),"#VALUE!")</f>
        <v>#VALUE!</v>
      </c>
      <c r="H342" s="51" t="str">
        <f>IFERROR(__xludf.DUMMYFUNCTION("""COMPUTED_VALUE"""),"")</f>
        <v/>
      </c>
      <c r="I342" s="51" t="str">
        <f>IFERROR(__xludf.DUMMYFUNCTION("""COMPUTED_VALUE"""),"#VALUE!")</f>
        <v>#VALUE!</v>
      </c>
      <c r="J342" s="51" t="str">
        <f>IFERROR(__xludf.DUMMYFUNCTION("""COMPUTED_VALUE"""),"")</f>
        <v/>
      </c>
      <c r="K342" s="51"/>
      <c r="L342" s="51" t="s">
        <v>257</v>
      </c>
      <c r="M342" s="51"/>
      <c r="N342" s="51"/>
      <c r="O342" s="51"/>
      <c r="P342" s="51"/>
      <c r="Q342" s="51"/>
      <c r="R342" s="51"/>
      <c r="S342" s="51"/>
      <c r="T342" s="51"/>
    </row>
    <row r="343">
      <c r="A343" s="51"/>
      <c r="B343" s="51"/>
      <c r="C343" s="56"/>
      <c r="D343" s="51"/>
      <c r="E343" s="51"/>
      <c r="F343" s="51"/>
      <c r="G343" s="51" t="str">
        <f>IFERROR(__xludf.DUMMYFUNCTION("""COMPUTED_VALUE"""),"#VALUE!")</f>
        <v>#VALUE!</v>
      </c>
      <c r="H343" s="51" t="str">
        <f>IFERROR(__xludf.DUMMYFUNCTION("""COMPUTED_VALUE"""),"")</f>
        <v/>
      </c>
      <c r="I343" s="51" t="str">
        <f>IFERROR(__xludf.DUMMYFUNCTION("""COMPUTED_VALUE"""),"#VALUE!")</f>
        <v>#VALUE!</v>
      </c>
      <c r="J343" s="51" t="str">
        <f>IFERROR(__xludf.DUMMYFUNCTION("""COMPUTED_VALUE"""),"")</f>
        <v/>
      </c>
      <c r="K343" s="51"/>
      <c r="L343" s="51" t="s">
        <v>257</v>
      </c>
      <c r="M343" s="51"/>
      <c r="N343" s="51"/>
      <c r="O343" s="51"/>
      <c r="P343" s="51"/>
      <c r="Q343" s="51"/>
      <c r="R343" s="51"/>
      <c r="S343" s="51"/>
      <c r="T343" s="51"/>
    </row>
    <row r="344">
      <c r="A344" s="51"/>
      <c r="B344" s="51"/>
      <c r="C344" s="56"/>
      <c r="D344" s="51"/>
      <c r="E344" s="51"/>
      <c r="F344" s="51"/>
      <c r="G344" s="51" t="str">
        <f>IFERROR(__xludf.DUMMYFUNCTION("""COMPUTED_VALUE"""),"#VALUE!")</f>
        <v>#VALUE!</v>
      </c>
      <c r="H344" s="51" t="str">
        <f>IFERROR(__xludf.DUMMYFUNCTION("""COMPUTED_VALUE"""),"")</f>
        <v/>
      </c>
      <c r="I344" s="51" t="str">
        <f>IFERROR(__xludf.DUMMYFUNCTION("""COMPUTED_VALUE"""),"#VALUE!")</f>
        <v>#VALUE!</v>
      </c>
      <c r="J344" s="51" t="str">
        <f>IFERROR(__xludf.DUMMYFUNCTION("""COMPUTED_VALUE"""),"")</f>
        <v/>
      </c>
      <c r="K344" s="51"/>
      <c r="L344" s="51" t="s">
        <v>257</v>
      </c>
      <c r="M344" s="51"/>
      <c r="N344" s="51"/>
      <c r="O344" s="51"/>
      <c r="P344" s="51"/>
      <c r="Q344" s="51"/>
      <c r="R344" s="51"/>
      <c r="S344" s="51"/>
      <c r="T344" s="51"/>
    </row>
    <row r="345">
      <c r="A345" s="51"/>
      <c r="B345" s="51"/>
      <c r="C345" s="56"/>
      <c r="D345" s="51"/>
      <c r="E345" s="51"/>
      <c r="F345" s="51"/>
      <c r="G345" s="51" t="str">
        <f>IFERROR(__xludf.DUMMYFUNCTION("""COMPUTED_VALUE"""),"#VALUE!")</f>
        <v>#VALUE!</v>
      </c>
      <c r="H345" s="51" t="str">
        <f>IFERROR(__xludf.DUMMYFUNCTION("""COMPUTED_VALUE"""),"")</f>
        <v/>
      </c>
      <c r="I345" s="51" t="str">
        <f>IFERROR(__xludf.DUMMYFUNCTION("""COMPUTED_VALUE"""),"#VALUE!")</f>
        <v>#VALUE!</v>
      </c>
      <c r="J345" s="51" t="str">
        <f>IFERROR(__xludf.DUMMYFUNCTION("""COMPUTED_VALUE"""),"")</f>
        <v/>
      </c>
      <c r="K345" s="51"/>
      <c r="L345" s="51" t="s">
        <v>257</v>
      </c>
      <c r="M345" s="51"/>
      <c r="N345" s="51"/>
      <c r="O345" s="51"/>
      <c r="P345" s="51"/>
      <c r="Q345" s="51"/>
      <c r="R345" s="51"/>
      <c r="S345" s="51"/>
      <c r="T345" s="51"/>
    </row>
    <row r="346">
      <c r="A346" s="51"/>
      <c r="B346" s="51"/>
      <c r="C346" s="56"/>
      <c r="D346" s="51"/>
      <c r="E346" s="51"/>
      <c r="F346" s="51"/>
      <c r="G346" s="51" t="str">
        <f>IFERROR(__xludf.DUMMYFUNCTION("""COMPUTED_VALUE"""),"#VALUE!")</f>
        <v>#VALUE!</v>
      </c>
      <c r="H346" s="51" t="str">
        <f>IFERROR(__xludf.DUMMYFUNCTION("""COMPUTED_VALUE"""),"")</f>
        <v/>
      </c>
      <c r="I346" s="51" t="str">
        <f>IFERROR(__xludf.DUMMYFUNCTION("""COMPUTED_VALUE"""),"#VALUE!")</f>
        <v>#VALUE!</v>
      </c>
      <c r="J346" s="51" t="str">
        <f>IFERROR(__xludf.DUMMYFUNCTION("""COMPUTED_VALUE"""),"")</f>
        <v/>
      </c>
      <c r="K346" s="51"/>
      <c r="L346" s="51" t="s">
        <v>257</v>
      </c>
      <c r="M346" s="51"/>
      <c r="N346" s="51"/>
      <c r="O346" s="51"/>
      <c r="P346" s="51"/>
      <c r="Q346" s="51"/>
      <c r="R346" s="51"/>
      <c r="S346" s="51"/>
      <c r="T346" s="51"/>
    </row>
    <row r="347">
      <c r="A347" s="51"/>
      <c r="B347" s="51"/>
      <c r="C347" s="56"/>
      <c r="D347" s="51"/>
      <c r="E347" s="51"/>
      <c r="F347" s="51"/>
      <c r="G347" s="51" t="str">
        <f>IFERROR(__xludf.DUMMYFUNCTION("""COMPUTED_VALUE"""),"#VALUE!")</f>
        <v>#VALUE!</v>
      </c>
      <c r="H347" s="51" t="str">
        <f>IFERROR(__xludf.DUMMYFUNCTION("""COMPUTED_VALUE"""),"")</f>
        <v/>
      </c>
      <c r="I347" s="51" t="str">
        <f>IFERROR(__xludf.DUMMYFUNCTION("""COMPUTED_VALUE"""),"#VALUE!")</f>
        <v>#VALUE!</v>
      </c>
      <c r="J347" s="51" t="str">
        <f>IFERROR(__xludf.DUMMYFUNCTION("""COMPUTED_VALUE"""),"")</f>
        <v/>
      </c>
      <c r="K347" s="51"/>
      <c r="L347" s="51" t="s">
        <v>257</v>
      </c>
      <c r="M347" s="51"/>
      <c r="N347" s="51"/>
      <c r="O347" s="51"/>
      <c r="P347" s="51"/>
      <c r="Q347" s="51"/>
      <c r="R347" s="51"/>
      <c r="S347" s="51"/>
      <c r="T347" s="51"/>
    </row>
    <row r="348">
      <c r="A348" s="51"/>
      <c r="B348" s="51"/>
      <c r="C348" s="56"/>
      <c r="D348" s="51"/>
      <c r="E348" s="51"/>
      <c r="F348" s="51"/>
      <c r="G348" s="51" t="str">
        <f>IFERROR(__xludf.DUMMYFUNCTION("""COMPUTED_VALUE"""),"#VALUE!")</f>
        <v>#VALUE!</v>
      </c>
      <c r="H348" s="51" t="str">
        <f>IFERROR(__xludf.DUMMYFUNCTION("""COMPUTED_VALUE"""),"")</f>
        <v/>
      </c>
      <c r="I348" s="51" t="str">
        <f>IFERROR(__xludf.DUMMYFUNCTION("""COMPUTED_VALUE"""),"#VALUE!")</f>
        <v>#VALUE!</v>
      </c>
      <c r="J348" s="51" t="str">
        <f>IFERROR(__xludf.DUMMYFUNCTION("""COMPUTED_VALUE"""),"")</f>
        <v/>
      </c>
      <c r="K348" s="51"/>
      <c r="L348" s="51" t="s">
        <v>257</v>
      </c>
      <c r="M348" s="51"/>
      <c r="N348" s="51"/>
      <c r="O348" s="51"/>
      <c r="P348" s="51"/>
      <c r="Q348" s="51"/>
      <c r="R348" s="51"/>
      <c r="S348" s="51"/>
      <c r="T348" s="51"/>
    </row>
    <row r="349">
      <c r="A349" s="51"/>
      <c r="B349" s="51"/>
      <c r="C349" s="56"/>
      <c r="D349" s="51"/>
      <c r="E349" s="51"/>
      <c r="F349" s="51"/>
      <c r="G349" s="51" t="str">
        <f>IFERROR(__xludf.DUMMYFUNCTION("""COMPUTED_VALUE"""),"#VALUE!")</f>
        <v>#VALUE!</v>
      </c>
      <c r="H349" s="51" t="str">
        <f>IFERROR(__xludf.DUMMYFUNCTION("""COMPUTED_VALUE"""),"")</f>
        <v/>
      </c>
      <c r="I349" s="51" t="str">
        <f>IFERROR(__xludf.DUMMYFUNCTION("""COMPUTED_VALUE"""),"#VALUE!")</f>
        <v>#VALUE!</v>
      </c>
      <c r="J349" s="51" t="str">
        <f>IFERROR(__xludf.DUMMYFUNCTION("""COMPUTED_VALUE"""),"")</f>
        <v/>
      </c>
      <c r="K349" s="51"/>
      <c r="L349" s="51" t="s">
        <v>257</v>
      </c>
      <c r="M349" s="51"/>
      <c r="N349" s="51"/>
      <c r="O349" s="51"/>
      <c r="P349" s="51"/>
      <c r="Q349" s="51"/>
      <c r="R349" s="51"/>
      <c r="S349" s="51"/>
      <c r="T349" s="51"/>
    </row>
    <row r="350">
      <c r="A350" s="51"/>
      <c r="B350" s="51"/>
      <c r="C350" s="56"/>
      <c r="D350" s="51"/>
      <c r="E350" s="51"/>
      <c r="F350" s="51"/>
      <c r="G350" s="51" t="str">
        <f>IFERROR(__xludf.DUMMYFUNCTION("""COMPUTED_VALUE"""),"#VALUE!")</f>
        <v>#VALUE!</v>
      </c>
      <c r="H350" s="51" t="str">
        <f>IFERROR(__xludf.DUMMYFUNCTION("""COMPUTED_VALUE"""),"")</f>
        <v/>
      </c>
      <c r="I350" s="51" t="str">
        <f>IFERROR(__xludf.DUMMYFUNCTION("""COMPUTED_VALUE"""),"#VALUE!")</f>
        <v>#VALUE!</v>
      </c>
      <c r="J350" s="51" t="str">
        <f>IFERROR(__xludf.DUMMYFUNCTION("""COMPUTED_VALUE"""),"")</f>
        <v/>
      </c>
      <c r="K350" s="51"/>
      <c r="L350" s="51" t="s">
        <v>257</v>
      </c>
      <c r="M350" s="51"/>
      <c r="N350" s="51"/>
      <c r="O350" s="51"/>
      <c r="P350" s="51"/>
      <c r="Q350" s="51"/>
      <c r="R350" s="51"/>
      <c r="S350" s="51"/>
      <c r="T350" s="51"/>
    </row>
    <row r="351">
      <c r="A351" s="51"/>
      <c r="B351" s="51"/>
      <c r="C351" s="56"/>
      <c r="D351" s="51"/>
      <c r="E351" s="51"/>
      <c r="F351" s="51"/>
      <c r="G351" s="51" t="str">
        <f>IFERROR(__xludf.DUMMYFUNCTION("""COMPUTED_VALUE"""),"#VALUE!")</f>
        <v>#VALUE!</v>
      </c>
      <c r="H351" s="51" t="str">
        <f>IFERROR(__xludf.DUMMYFUNCTION("""COMPUTED_VALUE"""),"")</f>
        <v/>
      </c>
      <c r="I351" s="51" t="str">
        <f>IFERROR(__xludf.DUMMYFUNCTION("""COMPUTED_VALUE"""),"#VALUE!")</f>
        <v>#VALUE!</v>
      </c>
      <c r="J351" s="51" t="str">
        <f>IFERROR(__xludf.DUMMYFUNCTION("""COMPUTED_VALUE"""),"")</f>
        <v/>
      </c>
      <c r="K351" s="51"/>
      <c r="L351" s="51" t="s">
        <v>257</v>
      </c>
      <c r="M351" s="51"/>
      <c r="N351" s="51"/>
      <c r="O351" s="51"/>
      <c r="P351" s="51"/>
      <c r="Q351" s="51"/>
      <c r="R351" s="51"/>
      <c r="S351" s="51"/>
      <c r="T351" s="51"/>
    </row>
    <row r="352">
      <c r="A352" s="51"/>
      <c r="B352" s="51"/>
      <c r="C352" s="56"/>
      <c r="D352" s="51"/>
      <c r="E352" s="51"/>
      <c r="F352" s="51"/>
      <c r="G352" s="51" t="str">
        <f>IFERROR(__xludf.DUMMYFUNCTION("""COMPUTED_VALUE"""),"#VALUE!")</f>
        <v>#VALUE!</v>
      </c>
      <c r="H352" s="51" t="str">
        <f>IFERROR(__xludf.DUMMYFUNCTION("""COMPUTED_VALUE"""),"")</f>
        <v/>
      </c>
      <c r="I352" s="51" t="str">
        <f>IFERROR(__xludf.DUMMYFUNCTION("""COMPUTED_VALUE"""),"#VALUE!")</f>
        <v>#VALUE!</v>
      </c>
      <c r="J352" s="51" t="str">
        <f>IFERROR(__xludf.DUMMYFUNCTION("""COMPUTED_VALUE"""),"")</f>
        <v/>
      </c>
      <c r="K352" s="51"/>
      <c r="L352" s="51" t="s">
        <v>257</v>
      </c>
      <c r="M352" s="51"/>
      <c r="N352" s="51"/>
      <c r="O352" s="51"/>
      <c r="P352" s="51"/>
      <c r="Q352" s="51"/>
      <c r="R352" s="51"/>
      <c r="S352" s="51"/>
      <c r="T352" s="51"/>
    </row>
    <row r="353">
      <c r="A353" s="51"/>
      <c r="B353" s="51"/>
      <c r="C353" s="56"/>
      <c r="D353" s="51"/>
      <c r="E353" s="51"/>
      <c r="F353" s="51"/>
      <c r="G353" s="51" t="str">
        <f>IFERROR(__xludf.DUMMYFUNCTION("""COMPUTED_VALUE"""),"#VALUE!")</f>
        <v>#VALUE!</v>
      </c>
      <c r="H353" s="51" t="str">
        <f>IFERROR(__xludf.DUMMYFUNCTION("""COMPUTED_VALUE"""),"")</f>
        <v/>
      </c>
      <c r="I353" s="51" t="str">
        <f>IFERROR(__xludf.DUMMYFUNCTION("""COMPUTED_VALUE"""),"#VALUE!")</f>
        <v>#VALUE!</v>
      </c>
      <c r="J353" s="51" t="str">
        <f>IFERROR(__xludf.DUMMYFUNCTION("""COMPUTED_VALUE"""),"")</f>
        <v/>
      </c>
      <c r="K353" s="51"/>
      <c r="L353" s="51" t="s">
        <v>257</v>
      </c>
      <c r="M353" s="51"/>
      <c r="N353" s="51"/>
      <c r="O353" s="51"/>
      <c r="P353" s="51"/>
      <c r="Q353" s="51"/>
      <c r="R353" s="51"/>
      <c r="S353" s="51"/>
      <c r="T353" s="51"/>
    </row>
    <row r="354">
      <c r="A354" s="51"/>
      <c r="B354" s="51"/>
      <c r="C354" s="56"/>
      <c r="D354" s="51"/>
      <c r="E354" s="51"/>
      <c r="F354" s="51"/>
      <c r="G354" s="51" t="str">
        <f>IFERROR(__xludf.DUMMYFUNCTION("""COMPUTED_VALUE"""),"#VALUE!")</f>
        <v>#VALUE!</v>
      </c>
      <c r="H354" s="51" t="str">
        <f>IFERROR(__xludf.DUMMYFUNCTION("""COMPUTED_VALUE"""),"")</f>
        <v/>
      </c>
      <c r="I354" s="51" t="str">
        <f>IFERROR(__xludf.DUMMYFUNCTION("""COMPUTED_VALUE"""),"#VALUE!")</f>
        <v>#VALUE!</v>
      </c>
      <c r="J354" s="51" t="str">
        <f>IFERROR(__xludf.DUMMYFUNCTION("""COMPUTED_VALUE"""),"")</f>
        <v/>
      </c>
      <c r="K354" s="51"/>
      <c r="L354" s="51" t="s">
        <v>257</v>
      </c>
      <c r="M354" s="51"/>
      <c r="N354" s="51"/>
      <c r="O354" s="51"/>
      <c r="P354" s="51"/>
      <c r="Q354" s="51"/>
      <c r="R354" s="51"/>
      <c r="S354" s="51"/>
      <c r="T354" s="51"/>
    </row>
    <row r="355">
      <c r="A355" s="51"/>
      <c r="B355" s="51"/>
      <c r="C355" s="56"/>
      <c r="D355" s="51"/>
      <c r="E355" s="51"/>
      <c r="F355" s="51"/>
      <c r="G355" s="51" t="str">
        <f>IFERROR(__xludf.DUMMYFUNCTION("""COMPUTED_VALUE"""),"#VALUE!")</f>
        <v>#VALUE!</v>
      </c>
      <c r="H355" s="51" t="str">
        <f>IFERROR(__xludf.DUMMYFUNCTION("""COMPUTED_VALUE"""),"")</f>
        <v/>
      </c>
      <c r="I355" s="51" t="str">
        <f>IFERROR(__xludf.DUMMYFUNCTION("""COMPUTED_VALUE"""),"#VALUE!")</f>
        <v>#VALUE!</v>
      </c>
      <c r="J355" s="51" t="str">
        <f>IFERROR(__xludf.DUMMYFUNCTION("""COMPUTED_VALUE"""),"")</f>
        <v/>
      </c>
      <c r="K355" s="51"/>
      <c r="L355" s="51" t="s">
        <v>257</v>
      </c>
      <c r="M355" s="51"/>
      <c r="N355" s="51"/>
      <c r="O355" s="51"/>
      <c r="P355" s="51"/>
      <c r="Q355" s="51"/>
      <c r="R355" s="51"/>
      <c r="S355" s="51"/>
      <c r="T355" s="51"/>
    </row>
    <row r="356">
      <c r="A356" s="51"/>
      <c r="B356" s="51"/>
      <c r="C356" s="56"/>
      <c r="D356" s="51"/>
      <c r="E356" s="51"/>
      <c r="F356" s="51"/>
      <c r="G356" s="51" t="str">
        <f>IFERROR(__xludf.DUMMYFUNCTION("""COMPUTED_VALUE"""),"#VALUE!")</f>
        <v>#VALUE!</v>
      </c>
      <c r="H356" s="51" t="str">
        <f>IFERROR(__xludf.DUMMYFUNCTION("""COMPUTED_VALUE"""),"")</f>
        <v/>
      </c>
      <c r="I356" s="51" t="str">
        <f>IFERROR(__xludf.DUMMYFUNCTION("""COMPUTED_VALUE"""),"#VALUE!")</f>
        <v>#VALUE!</v>
      </c>
      <c r="J356" s="51" t="str">
        <f>IFERROR(__xludf.DUMMYFUNCTION("""COMPUTED_VALUE"""),"")</f>
        <v/>
      </c>
      <c r="K356" s="51"/>
      <c r="L356" s="51" t="s">
        <v>257</v>
      </c>
      <c r="M356" s="51"/>
      <c r="N356" s="51"/>
      <c r="O356" s="51"/>
      <c r="P356" s="51"/>
      <c r="Q356" s="51"/>
      <c r="R356" s="51"/>
      <c r="S356" s="51"/>
      <c r="T356" s="51"/>
    </row>
    <row r="357">
      <c r="A357" s="51"/>
      <c r="B357" s="51"/>
      <c r="C357" s="56"/>
      <c r="D357" s="51"/>
      <c r="E357" s="51"/>
      <c r="F357" s="51"/>
      <c r="G357" s="51" t="str">
        <f>IFERROR(__xludf.DUMMYFUNCTION("""COMPUTED_VALUE"""),"#VALUE!")</f>
        <v>#VALUE!</v>
      </c>
      <c r="H357" s="51" t="str">
        <f>IFERROR(__xludf.DUMMYFUNCTION("""COMPUTED_VALUE"""),"")</f>
        <v/>
      </c>
      <c r="I357" s="51" t="str">
        <f>IFERROR(__xludf.DUMMYFUNCTION("""COMPUTED_VALUE"""),"#VALUE!")</f>
        <v>#VALUE!</v>
      </c>
      <c r="J357" s="51" t="str">
        <f>IFERROR(__xludf.DUMMYFUNCTION("""COMPUTED_VALUE"""),"")</f>
        <v/>
      </c>
      <c r="K357" s="51"/>
      <c r="L357" s="51" t="s">
        <v>257</v>
      </c>
      <c r="M357" s="51"/>
      <c r="N357" s="51"/>
      <c r="O357" s="51"/>
      <c r="P357" s="51"/>
      <c r="Q357" s="51"/>
      <c r="R357" s="51"/>
      <c r="S357" s="51"/>
      <c r="T357" s="51"/>
    </row>
    <row r="358">
      <c r="A358" s="51"/>
      <c r="B358" s="51"/>
      <c r="C358" s="56"/>
      <c r="D358" s="51"/>
      <c r="E358" s="51"/>
      <c r="F358" s="51"/>
      <c r="G358" s="51" t="str">
        <f>IFERROR(__xludf.DUMMYFUNCTION("""COMPUTED_VALUE"""),"#VALUE!")</f>
        <v>#VALUE!</v>
      </c>
      <c r="H358" s="51" t="str">
        <f>IFERROR(__xludf.DUMMYFUNCTION("""COMPUTED_VALUE"""),"")</f>
        <v/>
      </c>
      <c r="I358" s="51" t="str">
        <f>IFERROR(__xludf.DUMMYFUNCTION("""COMPUTED_VALUE"""),"#VALUE!")</f>
        <v>#VALUE!</v>
      </c>
      <c r="J358" s="51" t="str">
        <f>IFERROR(__xludf.DUMMYFUNCTION("""COMPUTED_VALUE"""),"")</f>
        <v/>
      </c>
      <c r="K358" s="51"/>
      <c r="L358" s="51" t="s">
        <v>257</v>
      </c>
      <c r="M358" s="51"/>
      <c r="N358" s="51"/>
      <c r="O358" s="51"/>
      <c r="P358" s="51"/>
      <c r="Q358" s="51"/>
      <c r="R358" s="51"/>
      <c r="S358" s="51"/>
      <c r="T358" s="51"/>
    </row>
    <row r="359">
      <c r="A359" s="51"/>
      <c r="B359" s="51"/>
      <c r="C359" s="56"/>
      <c r="D359" s="51"/>
      <c r="E359" s="51"/>
      <c r="F359" s="51"/>
      <c r="G359" s="51" t="str">
        <f>IFERROR(__xludf.DUMMYFUNCTION("""COMPUTED_VALUE"""),"#VALUE!")</f>
        <v>#VALUE!</v>
      </c>
      <c r="H359" s="51" t="str">
        <f>IFERROR(__xludf.DUMMYFUNCTION("""COMPUTED_VALUE"""),"")</f>
        <v/>
      </c>
      <c r="I359" s="51" t="str">
        <f>IFERROR(__xludf.DUMMYFUNCTION("""COMPUTED_VALUE"""),"#VALUE!")</f>
        <v>#VALUE!</v>
      </c>
      <c r="J359" s="51" t="str">
        <f>IFERROR(__xludf.DUMMYFUNCTION("""COMPUTED_VALUE"""),"")</f>
        <v/>
      </c>
      <c r="K359" s="51"/>
      <c r="L359" s="51" t="s">
        <v>257</v>
      </c>
      <c r="M359" s="51"/>
      <c r="N359" s="51"/>
      <c r="O359" s="51"/>
      <c r="P359" s="51"/>
      <c r="Q359" s="51"/>
      <c r="R359" s="51"/>
      <c r="S359" s="51"/>
      <c r="T359" s="51"/>
    </row>
    <row r="360">
      <c r="A360" s="51"/>
      <c r="B360" s="51"/>
      <c r="C360" s="56"/>
      <c r="D360" s="51"/>
      <c r="E360" s="51"/>
      <c r="F360" s="51"/>
      <c r="G360" s="51" t="str">
        <f>IFERROR(__xludf.DUMMYFUNCTION("""COMPUTED_VALUE"""),"#VALUE!")</f>
        <v>#VALUE!</v>
      </c>
      <c r="H360" s="51" t="str">
        <f>IFERROR(__xludf.DUMMYFUNCTION("""COMPUTED_VALUE"""),"")</f>
        <v/>
      </c>
      <c r="I360" s="51" t="str">
        <f>IFERROR(__xludf.DUMMYFUNCTION("""COMPUTED_VALUE"""),"#VALUE!")</f>
        <v>#VALUE!</v>
      </c>
      <c r="J360" s="51" t="str">
        <f>IFERROR(__xludf.DUMMYFUNCTION("""COMPUTED_VALUE"""),"")</f>
        <v/>
      </c>
      <c r="K360" s="51"/>
      <c r="L360" s="51" t="s">
        <v>257</v>
      </c>
      <c r="M360" s="51"/>
      <c r="N360" s="51"/>
      <c r="O360" s="51"/>
      <c r="P360" s="51"/>
      <c r="Q360" s="51"/>
      <c r="R360" s="51"/>
      <c r="S360" s="51"/>
      <c r="T360" s="51"/>
    </row>
    <row r="361">
      <c r="A361" s="51"/>
      <c r="B361" s="51"/>
      <c r="C361" s="56"/>
      <c r="D361" s="51"/>
      <c r="E361" s="51"/>
      <c r="F361" s="51"/>
      <c r="G361" s="51" t="str">
        <f>IFERROR(__xludf.DUMMYFUNCTION("""COMPUTED_VALUE"""),"#VALUE!")</f>
        <v>#VALUE!</v>
      </c>
      <c r="H361" s="51" t="str">
        <f>IFERROR(__xludf.DUMMYFUNCTION("""COMPUTED_VALUE"""),"")</f>
        <v/>
      </c>
      <c r="I361" s="51" t="str">
        <f>IFERROR(__xludf.DUMMYFUNCTION("""COMPUTED_VALUE"""),"#VALUE!")</f>
        <v>#VALUE!</v>
      </c>
      <c r="J361" s="51" t="str">
        <f>IFERROR(__xludf.DUMMYFUNCTION("""COMPUTED_VALUE"""),"")</f>
        <v/>
      </c>
      <c r="K361" s="51"/>
      <c r="L361" s="51" t="s">
        <v>257</v>
      </c>
      <c r="M361" s="51"/>
      <c r="N361" s="51"/>
      <c r="O361" s="51"/>
      <c r="P361" s="51"/>
      <c r="Q361" s="51"/>
      <c r="R361" s="51"/>
      <c r="S361" s="51"/>
      <c r="T361" s="51"/>
    </row>
    <row r="362">
      <c r="A362" s="51"/>
      <c r="B362" s="51"/>
      <c r="C362" s="56"/>
      <c r="D362" s="51"/>
      <c r="E362" s="51"/>
      <c r="F362" s="51"/>
      <c r="G362" s="51" t="str">
        <f>IFERROR(__xludf.DUMMYFUNCTION("""COMPUTED_VALUE"""),"#VALUE!")</f>
        <v>#VALUE!</v>
      </c>
      <c r="H362" s="51" t="str">
        <f>IFERROR(__xludf.DUMMYFUNCTION("""COMPUTED_VALUE"""),"")</f>
        <v/>
      </c>
      <c r="I362" s="51" t="str">
        <f>IFERROR(__xludf.DUMMYFUNCTION("""COMPUTED_VALUE"""),"#VALUE!")</f>
        <v>#VALUE!</v>
      </c>
      <c r="J362" s="51" t="str">
        <f>IFERROR(__xludf.DUMMYFUNCTION("""COMPUTED_VALUE"""),"")</f>
        <v/>
      </c>
      <c r="K362" s="51"/>
      <c r="L362" s="51" t="s">
        <v>257</v>
      </c>
      <c r="M362" s="51"/>
      <c r="N362" s="51"/>
      <c r="O362" s="51"/>
      <c r="P362" s="51"/>
      <c r="Q362" s="51"/>
      <c r="R362" s="51"/>
      <c r="S362" s="51"/>
      <c r="T362" s="51"/>
    </row>
    <row r="363">
      <c r="A363" s="51"/>
      <c r="B363" s="51"/>
      <c r="C363" s="56"/>
      <c r="D363" s="51"/>
      <c r="E363" s="51"/>
      <c r="F363" s="51"/>
      <c r="G363" s="51" t="str">
        <f>IFERROR(__xludf.DUMMYFUNCTION("""COMPUTED_VALUE"""),"#VALUE!")</f>
        <v>#VALUE!</v>
      </c>
      <c r="H363" s="51" t="str">
        <f>IFERROR(__xludf.DUMMYFUNCTION("""COMPUTED_VALUE"""),"")</f>
        <v/>
      </c>
      <c r="I363" s="51" t="str">
        <f>IFERROR(__xludf.DUMMYFUNCTION("""COMPUTED_VALUE"""),"#VALUE!")</f>
        <v>#VALUE!</v>
      </c>
      <c r="J363" s="51" t="str">
        <f>IFERROR(__xludf.DUMMYFUNCTION("""COMPUTED_VALUE"""),"")</f>
        <v/>
      </c>
      <c r="K363" s="51"/>
      <c r="L363" s="51" t="s">
        <v>257</v>
      </c>
      <c r="M363" s="51"/>
      <c r="N363" s="51"/>
      <c r="O363" s="51"/>
      <c r="P363" s="51"/>
      <c r="Q363" s="51"/>
      <c r="R363" s="51"/>
      <c r="S363" s="51"/>
      <c r="T363" s="51"/>
    </row>
    <row r="364">
      <c r="A364" s="51"/>
      <c r="B364" s="51"/>
      <c r="C364" s="56"/>
      <c r="D364" s="51"/>
      <c r="E364" s="51"/>
      <c r="F364" s="51"/>
      <c r="G364" s="51" t="str">
        <f>IFERROR(__xludf.DUMMYFUNCTION("""COMPUTED_VALUE"""),"#VALUE!")</f>
        <v>#VALUE!</v>
      </c>
      <c r="H364" s="51" t="str">
        <f>IFERROR(__xludf.DUMMYFUNCTION("""COMPUTED_VALUE"""),"")</f>
        <v/>
      </c>
      <c r="I364" s="51" t="str">
        <f>IFERROR(__xludf.DUMMYFUNCTION("""COMPUTED_VALUE"""),"#VALUE!")</f>
        <v>#VALUE!</v>
      </c>
      <c r="J364" s="51" t="str">
        <f>IFERROR(__xludf.DUMMYFUNCTION("""COMPUTED_VALUE"""),"")</f>
        <v/>
      </c>
      <c r="K364" s="51"/>
      <c r="L364" s="51" t="s">
        <v>257</v>
      </c>
      <c r="M364" s="51"/>
      <c r="N364" s="51"/>
      <c r="O364" s="51"/>
      <c r="P364" s="51"/>
      <c r="Q364" s="51"/>
      <c r="R364" s="51"/>
      <c r="S364" s="51"/>
      <c r="T364" s="51"/>
    </row>
    <row r="365">
      <c r="A365" s="51"/>
      <c r="B365" s="51"/>
      <c r="C365" s="56"/>
      <c r="D365" s="51"/>
      <c r="E365" s="51"/>
      <c r="F365" s="51"/>
      <c r="G365" s="51" t="str">
        <f>IFERROR(__xludf.DUMMYFUNCTION("""COMPUTED_VALUE"""),"#VALUE!")</f>
        <v>#VALUE!</v>
      </c>
      <c r="H365" s="51" t="str">
        <f>IFERROR(__xludf.DUMMYFUNCTION("""COMPUTED_VALUE"""),"")</f>
        <v/>
      </c>
      <c r="I365" s="51" t="str">
        <f>IFERROR(__xludf.DUMMYFUNCTION("""COMPUTED_VALUE"""),"#VALUE!")</f>
        <v>#VALUE!</v>
      </c>
      <c r="J365" s="51" t="str">
        <f>IFERROR(__xludf.DUMMYFUNCTION("""COMPUTED_VALUE"""),"")</f>
        <v/>
      </c>
      <c r="K365" s="51"/>
      <c r="L365" s="51" t="s">
        <v>257</v>
      </c>
      <c r="M365" s="51"/>
      <c r="N365" s="51"/>
      <c r="O365" s="51"/>
      <c r="P365" s="51"/>
      <c r="Q365" s="51"/>
      <c r="R365" s="51"/>
      <c r="S365" s="51"/>
      <c r="T365" s="51"/>
    </row>
    <row r="366">
      <c r="A366" s="51"/>
      <c r="B366" s="51"/>
      <c r="C366" s="56"/>
      <c r="D366" s="51"/>
      <c r="E366" s="51"/>
      <c r="F366" s="51"/>
      <c r="G366" s="51" t="str">
        <f>IFERROR(__xludf.DUMMYFUNCTION("""COMPUTED_VALUE"""),"#VALUE!")</f>
        <v>#VALUE!</v>
      </c>
      <c r="H366" s="51" t="str">
        <f>IFERROR(__xludf.DUMMYFUNCTION("""COMPUTED_VALUE"""),"")</f>
        <v/>
      </c>
      <c r="I366" s="51" t="str">
        <f>IFERROR(__xludf.DUMMYFUNCTION("""COMPUTED_VALUE"""),"#VALUE!")</f>
        <v>#VALUE!</v>
      </c>
      <c r="J366" s="51" t="str">
        <f>IFERROR(__xludf.DUMMYFUNCTION("""COMPUTED_VALUE"""),"")</f>
        <v/>
      </c>
      <c r="K366" s="51"/>
      <c r="L366" s="51" t="s">
        <v>257</v>
      </c>
      <c r="M366" s="51"/>
      <c r="N366" s="51"/>
      <c r="O366" s="51"/>
      <c r="P366" s="51"/>
      <c r="Q366" s="51"/>
      <c r="R366" s="51"/>
      <c r="S366" s="51"/>
      <c r="T366" s="51"/>
    </row>
    <row r="367">
      <c r="A367" s="51"/>
      <c r="B367" s="51"/>
      <c r="C367" s="56"/>
      <c r="D367" s="51"/>
      <c r="E367" s="51"/>
      <c r="F367" s="51"/>
      <c r="G367" s="51" t="str">
        <f>IFERROR(__xludf.DUMMYFUNCTION("""COMPUTED_VALUE"""),"#VALUE!")</f>
        <v>#VALUE!</v>
      </c>
      <c r="H367" s="51" t="str">
        <f>IFERROR(__xludf.DUMMYFUNCTION("""COMPUTED_VALUE"""),"")</f>
        <v/>
      </c>
      <c r="I367" s="51" t="str">
        <f>IFERROR(__xludf.DUMMYFUNCTION("""COMPUTED_VALUE"""),"#VALUE!")</f>
        <v>#VALUE!</v>
      </c>
      <c r="J367" s="51" t="str">
        <f>IFERROR(__xludf.DUMMYFUNCTION("""COMPUTED_VALUE"""),"")</f>
        <v/>
      </c>
      <c r="K367" s="51"/>
      <c r="L367" s="51" t="s">
        <v>257</v>
      </c>
      <c r="M367" s="51"/>
      <c r="N367" s="51"/>
      <c r="O367" s="51"/>
      <c r="P367" s="51"/>
      <c r="Q367" s="51"/>
      <c r="R367" s="51"/>
      <c r="S367" s="51"/>
      <c r="T367" s="51"/>
    </row>
    <row r="368">
      <c r="A368" s="51"/>
      <c r="B368" s="51"/>
      <c r="C368" s="56"/>
      <c r="D368" s="51"/>
      <c r="E368" s="51"/>
      <c r="F368" s="51"/>
      <c r="G368" s="51" t="str">
        <f>IFERROR(__xludf.DUMMYFUNCTION("""COMPUTED_VALUE"""),"#VALUE!")</f>
        <v>#VALUE!</v>
      </c>
      <c r="H368" s="51" t="str">
        <f>IFERROR(__xludf.DUMMYFUNCTION("""COMPUTED_VALUE"""),"")</f>
        <v/>
      </c>
      <c r="I368" s="51" t="str">
        <f>IFERROR(__xludf.DUMMYFUNCTION("""COMPUTED_VALUE"""),"#VALUE!")</f>
        <v>#VALUE!</v>
      </c>
      <c r="J368" s="51" t="str">
        <f>IFERROR(__xludf.DUMMYFUNCTION("""COMPUTED_VALUE"""),"")</f>
        <v/>
      </c>
      <c r="K368" s="51"/>
      <c r="L368" s="51" t="s">
        <v>257</v>
      </c>
      <c r="M368" s="51"/>
      <c r="N368" s="51"/>
      <c r="O368" s="51"/>
      <c r="P368" s="51"/>
      <c r="Q368" s="51"/>
      <c r="R368" s="51"/>
      <c r="S368" s="51"/>
      <c r="T368" s="51"/>
    </row>
    <row r="369">
      <c r="A369" s="51"/>
      <c r="B369" s="51"/>
      <c r="C369" s="56"/>
      <c r="D369" s="51"/>
      <c r="E369" s="51"/>
      <c r="F369" s="51"/>
      <c r="G369" s="51" t="str">
        <f>IFERROR(__xludf.DUMMYFUNCTION("""COMPUTED_VALUE"""),"#VALUE!")</f>
        <v>#VALUE!</v>
      </c>
      <c r="H369" s="51" t="str">
        <f>IFERROR(__xludf.DUMMYFUNCTION("""COMPUTED_VALUE"""),"")</f>
        <v/>
      </c>
      <c r="I369" s="51" t="str">
        <f>IFERROR(__xludf.DUMMYFUNCTION("""COMPUTED_VALUE"""),"#VALUE!")</f>
        <v>#VALUE!</v>
      </c>
      <c r="J369" s="51" t="str">
        <f>IFERROR(__xludf.DUMMYFUNCTION("""COMPUTED_VALUE"""),"")</f>
        <v/>
      </c>
      <c r="K369" s="51"/>
      <c r="L369" s="51" t="s">
        <v>257</v>
      </c>
      <c r="M369" s="51"/>
      <c r="N369" s="51"/>
      <c r="O369" s="51"/>
      <c r="P369" s="51"/>
      <c r="Q369" s="51"/>
      <c r="R369" s="51"/>
      <c r="S369" s="51"/>
      <c r="T369" s="51"/>
    </row>
    <row r="370">
      <c r="A370" s="51"/>
      <c r="B370" s="51"/>
      <c r="C370" s="56"/>
      <c r="D370" s="51"/>
      <c r="E370" s="51"/>
      <c r="F370" s="51"/>
      <c r="G370" s="51" t="str">
        <f>IFERROR(__xludf.DUMMYFUNCTION("""COMPUTED_VALUE"""),"#VALUE!")</f>
        <v>#VALUE!</v>
      </c>
      <c r="H370" s="51" t="str">
        <f>IFERROR(__xludf.DUMMYFUNCTION("""COMPUTED_VALUE"""),"")</f>
        <v/>
      </c>
      <c r="I370" s="51" t="str">
        <f>IFERROR(__xludf.DUMMYFUNCTION("""COMPUTED_VALUE"""),"#VALUE!")</f>
        <v>#VALUE!</v>
      </c>
      <c r="J370" s="51" t="str">
        <f>IFERROR(__xludf.DUMMYFUNCTION("""COMPUTED_VALUE"""),"")</f>
        <v/>
      </c>
      <c r="K370" s="51"/>
      <c r="L370" s="51" t="s">
        <v>257</v>
      </c>
      <c r="M370" s="51"/>
      <c r="N370" s="51"/>
      <c r="O370" s="51"/>
      <c r="P370" s="51"/>
      <c r="Q370" s="51"/>
      <c r="R370" s="51"/>
      <c r="S370" s="51"/>
      <c r="T370" s="51"/>
    </row>
    <row r="371">
      <c r="A371" s="51"/>
      <c r="B371" s="51"/>
      <c r="C371" s="56"/>
      <c r="D371" s="51"/>
      <c r="E371" s="51"/>
      <c r="F371" s="51"/>
      <c r="G371" s="51" t="str">
        <f>IFERROR(__xludf.DUMMYFUNCTION("""COMPUTED_VALUE"""),"#VALUE!")</f>
        <v>#VALUE!</v>
      </c>
      <c r="H371" s="51" t="str">
        <f>IFERROR(__xludf.DUMMYFUNCTION("""COMPUTED_VALUE"""),"")</f>
        <v/>
      </c>
      <c r="I371" s="51" t="str">
        <f>IFERROR(__xludf.DUMMYFUNCTION("""COMPUTED_VALUE"""),"#VALUE!")</f>
        <v>#VALUE!</v>
      </c>
      <c r="J371" s="51" t="str">
        <f>IFERROR(__xludf.DUMMYFUNCTION("""COMPUTED_VALUE"""),"")</f>
        <v/>
      </c>
      <c r="K371" s="51"/>
      <c r="L371" s="51" t="s">
        <v>257</v>
      </c>
      <c r="M371" s="51"/>
      <c r="N371" s="51"/>
      <c r="O371" s="51"/>
      <c r="P371" s="51"/>
      <c r="Q371" s="51"/>
      <c r="R371" s="51"/>
      <c r="S371" s="51"/>
      <c r="T371" s="51"/>
    </row>
    <row r="372">
      <c r="A372" s="51"/>
      <c r="B372" s="51"/>
      <c r="C372" s="56"/>
      <c r="D372" s="51"/>
      <c r="E372" s="51"/>
      <c r="F372" s="51"/>
      <c r="G372" s="51" t="str">
        <f>IFERROR(__xludf.DUMMYFUNCTION("""COMPUTED_VALUE"""),"#VALUE!")</f>
        <v>#VALUE!</v>
      </c>
      <c r="H372" s="51" t="str">
        <f>IFERROR(__xludf.DUMMYFUNCTION("""COMPUTED_VALUE"""),"")</f>
        <v/>
      </c>
      <c r="I372" s="51" t="str">
        <f>IFERROR(__xludf.DUMMYFUNCTION("""COMPUTED_VALUE"""),"#VALUE!")</f>
        <v>#VALUE!</v>
      </c>
      <c r="J372" s="51" t="str">
        <f>IFERROR(__xludf.DUMMYFUNCTION("""COMPUTED_VALUE"""),"")</f>
        <v/>
      </c>
      <c r="K372" s="51"/>
      <c r="L372" s="51" t="s">
        <v>257</v>
      </c>
      <c r="M372" s="51"/>
      <c r="N372" s="51"/>
      <c r="O372" s="51"/>
      <c r="P372" s="51"/>
      <c r="Q372" s="51"/>
      <c r="R372" s="51"/>
      <c r="S372" s="51"/>
      <c r="T372" s="51"/>
    </row>
    <row r="373">
      <c r="A373" s="51"/>
      <c r="B373" s="51"/>
      <c r="C373" s="56"/>
      <c r="D373" s="51"/>
      <c r="E373" s="51"/>
      <c r="F373" s="51"/>
      <c r="G373" s="51" t="str">
        <f>IFERROR(__xludf.DUMMYFUNCTION("""COMPUTED_VALUE"""),"#VALUE!")</f>
        <v>#VALUE!</v>
      </c>
      <c r="H373" s="51" t="str">
        <f>IFERROR(__xludf.DUMMYFUNCTION("""COMPUTED_VALUE"""),"")</f>
        <v/>
      </c>
      <c r="I373" s="51" t="str">
        <f>IFERROR(__xludf.DUMMYFUNCTION("""COMPUTED_VALUE"""),"#VALUE!")</f>
        <v>#VALUE!</v>
      </c>
      <c r="J373" s="51" t="str">
        <f>IFERROR(__xludf.DUMMYFUNCTION("""COMPUTED_VALUE"""),"")</f>
        <v/>
      </c>
      <c r="K373" s="51"/>
      <c r="L373" s="51" t="s">
        <v>257</v>
      </c>
      <c r="M373" s="51"/>
      <c r="N373" s="51"/>
      <c r="O373" s="51"/>
      <c r="P373" s="51"/>
      <c r="Q373" s="51"/>
      <c r="R373" s="51"/>
      <c r="S373" s="51"/>
      <c r="T373" s="51"/>
    </row>
    <row r="374">
      <c r="A374" s="51"/>
      <c r="B374" s="51"/>
      <c r="C374" s="56"/>
      <c r="D374" s="51"/>
      <c r="E374" s="51"/>
      <c r="F374" s="51"/>
      <c r="G374" s="51" t="str">
        <f>IFERROR(__xludf.DUMMYFUNCTION("""COMPUTED_VALUE"""),"#VALUE!")</f>
        <v>#VALUE!</v>
      </c>
      <c r="H374" s="51" t="str">
        <f>IFERROR(__xludf.DUMMYFUNCTION("""COMPUTED_VALUE"""),"")</f>
        <v/>
      </c>
      <c r="I374" s="51" t="str">
        <f>IFERROR(__xludf.DUMMYFUNCTION("""COMPUTED_VALUE"""),"#VALUE!")</f>
        <v>#VALUE!</v>
      </c>
      <c r="J374" s="51" t="str">
        <f>IFERROR(__xludf.DUMMYFUNCTION("""COMPUTED_VALUE"""),"")</f>
        <v/>
      </c>
      <c r="K374" s="51"/>
      <c r="L374" s="51" t="s">
        <v>257</v>
      </c>
      <c r="M374" s="51"/>
      <c r="N374" s="51"/>
      <c r="O374" s="51"/>
      <c r="P374" s="51"/>
      <c r="Q374" s="51"/>
      <c r="R374" s="51"/>
      <c r="S374" s="51"/>
      <c r="T374" s="51"/>
    </row>
    <row r="375">
      <c r="A375" s="51"/>
      <c r="B375" s="51"/>
      <c r="C375" s="56"/>
      <c r="D375" s="51"/>
      <c r="E375" s="51"/>
      <c r="F375" s="51"/>
      <c r="G375" s="51" t="str">
        <f>IFERROR(__xludf.DUMMYFUNCTION("""COMPUTED_VALUE"""),"#VALUE!")</f>
        <v>#VALUE!</v>
      </c>
      <c r="H375" s="51" t="str">
        <f>IFERROR(__xludf.DUMMYFUNCTION("""COMPUTED_VALUE"""),"")</f>
        <v/>
      </c>
      <c r="I375" s="51" t="str">
        <f>IFERROR(__xludf.DUMMYFUNCTION("""COMPUTED_VALUE"""),"#VALUE!")</f>
        <v>#VALUE!</v>
      </c>
      <c r="J375" s="51" t="str">
        <f>IFERROR(__xludf.DUMMYFUNCTION("""COMPUTED_VALUE"""),"")</f>
        <v/>
      </c>
      <c r="K375" s="51"/>
      <c r="L375" s="51" t="s">
        <v>257</v>
      </c>
      <c r="M375" s="51"/>
      <c r="N375" s="51"/>
      <c r="O375" s="51"/>
      <c r="P375" s="51"/>
      <c r="Q375" s="51"/>
      <c r="R375" s="51"/>
      <c r="S375" s="51"/>
      <c r="T375" s="51"/>
    </row>
    <row r="376">
      <c r="A376" s="51"/>
      <c r="B376" s="51"/>
      <c r="C376" s="56"/>
      <c r="D376" s="51"/>
      <c r="E376" s="51"/>
      <c r="F376" s="51"/>
      <c r="G376" s="51" t="str">
        <f>IFERROR(__xludf.DUMMYFUNCTION("""COMPUTED_VALUE"""),"#VALUE!")</f>
        <v>#VALUE!</v>
      </c>
      <c r="H376" s="51" t="str">
        <f>IFERROR(__xludf.DUMMYFUNCTION("""COMPUTED_VALUE"""),"")</f>
        <v/>
      </c>
      <c r="I376" s="51" t="str">
        <f>IFERROR(__xludf.DUMMYFUNCTION("""COMPUTED_VALUE"""),"#VALUE!")</f>
        <v>#VALUE!</v>
      </c>
      <c r="J376" s="51" t="str">
        <f>IFERROR(__xludf.DUMMYFUNCTION("""COMPUTED_VALUE"""),"")</f>
        <v/>
      </c>
      <c r="K376" s="51"/>
      <c r="L376" s="51" t="s">
        <v>257</v>
      </c>
      <c r="M376" s="51"/>
      <c r="N376" s="51"/>
      <c r="O376" s="51"/>
      <c r="P376" s="51"/>
      <c r="Q376" s="51"/>
      <c r="R376" s="51"/>
      <c r="S376" s="51"/>
      <c r="T376" s="51"/>
    </row>
    <row r="377">
      <c r="A377" s="51"/>
      <c r="B377" s="51"/>
      <c r="C377" s="56"/>
      <c r="D377" s="51"/>
      <c r="E377" s="51"/>
      <c r="F377" s="51"/>
      <c r="G377" s="51" t="str">
        <f>IFERROR(__xludf.DUMMYFUNCTION("""COMPUTED_VALUE"""),"#VALUE!")</f>
        <v>#VALUE!</v>
      </c>
      <c r="H377" s="51" t="str">
        <f>IFERROR(__xludf.DUMMYFUNCTION("""COMPUTED_VALUE"""),"")</f>
        <v/>
      </c>
      <c r="I377" s="51" t="str">
        <f>IFERROR(__xludf.DUMMYFUNCTION("""COMPUTED_VALUE"""),"#VALUE!")</f>
        <v>#VALUE!</v>
      </c>
      <c r="J377" s="51" t="str">
        <f>IFERROR(__xludf.DUMMYFUNCTION("""COMPUTED_VALUE"""),"")</f>
        <v/>
      </c>
      <c r="K377" s="51"/>
      <c r="L377" s="51" t="s">
        <v>257</v>
      </c>
      <c r="M377" s="51"/>
      <c r="N377" s="51"/>
      <c r="O377" s="51"/>
      <c r="P377" s="51"/>
      <c r="Q377" s="51"/>
      <c r="R377" s="51"/>
      <c r="S377" s="51"/>
      <c r="T377" s="51"/>
    </row>
    <row r="378">
      <c r="A378" s="51"/>
      <c r="B378" s="51"/>
      <c r="C378" s="56"/>
      <c r="D378" s="51"/>
      <c r="E378" s="51"/>
      <c r="F378" s="51"/>
      <c r="G378" s="51" t="str">
        <f>IFERROR(__xludf.DUMMYFUNCTION("""COMPUTED_VALUE"""),"#VALUE!")</f>
        <v>#VALUE!</v>
      </c>
      <c r="H378" s="51" t="str">
        <f>IFERROR(__xludf.DUMMYFUNCTION("""COMPUTED_VALUE"""),"")</f>
        <v/>
      </c>
      <c r="I378" s="51" t="str">
        <f>IFERROR(__xludf.DUMMYFUNCTION("""COMPUTED_VALUE"""),"#VALUE!")</f>
        <v>#VALUE!</v>
      </c>
      <c r="J378" s="51" t="str">
        <f>IFERROR(__xludf.DUMMYFUNCTION("""COMPUTED_VALUE"""),"")</f>
        <v/>
      </c>
      <c r="K378" s="51"/>
      <c r="L378" s="51" t="s">
        <v>257</v>
      </c>
      <c r="M378" s="51"/>
      <c r="N378" s="51"/>
      <c r="O378" s="51"/>
      <c r="P378" s="51"/>
      <c r="Q378" s="51"/>
      <c r="R378" s="51"/>
      <c r="S378" s="51"/>
      <c r="T378" s="51"/>
    </row>
    <row r="379">
      <c r="A379" s="51"/>
      <c r="B379" s="51"/>
      <c r="C379" s="56"/>
      <c r="D379" s="51"/>
      <c r="E379" s="51"/>
      <c r="F379" s="51"/>
      <c r="G379" s="51" t="str">
        <f>IFERROR(__xludf.DUMMYFUNCTION("""COMPUTED_VALUE"""),"#VALUE!")</f>
        <v>#VALUE!</v>
      </c>
      <c r="H379" s="51" t="str">
        <f>IFERROR(__xludf.DUMMYFUNCTION("""COMPUTED_VALUE"""),"")</f>
        <v/>
      </c>
      <c r="I379" s="51" t="str">
        <f>IFERROR(__xludf.DUMMYFUNCTION("""COMPUTED_VALUE"""),"#VALUE!")</f>
        <v>#VALUE!</v>
      </c>
      <c r="J379" s="51" t="str">
        <f>IFERROR(__xludf.DUMMYFUNCTION("""COMPUTED_VALUE"""),"")</f>
        <v/>
      </c>
      <c r="K379" s="51"/>
      <c r="L379" s="51" t="s">
        <v>257</v>
      </c>
      <c r="M379" s="51"/>
      <c r="N379" s="51"/>
      <c r="O379" s="51"/>
      <c r="P379" s="51"/>
      <c r="Q379" s="51"/>
      <c r="R379" s="51"/>
      <c r="S379" s="51"/>
      <c r="T379" s="51"/>
    </row>
    <row r="380">
      <c r="A380" s="51"/>
      <c r="B380" s="51"/>
      <c r="C380" s="56"/>
      <c r="D380" s="51"/>
      <c r="E380" s="51"/>
      <c r="F380" s="51"/>
      <c r="G380" s="51" t="str">
        <f>IFERROR(__xludf.DUMMYFUNCTION("""COMPUTED_VALUE"""),"#VALUE!")</f>
        <v>#VALUE!</v>
      </c>
      <c r="H380" s="51" t="str">
        <f>IFERROR(__xludf.DUMMYFUNCTION("""COMPUTED_VALUE"""),"")</f>
        <v/>
      </c>
      <c r="I380" s="51" t="str">
        <f>IFERROR(__xludf.DUMMYFUNCTION("""COMPUTED_VALUE"""),"#VALUE!")</f>
        <v>#VALUE!</v>
      </c>
      <c r="J380" s="51" t="str">
        <f>IFERROR(__xludf.DUMMYFUNCTION("""COMPUTED_VALUE"""),"")</f>
        <v/>
      </c>
      <c r="K380" s="51"/>
      <c r="L380" s="51" t="s">
        <v>257</v>
      </c>
      <c r="M380" s="51"/>
      <c r="N380" s="51"/>
      <c r="O380" s="51"/>
      <c r="P380" s="51"/>
      <c r="Q380" s="51"/>
      <c r="R380" s="51"/>
      <c r="S380" s="51"/>
      <c r="T380" s="51"/>
    </row>
    <row r="381">
      <c r="A381" s="51"/>
      <c r="B381" s="51"/>
      <c r="C381" s="56"/>
      <c r="D381" s="51"/>
      <c r="E381" s="51"/>
      <c r="F381" s="51"/>
      <c r="G381" s="51" t="str">
        <f>IFERROR(__xludf.DUMMYFUNCTION("""COMPUTED_VALUE"""),"#VALUE!")</f>
        <v>#VALUE!</v>
      </c>
      <c r="H381" s="51" t="str">
        <f>IFERROR(__xludf.DUMMYFUNCTION("""COMPUTED_VALUE"""),"")</f>
        <v/>
      </c>
      <c r="I381" s="51" t="str">
        <f>IFERROR(__xludf.DUMMYFUNCTION("""COMPUTED_VALUE"""),"#VALUE!")</f>
        <v>#VALUE!</v>
      </c>
      <c r="J381" s="51" t="str">
        <f>IFERROR(__xludf.DUMMYFUNCTION("""COMPUTED_VALUE"""),"")</f>
        <v/>
      </c>
      <c r="K381" s="51"/>
      <c r="L381" s="51" t="s">
        <v>257</v>
      </c>
      <c r="M381" s="51"/>
      <c r="N381" s="51"/>
      <c r="O381" s="51"/>
      <c r="P381" s="51"/>
      <c r="Q381" s="51"/>
      <c r="R381" s="51"/>
      <c r="S381" s="51"/>
      <c r="T381" s="51"/>
    </row>
    <row r="382">
      <c r="A382" s="51"/>
      <c r="B382" s="51"/>
      <c r="C382" s="56"/>
      <c r="D382" s="51"/>
      <c r="E382" s="51"/>
      <c r="F382" s="51"/>
      <c r="G382" s="51" t="str">
        <f>IFERROR(__xludf.DUMMYFUNCTION("""COMPUTED_VALUE"""),"#VALUE!")</f>
        <v>#VALUE!</v>
      </c>
      <c r="H382" s="51" t="str">
        <f>IFERROR(__xludf.DUMMYFUNCTION("""COMPUTED_VALUE"""),"")</f>
        <v/>
      </c>
      <c r="I382" s="51" t="str">
        <f>IFERROR(__xludf.DUMMYFUNCTION("""COMPUTED_VALUE"""),"#VALUE!")</f>
        <v>#VALUE!</v>
      </c>
      <c r="J382" s="51" t="str">
        <f>IFERROR(__xludf.DUMMYFUNCTION("""COMPUTED_VALUE"""),"")</f>
        <v/>
      </c>
      <c r="K382" s="51"/>
      <c r="L382" s="51" t="s">
        <v>257</v>
      </c>
      <c r="M382" s="51"/>
      <c r="N382" s="51"/>
      <c r="O382" s="51"/>
      <c r="P382" s="51"/>
      <c r="Q382" s="51"/>
      <c r="R382" s="51"/>
      <c r="S382" s="51"/>
      <c r="T382" s="51"/>
    </row>
    <row r="383">
      <c r="A383" s="51"/>
      <c r="B383" s="51"/>
      <c r="C383" s="56"/>
      <c r="D383" s="51"/>
      <c r="E383" s="51"/>
      <c r="F383" s="51"/>
      <c r="G383" s="51" t="str">
        <f>IFERROR(__xludf.DUMMYFUNCTION("""COMPUTED_VALUE"""),"#VALUE!")</f>
        <v>#VALUE!</v>
      </c>
      <c r="H383" s="51" t="str">
        <f>IFERROR(__xludf.DUMMYFUNCTION("""COMPUTED_VALUE"""),"")</f>
        <v/>
      </c>
      <c r="I383" s="51" t="str">
        <f>IFERROR(__xludf.DUMMYFUNCTION("""COMPUTED_VALUE"""),"#VALUE!")</f>
        <v>#VALUE!</v>
      </c>
      <c r="J383" s="51" t="str">
        <f>IFERROR(__xludf.DUMMYFUNCTION("""COMPUTED_VALUE"""),"")</f>
        <v/>
      </c>
      <c r="K383" s="51"/>
      <c r="L383" s="51" t="s">
        <v>257</v>
      </c>
      <c r="M383" s="51"/>
      <c r="N383" s="51"/>
      <c r="O383" s="51"/>
      <c r="P383" s="51"/>
      <c r="Q383" s="51"/>
      <c r="R383" s="51"/>
      <c r="S383" s="51"/>
      <c r="T383" s="51"/>
    </row>
    <row r="384">
      <c r="A384" s="51"/>
      <c r="B384" s="51"/>
      <c r="C384" s="56"/>
      <c r="D384" s="51"/>
      <c r="E384" s="51"/>
      <c r="F384" s="51"/>
      <c r="G384" s="51" t="str">
        <f>IFERROR(__xludf.DUMMYFUNCTION("""COMPUTED_VALUE"""),"#VALUE!")</f>
        <v>#VALUE!</v>
      </c>
      <c r="H384" s="51" t="str">
        <f>IFERROR(__xludf.DUMMYFUNCTION("""COMPUTED_VALUE"""),"")</f>
        <v/>
      </c>
      <c r="I384" s="51" t="str">
        <f>IFERROR(__xludf.DUMMYFUNCTION("""COMPUTED_VALUE"""),"#VALUE!")</f>
        <v>#VALUE!</v>
      </c>
      <c r="J384" s="51" t="str">
        <f>IFERROR(__xludf.DUMMYFUNCTION("""COMPUTED_VALUE"""),"")</f>
        <v/>
      </c>
      <c r="K384" s="51"/>
      <c r="L384" s="51" t="s">
        <v>257</v>
      </c>
      <c r="M384" s="51"/>
      <c r="N384" s="51"/>
      <c r="O384" s="51"/>
      <c r="P384" s="51"/>
      <c r="Q384" s="51"/>
      <c r="R384" s="51"/>
      <c r="S384" s="51"/>
      <c r="T384" s="51"/>
    </row>
    <row r="385">
      <c r="A385" s="51"/>
      <c r="B385" s="51"/>
      <c r="C385" s="56"/>
      <c r="D385" s="51"/>
      <c r="E385" s="51"/>
      <c r="F385" s="51"/>
      <c r="G385" s="51" t="str">
        <f>IFERROR(__xludf.DUMMYFUNCTION("""COMPUTED_VALUE"""),"#VALUE!")</f>
        <v>#VALUE!</v>
      </c>
      <c r="H385" s="51" t="str">
        <f>IFERROR(__xludf.DUMMYFUNCTION("""COMPUTED_VALUE"""),"")</f>
        <v/>
      </c>
      <c r="I385" s="51" t="str">
        <f>IFERROR(__xludf.DUMMYFUNCTION("""COMPUTED_VALUE"""),"#VALUE!")</f>
        <v>#VALUE!</v>
      </c>
      <c r="J385" s="51" t="str">
        <f>IFERROR(__xludf.DUMMYFUNCTION("""COMPUTED_VALUE"""),"")</f>
        <v/>
      </c>
      <c r="K385" s="51"/>
      <c r="L385" s="51" t="s">
        <v>257</v>
      </c>
      <c r="M385" s="51"/>
      <c r="N385" s="51"/>
      <c r="O385" s="51"/>
      <c r="P385" s="51"/>
      <c r="Q385" s="51"/>
      <c r="R385" s="51"/>
      <c r="S385" s="51"/>
      <c r="T385" s="51"/>
    </row>
    <row r="386">
      <c r="A386" s="51"/>
      <c r="B386" s="51"/>
      <c r="C386" s="56"/>
      <c r="D386" s="51"/>
      <c r="E386" s="51"/>
      <c r="F386" s="51"/>
      <c r="G386" s="51" t="str">
        <f>IFERROR(__xludf.DUMMYFUNCTION("""COMPUTED_VALUE"""),"#VALUE!")</f>
        <v>#VALUE!</v>
      </c>
      <c r="H386" s="51" t="str">
        <f>IFERROR(__xludf.DUMMYFUNCTION("""COMPUTED_VALUE"""),"")</f>
        <v/>
      </c>
      <c r="I386" s="51" t="str">
        <f>IFERROR(__xludf.DUMMYFUNCTION("""COMPUTED_VALUE"""),"#VALUE!")</f>
        <v>#VALUE!</v>
      </c>
      <c r="J386" s="51" t="str">
        <f>IFERROR(__xludf.DUMMYFUNCTION("""COMPUTED_VALUE"""),"")</f>
        <v/>
      </c>
      <c r="K386" s="51"/>
      <c r="L386" s="51" t="s">
        <v>257</v>
      </c>
      <c r="M386" s="51"/>
      <c r="N386" s="51"/>
      <c r="O386" s="51"/>
      <c r="P386" s="51"/>
      <c r="Q386" s="51"/>
      <c r="R386" s="51"/>
      <c r="S386" s="51"/>
      <c r="T386" s="51"/>
    </row>
    <row r="387">
      <c r="A387" s="51"/>
      <c r="B387" s="51"/>
      <c r="C387" s="56"/>
      <c r="D387" s="51"/>
      <c r="E387" s="51"/>
      <c r="F387" s="51"/>
      <c r="G387" s="51" t="str">
        <f>IFERROR(__xludf.DUMMYFUNCTION("""COMPUTED_VALUE"""),"#VALUE!")</f>
        <v>#VALUE!</v>
      </c>
      <c r="H387" s="51" t="str">
        <f>IFERROR(__xludf.DUMMYFUNCTION("""COMPUTED_VALUE"""),"")</f>
        <v/>
      </c>
      <c r="I387" s="51" t="str">
        <f>IFERROR(__xludf.DUMMYFUNCTION("""COMPUTED_VALUE"""),"#VALUE!")</f>
        <v>#VALUE!</v>
      </c>
      <c r="J387" s="51" t="str">
        <f>IFERROR(__xludf.DUMMYFUNCTION("""COMPUTED_VALUE"""),"")</f>
        <v/>
      </c>
      <c r="K387" s="51"/>
      <c r="L387" s="51" t="s">
        <v>257</v>
      </c>
      <c r="M387" s="51"/>
      <c r="N387" s="51"/>
      <c r="O387" s="51"/>
      <c r="P387" s="51"/>
      <c r="Q387" s="51"/>
      <c r="R387" s="51"/>
      <c r="S387" s="51"/>
      <c r="T387" s="51"/>
    </row>
    <row r="388">
      <c r="A388" s="51"/>
      <c r="B388" s="51"/>
      <c r="C388" s="56"/>
      <c r="D388" s="51"/>
      <c r="E388" s="51"/>
      <c r="F388" s="51"/>
      <c r="G388" s="51" t="str">
        <f>IFERROR(__xludf.DUMMYFUNCTION("""COMPUTED_VALUE"""),"#VALUE!")</f>
        <v>#VALUE!</v>
      </c>
      <c r="H388" s="51" t="str">
        <f>IFERROR(__xludf.DUMMYFUNCTION("""COMPUTED_VALUE"""),"")</f>
        <v/>
      </c>
      <c r="I388" s="51" t="str">
        <f>IFERROR(__xludf.DUMMYFUNCTION("""COMPUTED_VALUE"""),"#VALUE!")</f>
        <v>#VALUE!</v>
      </c>
      <c r="J388" s="51" t="str">
        <f>IFERROR(__xludf.DUMMYFUNCTION("""COMPUTED_VALUE"""),"")</f>
        <v/>
      </c>
      <c r="K388" s="51"/>
      <c r="L388" s="51" t="s">
        <v>257</v>
      </c>
      <c r="M388" s="51"/>
      <c r="N388" s="51"/>
      <c r="O388" s="51"/>
      <c r="P388" s="51"/>
      <c r="Q388" s="51"/>
      <c r="R388" s="51"/>
      <c r="S388" s="51"/>
      <c r="T388" s="51"/>
    </row>
    <row r="389">
      <c r="A389" s="51"/>
      <c r="B389" s="51"/>
      <c r="C389" s="56"/>
      <c r="D389" s="51"/>
      <c r="E389" s="51"/>
      <c r="F389" s="51"/>
      <c r="G389" s="51" t="str">
        <f>IFERROR(__xludf.DUMMYFUNCTION("""COMPUTED_VALUE"""),"#VALUE!")</f>
        <v>#VALUE!</v>
      </c>
      <c r="H389" s="51" t="str">
        <f>IFERROR(__xludf.DUMMYFUNCTION("""COMPUTED_VALUE"""),"")</f>
        <v/>
      </c>
      <c r="I389" s="51" t="str">
        <f>IFERROR(__xludf.DUMMYFUNCTION("""COMPUTED_VALUE"""),"#VALUE!")</f>
        <v>#VALUE!</v>
      </c>
      <c r="J389" s="51" t="str">
        <f>IFERROR(__xludf.DUMMYFUNCTION("""COMPUTED_VALUE"""),"")</f>
        <v/>
      </c>
      <c r="K389" s="51"/>
      <c r="L389" s="51" t="s">
        <v>257</v>
      </c>
      <c r="M389" s="51"/>
      <c r="N389" s="51"/>
      <c r="O389" s="51"/>
      <c r="P389" s="51"/>
      <c r="Q389" s="51"/>
      <c r="R389" s="51"/>
      <c r="S389" s="51"/>
      <c r="T389" s="51"/>
    </row>
    <row r="390">
      <c r="A390" s="51"/>
      <c r="B390" s="51"/>
      <c r="C390" s="56"/>
      <c r="D390" s="51"/>
      <c r="E390" s="51"/>
      <c r="F390" s="51"/>
      <c r="G390" s="51" t="str">
        <f>IFERROR(__xludf.DUMMYFUNCTION("""COMPUTED_VALUE"""),"#VALUE!")</f>
        <v>#VALUE!</v>
      </c>
      <c r="H390" s="51" t="str">
        <f>IFERROR(__xludf.DUMMYFUNCTION("""COMPUTED_VALUE"""),"")</f>
        <v/>
      </c>
      <c r="I390" s="51" t="str">
        <f>IFERROR(__xludf.DUMMYFUNCTION("""COMPUTED_VALUE"""),"#VALUE!")</f>
        <v>#VALUE!</v>
      </c>
      <c r="J390" s="51" t="str">
        <f>IFERROR(__xludf.DUMMYFUNCTION("""COMPUTED_VALUE"""),"")</f>
        <v/>
      </c>
      <c r="K390" s="51"/>
      <c r="L390" s="51" t="s">
        <v>257</v>
      </c>
      <c r="M390" s="51"/>
      <c r="N390" s="51"/>
      <c r="O390" s="51"/>
      <c r="P390" s="51"/>
      <c r="Q390" s="51"/>
      <c r="R390" s="51"/>
      <c r="S390" s="51"/>
      <c r="T390" s="51"/>
    </row>
    <row r="391">
      <c r="A391" s="51"/>
      <c r="B391" s="51"/>
      <c r="C391" s="56"/>
      <c r="D391" s="51"/>
      <c r="E391" s="51"/>
      <c r="F391" s="51"/>
      <c r="G391" s="51" t="str">
        <f>IFERROR(__xludf.DUMMYFUNCTION("""COMPUTED_VALUE"""),"#VALUE!")</f>
        <v>#VALUE!</v>
      </c>
      <c r="H391" s="51" t="str">
        <f>IFERROR(__xludf.DUMMYFUNCTION("""COMPUTED_VALUE"""),"")</f>
        <v/>
      </c>
      <c r="I391" s="51" t="str">
        <f>IFERROR(__xludf.DUMMYFUNCTION("""COMPUTED_VALUE"""),"#VALUE!")</f>
        <v>#VALUE!</v>
      </c>
      <c r="J391" s="51" t="str">
        <f>IFERROR(__xludf.DUMMYFUNCTION("""COMPUTED_VALUE"""),"")</f>
        <v/>
      </c>
      <c r="K391" s="51"/>
      <c r="L391" s="51" t="s">
        <v>257</v>
      </c>
      <c r="M391" s="51"/>
      <c r="N391" s="51"/>
      <c r="O391" s="51"/>
      <c r="P391" s="51"/>
      <c r="Q391" s="51"/>
      <c r="R391" s="51"/>
      <c r="S391" s="51"/>
      <c r="T391" s="51"/>
    </row>
    <row r="392">
      <c r="A392" s="51"/>
      <c r="B392" s="51"/>
      <c r="C392" s="56"/>
      <c r="D392" s="51"/>
      <c r="E392" s="51"/>
      <c r="F392" s="51"/>
      <c r="G392" s="51" t="str">
        <f>IFERROR(__xludf.DUMMYFUNCTION("""COMPUTED_VALUE"""),"#VALUE!")</f>
        <v>#VALUE!</v>
      </c>
      <c r="H392" s="51" t="str">
        <f>IFERROR(__xludf.DUMMYFUNCTION("""COMPUTED_VALUE"""),"")</f>
        <v/>
      </c>
      <c r="I392" s="51" t="str">
        <f>IFERROR(__xludf.DUMMYFUNCTION("""COMPUTED_VALUE"""),"#VALUE!")</f>
        <v>#VALUE!</v>
      </c>
      <c r="J392" s="51" t="str">
        <f>IFERROR(__xludf.DUMMYFUNCTION("""COMPUTED_VALUE"""),"")</f>
        <v/>
      </c>
      <c r="K392" s="51"/>
      <c r="L392" s="51" t="s">
        <v>257</v>
      </c>
      <c r="M392" s="51"/>
      <c r="N392" s="51"/>
      <c r="O392" s="51"/>
      <c r="P392" s="51"/>
      <c r="Q392" s="51"/>
      <c r="R392" s="51"/>
      <c r="S392" s="51"/>
      <c r="T392" s="51"/>
    </row>
    <row r="393">
      <c r="A393" s="51"/>
      <c r="B393" s="51"/>
      <c r="C393" s="56"/>
      <c r="D393" s="51"/>
      <c r="E393" s="51"/>
      <c r="F393" s="51"/>
      <c r="G393" s="51" t="str">
        <f>IFERROR(__xludf.DUMMYFUNCTION("""COMPUTED_VALUE"""),"#VALUE!")</f>
        <v>#VALUE!</v>
      </c>
      <c r="H393" s="51" t="str">
        <f>IFERROR(__xludf.DUMMYFUNCTION("""COMPUTED_VALUE"""),"")</f>
        <v/>
      </c>
      <c r="I393" s="51" t="str">
        <f>IFERROR(__xludf.DUMMYFUNCTION("""COMPUTED_VALUE"""),"#VALUE!")</f>
        <v>#VALUE!</v>
      </c>
      <c r="J393" s="51" t="str">
        <f>IFERROR(__xludf.DUMMYFUNCTION("""COMPUTED_VALUE"""),"")</f>
        <v/>
      </c>
      <c r="K393" s="51"/>
      <c r="L393" s="51" t="s">
        <v>257</v>
      </c>
      <c r="M393" s="51"/>
      <c r="N393" s="51"/>
      <c r="O393" s="51"/>
      <c r="P393" s="51"/>
      <c r="Q393" s="51"/>
      <c r="R393" s="51"/>
      <c r="S393" s="51"/>
      <c r="T393" s="51"/>
    </row>
    <row r="394">
      <c r="A394" s="51"/>
      <c r="B394" s="51"/>
      <c r="C394" s="56"/>
      <c r="D394" s="51"/>
      <c r="E394" s="51"/>
      <c r="F394" s="51"/>
      <c r="G394" s="51" t="str">
        <f>IFERROR(__xludf.DUMMYFUNCTION("""COMPUTED_VALUE"""),"#VALUE!")</f>
        <v>#VALUE!</v>
      </c>
      <c r="H394" s="51" t="str">
        <f>IFERROR(__xludf.DUMMYFUNCTION("""COMPUTED_VALUE"""),"")</f>
        <v/>
      </c>
      <c r="I394" s="51" t="str">
        <f>IFERROR(__xludf.DUMMYFUNCTION("""COMPUTED_VALUE"""),"#VALUE!")</f>
        <v>#VALUE!</v>
      </c>
      <c r="J394" s="51" t="str">
        <f>IFERROR(__xludf.DUMMYFUNCTION("""COMPUTED_VALUE"""),"")</f>
        <v/>
      </c>
      <c r="K394" s="51"/>
      <c r="L394" s="51" t="s">
        <v>257</v>
      </c>
      <c r="M394" s="51"/>
      <c r="N394" s="51"/>
      <c r="O394" s="51"/>
      <c r="P394" s="51"/>
      <c r="Q394" s="51"/>
      <c r="R394" s="51"/>
      <c r="S394" s="51"/>
      <c r="T394" s="51"/>
    </row>
    <row r="395">
      <c r="A395" s="51"/>
      <c r="B395" s="51"/>
      <c r="C395" s="56"/>
      <c r="D395" s="51"/>
      <c r="E395" s="51"/>
      <c r="F395" s="51"/>
      <c r="G395" s="51" t="str">
        <f>IFERROR(__xludf.DUMMYFUNCTION("""COMPUTED_VALUE"""),"#VALUE!")</f>
        <v>#VALUE!</v>
      </c>
      <c r="H395" s="51" t="str">
        <f>IFERROR(__xludf.DUMMYFUNCTION("""COMPUTED_VALUE"""),"")</f>
        <v/>
      </c>
      <c r="I395" s="51" t="str">
        <f>IFERROR(__xludf.DUMMYFUNCTION("""COMPUTED_VALUE"""),"#VALUE!")</f>
        <v>#VALUE!</v>
      </c>
      <c r="J395" s="51" t="str">
        <f>IFERROR(__xludf.DUMMYFUNCTION("""COMPUTED_VALUE"""),"")</f>
        <v/>
      </c>
      <c r="K395" s="51"/>
      <c r="L395" s="51" t="s">
        <v>257</v>
      </c>
      <c r="M395" s="51"/>
      <c r="N395" s="51"/>
      <c r="O395" s="51"/>
      <c r="P395" s="51"/>
      <c r="Q395" s="51"/>
      <c r="R395" s="51"/>
      <c r="S395" s="51"/>
      <c r="T395" s="51"/>
    </row>
    <row r="396">
      <c r="A396" s="51"/>
      <c r="B396" s="51"/>
      <c r="C396" s="56"/>
      <c r="D396" s="51"/>
      <c r="E396" s="51"/>
      <c r="F396" s="51"/>
      <c r="G396" s="51" t="str">
        <f>IFERROR(__xludf.DUMMYFUNCTION("""COMPUTED_VALUE"""),"#VALUE!")</f>
        <v>#VALUE!</v>
      </c>
      <c r="H396" s="51" t="str">
        <f>IFERROR(__xludf.DUMMYFUNCTION("""COMPUTED_VALUE"""),"")</f>
        <v/>
      </c>
      <c r="I396" s="51" t="str">
        <f>IFERROR(__xludf.DUMMYFUNCTION("""COMPUTED_VALUE"""),"#VALUE!")</f>
        <v>#VALUE!</v>
      </c>
      <c r="J396" s="51" t="str">
        <f>IFERROR(__xludf.DUMMYFUNCTION("""COMPUTED_VALUE"""),"")</f>
        <v/>
      </c>
      <c r="K396" s="51"/>
      <c r="L396" s="51" t="s">
        <v>257</v>
      </c>
      <c r="M396" s="51"/>
      <c r="N396" s="51"/>
      <c r="O396" s="51"/>
      <c r="P396" s="51"/>
      <c r="Q396" s="51"/>
      <c r="R396" s="51"/>
      <c r="S396" s="51"/>
      <c r="T396" s="51"/>
    </row>
    <row r="397">
      <c r="A397" s="51"/>
      <c r="B397" s="51"/>
      <c r="C397" s="56"/>
      <c r="D397" s="51"/>
      <c r="E397" s="51"/>
      <c r="F397" s="51"/>
      <c r="G397" s="51" t="str">
        <f>IFERROR(__xludf.DUMMYFUNCTION("""COMPUTED_VALUE"""),"#VALUE!")</f>
        <v>#VALUE!</v>
      </c>
      <c r="H397" s="51" t="str">
        <f>IFERROR(__xludf.DUMMYFUNCTION("""COMPUTED_VALUE"""),"")</f>
        <v/>
      </c>
      <c r="I397" s="51" t="str">
        <f>IFERROR(__xludf.DUMMYFUNCTION("""COMPUTED_VALUE"""),"#VALUE!")</f>
        <v>#VALUE!</v>
      </c>
      <c r="J397" s="51" t="str">
        <f>IFERROR(__xludf.DUMMYFUNCTION("""COMPUTED_VALUE"""),"")</f>
        <v/>
      </c>
      <c r="K397" s="51"/>
      <c r="L397" s="51" t="s">
        <v>257</v>
      </c>
      <c r="M397" s="51"/>
      <c r="N397" s="51"/>
      <c r="O397" s="51"/>
      <c r="P397" s="51"/>
      <c r="Q397" s="51"/>
      <c r="R397" s="51"/>
      <c r="S397" s="51"/>
      <c r="T397" s="51"/>
    </row>
    <row r="398">
      <c r="A398" s="51"/>
      <c r="B398" s="51"/>
      <c r="C398" s="56"/>
      <c r="D398" s="51"/>
      <c r="E398" s="51"/>
      <c r="F398" s="51"/>
      <c r="G398" s="51" t="str">
        <f>IFERROR(__xludf.DUMMYFUNCTION("""COMPUTED_VALUE"""),"#VALUE!")</f>
        <v>#VALUE!</v>
      </c>
      <c r="H398" s="51" t="str">
        <f>IFERROR(__xludf.DUMMYFUNCTION("""COMPUTED_VALUE"""),"")</f>
        <v/>
      </c>
      <c r="I398" s="51" t="str">
        <f>IFERROR(__xludf.DUMMYFUNCTION("""COMPUTED_VALUE"""),"#VALUE!")</f>
        <v>#VALUE!</v>
      </c>
      <c r="J398" s="51" t="str">
        <f>IFERROR(__xludf.DUMMYFUNCTION("""COMPUTED_VALUE"""),"")</f>
        <v/>
      </c>
      <c r="K398" s="51"/>
      <c r="L398" s="51" t="s">
        <v>257</v>
      </c>
      <c r="M398" s="51"/>
      <c r="N398" s="51"/>
      <c r="O398" s="51"/>
      <c r="P398" s="51"/>
      <c r="Q398" s="51"/>
      <c r="R398" s="51"/>
      <c r="S398" s="51"/>
      <c r="T398" s="51"/>
    </row>
    <row r="399">
      <c r="A399" s="51"/>
      <c r="B399" s="51"/>
      <c r="C399" s="56"/>
      <c r="D399" s="51"/>
      <c r="E399" s="51"/>
      <c r="F399" s="51"/>
      <c r="G399" s="51" t="str">
        <f>IFERROR(__xludf.DUMMYFUNCTION("""COMPUTED_VALUE"""),"#VALUE!")</f>
        <v>#VALUE!</v>
      </c>
      <c r="H399" s="51" t="str">
        <f>IFERROR(__xludf.DUMMYFUNCTION("""COMPUTED_VALUE"""),"")</f>
        <v/>
      </c>
      <c r="I399" s="51" t="str">
        <f>IFERROR(__xludf.DUMMYFUNCTION("""COMPUTED_VALUE"""),"#VALUE!")</f>
        <v>#VALUE!</v>
      </c>
      <c r="J399" s="51" t="str">
        <f>IFERROR(__xludf.DUMMYFUNCTION("""COMPUTED_VALUE"""),"")</f>
        <v/>
      </c>
      <c r="K399" s="51"/>
      <c r="L399" s="51" t="s">
        <v>257</v>
      </c>
      <c r="M399" s="51"/>
      <c r="N399" s="51"/>
      <c r="O399" s="51"/>
      <c r="P399" s="51"/>
      <c r="Q399" s="51"/>
      <c r="R399" s="51"/>
      <c r="S399" s="51"/>
      <c r="T399" s="51"/>
    </row>
    <row r="400">
      <c r="A400" s="51"/>
      <c r="B400" s="51"/>
      <c r="C400" s="56"/>
      <c r="D400" s="51"/>
      <c r="E400" s="51"/>
      <c r="F400" s="51"/>
      <c r="G400" s="51" t="str">
        <f>IFERROR(__xludf.DUMMYFUNCTION("""COMPUTED_VALUE"""),"#VALUE!")</f>
        <v>#VALUE!</v>
      </c>
      <c r="H400" s="51" t="str">
        <f>IFERROR(__xludf.DUMMYFUNCTION("""COMPUTED_VALUE"""),"")</f>
        <v/>
      </c>
      <c r="I400" s="51" t="str">
        <f>IFERROR(__xludf.DUMMYFUNCTION("""COMPUTED_VALUE"""),"#VALUE!")</f>
        <v>#VALUE!</v>
      </c>
      <c r="J400" s="51" t="str">
        <f>IFERROR(__xludf.DUMMYFUNCTION("""COMPUTED_VALUE"""),"")</f>
        <v/>
      </c>
      <c r="K400" s="51"/>
      <c r="L400" s="51" t="s">
        <v>257</v>
      </c>
      <c r="M400" s="51"/>
      <c r="N400" s="51"/>
      <c r="O400" s="51"/>
      <c r="P400" s="51"/>
      <c r="Q400" s="51"/>
      <c r="R400" s="51"/>
      <c r="S400" s="51"/>
      <c r="T400" s="51"/>
    </row>
    <row r="401">
      <c r="A401" s="51"/>
      <c r="B401" s="51"/>
      <c r="C401" s="56"/>
      <c r="D401" s="51"/>
      <c r="E401" s="51"/>
      <c r="F401" s="51"/>
      <c r="G401" s="51" t="str">
        <f>IFERROR(__xludf.DUMMYFUNCTION("""COMPUTED_VALUE"""),"#VALUE!")</f>
        <v>#VALUE!</v>
      </c>
      <c r="H401" s="51" t="str">
        <f>IFERROR(__xludf.DUMMYFUNCTION("""COMPUTED_VALUE"""),"")</f>
        <v/>
      </c>
      <c r="I401" s="51" t="str">
        <f>IFERROR(__xludf.DUMMYFUNCTION("""COMPUTED_VALUE"""),"#VALUE!")</f>
        <v>#VALUE!</v>
      </c>
      <c r="J401" s="51" t="str">
        <f>IFERROR(__xludf.DUMMYFUNCTION("""COMPUTED_VALUE"""),"")</f>
        <v/>
      </c>
      <c r="K401" s="51"/>
      <c r="L401" s="51" t="s">
        <v>257</v>
      </c>
      <c r="M401" s="51"/>
      <c r="N401" s="51"/>
      <c r="O401" s="51"/>
      <c r="P401" s="51"/>
      <c r="Q401" s="51"/>
      <c r="R401" s="51"/>
      <c r="S401" s="51"/>
      <c r="T401" s="51"/>
    </row>
    <row r="402">
      <c r="A402" s="51"/>
      <c r="B402" s="51"/>
      <c r="C402" s="56"/>
      <c r="D402" s="51"/>
      <c r="E402" s="51"/>
      <c r="F402" s="51"/>
      <c r="G402" s="51" t="str">
        <f>IFERROR(__xludf.DUMMYFUNCTION("""COMPUTED_VALUE"""),"#VALUE!")</f>
        <v>#VALUE!</v>
      </c>
      <c r="H402" s="51" t="str">
        <f>IFERROR(__xludf.DUMMYFUNCTION("""COMPUTED_VALUE"""),"")</f>
        <v/>
      </c>
      <c r="I402" s="51" t="str">
        <f>IFERROR(__xludf.DUMMYFUNCTION("""COMPUTED_VALUE"""),"#VALUE!")</f>
        <v>#VALUE!</v>
      </c>
      <c r="J402" s="51" t="str">
        <f>IFERROR(__xludf.DUMMYFUNCTION("""COMPUTED_VALUE"""),"")</f>
        <v/>
      </c>
      <c r="K402" s="51"/>
      <c r="L402" s="51" t="s">
        <v>257</v>
      </c>
      <c r="M402" s="51"/>
      <c r="N402" s="51"/>
      <c r="O402" s="51"/>
      <c r="P402" s="51"/>
      <c r="Q402" s="51"/>
      <c r="R402" s="51"/>
      <c r="S402" s="51"/>
      <c r="T402" s="51"/>
    </row>
    <row r="403">
      <c r="A403" s="51"/>
      <c r="B403" s="51"/>
      <c r="C403" s="56"/>
      <c r="D403" s="51"/>
      <c r="E403" s="51"/>
      <c r="F403" s="51"/>
      <c r="G403" s="51" t="str">
        <f>IFERROR(__xludf.DUMMYFUNCTION("""COMPUTED_VALUE"""),"#VALUE!")</f>
        <v>#VALUE!</v>
      </c>
      <c r="H403" s="51" t="str">
        <f>IFERROR(__xludf.DUMMYFUNCTION("""COMPUTED_VALUE"""),"")</f>
        <v/>
      </c>
      <c r="I403" s="51" t="str">
        <f>IFERROR(__xludf.DUMMYFUNCTION("""COMPUTED_VALUE"""),"#VALUE!")</f>
        <v>#VALUE!</v>
      </c>
      <c r="J403" s="51" t="str">
        <f>IFERROR(__xludf.DUMMYFUNCTION("""COMPUTED_VALUE"""),"")</f>
        <v/>
      </c>
      <c r="K403" s="51"/>
      <c r="L403" s="51" t="s">
        <v>257</v>
      </c>
      <c r="M403" s="51"/>
      <c r="N403" s="51"/>
      <c r="O403" s="51"/>
      <c r="P403" s="51"/>
      <c r="Q403" s="51"/>
      <c r="R403" s="51"/>
      <c r="S403" s="51"/>
      <c r="T403" s="51"/>
    </row>
    <row r="404">
      <c r="A404" s="51"/>
      <c r="B404" s="51"/>
      <c r="C404" s="56"/>
      <c r="D404" s="51"/>
      <c r="E404" s="51"/>
      <c r="F404" s="51"/>
      <c r="G404" s="51" t="str">
        <f>IFERROR(__xludf.DUMMYFUNCTION("""COMPUTED_VALUE"""),"#VALUE!")</f>
        <v>#VALUE!</v>
      </c>
      <c r="H404" s="51" t="str">
        <f>IFERROR(__xludf.DUMMYFUNCTION("""COMPUTED_VALUE"""),"")</f>
        <v/>
      </c>
      <c r="I404" s="51" t="str">
        <f>IFERROR(__xludf.DUMMYFUNCTION("""COMPUTED_VALUE"""),"#VALUE!")</f>
        <v>#VALUE!</v>
      </c>
      <c r="J404" s="51" t="str">
        <f>IFERROR(__xludf.DUMMYFUNCTION("""COMPUTED_VALUE"""),"")</f>
        <v/>
      </c>
      <c r="K404" s="51"/>
      <c r="L404" s="51" t="s">
        <v>257</v>
      </c>
      <c r="M404" s="51"/>
      <c r="N404" s="51"/>
      <c r="O404" s="51"/>
      <c r="P404" s="51"/>
      <c r="Q404" s="51"/>
      <c r="R404" s="51"/>
      <c r="S404" s="51"/>
      <c r="T404" s="51"/>
    </row>
    <row r="405">
      <c r="A405" s="51"/>
      <c r="B405" s="51"/>
      <c r="C405" s="56"/>
      <c r="D405" s="51"/>
      <c r="E405" s="51"/>
      <c r="F405" s="51"/>
      <c r="G405" s="51" t="str">
        <f>IFERROR(__xludf.DUMMYFUNCTION("""COMPUTED_VALUE"""),"#VALUE!")</f>
        <v>#VALUE!</v>
      </c>
      <c r="H405" s="51" t="str">
        <f>IFERROR(__xludf.DUMMYFUNCTION("""COMPUTED_VALUE"""),"")</f>
        <v/>
      </c>
      <c r="I405" s="51" t="str">
        <f>IFERROR(__xludf.DUMMYFUNCTION("""COMPUTED_VALUE"""),"#VALUE!")</f>
        <v>#VALUE!</v>
      </c>
      <c r="J405" s="51" t="str">
        <f>IFERROR(__xludf.DUMMYFUNCTION("""COMPUTED_VALUE"""),"")</f>
        <v/>
      </c>
      <c r="K405" s="51"/>
      <c r="L405" s="51" t="s">
        <v>257</v>
      </c>
      <c r="M405" s="51"/>
      <c r="N405" s="51"/>
      <c r="O405" s="51"/>
      <c r="P405" s="51"/>
      <c r="Q405" s="51"/>
      <c r="R405" s="51"/>
      <c r="S405" s="51"/>
      <c r="T405" s="51"/>
    </row>
    <row r="406">
      <c r="A406" s="51"/>
      <c r="B406" s="51"/>
      <c r="C406" s="56"/>
      <c r="D406" s="51"/>
      <c r="E406" s="51"/>
      <c r="F406" s="51"/>
      <c r="G406" s="51" t="str">
        <f>IFERROR(__xludf.DUMMYFUNCTION("""COMPUTED_VALUE"""),"#VALUE!")</f>
        <v>#VALUE!</v>
      </c>
      <c r="H406" s="51" t="str">
        <f>IFERROR(__xludf.DUMMYFUNCTION("""COMPUTED_VALUE"""),"")</f>
        <v/>
      </c>
      <c r="I406" s="51" t="str">
        <f>IFERROR(__xludf.DUMMYFUNCTION("""COMPUTED_VALUE"""),"#VALUE!")</f>
        <v>#VALUE!</v>
      </c>
      <c r="J406" s="51" t="str">
        <f>IFERROR(__xludf.DUMMYFUNCTION("""COMPUTED_VALUE"""),"")</f>
        <v/>
      </c>
      <c r="K406" s="51"/>
      <c r="L406" s="51" t="s">
        <v>257</v>
      </c>
      <c r="M406" s="51"/>
      <c r="N406" s="51"/>
      <c r="O406" s="51"/>
      <c r="P406" s="51"/>
      <c r="Q406" s="51"/>
      <c r="R406" s="51"/>
      <c r="S406" s="51"/>
      <c r="T406" s="51"/>
    </row>
    <row r="407">
      <c r="A407" s="51"/>
      <c r="B407" s="51"/>
      <c r="C407" s="56"/>
      <c r="D407" s="51"/>
      <c r="E407" s="51"/>
      <c r="F407" s="51"/>
      <c r="G407" s="51" t="str">
        <f>IFERROR(__xludf.DUMMYFUNCTION("""COMPUTED_VALUE"""),"#VALUE!")</f>
        <v>#VALUE!</v>
      </c>
      <c r="H407" s="51" t="str">
        <f>IFERROR(__xludf.DUMMYFUNCTION("""COMPUTED_VALUE"""),"")</f>
        <v/>
      </c>
      <c r="I407" s="51" t="str">
        <f>IFERROR(__xludf.DUMMYFUNCTION("""COMPUTED_VALUE"""),"#VALUE!")</f>
        <v>#VALUE!</v>
      </c>
      <c r="J407" s="51" t="str">
        <f>IFERROR(__xludf.DUMMYFUNCTION("""COMPUTED_VALUE"""),"")</f>
        <v/>
      </c>
      <c r="K407" s="51"/>
      <c r="L407" s="51" t="s">
        <v>257</v>
      </c>
      <c r="M407" s="51"/>
      <c r="N407" s="51"/>
      <c r="O407" s="51"/>
      <c r="P407" s="51"/>
      <c r="Q407" s="51"/>
      <c r="R407" s="51"/>
      <c r="S407" s="51"/>
      <c r="T407" s="51"/>
    </row>
    <row r="408">
      <c r="A408" s="51"/>
      <c r="B408" s="51"/>
      <c r="C408" s="56"/>
      <c r="D408" s="51"/>
      <c r="E408" s="51"/>
      <c r="F408" s="51"/>
      <c r="G408" s="51" t="str">
        <f>IFERROR(__xludf.DUMMYFUNCTION("""COMPUTED_VALUE"""),"#VALUE!")</f>
        <v>#VALUE!</v>
      </c>
      <c r="H408" s="51" t="str">
        <f>IFERROR(__xludf.DUMMYFUNCTION("""COMPUTED_VALUE"""),"")</f>
        <v/>
      </c>
      <c r="I408" s="51" t="str">
        <f>IFERROR(__xludf.DUMMYFUNCTION("""COMPUTED_VALUE"""),"#VALUE!")</f>
        <v>#VALUE!</v>
      </c>
      <c r="J408" s="51" t="str">
        <f>IFERROR(__xludf.DUMMYFUNCTION("""COMPUTED_VALUE"""),"")</f>
        <v/>
      </c>
      <c r="K408" s="51"/>
      <c r="L408" s="51" t="s">
        <v>257</v>
      </c>
      <c r="M408" s="51"/>
      <c r="N408" s="51"/>
      <c r="O408" s="51"/>
      <c r="P408" s="51"/>
      <c r="Q408" s="51"/>
      <c r="R408" s="51"/>
      <c r="S408" s="51"/>
      <c r="T408" s="51"/>
    </row>
    <row r="409">
      <c r="A409" s="51"/>
      <c r="B409" s="51"/>
      <c r="C409" s="56"/>
      <c r="D409" s="51"/>
      <c r="E409" s="51"/>
      <c r="F409" s="51"/>
      <c r="G409" s="51" t="str">
        <f>IFERROR(__xludf.DUMMYFUNCTION("""COMPUTED_VALUE"""),"#VALUE!")</f>
        <v>#VALUE!</v>
      </c>
      <c r="H409" s="51" t="str">
        <f>IFERROR(__xludf.DUMMYFUNCTION("""COMPUTED_VALUE"""),"")</f>
        <v/>
      </c>
      <c r="I409" s="51" t="str">
        <f>IFERROR(__xludf.DUMMYFUNCTION("""COMPUTED_VALUE"""),"#VALUE!")</f>
        <v>#VALUE!</v>
      </c>
      <c r="J409" s="51" t="str">
        <f>IFERROR(__xludf.DUMMYFUNCTION("""COMPUTED_VALUE"""),"")</f>
        <v/>
      </c>
      <c r="K409" s="51"/>
      <c r="L409" s="51" t="s">
        <v>257</v>
      </c>
      <c r="M409" s="51"/>
      <c r="N409" s="51"/>
      <c r="O409" s="51"/>
      <c r="P409" s="51"/>
      <c r="Q409" s="51"/>
      <c r="R409" s="51"/>
      <c r="S409" s="51"/>
      <c r="T409" s="51"/>
    </row>
    <row r="410">
      <c r="A410" s="51"/>
      <c r="B410" s="51"/>
      <c r="C410" s="56"/>
      <c r="D410" s="51"/>
      <c r="E410" s="51"/>
      <c r="F410" s="51"/>
      <c r="G410" s="51" t="str">
        <f>IFERROR(__xludf.DUMMYFUNCTION("""COMPUTED_VALUE"""),"#VALUE!")</f>
        <v>#VALUE!</v>
      </c>
      <c r="H410" s="51" t="str">
        <f>IFERROR(__xludf.DUMMYFUNCTION("""COMPUTED_VALUE"""),"")</f>
        <v/>
      </c>
      <c r="I410" s="51" t="str">
        <f>IFERROR(__xludf.DUMMYFUNCTION("""COMPUTED_VALUE"""),"#VALUE!")</f>
        <v>#VALUE!</v>
      </c>
      <c r="J410" s="51" t="str">
        <f>IFERROR(__xludf.DUMMYFUNCTION("""COMPUTED_VALUE"""),"")</f>
        <v/>
      </c>
      <c r="K410" s="51"/>
      <c r="L410" s="51" t="s">
        <v>257</v>
      </c>
      <c r="M410" s="51"/>
      <c r="N410" s="51"/>
      <c r="O410" s="51"/>
      <c r="P410" s="51"/>
      <c r="Q410" s="51"/>
      <c r="R410" s="51"/>
      <c r="S410" s="51"/>
      <c r="T410" s="51"/>
    </row>
    <row r="411">
      <c r="A411" s="51"/>
      <c r="B411" s="51"/>
      <c r="C411" s="56"/>
      <c r="D411" s="51"/>
      <c r="E411" s="51"/>
      <c r="F411" s="51"/>
      <c r="G411" s="51" t="str">
        <f>IFERROR(__xludf.DUMMYFUNCTION("""COMPUTED_VALUE"""),"#VALUE!")</f>
        <v>#VALUE!</v>
      </c>
      <c r="H411" s="51" t="str">
        <f>IFERROR(__xludf.DUMMYFUNCTION("""COMPUTED_VALUE"""),"")</f>
        <v/>
      </c>
      <c r="I411" s="51" t="str">
        <f>IFERROR(__xludf.DUMMYFUNCTION("""COMPUTED_VALUE"""),"#VALUE!")</f>
        <v>#VALUE!</v>
      </c>
      <c r="J411" s="51" t="str">
        <f>IFERROR(__xludf.DUMMYFUNCTION("""COMPUTED_VALUE"""),"")</f>
        <v/>
      </c>
      <c r="K411" s="51"/>
      <c r="L411" s="51" t="s">
        <v>257</v>
      </c>
      <c r="M411" s="51"/>
      <c r="N411" s="51"/>
      <c r="O411" s="51"/>
      <c r="P411" s="51"/>
      <c r="Q411" s="51"/>
      <c r="R411" s="51"/>
      <c r="S411" s="51"/>
      <c r="T411" s="51"/>
    </row>
    <row r="412">
      <c r="A412" s="51"/>
      <c r="B412" s="51"/>
      <c r="C412" s="56"/>
      <c r="D412" s="51"/>
      <c r="E412" s="51"/>
      <c r="F412" s="51"/>
      <c r="G412" s="51" t="str">
        <f>IFERROR(__xludf.DUMMYFUNCTION("""COMPUTED_VALUE"""),"#VALUE!")</f>
        <v>#VALUE!</v>
      </c>
      <c r="H412" s="51" t="str">
        <f>IFERROR(__xludf.DUMMYFUNCTION("""COMPUTED_VALUE"""),"")</f>
        <v/>
      </c>
      <c r="I412" s="51" t="str">
        <f>IFERROR(__xludf.DUMMYFUNCTION("""COMPUTED_VALUE"""),"#VALUE!")</f>
        <v>#VALUE!</v>
      </c>
      <c r="J412" s="51" t="str">
        <f>IFERROR(__xludf.DUMMYFUNCTION("""COMPUTED_VALUE"""),"")</f>
        <v/>
      </c>
      <c r="K412" s="51"/>
      <c r="L412" s="51" t="s">
        <v>257</v>
      </c>
      <c r="M412" s="51"/>
      <c r="N412" s="51"/>
      <c r="O412" s="51"/>
      <c r="P412" s="51"/>
      <c r="Q412" s="51"/>
      <c r="R412" s="51"/>
      <c r="S412" s="51"/>
      <c r="T412" s="51"/>
    </row>
    <row r="413">
      <c r="A413" s="51"/>
      <c r="B413" s="51"/>
      <c r="C413" s="56"/>
      <c r="D413" s="51"/>
      <c r="E413" s="51"/>
      <c r="F413" s="51"/>
      <c r="G413" s="51" t="str">
        <f>IFERROR(__xludf.DUMMYFUNCTION("""COMPUTED_VALUE"""),"#VALUE!")</f>
        <v>#VALUE!</v>
      </c>
      <c r="H413" s="51" t="str">
        <f>IFERROR(__xludf.DUMMYFUNCTION("""COMPUTED_VALUE"""),"")</f>
        <v/>
      </c>
      <c r="I413" s="51" t="str">
        <f>IFERROR(__xludf.DUMMYFUNCTION("""COMPUTED_VALUE"""),"#VALUE!")</f>
        <v>#VALUE!</v>
      </c>
      <c r="J413" s="51" t="str">
        <f>IFERROR(__xludf.DUMMYFUNCTION("""COMPUTED_VALUE"""),"")</f>
        <v/>
      </c>
      <c r="K413" s="51"/>
      <c r="L413" s="51" t="s">
        <v>257</v>
      </c>
      <c r="M413" s="51"/>
      <c r="N413" s="51"/>
      <c r="O413" s="51"/>
      <c r="P413" s="51"/>
      <c r="Q413" s="51"/>
      <c r="R413" s="51"/>
      <c r="S413" s="51"/>
      <c r="T413" s="51"/>
    </row>
    <row r="414">
      <c r="A414" s="51"/>
      <c r="B414" s="51"/>
      <c r="C414" s="56"/>
      <c r="D414" s="51"/>
      <c r="E414" s="51"/>
      <c r="F414" s="51"/>
      <c r="G414" s="51" t="str">
        <f>IFERROR(__xludf.DUMMYFUNCTION("""COMPUTED_VALUE"""),"#VALUE!")</f>
        <v>#VALUE!</v>
      </c>
      <c r="H414" s="51" t="str">
        <f>IFERROR(__xludf.DUMMYFUNCTION("""COMPUTED_VALUE"""),"")</f>
        <v/>
      </c>
      <c r="I414" s="51" t="str">
        <f>IFERROR(__xludf.DUMMYFUNCTION("""COMPUTED_VALUE"""),"#VALUE!")</f>
        <v>#VALUE!</v>
      </c>
      <c r="J414" s="51" t="str">
        <f>IFERROR(__xludf.DUMMYFUNCTION("""COMPUTED_VALUE"""),"")</f>
        <v/>
      </c>
      <c r="K414" s="51"/>
      <c r="L414" s="51" t="s">
        <v>257</v>
      </c>
      <c r="M414" s="51"/>
      <c r="N414" s="51"/>
      <c r="O414" s="51"/>
      <c r="P414" s="51"/>
      <c r="Q414" s="51"/>
      <c r="R414" s="51"/>
      <c r="S414" s="51"/>
      <c r="T414" s="51"/>
    </row>
    <row r="415">
      <c r="A415" s="51"/>
      <c r="B415" s="51"/>
      <c r="C415" s="56"/>
      <c r="D415" s="51"/>
      <c r="E415" s="51"/>
      <c r="F415" s="51"/>
      <c r="G415" s="51" t="str">
        <f>IFERROR(__xludf.DUMMYFUNCTION("""COMPUTED_VALUE"""),"#VALUE!")</f>
        <v>#VALUE!</v>
      </c>
      <c r="H415" s="51" t="str">
        <f>IFERROR(__xludf.DUMMYFUNCTION("""COMPUTED_VALUE"""),"")</f>
        <v/>
      </c>
      <c r="I415" s="51" t="str">
        <f>IFERROR(__xludf.DUMMYFUNCTION("""COMPUTED_VALUE"""),"#VALUE!")</f>
        <v>#VALUE!</v>
      </c>
      <c r="J415" s="51" t="str">
        <f>IFERROR(__xludf.DUMMYFUNCTION("""COMPUTED_VALUE"""),"")</f>
        <v/>
      </c>
      <c r="K415" s="51"/>
      <c r="L415" s="51" t="s">
        <v>257</v>
      </c>
      <c r="M415" s="51"/>
      <c r="N415" s="51"/>
      <c r="O415" s="51"/>
      <c r="P415" s="51"/>
      <c r="Q415" s="51"/>
      <c r="R415" s="51"/>
      <c r="S415" s="51"/>
      <c r="T415" s="51"/>
    </row>
    <row r="416">
      <c r="A416" s="51"/>
      <c r="B416" s="51"/>
      <c r="C416" s="56"/>
      <c r="D416" s="51"/>
      <c r="E416" s="51"/>
      <c r="F416" s="51"/>
      <c r="G416" s="51" t="str">
        <f>IFERROR(__xludf.DUMMYFUNCTION("""COMPUTED_VALUE"""),"#VALUE!")</f>
        <v>#VALUE!</v>
      </c>
      <c r="H416" s="51" t="str">
        <f>IFERROR(__xludf.DUMMYFUNCTION("""COMPUTED_VALUE"""),"")</f>
        <v/>
      </c>
      <c r="I416" s="51" t="str">
        <f>IFERROR(__xludf.DUMMYFUNCTION("""COMPUTED_VALUE"""),"#VALUE!")</f>
        <v>#VALUE!</v>
      </c>
      <c r="J416" s="51" t="str">
        <f>IFERROR(__xludf.DUMMYFUNCTION("""COMPUTED_VALUE"""),"")</f>
        <v/>
      </c>
      <c r="K416" s="51"/>
      <c r="L416" s="51" t="s">
        <v>257</v>
      </c>
      <c r="M416" s="51"/>
      <c r="N416" s="51"/>
      <c r="O416" s="51"/>
      <c r="P416" s="51"/>
      <c r="Q416" s="51"/>
      <c r="R416" s="51"/>
      <c r="S416" s="51"/>
      <c r="T416" s="51"/>
    </row>
    <row r="417">
      <c r="A417" s="51"/>
      <c r="B417" s="51"/>
      <c r="C417" s="56"/>
      <c r="D417" s="51"/>
      <c r="E417" s="51"/>
      <c r="F417" s="51"/>
      <c r="G417" s="51" t="str">
        <f>IFERROR(__xludf.DUMMYFUNCTION("""COMPUTED_VALUE"""),"#VALUE!")</f>
        <v>#VALUE!</v>
      </c>
      <c r="H417" s="51" t="str">
        <f>IFERROR(__xludf.DUMMYFUNCTION("""COMPUTED_VALUE"""),"")</f>
        <v/>
      </c>
      <c r="I417" s="51" t="str">
        <f>IFERROR(__xludf.DUMMYFUNCTION("""COMPUTED_VALUE"""),"#VALUE!")</f>
        <v>#VALUE!</v>
      </c>
      <c r="J417" s="51" t="str">
        <f>IFERROR(__xludf.DUMMYFUNCTION("""COMPUTED_VALUE"""),"")</f>
        <v/>
      </c>
      <c r="K417" s="51"/>
      <c r="L417" s="51" t="s">
        <v>257</v>
      </c>
      <c r="M417" s="51"/>
      <c r="N417" s="51"/>
      <c r="O417" s="51"/>
      <c r="P417" s="51"/>
      <c r="Q417" s="51"/>
      <c r="R417" s="51"/>
      <c r="S417" s="51"/>
      <c r="T417" s="51"/>
    </row>
    <row r="418">
      <c r="A418" s="51"/>
      <c r="B418" s="51"/>
      <c r="C418" s="56"/>
      <c r="D418" s="51"/>
      <c r="E418" s="51"/>
      <c r="F418" s="51"/>
      <c r="G418" s="51" t="str">
        <f>IFERROR(__xludf.DUMMYFUNCTION("""COMPUTED_VALUE"""),"#VALUE!")</f>
        <v>#VALUE!</v>
      </c>
      <c r="H418" s="51" t="str">
        <f>IFERROR(__xludf.DUMMYFUNCTION("""COMPUTED_VALUE"""),"")</f>
        <v/>
      </c>
      <c r="I418" s="51" t="str">
        <f>IFERROR(__xludf.DUMMYFUNCTION("""COMPUTED_VALUE"""),"#VALUE!")</f>
        <v>#VALUE!</v>
      </c>
      <c r="J418" s="51" t="str">
        <f>IFERROR(__xludf.DUMMYFUNCTION("""COMPUTED_VALUE"""),"")</f>
        <v/>
      </c>
      <c r="K418" s="51"/>
      <c r="L418" s="51" t="s">
        <v>257</v>
      </c>
      <c r="M418" s="51"/>
      <c r="N418" s="51"/>
      <c r="O418" s="51"/>
      <c r="P418" s="51"/>
      <c r="Q418" s="51"/>
      <c r="R418" s="51"/>
      <c r="S418" s="51"/>
      <c r="T418" s="51"/>
    </row>
    <row r="419">
      <c r="A419" s="51"/>
      <c r="B419" s="51"/>
      <c r="C419" s="56"/>
      <c r="D419" s="51"/>
      <c r="E419" s="51"/>
      <c r="F419" s="51"/>
      <c r="G419" s="51" t="str">
        <f>IFERROR(__xludf.DUMMYFUNCTION("""COMPUTED_VALUE"""),"#VALUE!")</f>
        <v>#VALUE!</v>
      </c>
      <c r="H419" s="51" t="str">
        <f>IFERROR(__xludf.DUMMYFUNCTION("""COMPUTED_VALUE"""),"")</f>
        <v/>
      </c>
      <c r="I419" s="51" t="str">
        <f>IFERROR(__xludf.DUMMYFUNCTION("""COMPUTED_VALUE"""),"#VALUE!")</f>
        <v>#VALUE!</v>
      </c>
      <c r="J419" s="51" t="str">
        <f>IFERROR(__xludf.DUMMYFUNCTION("""COMPUTED_VALUE"""),"")</f>
        <v/>
      </c>
      <c r="K419" s="51"/>
      <c r="L419" s="51" t="s">
        <v>257</v>
      </c>
      <c r="M419" s="51"/>
      <c r="N419" s="51"/>
      <c r="O419" s="51"/>
      <c r="P419" s="51"/>
      <c r="Q419" s="51"/>
      <c r="R419" s="51"/>
      <c r="S419" s="51"/>
      <c r="T419" s="51"/>
    </row>
    <row r="420">
      <c r="A420" s="51"/>
      <c r="B420" s="51"/>
      <c r="C420" s="56"/>
      <c r="D420" s="51"/>
      <c r="E420" s="51"/>
      <c r="F420" s="51"/>
      <c r="G420" s="51" t="str">
        <f>IFERROR(__xludf.DUMMYFUNCTION("""COMPUTED_VALUE"""),"#VALUE!")</f>
        <v>#VALUE!</v>
      </c>
      <c r="H420" s="51" t="str">
        <f>IFERROR(__xludf.DUMMYFUNCTION("""COMPUTED_VALUE"""),"")</f>
        <v/>
      </c>
      <c r="I420" s="51" t="str">
        <f>IFERROR(__xludf.DUMMYFUNCTION("""COMPUTED_VALUE"""),"#VALUE!")</f>
        <v>#VALUE!</v>
      </c>
      <c r="J420" s="51" t="str">
        <f>IFERROR(__xludf.DUMMYFUNCTION("""COMPUTED_VALUE"""),"")</f>
        <v/>
      </c>
      <c r="K420" s="51"/>
      <c r="L420" s="51" t="s">
        <v>257</v>
      </c>
      <c r="M420" s="51"/>
      <c r="N420" s="51"/>
      <c r="O420" s="51"/>
      <c r="P420" s="51"/>
      <c r="Q420" s="51"/>
      <c r="R420" s="51"/>
      <c r="S420" s="51"/>
      <c r="T420" s="51"/>
    </row>
    <row r="421">
      <c r="A421" s="51"/>
      <c r="B421" s="51"/>
      <c r="C421" s="56"/>
      <c r="D421" s="51"/>
      <c r="E421" s="51"/>
      <c r="F421" s="51"/>
      <c r="G421" s="51" t="str">
        <f>IFERROR(__xludf.DUMMYFUNCTION("""COMPUTED_VALUE"""),"#VALUE!")</f>
        <v>#VALUE!</v>
      </c>
      <c r="H421" s="51" t="str">
        <f>IFERROR(__xludf.DUMMYFUNCTION("""COMPUTED_VALUE"""),"")</f>
        <v/>
      </c>
      <c r="I421" s="51" t="str">
        <f>IFERROR(__xludf.DUMMYFUNCTION("""COMPUTED_VALUE"""),"#VALUE!")</f>
        <v>#VALUE!</v>
      </c>
      <c r="J421" s="51" t="str">
        <f>IFERROR(__xludf.DUMMYFUNCTION("""COMPUTED_VALUE"""),"")</f>
        <v/>
      </c>
      <c r="K421" s="51"/>
      <c r="L421" s="51" t="s">
        <v>257</v>
      </c>
      <c r="M421" s="51"/>
      <c r="N421" s="51"/>
      <c r="O421" s="51"/>
      <c r="P421" s="51"/>
      <c r="Q421" s="51"/>
      <c r="R421" s="51"/>
      <c r="S421" s="51"/>
      <c r="T421" s="51"/>
    </row>
    <row r="422">
      <c r="A422" s="51"/>
      <c r="B422" s="51"/>
      <c r="C422" s="56"/>
      <c r="D422" s="51"/>
      <c r="E422" s="51"/>
      <c r="F422" s="51"/>
      <c r="G422" s="51" t="str">
        <f>IFERROR(__xludf.DUMMYFUNCTION("""COMPUTED_VALUE"""),"#VALUE!")</f>
        <v>#VALUE!</v>
      </c>
      <c r="H422" s="51" t="str">
        <f>IFERROR(__xludf.DUMMYFUNCTION("""COMPUTED_VALUE"""),"")</f>
        <v/>
      </c>
      <c r="I422" s="51" t="str">
        <f>IFERROR(__xludf.DUMMYFUNCTION("""COMPUTED_VALUE"""),"#VALUE!")</f>
        <v>#VALUE!</v>
      </c>
      <c r="J422" s="51" t="str">
        <f>IFERROR(__xludf.DUMMYFUNCTION("""COMPUTED_VALUE"""),"")</f>
        <v/>
      </c>
      <c r="K422" s="51"/>
      <c r="L422" s="51" t="s">
        <v>257</v>
      </c>
      <c r="M422" s="51"/>
      <c r="N422" s="51"/>
      <c r="O422" s="51"/>
      <c r="P422" s="51"/>
      <c r="Q422" s="51"/>
      <c r="R422" s="51"/>
      <c r="S422" s="51"/>
      <c r="T422" s="51"/>
    </row>
    <row r="423">
      <c r="A423" s="51"/>
      <c r="B423" s="51"/>
      <c r="C423" s="56"/>
      <c r="D423" s="51"/>
      <c r="E423" s="51"/>
      <c r="F423" s="51"/>
      <c r="G423" s="51" t="str">
        <f>IFERROR(__xludf.DUMMYFUNCTION("""COMPUTED_VALUE"""),"#VALUE!")</f>
        <v>#VALUE!</v>
      </c>
      <c r="H423" s="51" t="str">
        <f>IFERROR(__xludf.DUMMYFUNCTION("""COMPUTED_VALUE"""),"")</f>
        <v/>
      </c>
      <c r="I423" s="51" t="str">
        <f>IFERROR(__xludf.DUMMYFUNCTION("""COMPUTED_VALUE"""),"#VALUE!")</f>
        <v>#VALUE!</v>
      </c>
      <c r="J423" s="51" t="str">
        <f>IFERROR(__xludf.DUMMYFUNCTION("""COMPUTED_VALUE"""),"")</f>
        <v/>
      </c>
      <c r="K423" s="51"/>
      <c r="L423" s="51" t="s">
        <v>257</v>
      </c>
      <c r="M423" s="51"/>
      <c r="N423" s="51"/>
      <c r="O423" s="51"/>
      <c r="P423" s="51"/>
      <c r="Q423" s="51"/>
      <c r="R423" s="51"/>
      <c r="S423" s="51"/>
      <c r="T423" s="51"/>
    </row>
    <row r="424">
      <c r="A424" s="51"/>
      <c r="B424" s="51"/>
      <c r="C424" s="56"/>
      <c r="D424" s="51"/>
      <c r="E424" s="51"/>
      <c r="F424" s="51"/>
      <c r="G424" s="51" t="str">
        <f>IFERROR(__xludf.DUMMYFUNCTION("""COMPUTED_VALUE"""),"#VALUE!")</f>
        <v>#VALUE!</v>
      </c>
      <c r="H424" s="51" t="str">
        <f>IFERROR(__xludf.DUMMYFUNCTION("""COMPUTED_VALUE"""),"")</f>
        <v/>
      </c>
      <c r="I424" s="51" t="str">
        <f>IFERROR(__xludf.DUMMYFUNCTION("""COMPUTED_VALUE"""),"#VALUE!")</f>
        <v>#VALUE!</v>
      </c>
      <c r="J424" s="51" t="str">
        <f>IFERROR(__xludf.DUMMYFUNCTION("""COMPUTED_VALUE"""),"")</f>
        <v/>
      </c>
      <c r="K424" s="51"/>
      <c r="L424" s="51" t="s">
        <v>257</v>
      </c>
      <c r="M424" s="51"/>
      <c r="N424" s="51"/>
      <c r="O424" s="51"/>
      <c r="P424" s="51"/>
      <c r="Q424" s="51"/>
      <c r="R424" s="51"/>
      <c r="S424" s="51"/>
      <c r="T424" s="51"/>
    </row>
    <row r="425">
      <c r="A425" s="51"/>
      <c r="B425" s="51"/>
      <c r="C425" s="56"/>
      <c r="D425" s="51"/>
      <c r="E425" s="51"/>
      <c r="F425" s="51"/>
      <c r="G425" s="51" t="str">
        <f>IFERROR(__xludf.DUMMYFUNCTION("""COMPUTED_VALUE"""),"#VALUE!")</f>
        <v>#VALUE!</v>
      </c>
      <c r="H425" s="51" t="str">
        <f>IFERROR(__xludf.DUMMYFUNCTION("""COMPUTED_VALUE"""),"")</f>
        <v/>
      </c>
      <c r="I425" s="51" t="str">
        <f>IFERROR(__xludf.DUMMYFUNCTION("""COMPUTED_VALUE"""),"#VALUE!")</f>
        <v>#VALUE!</v>
      </c>
      <c r="J425" s="51" t="str">
        <f>IFERROR(__xludf.DUMMYFUNCTION("""COMPUTED_VALUE"""),"")</f>
        <v/>
      </c>
      <c r="K425" s="51"/>
      <c r="L425" s="51" t="s">
        <v>257</v>
      </c>
      <c r="M425" s="51"/>
      <c r="N425" s="51"/>
      <c r="O425" s="51"/>
      <c r="P425" s="51"/>
      <c r="Q425" s="51"/>
      <c r="R425" s="51"/>
      <c r="S425" s="51"/>
      <c r="T425" s="51"/>
    </row>
    <row r="426">
      <c r="A426" s="51"/>
      <c r="B426" s="51"/>
      <c r="C426" s="56"/>
      <c r="D426" s="51"/>
      <c r="E426" s="51"/>
      <c r="F426" s="51"/>
      <c r="G426" s="51" t="str">
        <f>IFERROR(__xludf.DUMMYFUNCTION("""COMPUTED_VALUE"""),"#VALUE!")</f>
        <v>#VALUE!</v>
      </c>
      <c r="H426" s="51" t="str">
        <f>IFERROR(__xludf.DUMMYFUNCTION("""COMPUTED_VALUE"""),"")</f>
        <v/>
      </c>
      <c r="I426" s="51" t="str">
        <f>IFERROR(__xludf.DUMMYFUNCTION("""COMPUTED_VALUE"""),"#VALUE!")</f>
        <v>#VALUE!</v>
      </c>
      <c r="J426" s="51" t="str">
        <f>IFERROR(__xludf.DUMMYFUNCTION("""COMPUTED_VALUE"""),"")</f>
        <v/>
      </c>
      <c r="K426" s="51"/>
      <c r="L426" s="51" t="s">
        <v>257</v>
      </c>
      <c r="M426" s="51"/>
      <c r="N426" s="51"/>
      <c r="O426" s="51"/>
      <c r="P426" s="51"/>
      <c r="Q426" s="51"/>
      <c r="R426" s="51"/>
      <c r="S426" s="51"/>
      <c r="T426" s="51"/>
    </row>
    <row r="427">
      <c r="A427" s="51"/>
      <c r="B427" s="51"/>
      <c r="C427" s="56"/>
      <c r="D427" s="51"/>
      <c r="E427" s="51"/>
      <c r="F427" s="51"/>
      <c r="G427" s="51" t="str">
        <f>IFERROR(__xludf.DUMMYFUNCTION("""COMPUTED_VALUE"""),"#VALUE!")</f>
        <v>#VALUE!</v>
      </c>
      <c r="H427" s="51" t="str">
        <f>IFERROR(__xludf.DUMMYFUNCTION("""COMPUTED_VALUE"""),"")</f>
        <v/>
      </c>
      <c r="I427" s="51" t="str">
        <f>IFERROR(__xludf.DUMMYFUNCTION("""COMPUTED_VALUE"""),"#VALUE!")</f>
        <v>#VALUE!</v>
      </c>
      <c r="J427" s="51" t="str">
        <f>IFERROR(__xludf.DUMMYFUNCTION("""COMPUTED_VALUE"""),"")</f>
        <v/>
      </c>
      <c r="K427" s="51"/>
      <c r="L427" s="51" t="s">
        <v>257</v>
      </c>
      <c r="M427" s="51"/>
      <c r="N427" s="51"/>
      <c r="O427" s="51"/>
      <c r="P427" s="51"/>
      <c r="Q427" s="51"/>
      <c r="R427" s="51"/>
      <c r="S427" s="51"/>
      <c r="T427" s="51"/>
    </row>
    <row r="428">
      <c r="A428" s="51"/>
      <c r="B428" s="51"/>
      <c r="C428" s="56"/>
      <c r="D428" s="51"/>
      <c r="E428" s="51"/>
      <c r="F428" s="51"/>
      <c r="G428" s="51" t="str">
        <f>IFERROR(__xludf.DUMMYFUNCTION("""COMPUTED_VALUE"""),"#VALUE!")</f>
        <v>#VALUE!</v>
      </c>
      <c r="H428" s="51" t="str">
        <f>IFERROR(__xludf.DUMMYFUNCTION("""COMPUTED_VALUE"""),"")</f>
        <v/>
      </c>
      <c r="I428" s="51" t="str">
        <f>IFERROR(__xludf.DUMMYFUNCTION("""COMPUTED_VALUE"""),"#VALUE!")</f>
        <v>#VALUE!</v>
      </c>
      <c r="J428" s="51" t="str">
        <f>IFERROR(__xludf.DUMMYFUNCTION("""COMPUTED_VALUE"""),"")</f>
        <v/>
      </c>
      <c r="K428" s="51"/>
      <c r="L428" s="51" t="s">
        <v>257</v>
      </c>
      <c r="M428" s="51"/>
      <c r="N428" s="51"/>
      <c r="O428" s="51"/>
      <c r="P428" s="51"/>
      <c r="Q428" s="51"/>
      <c r="R428" s="51"/>
      <c r="S428" s="51"/>
      <c r="T428" s="51"/>
    </row>
    <row r="429">
      <c r="A429" s="51"/>
      <c r="B429" s="51"/>
      <c r="C429" s="56"/>
      <c r="D429" s="51"/>
      <c r="E429" s="51"/>
      <c r="F429" s="51"/>
      <c r="G429" s="51" t="str">
        <f>IFERROR(__xludf.DUMMYFUNCTION("""COMPUTED_VALUE"""),"#VALUE!")</f>
        <v>#VALUE!</v>
      </c>
      <c r="H429" s="51" t="str">
        <f>IFERROR(__xludf.DUMMYFUNCTION("""COMPUTED_VALUE"""),"")</f>
        <v/>
      </c>
      <c r="I429" s="51" t="str">
        <f>IFERROR(__xludf.DUMMYFUNCTION("""COMPUTED_VALUE"""),"#VALUE!")</f>
        <v>#VALUE!</v>
      </c>
      <c r="J429" s="51" t="str">
        <f>IFERROR(__xludf.DUMMYFUNCTION("""COMPUTED_VALUE"""),"")</f>
        <v/>
      </c>
      <c r="K429" s="51"/>
      <c r="L429" s="51" t="s">
        <v>257</v>
      </c>
      <c r="M429" s="51"/>
      <c r="N429" s="51"/>
      <c r="O429" s="51"/>
      <c r="P429" s="51"/>
      <c r="Q429" s="51"/>
      <c r="R429" s="51"/>
      <c r="S429" s="51"/>
      <c r="T429" s="51"/>
    </row>
    <row r="430">
      <c r="A430" s="51"/>
      <c r="B430" s="51"/>
      <c r="C430" s="56"/>
      <c r="D430" s="51"/>
      <c r="E430" s="51"/>
      <c r="F430" s="51"/>
      <c r="G430" s="51" t="str">
        <f>IFERROR(__xludf.DUMMYFUNCTION("""COMPUTED_VALUE"""),"#VALUE!")</f>
        <v>#VALUE!</v>
      </c>
      <c r="H430" s="51" t="str">
        <f>IFERROR(__xludf.DUMMYFUNCTION("""COMPUTED_VALUE"""),"")</f>
        <v/>
      </c>
      <c r="I430" s="51" t="str">
        <f>IFERROR(__xludf.DUMMYFUNCTION("""COMPUTED_VALUE"""),"#VALUE!")</f>
        <v>#VALUE!</v>
      </c>
      <c r="J430" s="51" t="str">
        <f>IFERROR(__xludf.DUMMYFUNCTION("""COMPUTED_VALUE"""),"")</f>
        <v/>
      </c>
      <c r="K430" s="51"/>
      <c r="L430" s="51" t="s">
        <v>257</v>
      </c>
      <c r="M430" s="51"/>
      <c r="N430" s="51"/>
      <c r="O430" s="51"/>
      <c r="P430" s="51"/>
      <c r="Q430" s="51"/>
      <c r="R430" s="51"/>
      <c r="S430" s="51"/>
      <c r="T430" s="51"/>
    </row>
    <row r="431">
      <c r="A431" s="51"/>
      <c r="B431" s="51"/>
      <c r="C431" s="56"/>
      <c r="D431" s="51"/>
      <c r="E431" s="51"/>
      <c r="F431" s="51"/>
      <c r="G431" s="51" t="str">
        <f>IFERROR(__xludf.DUMMYFUNCTION("""COMPUTED_VALUE"""),"#VALUE!")</f>
        <v>#VALUE!</v>
      </c>
      <c r="H431" s="51" t="str">
        <f>IFERROR(__xludf.DUMMYFUNCTION("""COMPUTED_VALUE"""),"")</f>
        <v/>
      </c>
      <c r="I431" s="51" t="str">
        <f>IFERROR(__xludf.DUMMYFUNCTION("""COMPUTED_VALUE"""),"#VALUE!")</f>
        <v>#VALUE!</v>
      </c>
      <c r="J431" s="51" t="str">
        <f>IFERROR(__xludf.DUMMYFUNCTION("""COMPUTED_VALUE"""),"")</f>
        <v/>
      </c>
      <c r="K431" s="51"/>
      <c r="L431" s="51" t="s">
        <v>257</v>
      </c>
      <c r="M431" s="51"/>
      <c r="N431" s="51"/>
      <c r="O431" s="51"/>
      <c r="P431" s="51"/>
      <c r="Q431" s="51"/>
      <c r="R431" s="51"/>
      <c r="S431" s="51"/>
      <c r="T431" s="51"/>
    </row>
    <row r="432">
      <c r="A432" s="51"/>
      <c r="B432" s="51"/>
      <c r="C432" s="56"/>
      <c r="D432" s="51"/>
      <c r="E432" s="51"/>
      <c r="F432" s="51"/>
      <c r="G432" s="51" t="str">
        <f>IFERROR(__xludf.DUMMYFUNCTION("""COMPUTED_VALUE"""),"#VALUE!")</f>
        <v>#VALUE!</v>
      </c>
      <c r="H432" s="51" t="str">
        <f>IFERROR(__xludf.DUMMYFUNCTION("""COMPUTED_VALUE"""),"")</f>
        <v/>
      </c>
      <c r="I432" s="51" t="str">
        <f>IFERROR(__xludf.DUMMYFUNCTION("""COMPUTED_VALUE"""),"#VALUE!")</f>
        <v>#VALUE!</v>
      </c>
      <c r="J432" s="51" t="str">
        <f>IFERROR(__xludf.DUMMYFUNCTION("""COMPUTED_VALUE"""),"")</f>
        <v/>
      </c>
      <c r="K432" s="51"/>
      <c r="L432" s="51" t="s">
        <v>257</v>
      </c>
      <c r="M432" s="51"/>
      <c r="N432" s="51"/>
      <c r="O432" s="51"/>
      <c r="P432" s="51"/>
      <c r="Q432" s="51"/>
      <c r="R432" s="51"/>
      <c r="S432" s="51"/>
      <c r="T432" s="51"/>
    </row>
    <row r="433">
      <c r="A433" s="51"/>
      <c r="B433" s="51"/>
      <c r="C433" s="56"/>
      <c r="D433" s="51"/>
      <c r="E433" s="51"/>
      <c r="F433" s="51"/>
      <c r="G433" s="51" t="str">
        <f>IFERROR(__xludf.DUMMYFUNCTION("""COMPUTED_VALUE"""),"#VALUE!")</f>
        <v>#VALUE!</v>
      </c>
      <c r="H433" s="51" t="str">
        <f>IFERROR(__xludf.DUMMYFUNCTION("""COMPUTED_VALUE"""),"")</f>
        <v/>
      </c>
      <c r="I433" s="51" t="str">
        <f>IFERROR(__xludf.DUMMYFUNCTION("""COMPUTED_VALUE"""),"#VALUE!")</f>
        <v>#VALUE!</v>
      </c>
      <c r="J433" s="51" t="str">
        <f>IFERROR(__xludf.DUMMYFUNCTION("""COMPUTED_VALUE"""),"")</f>
        <v/>
      </c>
      <c r="K433" s="51"/>
      <c r="L433" s="51" t="s">
        <v>257</v>
      </c>
      <c r="M433" s="51"/>
      <c r="N433" s="51"/>
      <c r="O433" s="51"/>
      <c r="P433" s="51"/>
      <c r="Q433" s="51"/>
      <c r="R433" s="51"/>
      <c r="S433" s="51"/>
      <c r="T433" s="51"/>
    </row>
    <row r="434">
      <c r="A434" s="51"/>
      <c r="B434" s="51"/>
      <c r="C434" s="56"/>
      <c r="D434" s="51"/>
      <c r="E434" s="51"/>
      <c r="F434" s="51"/>
      <c r="G434" s="51" t="str">
        <f>IFERROR(__xludf.DUMMYFUNCTION("""COMPUTED_VALUE"""),"#VALUE!")</f>
        <v>#VALUE!</v>
      </c>
      <c r="H434" s="51" t="str">
        <f>IFERROR(__xludf.DUMMYFUNCTION("""COMPUTED_VALUE"""),"")</f>
        <v/>
      </c>
      <c r="I434" s="51" t="str">
        <f>IFERROR(__xludf.DUMMYFUNCTION("""COMPUTED_VALUE"""),"#VALUE!")</f>
        <v>#VALUE!</v>
      </c>
      <c r="J434" s="51" t="str">
        <f>IFERROR(__xludf.DUMMYFUNCTION("""COMPUTED_VALUE"""),"")</f>
        <v/>
      </c>
      <c r="K434" s="51"/>
      <c r="L434" s="51" t="s">
        <v>257</v>
      </c>
      <c r="M434" s="51"/>
      <c r="N434" s="51"/>
      <c r="O434" s="51"/>
      <c r="P434" s="51"/>
      <c r="Q434" s="51"/>
      <c r="R434" s="51"/>
      <c r="S434" s="51"/>
      <c r="T434" s="51"/>
    </row>
    <row r="435">
      <c r="A435" s="51"/>
      <c r="B435" s="51"/>
      <c r="C435" s="56"/>
      <c r="D435" s="51"/>
      <c r="E435" s="51"/>
      <c r="F435" s="51"/>
      <c r="G435" s="51" t="str">
        <f>IFERROR(__xludf.DUMMYFUNCTION("""COMPUTED_VALUE"""),"#VALUE!")</f>
        <v>#VALUE!</v>
      </c>
      <c r="H435" s="51" t="str">
        <f>IFERROR(__xludf.DUMMYFUNCTION("""COMPUTED_VALUE"""),"")</f>
        <v/>
      </c>
      <c r="I435" s="51" t="str">
        <f>IFERROR(__xludf.DUMMYFUNCTION("""COMPUTED_VALUE"""),"#VALUE!")</f>
        <v>#VALUE!</v>
      </c>
      <c r="J435" s="51" t="str">
        <f>IFERROR(__xludf.DUMMYFUNCTION("""COMPUTED_VALUE"""),"")</f>
        <v/>
      </c>
      <c r="K435" s="51"/>
      <c r="L435" s="51" t="s">
        <v>257</v>
      </c>
      <c r="M435" s="51"/>
      <c r="N435" s="51"/>
      <c r="O435" s="51"/>
      <c r="P435" s="51"/>
      <c r="Q435" s="51"/>
      <c r="R435" s="51"/>
      <c r="S435" s="51"/>
      <c r="T435" s="51"/>
    </row>
    <row r="436">
      <c r="A436" s="51"/>
      <c r="B436" s="51"/>
      <c r="C436" s="56"/>
      <c r="D436" s="51"/>
      <c r="E436" s="51"/>
      <c r="F436" s="51"/>
      <c r="G436" s="51" t="str">
        <f>IFERROR(__xludf.DUMMYFUNCTION("""COMPUTED_VALUE"""),"#VALUE!")</f>
        <v>#VALUE!</v>
      </c>
      <c r="H436" s="51" t="str">
        <f>IFERROR(__xludf.DUMMYFUNCTION("""COMPUTED_VALUE"""),"")</f>
        <v/>
      </c>
      <c r="I436" s="51" t="str">
        <f>IFERROR(__xludf.DUMMYFUNCTION("""COMPUTED_VALUE"""),"#VALUE!")</f>
        <v>#VALUE!</v>
      </c>
      <c r="J436" s="51" t="str">
        <f>IFERROR(__xludf.DUMMYFUNCTION("""COMPUTED_VALUE"""),"")</f>
        <v/>
      </c>
      <c r="K436" s="51"/>
      <c r="L436" s="51" t="s">
        <v>257</v>
      </c>
      <c r="M436" s="51"/>
      <c r="N436" s="51"/>
      <c r="O436" s="51"/>
      <c r="P436" s="51"/>
      <c r="Q436" s="51"/>
      <c r="R436" s="51"/>
      <c r="S436" s="51"/>
      <c r="T436" s="51"/>
    </row>
    <row r="437">
      <c r="A437" s="51"/>
      <c r="B437" s="51"/>
      <c r="C437" s="56"/>
      <c r="D437" s="51"/>
      <c r="E437" s="51"/>
      <c r="F437" s="51"/>
      <c r="G437" s="51" t="str">
        <f>IFERROR(__xludf.DUMMYFUNCTION("""COMPUTED_VALUE"""),"#VALUE!")</f>
        <v>#VALUE!</v>
      </c>
      <c r="H437" s="51" t="str">
        <f>IFERROR(__xludf.DUMMYFUNCTION("""COMPUTED_VALUE"""),"")</f>
        <v/>
      </c>
      <c r="I437" s="51" t="str">
        <f>IFERROR(__xludf.DUMMYFUNCTION("""COMPUTED_VALUE"""),"#VALUE!")</f>
        <v>#VALUE!</v>
      </c>
      <c r="J437" s="51" t="str">
        <f>IFERROR(__xludf.DUMMYFUNCTION("""COMPUTED_VALUE"""),"")</f>
        <v/>
      </c>
      <c r="K437" s="51"/>
      <c r="L437" s="51" t="s">
        <v>257</v>
      </c>
      <c r="M437" s="51"/>
      <c r="N437" s="51"/>
      <c r="O437" s="51"/>
      <c r="P437" s="51"/>
      <c r="Q437" s="51"/>
      <c r="R437" s="51"/>
      <c r="S437" s="51"/>
      <c r="T437" s="51"/>
    </row>
    <row r="438">
      <c r="A438" s="51"/>
      <c r="B438" s="51"/>
      <c r="C438" s="56"/>
      <c r="D438" s="51"/>
      <c r="E438" s="51"/>
      <c r="F438" s="51"/>
      <c r="G438" s="51" t="str">
        <f>IFERROR(__xludf.DUMMYFUNCTION("""COMPUTED_VALUE"""),"#VALUE!")</f>
        <v>#VALUE!</v>
      </c>
      <c r="H438" s="51" t="str">
        <f>IFERROR(__xludf.DUMMYFUNCTION("""COMPUTED_VALUE"""),"")</f>
        <v/>
      </c>
      <c r="I438" s="51" t="str">
        <f>IFERROR(__xludf.DUMMYFUNCTION("""COMPUTED_VALUE"""),"#VALUE!")</f>
        <v>#VALUE!</v>
      </c>
      <c r="J438" s="51" t="str">
        <f>IFERROR(__xludf.DUMMYFUNCTION("""COMPUTED_VALUE"""),"")</f>
        <v/>
      </c>
      <c r="K438" s="51"/>
      <c r="L438" s="51" t="s">
        <v>257</v>
      </c>
      <c r="M438" s="51"/>
      <c r="N438" s="51"/>
      <c r="O438" s="51"/>
      <c r="P438" s="51"/>
      <c r="Q438" s="51"/>
      <c r="R438" s="51"/>
      <c r="S438" s="51"/>
      <c r="T438" s="51"/>
    </row>
    <row r="439">
      <c r="A439" s="51"/>
      <c r="B439" s="51"/>
      <c r="C439" s="56"/>
      <c r="D439" s="51"/>
      <c r="E439" s="51"/>
      <c r="F439" s="51"/>
      <c r="G439" s="51" t="str">
        <f>IFERROR(__xludf.DUMMYFUNCTION("""COMPUTED_VALUE"""),"#VALUE!")</f>
        <v>#VALUE!</v>
      </c>
      <c r="H439" s="51" t="str">
        <f>IFERROR(__xludf.DUMMYFUNCTION("""COMPUTED_VALUE"""),"")</f>
        <v/>
      </c>
      <c r="I439" s="51" t="str">
        <f>IFERROR(__xludf.DUMMYFUNCTION("""COMPUTED_VALUE"""),"#VALUE!")</f>
        <v>#VALUE!</v>
      </c>
      <c r="J439" s="51" t="str">
        <f>IFERROR(__xludf.DUMMYFUNCTION("""COMPUTED_VALUE"""),"")</f>
        <v/>
      </c>
      <c r="K439" s="51"/>
      <c r="L439" s="51" t="s">
        <v>257</v>
      </c>
      <c r="M439" s="51"/>
      <c r="N439" s="51"/>
      <c r="O439" s="51"/>
      <c r="P439" s="51"/>
      <c r="Q439" s="51"/>
      <c r="R439" s="51"/>
      <c r="S439" s="51"/>
      <c r="T439" s="51"/>
    </row>
    <row r="440">
      <c r="A440" s="51"/>
      <c r="B440" s="51"/>
      <c r="C440" s="56"/>
      <c r="D440" s="51"/>
      <c r="E440" s="51"/>
      <c r="F440" s="51"/>
      <c r="G440" s="51" t="str">
        <f>IFERROR(__xludf.DUMMYFUNCTION("""COMPUTED_VALUE"""),"#VALUE!")</f>
        <v>#VALUE!</v>
      </c>
      <c r="H440" s="51" t="str">
        <f>IFERROR(__xludf.DUMMYFUNCTION("""COMPUTED_VALUE"""),"")</f>
        <v/>
      </c>
      <c r="I440" s="51" t="str">
        <f>IFERROR(__xludf.DUMMYFUNCTION("""COMPUTED_VALUE"""),"#VALUE!")</f>
        <v>#VALUE!</v>
      </c>
      <c r="J440" s="51" t="str">
        <f>IFERROR(__xludf.DUMMYFUNCTION("""COMPUTED_VALUE"""),"")</f>
        <v/>
      </c>
      <c r="K440" s="51"/>
      <c r="L440" s="51" t="s">
        <v>257</v>
      </c>
      <c r="M440" s="51"/>
      <c r="N440" s="51"/>
      <c r="O440" s="51"/>
      <c r="P440" s="51"/>
      <c r="Q440" s="51"/>
      <c r="R440" s="51"/>
      <c r="S440" s="51"/>
      <c r="T440" s="51"/>
    </row>
    <row r="441">
      <c r="A441" s="51"/>
      <c r="B441" s="51"/>
      <c r="C441" s="56"/>
      <c r="D441" s="51"/>
      <c r="E441" s="51"/>
      <c r="F441" s="51"/>
      <c r="G441" s="51" t="str">
        <f>IFERROR(__xludf.DUMMYFUNCTION("""COMPUTED_VALUE"""),"#VALUE!")</f>
        <v>#VALUE!</v>
      </c>
      <c r="H441" s="51" t="str">
        <f>IFERROR(__xludf.DUMMYFUNCTION("""COMPUTED_VALUE"""),"")</f>
        <v/>
      </c>
      <c r="I441" s="51" t="str">
        <f>IFERROR(__xludf.DUMMYFUNCTION("""COMPUTED_VALUE"""),"#VALUE!")</f>
        <v>#VALUE!</v>
      </c>
      <c r="J441" s="51" t="str">
        <f>IFERROR(__xludf.DUMMYFUNCTION("""COMPUTED_VALUE"""),"")</f>
        <v/>
      </c>
      <c r="K441" s="51"/>
      <c r="L441" s="51" t="s">
        <v>257</v>
      </c>
      <c r="M441" s="51"/>
      <c r="N441" s="51"/>
      <c r="O441" s="51"/>
      <c r="P441" s="51"/>
      <c r="Q441" s="51"/>
      <c r="R441" s="51"/>
      <c r="S441" s="51"/>
      <c r="T441" s="51"/>
    </row>
    <row r="442">
      <c r="A442" s="51"/>
      <c r="B442" s="51"/>
      <c r="C442" s="56"/>
      <c r="D442" s="51"/>
      <c r="E442" s="51"/>
      <c r="F442" s="51"/>
      <c r="G442" s="51" t="str">
        <f>IFERROR(__xludf.DUMMYFUNCTION("""COMPUTED_VALUE"""),"#VALUE!")</f>
        <v>#VALUE!</v>
      </c>
      <c r="H442" s="51" t="str">
        <f>IFERROR(__xludf.DUMMYFUNCTION("""COMPUTED_VALUE"""),"")</f>
        <v/>
      </c>
      <c r="I442" s="51" t="str">
        <f>IFERROR(__xludf.DUMMYFUNCTION("""COMPUTED_VALUE"""),"#VALUE!")</f>
        <v>#VALUE!</v>
      </c>
      <c r="J442" s="51" t="str">
        <f>IFERROR(__xludf.DUMMYFUNCTION("""COMPUTED_VALUE"""),"")</f>
        <v/>
      </c>
      <c r="K442" s="51"/>
      <c r="L442" s="51" t="s">
        <v>257</v>
      </c>
      <c r="M442" s="51"/>
      <c r="N442" s="51"/>
      <c r="O442" s="51"/>
      <c r="P442" s="51"/>
      <c r="Q442" s="51"/>
      <c r="R442" s="51"/>
      <c r="S442" s="51"/>
      <c r="T442" s="51"/>
    </row>
    <row r="443">
      <c r="A443" s="51"/>
      <c r="B443" s="51"/>
      <c r="C443" s="56"/>
      <c r="D443" s="51"/>
      <c r="E443" s="51"/>
      <c r="F443" s="51"/>
      <c r="G443" s="51" t="str">
        <f>IFERROR(__xludf.DUMMYFUNCTION("""COMPUTED_VALUE"""),"#VALUE!")</f>
        <v>#VALUE!</v>
      </c>
      <c r="H443" s="51" t="str">
        <f>IFERROR(__xludf.DUMMYFUNCTION("""COMPUTED_VALUE"""),"")</f>
        <v/>
      </c>
      <c r="I443" s="51" t="str">
        <f>IFERROR(__xludf.DUMMYFUNCTION("""COMPUTED_VALUE"""),"#VALUE!")</f>
        <v>#VALUE!</v>
      </c>
      <c r="J443" s="51" t="str">
        <f>IFERROR(__xludf.DUMMYFUNCTION("""COMPUTED_VALUE"""),"")</f>
        <v/>
      </c>
      <c r="K443" s="51"/>
      <c r="L443" s="51" t="s">
        <v>257</v>
      </c>
      <c r="M443" s="51"/>
      <c r="N443" s="51"/>
      <c r="O443" s="51"/>
      <c r="P443" s="51"/>
      <c r="Q443" s="51"/>
      <c r="R443" s="51"/>
      <c r="S443" s="51"/>
      <c r="T443" s="51"/>
    </row>
    <row r="444">
      <c r="A444" s="51"/>
      <c r="B444" s="51"/>
      <c r="C444" s="56"/>
      <c r="D444" s="51"/>
      <c r="E444" s="51"/>
      <c r="F444" s="51"/>
      <c r="G444" s="51" t="str">
        <f>IFERROR(__xludf.DUMMYFUNCTION("""COMPUTED_VALUE"""),"#VALUE!")</f>
        <v>#VALUE!</v>
      </c>
      <c r="H444" s="51" t="str">
        <f>IFERROR(__xludf.DUMMYFUNCTION("""COMPUTED_VALUE"""),"")</f>
        <v/>
      </c>
      <c r="I444" s="51" t="str">
        <f>IFERROR(__xludf.DUMMYFUNCTION("""COMPUTED_VALUE"""),"#VALUE!")</f>
        <v>#VALUE!</v>
      </c>
      <c r="J444" s="51" t="str">
        <f>IFERROR(__xludf.DUMMYFUNCTION("""COMPUTED_VALUE"""),"")</f>
        <v/>
      </c>
      <c r="K444" s="51"/>
      <c r="L444" s="51" t="s">
        <v>257</v>
      </c>
      <c r="M444" s="51"/>
      <c r="N444" s="51"/>
      <c r="O444" s="51"/>
      <c r="P444" s="51"/>
      <c r="Q444" s="51"/>
      <c r="R444" s="51"/>
      <c r="S444" s="51"/>
      <c r="T444" s="51"/>
    </row>
    <row r="445">
      <c r="A445" s="51"/>
      <c r="B445" s="51"/>
      <c r="C445" s="56"/>
      <c r="D445" s="51"/>
      <c r="E445" s="51"/>
      <c r="F445" s="51"/>
      <c r="G445" s="51" t="str">
        <f>IFERROR(__xludf.DUMMYFUNCTION("""COMPUTED_VALUE"""),"#VALUE!")</f>
        <v>#VALUE!</v>
      </c>
      <c r="H445" s="51" t="str">
        <f>IFERROR(__xludf.DUMMYFUNCTION("""COMPUTED_VALUE"""),"")</f>
        <v/>
      </c>
      <c r="I445" s="51" t="str">
        <f>IFERROR(__xludf.DUMMYFUNCTION("""COMPUTED_VALUE"""),"#VALUE!")</f>
        <v>#VALUE!</v>
      </c>
      <c r="J445" s="51" t="str">
        <f>IFERROR(__xludf.DUMMYFUNCTION("""COMPUTED_VALUE"""),"")</f>
        <v/>
      </c>
      <c r="K445" s="51"/>
      <c r="L445" s="51" t="s">
        <v>257</v>
      </c>
      <c r="M445" s="51"/>
      <c r="N445" s="51"/>
      <c r="O445" s="51"/>
      <c r="P445" s="51"/>
      <c r="Q445" s="51"/>
      <c r="R445" s="51"/>
      <c r="S445" s="51"/>
      <c r="T445" s="51"/>
    </row>
    <row r="446">
      <c r="A446" s="51"/>
      <c r="B446" s="51"/>
      <c r="C446" s="56"/>
      <c r="D446" s="51"/>
      <c r="E446" s="51"/>
      <c r="F446" s="51"/>
      <c r="G446" s="51" t="str">
        <f>IFERROR(__xludf.DUMMYFUNCTION("""COMPUTED_VALUE"""),"#VALUE!")</f>
        <v>#VALUE!</v>
      </c>
      <c r="H446" s="51" t="str">
        <f>IFERROR(__xludf.DUMMYFUNCTION("""COMPUTED_VALUE"""),"")</f>
        <v/>
      </c>
      <c r="I446" s="51" t="str">
        <f>IFERROR(__xludf.DUMMYFUNCTION("""COMPUTED_VALUE"""),"#VALUE!")</f>
        <v>#VALUE!</v>
      </c>
      <c r="J446" s="51" t="str">
        <f>IFERROR(__xludf.DUMMYFUNCTION("""COMPUTED_VALUE"""),"")</f>
        <v/>
      </c>
      <c r="K446" s="51"/>
      <c r="L446" s="51" t="s">
        <v>257</v>
      </c>
      <c r="M446" s="51"/>
      <c r="N446" s="51"/>
      <c r="O446" s="51"/>
      <c r="P446" s="51"/>
      <c r="Q446" s="51"/>
      <c r="R446" s="51"/>
      <c r="S446" s="51"/>
      <c r="T446" s="51"/>
    </row>
    <row r="447">
      <c r="A447" s="51"/>
      <c r="B447" s="51"/>
      <c r="C447" s="56"/>
      <c r="D447" s="51"/>
      <c r="E447" s="51"/>
      <c r="F447" s="51"/>
      <c r="G447" s="51" t="str">
        <f>IFERROR(__xludf.DUMMYFUNCTION("""COMPUTED_VALUE"""),"#VALUE!")</f>
        <v>#VALUE!</v>
      </c>
      <c r="H447" s="51" t="str">
        <f>IFERROR(__xludf.DUMMYFUNCTION("""COMPUTED_VALUE"""),"")</f>
        <v/>
      </c>
      <c r="I447" s="51" t="str">
        <f>IFERROR(__xludf.DUMMYFUNCTION("""COMPUTED_VALUE"""),"#VALUE!")</f>
        <v>#VALUE!</v>
      </c>
      <c r="J447" s="51" t="str">
        <f>IFERROR(__xludf.DUMMYFUNCTION("""COMPUTED_VALUE"""),"")</f>
        <v/>
      </c>
      <c r="K447" s="51"/>
      <c r="L447" s="51" t="s">
        <v>257</v>
      </c>
      <c r="M447" s="51"/>
      <c r="N447" s="51"/>
      <c r="O447" s="51"/>
      <c r="P447" s="51"/>
      <c r="Q447" s="51"/>
      <c r="R447" s="51"/>
      <c r="S447" s="51"/>
      <c r="T447" s="51"/>
    </row>
    <row r="448">
      <c r="A448" s="51"/>
      <c r="B448" s="51"/>
      <c r="C448" s="56"/>
      <c r="D448" s="51"/>
      <c r="E448" s="51"/>
      <c r="F448" s="51"/>
      <c r="G448" s="51" t="str">
        <f>IFERROR(__xludf.DUMMYFUNCTION("""COMPUTED_VALUE"""),"#VALUE!")</f>
        <v>#VALUE!</v>
      </c>
      <c r="H448" s="51" t="str">
        <f>IFERROR(__xludf.DUMMYFUNCTION("""COMPUTED_VALUE"""),"")</f>
        <v/>
      </c>
      <c r="I448" s="51" t="str">
        <f>IFERROR(__xludf.DUMMYFUNCTION("""COMPUTED_VALUE"""),"#VALUE!")</f>
        <v>#VALUE!</v>
      </c>
      <c r="J448" s="51" t="str">
        <f>IFERROR(__xludf.DUMMYFUNCTION("""COMPUTED_VALUE"""),"")</f>
        <v/>
      </c>
      <c r="K448" s="51"/>
      <c r="L448" s="51" t="s">
        <v>257</v>
      </c>
      <c r="M448" s="51"/>
      <c r="N448" s="51"/>
      <c r="O448" s="51"/>
      <c r="P448" s="51"/>
      <c r="Q448" s="51"/>
      <c r="R448" s="51"/>
      <c r="S448" s="51"/>
      <c r="T448" s="51"/>
    </row>
    <row r="449">
      <c r="A449" s="51"/>
      <c r="B449" s="51"/>
      <c r="C449" s="56"/>
      <c r="D449" s="51"/>
      <c r="E449" s="51"/>
      <c r="F449" s="51"/>
      <c r="G449" s="51" t="str">
        <f>IFERROR(__xludf.DUMMYFUNCTION("""COMPUTED_VALUE"""),"#VALUE!")</f>
        <v>#VALUE!</v>
      </c>
      <c r="H449" s="51" t="str">
        <f>IFERROR(__xludf.DUMMYFUNCTION("""COMPUTED_VALUE"""),"")</f>
        <v/>
      </c>
      <c r="I449" s="51" t="str">
        <f>IFERROR(__xludf.DUMMYFUNCTION("""COMPUTED_VALUE"""),"#VALUE!")</f>
        <v>#VALUE!</v>
      </c>
      <c r="J449" s="51" t="str">
        <f>IFERROR(__xludf.DUMMYFUNCTION("""COMPUTED_VALUE"""),"")</f>
        <v/>
      </c>
      <c r="K449" s="51"/>
      <c r="L449" s="51" t="s">
        <v>257</v>
      </c>
      <c r="M449" s="51"/>
      <c r="N449" s="51"/>
      <c r="O449" s="51"/>
      <c r="P449" s="51"/>
      <c r="Q449" s="51"/>
      <c r="R449" s="51"/>
      <c r="S449" s="51"/>
      <c r="T449" s="51"/>
    </row>
    <row r="450">
      <c r="A450" s="51"/>
      <c r="B450" s="51"/>
      <c r="C450" s="56"/>
      <c r="D450" s="51"/>
      <c r="E450" s="51"/>
      <c r="F450" s="51"/>
      <c r="G450" s="51" t="str">
        <f>IFERROR(__xludf.DUMMYFUNCTION("""COMPUTED_VALUE"""),"#VALUE!")</f>
        <v>#VALUE!</v>
      </c>
      <c r="H450" s="51" t="str">
        <f>IFERROR(__xludf.DUMMYFUNCTION("""COMPUTED_VALUE"""),"")</f>
        <v/>
      </c>
      <c r="I450" s="51" t="str">
        <f>IFERROR(__xludf.DUMMYFUNCTION("""COMPUTED_VALUE"""),"#VALUE!")</f>
        <v>#VALUE!</v>
      </c>
      <c r="J450" s="51" t="str">
        <f>IFERROR(__xludf.DUMMYFUNCTION("""COMPUTED_VALUE"""),"")</f>
        <v/>
      </c>
      <c r="K450" s="51"/>
      <c r="L450" s="51" t="s">
        <v>257</v>
      </c>
      <c r="M450" s="51"/>
      <c r="N450" s="51"/>
      <c r="O450" s="51"/>
      <c r="P450" s="51"/>
      <c r="Q450" s="51"/>
      <c r="R450" s="51"/>
      <c r="S450" s="51"/>
      <c r="T450" s="51"/>
    </row>
    <row r="451">
      <c r="A451" s="51"/>
      <c r="B451" s="51"/>
      <c r="C451" s="56"/>
      <c r="D451" s="51"/>
      <c r="E451" s="51"/>
      <c r="F451" s="51"/>
      <c r="G451" s="51" t="str">
        <f>IFERROR(__xludf.DUMMYFUNCTION("""COMPUTED_VALUE"""),"#VALUE!")</f>
        <v>#VALUE!</v>
      </c>
      <c r="H451" s="51" t="str">
        <f>IFERROR(__xludf.DUMMYFUNCTION("""COMPUTED_VALUE"""),"")</f>
        <v/>
      </c>
      <c r="I451" s="51" t="str">
        <f>IFERROR(__xludf.DUMMYFUNCTION("""COMPUTED_VALUE"""),"#VALUE!")</f>
        <v>#VALUE!</v>
      </c>
      <c r="J451" s="51" t="str">
        <f>IFERROR(__xludf.DUMMYFUNCTION("""COMPUTED_VALUE"""),"")</f>
        <v/>
      </c>
      <c r="K451" s="51"/>
      <c r="L451" s="51" t="s">
        <v>257</v>
      </c>
      <c r="M451" s="51"/>
      <c r="N451" s="51"/>
      <c r="O451" s="51"/>
      <c r="P451" s="51"/>
      <c r="Q451" s="51"/>
      <c r="R451" s="51"/>
      <c r="S451" s="51"/>
      <c r="T451" s="51"/>
    </row>
    <row r="452">
      <c r="A452" s="51"/>
      <c r="B452" s="51"/>
      <c r="C452" s="56"/>
      <c r="D452" s="51"/>
      <c r="E452" s="51"/>
      <c r="F452" s="51"/>
      <c r="G452" s="51" t="str">
        <f>IFERROR(__xludf.DUMMYFUNCTION("""COMPUTED_VALUE"""),"#VALUE!")</f>
        <v>#VALUE!</v>
      </c>
      <c r="H452" s="51" t="str">
        <f>IFERROR(__xludf.DUMMYFUNCTION("""COMPUTED_VALUE"""),"")</f>
        <v/>
      </c>
      <c r="I452" s="51" t="str">
        <f>IFERROR(__xludf.DUMMYFUNCTION("""COMPUTED_VALUE"""),"#VALUE!")</f>
        <v>#VALUE!</v>
      </c>
      <c r="J452" s="51" t="str">
        <f>IFERROR(__xludf.DUMMYFUNCTION("""COMPUTED_VALUE"""),"")</f>
        <v/>
      </c>
      <c r="K452" s="51"/>
      <c r="L452" s="51" t="s">
        <v>257</v>
      </c>
      <c r="M452" s="51"/>
      <c r="N452" s="51"/>
      <c r="O452" s="51"/>
      <c r="P452" s="51"/>
      <c r="Q452" s="51"/>
      <c r="R452" s="51"/>
      <c r="S452" s="51"/>
      <c r="T452" s="51"/>
    </row>
    <row r="453">
      <c r="A453" s="51"/>
      <c r="B453" s="51"/>
      <c r="C453" s="56"/>
      <c r="D453" s="51"/>
      <c r="E453" s="51"/>
      <c r="F453" s="51"/>
      <c r="G453" s="51" t="str">
        <f>IFERROR(__xludf.DUMMYFUNCTION("""COMPUTED_VALUE"""),"#VALUE!")</f>
        <v>#VALUE!</v>
      </c>
      <c r="H453" s="51" t="str">
        <f>IFERROR(__xludf.DUMMYFUNCTION("""COMPUTED_VALUE"""),"")</f>
        <v/>
      </c>
      <c r="I453" s="51" t="str">
        <f>IFERROR(__xludf.DUMMYFUNCTION("""COMPUTED_VALUE"""),"#VALUE!")</f>
        <v>#VALUE!</v>
      </c>
      <c r="J453" s="51" t="str">
        <f>IFERROR(__xludf.DUMMYFUNCTION("""COMPUTED_VALUE"""),"")</f>
        <v/>
      </c>
      <c r="K453" s="51"/>
      <c r="L453" s="51" t="s">
        <v>257</v>
      </c>
      <c r="M453" s="51"/>
      <c r="N453" s="51"/>
      <c r="O453" s="51"/>
      <c r="P453" s="51"/>
      <c r="Q453" s="51"/>
      <c r="R453" s="51"/>
      <c r="S453" s="51"/>
      <c r="T453" s="51"/>
    </row>
    <row r="454">
      <c r="A454" s="51"/>
      <c r="B454" s="51"/>
      <c r="C454" s="56"/>
      <c r="D454" s="51"/>
      <c r="E454" s="51"/>
      <c r="F454" s="51"/>
      <c r="G454" s="51" t="str">
        <f>IFERROR(__xludf.DUMMYFUNCTION("""COMPUTED_VALUE"""),"#VALUE!")</f>
        <v>#VALUE!</v>
      </c>
      <c r="H454" s="51" t="str">
        <f>IFERROR(__xludf.DUMMYFUNCTION("""COMPUTED_VALUE"""),"")</f>
        <v/>
      </c>
      <c r="I454" s="51" t="str">
        <f>IFERROR(__xludf.DUMMYFUNCTION("""COMPUTED_VALUE"""),"#VALUE!")</f>
        <v>#VALUE!</v>
      </c>
      <c r="J454" s="51" t="str">
        <f>IFERROR(__xludf.DUMMYFUNCTION("""COMPUTED_VALUE"""),"")</f>
        <v/>
      </c>
      <c r="K454" s="51"/>
      <c r="L454" s="51" t="s">
        <v>257</v>
      </c>
      <c r="M454" s="51"/>
      <c r="N454" s="51"/>
      <c r="O454" s="51"/>
      <c r="P454" s="51"/>
      <c r="Q454" s="51"/>
      <c r="R454" s="51"/>
      <c r="S454" s="51"/>
      <c r="T454" s="51"/>
    </row>
    <row r="455">
      <c r="A455" s="51"/>
      <c r="B455" s="51"/>
      <c r="C455" s="56"/>
      <c r="D455" s="51"/>
      <c r="E455" s="51"/>
      <c r="F455" s="51"/>
      <c r="G455" s="51" t="str">
        <f>IFERROR(__xludf.DUMMYFUNCTION("""COMPUTED_VALUE"""),"#VALUE!")</f>
        <v>#VALUE!</v>
      </c>
      <c r="H455" s="51" t="str">
        <f>IFERROR(__xludf.DUMMYFUNCTION("""COMPUTED_VALUE"""),"")</f>
        <v/>
      </c>
      <c r="I455" s="51" t="str">
        <f>IFERROR(__xludf.DUMMYFUNCTION("""COMPUTED_VALUE"""),"#VALUE!")</f>
        <v>#VALUE!</v>
      </c>
      <c r="J455" s="51" t="str">
        <f>IFERROR(__xludf.DUMMYFUNCTION("""COMPUTED_VALUE"""),"")</f>
        <v/>
      </c>
      <c r="K455" s="51"/>
      <c r="L455" s="51" t="s">
        <v>257</v>
      </c>
      <c r="M455" s="51"/>
      <c r="N455" s="51"/>
      <c r="O455" s="51"/>
      <c r="P455" s="51"/>
      <c r="Q455" s="51"/>
      <c r="R455" s="51"/>
      <c r="S455" s="51"/>
      <c r="T455" s="51"/>
    </row>
    <row r="456">
      <c r="A456" s="51"/>
      <c r="B456" s="51"/>
      <c r="C456" s="56"/>
      <c r="D456" s="51"/>
      <c r="E456" s="51"/>
      <c r="F456" s="51"/>
      <c r="G456" s="51" t="str">
        <f>IFERROR(__xludf.DUMMYFUNCTION("""COMPUTED_VALUE"""),"#VALUE!")</f>
        <v>#VALUE!</v>
      </c>
      <c r="H456" s="51" t="str">
        <f>IFERROR(__xludf.DUMMYFUNCTION("""COMPUTED_VALUE"""),"")</f>
        <v/>
      </c>
      <c r="I456" s="51" t="str">
        <f>IFERROR(__xludf.DUMMYFUNCTION("""COMPUTED_VALUE"""),"#VALUE!")</f>
        <v>#VALUE!</v>
      </c>
      <c r="J456" s="51" t="str">
        <f>IFERROR(__xludf.DUMMYFUNCTION("""COMPUTED_VALUE"""),"")</f>
        <v/>
      </c>
      <c r="K456" s="51"/>
      <c r="L456" s="51" t="s">
        <v>257</v>
      </c>
      <c r="M456" s="51"/>
      <c r="N456" s="51"/>
      <c r="O456" s="51"/>
      <c r="P456" s="51"/>
      <c r="Q456" s="51"/>
      <c r="R456" s="51"/>
      <c r="S456" s="51"/>
      <c r="T456" s="51"/>
    </row>
    <row r="457">
      <c r="A457" s="51"/>
      <c r="B457" s="51"/>
      <c r="C457" s="56"/>
      <c r="D457" s="51"/>
      <c r="E457" s="51"/>
      <c r="F457" s="51"/>
      <c r="G457" s="51" t="str">
        <f>IFERROR(__xludf.DUMMYFUNCTION("""COMPUTED_VALUE"""),"#VALUE!")</f>
        <v>#VALUE!</v>
      </c>
      <c r="H457" s="51" t="str">
        <f>IFERROR(__xludf.DUMMYFUNCTION("""COMPUTED_VALUE"""),"")</f>
        <v/>
      </c>
      <c r="I457" s="51" t="str">
        <f>IFERROR(__xludf.DUMMYFUNCTION("""COMPUTED_VALUE"""),"#VALUE!")</f>
        <v>#VALUE!</v>
      </c>
      <c r="J457" s="51" t="str">
        <f>IFERROR(__xludf.DUMMYFUNCTION("""COMPUTED_VALUE"""),"")</f>
        <v/>
      </c>
      <c r="K457" s="51"/>
      <c r="L457" s="51" t="s">
        <v>257</v>
      </c>
      <c r="M457" s="51"/>
      <c r="N457" s="51"/>
      <c r="O457" s="51"/>
      <c r="P457" s="51"/>
      <c r="Q457" s="51"/>
      <c r="R457" s="51"/>
      <c r="S457" s="51"/>
      <c r="T457" s="51"/>
    </row>
    <row r="458">
      <c r="A458" s="51"/>
      <c r="B458" s="51"/>
      <c r="C458" s="56"/>
      <c r="D458" s="51"/>
      <c r="E458" s="51"/>
      <c r="F458" s="51"/>
      <c r="G458" s="51" t="str">
        <f>IFERROR(__xludf.DUMMYFUNCTION("""COMPUTED_VALUE"""),"#VALUE!")</f>
        <v>#VALUE!</v>
      </c>
      <c r="H458" s="51" t="str">
        <f>IFERROR(__xludf.DUMMYFUNCTION("""COMPUTED_VALUE"""),"")</f>
        <v/>
      </c>
      <c r="I458" s="51" t="str">
        <f>IFERROR(__xludf.DUMMYFUNCTION("""COMPUTED_VALUE"""),"#VALUE!")</f>
        <v>#VALUE!</v>
      </c>
      <c r="J458" s="51" t="str">
        <f>IFERROR(__xludf.DUMMYFUNCTION("""COMPUTED_VALUE"""),"")</f>
        <v/>
      </c>
      <c r="K458" s="51"/>
      <c r="L458" s="51" t="s">
        <v>257</v>
      </c>
      <c r="M458" s="51"/>
      <c r="N458" s="51"/>
      <c r="O458" s="51"/>
      <c r="P458" s="51"/>
      <c r="Q458" s="51"/>
      <c r="R458" s="51"/>
      <c r="S458" s="51"/>
      <c r="T458" s="51"/>
    </row>
    <row r="459">
      <c r="A459" s="51"/>
      <c r="B459" s="51"/>
      <c r="C459" s="56"/>
      <c r="D459" s="51"/>
      <c r="E459" s="51"/>
      <c r="F459" s="51"/>
      <c r="G459" s="51" t="str">
        <f>IFERROR(__xludf.DUMMYFUNCTION("""COMPUTED_VALUE"""),"#VALUE!")</f>
        <v>#VALUE!</v>
      </c>
      <c r="H459" s="51" t="str">
        <f>IFERROR(__xludf.DUMMYFUNCTION("""COMPUTED_VALUE"""),"")</f>
        <v/>
      </c>
      <c r="I459" s="51" t="str">
        <f>IFERROR(__xludf.DUMMYFUNCTION("""COMPUTED_VALUE"""),"#VALUE!")</f>
        <v>#VALUE!</v>
      </c>
      <c r="J459" s="51" t="str">
        <f>IFERROR(__xludf.DUMMYFUNCTION("""COMPUTED_VALUE"""),"")</f>
        <v/>
      </c>
      <c r="K459" s="51"/>
      <c r="L459" s="51" t="s">
        <v>257</v>
      </c>
      <c r="M459" s="51"/>
      <c r="N459" s="51"/>
      <c r="O459" s="51"/>
      <c r="P459" s="51"/>
      <c r="Q459" s="51"/>
      <c r="R459" s="51"/>
      <c r="S459" s="51"/>
      <c r="T459" s="51"/>
    </row>
    <row r="460">
      <c r="A460" s="51"/>
      <c r="B460" s="51"/>
      <c r="C460" s="56"/>
      <c r="D460" s="51"/>
      <c r="E460" s="51"/>
      <c r="F460" s="51"/>
      <c r="G460" s="51" t="str">
        <f>IFERROR(__xludf.DUMMYFUNCTION("""COMPUTED_VALUE"""),"#VALUE!")</f>
        <v>#VALUE!</v>
      </c>
      <c r="H460" s="51" t="str">
        <f>IFERROR(__xludf.DUMMYFUNCTION("""COMPUTED_VALUE"""),"")</f>
        <v/>
      </c>
      <c r="I460" s="51" t="str">
        <f>IFERROR(__xludf.DUMMYFUNCTION("""COMPUTED_VALUE"""),"#VALUE!")</f>
        <v>#VALUE!</v>
      </c>
      <c r="J460" s="51" t="str">
        <f>IFERROR(__xludf.DUMMYFUNCTION("""COMPUTED_VALUE"""),"")</f>
        <v/>
      </c>
      <c r="K460" s="51"/>
      <c r="L460" s="51" t="s">
        <v>257</v>
      </c>
      <c r="M460" s="51"/>
      <c r="N460" s="51"/>
      <c r="O460" s="51"/>
      <c r="P460" s="51"/>
      <c r="Q460" s="51"/>
      <c r="R460" s="51"/>
      <c r="S460" s="51"/>
      <c r="T460" s="51"/>
    </row>
    <row r="461">
      <c r="A461" s="51"/>
      <c r="B461" s="51"/>
      <c r="C461" s="56"/>
      <c r="D461" s="51"/>
      <c r="E461" s="51"/>
      <c r="F461" s="51"/>
      <c r="G461" s="51" t="str">
        <f>IFERROR(__xludf.DUMMYFUNCTION("""COMPUTED_VALUE"""),"#VALUE!")</f>
        <v>#VALUE!</v>
      </c>
      <c r="H461" s="51" t="str">
        <f>IFERROR(__xludf.DUMMYFUNCTION("""COMPUTED_VALUE"""),"")</f>
        <v/>
      </c>
      <c r="I461" s="51" t="str">
        <f>IFERROR(__xludf.DUMMYFUNCTION("""COMPUTED_VALUE"""),"#VALUE!")</f>
        <v>#VALUE!</v>
      </c>
      <c r="J461" s="51" t="str">
        <f>IFERROR(__xludf.DUMMYFUNCTION("""COMPUTED_VALUE"""),"")</f>
        <v/>
      </c>
      <c r="K461" s="51"/>
      <c r="L461" s="51" t="s">
        <v>257</v>
      </c>
      <c r="M461" s="51"/>
      <c r="N461" s="51"/>
      <c r="O461" s="51"/>
      <c r="P461" s="51"/>
      <c r="Q461" s="51"/>
      <c r="R461" s="51"/>
      <c r="S461" s="51"/>
      <c r="T461" s="51"/>
    </row>
    <row r="462">
      <c r="A462" s="51"/>
      <c r="B462" s="51"/>
      <c r="C462" s="56"/>
      <c r="D462" s="51"/>
      <c r="E462" s="51"/>
      <c r="F462" s="51"/>
      <c r="G462" s="51" t="str">
        <f>IFERROR(__xludf.DUMMYFUNCTION("""COMPUTED_VALUE"""),"#VALUE!")</f>
        <v>#VALUE!</v>
      </c>
      <c r="H462" s="51" t="str">
        <f>IFERROR(__xludf.DUMMYFUNCTION("""COMPUTED_VALUE"""),"")</f>
        <v/>
      </c>
      <c r="I462" s="51" t="str">
        <f>IFERROR(__xludf.DUMMYFUNCTION("""COMPUTED_VALUE"""),"#VALUE!")</f>
        <v>#VALUE!</v>
      </c>
      <c r="J462" s="51" t="str">
        <f>IFERROR(__xludf.DUMMYFUNCTION("""COMPUTED_VALUE"""),"")</f>
        <v/>
      </c>
      <c r="K462" s="51"/>
      <c r="L462" s="51" t="s">
        <v>257</v>
      </c>
      <c r="M462" s="51"/>
      <c r="N462" s="51"/>
      <c r="O462" s="51"/>
      <c r="P462" s="51"/>
      <c r="Q462" s="51"/>
      <c r="R462" s="51"/>
      <c r="S462" s="51"/>
      <c r="T462" s="51"/>
    </row>
    <row r="463">
      <c r="A463" s="51"/>
      <c r="B463" s="51"/>
      <c r="C463" s="56"/>
      <c r="D463" s="51"/>
      <c r="E463" s="51"/>
      <c r="F463" s="51"/>
      <c r="G463" s="51" t="str">
        <f>IFERROR(__xludf.DUMMYFUNCTION("""COMPUTED_VALUE"""),"#VALUE!")</f>
        <v>#VALUE!</v>
      </c>
      <c r="H463" s="51" t="str">
        <f>IFERROR(__xludf.DUMMYFUNCTION("""COMPUTED_VALUE"""),"")</f>
        <v/>
      </c>
      <c r="I463" s="51" t="str">
        <f>IFERROR(__xludf.DUMMYFUNCTION("""COMPUTED_VALUE"""),"#VALUE!")</f>
        <v>#VALUE!</v>
      </c>
      <c r="J463" s="51" t="str">
        <f>IFERROR(__xludf.DUMMYFUNCTION("""COMPUTED_VALUE"""),"")</f>
        <v/>
      </c>
      <c r="K463" s="51"/>
      <c r="L463" s="51" t="s">
        <v>257</v>
      </c>
      <c r="M463" s="51"/>
      <c r="N463" s="51"/>
      <c r="O463" s="51"/>
      <c r="P463" s="51"/>
      <c r="Q463" s="51"/>
      <c r="R463" s="51"/>
      <c r="S463" s="51"/>
      <c r="T463" s="51"/>
    </row>
    <row r="464">
      <c r="A464" s="51"/>
      <c r="B464" s="51"/>
      <c r="C464" s="56"/>
      <c r="D464" s="51"/>
      <c r="E464" s="51"/>
      <c r="F464" s="51"/>
      <c r="G464" s="51" t="str">
        <f>IFERROR(__xludf.DUMMYFUNCTION("""COMPUTED_VALUE"""),"#VALUE!")</f>
        <v>#VALUE!</v>
      </c>
      <c r="H464" s="51" t="str">
        <f>IFERROR(__xludf.DUMMYFUNCTION("""COMPUTED_VALUE"""),"")</f>
        <v/>
      </c>
      <c r="I464" s="51" t="str">
        <f>IFERROR(__xludf.DUMMYFUNCTION("""COMPUTED_VALUE"""),"#VALUE!")</f>
        <v>#VALUE!</v>
      </c>
      <c r="J464" s="51" t="str">
        <f>IFERROR(__xludf.DUMMYFUNCTION("""COMPUTED_VALUE"""),"")</f>
        <v/>
      </c>
      <c r="K464" s="51"/>
      <c r="L464" s="51" t="s">
        <v>257</v>
      </c>
      <c r="M464" s="51"/>
      <c r="N464" s="51"/>
      <c r="O464" s="51"/>
      <c r="P464" s="51"/>
      <c r="Q464" s="51"/>
      <c r="R464" s="51"/>
      <c r="S464" s="51"/>
      <c r="T464" s="51"/>
    </row>
    <row r="465">
      <c r="A465" s="51"/>
      <c r="B465" s="51"/>
      <c r="C465" s="56"/>
      <c r="D465" s="51"/>
      <c r="E465" s="51"/>
      <c r="F465" s="51"/>
      <c r="G465" s="51" t="str">
        <f>IFERROR(__xludf.DUMMYFUNCTION("""COMPUTED_VALUE"""),"#VALUE!")</f>
        <v>#VALUE!</v>
      </c>
      <c r="H465" s="51" t="str">
        <f>IFERROR(__xludf.DUMMYFUNCTION("""COMPUTED_VALUE"""),"")</f>
        <v/>
      </c>
      <c r="I465" s="51" t="str">
        <f>IFERROR(__xludf.DUMMYFUNCTION("""COMPUTED_VALUE"""),"#VALUE!")</f>
        <v>#VALUE!</v>
      </c>
      <c r="J465" s="51" t="str">
        <f>IFERROR(__xludf.DUMMYFUNCTION("""COMPUTED_VALUE"""),"")</f>
        <v/>
      </c>
      <c r="K465" s="51"/>
      <c r="L465" s="51" t="s">
        <v>257</v>
      </c>
      <c r="M465" s="51"/>
      <c r="N465" s="51"/>
      <c r="O465" s="51"/>
      <c r="P465" s="51"/>
      <c r="Q465" s="51"/>
      <c r="R465" s="51"/>
      <c r="S465" s="51"/>
      <c r="T465" s="51"/>
    </row>
    <row r="466">
      <c r="A466" s="51"/>
      <c r="B466" s="51"/>
      <c r="C466" s="56"/>
      <c r="D466" s="51"/>
      <c r="E466" s="51"/>
      <c r="F466" s="51"/>
      <c r="G466" s="51" t="str">
        <f>IFERROR(__xludf.DUMMYFUNCTION("""COMPUTED_VALUE"""),"#VALUE!")</f>
        <v>#VALUE!</v>
      </c>
      <c r="H466" s="51" t="str">
        <f>IFERROR(__xludf.DUMMYFUNCTION("""COMPUTED_VALUE"""),"")</f>
        <v/>
      </c>
      <c r="I466" s="51" t="str">
        <f>IFERROR(__xludf.DUMMYFUNCTION("""COMPUTED_VALUE"""),"#VALUE!")</f>
        <v>#VALUE!</v>
      </c>
      <c r="J466" s="51" t="str">
        <f>IFERROR(__xludf.DUMMYFUNCTION("""COMPUTED_VALUE"""),"")</f>
        <v/>
      </c>
      <c r="K466" s="51"/>
      <c r="L466" s="51" t="s">
        <v>257</v>
      </c>
      <c r="M466" s="51"/>
      <c r="N466" s="51"/>
      <c r="O466" s="51"/>
      <c r="P466" s="51"/>
      <c r="Q466" s="51"/>
      <c r="R466" s="51"/>
      <c r="S466" s="51"/>
      <c r="T466" s="51"/>
    </row>
    <row r="467">
      <c r="A467" s="51"/>
      <c r="B467" s="51"/>
      <c r="C467" s="56"/>
      <c r="D467" s="51"/>
      <c r="E467" s="51"/>
      <c r="F467" s="51"/>
      <c r="G467" s="51" t="str">
        <f>IFERROR(__xludf.DUMMYFUNCTION("""COMPUTED_VALUE"""),"#VALUE!")</f>
        <v>#VALUE!</v>
      </c>
      <c r="H467" s="51" t="str">
        <f>IFERROR(__xludf.DUMMYFUNCTION("""COMPUTED_VALUE"""),"")</f>
        <v/>
      </c>
      <c r="I467" s="51" t="str">
        <f>IFERROR(__xludf.DUMMYFUNCTION("""COMPUTED_VALUE"""),"#VALUE!")</f>
        <v>#VALUE!</v>
      </c>
      <c r="J467" s="51" t="str">
        <f>IFERROR(__xludf.DUMMYFUNCTION("""COMPUTED_VALUE"""),"")</f>
        <v/>
      </c>
      <c r="K467" s="51"/>
      <c r="L467" s="51" t="s">
        <v>257</v>
      </c>
      <c r="M467" s="51"/>
      <c r="N467" s="51"/>
      <c r="O467" s="51"/>
      <c r="P467" s="51"/>
      <c r="Q467" s="51"/>
      <c r="R467" s="51"/>
      <c r="S467" s="51"/>
      <c r="T467" s="51"/>
    </row>
    <row r="468">
      <c r="A468" s="51"/>
      <c r="B468" s="51"/>
      <c r="C468" s="56"/>
      <c r="D468" s="51"/>
      <c r="E468" s="51"/>
      <c r="F468" s="51"/>
      <c r="G468" s="51" t="str">
        <f>IFERROR(__xludf.DUMMYFUNCTION("""COMPUTED_VALUE"""),"#VALUE!")</f>
        <v>#VALUE!</v>
      </c>
      <c r="H468" s="51" t="str">
        <f>IFERROR(__xludf.DUMMYFUNCTION("""COMPUTED_VALUE"""),"")</f>
        <v/>
      </c>
      <c r="I468" s="51" t="str">
        <f>IFERROR(__xludf.DUMMYFUNCTION("""COMPUTED_VALUE"""),"#VALUE!")</f>
        <v>#VALUE!</v>
      </c>
      <c r="J468" s="51" t="str">
        <f>IFERROR(__xludf.DUMMYFUNCTION("""COMPUTED_VALUE"""),"")</f>
        <v/>
      </c>
      <c r="K468" s="51"/>
      <c r="L468" s="51" t="s">
        <v>257</v>
      </c>
      <c r="M468" s="51"/>
      <c r="N468" s="51"/>
      <c r="O468" s="51"/>
      <c r="P468" s="51"/>
      <c r="Q468" s="51"/>
      <c r="R468" s="51"/>
      <c r="S468" s="51"/>
      <c r="T468" s="51"/>
    </row>
    <row r="469">
      <c r="A469" s="51"/>
      <c r="B469" s="51"/>
      <c r="C469" s="56"/>
      <c r="D469" s="51"/>
      <c r="E469" s="51"/>
      <c r="F469" s="51"/>
      <c r="G469" s="51" t="str">
        <f>IFERROR(__xludf.DUMMYFUNCTION("""COMPUTED_VALUE"""),"#VALUE!")</f>
        <v>#VALUE!</v>
      </c>
      <c r="H469" s="51" t="str">
        <f>IFERROR(__xludf.DUMMYFUNCTION("""COMPUTED_VALUE"""),"")</f>
        <v/>
      </c>
      <c r="I469" s="51" t="str">
        <f>IFERROR(__xludf.DUMMYFUNCTION("""COMPUTED_VALUE"""),"#VALUE!")</f>
        <v>#VALUE!</v>
      </c>
      <c r="J469" s="51" t="str">
        <f>IFERROR(__xludf.DUMMYFUNCTION("""COMPUTED_VALUE"""),"")</f>
        <v/>
      </c>
      <c r="K469" s="51"/>
      <c r="L469" s="51" t="s">
        <v>257</v>
      </c>
      <c r="M469" s="51"/>
      <c r="N469" s="51"/>
      <c r="O469" s="51"/>
      <c r="P469" s="51"/>
      <c r="Q469" s="51"/>
      <c r="R469" s="51"/>
      <c r="S469" s="51"/>
      <c r="T469" s="51"/>
    </row>
    <row r="470">
      <c r="A470" s="51"/>
      <c r="B470" s="51"/>
      <c r="C470" s="56"/>
      <c r="D470" s="51"/>
      <c r="E470" s="51"/>
      <c r="F470" s="51"/>
      <c r="G470" s="51" t="str">
        <f>IFERROR(__xludf.DUMMYFUNCTION("""COMPUTED_VALUE"""),"#VALUE!")</f>
        <v>#VALUE!</v>
      </c>
      <c r="H470" s="51" t="str">
        <f>IFERROR(__xludf.DUMMYFUNCTION("""COMPUTED_VALUE"""),"")</f>
        <v/>
      </c>
      <c r="I470" s="51" t="str">
        <f>IFERROR(__xludf.DUMMYFUNCTION("""COMPUTED_VALUE"""),"#VALUE!")</f>
        <v>#VALUE!</v>
      </c>
      <c r="J470" s="51" t="str">
        <f>IFERROR(__xludf.DUMMYFUNCTION("""COMPUTED_VALUE"""),"")</f>
        <v/>
      </c>
      <c r="K470" s="51"/>
      <c r="L470" s="51" t="s">
        <v>257</v>
      </c>
      <c r="M470" s="51"/>
      <c r="N470" s="51"/>
      <c r="O470" s="51"/>
      <c r="P470" s="51"/>
      <c r="Q470" s="51"/>
      <c r="R470" s="51"/>
      <c r="S470" s="51"/>
      <c r="T470" s="51"/>
    </row>
    <row r="471">
      <c r="A471" s="51"/>
      <c r="B471" s="51"/>
      <c r="C471" s="56"/>
      <c r="D471" s="51"/>
      <c r="E471" s="51"/>
      <c r="F471" s="51"/>
      <c r="G471" s="51" t="str">
        <f>IFERROR(__xludf.DUMMYFUNCTION("""COMPUTED_VALUE"""),"#VALUE!")</f>
        <v>#VALUE!</v>
      </c>
      <c r="H471" s="51" t="str">
        <f>IFERROR(__xludf.DUMMYFUNCTION("""COMPUTED_VALUE"""),"")</f>
        <v/>
      </c>
      <c r="I471" s="51" t="str">
        <f>IFERROR(__xludf.DUMMYFUNCTION("""COMPUTED_VALUE"""),"#VALUE!")</f>
        <v>#VALUE!</v>
      </c>
      <c r="J471" s="51" t="str">
        <f>IFERROR(__xludf.DUMMYFUNCTION("""COMPUTED_VALUE"""),"")</f>
        <v/>
      </c>
      <c r="K471" s="51"/>
      <c r="L471" s="51" t="s">
        <v>257</v>
      </c>
      <c r="M471" s="51"/>
      <c r="N471" s="51"/>
      <c r="O471" s="51"/>
      <c r="P471" s="51"/>
      <c r="Q471" s="51"/>
      <c r="R471" s="51"/>
      <c r="S471" s="51"/>
      <c r="T471" s="51"/>
    </row>
    <row r="472">
      <c r="A472" s="51"/>
      <c r="B472" s="51"/>
      <c r="C472" s="56"/>
      <c r="D472" s="51"/>
      <c r="E472" s="51"/>
      <c r="F472" s="51"/>
      <c r="G472" s="51" t="str">
        <f>IFERROR(__xludf.DUMMYFUNCTION("""COMPUTED_VALUE"""),"#VALUE!")</f>
        <v>#VALUE!</v>
      </c>
      <c r="H472" s="51" t="str">
        <f>IFERROR(__xludf.DUMMYFUNCTION("""COMPUTED_VALUE"""),"")</f>
        <v/>
      </c>
      <c r="I472" s="51" t="str">
        <f>IFERROR(__xludf.DUMMYFUNCTION("""COMPUTED_VALUE"""),"#VALUE!")</f>
        <v>#VALUE!</v>
      </c>
      <c r="J472" s="51" t="str">
        <f>IFERROR(__xludf.DUMMYFUNCTION("""COMPUTED_VALUE"""),"")</f>
        <v/>
      </c>
      <c r="K472" s="51"/>
      <c r="L472" s="51" t="s">
        <v>257</v>
      </c>
      <c r="M472" s="51"/>
      <c r="N472" s="51"/>
      <c r="O472" s="51"/>
      <c r="P472" s="51"/>
      <c r="Q472" s="51"/>
      <c r="R472" s="51"/>
      <c r="S472" s="51"/>
      <c r="T472" s="51"/>
    </row>
    <row r="473">
      <c r="A473" s="51"/>
      <c r="B473" s="51"/>
      <c r="C473" s="56"/>
      <c r="D473" s="51"/>
      <c r="E473" s="51"/>
      <c r="F473" s="51"/>
      <c r="G473" s="51" t="str">
        <f>IFERROR(__xludf.DUMMYFUNCTION("""COMPUTED_VALUE"""),"#VALUE!")</f>
        <v>#VALUE!</v>
      </c>
      <c r="H473" s="51" t="str">
        <f>IFERROR(__xludf.DUMMYFUNCTION("""COMPUTED_VALUE"""),"")</f>
        <v/>
      </c>
      <c r="I473" s="51" t="str">
        <f>IFERROR(__xludf.DUMMYFUNCTION("""COMPUTED_VALUE"""),"#VALUE!")</f>
        <v>#VALUE!</v>
      </c>
      <c r="J473" s="51" t="str">
        <f>IFERROR(__xludf.DUMMYFUNCTION("""COMPUTED_VALUE"""),"")</f>
        <v/>
      </c>
      <c r="K473" s="51"/>
      <c r="L473" s="51" t="s">
        <v>257</v>
      </c>
      <c r="M473" s="51"/>
      <c r="N473" s="51"/>
      <c r="O473" s="51"/>
      <c r="P473" s="51"/>
      <c r="Q473" s="51"/>
      <c r="R473" s="51"/>
      <c r="S473" s="51"/>
      <c r="T473" s="51"/>
    </row>
    <row r="474">
      <c r="A474" s="51"/>
      <c r="B474" s="51"/>
      <c r="C474" s="56"/>
      <c r="D474" s="51"/>
      <c r="E474" s="51"/>
      <c r="F474" s="51"/>
      <c r="G474" s="51" t="str">
        <f>IFERROR(__xludf.DUMMYFUNCTION("""COMPUTED_VALUE"""),"#VALUE!")</f>
        <v>#VALUE!</v>
      </c>
      <c r="H474" s="51" t="str">
        <f>IFERROR(__xludf.DUMMYFUNCTION("""COMPUTED_VALUE"""),"")</f>
        <v/>
      </c>
      <c r="I474" s="51" t="str">
        <f>IFERROR(__xludf.DUMMYFUNCTION("""COMPUTED_VALUE"""),"#VALUE!")</f>
        <v>#VALUE!</v>
      </c>
      <c r="J474" s="51" t="str">
        <f>IFERROR(__xludf.DUMMYFUNCTION("""COMPUTED_VALUE"""),"")</f>
        <v/>
      </c>
      <c r="K474" s="51"/>
      <c r="L474" s="51" t="s">
        <v>257</v>
      </c>
      <c r="M474" s="51"/>
      <c r="N474" s="51"/>
      <c r="O474" s="51"/>
      <c r="P474" s="51"/>
      <c r="Q474" s="51"/>
      <c r="R474" s="51"/>
      <c r="S474" s="51"/>
      <c r="T474" s="51"/>
    </row>
    <row r="475">
      <c r="A475" s="51"/>
      <c r="B475" s="51"/>
      <c r="C475" s="56"/>
      <c r="D475" s="51"/>
      <c r="E475" s="51"/>
      <c r="F475" s="51"/>
      <c r="G475" s="51" t="str">
        <f>IFERROR(__xludf.DUMMYFUNCTION("""COMPUTED_VALUE"""),"#VALUE!")</f>
        <v>#VALUE!</v>
      </c>
      <c r="H475" s="51" t="str">
        <f>IFERROR(__xludf.DUMMYFUNCTION("""COMPUTED_VALUE"""),"")</f>
        <v/>
      </c>
      <c r="I475" s="51" t="str">
        <f>IFERROR(__xludf.DUMMYFUNCTION("""COMPUTED_VALUE"""),"#VALUE!")</f>
        <v>#VALUE!</v>
      </c>
      <c r="J475" s="51" t="str">
        <f>IFERROR(__xludf.DUMMYFUNCTION("""COMPUTED_VALUE"""),"")</f>
        <v/>
      </c>
      <c r="K475" s="51"/>
      <c r="L475" s="51" t="s">
        <v>257</v>
      </c>
      <c r="M475" s="51"/>
      <c r="N475" s="51"/>
      <c r="O475" s="51"/>
      <c r="P475" s="51"/>
      <c r="Q475" s="51"/>
      <c r="R475" s="51"/>
      <c r="S475" s="51"/>
      <c r="T475" s="51"/>
    </row>
    <row r="476">
      <c r="A476" s="51"/>
      <c r="B476" s="51"/>
      <c r="C476" s="56"/>
      <c r="D476" s="51"/>
      <c r="E476" s="51"/>
      <c r="F476" s="51"/>
      <c r="G476" s="51" t="str">
        <f>IFERROR(__xludf.DUMMYFUNCTION("""COMPUTED_VALUE"""),"#VALUE!")</f>
        <v>#VALUE!</v>
      </c>
      <c r="H476" s="51" t="str">
        <f>IFERROR(__xludf.DUMMYFUNCTION("""COMPUTED_VALUE"""),"")</f>
        <v/>
      </c>
      <c r="I476" s="51" t="str">
        <f>IFERROR(__xludf.DUMMYFUNCTION("""COMPUTED_VALUE"""),"#VALUE!")</f>
        <v>#VALUE!</v>
      </c>
      <c r="J476" s="51" t="str">
        <f>IFERROR(__xludf.DUMMYFUNCTION("""COMPUTED_VALUE"""),"")</f>
        <v/>
      </c>
      <c r="K476" s="51"/>
      <c r="L476" s="51" t="s">
        <v>257</v>
      </c>
      <c r="M476" s="51"/>
      <c r="N476" s="51"/>
      <c r="O476" s="51"/>
      <c r="P476" s="51"/>
      <c r="Q476" s="51"/>
      <c r="R476" s="51"/>
      <c r="S476" s="51"/>
      <c r="T476" s="51"/>
    </row>
    <row r="477">
      <c r="A477" s="51"/>
      <c r="B477" s="51"/>
      <c r="C477" s="56"/>
      <c r="D477" s="51"/>
      <c r="E477" s="51"/>
      <c r="F477" s="51"/>
      <c r="G477" s="51" t="str">
        <f>IFERROR(__xludf.DUMMYFUNCTION("""COMPUTED_VALUE"""),"#VALUE!")</f>
        <v>#VALUE!</v>
      </c>
      <c r="H477" s="51" t="str">
        <f>IFERROR(__xludf.DUMMYFUNCTION("""COMPUTED_VALUE"""),"")</f>
        <v/>
      </c>
      <c r="I477" s="51" t="str">
        <f>IFERROR(__xludf.DUMMYFUNCTION("""COMPUTED_VALUE"""),"#VALUE!")</f>
        <v>#VALUE!</v>
      </c>
      <c r="J477" s="51" t="str">
        <f>IFERROR(__xludf.DUMMYFUNCTION("""COMPUTED_VALUE"""),"")</f>
        <v/>
      </c>
      <c r="K477" s="51"/>
      <c r="L477" s="51" t="s">
        <v>257</v>
      </c>
      <c r="M477" s="51"/>
      <c r="N477" s="51"/>
      <c r="O477" s="51"/>
      <c r="P477" s="51"/>
      <c r="Q477" s="51"/>
      <c r="R477" s="51"/>
      <c r="S477" s="51"/>
      <c r="T477" s="51"/>
    </row>
    <row r="478">
      <c r="A478" s="51"/>
      <c r="B478" s="51"/>
      <c r="C478" s="56"/>
      <c r="D478" s="51"/>
      <c r="E478" s="51"/>
      <c r="F478" s="51"/>
      <c r="G478" s="51" t="str">
        <f>IFERROR(__xludf.DUMMYFUNCTION("""COMPUTED_VALUE"""),"#VALUE!")</f>
        <v>#VALUE!</v>
      </c>
      <c r="H478" s="51" t="str">
        <f>IFERROR(__xludf.DUMMYFUNCTION("""COMPUTED_VALUE"""),"")</f>
        <v/>
      </c>
      <c r="I478" s="51" t="str">
        <f>IFERROR(__xludf.DUMMYFUNCTION("""COMPUTED_VALUE"""),"#VALUE!")</f>
        <v>#VALUE!</v>
      </c>
      <c r="J478" s="51" t="str">
        <f>IFERROR(__xludf.DUMMYFUNCTION("""COMPUTED_VALUE"""),"")</f>
        <v/>
      </c>
      <c r="K478" s="51"/>
      <c r="L478" s="51" t="s">
        <v>257</v>
      </c>
      <c r="M478" s="51"/>
      <c r="N478" s="51"/>
      <c r="O478" s="51"/>
      <c r="P478" s="51"/>
      <c r="Q478" s="51"/>
      <c r="R478" s="51"/>
      <c r="S478" s="51"/>
      <c r="T478" s="51"/>
    </row>
    <row r="479">
      <c r="A479" s="51"/>
      <c r="B479" s="51"/>
      <c r="C479" s="56"/>
      <c r="D479" s="51"/>
      <c r="E479" s="51"/>
      <c r="F479" s="51"/>
      <c r="G479" s="51" t="str">
        <f>IFERROR(__xludf.DUMMYFUNCTION("""COMPUTED_VALUE"""),"#VALUE!")</f>
        <v>#VALUE!</v>
      </c>
      <c r="H479" s="51" t="str">
        <f>IFERROR(__xludf.DUMMYFUNCTION("""COMPUTED_VALUE"""),"")</f>
        <v/>
      </c>
      <c r="I479" s="51" t="str">
        <f>IFERROR(__xludf.DUMMYFUNCTION("""COMPUTED_VALUE"""),"#VALUE!")</f>
        <v>#VALUE!</v>
      </c>
      <c r="J479" s="51" t="str">
        <f>IFERROR(__xludf.DUMMYFUNCTION("""COMPUTED_VALUE"""),"")</f>
        <v/>
      </c>
      <c r="K479" s="51"/>
      <c r="L479" s="51" t="s">
        <v>257</v>
      </c>
      <c r="M479" s="51"/>
      <c r="N479" s="51"/>
      <c r="O479" s="51"/>
      <c r="P479" s="51"/>
      <c r="Q479" s="51"/>
      <c r="R479" s="51"/>
      <c r="S479" s="51"/>
      <c r="T479" s="51"/>
    </row>
    <row r="480">
      <c r="A480" s="51"/>
      <c r="B480" s="51"/>
      <c r="C480" s="56"/>
      <c r="D480" s="51"/>
      <c r="E480" s="51"/>
      <c r="F480" s="51"/>
      <c r="G480" s="51" t="str">
        <f>IFERROR(__xludf.DUMMYFUNCTION("""COMPUTED_VALUE"""),"#VALUE!")</f>
        <v>#VALUE!</v>
      </c>
      <c r="H480" s="51" t="str">
        <f>IFERROR(__xludf.DUMMYFUNCTION("""COMPUTED_VALUE"""),"")</f>
        <v/>
      </c>
      <c r="I480" s="51" t="str">
        <f>IFERROR(__xludf.DUMMYFUNCTION("""COMPUTED_VALUE"""),"#VALUE!")</f>
        <v>#VALUE!</v>
      </c>
      <c r="J480" s="51" t="str">
        <f>IFERROR(__xludf.DUMMYFUNCTION("""COMPUTED_VALUE"""),"")</f>
        <v/>
      </c>
      <c r="K480" s="51"/>
      <c r="L480" s="51" t="s">
        <v>257</v>
      </c>
      <c r="M480" s="51"/>
      <c r="N480" s="51"/>
      <c r="O480" s="51"/>
      <c r="P480" s="51"/>
      <c r="Q480" s="51"/>
      <c r="R480" s="51"/>
      <c r="S480" s="51"/>
      <c r="T480" s="51"/>
    </row>
    <row r="481">
      <c r="A481" s="51"/>
      <c r="B481" s="51"/>
      <c r="C481" s="56"/>
      <c r="D481" s="51"/>
      <c r="E481" s="51"/>
      <c r="F481" s="51"/>
      <c r="G481" s="51" t="str">
        <f>IFERROR(__xludf.DUMMYFUNCTION("""COMPUTED_VALUE"""),"#VALUE!")</f>
        <v>#VALUE!</v>
      </c>
      <c r="H481" s="51" t="str">
        <f>IFERROR(__xludf.DUMMYFUNCTION("""COMPUTED_VALUE"""),"")</f>
        <v/>
      </c>
      <c r="I481" s="51" t="str">
        <f>IFERROR(__xludf.DUMMYFUNCTION("""COMPUTED_VALUE"""),"#VALUE!")</f>
        <v>#VALUE!</v>
      </c>
      <c r="J481" s="51" t="str">
        <f>IFERROR(__xludf.DUMMYFUNCTION("""COMPUTED_VALUE"""),"")</f>
        <v/>
      </c>
      <c r="K481" s="51"/>
      <c r="L481" s="51" t="s">
        <v>257</v>
      </c>
      <c r="M481" s="51"/>
      <c r="N481" s="51"/>
      <c r="O481" s="51"/>
      <c r="P481" s="51"/>
      <c r="Q481" s="51"/>
      <c r="R481" s="51"/>
      <c r="S481" s="51"/>
      <c r="T481" s="51"/>
    </row>
    <row r="482">
      <c r="A482" s="51"/>
      <c r="B482" s="51"/>
      <c r="C482" s="56"/>
      <c r="D482" s="51"/>
      <c r="E482" s="51"/>
      <c r="F482" s="51"/>
      <c r="G482" s="51" t="str">
        <f>IFERROR(__xludf.DUMMYFUNCTION("""COMPUTED_VALUE"""),"#VALUE!")</f>
        <v>#VALUE!</v>
      </c>
      <c r="H482" s="51" t="str">
        <f>IFERROR(__xludf.DUMMYFUNCTION("""COMPUTED_VALUE"""),"")</f>
        <v/>
      </c>
      <c r="I482" s="51" t="str">
        <f>IFERROR(__xludf.DUMMYFUNCTION("""COMPUTED_VALUE"""),"#VALUE!")</f>
        <v>#VALUE!</v>
      </c>
      <c r="J482" s="51" t="str">
        <f>IFERROR(__xludf.DUMMYFUNCTION("""COMPUTED_VALUE"""),"")</f>
        <v/>
      </c>
      <c r="K482" s="51"/>
      <c r="L482" s="51" t="s">
        <v>257</v>
      </c>
      <c r="M482" s="51"/>
      <c r="N482" s="51"/>
      <c r="O482" s="51"/>
      <c r="P482" s="51"/>
      <c r="Q482" s="51"/>
      <c r="R482" s="51"/>
      <c r="S482" s="51"/>
      <c r="T482" s="51"/>
    </row>
    <row r="483">
      <c r="A483" s="51"/>
      <c r="B483" s="51"/>
      <c r="C483" s="56"/>
      <c r="D483" s="51"/>
      <c r="E483" s="51"/>
      <c r="F483" s="51"/>
      <c r="G483" s="51" t="str">
        <f>IFERROR(__xludf.DUMMYFUNCTION("""COMPUTED_VALUE"""),"#VALUE!")</f>
        <v>#VALUE!</v>
      </c>
      <c r="H483" s="51" t="str">
        <f>IFERROR(__xludf.DUMMYFUNCTION("""COMPUTED_VALUE"""),"")</f>
        <v/>
      </c>
      <c r="I483" s="51" t="str">
        <f>IFERROR(__xludf.DUMMYFUNCTION("""COMPUTED_VALUE"""),"#VALUE!")</f>
        <v>#VALUE!</v>
      </c>
      <c r="J483" s="51" t="str">
        <f>IFERROR(__xludf.DUMMYFUNCTION("""COMPUTED_VALUE"""),"")</f>
        <v/>
      </c>
      <c r="K483" s="51"/>
      <c r="L483" s="51" t="s">
        <v>257</v>
      </c>
      <c r="M483" s="51"/>
      <c r="N483" s="51"/>
      <c r="O483" s="51"/>
      <c r="P483" s="51"/>
      <c r="Q483" s="51"/>
      <c r="R483" s="51"/>
      <c r="S483" s="51"/>
      <c r="T483" s="51"/>
    </row>
    <row r="484">
      <c r="A484" s="51"/>
      <c r="B484" s="51"/>
      <c r="C484" s="56"/>
      <c r="D484" s="51"/>
      <c r="E484" s="51"/>
      <c r="F484" s="51"/>
      <c r="G484" s="51" t="str">
        <f>IFERROR(__xludf.DUMMYFUNCTION("""COMPUTED_VALUE"""),"#VALUE!")</f>
        <v>#VALUE!</v>
      </c>
      <c r="H484" s="51" t="str">
        <f>IFERROR(__xludf.DUMMYFUNCTION("""COMPUTED_VALUE"""),"")</f>
        <v/>
      </c>
      <c r="I484" s="51" t="str">
        <f>IFERROR(__xludf.DUMMYFUNCTION("""COMPUTED_VALUE"""),"#VALUE!")</f>
        <v>#VALUE!</v>
      </c>
      <c r="J484" s="51" t="str">
        <f>IFERROR(__xludf.DUMMYFUNCTION("""COMPUTED_VALUE"""),"")</f>
        <v/>
      </c>
      <c r="K484" s="51"/>
      <c r="L484" s="51" t="s">
        <v>257</v>
      </c>
      <c r="M484" s="51"/>
      <c r="N484" s="51"/>
      <c r="O484" s="51"/>
      <c r="P484" s="51"/>
      <c r="Q484" s="51"/>
      <c r="R484" s="51"/>
      <c r="S484" s="51"/>
      <c r="T484" s="51"/>
    </row>
    <row r="485">
      <c r="A485" s="51"/>
      <c r="B485" s="51"/>
      <c r="C485" s="56"/>
      <c r="D485" s="51"/>
      <c r="E485" s="51"/>
      <c r="F485" s="51"/>
      <c r="G485" s="51" t="str">
        <f>IFERROR(__xludf.DUMMYFUNCTION("""COMPUTED_VALUE"""),"#VALUE!")</f>
        <v>#VALUE!</v>
      </c>
      <c r="H485" s="51" t="str">
        <f>IFERROR(__xludf.DUMMYFUNCTION("""COMPUTED_VALUE"""),"")</f>
        <v/>
      </c>
      <c r="I485" s="51" t="str">
        <f>IFERROR(__xludf.DUMMYFUNCTION("""COMPUTED_VALUE"""),"#VALUE!")</f>
        <v>#VALUE!</v>
      </c>
      <c r="J485" s="51" t="str">
        <f>IFERROR(__xludf.DUMMYFUNCTION("""COMPUTED_VALUE"""),"")</f>
        <v/>
      </c>
      <c r="K485" s="51"/>
      <c r="L485" s="51" t="s">
        <v>257</v>
      </c>
      <c r="M485" s="51"/>
      <c r="N485" s="51"/>
      <c r="O485" s="51"/>
      <c r="P485" s="51"/>
      <c r="Q485" s="51"/>
      <c r="R485" s="51"/>
      <c r="S485" s="51"/>
      <c r="T485" s="51"/>
    </row>
    <row r="486">
      <c r="A486" s="51"/>
      <c r="B486" s="51"/>
      <c r="C486" s="56"/>
      <c r="D486" s="51"/>
      <c r="E486" s="51"/>
      <c r="F486" s="51"/>
      <c r="G486" s="51" t="str">
        <f>IFERROR(__xludf.DUMMYFUNCTION("""COMPUTED_VALUE"""),"#VALUE!")</f>
        <v>#VALUE!</v>
      </c>
      <c r="H486" s="51" t="str">
        <f>IFERROR(__xludf.DUMMYFUNCTION("""COMPUTED_VALUE"""),"")</f>
        <v/>
      </c>
      <c r="I486" s="51" t="str">
        <f>IFERROR(__xludf.DUMMYFUNCTION("""COMPUTED_VALUE"""),"#VALUE!")</f>
        <v>#VALUE!</v>
      </c>
      <c r="J486" s="51" t="str">
        <f>IFERROR(__xludf.DUMMYFUNCTION("""COMPUTED_VALUE"""),"")</f>
        <v/>
      </c>
      <c r="K486" s="51"/>
      <c r="L486" s="51" t="s">
        <v>257</v>
      </c>
      <c r="M486" s="51"/>
      <c r="N486" s="51"/>
      <c r="O486" s="51"/>
      <c r="P486" s="51"/>
      <c r="Q486" s="51"/>
      <c r="R486" s="51"/>
      <c r="S486" s="51"/>
      <c r="T486" s="51"/>
    </row>
    <row r="487">
      <c r="A487" s="51"/>
      <c r="B487" s="51"/>
      <c r="C487" s="56"/>
      <c r="D487" s="51"/>
      <c r="E487" s="51"/>
      <c r="F487" s="51"/>
      <c r="G487" s="51" t="str">
        <f>IFERROR(__xludf.DUMMYFUNCTION("""COMPUTED_VALUE"""),"#VALUE!")</f>
        <v>#VALUE!</v>
      </c>
      <c r="H487" s="51" t="str">
        <f>IFERROR(__xludf.DUMMYFUNCTION("""COMPUTED_VALUE"""),"")</f>
        <v/>
      </c>
      <c r="I487" s="51" t="str">
        <f>IFERROR(__xludf.DUMMYFUNCTION("""COMPUTED_VALUE"""),"#VALUE!")</f>
        <v>#VALUE!</v>
      </c>
      <c r="J487" s="51" t="str">
        <f>IFERROR(__xludf.DUMMYFUNCTION("""COMPUTED_VALUE"""),"")</f>
        <v/>
      </c>
      <c r="K487" s="51"/>
      <c r="L487" s="51" t="s">
        <v>257</v>
      </c>
      <c r="M487" s="51"/>
      <c r="N487" s="51"/>
      <c r="O487" s="51"/>
      <c r="P487" s="51"/>
      <c r="Q487" s="51"/>
      <c r="R487" s="51"/>
      <c r="S487" s="51"/>
      <c r="T487" s="51"/>
    </row>
    <row r="488">
      <c r="A488" s="51"/>
      <c r="B488" s="51"/>
      <c r="C488" s="56"/>
      <c r="D488" s="51"/>
      <c r="E488" s="51"/>
      <c r="F488" s="51"/>
      <c r="G488" s="51" t="str">
        <f>IFERROR(__xludf.DUMMYFUNCTION("""COMPUTED_VALUE"""),"#VALUE!")</f>
        <v>#VALUE!</v>
      </c>
      <c r="H488" s="51" t="str">
        <f>IFERROR(__xludf.DUMMYFUNCTION("""COMPUTED_VALUE"""),"")</f>
        <v/>
      </c>
      <c r="I488" s="51" t="str">
        <f>IFERROR(__xludf.DUMMYFUNCTION("""COMPUTED_VALUE"""),"#VALUE!")</f>
        <v>#VALUE!</v>
      </c>
      <c r="J488" s="51" t="str">
        <f>IFERROR(__xludf.DUMMYFUNCTION("""COMPUTED_VALUE"""),"")</f>
        <v/>
      </c>
      <c r="K488" s="51"/>
      <c r="L488" s="51" t="s">
        <v>257</v>
      </c>
      <c r="M488" s="51"/>
      <c r="N488" s="51"/>
      <c r="O488" s="51"/>
      <c r="P488" s="51"/>
      <c r="Q488" s="51"/>
      <c r="R488" s="51"/>
      <c r="S488" s="51"/>
      <c r="T488" s="51"/>
    </row>
    <row r="489">
      <c r="A489" s="51"/>
      <c r="B489" s="51"/>
      <c r="C489" s="56"/>
      <c r="D489" s="51"/>
      <c r="E489" s="51"/>
      <c r="F489" s="51"/>
      <c r="G489" s="51" t="str">
        <f>IFERROR(__xludf.DUMMYFUNCTION("""COMPUTED_VALUE"""),"#VALUE!")</f>
        <v>#VALUE!</v>
      </c>
      <c r="H489" s="51" t="str">
        <f>IFERROR(__xludf.DUMMYFUNCTION("""COMPUTED_VALUE"""),"")</f>
        <v/>
      </c>
      <c r="I489" s="51" t="str">
        <f>IFERROR(__xludf.DUMMYFUNCTION("""COMPUTED_VALUE"""),"#VALUE!")</f>
        <v>#VALUE!</v>
      </c>
      <c r="J489" s="51" t="str">
        <f>IFERROR(__xludf.DUMMYFUNCTION("""COMPUTED_VALUE"""),"")</f>
        <v/>
      </c>
      <c r="K489" s="51"/>
      <c r="L489" s="51" t="s">
        <v>257</v>
      </c>
      <c r="M489" s="51"/>
      <c r="N489" s="51"/>
      <c r="O489" s="51"/>
      <c r="P489" s="51"/>
      <c r="Q489" s="51"/>
      <c r="R489" s="51"/>
      <c r="S489" s="51"/>
      <c r="T489" s="51"/>
    </row>
    <row r="490">
      <c r="A490" s="51"/>
      <c r="B490" s="51"/>
      <c r="C490" s="56"/>
      <c r="D490" s="51"/>
      <c r="E490" s="51"/>
      <c r="F490" s="51"/>
      <c r="G490" s="51" t="str">
        <f>IFERROR(__xludf.DUMMYFUNCTION("""COMPUTED_VALUE"""),"#VALUE!")</f>
        <v>#VALUE!</v>
      </c>
      <c r="H490" s="51" t="str">
        <f>IFERROR(__xludf.DUMMYFUNCTION("""COMPUTED_VALUE"""),"")</f>
        <v/>
      </c>
      <c r="I490" s="51" t="str">
        <f>IFERROR(__xludf.DUMMYFUNCTION("""COMPUTED_VALUE"""),"#VALUE!")</f>
        <v>#VALUE!</v>
      </c>
      <c r="J490" s="51" t="str">
        <f>IFERROR(__xludf.DUMMYFUNCTION("""COMPUTED_VALUE"""),"")</f>
        <v/>
      </c>
      <c r="K490" s="51"/>
      <c r="L490" s="51" t="s">
        <v>257</v>
      </c>
      <c r="M490" s="51"/>
      <c r="N490" s="51"/>
      <c r="O490" s="51"/>
      <c r="P490" s="51"/>
      <c r="Q490" s="51"/>
      <c r="R490" s="51"/>
      <c r="S490" s="51"/>
      <c r="T490" s="51"/>
    </row>
    <row r="491">
      <c r="A491" s="51"/>
      <c r="B491" s="51"/>
      <c r="C491" s="56"/>
      <c r="D491" s="51"/>
      <c r="E491" s="51"/>
      <c r="F491" s="51"/>
      <c r="G491" s="51" t="str">
        <f>IFERROR(__xludf.DUMMYFUNCTION("""COMPUTED_VALUE"""),"#VALUE!")</f>
        <v>#VALUE!</v>
      </c>
      <c r="H491" s="51" t="str">
        <f>IFERROR(__xludf.DUMMYFUNCTION("""COMPUTED_VALUE"""),"")</f>
        <v/>
      </c>
      <c r="I491" s="51" t="str">
        <f>IFERROR(__xludf.DUMMYFUNCTION("""COMPUTED_VALUE"""),"#VALUE!")</f>
        <v>#VALUE!</v>
      </c>
      <c r="J491" s="51" t="str">
        <f>IFERROR(__xludf.DUMMYFUNCTION("""COMPUTED_VALUE"""),"")</f>
        <v/>
      </c>
      <c r="K491" s="51"/>
      <c r="L491" s="51" t="s">
        <v>257</v>
      </c>
      <c r="M491" s="51"/>
      <c r="N491" s="51"/>
      <c r="O491" s="51"/>
      <c r="P491" s="51"/>
      <c r="Q491" s="51"/>
      <c r="R491" s="51"/>
      <c r="S491" s="51"/>
      <c r="T491" s="51"/>
    </row>
    <row r="492">
      <c r="A492" s="51"/>
      <c r="B492" s="51"/>
      <c r="C492" s="56"/>
      <c r="D492" s="51"/>
      <c r="E492" s="51"/>
      <c r="F492" s="51"/>
      <c r="G492" s="51" t="str">
        <f>IFERROR(__xludf.DUMMYFUNCTION("""COMPUTED_VALUE"""),"#VALUE!")</f>
        <v>#VALUE!</v>
      </c>
      <c r="H492" s="51" t="str">
        <f>IFERROR(__xludf.DUMMYFUNCTION("""COMPUTED_VALUE"""),"")</f>
        <v/>
      </c>
      <c r="I492" s="51" t="str">
        <f>IFERROR(__xludf.DUMMYFUNCTION("""COMPUTED_VALUE"""),"#VALUE!")</f>
        <v>#VALUE!</v>
      </c>
      <c r="J492" s="51" t="str">
        <f>IFERROR(__xludf.DUMMYFUNCTION("""COMPUTED_VALUE"""),"")</f>
        <v/>
      </c>
      <c r="K492" s="51"/>
      <c r="L492" s="51" t="s">
        <v>257</v>
      </c>
      <c r="M492" s="51"/>
      <c r="N492" s="51"/>
      <c r="O492" s="51"/>
      <c r="P492" s="51"/>
      <c r="Q492" s="51"/>
      <c r="R492" s="51"/>
      <c r="S492" s="51"/>
      <c r="T492" s="51"/>
    </row>
    <row r="493">
      <c r="A493" s="51"/>
      <c r="B493" s="51"/>
      <c r="C493" s="56"/>
      <c r="D493" s="51"/>
      <c r="E493" s="51"/>
      <c r="F493" s="51"/>
      <c r="G493" s="51" t="str">
        <f>IFERROR(__xludf.DUMMYFUNCTION("""COMPUTED_VALUE"""),"#VALUE!")</f>
        <v>#VALUE!</v>
      </c>
      <c r="H493" s="51" t="str">
        <f>IFERROR(__xludf.DUMMYFUNCTION("""COMPUTED_VALUE"""),"")</f>
        <v/>
      </c>
      <c r="I493" s="51" t="str">
        <f>IFERROR(__xludf.DUMMYFUNCTION("""COMPUTED_VALUE"""),"#VALUE!")</f>
        <v>#VALUE!</v>
      </c>
      <c r="J493" s="51" t="str">
        <f>IFERROR(__xludf.DUMMYFUNCTION("""COMPUTED_VALUE"""),"")</f>
        <v/>
      </c>
      <c r="K493" s="51"/>
      <c r="L493" s="51" t="s">
        <v>257</v>
      </c>
      <c r="M493" s="51"/>
      <c r="N493" s="51"/>
      <c r="O493" s="51"/>
      <c r="P493" s="51"/>
      <c r="Q493" s="51"/>
      <c r="R493" s="51"/>
      <c r="S493" s="51"/>
      <c r="T493" s="51"/>
    </row>
    <row r="494">
      <c r="A494" s="51"/>
      <c r="B494" s="51"/>
      <c r="C494" s="56"/>
      <c r="D494" s="51"/>
      <c r="E494" s="51"/>
      <c r="F494" s="51"/>
      <c r="G494" s="51" t="str">
        <f>IFERROR(__xludf.DUMMYFUNCTION("""COMPUTED_VALUE"""),"#VALUE!")</f>
        <v>#VALUE!</v>
      </c>
      <c r="H494" s="51" t="str">
        <f>IFERROR(__xludf.DUMMYFUNCTION("""COMPUTED_VALUE"""),"")</f>
        <v/>
      </c>
      <c r="I494" s="51" t="str">
        <f>IFERROR(__xludf.DUMMYFUNCTION("""COMPUTED_VALUE"""),"#VALUE!")</f>
        <v>#VALUE!</v>
      </c>
      <c r="J494" s="51" t="str">
        <f>IFERROR(__xludf.DUMMYFUNCTION("""COMPUTED_VALUE"""),"")</f>
        <v/>
      </c>
      <c r="K494" s="51"/>
      <c r="L494" s="51" t="s">
        <v>257</v>
      </c>
      <c r="M494" s="51"/>
      <c r="N494" s="51"/>
      <c r="O494" s="51"/>
      <c r="P494" s="51"/>
      <c r="Q494" s="51"/>
      <c r="R494" s="51"/>
      <c r="S494" s="51"/>
      <c r="T494" s="51"/>
    </row>
    <row r="495">
      <c r="A495" s="51"/>
      <c r="B495" s="51"/>
      <c r="C495" s="56"/>
      <c r="D495" s="51"/>
      <c r="E495" s="51"/>
      <c r="F495" s="51"/>
      <c r="G495" s="51" t="str">
        <f>IFERROR(__xludf.DUMMYFUNCTION("""COMPUTED_VALUE"""),"#VALUE!")</f>
        <v>#VALUE!</v>
      </c>
      <c r="H495" s="51" t="str">
        <f>IFERROR(__xludf.DUMMYFUNCTION("""COMPUTED_VALUE"""),"")</f>
        <v/>
      </c>
      <c r="I495" s="51" t="str">
        <f>IFERROR(__xludf.DUMMYFUNCTION("""COMPUTED_VALUE"""),"#VALUE!")</f>
        <v>#VALUE!</v>
      </c>
      <c r="J495" s="51" t="str">
        <f>IFERROR(__xludf.DUMMYFUNCTION("""COMPUTED_VALUE"""),"")</f>
        <v/>
      </c>
      <c r="K495" s="51"/>
      <c r="L495" s="51" t="s">
        <v>257</v>
      </c>
      <c r="M495" s="51"/>
      <c r="N495" s="51"/>
      <c r="O495" s="51"/>
      <c r="P495" s="51"/>
      <c r="Q495" s="51"/>
      <c r="R495" s="51"/>
      <c r="S495" s="51"/>
      <c r="T495" s="51"/>
    </row>
    <row r="496">
      <c r="A496" s="51"/>
      <c r="B496" s="51"/>
      <c r="C496" s="56"/>
      <c r="D496" s="51"/>
      <c r="E496" s="51"/>
      <c r="F496" s="51"/>
      <c r="G496" s="51" t="str">
        <f>IFERROR(__xludf.DUMMYFUNCTION("""COMPUTED_VALUE"""),"#VALUE!")</f>
        <v>#VALUE!</v>
      </c>
      <c r="H496" s="51" t="str">
        <f>IFERROR(__xludf.DUMMYFUNCTION("""COMPUTED_VALUE"""),"")</f>
        <v/>
      </c>
      <c r="I496" s="51" t="str">
        <f>IFERROR(__xludf.DUMMYFUNCTION("""COMPUTED_VALUE"""),"#VALUE!")</f>
        <v>#VALUE!</v>
      </c>
      <c r="J496" s="51" t="str">
        <f>IFERROR(__xludf.DUMMYFUNCTION("""COMPUTED_VALUE"""),"")</f>
        <v/>
      </c>
      <c r="K496" s="51"/>
      <c r="L496" s="51" t="s">
        <v>257</v>
      </c>
      <c r="M496" s="51"/>
      <c r="N496" s="51"/>
      <c r="O496" s="51"/>
      <c r="P496" s="51"/>
      <c r="Q496" s="51"/>
      <c r="R496" s="51"/>
      <c r="S496" s="51"/>
      <c r="T496" s="51"/>
    </row>
    <row r="497">
      <c r="A497" s="51"/>
      <c r="B497" s="51"/>
      <c r="C497" s="56"/>
      <c r="D497" s="51"/>
      <c r="E497" s="51"/>
      <c r="F497" s="51"/>
      <c r="G497" s="51" t="str">
        <f>IFERROR(__xludf.DUMMYFUNCTION("""COMPUTED_VALUE"""),"#VALUE!")</f>
        <v>#VALUE!</v>
      </c>
      <c r="H497" s="51" t="str">
        <f>IFERROR(__xludf.DUMMYFUNCTION("""COMPUTED_VALUE"""),"")</f>
        <v/>
      </c>
      <c r="I497" s="51" t="str">
        <f>IFERROR(__xludf.DUMMYFUNCTION("""COMPUTED_VALUE"""),"#VALUE!")</f>
        <v>#VALUE!</v>
      </c>
      <c r="J497" s="51" t="str">
        <f>IFERROR(__xludf.DUMMYFUNCTION("""COMPUTED_VALUE"""),"")</f>
        <v/>
      </c>
      <c r="K497" s="51"/>
      <c r="L497" s="51" t="s">
        <v>257</v>
      </c>
      <c r="M497" s="51"/>
      <c r="N497" s="51"/>
      <c r="O497" s="51"/>
      <c r="P497" s="51"/>
      <c r="Q497" s="51"/>
      <c r="R497" s="51"/>
      <c r="S497" s="51"/>
      <c r="T497" s="51"/>
    </row>
    <row r="498">
      <c r="A498" s="51"/>
      <c r="B498" s="51"/>
      <c r="C498" s="56"/>
      <c r="D498" s="51"/>
      <c r="E498" s="51"/>
      <c r="F498" s="51"/>
      <c r="G498" s="51" t="str">
        <f>IFERROR(__xludf.DUMMYFUNCTION("""COMPUTED_VALUE"""),"#VALUE!")</f>
        <v>#VALUE!</v>
      </c>
      <c r="H498" s="51" t="str">
        <f>IFERROR(__xludf.DUMMYFUNCTION("""COMPUTED_VALUE"""),"")</f>
        <v/>
      </c>
      <c r="I498" s="51" t="str">
        <f>IFERROR(__xludf.DUMMYFUNCTION("""COMPUTED_VALUE"""),"#VALUE!")</f>
        <v>#VALUE!</v>
      </c>
      <c r="J498" s="51" t="str">
        <f>IFERROR(__xludf.DUMMYFUNCTION("""COMPUTED_VALUE"""),"")</f>
        <v/>
      </c>
      <c r="K498" s="51"/>
      <c r="L498" s="51" t="s">
        <v>257</v>
      </c>
      <c r="M498" s="51"/>
      <c r="N498" s="51"/>
      <c r="O498" s="51"/>
      <c r="P498" s="51"/>
      <c r="Q498" s="51"/>
      <c r="R498" s="51"/>
      <c r="S498" s="51"/>
      <c r="T498" s="51"/>
    </row>
    <row r="499">
      <c r="A499" s="51"/>
      <c r="B499" s="51"/>
      <c r="C499" s="56"/>
      <c r="D499" s="51"/>
      <c r="E499" s="51"/>
      <c r="F499" s="51"/>
      <c r="G499" s="51" t="str">
        <f>IFERROR(__xludf.DUMMYFUNCTION("""COMPUTED_VALUE"""),"#VALUE!")</f>
        <v>#VALUE!</v>
      </c>
      <c r="H499" s="51" t="str">
        <f>IFERROR(__xludf.DUMMYFUNCTION("""COMPUTED_VALUE"""),"")</f>
        <v/>
      </c>
      <c r="I499" s="51" t="str">
        <f>IFERROR(__xludf.DUMMYFUNCTION("""COMPUTED_VALUE"""),"#VALUE!")</f>
        <v>#VALUE!</v>
      </c>
      <c r="J499" s="51" t="str">
        <f>IFERROR(__xludf.DUMMYFUNCTION("""COMPUTED_VALUE"""),"")</f>
        <v/>
      </c>
      <c r="K499" s="51"/>
      <c r="L499" s="51" t="s">
        <v>257</v>
      </c>
      <c r="M499" s="51"/>
      <c r="N499" s="51"/>
      <c r="O499" s="51"/>
      <c r="P499" s="51"/>
      <c r="Q499" s="51"/>
      <c r="R499" s="51"/>
      <c r="S499" s="51"/>
      <c r="T499" s="51"/>
    </row>
    <row r="500">
      <c r="A500" s="51"/>
      <c r="B500" s="51"/>
      <c r="C500" s="56"/>
      <c r="D500" s="51"/>
      <c r="E500" s="51"/>
      <c r="F500" s="51"/>
      <c r="G500" s="51" t="str">
        <f>IFERROR(__xludf.DUMMYFUNCTION("""COMPUTED_VALUE"""),"#VALUE!")</f>
        <v>#VALUE!</v>
      </c>
      <c r="H500" s="51" t="str">
        <f>IFERROR(__xludf.DUMMYFUNCTION("""COMPUTED_VALUE"""),"")</f>
        <v/>
      </c>
      <c r="I500" s="51" t="str">
        <f>IFERROR(__xludf.DUMMYFUNCTION("""COMPUTED_VALUE"""),"#VALUE!")</f>
        <v>#VALUE!</v>
      </c>
      <c r="J500" s="51" t="str">
        <f>IFERROR(__xludf.DUMMYFUNCTION("""COMPUTED_VALUE"""),"")</f>
        <v/>
      </c>
      <c r="K500" s="51"/>
      <c r="L500" s="51" t="s">
        <v>257</v>
      </c>
      <c r="M500" s="51"/>
      <c r="N500" s="51"/>
      <c r="O500" s="51"/>
      <c r="P500" s="51"/>
      <c r="Q500" s="51"/>
      <c r="R500" s="51"/>
      <c r="S500" s="51"/>
      <c r="T500" s="51"/>
    </row>
    <row r="501">
      <c r="A501" s="51"/>
      <c r="B501" s="51"/>
      <c r="C501" s="56"/>
      <c r="D501" s="51"/>
      <c r="E501" s="51"/>
      <c r="F501" s="51"/>
      <c r="G501" s="51" t="str">
        <f>IFERROR(__xludf.DUMMYFUNCTION("""COMPUTED_VALUE"""),"#VALUE!")</f>
        <v>#VALUE!</v>
      </c>
      <c r="H501" s="51" t="str">
        <f>IFERROR(__xludf.DUMMYFUNCTION("""COMPUTED_VALUE"""),"")</f>
        <v/>
      </c>
      <c r="I501" s="51" t="str">
        <f>IFERROR(__xludf.DUMMYFUNCTION("""COMPUTED_VALUE"""),"#VALUE!")</f>
        <v>#VALUE!</v>
      </c>
      <c r="J501" s="51" t="str">
        <f>IFERROR(__xludf.DUMMYFUNCTION("""COMPUTED_VALUE"""),"")</f>
        <v/>
      </c>
      <c r="K501" s="51"/>
      <c r="L501" s="51" t="s">
        <v>257</v>
      </c>
      <c r="M501" s="51"/>
      <c r="N501" s="51"/>
      <c r="O501" s="51"/>
      <c r="P501" s="51"/>
      <c r="Q501" s="51"/>
      <c r="R501" s="51"/>
      <c r="S501" s="51"/>
      <c r="T501" s="51"/>
    </row>
    <row r="502">
      <c r="A502" s="51"/>
      <c r="B502" s="51"/>
      <c r="C502" s="56"/>
      <c r="D502" s="51"/>
      <c r="E502" s="51"/>
      <c r="F502" s="51"/>
      <c r="G502" s="51" t="str">
        <f>IFERROR(__xludf.DUMMYFUNCTION("""COMPUTED_VALUE"""),"#VALUE!")</f>
        <v>#VALUE!</v>
      </c>
      <c r="H502" s="51" t="str">
        <f>IFERROR(__xludf.DUMMYFUNCTION("""COMPUTED_VALUE"""),"")</f>
        <v/>
      </c>
      <c r="I502" s="51" t="str">
        <f>IFERROR(__xludf.DUMMYFUNCTION("""COMPUTED_VALUE"""),"#VALUE!")</f>
        <v>#VALUE!</v>
      </c>
      <c r="J502" s="51" t="str">
        <f>IFERROR(__xludf.DUMMYFUNCTION("""COMPUTED_VALUE"""),"")</f>
        <v/>
      </c>
      <c r="K502" s="51"/>
      <c r="L502" s="51" t="s">
        <v>257</v>
      </c>
      <c r="M502" s="51"/>
      <c r="N502" s="51"/>
      <c r="O502" s="51"/>
      <c r="P502" s="51"/>
      <c r="Q502" s="51"/>
      <c r="R502" s="51"/>
      <c r="S502" s="51"/>
      <c r="T502" s="51"/>
    </row>
    <row r="503">
      <c r="A503" s="51"/>
      <c r="B503" s="51"/>
      <c r="C503" s="56"/>
      <c r="D503" s="51"/>
      <c r="E503" s="51"/>
      <c r="F503" s="51"/>
      <c r="G503" s="51" t="str">
        <f>IFERROR(__xludf.DUMMYFUNCTION("""COMPUTED_VALUE"""),"#VALUE!")</f>
        <v>#VALUE!</v>
      </c>
      <c r="H503" s="51" t="str">
        <f>IFERROR(__xludf.DUMMYFUNCTION("""COMPUTED_VALUE"""),"")</f>
        <v/>
      </c>
      <c r="I503" s="51" t="str">
        <f>IFERROR(__xludf.DUMMYFUNCTION("""COMPUTED_VALUE"""),"#VALUE!")</f>
        <v>#VALUE!</v>
      </c>
      <c r="J503" s="51" t="str">
        <f>IFERROR(__xludf.DUMMYFUNCTION("""COMPUTED_VALUE"""),"")</f>
        <v/>
      </c>
      <c r="K503" s="51"/>
      <c r="L503" s="51" t="s">
        <v>257</v>
      </c>
      <c r="M503" s="51"/>
      <c r="N503" s="51"/>
      <c r="O503" s="51"/>
      <c r="P503" s="51"/>
      <c r="Q503" s="51"/>
      <c r="R503" s="51"/>
      <c r="S503" s="51"/>
      <c r="T503" s="51"/>
    </row>
    <row r="504">
      <c r="A504" s="51"/>
      <c r="B504" s="51"/>
      <c r="C504" s="56"/>
      <c r="D504" s="51"/>
      <c r="E504" s="51"/>
      <c r="F504" s="51"/>
      <c r="G504" s="51" t="str">
        <f>IFERROR(__xludf.DUMMYFUNCTION("""COMPUTED_VALUE"""),"#VALUE!")</f>
        <v>#VALUE!</v>
      </c>
      <c r="H504" s="51" t="str">
        <f>IFERROR(__xludf.DUMMYFUNCTION("""COMPUTED_VALUE"""),"")</f>
        <v/>
      </c>
      <c r="I504" s="51" t="str">
        <f>IFERROR(__xludf.DUMMYFUNCTION("""COMPUTED_VALUE"""),"#VALUE!")</f>
        <v>#VALUE!</v>
      </c>
      <c r="J504" s="51" t="str">
        <f>IFERROR(__xludf.DUMMYFUNCTION("""COMPUTED_VALUE"""),"")</f>
        <v/>
      </c>
      <c r="K504" s="51"/>
      <c r="L504" s="51" t="s">
        <v>257</v>
      </c>
      <c r="M504" s="51"/>
      <c r="N504" s="51"/>
      <c r="O504" s="51"/>
      <c r="P504" s="51"/>
      <c r="Q504" s="51"/>
      <c r="R504" s="51"/>
      <c r="S504" s="51"/>
      <c r="T504" s="51"/>
    </row>
    <row r="505">
      <c r="A505" s="51"/>
      <c r="B505" s="51"/>
      <c r="C505" s="56"/>
      <c r="D505" s="51"/>
      <c r="E505" s="51"/>
      <c r="F505" s="51"/>
      <c r="G505" s="51" t="str">
        <f>IFERROR(__xludf.DUMMYFUNCTION("""COMPUTED_VALUE"""),"#VALUE!")</f>
        <v>#VALUE!</v>
      </c>
      <c r="H505" s="51" t="str">
        <f>IFERROR(__xludf.DUMMYFUNCTION("""COMPUTED_VALUE"""),"")</f>
        <v/>
      </c>
      <c r="I505" s="51" t="str">
        <f>IFERROR(__xludf.DUMMYFUNCTION("""COMPUTED_VALUE"""),"#VALUE!")</f>
        <v>#VALUE!</v>
      </c>
      <c r="J505" s="51" t="str">
        <f>IFERROR(__xludf.DUMMYFUNCTION("""COMPUTED_VALUE"""),"")</f>
        <v/>
      </c>
      <c r="K505" s="51"/>
      <c r="L505" s="51" t="s">
        <v>257</v>
      </c>
      <c r="M505" s="51"/>
      <c r="N505" s="51"/>
      <c r="O505" s="51"/>
      <c r="P505" s="51"/>
      <c r="Q505" s="51"/>
      <c r="R505" s="51"/>
      <c r="S505" s="51"/>
      <c r="T505" s="51"/>
    </row>
    <row r="506">
      <c r="A506" s="51"/>
      <c r="B506" s="51"/>
      <c r="C506" s="56"/>
      <c r="D506" s="51"/>
      <c r="E506" s="51"/>
      <c r="F506" s="51"/>
      <c r="G506" s="51" t="str">
        <f>IFERROR(__xludf.DUMMYFUNCTION("""COMPUTED_VALUE"""),"#VALUE!")</f>
        <v>#VALUE!</v>
      </c>
      <c r="H506" s="51" t="str">
        <f>IFERROR(__xludf.DUMMYFUNCTION("""COMPUTED_VALUE"""),"")</f>
        <v/>
      </c>
      <c r="I506" s="51" t="str">
        <f>IFERROR(__xludf.DUMMYFUNCTION("""COMPUTED_VALUE"""),"#VALUE!")</f>
        <v>#VALUE!</v>
      </c>
      <c r="J506" s="51" t="str">
        <f>IFERROR(__xludf.DUMMYFUNCTION("""COMPUTED_VALUE"""),"")</f>
        <v/>
      </c>
      <c r="K506" s="51"/>
      <c r="L506" s="51" t="s">
        <v>257</v>
      </c>
      <c r="M506" s="51"/>
      <c r="N506" s="51"/>
      <c r="O506" s="51"/>
      <c r="P506" s="51"/>
      <c r="Q506" s="51"/>
      <c r="R506" s="51"/>
      <c r="S506" s="51"/>
      <c r="T506" s="51"/>
    </row>
    <row r="507">
      <c r="A507" s="51"/>
      <c r="B507" s="51"/>
      <c r="C507" s="56"/>
      <c r="D507" s="51"/>
      <c r="E507" s="51"/>
      <c r="F507" s="51"/>
      <c r="G507" s="51" t="str">
        <f>IFERROR(__xludf.DUMMYFUNCTION("""COMPUTED_VALUE"""),"#VALUE!")</f>
        <v>#VALUE!</v>
      </c>
      <c r="H507" s="51" t="str">
        <f>IFERROR(__xludf.DUMMYFUNCTION("""COMPUTED_VALUE"""),"")</f>
        <v/>
      </c>
      <c r="I507" s="51" t="str">
        <f>IFERROR(__xludf.DUMMYFUNCTION("""COMPUTED_VALUE"""),"#VALUE!")</f>
        <v>#VALUE!</v>
      </c>
      <c r="J507" s="51" t="str">
        <f>IFERROR(__xludf.DUMMYFUNCTION("""COMPUTED_VALUE"""),"")</f>
        <v/>
      </c>
      <c r="K507" s="51"/>
      <c r="L507" s="51" t="s">
        <v>257</v>
      </c>
      <c r="M507" s="51"/>
      <c r="N507" s="51"/>
      <c r="O507" s="51"/>
      <c r="P507" s="51"/>
      <c r="Q507" s="51"/>
      <c r="R507" s="51"/>
      <c r="S507" s="51"/>
      <c r="T507" s="51"/>
    </row>
    <row r="508">
      <c r="A508" s="51"/>
      <c r="B508" s="51"/>
      <c r="C508" s="56"/>
      <c r="D508" s="51"/>
      <c r="E508" s="51"/>
      <c r="F508" s="51"/>
      <c r="G508" s="51" t="str">
        <f>IFERROR(__xludf.DUMMYFUNCTION("""COMPUTED_VALUE"""),"#VALUE!")</f>
        <v>#VALUE!</v>
      </c>
      <c r="H508" s="51" t="str">
        <f>IFERROR(__xludf.DUMMYFUNCTION("""COMPUTED_VALUE"""),"")</f>
        <v/>
      </c>
      <c r="I508" s="51" t="str">
        <f>IFERROR(__xludf.DUMMYFUNCTION("""COMPUTED_VALUE"""),"#VALUE!")</f>
        <v>#VALUE!</v>
      </c>
      <c r="J508" s="51" t="str">
        <f>IFERROR(__xludf.DUMMYFUNCTION("""COMPUTED_VALUE"""),"")</f>
        <v/>
      </c>
      <c r="K508" s="51"/>
      <c r="L508" s="51" t="s">
        <v>257</v>
      </c>
      <c r="M508" s="51"/>
      <c r="N508" s="51"/>
      <c r="O508" s="51"/>
      <c r="P508" s="51"/>
      <c r="Q508" s="51"/>
      <c r="R508" s="51"/>
      <c r="S508" s="51"/>
      <c r="T508" s="51"/>
    </row>
    <row r="509">
      <c r="A509" s="51"/>
      <c r="B509" s="51"/>
      <c r="C509" s="56"/>
      <c r="D509" s="51"/>
      <c r="E509" s="51"/>
      <c r="F509" s="51"/>
      <c r="G509" s="51" t="str">
        <f>IFERROR(__xludf.DUMMYFUNCTION("""COMPUTED_VALUE"""),"#VALUE!")</f>
        <v>#VALUE!</v>
      </c>
      <c r="H509" s="51" t="str">
        <f>IFERROR(__xludf.DUMMYFUNCTION("""COMPUTED_VALUE"""),"")</f>
        <v/>
      </c>
      <c r="I509" s="51" t="str">
        <f>IFERROR(__xludf.DUMMYFUNCTION("""COMPUTED_VALUE"""),"#VALUE!")</f>
        <v>#VALUE!</v>
      </c>
      <c r="J509" s="51" t="str">
        <f>IFERROR(__xludf.DUMMYFUNCTION("""COMPUTED_VALUE"""),"")</f>
        <v/>
      </c>
      <c r="K509" s="51"/>
      <c r="L509" s="51" t="s">
        <v>257</v>
      </c>
      <c r="M509" s="51"/>
      <c r="N509" s="51"/>
      <c r="O509" s="51"/>
      <c r="P509" s="51"/>
      <c r="Q509" s="51"/>
      <c r="R509" s="51"/>
      <c r="S509" s="51"/>
      <c r="T509" s="51"/>
    </row>
    <row r="510">
      <c r="A510" s="51"/>
      <c r="B510" s="51"/>
      <c r="C510" s="56"/>
      <c r="D510" s="51"/>
      <c r="E510" s="51"/>
      <c r="F510" s="51"/>
      <c r="G510" s="51" t="str">
        <f>IFERROR(__xludf.DUMMYFUNCTION("""COMPUTED_VALUE"""),"#VALUE!")</f>
        <v>#VALUE!</v>
      </c>
      <c r="H510" s="51" t="str">
        <f>IFERROR(__xludf.DUMMYFUNCTION("""COMPUTED_VALUE"""),"")</f>
        <v/>
      </c>
      <c r="I510" s="51" t="str">
        <f>IFERROR(__xludf.DUMMYFUNCTION("""COMPUTED_VALUE"""),"#VALUE!")</f>
        <v>#VALUE!</v>
      </c>
      <c r="J510" s="51" t="str">
        <f>IFERROR(__xludf.DUMMYFUNCTION("""COMPUTED_VALUE"""),"")</f>
        <v/>
      </c>
      <c r="K510" s="51"/>
      <c r="L510" s="51" t="s">
        <v>257</v>
      </c>
      <c r="M510" s="51"/>
      <c r="N510" s="51"/>
      <c r="O510" s="51"/>
      <c r="P510" s="51"/>
      <c r="Q510" s="51"/>
      <c r="R510" s="51"/>
      <c r="S510" s="51"/>
      <c r="T510" s="51"/>
    </row>
    <row r="511">
      <c r="A511" s="51"/>
      <c r="B511" s="51"/>
      <c r="C511" s="56"/>
      <c r="D511" s="51"/>
      <c r="E511" s="51"/>
      <c r="F511" s="51"/>
      <c r="G511" s="51" t="str">
        <f>IFERROR(__xludf.DUMMYFUNCTION("""COMPUTED_VALUE"""),"#VALUE!")</f>
        <v>#VALUE!</v>
      </c>
      <c r="H511" s="51" t="str">
        <f>IFERROR(__xludf.DUMMYFUNCTION("""COMPUTED_VALUE"""),"")</f>
        <v/>
      </c>
      <c r="I511" s="51" t="str">
        <f>IFERROR(__xludf.DUMMYFUNCTION("""COMPUTED_VALUE"""),"#VALUE!")</f>
        <v>#VALUE!</v>
      </c>
      <c r="J511" s="51" t="str">
        <f>IFERROR(__xludf.DUMMYFUNCTION("""COMPUTED_VALUE"""),"")</f>
        <v/>
      </c>
      <c r="K511" s="51"/>
      <c r="L511" s="51" t="s">
        <v>257</v>
      </c>
      <c r="M511" s="51"/>
      <c r="N511" s="51"/>
      <c r="O511" s="51"/>
      <c r="P511" s="51"/>
      <c r="Q511" s="51"/>
      <c r="R511" s="51"/>
      <c r="S511" s="51"/>
      <c r="T511" s="51"/>
    </row>
    <row r="512">
      <c r="A512" s="51"/>
      <c r="B512" s="51"/>
      <c r="C512" s="56"/>
      <c r="D512" s="51"/>
      <c r="E512" s="51"/>
      <c r="F512" s="51"/>
      <c r="G512" s="51" t="str">
        <f>IFERROR(__xludf.DUMMYFUNCTION("""COMPUTED_VALUE"""),"#VALUE!")</f>
        <v>#VALUE!</v>
      </c>
      <c r="H512" s="51" t="str">
        <f>IFERROR(__xludf.DUMMYFUNCTION("""COMPUTED_VALUE"""),"")</f>
        <v/>
      </c>
      <c r="I512" s="51" t="str">
        <f>IFERROR(__xludf.DUMMYFUNCTION("""COMPUTED_VALUE"""),"#VALUE!")</f>
        <v>#VALUE!</v>
      </c>
      <c r="J512" s="51" t="str">
        <f>IFERROR(__xludf.DUMMYFUNCTION("""COMPUTED_VALUE"""),"")</f>
        <v/>
      </c>
      <c r="K512" s="51"/>
      <c r="L512" s="51" t="s">
        <v>257</v>
      </c>
      <c r="M512" s="51"/>
      <c r="N512" s="51"/>
      <c r="O512" s="51"/>
      <c r="P512" s="51"/>
      <c r="Q512" s="51"/>
      <c r="R512" s="51"/>
      <c r="S512" s="51"/>
      <c r="T512" s="51"/>
    </row>
    <row r="513">
      <c r="A513" s="51"/>
      <c r="B513" s="51"/>
      <c r="C513" s="56"/>
      <c r="D513" s="51"/>
      <c r="E513" s="51"/>
      <c r="F513" s="51"/>
      <c r="G513" s="51" t="str">
        <f>IFERROR(__xludf.DUMMYFUNCTION("""COMPUTED_VALUE"""),"#VALUE!")</f>
        <v>#VALUE!</v>
      </c>
      <c r="H513" s="51" t="str">
        <f>IFERROR(__xludf.DUMMYFUNCTION("""COMPUTED_VALUE"""),"")</f>
        <v/>
      </c>
      <c r="I513" s="51" t="str">
        <f>IFERROR(__xludf.DUMMYFUNCTION("""COMPUTED_VALUE"""),"#VALUE!")</f>
        <v>#VALUE!</v>
      </c>
      <c r="J513" s="51" t="str">
        <f>IFERROR(__xludf.DUMMYFUNCTION("""COMPUTED_VALUE"""),"")</f>
        <v/>
      </c>
      <c r="K513" s="51"/>
      <c r="L513" s="51" t="s">
        <v>257</v>
      </c>
      <c r="M513" s="51"/>
      <c r="N513" s="51"/>
      <c r="O513" s="51"/>
      <c r="P513" s="51"/>
      <c r="Q513" s="51"/>
      <c r="R513" s="51"/>
      <c r="S513" s="51"/>
      <c r="T513" s="51"/>
    </row>
    <row r="514">
      <c r="A514" s="51"/>
      <c r="B514" s="51"/>
      <c r="C514" s="56"/>
      <c r="D514" s="51"/>
      <c r="E514" s="51"/>
      <c r="F514" s="51"/>
      <c r="G514" s="51" t="str">
        <f>IFERROR(__xludf.DUMMYFUNCTION("""COMPUTED_VALUE"""),"#VALUE!")</f>
        <v>#VALUE!</v>
      </c>
      <c r="H514" s="51" t="str">
        <f>IFERROR(__xludf.DUMMYFUNCTION("""COMPUTED_VALUE"""),"")</f>
        <v/>
      </c>
      <c r="I514" s="51" t="str">
        <f>IFERROR(__xludf.DUMMYFUNCTION("""COMPUTED_VALUE"""),"#VALUE!")</f>
        <v>#VALUE!</v>
      </c>
      <c r="J514" s="51" t="str">
        <f>IFERROR(__xludf.DUMMYFUNCTION("""COMPUTED_VALUE"""),"")</f>
        <v/>
      </c>
      <c r="K514" s="51"/>
      <c r="L514" s="51" t="s">
        <v>257</v>
      </c>
      <c r="M514" s="51"/>
      <c r="N514" s="51"/>
      <c r="O514" s="51"/>
      <c r="P514" s="51"/>
      <c r="Q514" s="51"/>
      <c r="R514" s="51"/>
      <c r="S514" s="51"/>
      <c r="T514" s="51"/>
    </row>
    <row r="515">
      <c r="A515" s="51"/>
      <c r="B515" s="51"/>
      <c r="C515" s="56"/>
      <c r="D515" s="51"/>
      <c r="E515" s="51"/>
      <c r="F515" s="51"/>
      <c r="G515" s="51" t="str">
        <f>IFERROR(__xludf.DUMMYFUNCTION("""COMPUTED_VALUE"""),"#VALUE!")</f>
        <v>#VALUE!</v>
      </c>
      <c r="H515" s="51" t="str">
        <f>IFERROR(__xludf.DUMMYFUNCTION("""COMPUTED_VALUE"""),"")</f>
        <v/>
      </c>
      <c r="I515" s="51" t="str">
        <f>IFERROR(__xludf.DUMMYFUNCTION("""COMPUTED_VALUE"""),"#VALUE!")</f>
        <v>#VALUE!</v>
      </c>
      <c r="J515" s="51" t="str">
        <f>IFERROR(__xludf.DUMMYFUNCTION("""COMPUTED_VALUE"""),"")</f>
        <v/>
      </c>
      <c r="K515" s="51"/>
      <c r="L515" s="51" t="s">
        <v>257</v>
      </c>
      <c r="M515" s="51"/>
      <c r="N515" s="51"/>
      <c r="O515" s="51"/>
      <c r="P515" s="51"/>
      <c r="Q515" s="51"/>
      <c r="R515" s="51"/>
      <c r="S515" s="51"/>
      <c r="T515" s="51"/>
    </row>
    <row r="516">
      <c r="A516" s="51"/>
      <c r="B516" s="51"/>
      <c r="C516" s="56"/>
      <c r="D516" s="51"/>
      <c r="E516" s="51"/>
      <c r="F516" s="51"/>
      <c r="G516" s="51" t="str">
        <f>IFERROR(__xludf.DUMMYFUNCTION("""COMPUTED_VALUE"""),"#VALUE!")</f>
        <v>#VALUE!</v>
      </c>
      <c r="H516" s="51" t="str">
        <f>IFERROR(__xludf.DUMMYFUNCTION("""COMPUTED_VALUE"""),"")</f>
        <v/>
      </c>
      <c r="I516" s="51" t="str">
        <f>IFERROR(__xludf.DUMMYFUNCTION("""COMPUTED_VALUE"""),"#VALUE!")</f>
        <v>#VALUE!</v>
      </c>
      <c r="J516" s="51" t="str">
        <f>IFERROR(__xludf.DUMMYFUNCTION("""COMPUTED_VALUE"""),"")</f>
        <v/>
      </c>
      <c r="K516" s="51"/>
      <c r="L516" s="51" t="s">
        <v>257</v>
      </c>
      <c r="M516" s="51"/>
      <c r="N516" s="51"/>
      <c r="O516" s="51"/>
      <c r="P516" s="51"/>
      <c r="Q516" s="51"/>
      <c r="R516" s="51"/>
      <c r="S516" s="51"/>
      <c r="T516" s="51"/>
    </row>
    <row r="517">
      <c r="A517" s="51"/>
      <c r="B517" s="51"/>
      <c r="C517" s="56"/>
      <c r="D517" s="51"/>
      <c r="E517" s="51"/>
      <c r="F517" s="51"/>
      <c r="G517" s="51" t="str">
        <f>IFERROR(__xludf.DUMMYFUNCTION("""COMPUTED_VALUE"""),"#VALUE!")</f>
        <v>#VALUE!</v>
      </c>
      <c r="H517" s="51" t="str">
        <f>IFERROR(__xludf.DUMMYFUNCTION("""COMPUTED_VALUE"""),"")</f>
        <v/>
      </c>
      <c r="I517" s="51" t="str">
        <f>IFERROR(__xludf.DUMMYFUNCTION("""COMPUTED_VALUE"""),"#VALUE!")</f>
        <v>#VALUE!</v>
      </c>
      <c r="J517" s="51" t="str">
        <f>IFERROR(__xludf.DUMMYFUNCTION("""COMPUTED_VALUE"""),"")</f>
        <v/>
      </c>
      <c r="K517" s="51"/>
      <c r="L517" s="51" t="s">
        <v>257</v>
      </c>
      <c r="M517" s="51"/>
      <c r="N517" s="51"/>
      <c r="O517" s="51"/>
      <c r="P517" s="51"/>
      <c r="Q517" s="51"/>
      <c r="R517" s="51"/>
      <c r="S517" s="51"/>
      <c r="T517" s="51"/>
    </row>
    <row r="518">
      <c r="A518" s="51"/>
      <c r="B518" s="51"/>
      <c r="C518" s="56"/>
      <c r="D518" s="51"/>
      <c r="E518" s="51"/>
      <c r="F518" s="51"/>
      <c r="G518" s="51" t="str">
        <f>IFERROR(__xludf.DUMMYFUNCTION("""COMPUTED_VALUE"""),"#VALUE!")</f>
        <v>#VALUE!</v>
      </c>
      <c r="H518" s="51" t="str">
        <f>IFERROR(__xludf.DUMMYFUNCTION("""COMPUTED_VALUE"""),"")</f>
        <v/>
      </c>
      <c r="I518" s="51" t="str">
        <f>IFERROR(__xludf.DUMMYFUNCTION("""COMPUTED_VALUE"""),"#VALUE!")</f>
        <v>#VALUE!</v>
      </c>
      <c r="J518" s="51" t="str">
        <f>IFERROR(__xludf.DUMMYFUNCTION("""COMPUTED_VALUE"""),"")</f>
        <v/>
      </c>
      <c r="K518" s="51"/>
      <c r="L518" s="51" t="s">
        <v>257</v>
      </c>
      <c r="M518" s="51"/>
      <c r="N518" s="51"/>
      <c r="O518" s="51"/>
      <c r="P518" s="51"/>
      <c r="Q518" s="51"/>
      <c r="R518" s="51"/>
      <c r="S518" s="51"/>
      <c r="T518" s="51"/>
    </row>
    <row r="519">
      <c r="A519" s="51"/>
      <c r="B519" s="51"/>
      <c r="C519" s="56"/>
      <c r="D519" s="51"/>
      <c r="E519" s="51"/>
      <c r="F519" s="51"/>
      <c r="G519" s="51" t="str">
        <f>IFERROR(__xludf.DUMMYFUNCTION("""COMPUTED_VALUE"""),"#VALUE!")</f>
        <v>#VALUE!</v>
      </c>
      <c r="H519" s="51" t="str">
        <f>IFERROR(__xludf.DUMMYFUNCTION("""COMPUTED_VALUE"""),"")</f>
        <v/>
      </c>
      <c r="I519" s="51" t="str">
        <f>IFERROR(__xludf.DUMMYFUNCTION("""COMPUTED_VALUE"""),"#VALUE!")</f>
        <v>#VALUE!</v>
      </c>
      <c r="J519" s="51" t="str">
        <f>IFERROR(__xludf.DUMMYFUNCTION("""COMPUTED_VALUE"""),"")</f>
        <v/>
      </c>
      <c r="K519" s="51"/>
      <c r="L519" s="51" t="s">
        <v>257</v>
      </c>
      <c r="M519" s="51"/>
      <c r="N519" s="51"/>
      <c r="O519" s="51"/>
      <c r="P519" s="51"/>
      <c r="Q519" s="51"/>
      <c r="R519" s="51"/>
      <c r="S519" s="51"/>
      <c r="T519" s="51"/>
    </row>
    <row r="520">
      <c r="A520" s="51"/>
      <c r="B520" s="51"/>
      <c r="C520" s="56"/>
      <c r="D520" s="51"/>
      <c r="E520" s="51"/>
      <c r="F520" s="51"/>
      <c r="G520" s="51" t="str">
        <f>IFERROR(__xludf.DUMMYFUNCTION("""COMPUTED_VALUE"""),"#VALUE!")</f>
        <v>#VALUE!</v>
      </c>
      <c r="H520" s="51" t="str">
        <f>IFERROR(__xludf.DUMMYFUNCTION("""COMPUTED_VALUE"""),"")</f>
        <v/>
      </c>
      <c r="I520" s="51" t="str">
        <f>IFERROR(__xludf.DUMMYFUNCTION("""COMPUTED_VALUE"""),"#VALUE!")</f>
        <v>#VALUE!</v>
      </c>
      <c r="J520" s="51" t="str">
        <f>IFERROR(__xludf.DUMMYFUNCTION("""COMPUTED_VALUE"""),"")</f>
        <v/>
      </c>
      <c r="K520" s="51"/>
      <c r="L520" s="51" t="s">
        <v>257</v>
      </c>
      <c r="M520" s="51"/>
      <c r="N520" s="51"/>
      <c r="O520" s="51"/>
      <c r="P520" s="51"/>
      <c r="Q520" s="51"/>
      <c r="R520" s="51"/>
      <c r="S520" s="51"/>
      <c r="T520" s="51"/>
    </row>
    <row r="521">
      <c r="A521" s="51"/>
      <c r="B521" s="51"/>
      <c r="C521" s="56"/>
      <c r="D521" s="51"/>
      <c r="E521" s="51"/>
      <c r="F521" s="51"/>
      <c r="G521" s="51" t="str">
        <f>IFERROR(__xludf.DUMMYFUNCTION("""COMPUTED_VALUE"""),"#VALUE!")</f>
        <v>#VALUE!</v>
      </c>
      <c r="H521" s="51" t="str">
        <f>IFERROR(__xludf.DUMMYFUNCTION("""COMPUTED_VALUE"""),"")</f>
        <v/>
      </c>
      <c r="I521" s="51" t="str">
        <f>IFERROR(__xludf.DUMMYFUNCTION("""COMPUTED_VALUE"""),"#VALUE!")</f>
        <v>#VALUE!</v>
      </c>
      <c r="J521" s="51" t="str">
        <f>IFERROR(__xludf.DUMMYFUNCTION("""COMPUTED_VALUE"""),"")</f>
        <v/>
      </c>
      <c r="K521" s="51"/>
      <c r="L521" s="51" t="s">
        <v>257</v>
      </c>
      <c r="M521" s="51"/>
      <c r="N521" s="51"/>
      <c r="O521" s="51"/>
      <c r="P521" s="51"/>
      <c r="Q521" s="51"/>
      <c r="R521" s="51"/>
      <c r="S521" s="51"/>
      <c r="T521" s="51"/>
    </row>
    <row r="522">
      <c r="A522" s="51"/>
      <c r="B522" s="51"/>
      <c r="C522" s="56"/>
      <c r="D522" s="51"/>
      <c r="E522" s="51"/>
      <c r="F522" s="51"/>
      <c r="G522" s="51" t="str">
        <f>IFERROR(__xludf.DUMMYFUNCTION("""COMPUTED_VALUE"""),"#VALUE!")</f>
        <v>#VALUE!</v>
      </c>
      <c r="H522" s="51" t="str">
        <f>IFERROR(__xludf.DUMMYFUNCTION("""COMPUTED_VALUE"""),"")</f>
        <v/>
      </c>
      <c r="I522" s="51" t="str">
        <f>IFERROR(__xludf.DUMMYFUNCTION("""COMPUTED_VALUE"""),"#VALUE!")</f>
        <v>#VALUE!</v>
      </c>
      <c r="J522" s="51" t="str">
        <f>IFERROR(__xludf.DUMMYFUNCTION("""COMPUTED_VALUE"""),"")</f>
        <v/>
      </c>
      <c r="K522" s="51"/>
      <c r="L522" s="51" t="s">
        <v>257</v>
      </c>
      <c r="M522" s="51"/>
      <c r="N522" s="51"/>
      <c r="O522" s="51"/>
      <c r="P522" s="51"/>
      <c r="Q522" s="51"/>
      <c r="R522" s="51"/>
      <c r="S522" s="51"/>
      <c r="T522" s="51"/>
    </row>
    <row r="523">
      <c r="A523" s="51"/>
      <c r="B523" s="51"/>
      <c r="C523" s="56"/>
      <c r="D523" s="51"/>
      <c r="E523" s="51"/>
      <c r="F523" s="51"/>
      <c r="G523" s="51" t="str">
        <f>IFERROR(__xludf.DUMMYFUNCTION("""COMPUTED_VALUE"""),"#VALUE!")</f>
        <v>#VALUE!</v>
      </c>
      <c r="H523" s="51" t="str">
        <f>IFERROR(__xludf.DUMMYFUNCTION("""COMPUTED_VALUE"""),"")</f>
        <v/>
      </c>
      <c r="I523" s="51" t="str">
        <f>IFERROR(__xludf.DUMMYFUNCTION("""COMPUTED_VALUE"""),"#VALUE!")</f>
        <v>#VALUE!</v>
      </c>
      <c r="J523" s="51" t="str">
        <f>IFERROR(__xludf.DUMMYFUNCTION("""COMPUTED_VALUE"""),"")</f>
        <v/>
      </c>
      <c r="K523" s="51"/>
      <c r="L523" s="51" t="s">
        <v>257</v>
      </c>
      <c r="M523" s="51"/>
      <c r="N523" s="51"/>
      <c r="O523" s="51"/>
      <c r="P523" s="51"/>
      <c r="Q523" s="51"/>
      <c r="R523" s="51"/>
      <c r="S523" s="51"/>
      <c r="T523" s="51"/>
    </row>
    <row r="524">
      <c r="A524" s="51"/>
      <c r="B524" s="51"/>
      <c r="C524" s="56"/>
      <c r="D524" s="51"/>
      <c r="E524" s="51"/>
      <c r="F524" s="51"/>
      <c r="G524" s="51" t="str">
        <f>IFERROR(__xludf.DUMMYFUNCTION("""COMPUTED_VALUE"""),"#VALUE!")</f>
        <v>#VALUE!</v>
      </c>
      <c r="H524" s="51" t="str">
        <f>IFERROR(__xludf.DUMMYFUNCTION("""COMPUTED_VALUE"""),"")</f>
        <v/>
      </c>
      <c r="I524" s="51" t="str">
        <f>IFERROR(__xludf.DUMMYFUNCTION("""COMPUTED_VALUE"""),"#VALUE!")</f>
        <v>#VALUE!</v>
      </c>
      <c r="J524" s="51" t="str">
        <f>IFERROR(__xludf.DUMMYFUNCTION("""COMPUTED_VALUE"""),"")</f>
        <v/>
      </c>
      <c r="K524" s="51"/>
      <c r="L524" s="51" t="s">
        <v>257</v>
      </c>
      <c r="M524" s="51"/>
      <c r="N524" s="51"/>
      <c r="O524" s="51"/>
      <c r="P524" s="51"/>
      <c r="Q524" s="51"/>
      <c r="R524" s="51"/>
      <c r="S524" s="51"/>
      <c r="T524" s="51"/>
    </row>
    <row r="525">
      <c r="A525" s="51"/>
      <c r="B525" s="51"/>
      <c r="C525" s="56"/>
      <c r="D525" s="51"/>
      <c r="E525" s="51"/>
      <c r="F525" s="51"/>
      <c r="G525" s="51" t="str">
        <f>IFERROR(__xludf.DUMMYFUNCTION("""COMPUTED_VALUE"""),"#VALUE!")</f>
        <v>#VALUE!</v>
      </c>
      <c r="H525" s="51" t="str">
        <f>IFERROR(__xludf.DUMMYFUNCTION("""COMPUTED_VALUE"""),"")</f>
        <v/>
      </c>
      <c r="I525" s="51" t="str">
        <f>IFERROR(__xludf.DUMMYFUNCTION("""COMPUTED_VALUE"""),"#VALUE!")</f>
        <v>#VALUE!</v>
      </c>
      <c r="J525" s="51" t="str">
        <f>IFERROR(__xludf.DUMMYFUNCTION("""COMPUTED_VALUE"""),"")</f>
        <v/>
      </c>
      <c r="K525" s="51"/>
      <c r="L525" s="51" t="s">
        <v>257</v>
      </c>
      <c r="M525" s="51"/>
      <c r="N525" s="51"/>
      <c r="O525" s="51"/>
      <c r="P525" s="51"/>
      <c r="Q525" s="51"/>
      <c r="R525" s="51"/>
      <c r="S525" s="51"/>
      <c r="T525" s="51"/>
    </row>
    <row r="526">
      <c r="A526" s="51"/>
      <c r="B526" s="51"/>
      <c r="C526" s="56"/>
      <c r="D526" s="51"/>
      <c r="E526" s="51"/>
      <c r="F526" s="51"/>
      <c r="G526" s="51" t="str">
        <f>IFERROR(__xludf.DUMMYFUNCTION("""COMPUTED_VALUE"""),"#VALUE!")</f>
        <v>#VALUE!</v>
      </c>
      <c r="H526" s="51" t="str">
        <f>IFERROR(__xludf.DUMMYFUNCTION("""COMPUTED_VALUE"""),"")</f>
        <v/>
      </c>
      <c r="I526" s="51" t="str">
        <f>IFERROR(__xludf.DUMMYFUNCTION("""COMPUTED_VALUE"""),"#VALUE!")</f>
        <v>#VALUE!</v>
      </c>
      <c r="J526" s="51" t="str">
        <f>IFERROR(__xludf.DUMMYFUNCTION("""COMPUTED_VALUE"""),"")</f>
        <v/>
      </c>
      <c r="K526" s="51"/>
      <c r="L526" s="51" t="s">
        <v>257</v>
      </c>
      <c r="M526" s="51"/>
      <c r="N526" s="51"/>
      <c r="O526" s="51"/>
      <c r="P526" s="51"/>
      <c r="Q526" s="51"/>
      <c r="R526" s="51"/>
      <c r="S526" s="51"/>
      <c r="T526" s="51"/>
    </row>
    <row r="527">
      <c r="A527" s="51"/>
      <c r="B527" s="51"/>
      <c r="C527" s="56"/>
      <c r="D527" s="51"/>
      <c r="E527" s="51"/>
      <c r="F527" s="51"/>
      <c r="G527" s="51" t="str">
        <f>IFERROR(__xludf.DUMMYFUNCTION("""COMPUTED_VALUE"""),"#VALUE!")</f>
        <v>#VALUE!</v>
      </c>
      <c r="H527" s="51" t="str">
        <f>IFERROR(__xludf.DUMMYFUNCTION("""COMPUTED_VALUE"""),"")</f>
        <v/>
      </c>
      <c r="I527" s="51" t="str">
        <f>IFERROR(__xludf.DUMMYFUNCTION("""COMPUTED_VALUE"""),"#VALUE!")</f>
        <v>#VALUE!</v>
      </c>
      <c r="J527" s="51" t="str">
        <f>IFERROR(__xludf.DUMMYFUNCTION("""COMPUTED_VALUE"""),"")</f>
        <v/>
      </c>
      <c r="K527" s="51"/>
      <c r="L527" s="51" t="s">
        <v>257</v>
      </c>
      <c r="M527" s="51"/>
      <c r="N527" s="51"/>
      <c r="O527" s="51"/>
      <c r="P527" s="51"/>
      <c r="Q527" s="51"/>
      <c r="R527" s="51"/>
      <c r="S527" s="51"/>
      <c r="T527" s="51"/>
    </row>
    <row r="528">
      <c r="A528" s="51"/>
      <c r="B528" s="51"/>
      <c r="C528" s="56"/>
      <c r="D528" s="51"/>
      <c r="E528" s="51"/>
      <c r="F528" s="51"/>
      <c r="G528" s="51" t="str">
        <f>IFERROR(__xludf.DUMMYFUNCTION("""COMPUTED_VALUE"""),"#VALUE!")</f>
        <v>#VALUE!</v>
      </c>
      <c r="H528" s="51" t="str">
        <f>IFERROR(__xludf.DUMMYFUNCTION("""COMPUTED_VALUE"""),"")</f>
        <v/>
      </c>
      <c r="I528" s="51" t="str">
        <f>IFERROR(__xludf.DUMMYFUNCTION("""COMPUTED_VALUE"""),"#VALUE!")</f>
        <v>#VALUE!</v>
      </c>
      <c r="J528" s="51" t="str">
        <f>IFERROR(__xludf.DUMMYFUNCTION("""COMPUTED_VALUE"""),"")</f>
        <v/>
      </c>
      <c r="K528" s="51"/>
      <c r="L528" s="51" t="s">
        <v>257</v>
      </c>
      <c r="M528" s="51"/>
      <c r="N528" s="51"/>
      <c r="O528" s="51"/>
      <c r="P528" s="51"/>
      <c r="Q528" s="51"/>
      <c r="R528" s="51"/>
      <c r="S528" s="51"/>
      <c r="T528" s="51"/>
    </row>
    <row r="529">
      <c r="A529" s="51"/>
      <c r="B529" s="51"/>
      <c r="C529" s="56"/>
      <c r="D529" s="51"/>
      <c r="E529" s="51"/>
      <c r="F529" s="51"/>
      <c r="G529" s="51" t="str">
        <f>IFERROR(__xludf.DUMMYFUNCTION("""COMPUTED_VALUE"""),"#VALUE!")</f>
        <v>#VALUE!</v>
      </c>
      <c r="H529" s="51" t="str">
        <f>IFERROR(__xludf.DUMMYFUNCTION("""COMPUTED_VALUE"""),"")</f>
        <v/>
      </c>
      <c r="I529" s="51" t="str">
        <f>IFERROR(__xludf.DUMMYFUNCTION("""COMPUTED_VALUE"""),"#VALUE!")</f>
        <v>#VALUE!</v>
      </c>
      <c r="J529" s="51" t="str">
        <f>IFERROR(__xludf.DUMMYFUNCTION("""COMPUTED_VALUE"""),"")</f>
        <v/>
      </c>
      <c r="K529" s="51"/>
      <c r="L529" s="51" t="s">
        <v>257</v>
      </c>
      <c r="M529" s="51"/>
      <c r="N529" s="51"/>
      <c r="O529" s="51"/>
      <c r="P529" s="51"/>
      <c r="Q529" s="51"/>
      <c r="R529" s="51"/>
      <c r="S529" s="51"/>
      <c r="T529" s="51"/>
    </row>
    <row r="530">
      <c r="A530" s="51"/>
      <c r="B530" s="51"/>
      <c r="C530" s="56"/>
      <c r="D530" s="51"/>
      <c r="E530" s="51"/>
      <c r="F530" s="51"/>
      <c r="G530" s="51" t="str">
        <f>IFERROR(__xludf.DUMMYFUNCTION("""COMPUTED_VALUE"""),"#VALUE!")</f>
        <v>#VALUE!</v>
      </c>
      <c r="H530" s="51" t="str">
        <f>IFERROR(__xludf.DUMMYFUNCTION("""COMPUTED_VALUE"""),"")</f>
        <v/>
      </c>
      <c r="I530" s="51" t="str">
        <f>IFERROR(__xludf.DUMMYFUNCTION("""COMPUTED_VALUE"""),"#VALUE!")</f>
        <v>#VALUE!</v>
      </c>
      <c r="J530" s="51" t="str">
        <f>IFERROR(__xludf.DUMMYFUNCTION("""COMPUTED_VALUE"""),"")</f>
        <v/>
      </c>
      <c r="K530" s="51"/>
      <c r="L530" s="51" t="s">
        <v>257</v>
      </c>
      <c r="M530" s="51"/>
      <c r="N530" s="51"/>
      <c r="O530" s="51"/>
      <c r="P530" s="51"/>
      <c r="Q530" s="51"/>
      <c r="R530" s="51"/>
      <c r="S530" s="51"/>
      <c r="T530" s="51"/>
    </row>
    <row r="531">
      <c r="A531" s="51"/>
      <c r="B531" s="51"/>
      <c r="C531" s="56"/>
      <c r="D531" s="51"/>
      <c r="E531" s="51"/>
      <c r="F531" s="51"/>
      <c r="G531" s="51" t="str">
        <f>IFERROR(__xludf.DUMMYFUNCTION("""COMPUTED_VALUE"""),"#VALUE!")</f>
        <v>#VALUE!</v>
      </c>
      <c r="H531" s="51" t="str">
        <f>IFERROR(__xludf.DUMMYFUNCTION("""COMPUTED_VALUE"""),"")</f>
        <v/>
      </c>
      <c r="I531" s="51" t="str">
        <f>IFERROR(__xludf.DUMMYFUNCTION("""COMPUTED_VALUE"""),"#VALUE!")</f>
        <v>#VALUE!</v>
      </c>
      <c r="J531" s="51" t="str">
        <f>IFERROR(__xludf.DUMMYFUNCTION("""COMPUTED_VALUE"""),"")</f>
        <v/>
      </c>
      <c r="K531" s="51"/>
      <c r="L531" s="51" t="s">
        <v>257</v>
      </c>
      <c r="M531" s="51"/>
      <c r="N531" s="51"/>
      <c r="O531" s="51"/>
      <c r="P531" s="51"/>
      <c r="Q531" s="51"/>
      <c r="R531" s="51"/>
      <c r="S531" s="51"/>
      <c r="T531" s="51"/>
    </row>
    <row r="532">
      <c r="A532" s="51"/>
      <c r="B532" s="51"/>
      <c r="C532" s="56"/>
      <c r="D532" s="51"/>
      <c r="E532" s="51"/>
      <c r="F532" s="51"/>
      <c r="G532" s="51" t="str">
        <f>IFERROR(__xludf.DUMMYFUNCTION("""COMPUTED_VALUE"""),"#VALUE!")</f>
        <v>#VALUE!</v>
      </c>
      <c r="H532" s="51" t="str">
        <f>IFERROR(__xludf.DUMMYFUNCTION("""COMPUTED_VALUE"""),"")</f>
        <v/>
      </c>
      <c r="I532" s="51" t="str">
        <f>IFERROR(__xludf.DUMMYFUNCTION("""COMPUTED_VALUE"""),"#VALUE!")</f>
        <v>#VALUE!</v>
      </c>
      <c r="J532" s="51" t="str">
        <f>IFERROR(__xludf.DUMMYFUNCTION("""COMPUTED_VALUE"""),"")</f>
        <v/>
      </c>
      <c r="K532" s="51"/>
      <c r="L532" s="51" t="s">
        <v>257</v>
      </c>
      <c r="M532" s="51"/>
      <c r="N532" s="51"/>
      <c r="O532" s="51"/>
      <c r="P532" s="51"/>
      <c r="Q532" s="51"/>
      <c r="R532" s="51"/>
      <c r="S532" s="51"/>
      <c r="T532" s="51"/>
    </row>
    <row r="533">
      <c r="A533" s="51"/>
      <c r="B533" s="51"/>
      <c r="C533" s="56"/>
      <c r="D533" s="51"/>
      <c r="E533" s="51"/>
      <c r="F533" s="51"/>
      <c r="G533" s="51" t="str">
        <f>IFERROR(__xludf.DUMMYFUNCTION("""COMPUTED_VALUE"""),"#VALUE!")</f>
        <v>#VALUE!</v>
      </c>
      <c r="H533" s="51" t="str">
        <f>IFERROR(__xludf.DUMMYFUNCTION("""COMPUTED_VALUE"""),"")</f>
        <v/>
      </c>
      <c r="I533" s="51" t="str">
        <f>IFERROR(__xludf.DUMMYFUNCTION("""COMPUTED_VALUE"""),"#VALUE!")</f>
        <v>#VALUE!</v>
      </c>
      <c r="J533" s="51" t="str">
        <f>IFERROR(__xludf.DUMMYFUNCTION("""COMPUTED_VALUE"""),"")</f>
        <v/>
      </c>
      <c r="K533" s="51"/>
      <c r="L533" s="51" t="s">
        <v>257</v>
      </c>
      <c r="M533" s="51"/>
      <c r="N533" s="51"/>
      <c r="O533" s="51"/>
      <c r="P533" s="51"/>
      <c r="Q533" s="51"/>
      <c r="R533" s="51"/>
      <c r="S533" s="51"/>
      <c r="T533" s="51"/>
    </row>
    <row r="534">
      <c r="A534" s="51"/>
      <c r="B534" s="51"/>
      <c r="C534" s="56"/>
      <c r="D534" s="51"/>
      <c r="E534" s="51"/>
      <c r="F534" s="51"/>
      <c r="G534" s="51" t="str">
        <f>IFERROR(__xludf.DUMMYFUNCTION("""COMPUTED_VALUE"""),"#VALUE!")</f>
        <v>#VALUE!</v>
      </c>
      <c r="H534" s="51" t="str">
        <f>IFERROR(__xludf.DUMMYFUNCTION("""COMPUTED_VALUE"""),"")</f>
        <v/>
      </c>
      <c r="I534" s="51" t="str">
        <f>IFERROR(__xludf.DUMMYFUNCTION("""COMPUTED_VALUE"""),"#VALUE!")</f>
        <v>#VALUE!</v>
      </c>
      <c r="J534" s="51" t="str">
        <f>IFERROR(__xludf.DUMMYFUNCTION("""COMPUTED_VALUE"""),"")</f>
        <v/>
      </c>
      <c r="K534" s="51"/>
      <c r="L534" s="51" t="s">
        <v>257</v>
      </c>
      <c r="M534" s="51"/>
      <c r="N534" s="51"/>
      <c r="O534" s="51"/>
      <c r="P534" s="51"/>
      <c r="Q534" s="51"/>
      <c r="R534" s="51"/>
      <c r="S534" s="51"/>
      <c r="T534" s="51"/>
    </row>
    <row r="535">
      <c r="A535" s="51"/>
      <c r="B535" s="51"/>
      <c r="C535" s="56"/>
      <c r="D535" s="51"/>
      <c r="E535" s="51"/>
      <c r="F535" s="51"/>
      <c r="G535" s="51" t="str">
        <f>IFERROR(__xludf.DUMMYFUNCTION("""COMPUTED_VALUE"""),"#VALUE!")</f>
        <v>#VALUE!</v>
      </c>
      <c r="H535" s="51" t="str">
        <f>IFERROR(__xludf.DUMMYFUNCTION("""COMPUTED_VALUE"""),"")</f>
        <v/>
      </c>
      <c r="I535" s="51" t="str">
        <f>IFERROR(__xludf.DUMMYFUNCTION("""COMPUTED_VALUE"""),"#VALUE!")</f>
        <v>#VALUE!</v>
      </c>
      <c r="J535" s="51" t="str">
        <f>IFERROR(__xludf.DUMMYFUNCTION("""COMPUTED_VALUE"""),"")</f>
        <v/>
      </c>
      <c r="K535" s="51"/>
      <c r="L535" s="51" t="s">
        <v>257</v>
      </c>
      <c r="M535" s="51"/>
      <c r="N535" s="51"/>
      <c r="O535" s="51"/>
      <c r="P535" s="51"/>
      <c r="Q535" s="51"/>
      <c r="R535" s="51"/>
      <c r="S535" s="51"/>
      <c r="T535" s="51"/>
    </row>
    <row r="536">
      <c r="A536" s="51"/>
      <c r="B536" s="51"/>
      <c r="C536" s="56"/>
      <c r="D536" s="51"/>
      <c r="E536" s="51"/>
      <c r="F536" s="51"/>
      <c r="G536" s="51" t="str">
        <f>IFERROR(__xludf.DUMMYFUNCTION("""COMPUTED_VALUE"""),"#VALUE!")</f>
        <v>#VALUE!</v>
      </c>
      <c r="H536" s="51" t="str">
        <f>IFERROR(__xludf.DUMMYFUNCTION("""COMPUTED_VALUE"""),"")</f>
        <v/>
      </c>
      <c r="I536" s="51" t="str">
        <f>IFERROR(__xludf.DUMMYFUNCTION("""COMPUTED_VALUE"""),"#VALUE!")</f>
        <v>#VALUE!</v>
      </c>
      <c r="J536" s="51" t="str">
        <f>IFERROR(__xludf.DUMMYFUNCTION("""COMPUTED_VALUE"""),"")</f>
        <v/>
      </c>
      <c r="K536" s="51"/>
      <c r="L536" s="51" t="s">
        <v>257</v>
      </c>
      <c r="M536" s="51"/>
      <c r="N536" s="51"/>
      <c r="O536" s="51"/>
      <c r="P536" s="51"/>
      <c r="Q536" s="51"/>
      <c r="R536" s="51"/>
      <c r="S536" s="51"/>
      <c r="T536" s="51"/>
    </row>
    <row r="537">
      <c r="A537" s="51"/>
      <c r="B537" s="51"/>
      <c r="C537" s="56"/>
      <c r="D537" s="51"/>
      <c r="E537" s="51"/>
      <c r="F537" s="51"/>
      <c r="G537" s="51" t="str">
        <f>IFERROR(__xludf.DUMMYFUNCTION("""COMPUTED_VALUE"""),"#VALUE!")</f>
        <v>#VALUE!</v>
      </c>
      <c r="H537" s="51" t="str">
        <f>IFERROR(__xludf.DUMMYFUNCTION("""COMPUTED_VALUE"""),"")</f>
        <v/>
      </c>
      <c r="I537" s="51" t="str">
        <f>IFERROR(__xludf.DUMMYFUNCTION("""COMPUTED_VALUE"""),"#VALUE!")</f>
        <v>#VALUE!</v>
      </c>
      <c r="J537" s="51" t="str">
        <f>IFERROR(__xludf.DUMMYFUNCTION("""COMPUTED_VALUE"""),"")</f>
        <v/>
      </c>
      <c r="K537" s="51"/>
      <c r="L537" s="51" t="s">
        <v>257</v>
      </c>
      <c r="M537" s="51"/>
      <c r="N537" s="51"/>
      <c r="O537" s="51"/>
      <c r="P537" s="51"/>
      <c r="Q537" s="51"/>
      <c r="R537" s="51"/>
      <c r="S537" s="51"/>
      <c r="T537" s="51"/>
    </row>
    <row r="538">
      <c r="A538" s="51"/>
      <c r="B538" s="51"/>
      <c r="C538" s="56"/>
      <c r="D538" s="51"/>
      <c r="E538" s="51"/>
      <c r="F538" s="51"/>
      <c r="G538" s="51" t="str">
        <f>IFERROR(__xludf.DUMMYFUNCTION("""COMPUTED_VALUE"""),"#VALUE!")</f>
        <v>#VALUE!</v>
      </c>
      <c r="H538" s="51" t="str">
        <f>IFERROR(__xludf.DUMMYFUNCTION("""COMPUTED_VALUE"""),"")</f>
        <v/>
      </c>
      <c r="I538" s="51" t="str">
        <f>IFERROR(__xludf.DUMMYFUNCTION("""COMPUTED_VALUE"""),"#VALUE!")</f>
        <v>#VALUE!</v>
      </c>
      <c r="J538" s="51" t="str">
        <f>IFERROR(__xludf.DUMMYFUNCTION("""COMPUTED_VALUE"""),"")</f>
        <v/>
      </c>
      <c r="K538" s="51"/>
      <c r="L538" s="51" t="s">
        <v>257</v>
      </c>
      <c r="M538" s="51"/>
      <c r="N538" s="51"/>
      <c r="O538" s="51"/>
      <c r="P538" s="51"/>
      <c r="Q538" s="51"/>
      <c r="R538" s="51"/>
      <c r="S538" s="51"/>
      <c r="T538" s="51"/>
    </row>
    <row r="539">
      <c r="A539" s="51"/>
      <c r="B539" s="51"/>
      <c r="C539" s="56"/>
      <c r="D539" s="51"/>
      <c r="E539" s="51"/>
      <c r="F539" s="51"/>
      <c r="G539" s="51" t="str">
        <f>IFERROR(__xludf.DUMMYFUNCTION("""COMPUTED_VALUE"""),"#VALUE!")</f>
        <v>#VALUE!</v>
      </c>
      <c r="H539" s="51" t="str">
        <f>IFERROR(__xludf.DUMMYFUNCTION("""COMPUTED_VALUE"""),"")</f>
        <v/>
      </c>
      <c r="I539" s="51" t="str">
        <f>IFERROR(__xludf.DUMMYFUNCTION("""COMPUTED_VALUE"""),"#VALUE!")</f>
        <v>#VALUE!</v>
      </c>
      <c r="J539" s="51" t="str">
        <f>IFERROR(__xludf.DUMMYFUNCTION("""COMPUTED_VALUE"""),"")</f>
        <v/>
      </c>
      <c r="K539" s="51"/>
      <c r="L539" s="51" t="s">
        <v>257</v>
      </c>
      <c r="M539" s="51"/>
      <c r="N539" s="51"/>
      <c r="O539" s="51"/>
      <c r="P539" s="51"/>
      <c r="Q539" s="51"/>
      <c r="R539" s="51"/>
      <c r="S539" s="51"/>
      <c r="T539" s="51"/>
    </row>
    <row r="540">
      <c r="A540" s="51"/>
      <c r="B540" s="51"/>
      <c r="C540" s="56"/>
      <c r="D540" s="51"/>
      <c r="E540" s="51"/>
      <c r="F540" s="51"/>
      <c r="G540" s="51" t="str">
        <f>IFERROR(__xludf.DUMMYFUNCTION("""COMPUTED_VALUE"""),"#VALUE!")</f>
        <v>#VALUE!</v>
      </c>
      <c r="H540" s="51" t="str">
        <f>IFERROR(__xludf.DUMMYFUNCTION("""COMPUTED_VALUE"""),"")</f>
        <v/>
      </c>
      <c r="I540" s="51" t="str">
        <f>IFERROR(__xludf.DUMMYFUNCTION("""COMPUTED_VALUE"""),"#VALUE!")</f>
        <v>#VALUE!</v>
      </c>
      <c r="J540" s="51" t="str">
        <f>IFERROR(__xludf.DUMMYFUNCTION("""COMPUTED_VALUE"""),"")</f>
        <v/>
      </c>
      <c r="K540" s="51"/>
      <c r="L540" s="51" t="s">
        <v>257</v>
      </c>
      <c r="M540" s="51"/>
      <c r="N540" s="51"/>
      <c r="O540" s="51"/>
      <c r="P540" s="51"/>
      <c r="Q540" s="51"/>
      <c r="R540" s="51"/>
      <c r="S540" s="51"/>
      <c r="T540" s="51"/>
    </row>
    <row r="541">
      <c r="A541" s="51"/>
      <c r="B541" s="51"/>
      <c r="C541" s="56"/>
      <c r="D541" s="51"/>
      <c r="E541" s="51"/>
      <c r="F541" s="51"/>
      <c r="G541" s="51" t="str">
        <f>IFERROR(__xludf.DUMMYFUNCTION("""COMPUTED_VALUE"""),"#VALUE!")</f>
        <v>#VALUE!</v>
      </c>
      <c r="H541" s="51" t="str">
        <f>IFERROR(__xludf.DUMMYFUNCTION("""COMPUTED_VALUE"""),"")</f>
        <v/>
      </c>
      <c r="I541" s="51" t="str">
        <f>IFERROR(__xludf.DUMMYFUNCTION("""COMPUTED_VALUE"""),"#VALUE!")</f>
        <v>#VALUE!</v>
      </c>
      <c r="J541" s="51" t="str">
        <f>IFERROR(__xludf.DUMMYFUNCTION("""COMPUTED_VALUE"""),"")</f>
        <v/>
      </c>
      <c r="K541" s="51"/>
      <c r="L541" s="51" t="s">
        <v>257</v>
      </c>
      <c r="M541" s="51"/>
      <c r="N541" s="51"/>
      <c r="O541" s="51"/>
      <c r="P541" s="51"/>
      <c r="Q541" s="51"/>
      <c r="R541" s="51"/>
      <c r="S541" s="51"/>
      <c r="T541" s="51"/>
    </row>
    <row r="542">
      <c r="A542" s="51"/>
      <c r="B542" s="51"/>
      <c r="C542" s="56"/>
      <c r="D542" s="51"/>
      <c r="E542" s="51"/>
      <c r="F542" s="51"/>
      <c r="G542" s="51" t="str">
        <f>IFERROR(__xludf.DUMMYFUNCTION("""COMPUTED_VALUE"""),"#VALUE!")</f>
        <v>#VALUE!</v>
      </c>
      <c r="H542" s="51" t="str">
        <f>IFERROR(__xludf.DUMMYFUNCTION("""COMPUTED_VALUE"""),"")</f>
        <v/>
      </c>
      <c r="I542" s="51" t="str">
        <f>IFERROR(__xludf.DUMMYFUNCTION("""COMPUTED_VALUE"""),"#VALUE!")</f>
        <v>#VALUE!</v>
      </c>
      <c r="J542" s="51" t="str">
        <f>IFERROR(__xludf.DUMMYFUNCTION("""COMPUTED_VALUE"""),"")</f>
        <v/>
      </c>
      <c r="K542" s="51"/>
      <c r="L542" s="51" t="s">
        <v>257</v>
      </c>
      <c r="M542" s="51"/>
      <c r="N542" s="51"/>
      <c r="O542" s="51"/>
      <c r="P542" s="51"/>
      <c r="Q542" s="51"/>
      <c r="R542" s="51"/>
      <c r="S542" s="51"/>
      <c r="T542" s="51"/>
    </row>
    <row r="543">
      <c r="A543" s="51"/>
      <c r="B543" s="51"/>
      <c r="C543" s="56"/>
      <c r="D543" s="51"/>
      <c r="E543" s="51"/>
      <c r="F543" s="51"/>
      <c r="G543" s="51" t="str">
        <f>IFERROR(__xludf.DUMMYFUNCTION("""COMPUTED_VALUE"""),"#VALUE!")</f>
        <v>#VALUE!</v>
      </c>
      <c r="H543" s="51" t="str">
        <f>IFERROR(__xludf.DUMMYFUNCTION("""COMPUTED_VALUE"""),"")</f>
        <v/>
      </c>
      <c r="I543" s="51" t="str">
        <f>IFERROR(__xludf.DUMMYFUNCTION("""COMPUTED_VALUE"""),"#VALUE!")</f>
        <v>#VALUE!</v>
      </c>
      <c r="J543" s="51" t="str">
        <f>IFERROR(__xludf.DUMMYFUNCTION("""COMPUTED_VALUE"""),"")</f>
        <v/>
      </c>
      <c r="K543" s="51"/>
      <c r="L543" s="51" t="s">
        <v>257</v>
      </c>
      <c r="M543" s="51"/>
      <c r="N543" s="51"/>
      <c r="O543" s="51"/>
      <c r="P543" s="51"/>
      <c r="Q543" s="51"/>
      <c r="R543" s="51"/>
      <c r="S543" s="51"/>
      <c r="T543" s="51"/>
    </row>
    <row r="544">
      <c r="A544" s="51"/>
      <c r="B544" s="51"/>
      <c r="C544" s="56"/>
      <c r="D544" s="51"/>
      <c r="E544" s="51"/>
      <c r="F544" s="51"/>
      <c r="G544" s="51" t="str">
        <f>IFERROR(__xludf.DUMMYFUNCTION("""COMPUTED_VALUE"""),"#VALUE!")</f>
        <v>#VALUE!</v>
      </c>
      <c r="H544" s="51" t="str">
        <f>IFERROR(__xludf.DUMMYFUNCTION("""COMPUTED_VALUE"""),"")</f>
        <v/>
      </c>
      <c r="I544" s="51" t="str">
        <f>IFERROR(__xludf.DUMMYFUNCTION("""COMPUTED_VALUE"""),"#VALUE!")</f>
        <v>#VALUE!</v>
      </c>
      <c r="J544" s="51" t="str">
        <f>IFERROR(__xludf.DUMMYFUNCTION("""COMPUTED_VALUE"""),"")</f>
        <v/>
      </c>
      <c r="K544" s="51"/>
      <c r="L544" s="51" t="s">
        <v>257</v>
      </c>
      <c r="M544" s="51"/>
      <c r="N544" s="51"/>
      <c r="O544" s="51"/>
      <c r="P544" s="51"/>
      <c r="Q544" s="51"/>
      <c r="R544" s="51"/>
      <c r="S544" s="51"/>
      <c r="T544" s="51"/>
    </row>
    <row r="545">
      <c r="A545" s="51"/>
      <c r="B545" s="51"/>
      <c r="C545" s="56"/>
      <c r="D545" s="51"/>
      <c r="E545" s="51"/>
      <c r="F545" s="51"/>
      <c r="G545" s="51" t="str">
        <f>IFERROR(__xludf.DUMMYFUNCTION("""COMPUTED_VALUE"""),"#VALUE!")</f>
        <v>#VALUE!</v>
      </c>
      <c r="H545" s="51" t="str">
        <f>IFERROR(__xludf.DUMMYFUNCTION("""COMPUTED_VALUE"""),"")</f>
        <v/>
      </c>
      <c r="I545" s="51" t="str">
        <f>IFERROR(__xludf.DUMMYFUNCTION("""COMPUTED_VALUE"""),"#VALUE!")</f>
        <v>#VALUE!</v>
      </c>
      <c r="J545" s="51" t="str">
        <f>IFERROR(__xludf.DUMMYFUNCTION("""COMPUTED_VALUE"""),"")</f>
        <v/>
      </c>
      <c r="K545" s="51"/>
      <c r="L545" s="51" t="s">
        <v>257</v>
      </c>
      <c r="M545" s="51"/>
      <c r="N545" s="51"/>
      <c r="O545" s="51"/>
      <c r="P545" s="51"/>
      <c r="Q545" s="51"/>
      <c r="R545" s="51"/>
      <c r="S545" s="51"/>
      <c r="T545" s="51"/>
    </row>
    <row r="546">
      <c r="A546" s="51"/>
      <c r="B546" s="51"/>
      <c r="C546" s="56"/>
      <c r="D546" s="51"/>
      <c r="E546" s="51"/>
      <c r="F546" s="51"/>
      <c r="G546" s="51" t="str">
        <f>IFERROR(__xludf.DUMMYFUNCTION("""COMPUTED_VALUE"""),"#VALUE!")</f>
        <v>#VALUE!</v>
      </c>
      <c r="H546" s="51" t="str">
        <f>IFERROR(__xludf.DUMMYFUNCTION("""COMPUTED_VALUE"""),"")</f>
        <v/>
      </c>
      <c r="I546" s="51" t="str">
        <f>IFERROR(__xludf.DUMMYFUNCTION("""COMPUTED_VALUE"""),"#VALUE!")</f>
        <v>#VALUE!</v>
      </c>
      <c r="J546" s="51" t="str">
        <f>IFERROR(__xludf.DUMMYFUNCTION("""COMPUTED_VALUE"""),"")</f>
        <v/>
      </c>
      <c r="K546" s="51"/>
      <c r="L546" s="51" t="s">
        <v>257</v>
      </c>
      <c r="M546" s="51"/>
      <c r="N546" s="51"/>
      <c r="O546" s="51"/>
      <c r="P546" s="51"/>
      <c r="Q546" s="51"/>
      <c r="R546" s="51"/>
      <c r="S546" s="51"/>
      <c r="T546" s="51"/>
    </row>
    <row r="547">
      <c r="A547" s="51"/>
      <c r="B547" s="51"/>
      <c r="C547" s="56"/>
      <c r="D547" s="51"/>
      <c r="E547" s="51"/>
      <c r="F547" s="51"/>
      <c r="G547" s="51" t="str">
        <f>IFERROR(__xludf.DUMMYFUNCTION("""COMPUTED_VALUE"""),"#VALUE!")</f>
        <v>#VALUE!</v>
      </c>
      <c r="H547" s="51" t="str">
        <f>IFERROR(__xludf.DUMMYFUNCTION("""COMPUTED_VALUE"""),"")</f>
        <v/>
      </c>
      <c r="I547" s="51" t="str">
        <f>IFERROR(__xludf.DUMMYFUNCTION("""COMPUTED_VALUE"""),"#VALUE!")</f>
        <v>#VALUE!</v>
      </c>
      <c r="J547" s="51" t="str">
        <f>IFERROR(__xludf.DUMMYFUNCTION("""COMPUTED_VALUE"""),"")</f>
        <v/>
      </c>
      <c r="K547" s="51"/>
      <c r="L547" s="51" t="s">
        <v>257</v>
      </c>
      <c r="M547" s="51"/>
      <c r="N547" s="51"/>
      <c r="O547" s="51"/>
      <c r="P547" s="51"/>
      <c r="Q547" s="51"/>
      <c r="R547" s="51"/>
      <c r="S547" s="51"/>
      <c r="T547" s="51"/>
    </row>
    <row r="548">
      <c r="A548" s="51"/>
      <c r="B548" s="51"/>
      <c r="C548" s="56"/>
      <c r="D548" s="51"/>
      <c r="E548" s="51"/>
      <c r="F548" s="51"/>
      <c r="G548" s="51" t="str">
        <f>IFERROR(__xludf.DUMMYFUNCTION("""COMPUTED_VALUE"""),"#VALUE!")</f>
        <v>#VALUE!</v>
      </c>
      <c r="H548" s="51" t="str">
        <f>IFERROR(__xludf.DUMMYFUNCTION("""COMPUTED_VALUE"""),"")</f>
        <v/>
      </c>
      <c r="I548" s="51" t="str">
        <f>IFERROR(__xludf.DUMMYFUNCTION("""COMPUTED_VALUE"""),"#VALUE!")</f>
        <v>#VALUE!</v>
      </c>
      <c r="J548" s="51" t="str">
        <f>IFERROR(__xludf.DUMMYFUNCTION("""COMPUTED_VALUE"""),"")</f>
        <v/>
      </c>
      <c r="K548" s="51"/>
      <c r="L548" s="51" t="s">
        <v>257</v>
      </c>
      <c r="M548" s="51"/>
      <c r="N548" s="51"/>
      <c r="O548" s="51"/>
      <c r="P548" s="51"/>
      <c r="Q548" s="51"/>
      <c r="R548" s="51"/>
      <c r="S548" s="51"/>
      <c r="T548" s="51"/>
    </row>
    <row r="549">
      <c r="A549" s="51"/>
      <c r="B549" s="51"/>
      <c r="C549" s="56"/>
      <c r="D549" s="51"/>
      <c r="E549" s="51"/>
      <c r="F549" s="51"/>
      <c r="G549" s="51" t="str">
        <f>IFERROR(__xludf.DUMMYFUNCTION("""COMPUTED_VALUE"""),"#VALUE!")</f>
        <v>#VALUE!</v>
      </c>
      <c r="H549" s="51" t="str">
        <f>IFERROR(__xludf.DUMMYFUNCTION("""COMPUTED_VALUE"""),"")</f>
        <v/>
      </c>
      <c r="I549" s="51" t="str">
        <f>IFERROR(__xludf.DUMMYFUNCTION("""COMPUTED_VALUE"""),"#VALUE!")</f>
        <v>#VALUE!</v>
      </c>
      <c r="J549" s="51" t="str">
        <f>IFERROR(__xludf.DUMMYFUNCTION("""COMPUTED_VALUE"""),"")</f>
        <v/>
      </c>
      <c r="K549" s="51"/>
      <c r="L549" s="51" t="s">
        <v>257</v>
      </c>
      <c r="M549" s="51"/>
      <c r="N549" s="51"/>
      <c r="O549" s="51"/>
      <c r="P549" s="51"/>
      <c r="Q549" s="51"/>
      <c r="R549" s="51"/>
      <c r="S549" s="51"/>
      <c r="T549" s="51"/>
    </row>
    <row r="550">
      <c r="A550" s="51"/>
      <c r="B550" s="51"/>
      <c r="C550" s="56"/>
      <c r="D550" s="51"/>
      <c r="E550" s="51"/>
      <c r="F550" s="51"/>
      <c r="G550" s="51" t="str">
        <f>IFERROR(__xludf.DUMMYFUNCTION("""COMPUTED_VALUE"""),"#VALUE!")</f>
        <v>#VALUE!</v>
      </c>
      <c r="H550" s="51" t="str">
        <f>IFERROR(__xludf.DUMMYFUNCTION("""COMPUTED_VALUE"""),"")</f>
        <v/>
      </c>
      <c r="I550" s="51" t="str">
        <f>IFERROR(__xludf.DUMMYFUNCTION("""COMPUTED_VALUE"""),"#VALUE!")</f>
        <v>#VALUE!</v>
      </c>
      <c r="J550" s="51" t="str">
        <f>IFERROR(__xludf.DUMMYFUNCTION("""COMPUTED_VALUE"""),"")</f>
        <v/>
      </c>
      <c r="K550" s="51"/>
      <c r="L550" s="51" t="s">
        <v>257</v>
      </c>
      <c r="M550" s="51"/>
      <c r="N550" s="51"/>
      <c r="O550" s="51"/>
      <c r="P550" s="51"/>
      <c r="Q550" s="51"/>
      <c r="R550" s="51"/>
      <c r="S550" s="51"/>
      <c r="T550" s="51"/>
    </row>
    <row r="551">
      <c r="A551" s="51"/>
      <c r="B551" s="51"/>
      <c r="C551" s="56"/>
      <c r="D551" s="51"/>
      <c r="E551" s="51"/>
      <c r="F551" s="51"/>
      <c r="G551" s="51" t="str">
        <f>IFERROR(__xludf.DUMMYFUNCTION("""COMPUTED_VALUE"""),"#VALUE!")</f>
        <v>#VALUE!</v>
      </c>
      <c r="H551" s="51" t="str">
        <f>IFERROR(__xludf.DUMMYFUNCTION("""COMPUTED_VALUE"""),"")</f>
        <v/>
      </c>
      <c r="I551" s="51" t="str">
        <f>IFERROR(__xludf.DUMMYFUNCTION("""COMPUTED_VALUE"""),"#VALUE!")</f>
        <v>#VALUE!</v>
      </c>
      <c r="J551" s="51" t="str">
        <f>IFERROR(__xludf.DUMMYFUNCTION("""COMPUTED_VALUE"""),"")</f>
        <v/>
      </c>
      <c r="K551" s="51"/>
      <c r="L551" s="51" t="s">
        <v>257</v>
      </c>
      <c r="M551" s="51"/>
      <c r="N551" s="51"/>
      <c r="O551" s="51"/>
      <c r="P551" s="51"/>
      <c r="Q551" s="51"/>
      <c r="R551" s="51"/>
      <c r="S551" s="51"/>
      <c r="T551" s="51"/>
    </row>
    <row r="552">
      <c r="A552" s="51"/>
      <c r="B552" s="51"/>
      <c r="C552" s="56"/>
      <c r="D552" s="51"/>
      <c r="E552" s="51"/>
      <c r="F552" s="51"/>
      <c r="G552" s="51" t="str">
        <f>IFERROR(__xludf.DUMMYFUNCTION("""COMPUTED_VALUE"""),"#VALUE!")</f>
        <v>#VALUE!</v>
      </c>
      <c r="H552" s="51" t="str">
        <f>IFERROR(__xludf.DUMMYFUNCTION("""COMPUTED_VALUE"""),"")</f>
        <v/>
      </c>
      <c r="I552" s="51" t="str">
        <f>IFERROR(__xludf.DUMMYFUNCTION("""COMPUTED_VALUE"""),"#VALUE!")</f>
        <v>#VALUE!</v>
      </c>
      <c r="J552" s="51" t="str">
        <f>IFERROR(__xludf.DUMMYFUNCTION("""COMPUTED_VALUE"""),"")</f>
        <v/>
      </c>
      <c r="K552" s="51"/>
      <c r="L552" s="51" t="s">
        <v>257</v>
      </c>
      <c r="M552" s="51"/>
      <c r="N552" s="51"/>
      <c r="O552" s="51"/>
      <c r="P552" s="51"/>
      <c r="Q552" s="51"/>
      <c r="R552" s="51"/>
      <c r="S552" s="51"/>
      <c r="T552" s="51"/>
    </row>
    <row r="553">
      <c r="A553" s="51"/>
      <c r="B553" s="51"/>
      <c r="C553" s="56"/>
      <c r="D553" s="51"/>
      <c r="E553" s="51"/>
      <c r="F553" s="51"/>
      <c r="G553" s="51" t="str">
        <f>IFERROR(__xludf.DUMMYFUNCTION("""COMPUTED_VALUE"""),"#VALUE!")</f>
        <v>#VALUE!</v>
      </c>
      <c r="H553" s="51" t="str">
        <f>IFERROR(__xludf.DUMMYFUNCTION("""COMPUTED_VALUE"""),"")</f>
        <v/>
      </c>
      <c r="I553" s="51" t="str">
        <f>IFERROR(__xludf.DUMMYFUNCTION("""COMPUTED_VALUE"""),"#VALUE!")</f>
        <v>#VALUE!</v>
      </c>
      <c r="J553" s="51" t="str">
        <f>IFERROR(__xludf.DUMMYFUNCTION("""COMPUTED_VALUE"""),"")</f>
        <v/>
      </c>
      <c r="K553" s="51"/>
      <c r="L553" s="51" t="s">
        <v>257</v>
      </c>
      <c r="M553" s="51"/>
      <c r="N553" s="51"/>
      <c r="O553" s="51"/>
      <c r="P553" s="51"/>
      <c r="Q553" s="51"/>
      <c r="R553" s="51"/>
      <c r="S553" s="51"/>
      <c r="T553" s="51"/>
    </row>
    <row r="554">
      <c r="A554" s="51"/>
      <c r="B554" s="51"/>
      <c r="C554" s="56"/>
      <c r="D554" s="51"/>
      <c r="E554" s="51"/>
      <c r="F554" s="51"/>
      <c r="G554" s="51" t="str">
        <f>IFERROR(__xludf.DUMMYFUNCTION("""COMPUTED_VALUE"""),"#VALUE!")</f>
        <v>#VALUE!</v>
      </c>
      <c r="H554" s="51" t="str">
        <f>IFERROR(__xludf.DUMMYFUNCTION("""COMPUTED_VALUE"""),"")</f>
        <v/>
      </c>
      <c r="I554" s="51" t="str">
        <f>IFERROR(__xludf.DUMMYFUNCTION("""COMPUTED_VALUE"""),"#VALUE!")</f>
        <v>#VALUE!</v>
      </c>
      <c r="J554" s="51" t="str">
        <f>IFERROR(__xludf.DUMMYFUNCTION("""COMPUTED_VALUE"""),"")</f>
        <v/>
      </c>
      <c r="K554" s="51"/>
      <c r="L554" s="51" t="s">
        <v>257</v>
      </c>
      <c r="M554" s="51"/>
      <c r="N554" s="51"/>
      <c r="O554" s="51"/>
      <c r="P554" s="51"/>
      <c r="Q554" s="51"/>
      <c r="R554" s="51"/>
      <c r="S554" s="51"/>
      <c r="T554" s="51"/>
    </row>
    <row r="555">
      <c r="A555" s="51"/>
      <c r="B555" s="51"/>
      <c r="C555" s="56"/>
      <c r="D555" s="51"/>
      <c r="E555" s="51"/>
      <c r="F555" s="51"/>
      <c r="G555" s="51" t="str">
        <f>IFERROR(__xludf.DUMMYFUNCTION("""COMPUTED_VALUE"""),"#VALUE!")</f>
        <v>#VALUE!</v>
      </c>
      <c r="H555" s="51" t="str">
        <f>IFERROR(__xludf.DUMMYFUNCTION("""COMPUTED_VALUE"""),"")</f>
        <v/>
      </c>
      <c r="I555" s="51" t="str">
        <f>IFERROR(__xludf.DUMMYFUNCTION("""COMPUTED_VALUE"""),"#VALUE!")</f>
        <v>#VALUE!</v>
      </c>
      <c r="J555" s="51" t="str">
        <f>IFERROR(__xludf.DUMMYFUNCTION("""COMPUTED_VALUE"""),"")</f>
        <v/>
      </c>
      <c r="K555" s="51"/>
      <c r="L555" s="51" t="s">
        <v>257</v>
      </c>
      <c r="M555" s="51"/>
      <c r="N555" s="51"/>
      <c r="O555" s="51"/>
      <c r="P555" s="51"/>
      <c r="Q555" s="51"/>
      <c r="R555" s="51"/>
      <c r="S555" s="51"/>
      <c r="T555" s="51"/>
    </row>
    <row r="556">
      <c r="A556" s="51"/>
      <c r="B556" s="51"/>
      <c r="C556" s="56"/>
      <c r="D556" s="51"/>
      <c r="E556" s="51"/>
      <c r="F556" s="51"/>
      <c r="G556" s="51" t="str">
        <f>IFERROR(__xludf.DUMMYFUNCTION("""COMPUTED_VALUE"""),"#VALUE!")</f>
        <v>#VALUE!</v>
      </c>
      <c r="H556" s="51" t="str">
        <f>IFERROR(__xludf.DUMMYFUNCTION("""COMPUTED_VALUE"""),"")</f>
        <v/>
      </c>
      <c r="I556" s="51" t="str">
        <f>IFERROR(__xludf.DUMMYFUNCTION("""COMPUTED_VALUE"""),"#VALUE!")</f>
        <v>#VALUE!</v>
      </c>
      <c r="J556" s="51" t="str">
        <f>IFERROR(__xludf.DUMMYFUNCTION("""COMPUTED_VALUE"""),"")</f>
        <v/>
      </c>
      <c r="K556" s="51"/>
      <c r="L556" s="51" t="s">
        <v>257</v>
      </c>
      <c r="M556" s="51"/>
      <c r="N556" s="51"/>
      <c r="O556" s="51"/>
      <c r="P556" s="51"/>
      <c r="Q556" s="51"/>
      <c r="R556" s="51"/>
      <c r="S556" s="51"/>
      <c r="T556" s="51"/>
    </row>
    <row r="557">
      <c r="A557" s="51"/>
      <c r="B557" s="51"/>
      <c r="C557" s="56"/>
      <c r="D557" s="51"/>
      <c r="E557" s="51"/>
      <c r="F557" s="51"/>
      <c r="G557" s="51" t="str">
        <f>IFERROR(__xludf.DUMMYFUNCTION("""COMPUTED_VALUE"""),"#VALUE!")</f>
        <v>#VALUE!</v>
      </c>
      <c r="H557" s="51" t="str">
        <f>IFERROR(__xludf.DUMMYFUNCTION("""COMPUTED_VALUE"""),"")</f>
        <v/>
      </c>
      <c r="I557" s="51" t="str">
        <f>IFERROR(__xludf.DUMMYFUNCTION("""COMPUTED_VALUE"""),"#VALUE!")</f>
        <v>#VALUE!</v>
      </c>
      <c r="J557" s="51" t="str">
        <f>IFERROR(__xludf.DUMMYFUNCTION("""COMPUTED_VALUE"""),"")</f>
        <v/>
      </c>
      <c r="K557" s="51"/>
      <c r="L557" s="51" t="s">
        <v>257</v>
      </c>
      <c r="M557" s="51"/>
      <c r="N557" s="51"/>
      <c r="O557" s="51"/>
      <c r="P557" s="51"/>
      <c r="Q557" s="51"/>
      <c r="R557" s="51"/>
      <c r="S557" s="51"/>
      <c r="T557" s="51"/>
    </row>
    <row r="558">
      <c r="A558" s="51"/>
      <c r="B558" s="51"/>
      <c r="C558" s="56"/>
      <c r="D558" s="51"/>
      <c r="E558" s="51"/>
      <c r="F558" s="51"/>
      <c r="G558" s="51" t="str">
        <f>IFERROR(__xludf.DUMMYFUNCTION("""COMPUTED_VALUE"""),"#VALUE!")</f>
        <v>#VALUE!</v>
      </c>
      <c r="H558" s="51" t="str">
        <f>IFERROR(__xludf.DUMMYFUNCTION("""COMPUTED_VALUE"""),"")</f>
        <v/>
      </c>
      <c r="I558" s="51" t="str">
        <f>IFERROR(__xludf.DUMMYFUNCTION("""COMPUTED_VALUE"""),"#VALUE!")</f>
        <v>#VALUE!</v>
      </c>
      <c r="J558" s="51" t="str">
        <f>IFERROR(__xludf.DUMMYFUNCTION("""COMPUTED_VALUE"""),"")</f>
        <v/>
      </c>
      <c r="K558" s="51"/>
      <c r="L558" s="51" t="s">
        <v>257</v>
      </c>
      <c r="M558" s="51"/>
      <c r="N558" s="51"/>
      <c r="O558" s="51"/>
      <c r="P558" s="51"/>
      <c r="Q558" s="51"/>
      <c r="R558" s="51"/>
      <c r="S558" s="51"/>
      <c r="T558" s="51"/>
    </row>
    <row r="559">
      <c r="A559" s="51"/>
      <c r="B559" s="51"/>
      <c r="C559" s="56"/>
      <c r="D559" s="51"/>
      <c r="E559" s="51"/>
      <c r="F559" s="51"/>
      <c r="G559" s="51" t="str">
        <f>IFERROR(__xludf.DUMMYFUNCTION("""COMPUTED_VALUE"""),"#VALUE!")</f>
        <v>#VALUE!</v>
      </c>
      <c r="H559" s="51" t="str">
        <f>IFERROR(__xludf.DUMMYFUNCTION("""COMPUTED_VALUE"""),"")</f>
        <v/>
      </c>
      <c r="I559" s="51" t="str">
        <f>IFERROR(__xludf.DUMMYFUNCTION("""COMPUTED_VALUE"""),"#VALUE!")</f>
        <v>#VALUE!</v>
      </c>
      <c r="J559" s="51" t="str">
        <f>IFERROR(__xludf.DUMMYFUNCTION("""COMPUTED_VALUE"""),"")</f>
        <v/>
      </c>
      <c r="K559" s="51"/>
      <c r="L559" s="51" t="s">
        <v>257</v>
      </c>
      <c r="M559" s="51"/>
      <c r="N559" s="51"/>
      <c r="O559" s="51"/>
      <c r="P559" s="51"/>
      <c r="Q559" s="51"/>
      <c r="R559" s="51"/>
      <c r="S559" s="51"/>
      <c r="T559" s="51"/>
    </row>
    <row r="560">
      <c r="A560" s="51"/>
      <c r="B560" s="51"/>
      <c r="C560" s="56"/>
      <c r="D560" s="51"/>
      <c r="E560" s="51"/>
      <c r="F560" s="51"/>
      <c r="G560" s="51" t="str">
        <f>IFERROR(__xludf.DUMMYFUNCTION("""COMPUTED_VALUE"""),"#VALUE!")</f>
        <v>#VALUE!</v>
      </c>
      <c r="H560" s="51" t="str">
        <f>IFERROR(__xludf.DUMMYFUNCTION("""COMPUTED_VALUE"""),"")</f>
        <v/>
      </c>
      <c r="I560" s="51" t="str">
        <f>IFERROR(__xludf.DUMMYFUNCTION("""COMPUTED_VALUE"""),"#VALUE!")</f>
        <v>#VALUE!</v>
      </c>
      <c r="J560" s="51" t="str">
        <f>IFERROR(__xludf.DUMMYFUNCTION("""COMPUTED_VALUE"""),"")</f>
        <v/>
      </c>
      <c r="K560" s="51"/>
      <c r="L560" s="51" t="s">
        <v>257</v>
      </c>
      <c r="M560" s="51"/>
      <c r="N560" s="51"/>
      <c r="O560" s="51"/>
      <c r="P560" s="51"/>
      <c r="Q560" s="51"/>
      <c r="R560" s="51"/>
      <c r="S560" s="51"/>
      <c r="T560" s="51"/>
    </row>
    <row r="561">
      <c r="A561" s="51"/>
      <c r="B561" s="51"/>
      <c r="C561" s="56"/>
      <c r="D561" s="51"/>
      <c r="E561" s="51"/>
      <c r="F561" s="51"/>
      <c r="G561" s="51" t="str">
        <f>IFERROR(__xludf.DUMMYFUNCTION("""COMPUTED_VALUE"""),"#VALUE!")</f>
        <v>#VALUE!</v>
      </c>
      <c r="H561" s="51" t="str">
        <f>IFERROR(__xludf.DUMMYFUNCTION("""COMPUTED_VALUE"""),"")</f>
        <v/>
      </c>
      <c r="I561" s="51" t="str">
        <f>IFERROR(__xludf.DUMMYFUNCTION("""COMPUTED_VALUE"""),"#VALUE!")</f>
        <v>#VALUE!</v>
      </c>
      <c r="J561" s="51" t="str">
        <f>IFERROR(__xludf.DUMMYFUNCTION("""COMPUTED_VALUE"""),"")</f>
        <v/>
      </c>
      <c r="K561" s="51"/>
      <c r="L561" s="51" t="s">
        <v>257</v>
      </c>
      <c r="M561" s="51"/>
      <c r="N561" s="51"/>
      <c r="O561" s="51"/>
      <c r="P561" s="51"/>
      <c r="Q561" s="51"/>
      <c r="R561" s="51"/>
      <c r="S561" s="51"/>
      <c r="T561" s="51"/>
    </row>
    <row r="562">
      <c r="A562" s="51"/>
      <c r="B562" s="51"/>
      <c r="C562" s="56"/>
      <c r="D562" s="51"/>
      <c r="E562" s="51"/>
      <c r="F562" s="51"/>
      <c r="G562" s="51" t="str">
        <f>IFERROR(__xludf.DUMMYFUNCTION("""COMPUTED_VALUE"""),"#VALUE!")</f>
        <v>#VALUE!</v>
      </c>
      <c r="H562" s="51" t="str">
        <f>IFERROR(__xludf.DUMMYFUNCTION("""COMPUTED_VALUE"""),"")</f>
        <v/>
      </c>
      <c r="I562" s="51" t="str">
        <f>IFERROR(__xludf.DUMMYFUNCTION("""COMPUTED_VALUE"""),"#VALUE!")</f>
        <v>#VALUE!</v>
      </c>
      <c r="J562" s="51" t="str">
        <f>IFERROR(__xludf.DUMMYFUNCTION("""COMPUTED_VALUE"""),"")</f>
        <v/>
      </c>
      <c r="K562" s="51"/>
      <c r="L562" s="51" t="s">
        <v>257</v>
      </c>
      <c r="M562" s="51"/>
      <c r="N562" s="51"/>
      <c r="O562" s="51"/>
      <c r="P562" s="51"/>
      <c r="Q562" s="51"/>
      <c r="R562" s="51"/>
      <c r="S562" s="51"/>
      <c r="T562" s="51"/>
    </row>
    <row r="563">
      <c r="A563" s="51"/>
      <c r="B563" s="51"/>
      <c r="C563" s="56"/>
      <c r="D563" s="51"/>
      <c r="E563" s="51"/>
      <c r="F563" s="51"/>
      <c r="G563" s="51" t="str">
        <f>IFERROR(__xludf.DUMMYFUNCTION("""COMPUTED_VALUE"""),"#VALUE!")</f>
        <v>#VALUE!</v>
      </c>
      <c r="H563" s="51" t="str">
        <f>IFERROR(__xludf.DUMMYFUNCTION("""COMPUTED_VALUE"""),"")</f>
        <v/>
      </c>
      <c r="I563" s="51" t="str">
        <f>IFERROR(__xludf.DUMMYFUNCTION("""COMPUTED_VALUE"""),"#VALUE!")</f>
        <v>#VALUE!</v>
      </c>
      <c r="J563" s="51" t="str">
        <f>IFERROR(__xludf.DUMMYFUNCTION("""COMPUTED_VALUE"""),"")</f>
        <v/>
      </c>
      <c r="K563" s="51"/>
      <c r="L563" s="51" t="s">
        <v>257</v>
      </c>
      <c r="M563" s="51"/>
      <c r="N563" s="51"/>
      <c r="O563" s="51"/>
      <c r="P563" s="51"/>
      <c r="Q563" s="51"/>
      <c r="R563" s="51"/>
      <c r="S563" s="51"/>
      <c r="T563" s="51"/>
    </row>
    <row r="564">
      <c r="A564" s="51"/>
      <c r="B564" s="51"/>
      <c r="C564" s="56"/>
      <c r="D564" s="51"/>
      <c r="E564" s="51"/>
      <c r="F564" s="51"/>
      <c r="G564" s="51" t="str">
        <f>IFERROR(__xludf.DUMMYFUNCTION("""COMPUTED_VALUE"""),"#VALUE!")</f>
        <v>#VALUE!</v>
      </c>
      <c r="H564" s="51" t="str">
        <f>IFERROR(__xludf.DUMMYFUNCTION("""COMPUTED_VALUE"""),"")</f>
        <v/>
      </c>
      <c r="I564" s="51" t="str">
        <f>IFERROR(__xludf.DUMMYFUNCTION("""COMPUTED_VALUE"""),"#VALUE!")</f>
        <v>#VALUE!</v>
      </c>
      <c r="J564" s="51" t="str">
        <f>IFERROR(__xludf.DUMMYFUNCTION("""COMPUTED_VALUE"""),"")</f>
        <v/>
      </c>
      <c r="K564" s="51"/>
      <c r="L564" s="51" t="s">
        <v>257</v>
      </c>
      <c r="M564" s="51"/>
      <c r="N564" s="51"/>
      <c r="O564" s="51"/>
      <c r="P564" s="51"/>
      <c r="Q564" s="51"/>
      <c r="R564" s="51"/>
      <c r="S564" s="51"/>
      <c r="T564" s="51"/>
    </row>
  </sheetData>
  <conditionalFormatting sqref="O2:O46">
    <cfRule type="containsText" dxfId="4" priority="1" operator="containsText" text="YES">
      <formula>NOT(ISERROR(SEARCH(("YES"),(O2))))</formula>
    </cfRule>
  </conditionalFormatting>
  <conditionalFormatting sqref="O2:O46">
    <cfRule type="cellIs" dxfId="5" priority="2" operator="equal">
      <formula>"NO"</formula>
    </cfRule>
  </conditionalFormatting>
  <conditionalFormatting sqref="P2:P46">
    <cfRule type="cellIs" dxfId="4" priority="3" operator="equal">
      <formula>"AVAILABLE"</formula>
    </cfRule>
  </conditionalFormatting>
  <conditionalFormatting sqref="P2:P46">
    <cfRule type="cellIs" dxfId="5" priority="4" operator="equal">
      <formula>"NOT AVAILABLE"</formula>
    </cfRule>
  </conditionalFormatting>
  <conditionalFormatting sqref="Q2:Q46">
    <cfRule type="cellIs" dxfId="4" priority="5" operator="equal">
      <formula>"AVAILABLE"</formula>
    </cfRule>
  </conditionalFormatting>
  <conditionalFormatting sqref="Q2:Q46">
    <cfRule type="cellIs" dxfId="6" priority="6" operator="equal">
      <formula>"UPLOADING"</formula>
    </cfRule>
  </conditionalFormatting>
  <conditionalFormatting sqref="Q2:Q46">
    <cfRule type="cellIs" dxfId="5" priority="7" operator="equal">
      <formula>"NOT AVAILABLE"</formula>
    </cfRule>
  </conditionalFormatting>
  <dataValidations>
    <dataValidation type="list" allowBlank="1" sqref="O2:O46">
      <formula1>"YES,NO"</formula1>
    </dataValidation>
    <dataValidation type="list" allowBlank="1" sqref="P2:P46">
      <formula1>"AVAILABLE,NOT AVAILABLE"</formula1>
    </dataValidation>
    <dataValidation type="list" allowBlank="1" sqref="Q2:Q46">
      <formula1>"AVAILABLE,UPLOADING,NOT AVAILABLE"</formula1>
    </dataValidation>
  </dataValidations>
  <drawing r:id="rId1"/>
  <tableParts count="1">
    <tablePart r:id="rId3"/>
  </tableParts>
</worksheet>
</file>